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2.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tables/table3.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tables/table7.xml" ContentType="application/vnd.openxmlformats-officedocument.spreadsheetml.table+xml"/>
  <Override PartName="/xl/queryTables/queryTable2.xml" ContentType="application/vnd.openxmlformats-officedocument.spreadsheetml.queryTable+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omments6.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tables/table10.xml" ContentType="application/vnd.openxmlformats-officedocument.spreadsheetml.table+xml"/>
  <Override PartName="/xl/comments7.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11.xml" ContentType="application/vnd.openxmlformats-officedocument.spreadsheetml.table+xml"/>
  <Override PartName="/xl/drawings/drawing30.xml" ContentType="application/vnd.openxmlformats-officedocument.drawing+xml"/>
  <Override PartName="/xl/drawings/drawing31.xml" ContentType="application/vnd.openxmlformats-officedocument.drawing+xml"/>
  <Override PartName="/xl/tables/table12.xml" ContentType="application/vnd.openxmlformats-officedocument.spreadsheetml.table+xml"/>
  <Override PartName="/xl/drawings/drawing32.xml" ContentType="application/vnd.openxmlformats-officedocument.drawing+xml"/>
  <Override PartName="/xl/tables/table13.xml" ContentType="application/vnd.openxmlformats-officedocument.spreadsheetml.table+xml"/>
  <Override PartName="/xl/drawings/drawing33.xml" ContentType="application/vnd.openxmlformats-officedocument.drawing+xml"/>
  <Override PartName="/xl/drawings/drawing3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tables/table14.xml" ContentType="application/vnd.openxmlformats-officedocument.spreadsheetml.table+xml"/>
  <Override PartName="/xl/drawings/drawing38.xml" ContentType="application/vnd.openxmlformats-officedocument.drawing+xml"/>
  <Override PartName="/xl/drawings/drawing39.xml" ContentType="application/vnd.openxmlformats-officedocument.drawing+xml"/>
  <Override PartName="/xl/tables/table15.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16.xml" ContentType="application/vnd.openxmlformats-officedocument.spreadsheetml.table+xml"/>
  <Override PartName="/xl/slicers/slicer1.xml" ContentType="application/vnd.ms-excel.slicer+xml"/>
  <Override PartName="/xl/drawings/drawing42.xml" ContentType="application/vnd.openxmlformats-officedocument.drawing+xml"/>
  <Override PartName="/xl/tables/table17.xml" ContentType="application/vnd.openxmlformats-officedocument.spreadsheetml.table+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D:\Data\courses\Excel\CourseMaterials\"/>
    </mc:Choice>
  </mc:AlternateContent>
  <xr:revisionPtr revIDLastSave="0" documentId="13_ncr:1_{4C560969-4E69-45AE-B63D-A125505EC9E2}" xr6:coauthVersionLast="47" xr6:coauthVersionMax="47" xr10:uidLastSave="{00000000-0000-0000-0000-000000000000}"/>
  <bookViews>
    <workbookView xWindow="-120" yWindow="-120" windowWidth="29040" windowHeight="15840" tabRatio="838" firstSheet="1" activeTab="1" xr2:uid="{00000000-000D-0000-FFFF-FFFF00000000}"/>
  </bookViews>
  <sheets>
    <sheet name="TableLangues" sheetId="5" state="hidden" r:id="rId1"/>
    <sheet name="Main menu" sheetId="4" r:id="rId2"/>
    <sheet name="Vacature" sheetId="6" r:id="rId3"/>
    <sheet name="Vacature solved" sheetId="53" state="hidden" r:id="rId4"/>
    <sheet name="Invoices" sheetId="9" r:id="rId5"/>
    <sheet name="Personnel" sheetId="7" r:id="rId6"/>
    <sheet name="Doubles" sheetId="11" r:id="rId7"/>
    <sheet name="Garages" sheetId="8" r:id="rId8"/>
    <sheet name="Cumulated Results" sheetId="13" r:id="rId9"/>
    <sheet name="Ranking" sheetId="23" r:id="rId10"/>
    <sheet name="Student Results" sheetId="50" r:id="rId11"/>
    <sheet name="Conditions" sheetId="58" r:id="rId12"/>
    <sheet name="Conditions Solutions" sheetId="59" state="hidden" r:id="rId13"/>
    <sheet name="Look it up" sheetId="57" r:id="rId14"/>
    <sheet name="Salaries" sheetId="43" r:id="rId15"/>
    <sheet name="Student Results Solution" sheetId="54" state="hidden" r:id="rId16"/>
    <sheet name="Expenses" sheetId="52" r:id="rId17"/>
    <sheet name="Sorting" sheetId="33" r:id="rId18"/>
    <sheet name="Cumulated Results Solution" sheetId="20" state="hidden" r:id="rId19"/>
    <sheet name="Ranking Solution" sheetId="22" state="hidden" r:id="rId20"/>
    <sheet name="Sorting solution" sheetId="56" state="hidden" r:id="rId21"/>
    <sheet name="Patterns" sheetId="42" r:id="rId22"/>
    <sheet name="Timings" sheetId="46" r:id="rId23"/>
    <sheet name="Simulation" sheetId="37" r:id="rId24"/>
    <sheet name="Dynamic Arrays" sheetId="64" r:id="rId25"/>
    <sheet name="Payments" sheetId="31" r:id="rId26"/>
    <sheet name="Lambda" sheetId="60" r:id="rId27"/>
    <sheet name="Conditional summing" sheetId="66" r:id="rId28"/>
    <sheet name="Conditional summing sol" sheetId="65" state="hidden" r:id="rId29"/>
    <sheet name="Beverages Sales" sheetId="68" r:id="rId30"/>
    <sheet name="Transposing" sheetId="49" r:id="rId31"/>
    <sheet name="Client Status" sheetId="69" r:id="rId32"/>
    <sheet name="Client Status Solution" sheetId="70" state="hidden" r:id="rId33"/>
    <sheet name="Randomly" sheetId="61" r:id="rId34"/>
    <sheet name="Interactive data Solution" sheetId="72" state="hidden" r:id="rId35"/>
    <sheet name="Interactive data" sheetId="73" r:id="rId36"/>
    <sheet name="Dummy Data" sheetId="71" r:id="rId37"/>
    <sheet name="Sales Data" sheetId="55" r:id="rId38"/>
    <sheet name="Custom formats" sheetId="18" r:id="rId39"/>
    <sheet name="Shortcuts" sheetId="29" r:id="rId40"/>
    <sheet name="Complex Text Functions" sheetId="26" r:id="rId41"/>
    <sheet name="Functions" sheetId="32" r:id="rId42"/>
    <sheet name="Links" sheetId="63" r:id="rId43"/>
    <sheet name="Payments Solution" sheetId="30" state="hidden" r:id="rId44"/>
  </sheets>
  <externalReferences>
    <externalReference r:id="rId45"/>
    <externalReference r:id="rId46"/>
    <externalReference r:id="rId47"/>
  </externalReferences>
  <definedNames>
    <definedName name="_AMO_RefreshMultipleList" hidden="1">"'516966432'"</definedName>
    <definedName name="_AMO_XmlVersion" hidden="1">"'1'"</definedName>
    <definedName name="_Fill" localSheetId="40" hidden="1">#REF!</definedName>
    <definedName name="_Fill" localSheetId="27" hidden="1">#REF!</definedName>
    <definedName name="_Fill" localSheetId="28" hidden="1">#REF!</definedName>
    <definedName name="_Fill" localSheetId="9" hidden="1">#REF!</definedName>
    <definedName name="_Fill" localSheetId="19" hidden="1">#REF!</definedName>
    <definedName name="_Fill" localSheetId="3" hidden="1">#REF!</definedName>
    <definedName name="_Fill" hidden="1">#REF!</definedName>
    <definedName name="_Fill2" localSheetId="27" hidden="1">#REF!</definedName>
    <definedName name="_Fill2" localSheetId="28" hidden="1">#REF!</definedName>
    <definedName name="_Fill2" localSheetId="3" hidden="1">#REF!</definedName>
    <definedName name="_Fill2" hidden="1">#REF!</definedName>
    <definedName name="_xlnm._FilterDatabase" localSheetId="40" hidden="1">'Complex Text Functions'!$C$5:$D$12</definedName>
    <definedName name="_xlnm._FilterDatabase" localSheetId="27" hidden="1">'Conditional summing'!$A$4:$L$2315</definedName>
    <definedName name="_xlnm._FilterDatabase" localSheetId="28" hidden="1">'Conditional summing sol'!$B$4:$M$1923</definedName>
    <definedName name="_xlnm._FilterDatabase" localSheetId="7" hidden="1">Garages!$B$6:$I$701</definedName>
    <definedName name="_xlnm._FilterDatabase" localSheetId="5" hidden="1">Personnel!$L$5:$N$10</definedName>
    <definedName name="_xlnm._FilterDatabase" localSheetId="37" hidden="1">'Sales Data'!$B$2:$P$1243</definedName>
    <definedName name="_Table1_In1" localSheetId="40" hidden="1">#REF!</definedName>
    <definedName name="_Table1_In1" localSheetId="27" hidden="1">#REF!</definedName>
    <definedName name="_Table1_In1" localSheetId="28" hidden="1">#REF!</definedName>
    <definedName name="_Table1_In1" localSheetId="9" hidden="1">#REF!</definedName>
    <definedName name="_Table1_In1" localSheetId="19" hidden="1">#REF!</definedName>
    <definedName name="_Table1_In1" localSheetId="3" hidden="1">#REF!</definedName>
    <definedName name="_Table1_In1" hidden="1">#REF!</definedName>
    <definedName name="_Table1_Out" localSheetId="40" hidden="1">#REF!</definedName>
    <definedName name="_Table1_Out" localSheetId="27" hidden="1">#REF!</definedName>
    <definedName name="_Table1_Out" localSheetId="28" hidden="1">#REF!</definedName>
    <definedName name="_Table1_Out" localSheetId="9" hidden="1">#REF!</definedName>
    <definedName name="_Table1_Out" localSheetId="19" hidden="1">#REF!</definedName>
    <definedName name="_Table1_Out" localSheetId="3" hidden="1">#REF!</definedName>
    <definedName name="_Table1_Out" hidden="1">#REF!</definedName>
    <definedName name="_Table2_Out" localSheetId="27" hidden="1">#REF!</definedName>
    <definedName name="_Table2_Out" localSheetId="28" hidden="1">#REF!</definedName>
    <definedName name="_Table2_Out" localSheetId="3" hidden="1">#REF!</definedName>
    <definedName name="_Table2_Out" hidden="1">#REF!</definedName>
    <definedName name="_Table2In2" localSheetId="3" hidden="1">#REF!</definedName>
    <definedName name="_Table2In2" hidden="1">#REF!</definedName>
    <definedName name="AccessDatabase" hidden="1">"C:\Mes documents\Excell\dbase exemples.mdb"</definedName>
    <definedName name="Age" localSheetId="3">'Ranking Solution'!$D$6:$D$30</definedName>
    <definedName name="Age">'Ranking Solution'!$D$6:$D$30</definedName>
    <definedName name="anscount" hidden="1">2</definedName>
    <definedName name="Calendar" localSheetId="3">daysAndWks + 'Vacature solved'!DateOfFirst - WEEKDAY('Vacature solved'!DateOfFirst,2)</definedName>
    <definedName name="CountWords" localSheetId="27">_xlfn.LAMBDA(_xlpm.text,LEN(TRIM(_xlpm.text))-LEN(SUBSTITUTE(_xlpm.text," ",""))+1)</definedName>
    <definedName name="CountWords" localSheetId="28">_xlfn.LAMBDA(_xlpm.text,LEN(TRIM(_xlpm.text))-LEN(SUBSTITUTE(_xlpm.text," ",""))+1)</definedName>
    <definedName name="CountWords">_xlfn.LAMBDA(_xlpm.text,LEN(TRIM(_xlpm.text))-LEN(SUBSTITUTE(_xlpm.text," ",""))+1)</definedName>
    <definedName name="criterium" localSheetId="3">'Ranking Solution'!$J$6</definedName>
    <definedName name="criterium">'Ranking Solution'!$J$6</definedName>
    <definedName name="DateOfFirst" localSheetId="3">DATE(YEAR(#REF!),MONTH(#REF!),1)</definedName>
    <definedName name="ExternalData_1" localSheetId="15" hidden="1">'Student Results Solution'!$X$7:$AC$8</definedName>
    <definedName name="ExternalData_2" localSheetId="15" hidden="1">'Student Results Solution'!$X$11:$Y$717</definedName>
    <definedName name="Garages" localSheetId="3">Garages!$A$15:$J$710</definedName>
    <definedName name="Garages">Garages!$B$6:$I$701</definedName>
    <definedName name="IfBlank" localSheetId="27">_xlfn.LAMBDA(_xlpm.val,_xlpm.valBlank,IF(ISBLANK(_xlpm.val),_xlpm.valBlank,_xlpm.val))</definedName>
    <definedName name="IfBlank" localSheetId="28">_xlfn.LAMBDA(_xlpm.val,_xlpm.valBlank,IF(ISBLANK(_xlpm.val),_xlpm.valBlank,_xlpm.val))</definedName>
    <definedName name="IfBlank">_xlfn.LAMBDA(_xlpm.val,_xlpm.valBlank,IF(ISBLANK(_xlpm.val),_xlpm.valBlank,_xlpm.val))</definedName>
    <definedName name="issueCloseDates" localSheetId="3">'[1]Issue Log'!$G$6:$G$305</definedName>
    <definedName name="issueOpenDates" localSheetId="3">'[1]Issue Log'!$F$6:$F$305</definedName>
    <definedName name="issuePriorities" localSheetId="3">'[1]Issue Log'!$E$6:$E$305</definedName>
    <definedName name="langues">TableLangues!$I$3:$I$5</definedName>
    <definedName name="langueSelected" localSheetId="3">TableLangues!$A$1</definedName>
    <definedName name="langueSelected">TableLangues!$A$1</definedName>
    <definedName name="lstJobs" localSheetId="3">'[1]US Salaries'!$F$5:$F$12</definedName>
    <definedName name="mesAges">'Vacature solved'!$H$6:$H$489</definedName>
    <definedName name="myCats" localSheetId="32">tblCats[Cats]</definedName>
    <definedName name="myCats" localSheetId="27">tblCats[Cats]</definedName>
    <definedName name="myCats" localSheetId="35">tblCats[Cats]</definedName>
    <definedName name="myCats">tblCats[Cats]</definedName>
    <definedName name="Nom">'Ranking Solution'!$B$6:$B$30</definedName>
    <definedName name="orderNrs" localSheetId="27">'Conditional summing'!$B$5:$B$2315</definedName>
    <definedName name="orderNrs">'Conditional summing sol'!$B$5:$B$2315</definedName>
    <definedName name="_xlnm.Print_Area" localSheetId="40">'Complex Text Functions'!$A$1:$G$16</definedName>
    <definedName name="_xlnm.Print_Area" localSheetId="5">Personnel!$C$1:$I$53</definedName>
    <definedName name="_xlnm.Print_Area" localSheetId="14">Salaries!$B$3:$G$139</definedName>
    <definedName name="_xlnm.Print_Area" localSheetId="2">Vacature!$A$1:$K$491</definedName>
    <definedName name="_xlnm.Print_Area" localSheetId="3">'Vacature solved'!$A$1:$J$489</definedName>
    <definedName name="Quarter" localSheetId="18">'Cumulated Results Solution'!$H$8</definedName>
    <definedName name="Quarter" localSheetId="3">'Cumulated Results'!$H$8</definedName>
    <definedName name="Quarter">'Cumulated Results'!$H$8</definedName>
    <definedName name="Quotation" localSheetId="18">IF('Cumulated Results Solution'!XFC1&gt;7000,"excellent",IF('Cumulated Results Solution'!XFC1&gt;3000,"good","bad"))</definedName>
    <definedName name="Quotation" localSheetId="3">IF('Cumulated Results'!XFC1&gt;7000,"excellent",IF('Cumulated Results'!XFC1&gt;3000,"good","bad"))</definedName>
    <definedName name="resIDs" localSheetId="3">'[2]Finding Patterns'!$H$6:$H$11</definedName>
    <definedName name="resIDs">Patterns!$C$3:$C$8</definedName>
    <definedName name="resRates" localSheetId="3">'[2]Finding Patterns'!$J$6:$J$11</definedName>
    <definedName name="resRates">Patterns!$E$3:$E$8</definedName>
    <definedName name="resTypes" localSheetId="3">'[2]Finding Patterns'!$I$6:$I$11</definedName>
    <definedName name="resTypes">Patterns!$D$3:$D$8</definedName>
    <definedName name="Revenue" localSheetId="18">'Cumulated Results Solution'!$C$6:$C$17</definedName>
    <definedName name="Revenue" localSheetId="3">'Cumulated Results'!$C$6:$C$17</definedName>
    <definedName name="Revenue">'Cumulated Results'!$C$6:$C$17</definedName>
    <definedName name="rngStudent">'[3]Multiple Columns'!$B$2</definedName>
    <definedName name="Salaires">Salaries!$I$28:$Q$48</definedName>
    <definedName name="sexe" localSheetId="3">'Ranking Solution'!$C$6:$C$30</definedName>
    <definedName name="sexe">'Ranking Solution'!$C$6:$C$30</definedName>
    <definedName name="Slicer_fType">#N/A</definedName>
    <definedName name="solver_adj" localSheetId="23" hidden="1">Simulation!$I$6:$J$6</definedName>
    <definedName name="solver_cvg" localSheetId="23" hidden="1">0.0001</definedName>
    <definedName name="solver_drv" localSheetId="23" hidden="1">2</definedName>
    <definedName name="solver_eng" localSheetId="23" hidden="1">1</definedName>
    <definedName name="solver_est" localSheetId="23" hidden="1">1</definedName>
    <definedName name="solver_itr" localSheetId="23" hidden="1">2147483647</definedName>
    <definedName name="solver_lhs0" localSheetId="23" hidden="1">Simulation!$I$6:$J$6</definedName>
    <definedName name="solver_lhs1" localSheetId="23" hidden="1">Simulation!$I$6</definedName>
    <definedName name="solver_lhs2" localSheetId="23" hidden="1">Simulation!$I$6:$J$6</definedName>
    <definedName name="solver_lhs3" localSheetId="23" hidden="1">Simulation!$E$14</definedName>
    <definedName name="solver_lhs4" localSheetId="23" hidden="1">Simulation!$E$14</definedName>
    <definedName name="solver_lhs5" localSheetId="23" hidden="1">Simulation!$E$14</definedName>
    <definedName name="solver_lhs6" localSheetId="23" hidden="1">Simulation!$E$14</definedName>
    <definedName name="solver_lhs7" localSheetId="23" hidden="1">Simulation!$E$14</definedName>
    <definedName name="solver_lhs8" localSheetId="23" hidden="1">Simulation!$E$14</definedName>
    <definedName name="solver_mip" localSheetId="23" hidden="1">2147483647</definedName>
    <definedName name="solver_mni" localSheetId="23" hidden="1">30</definedName>
    <definedName name="solver_mrt" localSheetId="23" hidden="1">0.075</definedName>
    <definedName name="solver_msl" localSheetId="23" hidden="1">2</definedName>
    <definedName name="solver_neg" localSheetId="23" hidden="1">1</definedName>
    <definedName name="solver_nod" localSheetId="23" hidden="1">2147483647</definedName>
    <definedName name="solver_num" localSheetId="23" hidden="1">2</definedName>
    <definedName name="solver_nwt" localSheetId="23" hidden="1">1</definedName>
    <definedName name="solver_opt" localSheetId="23" hidden="1">Simulation!$I$13</definedName>
    <definedName name="solver_pre" localSheetId="23" hidden="1">0.000001</definedName>
    <definedName name="solver_rbv" localSheetId="23" hidden="1">2</definedName>
    <definedName name="solver_rel0" localSheetId="23" hidden="1">4</definedName>
    <definedName name="solver_rel1" localSheetId="23" hidden="1">3</definedName>
    <definedName name="solver_rel2" localSheetId="23" hidden="1">4</definedName>
    <definedName name="solver_rel3" localSheetId="23" hidden="1">1</definedName>
    <definedName name="solver_rel4" localSheetId="23" hidden="1">1</definedName>
    <definedName name="solver_rel5" localSheetId="23" hidden="1">1</definedName>
    <definedName name="solver_rel6" localSheetId="23" hidden="1">1</definedName>
    <definedName name="solver_rel7" localSheetId="23" hidden="1">1</definedName>
    <definedName name="solver_rel8" localSheetId="23" hidden="1">1</definedName>
    <definedName name="solver_rhs0" localSheetId="23" hidden="1">integer</definedName>
    <definedName name="solver_rhs1" localSheetId="23" hidden="1">Simulation!$J$6*150%</definedName>
    <definedName name="solver_rhs2" localSheetId="23" hidden="1">integer</definedName>
    <definedName name="solver_rhs3" localSheetId="23" hidden="1">Simulation!$D$14</definedName>
    <definedName name="solver_rhs4" localSheetId="23" hidden="1">Simulation!$D$14</definedName>
    <definedName name="solver_rhs5" localSheetId="23" hidden="1">Simulation!$D$14</definedName>
    <definedName name="solver_rhs6" localSheetId="23" hidden="1">Simulation!$D$14</definedName>
    <definedName name="solver_rhs7" localSheetId="23" hidden="1">Simulation!$D$14</definedName>
    <definedName name="solver_rhs8" localSheetId="23" hidden="1">Simulation!$D$14</definedName>
    <definedName name="solver_rlx" localSheetId="23" hidden="1">2</definedName>
    <definedName name="solver_rsd" localSheetId="23" hidden="1">0</definedName>
    <definedName name="solver_scl" localSheetId="23" hidden="1">2</definedName>
    <definedName name="solver_sho" localSheetId="23" hidden="1">2</definedName>
    <definedName name="solver_ssz" localSheetId="23" hidden="1">100</definedName>
    <definedName name="solver_tim" localSheetId="23" hidden="1">2147483647</definedName>
    <definedName name="solver_tol" localSheetId="23" hidden="1">0.01</definedName>
    <definedName name="solver_typ" localSheetId="23" hidden="1">1</definedName>
    <definedName name="solver_val" localSheetId="23" hidden="1">0</definedName>
    <definedName name="solver_ver" localSheetId="23" hidden="1">3</definedName>
    <definedName name="TableMenuItems">TableLangues!$B$2:$E$30</definedName>
    <definedName name="VolumeSphere" localSheetId="27">_xlfn.LAMBDA(_xlpm.r,4/3*PI()*_xlpm.r^3)</definedName>
    <definedName name="VolumeSphere" localSheetId="28">_xlfn.LAMBDA(_xlpm.r,4/3*PI()*_xlpm.r^3)</definedName>
    <definedName name="VolumeSphere">_xlfn.LAMBDA(_xlpm.r,4/3*PI()*_xlpm.r^3)</definedName>
    <definedName name="wAverage" localSheetId="27">_xlfn.LAMBDA(_xlpm.values,_xlpm.weights, SUMPRODUCT(_xlpm.values, _xlpm.weights)/SUM(_xlpm.weights))</definedName>
    <definedName name="wAverage" localSheetId="28">_xlfn.LAMBDA(_xlpm.values,_xlpm.weights, SUMPRODUCT(_xlpm.values, _xlpm.weights)/SUM(_xlpm.weights))</definedName>
    <definedName name="wAverage">_xlfn.LAMBDA(_xlpm.values,_xlpm.weights, SUMPRODUCT(_xlpm.values, _xlpm.weights)/SUM(_xlpm.weights))</definedName>
  </definedNames>
  <calcPr calcId="191029"/>
  <webPublishing vml="1" allowPng="1" targetScreenSize="1024x768" codePage="1252"/>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8"/>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2" i="54" l="1"/>
  <c r="Z13" i="54"/>
  <c r="Z368" i="54"/>
  <c r="Z369" i="54"/>
  <c r="Z370" i="54"/>
  <c r="Z371" i="54"/>
  <c r="Z372" i="54"/>
  <c r="Z373" i="54"/>
  <c r="Z374" i="54"/>
  <c r="Z375" i="54"/>
  <c r="Z376" i="54"/>
  <c r="Z377" i="54"/>
  <c r="Z378" i="54"/>
  <c r="Z379" i="54"/>
  <c r="Z380" i="54"/>
  <c r="Z381" i="54"/>
  <c r="Z382" i="54"/>
  <c r="Z383" i="54"/>
  <c r="Z384" i="54"/>
  <c r="Z385" i="54"/>
  <c r="Z386" i="54"/>
  <c r="Z387" i="54"/>
  <c r="Z388" i="54"/>
  <c r="Z389" i="54"/>
  <c r="Z390" i="54"/>
  <c r="Z391" i="54"/>
  <c r="Z392" i="54"/>
  <c r="Z393" i="54"/>
  <c r="Z394" i="54"/>
  <c r="Z395" i="54"/>
  <c r="Z396" i="54"/>
  <c r="Z397" i="54"/>
  <c r="Z398" i="54"/>
  <c r="Z399" i="54"/>
  <c r="Z400" i="54"/>
  <c r="Z401" i="54"/>
  <c r="Z402" i="54"/>
  <c r="Z403" i="54"/>
  <c r="Z404" i="54"/>
  <c r="Z405" i="54"/>
  <c r="Z406" i="54"/>
  <c r="Z407" i="54"/>
  <c r="Z408" i="54"/>
  <c r="Z409" i="54"/>
  <c r="Z410" i="54"/>
  <c r="Z411" i="54"/>
  <c r="Z412" i="54"/>
  <c r="Z413" i="54"/>
  <c r="Z414" i="54"/>
  <c r="Z415" i="54"/>
  <c r="Z416" i="54"/>
  <c r="Z417" i="54"/>
  <c r="Z418" i="54"/>
  <c r="Z419" i="54"/>
  <c r="Z420" i="54"/>
  <c r="Z421" i="54"/>
  <c r="Z422" i="54"/>
  <c r="Z423" i="54"/>
  <c r="Z424" i="54"/>
  <c r="Z425" i="54"/>
  <c r="Z426" i="54"/>
  <c r="Z427" i="54"/>
  <c r="Z428" i="54"/>
  <c r="Z429" i="54"/>
  <c r="Z430" i="54"/>
  <c r="Z431" i="54"/>
  <c r="Z432" i="54"/>
  <c r="Z433" i="54"/>
  <c r="Z434" i="54"/>
  <c r="Z435" i="54"/>
  <c r="Z436" i="54"/>
  <c r="Z437" i="54"/>
  <c r="Z438" i="54"/>
  <c r="Z439" i="54"/>
  <c r="Z440" i="54"/>
  <c r="Z441" i="54"/>
  <c r="Z442" i="54"/>
  <c r="Z443" i="54"/>
  <c r="Z444" i="54"/>
  <c r="Z445" i="54"/>
  <c r="Z446" i="54"/>
  <c r="Z447" i="54"/>
  <c r="Z448" i="54"/>
  <c r="Z449" i="54"/>
  <c r="Z450" i="54"/>
  <c r="Z451" i="54"/>
  <c r="Z452" i="54"/>
  <c r="Z453" i="54"/>
  <c r="Z454" i="54"/>
  <c r="Z455" i="54"/>
  <c r="Z456" i="54"/>
  <c r="Z457" i="54"/>
  <c r="Z458" i="54"/>
  <c r="Z459" i="54"/>
  <c r="Z460" i="54"/>
  <c r="Z461" i="54"/>
  <c r="Z462" i="54"/>
  <c r="Z463" i="54"/>
  <c r="Z464" i="54"/>
  <c r="Z465" i="54"/>
  <c r="Z466" i="54"/>
  <c r="Z467" i="54"/>
  <c r="Z468" i="54"/>
  <c r="Z469" i="54"/>
  <c r="Z470" i="54"/>
  <c r="Z471" i="54"/>
  <c r="Z472" i="54"/>
  <c r="Z473" i="54"/>
  <c r="Z474" i="54"/>
  <c r="Z475" i="54"/>
  <c r="Z476" i="54"/>
  <c r="Z477" i="54"/>
  <c r="Z478" i="54"/>
  <c r="Z479" i="54"/>
  <c r="Z480" i="54"/>
  <c r="Z481" i="54"/>
  <c r="Z482" i="54"/>
  <c r="Z483" i="54"/>
  <c r="Z484" i="54"/>
  <c r="Z485" i="54"/>
  <c r="Z486" i="54"/>
  <c r="Z487" i="54"/>
  <c r="Z488" i="54"/>
  <c r="Z489" i="54"/>
  <c r="Z490" i="54"/>
  <c r="Z491" i="54"/>
  <c r="Z492" i="54"/>
  <c r="Z493" i="54"/>
  <c r="Z494" i="54"/>
  <c r="Z495" i="54"/>
  <c r="Z496" i="54"/>
  <c r="Z497" i="54"/>
  <c r="Z498" i="54"/>
  <c r="Z499" i="54"/>
  <c r="Z500" i="54"/>
  <c r="Z501" i="54"/>
  <c r="Z502" i="54"/>
  <c r="Z503" i="54"/>
  <c r="Z504" i="54"/>
  <c r="Z505" i="54"/>
  <c r="Z506" i="54"/>
  <c r="Z507" i="54"/>
  <c r="Z508" i="54"/>
  <c r="Z509" i="54"/>
  <c r="Z510" i="54"/>
  <c r="Z511" i="54"/>
  <c r="Z512" i="54"/>
  <c r="Z513" i="54"/>
  <c r="Z514" i="54"/>
  <c r="Z515" i="54"/>
  <c r="Z516" i="54"/>
  <c r="Z517" i="54"/>
  <c r="Z518" i="54"/>
  <c r="Z519" i="54"/>
  <c r="Z520" i="54"/>
  <c r="Z521" i="54"/>
  <c r="Z522" i="54"/>
  <c r="Z523" i="54"/>
  <c r="Z524" i="54"/>
  <c r="Z525" i="54"/>
  <c r="Z526" i="54"/>
  <c r="Z527" i="54"/>
  <c r="Z528" i="54"/>
  <c r="Z529" i="54"/>
  <c r="Z530" i="54"/>
  <c r="Z531" i="54"/>
  <c r="Z532" i="54"/>
  <c r="Z533" i="54"/>
  <c r="Z534" i="54"/>
  <c r="Z535" i="54"/>
  <c r="Z536" i="54"/>
  <c r="Z537" i="54"/>
  <c r="Z538" i="54"/>
  <c r="Z539" i="54"/>
  <c r="Z540" i="54"/>
  <c r="Z541" i="54"/>
  <c r="Z542" i="54"/>
  <c r="Z543" i="54"/>
  <c r="Z544" i="54"/>
  <c r="Z545" i="54"/>
  <c r="Z546" i="54"/>
  <c r="Z547" i="54"/>
  <c r="Z548" i="54"/>
  <c r="Z549" i="54"/>
  <c r="Z550" i="54"/>
  <c r="Z551" i="54"/>
  <c r="Z552" i="54"/>
  <c r="Z553" i="54"/>
  <c r="Z554" i="54"/>
  <c r="Z555" i="54"/>
  <c r="Z556" i="54"/>
  <c r="Z557" i="54"/>
  <c r="Z558" i="54"/>
  <c r="Z559" i="54"/>
  <c r="Z560" i="54"/>
  <c r="Z561" i="54"/>
  <c r="Z562" i="54"/>
  <c r="Z563" i="54"/>
  <c r="Z564" i="54"/>
  <c r="Z565" i="54"/>
  <c r="Z566" i="54"/>
  <c r="Z567" i="54"/>
  <c r="Z568" i="54"/>
  <c r="Z569" i="54"/>
  <c r="Z570" i="54"/>
  <c r="Z571" i="54"/>
  <c r="Z572" i="54"/>
  <c r="Z573" i="54"/>
  <c r="Z574" i="54"/>
  <c r="Z575" i="54"/>
  <c r="Z576" i="54"/>
  <c r="Z577" i="54"/>
  <c r="Z578" i="54"/>
  <c r="Z579" i="54"/>
  <c r="Z580" i="54"/>
  <c r="Z581" i="54"/>
  <c r="Z582" i="54"/>
  <c r="Z583" i="54"/>
  <c r="Z584" i="54"/>
  <c r="Z585" i="54"/>
  <c r="Z586" i="54"/>
  <c r="Z587" i="54"/>
  <c r="Z588" i="54"/>
  <c r="Z589" i="54"/>
  <c r="Z590" i="54"/>
  <c r="Z591" i="54"/>
  <c r="Z592" i="54"/>
  <c r="Z593" i="54"/>
  <c r="Z594" i="54"/>
  <c r="Z595" i="54"/>
  <c r="Z596" i="54"/>
  <c r="Z597" i="54"/>
  <c r="Z598" i="54"/>
  <c r="Z599" i="54"/>
  <c r="Z600" i="54"/>
  <c r="Z601" i="54"/>
  <c r="Z602" i="54"/>
  <c r="Z603" i="54"/>
  <c r="Z604" i="54"/>
  <c r="Z605" i="54"/>
  <c r="Z606" i="54"/>
  <c r="Z607" i="54"/>
  <c r="Z608" i="54"/>
  <c r="Z609" i="54"/>
  <c r="Z610" i="54"/>
  <c r="Z611" i="54"/>
  <c r="Z612" i="54"/>
  <c r="Z613" i="54"/>
  <c r="Z614" i="54"/>
  <c r="Z615" i="54"/>
  <c r="Z616" i="54"/>
  <c r="Z617" i="54"/>
  <c r="Z618" i="54"/>
  <c r="Z619" i="54"/>
  <c r="Z620" i="54"/>
  <c r="Z621" i="54"/>
  <c r="Z622" i="54"/>
  <c r="Z623" i="54"/>
  <c r="Z624" i="54"/>
  <c r="Z625" i="54"/>
  <c r="Z626" i="54"/>
  <c r="Z627" i="54"/>
  <c r="Z628" i="54"/>
  <c r="Z629" i="54"/>
  <c r="Z630" i="54"/>
  <c r="Z631" i="54"/>
  <c r="Z632" i="54"/>
  <c r="Z633" i="54"/>
  <c r="Z634" i="54"/>
  <c r="Z635" i="54"/>
  <c r="Z636" i="54"/>
  <c r="Z637" i="54"/>
  <c r="Z638" i="54"/>
  <c r="Z639" i="54"/>
  <c r="Z640" i="54"/>
  <c r="Z641" i="54"/>
  <c r="Z642" i="54"/>
  <c r="Z643" i="54"/>
  <c r="Z644" i="54"/>
  <c r="Z645" i="54"/>
  <c r="Z646" i="54"/>
  <c r="Z647" i="54"/>
  <c r="Z648" i="54"/>
  <c r="Z649" i="54"/>
  <c r="Z650" i="54"/>
  <c r="Z651" i="54"/>
  <c r="Z652" i="54"/>
  <c r="Z653" i="54"/>
  <c r="Z654" i="54"/>
  <c r="Z655" i="54"/>
  <c r="Z656" i="54"/>
  <c r="Z657" i="54"/>
  <c r="Z658" i="54"/>
  <c r="Z659" i="54"/>
  <c r="Z660" i="54"/>
  <c r="Z661" i="54"/>
  <c r="Z662" i="54"/>
  <c r="Z663" i="54"/>
  <c r="Z664" i="54"/>
  <c r="Z665" i="54"/>
  <c r="Z666" i="54"/>
  <c r="Z667" i="54"/>
  <c r="Z668" i="54"/>
  <c r="Z669" i="54"/>
  <c r="Z670" i="54"/>
  <c r="Z671" i="54"/>
  <c r="Z672" i="54"/>
  <c r="Z673" i="54"/>
  <c r="Z674" i="54"/>
  <c r="Z675" i="54"/>
  <c r="Z676" i="54"/>
  <c r="Z677" i="54"/>
  <c r="Z678" i="54"/>
  <c r="Z679" i="54"/>
  <c r="Z680" i="54"/>
  <c r="Z681" i="54"/>
  <c r="Z682" i="54"/>
  <c r="Z683" i="54"/>
  <c r="Z684" i="54"/>
  <c r="Z685" i="54"/>
  <c r="Z686" i="54"/>
  <c r="Z687" i="54"/>
  <c r="Z688" i="54"/>
  <c r="Z689" i="54"/>
  <c r="Z690" i="54"/>
  <c r="Z691" i="54"/>
  <c r="Z692" i="54"/>
  <c r="Z693" i="54"/>
  <c r="Z694" i="54"/>
  <c r="Z695" i="54"/>
  <c r="Z696" i="54"/>
  <c r="Z697" i="54"/>
  <c r="Z698" i="54"/>
  <c r="Z699" i="54"/>
  <c r="Z700" i="54"/>
  <c r="Z701" i="54"/>
  <c r="Z702" i="54"/>
  <c r="Z703" i="54"/>
  <c r="Z704" i="54"/>
  <c r="Z705" i="54"/>
  <c r="Z706" i="54"/>
  <c r="Z707" i="54"/>
  <c r="Z708" i="54"/>
  <c r="Z709" i="54"/>
  <c r="Z710" i="54"/>
  <c r="Z711" i="54"/>
  <c r="Z712" i="54"/>
  <c r="Z713" i="54"/>
  <c r="Z714" i="54"/>
  <c r="Z715" i="54"/>
  <c r="Z716" i="54"/>
  <c r="Z717" i="54"/>
  <c r="V7" i="54" a="1"/>
  <c r="V7" i="54"/>
  <c r="G24" i="61" a="1"/>
  <c r="G24" i="61" s="1"/>
  <c r="C65" i="46" a="1"/>
  <c r="C65" i="46" s="1"/>
  <c r="C28" i="72" a="1"/>
  <c r="C28" i="72" s="1"/>
  <c r="T6" i="65"/>
  <c r="T7" i="65"/>
  <c r="T8" i="65"/>
  <c r="T9" i="65"/>
  <c r="T10" i="65"/>
  <c r="T11" i="65"/>
  <c r="T12" i="65"/>
  <c r="T13" i="65"/>
  <c r="T14" i="65"/>
  <c r="T15" i="65"/>
  <c r="T16" i="65"/>
  <c r="T17" i="65"/>
  <c r="T18" i="65"/>
  <c r="T19" i="65"/>
  <c r="T20" i="65"/>
  <c r="T21" i="65"/>
  <c r="T22" i="65"/>
  <c r="T23" i="65"/>
  <c r="T24" i="65"/>
  <c r="T25" i="65"/>
  <c r="T26" i="65"/>
  <c r="T27" i="65"/>
  <c r="T28" i="65"/>
  <c r="T29" i="65"/>
  <c r="T30" i="65"/>
  <c r="T31" i="65"/>
  <c r="T32" i="65"/>
  <c r="T33" i="65"/>
  <c r="T34" i="65"/>
  <c r="T35" i="65"/>
  <c r="T36" i="65"/>
  <c r="T37" i="65"/>
  <c r="T38" i="65"/>
  <c r="T39" i="65"/>
  <c r="T40" i="65"/>
  <c r="T41" i="65"/>
  <c r="T42" i="65"/>
  <c r="T43" i="65"/>
  <c r="T44" i="65"/>
  <c r="T45" i="65"/>
  <c r="T46" i="65"/>
  <c r="T47" i="65"/>
  <c r="T48" i="65"/>
  <c r="T49" i="65"/>
  <c r="T50" i="65"/>
  <c r="T51" i="65"/>
  <c r="T52" i="65"/>
  <c r="T53" i="65"/>
  <c r="T54" i="65"/>
  <c r="T55" i="65"/>
  <c r="T56" i="65"/>
  <c r="T57" i="65"/>
  <c r="T58" i="65"/>
  <c r="T59" i="65"/>
  <c r="T60" i="65"/>
  <c r="T61" i="65"/>
  <c r="T62" i="65"/>
  <c r="T63" i="65"/>
  <c r="T64" i="65"/>
  <c r="T65" i="65"/>
  <c r="T66" i="65"/>
  <c r="T67" i="65"/>
  <c r="T68" i="65"/>
  <c r="T69" i="65"/>
  <c r="T70" i="65"/>
  <c r="T71" i="65"/>
  <c r="T72" i="65"/>
  <c r="T73" i="65"/>
  <c r="T74" i="65"/>
  <c r="T75" i="65"/>
  <c r="T76" i="65"/>
  <c r="T77" i="65"/>
  <c r="T78" i="65"/>
  <c r="T79" i="65"/>
  <c r="T80" i="65"/>
  <c r="T81" i="65"/>
  <c r="T82" i="65"/>
  <c r="T83" i="65"/>
  <c r="T84" i="65"/>
  <c r="T85" i="65"/>
  <c r="T86" i="65"/>
  <c r="T87" i="65"/>
  <c r="T88" i="65"/>
  <c r="T89" i="65"/>
  <c r="T90" i="65"/>
  <c r="T91" i="65"/>
  <c r="T92" i="65"/>
  <c r="T93" i="65"/>
  <c r="T5" i="65"/>
  <c r="C110" i="57"/>
  <c r="D98" i="57" a="1"/>
  <c r="D98" i="57" s="1"/>
  <c r="C112" i="57"/>
  <c r="C111" i="57"/>
  <c r="AA3" i="55" a="1"/>
  <c r="AA3" i="55" s="1"/>
  <c r="AA4" i="55" a="1"/>
  <c r="AA4" i="55" s="1"/>
  <c r="AA5" i="55" a="1"/>
  <c r="AA5" i="55" s="1"/>
  <c r="AA6" i="55" a="1"/>
  <c r="AA6" i="55" s="1"/>
  <c r="AA7" i="55" a="1"/>
  <c r="AA7" i="55" s="1"/>
  <c r="AA8" i="55" a="1"/>
  <c r="AA8" i="55"/>
  <c r="AA9" i="55" a="1"/>
  <c r="AA9" i="55" s="1"/>
  <c r="AA10" i="55" a="1"/>
  <c r="AA10" i="55" s="1"/>
  <c r="AA11" i="55" a="1"/>
  <c r="AA11" i="55" s="1"/>
  <c r="AA12" i="55" a="1"/>
  <c r="AA12" i="55" s="1"/>
  <c r="AA13" i="55" a="1"/>
  <c r="AA13" i="55" s="1"/>
  <c r="AA14" i="55" a="1"/>
  <c r="AA14" i="55" s="1"/>
  <c r="AA15" i="55" a="1"/>
  <c r="AA15" i="55" s="1"/>
  <c r="AA16" i="55" a="1"/>
  <c r="AA16" i="55"/>
  <c r="AA17" i="55" a="1"/>
  <c r="AA17" i="55" s="1"/>
  <c r="AA18" i="55" a="1"/>
  <c r="AA18" i="55" s="1"/>
  <c r="Z3" i="55" a="1"/>
  <c r="Z3" i="55" s="1"/>
  <c r="Z4" i="55" a="1"/>
  <c r="Z4" i="55" s="1"/>
  <c r="Z5" i="55" a="1"/>
  <c r="Z5" i="55" s="1"/>
  <c r="Z6" i="55" a="1"/>
  <c r="Z6" i="55" s="1"/>
  <c r="Z7" i="55" a="1"/>
  <c r="Z7" i="55" s="1"/>
  <c r="Z8" i="55" a="1"/>
  <c r="Z8" i="55" s="1"/>
  <c r="Z9" i="55" a="1"/>
  <c r="Z9" i="55" s="1"/>
  <c r="Z10" i="55" a="1"/>
  <c r="Z10" i="55" s="1"/>
  <c r="Z11" i="55" a="1"/>
  <c r="Z11" i="55" s="1"/>
  <c r="Z12" i="55" a="1"/>
  <c r="Z12" i="55" s="1"/>
  <c r="Z13" i="55" a="1"/>
  <c r="Z13" i="55" s="1"/>
  <c r="Z14" i="55" a="1"/>
  <c r="Z14" i="55" s="1"/>
  <c r="Z15" i="55" a="1"/>
  <c r="Z15" i="55" s="1"/>
  <c r="Z16" i="55" a="1"/>
  <c r="Z16" i="55" s="1"/>
  <c r="Z17" i="55" a="1"/>
  <c r="Z17" i="55" s="1"/>
  <c r="Z18" i="55" a="1"/>
  <c r="Z18" i="55" s="1"/>
  <c r="Y18" i="55" l="1" a="1"/>
  <c r="Y18" i="55" s="1"/>
  <c r="Y3" i="55" a="1"/>
  <c r="Y3" i="55" s="1"/>
  <c r="Y4" i="55" a="1"/>
  <c r="Y4" i="55" s="1"/>
  <c r="Y5" i="55" a="1"/>
  <c r="Y5" i="55" s="1"/>
  <c r="Y6" i="55" a="1"/>
  <c r="Y6" i="55" s="1"/>
  <c r="Y7" i="55" a="1"/>
  <c r="Y7" i="55" s="1"/>
  <c r="Y8" i="55" a="1"/>
  <c r="Y8" i="55" s="1"/>
  <c r="Y9" i="55" a="1"/>
  <c r="Y9" i="55" s="1"/>
  <c r="Y10" i="55" a="1"/>
  <c r="Y10" i="55" s="1"/>
  <c r="Y11" i="55" a="1"/>
  <c r="Y11" i="55" s="1"/>
  <c r="Y12" i="55" a="1"/>
  <c r="Y12" i="55" s="1"/>
  <c r="Y13" i="55" a="1"/>
  <c r="Y13" i="55" s="1"/>
  <c r="Y14" i="55" a="1"/>
  <c r="Y14" i="55" s="1"/>
  <c r="Y15" i="55" a="1"/>
  <c r="Y15" i="55" s="1"/>
  <c r="Y16" i="55" a="1"/>
  <c r="Y16" i="55" s="1"/>
  <c r="Y17" i="55" a="1"/>
  <c r="Y17" i="55" s="1"/>
  <c r="E40" i="58"/>
  <c r="F40" i="58"/>
  <c r="G40" i="58"/>
  <c r="E41" i="58"/>
  <c r="F41" i="58"/>
  <c r="G41" i="58"/>
  <c r="E42" i="58"/>
  <c r="F42" i="58"/>
  <c r="G42" i="58"/>
  <c r="E43" i="58"/>
  <c r="F43" i="58"/>
  <c r="G43" i="58"/>
  <c r="E44" i="58"/>
  <c r="F44" i="58"/>
  <c r="G44" i="58"/>
  <c r="E45" i="58"/>
  <c r="F45" i="58"/>
  <c r="G45" i="58"/>
  <c r="E46" i="58"/>
  <c r="F46" i="58"/>
  <c r="G46" i="58"/>
  <c r="E47" i="58"/>
  <c r="F47" i="58"/>
  <c r="G47" i="58"/>
  <c r="E48" i="58"/>
  <c r="F48" i="58"/>
  <c r="G48" i="58"/>
  <c r="E49" i="58"/>
  <c r="F49" i="58"/>
  <c r="G49" i="58"/>
  <c r="H4" i="72" a="1"/>
  <c r="G20" i="72" s="1"/>
  <c r="L30" i="68" a="1"/>
  <c r="L30" i="68" s="1"/>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G3" i="5" a="1"/>
  <c r="G3" i="5" s="1"/>
  <c r="G4" i="5" a="1"/>
  <c r="G4" i="5" s="1"/>
  <c r="G5" i="5" a="1"/>
  <c r="G5" i="5" s="1"/>
  <c r="G6" i="5" a="1"/>
  <c r="G6" i="5" s="1"/>
  <c r="G7" i="5" a="1"/>
  <c r="G7" i="5" s="1"/>
  <c r="G8" i="5" a="1"/>
  <c r="G8" i="5" s="1"/>
  <c r="G9" i="5" a="1"/>
  <c r="G9" i="5" s="1"/>
  <c r="G10" i="5" a="1"/>
  <c r="G10" i="5" s="1"/>
  <c r="G11" i="5" a="1"/>
  <c r="G11" i="5" s="1"/>
  <c r="G12" i="5" a="1"/>
  <c r="G12" i="5" s="1"/>
  <c r="G13" i="5" a="1"/>
  <c r="G13" i="5" s="1"/>
  <c r="G14" i="5" a="1"/>
  <c r="G14" i="5" s="1"/>
  <c r="G15" i="5" a="1"/>
  <c r="G15" i="5" s="1"/>
  <c r="G16" i="5" a="1"/>
  <c r="G16" i="5" s="1"/>
  <c r="G17" i="5" a="1"/>
  <c r="G17" i="5" s="1"/>
  <c r="G18" i="5" a="1"/>
  <c r="G18" i="5" s="1"/>
  <c r="G19" i="5" a="1"/>
  <c r="G19" i="5" s="1"/>
  <c r="G20" i="5" a="1"/>
  <c r="G20" i="5" s="1"/>
  <c r="G21" i="5" a="1"/>
  <c r="G21" i="5" s="1"/>
  <c r="G22" i="5" a="1"/>
  <c r="G22" i="5" s="1"/>
  <c r="G23" i="5" a="1"/>
  <c r="G23" i="5" s="1"/>
  <c r="G24" i="5" a="1"/>
  <c r="G24" i="5" s="1"/>
  <c r="G25" i="5" a="1"/>
  <c r="G25" i="5" s="1"/>
  <c r="G26" i="5" a="1"/>
  <c r="G26" i="5" s="1"/>
  <c r="G27" i="5" a="1"/>
  <c r="G27" i="5" s="1"/>
  <c r="G28" i="5" a="1"/>
  <c r="G28" i="5" s="1"/>
  <c r="G29" i="5" a="1"/>
  <c r="G29" i="5" s="1"/>
  <c r="G30" i="5" a="1"/>
  <c r="G30" i="5" s="1"/>
  <c r="G31" i="5" a="1"/>
  <c r="G31" i="5" s="1"/>
  <c r="G32" i="5" a="1"/>
  <c r="G32" i="5" s="1"/>
  <c r="G33" i="5" a="1"/>
  <c r="G33" i="5" s="1"/>
  <c r="G34" i="5" a="1"/>
  <c r="G34" i="5" s="1"/>
  <c r="G35" i="5" a="1"/>
  <c r="G35" i="5" s="1"/>
  <c r="G36" i="5" a="1"/>
  <c r="G36" i="5" s="1"/>
  <c r="G2" i="5" a="1"/>
  <c r="G2" i="5" s="1"/>
  <c r="J14" i="70"/>
  <c r="K14" i="70" s="1"/>
  <c r="E14" i="70"/>
  <c r="J13" i="70"/>
  <c r="K13" i="70" s="1"/>
  <c r="E13" i="70"/>
  <c r="J12" i="70"/>
  <c r="K12" i="70" s="1"/>
  <c r="E12" i="70"/>
  <c r="J11" i="70"/>
  <c r="K11" i="70" s="1"/>
  <c r="E11" i="70"/>
  <c r="J10" i="70"/>
  <c r="K10" i="70" s="1"/>
  <c r="E10" i="70"/>
  <c r="J9" i="70"/>
  <c r="K9" i="70" s="1"/>
  <c r="E9" i="70"/>
  <c r="J8" i="70"/>
  <c r="K8" i="70" s="1"/>
  <c r="E8" i="70"/>
  <c r="J7" i="70"/>
  <c r="K7" i="70" s="1"/>
  <c r="E7" i="70"/>
  <c r="J6" i="70"/>
  <c r="K6" i="70" s="1"/>
  <c r="E6" i="70"/>
  <c r="J5" i="70"/>
  <c r="K5" i="70" s="1"/>
  <c r="E5" i="70"/>
  <c r="J6" i="69"/>
  <c r="K6" i="69" s="1"/>
  <c r="J7" i="69"/>
  <c r="K7" i="69" s="1"/>
  <c r="J8" i="69"/>
  <c r="K8" i="69" s="1"/>
  <c r="J9" i="69"/>
  <c r="K9" i="69" s="1"/>
  <c r="J10" i="69"/>
  <c r="K10" i="69" s="1"/>
  <c r="J11" i="69"/>
  <c r="K11" i="69" s="1"/>
  <c r="J12" i="69"/>
  <c r="K12" i="69" s="1"/>
  <c r="J13" i="69"/>
  <c r="K13" i="69" s="1"/>
  <c r="J14" i="69"/>
  <c r="K14" i="69" s="1"/>
  <c r="J5" i="69"/>
  <c r="K5" i="69" s="1"/>
  <c r="G5" i="72" l="1"/>
  <c r="G13" i="72"/>
  <c r="G15" i="72"/>
  <c r="G18" i="72"/>
  <c r="G7" i="72"/>
  <c r="G10" i="72"/>
  <c r="G6" i="72"/>
  <c r="G14" i="72"/>
  <c r="G8" i="72"/>
  <c r="G16" i="72"/>
  <c r="G9" i="72"/>
  <c r="G17" i="72"/>
  <c r="G11" i="72"/>
  <c r="G19" i="72"/>
  <c r="H4" i="72"/>
  <c r="G4" i="72" s="1"/>
  <c r="G12" i="72"/>
  <c r="E13" i="69"/>
  <c r="E12" i="69"/>
  <c r="E14" i="69"/>
  <c r="E11" i="69"/>
  <c r="E10" i="69"/>
  <c r="E9" i="69"/>
  <c r="E8" i="69"/>
  <c r="E7" i="69"/>
  <c r="E6" i="69"/>
  <c r="E5" i="69"/>
  <c r="K23" i="72" l="1" a="1"/>
  <c r="K23" i="72" s="1"/>
  <c r="M13" i="68"/>
  <c r="M7" i="68"/>
  <c r="L33" i="68" a="1"/>
  <c r="L33" i="68" s="1"/>
  <c r="K33" i="68"/>
  <c r="N27" i="68" a="1"/>
  <c r="N27" i="68" s="1"/>
  <c r="N24" i="68" a="1"/>
  <c r="N24" i="68" s="1"/>
  <c r="M21" i="68" a="1"/>
  <c r="M21" i="68" s="1"/>
  <c r="M18" i="68" a="1"/>
  <c r="M18" i="68" s="1"/>
  <c r="L10" i="68"/>
  <c r="R6" i="68" a="1"/>
  <c r="R6" i="68" s="1"/>
  <c r="Q6" i="68" a="1"/>
  <c r="Q6" i="68" s="1"/>
  <c r="R74" i="65" l="1"/>
  <c r="S74" i="65" a="1"/>
  <c r="S74" i="65" s="1"/>
  <c r="R14" i="65"/>
  <c r="S14" i="65" a="1"/>
  <c r="S14" i="65" s="1"/>
  <c r="R77" i="65"/>
  <c r="S77" i="65" a="1"/>
  <c r="S77" i="65" s="1"/>
  <c r="R59" i="65"/>
  <c r="S59" i="65" a="1"/>
  <c r="S59" i="65" s="1"/>
  <c r="J1611" i="65"/>
  <c r="R36" i="65"/>
  <c r="S36" i="65" a="1"/>
  <c r="S36" i="65" s="1"/>
  <c r="J282" i="65"/>
  <c r="R8" i="65"/>
  <c r="S8" i="65" a="1"/>
  <c r="S8" i="65" s="1"/>
  <c r="J1650" i="65"/>
  <c r="R13" i="65"/>
  <c r="S13" i="65" a="1"/>
  <c r="S13" i="65" s="1"/>
  <c r="J1604" i="65"/>
  <c r="R45" i="65"/>
  <c r="S45" i="65" a="1"/>
  <c r="S45" i="65" s="1"/>
  <c r="J1607" i="65"/>
  <c r="R11" i="65"/>
  <c r="S11" i="65" a="1"/>
  <c r="S11" i="65" s="1"/>
  <c r="R87" i="65"/>
  <c r="S87" i="65" a="1"/>
  <c r="S87" i="65" s="1"/>
  <c r="J1608" i="65"/>
  <c r="R27" i="65"/>
  <c r="S27" i="65" a="1"/>
  <c r="S27" i="65" s="1"/>
  <c r="J1129" i="65"/>
  <c r="R41" i="65"/>
  <c r="S41" i="65" a="1"/>
  <c r="S41" i="65" s="1"/>
  <c r="J1127" i="65"/>
  <c r="R22" i="65"/>
  <c r="S22" i="65" a="1"/>
  <c r="S22" i="65" s="1"/>
  <c r="J1128" i="65"/>
  <c r="R83" i="65"/>
  <c r="S83" i="65" a="1"/>
  <c r="S83" i="65" s="1"/>
  <c r="J1605" i="65"/>
  <c r="R28" i="65"/>
  <c r="S28" i="65" a="1"/>
  <c r="S28" i="65" s="1"/>
  <c r="R39" i="65"/>
  <c r="S39" i="65" a="1"/>
  <c r="S39" i="65" s="1"/>
  <c r="J1606" i="65"/>
  <c r="R38" i="65"/>
  <c r="S38" i="65" a="1"/>
  <c r="S38" i="65" s="1"/>
  <c r="J1610" i="65"/>
  <c r="R35" i="65"/>
  <c r="S35" i="65" a="1"/>
  <c r="S35" i="65" s="1"/>
  <c r="J1609" i="65"/>
  <c r="R30" i="65"/>
  <c r="S30" i="65" a="1"/>
  <c r="S30" i="65" s="1"/>
  <c r="J280" i="65"/>
  <c r="R91" i="65"/>
  <c r="S91" i="65" a="1"/>
  <c r="S91" i="65" s="1"/>
  <c r="J281" i="65"/>
  <c r="R19" i="65"/>
  <c r="S19" i="65" a="1"/>
  <c r="S19" i="65" s="1"/>
  <c r="R93" i="65"/>
  <c r="S93" i="65" a="1"/>
  <c r="S93" i="65" s="1"/>
  <c r="J1602" i="65"/>
  <c r="R24" i="65"/>
  <c r="S24" i="65" a="1"/>
  <c r="S24" i="65" s="1"/>
  <c r="J1603" i="65"/>
  <c r="R57" i="65"/>
  <c r="S57" i="65" a="1"/>
  <c r="S57" i="65" s="1"/>
  <c r="R79" i="65"/>
  <c r="S79" i="65" a="1"/>
  <c r="S79" i="65" s="1"/>
  <c r="J684" i="65"/>
  <c r="R62" i="65"/>
  <c r="S62" i="65" a="1"/>
  <c r="S62" i="65" s="1"/>
  <c r="R18" i="65"/>
  <c r="S18" i="65" a="1"/>
  <c r="S18" i="65" s="1"/>
  <c r="J82" i="65"/>
  <c r="R34" i="65"/>
  <c r="S34" i="65" a="1"/>
  <c r="S34" i="65" s="1"/>
  <c r="R12" i="65"/>
  <c r="S12" i="65" a="1"/>
  <c r="S12" i="65" s="1"/>
  <c r="J279" i="65"/>
  <c r="R15" i="65"/>
  <c r="S15" i="65" a="1"/>
  <c r="S15" i="65" s="1"/>
  <c r="J278" i="65"/>
  <c r="R89" i="65"/>
  <c r="S89" i="65" a="1"/>
  <c r="S89" i="65" s="1"/>
  <c r="R21" i="65"/>
  <c r="S21" i="65" a="1"/>
  <c r="S21" i="65" s="1"/>
  <c r="J1601" i="65"/>
  <c r="R54" i="65"/>
  <c r="S54" i="65" a="1"/>
  <c r="S54" i="65" s="1"/>
  <c r="J1600" i="65"/>
  <c r="R71" i="65"/>
  <c r="S71" i="65" a="1"/>
  <c r="S71" i="65" s="1"/>
  <c r="J1599" i="65"/>
  <c r="R43" i="65"/>
  <c r="S43" i="65" a="1"/>
  <c r="S43" i="65" s="1"/>
  <c r="R58" i="65"/>
  <c r="S58" i="65" a="1"/>
  <c r="S58" i="65" s="1"/>
  <c r="J1126" i="65"/>
  <c r="R69" i="65"/>
  <c r="S69" i="65" a="1"/>
  <c r="S69" i="65" s="1"/>
  <c r="J277" i="65"/>
  <c r="R66" i="65"/>
  <c r="S66" i="65" a="1"/>
  <c r="S66" i="65" s="1"/>
  <c r="J276" i="65"/>
  <c r="R73" i="65"/>
  <c r="S73" i="65" a="1"/>
  <c r="S73" i="65" s="1"/>
  <c r="J80" i="65"/>
  <c r="R25" i="65"/>
  <c r="S25" i="65" a="1"/>
  <c r="S25" i="65" s="1"/>
  <c r="J81" i="65"/>
  <c r="R31" i="65"/>
  <c r="S31" i="65" a="1"/>
  <c r="S31" i="65" s="1"/>
  <c r="J225" i="65"/>
  <c r="R52" i="65"/>
  <c r="S52" i="65" a="1"/>
  <c r="S52" i="65" s="1"/>
  <c r="J226" i="65"/>
  <c r="R60" i="65"/>
  <c r="S60" i="65" a="1"/>
  <c r="S60" i="65" s="1"/>
  <c r="J227" i="65"/>
  <c r="R51" i="65"/>
  <c r="S51" i="65" a="1"/>
  <c r="S51" i="65" s="1"/>
  <c r="J224" i="65"/>
  <c r="R68" i="65"/>
  <c r="S68" i="65" a="1"/>
  <c r="S68" i="65" s="1"/>
  <c r="R50" i="65"/>
  <c r="S50" i="65" a="1"/>
  <c r="S50" i="65" s="1"/>
  <c r="J1648" i="65"/>
  <c r="R63" i="65"/>
  <c r="S63" i="65" a="1"/>
  <c r="S63" i="65" s="1"/>
  <c r="J1649" i="65"/>
  <c r="R5" i="65"/>
  <c r="S5" i="65" a="1"/>
  <c r="S5" i="65" s="1"/>
  <c r="J228" i="65"/>
  <c r="R92" i="65"/>
  <c r="S92" i="65" a="1"/>
  <c r="S92" i="65" s="1"/>
  <c r="R72" i="65"/>
  <c r="S72" i="65" a="1"/>
  <c r="S72" i="65" s="1"/>
  <c r="J1597" i="65"/>
  <c r="R86" i="65"/>
  <c r="S86" i="65" a="1"/>
  <c r="S86" i="65" s="1"/>
  <c r="J1595" i="65"/>
  <c r="R9" i="65"/>
  <c r="S9" i="65" a="1"/>
  <c r="S9" i="65" s="1"/>
  <c r="J1596" i="65"/>
  <c r="R44" i="65"/>
  <c r="S44" i="65" a="1"/>
  <c r="S44" i="65" s="1"/>
  <c r="J1598" i="65"/>
  <c r="R81" i="65"/>
  <c r="S81" i="65" a="1"/>
  <c r="S81" i="65" s="1"/>
  <c r="R61" i="65"/>
  <c r="S61" i="65" a="1"/>
  <c r="S61" i="65" s="1"/>
  <c r="J271" i="65"/>
  <c r="R78" i="65"/>
  <c r="S78" i="65" a="1"/>
  <c r="S78" i="65" s="1"/>
  <c r="R80" i="65"/>
  <c r="S80" i="65" a="1"/>
  <c r="S80" i="65" s="1"/>
  <c r="R82" i="65"/>
  <c r="S82" i="65" a="1"/>
  <c r="S82" i="65" s="1"/>
  <c r="J273" i="65"/>
  <c r="R29" i="65"/>
  <c r="S29" i="65" a="1"/>
  <c r="S29" i="65" s="1"/>
  <c r="J889" i="65"/>
  <c r="R64" i="65"/>
  <c r="S64" i="65" a="1"/>
  <c r="S64" i="65" s="1"/>
  <c r="J887" i="65"/>
  <c r="R65" i="65"/>
  <c r="S65" i="65" a="1"/>
  <c r="S65" i="65" s="1"/>
  <c r="J888" i="65"/>
  <c r="R32" i="65"/>
  <c r="S32" i="65" a="1"/>
  <c r="S32" i="65" s="1"/>
  <c r="J274" i="65"/>
  <c r="R53" i="65"/>
  <c r="S53" i="65" a="1"/>
  <c r="S53" i="65" s="1"/>
  <c r="J272" i="65"/>
  <c r="R10" i="65"/>
  <c r="S10" i="65" a="1"/>
  <c r="S10" i="65" s="1"/>
  <c r="J275" i="65"/>
  <c r="R33" i="65"/>
  <c r="S33" i="65" a="1"/>
  <c r="S33" i="65" s="1"/>
  <c r="J269" i="65"/>
  <c r="R90" i="65"/>
  <c r="S90" i="65" a="1"/>
  <c r="S90" i="65" s="1"/>
  <c r="J270" i="65"/>
  <c r="R56" i="65"/>
  <c r="S56" i="65" a="1"/>
  <c r="S56" i="65" s="1"/>
  <c r="J79" i="65"/>
  <c r="R42" i="65"/>
  <c r="S42" i="65" a="1"/>
  <c r="S42" i="65" s="1"/>
  <c r="J1647" i="65"/>
  <c r="R16" i="65"/>
  <c r="S16" i="65" a="1"/>
  <c r="S16" i="65" s="1"/>
  <c r="R48" i="65"/>
  <c r="S48" i="65" a="1"/>
  <c r="S48" i="65" s="1"/>
  <c r="J1594" i="65"/>
  <c r="R6" i="65"/>
  <c r="S6" i="65" a="1"/>
  <c r="S6" i="65" s="1"/>
  <c r="J1592" i="65"/>
  <c r="R67" i="65"/>
  <c r="S67" i="65" a="1"/>
  <c r="S67" i="65" s="1"/>
  <c r="R46" i="65"/>
  <c r="S46" i="65" a="1"/>
  <c r="S46" i="65" s="1"/>
  <c r="J1593" i="65"/>
  <c r="R70" i="65"/>
  <c r="S70" i="65" a="1"/>
  <c r="S70" i="65" s="1"/>
  <c r="J1591" i="65"/>
  <c r="R23" i="65"/>
  <c r="S23" i="65" a="1"/>
  <c r="S23" i="65" s="1"/>
  <c r="R49" i="65"/>
  <c r="S49" i="65" a="1"/>
  <c r="S49" i="65" s="1"/>
  <c r="J223" i="65"/>
  <c r="R7" i="65"/>
  <c r="S7" i="65" a="1"/>
  <c r="S7" i="65" s="1"/>
  <c r="J221" i="65"/>
  <c r="R75" i="65"/>
  <c r="S75" i="65" a="1"/>
  <c r="S75" i="65" s="1"/>
  <c r="J222" i="65"/>
  <c r="R20" i="65"/>
  <c r="S20" i="65" a="1"/>
  <c r="S20" i="65" s="1"/>
  <c r="R84" i="65"/>
  <c r="S84" i="65" a="1"/>
  <c r="S84" i="65" s="1"/>
  <c r="J1587" i="65"/>
  <c r="R85" i="65"/>
  <c r="S85" i="65" a="1"/>
  <c r="S85" i="65" s="1"/>
  <c r="J1588" i="65"/>
  <c r="R47" i="65"/>
  <c r="S47" i="65" a="1"/>
  <c r="S47" i="65" s="1"/>
  <c r="R76" i="65"/>
  <c r="S76" i="65" a="1"/>
  <c r="S76" i="65" s="1"/>
  <c r="R37" i="65"/>
  <c r="S37" i="65" a="1"/>
  <c r="S37" i="65" s="1"/>
  <c r="J1589" i="65"/>
  <c r="R88" i="65"/>
  <c r="S88" i="65" a="1"/>
  <c r="S88" i="65" s="1"/>
  <c r="J1590" i="65"/>
  <c r="R55" i="65"/>
  <c r="S55" i="65" a="1"/>
  <c r="S55" i="65" s="1"/>
  <c r="J77" i="65"/>
  <c r="R26" i="65"/>
  <c r="S26" i="65" a="1"/>
  <c r="S26" i="65" s="1"/>
  <c r="J78" i="65"/>
  <c r="R40" i="65"/>
  <c r="S40" i="65" a="1"/>
  <c r="S40" i="65" s="1"/>
  <c r="R17" i="65"/>
  <c r="S17" i="65" a="1"/>
  <c r="S17" i="65" s="1"/>
  <c r="J220" i="65"/>
  <c r="J164" i="65"/>
  <c r="J165" i="65"/>
  <c r="J682" i="65"/>
  <c r="J683" i="65"/>
  <c r="J1123" i="65"/>
  <c r="J1124" i="65"/>
  <c r="J1125" i="65"/>
  <c r="J1122" i="65"/>
  <c r="J1817" i="65"/>
  <c r="J1818" i="65"/>
  <c r="J1816" i="65"/>
  <c r="J1819" i="65"/>
  <c r="J885" i="65"/>
  <c r="J884" i="65"/>
  <c r="J886" i="65"/>
  <c r="J1586" i="65"/>
  <c r="J1813" i="65"/>
  <c r="J1815" i="65"/>
  <c r="J1814" i="65"/>
  <c r="J1121" i="65"/>
  <c r="J1120" i="65"/>
  <c r="J76" i="65"/>
  <c r="J73" i="65"/>
  <c r="J74" i="65"/>
  <c r="J75" i="65"/>
  <c r="J508" i="65"/>
  <c r="J509" i="65"/>
  <c r="J507" i="65"/>
  <c r="J216" i="65"/>
  <c r="J218" i="65"/>
  <c r="J219" i="65"/>
  <c r="J217" i="65"/>
  <c r="J1584" i="65"/>
  <c r="J1585" i="65"/>
  <c r="J72" i="65"/>
  <c r="J266" i="65"/>
  <c r="J267" i="65"/>
  <c r="J268" i="65"/>
  <c r="J1646" i="65"/>
  <c r="J214" i="65"/>
  <c r="J215" i="65"/>
  <c r="J213" i="65"/>
  <c r="J212" i="65"/>
  <c r="J1579" i="65"/>
  <c r="J1583" i="65"/>
  <c r="J1581" i="65"/>
  <c r="J1580" i="65"/>
  <c r="J211" i="65"/>
  <c r="J1582" i="65"/>
  <c r="J1575" i="65"/>
  <c r="J1576" i="65"/>
  <c r="J1578" i="65"/>
  <c r="J1577" i="65"/>
  <c r="J71" i="65"/>
  <c r="J70" i="65"/>
  <c r="J1118" i="65"/>
  <c r="J1117" i="65"/>
  <c r="J1119" i="65"/>
  <c r="J786" i="65"/>
  <c r="J1743" i="65"/>
  <c r="J543" i="65"/>
  <c r="J742" i="65"/>
  <c r="J743" i="65"/>
  <c r="J745" i="65"/>
  <c r="J744" i="65"/>
  <c r="J1569" i="65"/>
  <c r="J1572" i="65"/>
  <c r="J1573" i="65"/>
  <c r="J1570" i="65"/>
  <c r="J1571" i="65"/>
  <c r="J1574" i="65"/>
  <c r="J708" i="65"/>
  <c r="J709" i="65"/>
  <c r="J645" i="65"/>
  <c r="J646" i="65"/>
  <c r="J555" i="65"/>
  <c r="J554" i="65"/>
  <c r="J1534" i="65"/>
  <c r="J1893" i="65"/>
  <c r="J1894" i="65"/>
  <c r="J1892" i="65"/>
  <c r="J334" i="65"/>
  <c r="J335" i="65"/>
  <c r="J1923" i="65"/>
  <c r="J389" i="65"/>
  <c r="J390" i="65"/>
  <c r="J710" i="65"/>
  <c r="J711" i="65"/>
  <c r="J392" i="65"/>
  <c r="J391" i="65"/>
  <c r="J1081" i="65"/>
  <c r="J1697" i="65"/>
  <c r="J1696" i="65"/>
  <c r="J256" i="65"/>
  <c r="J1645" i="65"/>
  <c r="J1179" i="65"/>
  <c r="J1180" i="65"/>
  <c r="J553" i="65"/>
  <c r="J327" i="65"/>
  <c r="J328" i="65"/>
  <c r="J326" i="65"/>
  <c r="J325" i="65"/>
  <c r="J1527" i="65"/>
  <c r="J1528" i="65"/>
  <c r="J1529" i="65"/>
  <c r="J1110" i="65"/>
  <c r="J1108" i="65"/>
  <c r="J1109" i="65"/>
  <c r="J631" i="65"/>
  <c r="J169" i="65"/>
  <c r="J300" i="65"/>
  <c r="J299" i="65"/>
  <c r="J1853" i="65"/>
  <c r="J1530" i="65"/>
  <c r="J1531" i="65"/>
  <c r="J1533" i="65"/>
  <c r="J1532" i="65"/>
  <c r="J1693" i="65"/>
  <c r="J1694" i="65"/>
  <c r="J1695" i="65"/>
  <c r="J361" i="65"/>
  <c r="J362" i="65"/>
  <c r="J360" i="65"/>
  <c r="J1032" i="65"/>
  <c r="J1034" i="65"/>
  <c r="J1033" i="65"/>
  <c r="J1890" i="65"/>
  <c r="J1891" i="65"/>
  <c r="J1431" i="65"/>
  <c r="J834" i="65"/>
  <c r="J368" i="65"/>
  <c r="J209" i="65"/>
  <c r="J210" i="65"/>
  <c r="J1091" i="65"/>
  <c r="J1090" i="65"/>
  <c r="J1088" i="65"/>
  <c r="J1089" i="65"/>
  <c r="J1391" i="65"/>
  <c r="J1390" i="65"/>
  <c r="J1304" i="65"/>
  <c r="J1305" i="65"/>
  <c r="J1306" i="65"/>
  <c r="J1308" i="65"/>
  <c r="J1307" i="65"/>
  <c r="J1036" i="65"/>
  <c r="J1035" i="65"/>
  <c r="J1453" i="65"/>
  <c r="J472" i="65"/>
  <c r="J473" i="65"/>
  <c r="J471" i="65"/>
  <c r="J386" i="65"/>
  <c r="J387" i="65"/>
  <c r="J385" i="65"/>
  <c r="J388" i="65"/>
  <c r="J252" i="65"/>
  <c r="J253" i="65"/>
  <c r="J163" i="65"/>
  <c r="J679" i="65"/>
  <c r="J680" i="65"/>
  <c r="J681" i="65"/>
  <c r="J540" i="65"/>
  <c r="J1919" i="65"/>
  <c r="J1921" i="65"/>
  <c r="J1922" i="65"/>
  <c r="J1920" i="65"/>
  <c r="J586" i="65"/>
  <c r="J587" i="65"/>
  <c r="J588" i="65"/>
  <c r="J1525" i="65"/>
  <c r="J1526" i="65"/>
  <c r="J1003" i="65"/>
  <c r="J1004" i="65"/>
  <c r="J664" i="65"/>
  <c r="J1114" i="65"/>
  <c r="J1115" i="65"/>
  <c r="J1116" i="65"/>
  <c r="J1354" i="65"/>
  <c r="J1353" i="65"/>
  <c r="J1355" i="65"/>
  <c r="J542" i="65"/>
  <c r="J541" i="65"/>
  <c r="J964" i="65"/>
  <c r="J965" i="65"/>
  <c r="J1188" i="65"/>
  <c r="J1189" i="65"/>
  <c r="J14" i="65"/>
  <c r="J60" i="65"/>
  <c r="J536" i="65"/>
  <c r="J538" i="65"/>
  <c r="J539" i="65"/>
  <c r="J537" i="65"/>
  <c r="J1352" i="65"/>
  <c r="J1351" i="65"/>
  <c r="J1303" i="65"/>
  <c r="J1151" i="65"/>
  <c r="J1150" i="65"/>
  <c r="J1908" i="65"/>
  <c r="J1909" i="65"/>
  <c r="J629" i="65"/>
  <c r="J630" i="65"/>
  <c r="J1440" i="65"/>
  <c r="J1441" i="65"/>
  <c r="J1439" i="65"/>
  <c r="J1782" i="65"/>
  <c r="J117" i="65"/>
  <c r="J116" i="65"/>
  <c r="J839" i="65"/>
  <c r="J840" i="65"/>
  <c r="J838" i="65"/>
  <c r="J740" i="65"/>
  <c r="J324" i="65"/>
  <c r="J323" i="65"/>
  <c r="J251" i="65"/>
  <c r="J250" i="65"/>
  <c r="J1707" i="65"/>
  <c r="J1708" i="65"/>
  <c r="J1430" i="65"/>
  <c r="J1429" i="65"/>
  <c r="J467" i="65"/>
  <c r="J465" i="65"/>
  <c r="J466" i="65"/>
  <c r="J1300" i="65"/>
  <c r="J1301" i="65"/>
  <c r="J1302" i="65"/>
  <c r="J1522" i="65"/>
  <c r="J384" i="65"/>
  <c r="J382" i="65"/>
  <c r="J383" i="65"/>
  <c r="J1159" i="65"/>
  <c r="J1158" i="65"/>
  <c r="J1565" i="65"/>
  <c r="J1566" i="65"/>
  <c r="J1568" i="65"/>
  <c r="J1567" i="65"/>
  <c r="J1664" i="65"/>
  <c r="J741" i="65"/>
  <c r="J1524" i="65"/>
  <c r="J1523" i="65"/>
  <c r="J1703" i="65"/>
  <c r="J1720" i="65"/>
  <c r="J1721" i="65"/>
  <c r="J707" i="65"/>
  <c r="J784" i="65"/>
  <c r="J785" i="65"/>
  <c r="J1207" i="65"/>
  <c r="J1208" i="65"/>
  <c r="J457" i="65"/>
  <c r="J456" i="65"/>
  <c r="J458" i="65"/>
  <c r="J464" i="65"/>
  <c r="J462" i="65"/>
  <c r="J459" i="65"/>
  <c r="J461" i="65"/>
  <c r="J463" i="65"/>
  <c r="J460" i="65"/>
  <c r="J1236" i="65"/>
  <c r="J1235" i="65"/>
  <c r="J1107" i="65"/>
  <c r="J678" i="65"/>
  <c r="J676" i="65"/>
  <c r="J677" i="65"/>
  <c r="J738" i="65"/>
  <c r="J739" i="65"/>
  <c r="J1085" i="65"/>
  <c r="J1087" i="65"/>
  <c r="J1086" i="65"/>
  <c r="J843" i="65"/>
  <c r="J842" i="65"/>
  <c r="J249" i="65"/>
  <c r="J248" i="65"/>
  <c r="J606" i="65"/>
  <c r="J841" i="65"/>
  <c r="J58" i="65"/>
  <c r="J59" i="65"/>
  <c r="J194" i="65"/>
  <c r="J195" i="65"/>
  <c r="J196" i="65"/>
  <c r="J193" i="65"/>
  <c r="J12" i="65"/>
  <c r="J13" i="65"/>
  <c r="J1643" i="65"/>
  <c r="J1644" i="65"/>
  <c r="J197" i="65"/>
  <c r="J1022" i="65"/>
  <c r="J644" i="65"/>
  <c r="J1299" i="65"/>
  <c r="J1298" i="65"/>
  <c r="J1297" i="65"/>
  <c r="J1520" i="65"/>
  <c r="J1518" i="65"/>
  <c r="J1519" i="65"/>
  <c r="J1521" i="65"/>
  <c r="J986" i="65"/>
  <c r="J987" i="65"/>
  <c r="J988" i="65"/>
  <c r="J535" i="65"/>
  <c r="J124" i="65"/>
  <c r="J125" i="65"/>
  <c r="J126" i="65"/>
  <c r="J1428" i="65"/>
  <c r="J297" i="65"/>
  <c r="J1780" i="65"/>
  <c r="J1781" i="65"/>
  <c r="J627" i="65"/>
  <c r="J628" i="65"/>
  <c r="J783" i="65"/>
  <c r="J613" i="65"/>
  <c r="J612" i="65"/>
  <c r="J1691" i="65"/>
  <c r="J1692" i="65"/>
  <c r="J1864" i="65"/>
  <c r="J1865" i="65"/>
  <c r="J1389" i="65"/>
  <c r="J1075" i="65"/>
  <c r="J246" i="65"/>
  <c r="J247" i="65"/>
  <c r="J806" i="65"/>
  <c r="J1294" i="65"/>
  <c r="J1295" i="65"/>
  <c r="J1296" i="65"/>
  <c r="J298" i="65"/>
  <c r="J866" i="65"/>
  <c r="J864" i="65"/>
  <c r="J865" i="65"/>
  <c r="J706" i="65"/>
  <c r="J307" i="65"/>
  <c r="J306" i="65"/>
  <c r="J1020" i="65"/>
  <c r="J1021" i="65"/>
  <c r="J244" i="65"/>
  <c r="J243" i="65"/>
  <c r="J245" i="65"/>
  <c r="J585" i="65"/>
  <c r="J583" i="65"/>
  <c r="J584" i="65"/>
  <c r="J928" i="65"/>
  <c r="J1438" i="65"/>
  <c r="J241" i="65"/>
  <c r="J242" i="65"/>
  <c r="J22" i="65"/>
  <c r="J21" i="65"/>
  <c r="J23" i="65"/>
  <c r="J1452" i="65"/>
  <c r="J1451" i="65"/>
  <c r="J505" i="65"/>
  <c r="J506" i="65"/>
  <c r="J504" i="65"/>
  <c r="J1564" i="65"/>
  <c r="J1315" i="65"/>
  <c r="J1316" i="65"/>
  <c r="J1317" i="65"/>
  <c r="J57" i="65"/>
  <c r="J1778" i="65"/>
  <c r="J1779" i="65"/>
  <c r="J162" i="65"/>
  <c r="J1863" i="65"/>
  <c r="J1388" i="65"/>
  <c r="J1387" i="65"/>
  <c r="J625" i="65"/>
  <c r="J626" i="65"/>
  <c r="J705" i="65"/>
  <c r="J1862" i="65"/>
  <c r="J703" i="65"/>
  <c r="J704" i="65"/>
  <c r="J1906" i="65"/>
  <c r="J1907" i="65"/>
  <c r="J1905" i="65"/>
  <c r="J1232" i="65"/>
  <c r="J1233" i="65"/>
  <c r="J984" i="65"/>
  <c r="J985" i="65"/>
  <c r="J883" i="65"/>
  <c r="J113" i="65"/>
  <c r="J114" i="65"/>
  <c r="J115" i="65"/>
  <c r="J534" i="65"/>
  <c r="J1918" i="65"/>
  <c r="J898" i="65"/>
  <c r="J899" i="65"/>
  <c r="J702" i="65"/>
  <c r="J701" i="65"/>
  <c r="J1234" i="65"/>
  <c r="J1742" i="65"/>
  <c r="J1031" i="65"/>
  <c r="J1889" i="65"/>
  <c r="J1642" i="65"/>
  <c r="J963" i="65"/>
  <c r="J737" i="65"/>
  <c r="J1563" i="65"/>
  <c r="J1562" i="65"/>
  <c r="J1230" i="65"/>
  <c r="J1229" i="65"/>
  <c r="J1231" i="65"/>
  <c r="J623" i="65"/>
  <c r="J624" i="65"/>
  <c r="J1350" i="65"/>
  <c r="J1349" i="65"/>
  <c r="J453" i="65"/>
  <c r="J454" i="65"/>
  <c r="J455" i="65"/>
  <c r="J671" i="65"/>
  <c r="J675" i="65"/>
  <c r="J672" i="65"/>
  <c r="J673" i="65"/>
  <c r="J674" i="65"/>
  <c r="J1515" i="65"/>
  <c r="J1514" i="65"/>
  <c r="J1002" i="65"/>
  <c r="J833" i="65"/>
  <c r="J832" i="65"/>
  <c r="J1517" i="65"/>
  <c r="J1516" i="65"/>
  <c r="J1412" i="65"/>
  <c r="J1030" i="65"/>
  <c r="J533" i="65"/>
  <c r="J532" i="65"/>
  <c r="J531" i="65"/>
  <c r="J1687" i="65"/>
  <c r="J1688" i="65"/>
  <c r="J1689" i="65"/>
  <c r="J1690" i="65"/>
  <c r="J374" i="65"/>
  <c r="J1557" i="65"/>
  <c r="J1558" i="65"/>
  <c r="J1556" i="65"/>
  <c r="J1886" i="65"/>
  <c r="J1888" i="65"/>
  <c r="J1887" i="65"/>
  <c r="J736" i="65"/>
  <c r="J983" i="65"/>
  <c r="J982" i="65"/>
  <c r="J611" i="65"/>
  <c r="J1916" i="65"/>
  <c r="J1917" i="65"/>
  <c r="J938" i="65"/>
  <c r="J939" i="65"/>
  <c r="J937" i="65"/>
  <c r="J1291" i="65"/>
  <c r="J1292" i="65"/>
  <c r="J111" i="65"/>
  <c r="J112" i="65"/>
  <c r="J192" i="65"/>
  <c r="J1293" i="65"/>
  <c r="J1904" i="65"/>
  <c r="J1903" i="65"/>
  <c r="J1510" i="65"/>
  <c r="J1511" i="65"/>
  <c r="J1512" i="65"/>
  <c r="J1513" i="65"/>
  <c r="J36" i="65"/>
  <c r="J37" i="65"/>
  <c r="J190" i="65"/>
  <c r="J191" i="65"/>
  <c r="J1561" i="65"/>
  <c r="J1559" i="65"/>
  <c r="J1560" i="65"/>
  <c r="J55" i="65"/>
  <c r="J56" i="65"/>
  <c r="J1626" i="65"/>
  <c r="J1628" i="65"/>
  <c r="J1629" i="65"/>
  <c r="J1627" i="65"/>
  <c r="J621" i="65"/>
  <c r="J622" i="65"/>
  <c r="J620" i="65"/>
  <c r="J1901" i="65"/>
  <c r="J1902" i="65"/>
  <c r="J146" i="65"/>
  <c r="J147" i="65"/>
  <c r="J189" i="65"/>
  <c r="J109" i="65"/>
  <c r="J110" i="65"/>
  <c r="J662" i="65"/>
  <c r="J663" i="65"/>
  <c r="J1314" i="65"/>
  <c r="J1313" i="65"/>
  <c r="J1104" i="65"/>
  <c r="J1105" i="65"/>
  <c r="J1106" i="65"/>
  <c r="J1103" i="65"/>
  <c r="J548" i="65"/>
  <c r="J547" i="65"/>
  <c r="J837" i="65"/>
  <c r="J836" i="65"/>
  <c r="J835" i="65"/>
  <c r="J1408" i="65"/>
  <c r="J1409" i="65"/>
  <c r="J1411" i="65"/>
  <c r="J1410" i="65"/>
  <c r="J581" i="65"/>
  <c r="J582" i="65"/>
  <c r="J926" i="65"/>
  <c r="J927" i="65"/>
  <c r="J1113" i="65"/>
  <c r="J670" i="65"/>
  <c r="J530" i="65"/>
  <c r="J1288" i="65"/>
  <c r="J1287" i="65"/>
  <c r="J1289" i="65"/>
  <c r="J1290" i="65"/>
  <c r="J830" i="65"/>
  <c r="J831" i="65"/>
  <c r="J1801" i="65"/>
  <c r="J1802" i="65"/>
  <c r="J1800" i="65"/>
  <c r="J1347" i="65"/>
  <c r="J1348" i="65"/>
  <c r="J1741" i="65"/>
  <c r="J1738" i="65"/>
  <c r="J1740" i="65"/>
  <c r="J1739" i="65"/>
  <c r="J340" i="65"/>
  <c r="J1799" i="65"/>
  <c r="J1178" i="65"/>
  <c r="J1683" i="65"/>
  <c r="J1682" i="65"/>
  <c r="J1681" i="65"/>
  <c r="J803" i="65"/>
  <c r="J804" i="65"/>
  <c r="J805" i="65"/>
  <c r="J1450" i="65"/>
  <c r="J1447" i="65"/>
  <c r="J1448" i="65"/>
  <c r="J1449" i="65"/>
  <c r="J1149" i="65"/>
  <c r="J1148" i="65"/>
  <c r="J108" i="65"/>
  <c r="J107" i="65"/>
  <c r="J981" i="65"/>
  <c r="J1685" i="65"/>
  <c r="J1684" i="65"/>
  <c r="J1686" i="65"/>
  <c r="J1752" i="65"/>
  <c r="J641" i="65"/>
  <c r="J1749" i="65"/>
  <c r="J1748" i="65"/>
  <c r="J1751" i="65"/>
  <c r="J1750" i="65"/>
  <c r="J11" i="65"/>
  <c r="J10" i="65"/>
  <c r="J450" i="65"/>
  <c r="J448" i="65"/>
  <c r="J451" i="65"/>
  <c r="J449" i="65"/>
  <c r="J452" i="65"/>
  <c r="J447" i="65"/>
  <c r="J161" i="65"/>
  <c r="J1286" i="65"/>
  <c r="J1285" i="65"/>
  <c r="J862" i="65"/>
  <c r="J861" i="65"/>
  <c r="J863" i="65"/>
  <c r="J304" i="65"/>
  <c r="J305" i="65"/>
  <c r="J1760" i="65"/>
  <c r="J1759" i="65"/>
  <c r="J1662" i="65"/>
  <c r="J1663" i="65"/>
  <c r="J1073" i="65"/>
  <c r="J1074" i="65"/>
  <c r="J733" i="65"/>
  <c r="J732" i="65"/>
  <c r="J735" i="65"/>
  <c r="J734" i="65"/>
  <c r="J1796" i="65"/>
  <c r="J1798" i="65"/>
  <c r="J1797" i="65"/>
  <c r="J1509" i="65"/>
  <c r="J367" i="65"/>
  <c r="J1385" i="65"/>
  <c r="J1386" i="65"/>
  <c r="J1384" i="65"/>
  <c r="J828" i="65"/>
  <c r="J827" i="65"/>
  <c r="J829" i="65"/>
  <c r="J1019" i="65"/>
  <c r="J1346" i="65"/>
  <c r="J960" i="65"/>
  <c r="J962" i="65"/>
  <c r="J961" i="65"/>
  <c r="J959" i="65"/>
  <c r="J901" i="65"/>
  <c r="J1701" i="65"/>
  <c r="J1702" i="65"/>
  <c r="J1102" i="65"/>
  <c r="J1101" i="65"/>
  <c r="J1407" i="65"/>
  <c r="J54" i="65"/>
  <c r="J979" i="65"/>
  <c r="J980" i="65"/>
  <c r="J1625" i="65"/>
  <c r="J1624" i="65"/>
  <c r="J1861" i="65"/>
  <c r="J895" i="65"/>
  <c r="J894" i="65"/>
  <c r="J1858" i="65"/>
  <c r="J1859" i="65"/>
  <c r="J1860" i="65"/>
  <c r="J366" i="65"/>
  <c r="J801" i="65"/>
  <c r="J802" i="65"/>
  <c r="J825" i="65"/>
  <c r="J826" i="65"/>
  <c r="J1622" i="65"/>
  <c r="J1623" i="65"/>
  <c r="J1793" i="65"/>
  <c r="J1794" i="65"/>
  <c r="J1795" i="65"/>
  <c r="J160" i="65"/>
  <c r="J159" i="65"/>
  <c r="J441" i="65"/>
  <c r="J1206" i="65"/>
  <c r="J1639" i="65"/>
  <c r="J1638" i="65"/>
  <c r="J498" i="65"/>
  <c r="J499" i="65"/>
  <c r="J500" i="65"/>
  <c r="J1914" i="65"/>
  <c r="J1915" i="65"/>
  <c r="J67" i="65"/>
  <c r="J69" i="65"/>
  <c r="J68" i="65"/>
  <c r="J1706" i="65"/>
  <c r="J860" i="65"/>
  <c r="J643" i="65"/>
  <c r="J642" i="65"/>
  <c r="J957" i="65"/>
  <c r="J958" i="65"/>
  <c r="J686" i="65"/>
  <c r="J1228" i="65"/>
  <c r="J1227" i="65"/>
  <c r="J303" i="65"/>
  <c r="J1017" i="65"/>
  <c r="J1018" i="65"/>
  <c r="J1554" i="65"/>
  <c r="J1552" i="65"/>
  <c r="J1551" i="65"/>
  <c r="J1555" i="65"/>
  <c r="J1553" i="65"/>
  <c r="J800" i="65"/>
  <c r="J799" i="65"/>
  <c r="J798" i="65"/>
  <c r="J925" i="65"/>
  <c r="J1851" i="65"/>
  <c r="J1852" i="65"/>
  <c r="J700" i="65"/>
  <c r="J699" i="65"/>
  <c r="J444" i="65"/>
  <c r="J445" i="65"/>
  <c r="J446" i="65"/>
  <c r="J698" i="65"/>
  <c r="J443" i="65"/>
  <c r="J442" i="65"/>
  <c r="J1505" i="65"/>
  <c r="J1507" i="65"/>
  <c r="J1506" i="65"/>
  <c r="J1508" i="65"/>
  <c r="J1680" i="65"/>
  <c r="J53" i="65"/>
  <c r="J50" i="65"/>
  <c r="J51" i="65"/>
  <c r="J52" i="65"/>
  <c r="J1777" i="65"/>
  <c r="J1775" i="65"/>
  <c r="J1776" i="65"/>
  <c r="J529" i="65"/>
  <c r="J528" i="65"/>
  <c r="J1812" i="65"/>
  <c r="J1810" i="65"/>
  <c r="J1811" i="65"/>
  <c r="J20" i="65"/>
  <c r="J1028" i="65"/>
  <c r="J1029" i="65"/>
  <c r="J1027" i="65"/>
  <c r="J524" i="65"/>
  <c r="J525" i="65"/>
  <c r="J527" i="65"/>
  <c r="J526" i="65"/>
  <c r="J1284" i="65"/>
  <c r="J1145" i="65"/>
  <c r="J1147" i="65"/>
  <c r="J1146" i="65"/>
  <c r="J1345" i="65"/>
  <c r="J1344" i="65"/>
  <c r="J496" i="65"/>
  <c r="J497" i="65"/>
  <c r="J495" i="65"/>
  <c r="J440" i="65"/>
  <c r="J439" i="65"/>
  <c r="J380" i="65"/>
  <c r="J381" i="65"/>
  <c r="J1383" i="65"/>
  <c r="J1382" i="65"/>
  <c r="J1426" i="65"/>
  <c r="J1427" i="65"/>
  <c r="J1425" i="65"/>
  <c r="J1423" i="65"/>
  <c r="J1424" i="65"/>
  <c r="J1660" i="65"/>
  <c r="J1661" i="65"/>
  <c r="J1503" i="65"/>
  <c r="J1504" i="65"/>
  <c r="J1079" i="65"/>
  <c r="J1080" i="65"/>
  <c r="J185" i="65"/>
  <c r="J187" i="65"/>
  <c r="J188" i="65"/>
  <c r="J186" i="65"/>
  <c r="J1281" i="65"/>
  <c r="J1282" i="65"/>
  <c r="J1283" i="65"/>
  <c r="J552" i="65"/>
  <c r="J1176" i="65"/>
  <c r="J1175" i="65"/>
  <c r="J1177" i="65"/>
  <c r="J1882" i="65"/>
  <c r="J1885" i="65"/>
  <c r="J1883" i="65"/>
  <c r="J1884" i="65"/>
  <c r="J667" i="65"/>
  <c r="J668" i="65"/>
  <c r="J669" i="65"/>
  <c r="J1850" i="65"/>
  <c r="J1849" i="65"/>
  <c r="J935" i="65"/>
  <c r="J936" i="65"/>
  <c r="J782" i="65"/>
  <c r="J781" i="65"/>
  <c r="J322" i="65"/>
  <c r="J320" i="65"/>
  <c r="J321" i="65"/>
  <c r="J636" i="65"/>
  <c r="J638" i="65"/>
  <c r="J637" i="65"/>
  <c r="J730" i="65"/>
  <c r="J731" i="65"/>
  <c r="J1641" i="65"/>
  <c r="J49" i="65"/>
  <c r="J238" i="65"/>
  <c r="J239" i="65"/>
  <c r="J240" i="65"/>
  <c r="J1826" i="65"/>
  <c r="J976" i="65"/>
  <c r="J977" i="65"/>
  <c r="J978" i="65"/>
  <c r="J182" i="65"/>
  <c r="J183" i="65"/>
  <c r="J181" i="65"/>
  <c r="J318" i="65"/>
  <c r="J319" i="65"/>
  <c r="J1550" i="65"/>
  <c r="J640" i="65"/>
  <c r="J639" i="65"/>
  <c r="J1226" i="65"/>
  <c r="J105" i="65"/>
  <c r="J106" i="65"/>
  <c r="J104" i="65"/>
  <c r="J1224" i="65"/>
  <c r="J1223" i="65"/>
  <c r="J1225" i="65"/>
  <c r="J184" i="65"/>
  <c r="J206" i="65"/>
  <c r="J208" i="65"/>
  <c r="J207" i="65"/>
  <c r="J1700" i="65"/>
  <c r="J1204" i="65"/>
  <c r="J1205" i="65"/>
  <c r="J1065" i="65"/>
  <c r="J488" i="65"/>
  <c r="J1499" i="65"/>
  <c r="J1502" i="65"/>
  <c r="J1501" i="65"/>
  <c r="J1500" i="65"/>
  <c r="J881" i="65"/>
  <c r="J882" i="65"/>
  <c r="J780" i="65"/>
  <c r="J1280" i="65"/>
  <c r="J1494" i="65"/>
  <c r="J180" i="65"/>
  <c r="J579" i="65"/>
  <c r="J580" i="65"/>
  <c r="J824" i="65"/>
  <c r="J822" i="65"/>
  <c r="J823" i="65"/>
  <c r="J897" i="65"/>
  <c r="J896" i="65"/>
  <c r="J264" i="65"/>
  <c r="J265" i="65"/>
  <c r="J1496" i="65"/>
  <c r="J1497" i="65"/>
  <c r="J1498" i="65"/>
  <c r="J1311" i="65"/>
  <c r="J1312" i="65"/>
  <c r="J1310" i="65"/>
  <c r="J878" i="65"/>
  <c r="J879" i="65"/>
  <c r="J880" i="65"/>
  <c r="J1495" i="65"/>
  <c r="J48" i="65"/>
  <c r="J47" i="65"/>
  <c r="J550" i="65"/>
  <c r="J551" i="65"/>
  <c r="J1273" i="65"/>
  <c r="J1274" i="65"/>
  <c r="J1275" i="65"/>
  <c r="J1276" i="65"/>
  <c r="J9" i="65"/>
  <c r="J8" i="65"/>
  <c r="J1099" i="65"/>
  <c r="J1098" i="65"/>
  <c r="J1100" i="65"/>
  <c r="J522" i="65"/>
  <c r="J523" i="65"/>
  <c r="J438" i="65"/>
  <c r="J437" i="65"/>
  <c r="J436" i="65"/>
  <c r="J1488" i="65"/>
  <c r="J1489" i="65"/>
  <c r="J1490" i="65"/>
  <c r="J1491" i="65"/>
  <c r="J1492" i="65"/>
  <c r="J1493" i="65"/>
  <c r="J749" i="65"/>
  <c r="J778" i="65"/>
  <c r="J779" i="65"/>
  <c r="J777" i="65"/>
  <c r="J1899" i="65"/>
  <c r="J1900" i="65"/>
  <c r="J1898" i="65"/>
  <c r="J975" i="65"/>
  <c r="J973" i="65"/>
  <c r="J974" i="65"/>
  <c r="J7" i="65"/>
  <c r="J1072" i="65"/>
  <c r="J1881" i="65"/>
  <c r="J502" i="65"/>
  <c r="J503" i="65"/>
  <c r="J1279" i="65"/>
  <c r="J1278" i="65"/>
  <c r="J1277" i="65"/>
  <c r="J1174" i="65"/>
  <c r="J1774" i="65"/>
  <c r="J1773" i="65"/>
  <c r="J103" i="65"/>
  <c r="J178" i="65"/>
  <c r="J179" i="65"/>
  <c r="J635" i="65"/>
  <c r="J697" i="65"/>
  <c r="J696" i="65"/>
  <c r="J35" i="65"/>
  <c r="J34" i="65"/>
  <c r="J33" i="65"/>
  <c r="J373" i="65"/>
  <c r="J797" i="65"/>
  <c r="J145" i="65"/>
  <c r="J659" i="65"/>
  <c r="J660" i="65"/>
  <c r="J661" i="65"/>
  <c r="J1143" i="65"/>
  <c r="J1144" i="65"/>
  <c r="J204" i="65"/>
  <c r="J205" i="65"/>
  <c r="J1112" i="65"/>
  <c r="J1737" i="65"/>
  <c r="J1736" i="65"/>
  <c r="J101" i="65"/>
  <c r="J102" i="65"/>
  <c r="J31" i="65"/>
  <c r="J32" i="65"/>
  <c r="J1095" i="65"/>
  <c r="J1096" i="65"/>
  <c r="J1097" i="65"/>
  <c r="J545" i="65"/>
  <c r="J546" i="65"/>
  <c r="J544" i="65"/>
  <c r="J358" i="65"/>
  <c r="J359" i="65"/>
  <c r="J578" i="65"/>
  <c r="J1422" i="65"/>
  <c r="J573" i="65"/>
  <c r="J574" i="65"/>
  <c r="J605" i="65"/>
  <c r="J604" i="65"/>
  <c r="J434" i="65"/>
  <c r="J435" i="65"/>
  <c r="J1896" i="65"/>
  <c r="J1897" i="65"/>
  <c r="J1895" i="65"/>
  <c r="J998" i="65"/>
  <c r="J577" i="65"/>
  <c r="J575" i="65"/>
  <c r="J576" i="65"/>
  <c r="J1001" i="65"/>
  <c r="J1000" i="65"/>
  <c r="J999" i="65"/>
  <c r="J1547" i="65"/>
  <c r="J1549" i="65"/>
  <c r="J1548" i="65"/>
  <c r="J1809" i="65"/>
  <c r="J1808" i="65"/>
  <c r="J1484" i="65"/>
  <c r="J1485" i="65"/>
  <c r="J1487" i="65"/>
  <c r="J1486" i="65"/>
  <c r="J776" i="65"/>
  <c r="J158" i="65"/>
  <c r="J157" i="65"/>
  <c r="J66" i="65"/>
  <c r="J65" i="65"/>
  <c r="J1546" i="65"/>
  <c r="J1545" i="65"/>
  <c r="J876" i="65"/>
  <c r="J877" i="65"/>
  <c r="J356" i="65"/>
  <c r="J357" i="65"/>
  <c r="J100" i="65"/>
  <c r="J99" i="65"/>
  <c r="J658" i="65"/>
  <c r="J656" i="65"/>
  <c r="J657" i="65"/>
  <c r="J1222" i="65"/>
  <c r="J1221" i="65"/>
  <c r="J1406" i="65"/>
  <c r="J1405" i="65"/>
  <c r="J634" i="65"/>
  <c r="J1271" i="65"/>
  <c r="J1272" i="65"/>
  <c r="J1270" i="65"/>
  <c r="J1637" i="65"/>
  <c r="J1636" i="65"/>
  <c r="J773" i="65"/>
  <c r="J775" i="65"/>
  <c r="J774" i="65"/>
  <c r="J1203" i="65"/>
  <c r="J1202" i="65"/>
  <c r="J6" i="65"/>
  <c r="J5" i="65"/>
  <c r="J875" i="65"/>
  <c r="J971" i="65"/>
  <c r="J972" i="65"/>
  <c r="J1857" i="65"/>
  <c r="J155" i="65"/>
  <c r="J156" i="65"/>
  <c r="J154" i="65"/>
  <c r="J1026" i="65"/>
  <c r="J1025" i="65"/>
  <c r="J355" i="65"/>
  <c r="J354" i="65"/>
  <c r="J1848" i="65"/>
  <c r="J1219" i="65"/>
  <c r="J1218" i="65"/>
  <c r="J1220" i="65"/>
  <c r="J729" i="65"/>
  <c r="J262" i="65"/>
  <c r="J1483" i="65"/>
  <c r="J493" i="65"/>
  <c r="J494" i="65"/>
  <c r="J492" i="65"/>
  <c r="J1014" i="65"/>
  <c r="J1015" i="65"/>
  <c r="J1016" i="65"/>
  <c r="J97" i="65"/>
  <c r="J98" i="65"/>
  <c r="J144" i="65"/>
  <c r="J619" i="65"/>
  <c r="J1705" i="65"/>
  <c r="J1704" i="65"/>
  <c r="J821" i="65"/>
  <c r="J352" i="65"/>
  <c r="J353" i="65"/>
  <c r="J433" i="65"/>
  <c r="J431" i="65"/>
  <c r="J432" i="65"/>
  <c r="J859" i="65"/>
  <c r="J892" i="65"/>
  <c r="J893" i="65"/>
  <c r="J19" i="65"/>
  <c r="J18" i="65"/>
  <c r="J17" i="65"/>
  <c r="J923" i="65"/>
  <c r="J924" i="65"/>
  <c r="J922" i="65"/>
  <c r="J1880" i="65"/>
  <c r="J1879" i="65"/>
  <c r="J1878" i="65"/>
  <c r="J572" i="65"/>
  <c r="J570" i="65"/>
  <c r="J571" i="65"/>
  <c r="J568" i="65"/>
  <c r="J569" i="65"/>
  <c r="J794" i="65"/>
  <c r="J796" i="65"/>
  <c r="J793" i="65"/>
  <c r="J795" i="65"/>
  <c r="J1403" i="65"/>
  <c r="J1404" i="65"/>
  <c r="J261" i="65"/>
  <c r="J263" i="65"/>
  <c r="J1476" i="65"/>
  <c r="J1475" i="65"/>
  <c r="J1060" i="65"/>
  <c r="J1062" i="65"/>
  <c r="J1061" i="65"/>
  <c r="J1063" i="65"/>
  <c r="J1064" i="65"/>
  <c r="J651" i="65"/>
  <c r="J654" i="65"/>
  <c r="J652" i="65"/>
  <c r="J653" i="65"/>
  <c r="J655" i="65"/>
  <c r="J872" i="65"/>
  <c r="J874" i="65"/>
  <c r="J873" i="65"/>
  <c r="J259" i="65"/>
  <c r="J260" i="65"/>
  <c r="J501" i="65"/>
  <c r="J1719" i="65"/>
  <c r="J1911" i="65"/>
  <c r="J1912" i="65"/>
  <c r="J1913" i="65"/>
  <c r="J1481" i="65"/>
  <c r="J1482" i="65"/>
  <c r="J1480" i="65"/>
  <c r="J728" i="65"/>
  <c r="J123" i="65"/>
  <c r="J122" i="65"/>
  <c r="J121" i="65"/>
  <c r="J1746" i="65"/>
  <c r="J1747" i="65"/>
  <c r="J371" i="65"/>
  <c r="J372" i="65"/>
  <c r="J603" i="65"/>
  <c r="J602" i="65"/>
  <c r="J1056" i="65"/>
  <c r="J1057" i="65"/>
  <c r="J1058" i="65"/>
  <c r="J1059" i="65"/>
  <c r="J1539" i="65"/>
  <c r="J294" i="65"/>
  <c r="J295" i="65"/>
  <c r="J1479" i="65"/>
  <c r="J1477" i="65"/>
  <c r="J1478" i="65"/>
  <c r="J727" i="65"/>
  <c r="J1772" i="65"/>
  <c r="J1540" i="65"/>
  <c r="J1544" i="65"/>
  <c r="J1541" i="65"/>
  <c r="J1542" i="65"/>
  <c r="J1543" i="65"/>
  <c r="J296" i="65"/>
  <c r="J1171" i="65"/>
  <c r="J1173" i="65"/>
  <c r="J1172" i="65"/>
  <c r="J1342" i="65"/>
  <c r="J1343" i="65"/>
  <c r="J1770" i="65"/>
  <c r="J1771" i="65"/>
  <c r="J920" i="65"/>
  <c r="J921" i="65"/>
  <c r="J1094" i="65"/>
  <c r="J120" i="65"/>
  <c r="J119" i="65"/>
  <c r="J650" i="65"/>
  <c r="J1054" i="65"/>
  <c r="J1055" i="65"/>
  <c r="J428" i="65"/>
  <c r="J429" i="65"/>
  <c r="J430" i="65"/>
  <c r="J258" i="65"/>
  <c r="J257" i="65"/>
  <c r="J1341" i="65"/>
  <c r="J1340" i="65"/>
  <c r="J1856" i="65"/>
  <c r="J1269" i="65"/>
  <c r="J1381" i="65"/>
  <c r="J1201" i="65"/>
  <c r="J1199" i="65"/>
  <c r="J1200" i="65"/>
  <c r="J63" i="65"/>
  <c r="J64" i="65"/>
  <c r="J427" i="65"/>
  <c r="J426" i="65"/>
  <c r="J934" i="65"/>
  <c r="J933" i="65"/>
  <c r="J1846" i="65"/>
  <c r="J1847" i="65"/>
  <c r="J143" i="65"/>
  <c r="J487" i="65"/>
  <c r="J1142" i="65"/>
  <c r="J1141" i="65"/>
  <c r="J1754" i="65"/>
  <c r="J1753" i="65"/>
  <c r="J1755" i="65"/>
  <c r="J1070" i="65"/>
  <c r="J1069" i="65"/>
  <c r="J1071" i="65"/>
  <c r="J1068" i="65"/>
  <c r="J1733" i="65"/>
  <c r="J1735" i="65"/>
  <c r="J1734" i="65"/>
  <c r="J1756" i="65"/>
  <c r="J1757" i="65"/>
  <c r="J1758" i="65"/>
  <c r="J900" i="65"/>
  <c r="J95" i="65"/>
  <c r="J96" i="65"/>
  <c r="J94" i="65"/>
  <c r="J1402" i="65"/>
  <c r="J870" i="65"/>
  <c r="J871" i="65"/>
  <c r="J30" i="65"/>
  <c r="J153" i="65"/>
  <c r="J151" i="65"/>
  <c r="J152" i="65"/>
  <c r="J1052" i="65"/>
  <c r="J1053" i="65"/>
  <c r="J1050" i="65"/>
  <c r="J1051" i="65"/>
  <c r="J142" i="65"/>
  <c r="J141" i="65"/>
  <c r="J770" i="65"/>
  <c r="J772" i="65"/>
  <c r="J771" i="65"/>
  <c r="J1339" i="65"/>
  <c r="J202" i="65"/>
  <c r="J203" i="65"/>
  <c r="J868" i="65"/>
  <c r="J869" i="65"/>
  <c r="J1264" i="65"/>
  <c r="J1265" i="65"/>
  <c r="J1263" i="65"/>
  <c r="J1266" i="65"/>
  <c r="J1635" i="65"/>
  <c r="J1380" i="65"/>
  <c r="J1379" i="65"/>
  <c r="J44" i="65"/>
  <c r="J46" i="65"/>
  <c r="J45" i="65"/>
  <c r="J567" i="65"/>
  <c r="J520" i="65"/>
  <c r="J521" i="65"/>
  <c r="J61" i="65"/>
  <c r="J62" i="65"/>
  <c r="J914" i="65"/>
  <c r="J915" i="65"/>
  <c r="J916" i="65"/>
  <c r="J917" i="65"/>
  <c r="J617" i="65"/>
  <c r="J618" i="65"/>
  <c r="J616" i="65"/>
  <c r="J601" i="65"/>
  <c r="J599" i="65"/>
  <c r="J600" i="65"/>
  <c r="J919" i="65"/>
  <c r="J918" i="65"/>
  <c r="J726" i="65"/>
  <c r="J725" i="65"/>
  <c r="J1138" i="65"/>
  <c r="J1140" i="65"/>
  <c r="J1139" i="65"/>
  <c r="J1137" i="65"/>
  <c r="J1473" i="65"/>
  <c r="J1471" i="65"/>
  <c r="J1470" i="65"/>
  <c r="J1474" i="65"/>
  <c r="J1472" i="65"/>
  <c r="J1843" i="65"/>
  <c r="J1842" i="65"/>
  <c r="J1845" i="65"/>
  <c r="J1844" i="65"/>
  <c r="J1841" i="65"/>
  <c r="J1621" i="65"/>
  <c r="J1718" i="65"/>
  <c r="J1620" i="65"/>
  <c r="J997" i="65"/>
  <c r="J996" i="65"/>
  <c r="J1267" i="65"/>
  <c r="J1268" i="65"/>
  <c r="J692" i="65"/>
  <c r="J693" i="65"/>
  <c r="J694" i="65"/>
  <c r="J695" i="65"/>
  <c r="J1792" i="65"/>
  <c r="J1790" i="65"/>
  <c r="J1791" i="65"/>
  <c r="J201" i="65"/>
  <c r="J820" i="65"/>
  <c r="J1258" i="65"/>
  <c r="J1259" i="65"/>
  <c r="J1260" i="65"/>
  <c r="J1261" i="65"/>
  <c r="J291" i="65"/>
  <c r="J293" i="65"/>
  <c r="J292" i="65"/>
  <c r="J955" i="65"/>
  <c r="J956" i="65"/>
  <c r="J518" i="65"/>
  <c r="J519" i="65"/>
  <c r="J27" i="65"/>
  <c r="J29" i="65"/>
  <c r="J28" i="65"/>
  <c r="J1084" i="65"/>
  <c r="J1419" i="65"/>
  <c r="J1421" i="65"/>
  <c r="J1420" i="65"/>
  <c r="J423" i="65"/>
  <c r="J425" i="65"/>
  <c r="J424" i="65"/>
  <c r="J422" i="65"/>
  <c r="J421" i="65"/>
  <c r="J289" i="65"/>
  <c r="J290" i="65"/>
  <c r="J1807" i="65"/>
  <c r="J1806" i="65"/>
  <c r="J1839" i="65"/>
  <c r="J1840" i="65"/>
  <c r="J1136" i="65"/>
  <c r="J1168" i="65"/>
  <c r="J1170" i="65"/>
  <c r="J1169" i="65"/>
  <c r="J379" i="65"/>
  <c r="J647" i="65"/>
  <c r="J648" i="65"/>
  <c r="J649" i="65"/>
  <c r="J1023" i="65"/>
  <c r="J1024" i="65"/>
  <c r="J93" i="65"/>
  <c r="J1262" i="65"/>
  <c r="J912" i="65"/>
  <c r="J913" i="65"/>
  <c r="J1730" i="65"/>
  <c r="J1731" i="65"/>
  <c r="J1732" i="65"/>
  <c r="J819" i="65"/>
  <c r="J818" i="65"/>
  <c r="J301" i="65"/>
  <c r="J302" i="65"/>
  <c r="J769" i="65"/>
  <c r="J317" i="65"/>
  <c r="J316" i="65"/>
  <c r="J1446" i="65"/>
  <c r="J1157" i="65"/>
  <c r="J118" i="65"/>
  <c r="J1078" i="65"/>
  <c r="J1077" i="65"/>
  <c r="J1076" i="65"/>
  <c r="J1469" i="65"/>
  <c r="J350" i="65"/>
  <c r="J351" i="65"/>
  <c r="J349" i="65"/>
  <c r="J1537" i="65"/>
  <c r="J1535" i="65"/>
  <c r="J1538" i="65"/>
  <c r="J1536" i="65"/>
  <c r="J1111" i="65"/>
  <c r="J1873" i="65"/>
  <c r="J1874" i="65"/>
  <c r="J484" i="65"/>
  <c r="J485" i="65"/>
  <c r="J486" i="65"/>
  <c r="J25" i="65"/>
  <c r="J26" i="65"/>
  <c r="J1049" i="65"/>
  <c r="J175" i="65"/>
  <c r="J177" i="65"/>
  <c r="J176" i="65"/>
  <c r="J1875" i="65"/>
  <c r="J1877" i="65"/>
  <c r="J1876" i="65"/>
  <c r="J857" i="65"/>
  <c r="J858" i="65"/>
  <c r="J954" i="65"/>
  <c r="J953" i="65"/>
  <c r="J768" i="65"/>
  <c r="J767" i="65"/>
  <c r="J236" i="65"/>
  <c r="J237" i="65"/>
  <c r="J891" i="65"/>
  <c r="J890" i="65"/>
  <c r="J723" i="65"/>
  <c r="J724" i="65"/>
  <c r="J854" i="65"/>
  <c r="J855" i="65"/>
  <c r="J856" i="65"/>
  <c r="J1167" i="65"/>
  <c r="J1166" i="65"/>
  <c r="J333" i="65"/>
  <c r="J597" i="65"/>
  <c r="J598" i="65"/>
  <c r="J1745" i="65"/>
  <c r="J911" i="65"/>
  <c r="J910" i="65"/>
  <c r="J909" i="65"/>
  <c r="J1679" i="65"/>
  <c r="J1678" i="65"/>
  <c r="J1677" i="65"/>
  <c r="J722" i="65"/>
  <c r="J721" i="65"/>
  <c r="J720" i="65"/>
  <c r="J717" i="65"/>
  <c r="J718" i="65"/>
  <c r="J719" i="65"/>
  <c r="J566" i="65"/>
  <c r="J287" i="65"/>
  <c r="J288" i="65"/>
  <c r="J968" i="65"/>
  <c r="J970" i="65"/>
  <c r="J969" i="65"/>
  <c r="J149" i="65"/>
  <c r="J150" i="65"/>
  <c r="J1216" i="65"/>
  <c r="J1217" i="65"/>
  <c r="J1185" i="65"/>
  <c r="J1187" i="65"/>
  <c r="J1186" i="65"/>
  <c r="J1400" i="65"/>
  <c r="J1401" i="65"/>
  <c r="J716" i="65"/>
  <c r="J490" i="65"/>
  <c r="J491" i="65"/>
  <c r="J1375" i="65"/>
  <c r="J791" i="65"/>
  <c r="J792" i="65"/>
  <c r="J1155" i="65"/>
  <c r="J1156" i="65"/>
  <c r="J1154" i="65"/>
  <c r="J1336" i="65"/>
  <c r="J1337" i="65"/>
  <c r="J1338" i="65"/>
  <c r="J1618" i="65"/>
  <c r="J1619" i="65"/>
  <c r="J339" i="65"/>
  <c r="J286" i="65"/>
  <c r="J285" i="65"/>
  <c r="J1093" i="65"/>
  <c r="J594" i="65"/>
  <c r="J593" i="65"/>
  <c r="J596" i="65"/>
  <c r="J595" i="65"/>
  <c r="J1768" i="65"/>
  <c r="J1769" i="65"/>
  <c r="J1870" i="65"/>
  <c r="J1872" i="65"/>
  <c r="J1871" i="65"/>
  <c r="J173" i="65"/>
  <c r="J174" i="65"/>
  <c r="J332" i="65"/>
  <c r="J1257" i="65"/>
  <c r="J1255" i="65"/>
  <c r="J1256" i="65"/>
  <c r="J817" i="65"/>
  <c r="J1012" i="65"/>
  <c r="J1013" i="65"/>
  <c r="J1398" i="65"/>
  <c r="J1397" i="65"/>
  <c r="J1399" i="65"/>
  <c r="J1675" i="65"/>
  <c r="J1676" i="65"/>
  <c r="J952" i="65"/>
  <c r="J1184" i="65"/>
  <c r="J1671" i="65"/>
  <c r="J1674" i="65"/>
  <c r="J1670" i="65"/>
  <c r="J1673" i="65"/>
  <c r="J1672" i="65"/>
  <c r="J1165" i="65"/>
  <c r="J1836" i="65"/>
  <c r="J1837" i="65"/>
  <c r="J1838" i="65"/>
  <c r="J816" i="65"/>
  <c r="J517" i="65"/>
  <c r="J516" i="65"/>
  <c r="J1464" i="65"/>
  <c r="J1466" i="65"/>
  <c r="J1465" i="65"/>
  <c r="J814" i="65"/>
  <c r="J815" i="65"/>
  <c r="J1789" i="65"/>
  <c r="J1788" i="65"/>
  <c r="J148" i="65"/>
  <c r="J140" i="65"/>
  <c r="J139" i="65"/>
  <c r="J1468" i="65"/>
  <c r="J1467" i="65"/>
  <c r="J43" i="65"/>
  <c r="J42" i="65"/>
  <c r="J852" i="65"/>
  <c r="J853" i="65"/>
  <c r="J632" i="65"/>
  <c r="J633" i="65"/>
  <c r="J1309" i="65"/>
  <c r="J91" i="65"/>
  <c r="J90" i="65"/>
  <c r="J92" i="65"/>
  <c r="J1715" i="65"/>
  <c r="J1714" i="65"/>
  <c r="J1716" i="65"/>
  <c r="J1717" i="65"/>
  <c r="J420" i="65"/>
  <c r="J419" i="65"/>
  <c r="J851" i="65"/>
  <c r="J1712" i="65"/>
  <c r="J1711" i="65"/>
  <c r="J1713" i="65"/>
  <c r="J1377" i="65"/>
  <c r="J1378" i="65"/>
  <c r="J515" i="65"/>
  <c r="J514" i="65"/>
  <c r="J137" i="65"/>
  <c r="J138" i="65"/>
  <c r="J136" i="65"/>
  <c r="J1046" i="65"/>
  <c r="J1045" i="65"/>
  <c r="J1047" i="65"/>
  <c r="J1048" i="65"/>
  <c r="J766" i="65"/>
  <c r="J765" i="65"/>
  <c r="J235" i="65"/>
  <c r="J1659" i="65"/>
  <c r="J336" i="65"/>
  <c r="J338" i="65"/>
  <c r="J337" i="65"/>
  <c r="J609" i="65"/>
  <c r="J610" i="65"/>
  <c r="J416" i="65"/>
  <c r="J418" i="65"/>
  <c r="J417" i="65"/>
  <c r="J549" i="65"/>
  <c r="J1804" i="65"/>
  <c r="J1805" i="65"/>
  <c r="J1803" i="65"/>
  <c r="J1133" i="65"/>
  <c r="J1134" i="65"/>
  <c r="J1135" i="65"/>
  <c r="J1417" i="65"/>
  <c r="J1418" i="65"/>
  <c r="J1632" i="65"/>
  <c r="J1634" i="65"/>
  <c r="J1633" i="65"/>
  <c r="J1834" i="65"/>
  <c r="J1835" i="65"/>
  <c r="J1855" i="65"/>
  <c r="J1197" i="65"/>
  <c r="J1198" i="65"/>
  <c r="J1196" i="65"/>
  <c r="J1042" i="65"/>
  <c r="J1043" i="65"/>
  <c r="J1044" i="65"/>
  <c r="J748" i="65"/>
  <c r="J1251" i="65"/>
  <c r="J1253" i="65"/>
  <c r="J1252" i="65"/>
  <c r="J1254" i="65"/>
  <c r="J967" i="65"/>
  <c r="J233" i="65"/>
  <c r="J234" i="65"/>
  <c r="J482" i="65"/>
  <c r="J483" i="65"/>
  <c r="J764" i="65"/>
  <c r="J763" i="65"/>
  <c r="J377" i="65"/>
  <c r="J378" i="65"/>
  <c r="J848" i="65"/>
  <c r="J850" i="65"/>
  <c r="J849" i="65"/>
  <c r="J231" i="65"/>
  <c r="J232" i="65"/>
  <c r="J1833" i="65"/>
  <c r="J489" i="65"/>
  <c r="J1083" i="65"/>
  <c r="J1082" i="65"/>
  <c r="J1213" i="65"/>
  <c r="J1214" i="65"/>
  <c r="J1215" i="65"/>
  <c r="J1335" i="65"/>
  <c r="J1333" i="65"/>
  <c r="J1334" i="65"/>
  <c r="J413" i="65"/>
  <c r="J412" i="65"/>
  <c r="J1463" i="65"/>
  <c r="J414" i="65"/>
  <c r="J415" i="65"/>
  <c r="J1766" i="65"/>
  <c r="J1767" i="65"/>
  <c r="J1764" i="65"/>
  <c r="J1765" i="65"/>
  <c r="J1009" i="65"/>
  <c r="J1011" i="65"/>
  <c r="J1010" i="65"/>
  <c r="J565" i="65"/>
  <c r="J563" i="65"/>
  <c r="J564" i="65"/>
  <c r="J1458" i="65"/>
  <c r="J1462" i="65"/>
  <c r="J1459" i="65"/>
  <c r="J1460" i="65"/>
  <c r="J1461" i="65"/>
  <c r="J747" i="65"/>
  <c r="J715" i="65"/>
  <c r="J1182" i="65"/>
  <c r="J1183" i="65"/>
  <c r="J1164" i="65"/>
  <c r="J607" i="65"/>
  <c r="J608" i="65"/>
  <c r="J313" i="65"/>
  <c r="J314" i="65"/>
  <c r="J315" i="65"/>
  <c r="J410" i="65"/>
  <c r="J409" i="65"/>
  <c r="J411" i="65"/>
  <c r="J480" i="65"/>
  <c r="J481" i="65"/>
  <c r="J230" i="65"/>
  <c r="J229" i="65"/>
  <c r="J1658" i="65"/>
  <c r="J1657" i="65"/>
  <c r="J1656" i="65"/>
  <c r="J88" i="65"/>
  <c r="J89" i="65"/>
  <c r="J1442" i="65"/>
  <c r="J1445" i="65"/>
  <c r="J1443" i="65"/>
  <c r="J1444" i="65"/>
  <c r="J1617" i="65"/>
  <c r="J513" i="65"/>
  <c r="J40" i="65"/>
  <c r="J41" i="65"/>
  <c r="J406" i="65"/>
  <c r="J407" i="65"/>
  <c r="J408" i="65"/>
  <c r="J1041" i="65"/>
  <c r="J1616" i="65"/>
  <c r="J1615" i="65"/>
  <c r="J1194" i="65"/>
  <c r="J1195" i="65"/>
  <c r="J951" i="65"/>
  <c r="J762" i="65"/>
  <c r="J1655" i="65"/>
  <c r="J1210" i="65"/>
  <c r="J1209" i="65"/>
  <c r="J1211" i="65"/>
  <c r="J1212" i="65"/>
  <c r="J1910" i="65"/>
  <c r="J746" i="65"/>
  <c r="J365" i="65"/>
  <c r="J363" i="65"/>
  <c r="J364" i="65"/>
  <c r="J375" i="65"/>
  <c r="J376" i="65"/>
  <c r="J844" i="65"/>
  <c r="J845" i="65"/>
  <c r="J1249" i="65"/>
  <c r="J1250" i="65"/>
  <c r="J949" i="65"/>
  <c r="J950" i="65"/>
  <c r="J135" i="65"/>
  <c r="J133" i="65"/>
  <c r="J134" i="65"/>
  <c r="J24" i="65"/>
  <c r="J1761" i="65"/>
  <c r="J1762" i="65"/>
  <c r="J1763" i="65"/>
  <c r="J402" i="65"/>
  <c r="J405" i="65"/>
  <c r="J403" i="65"/>
  <c r="J404" i="65"/>
  <c r="J171" i="65"/>
  <c r="J172" i="65"/>
  <c r="J347" i="65"/>
  <c r="J348" i="65"/>
  <c r="J846" i="65"/>
  <c r="J847" i="65"/>
  <c r="J1612" i="65"/>
  <c r="J1613" i="65"/>
  <c r="J1614" i="65"/>
  <c r="J1163" i="65"/>
  <c r="J1162" i="65"/>
  <c r="J399" i="65"/>
  <c r="J400" i="65"/>
  <c r="J401" i="65"/>
  <c r="J1153" i="65"/>
  <c r="J38" i="65"/>
  <c r="J39" i="65"/>
  <c r="J592" i="65"/>
  <c r="J345" i="65"/>
  <c r="J346" i="65"/>
  <c r="J1246" i="65"/>
  <c r="J1247" i="65"/>
  <c r="J1248" i="65"/>
  <c r="J170" i="65"/>
  <c r="J1332" i="65"/>
  <c r="J479" i="65"/>
  <c r="J477" i="65"/>
  <c r="J478" i="65"/>
  <c r="J908" i="65"/>
  <c r="J907" i="65"/>
  <c r="J906" i="65"/>
  <c r="J1630" i="65"/>
  <c r="J1631" i="65"/>
  <c r="J1868" i="65"/>
  <c r="J1869" i="65"/>
  <c r="J1039" i="65"/>
  <c r="J1040" i="65"/>
  <c r="J561" i="65"/>
  <c r="J562" i="65"/>
  <c r="J560" i="65"/>
  <c r="J558" i="65"/>
  <c r="J559" i="65"/>
  <c r="J947" i="65"/>
  <c r="J948" i="65"/>
  <c r="J1787" i="65"/>
  <c r="J1786" i="65"/>
  <c r="J1832" i="65"/>
  <c r="J1830" i="65"/>
  <c r="J1831" i="65"/>
  <c r="J1181" i="65"/>
  <c r="J758" i="65"/>
  <c r="J759" i="65"/>
  <c r="J760" i="65"/>
  <c r="J761" i="65"/>
  <c r="J754" i="65"/>
  <c r="J755" i="65"/>
  <c r="J757" i="65"/>
  <c r="J753" i="65"/>
  <c r="J756" i="65"/>
  <c r="J1152" i="65"/>
  <c r="J1653" i="65"/>
  <c r="J1652" i="65"/>
  <c r="J1654" i="65"/>
  <c r="J1038" i="65"/>
  <c r="J1037" i="65"/>
  <c r="J1829" i="65"/>
  <c r="J591" i="65"/>
  <c r="J589" i="65"/>
  <c r="J590" i="65"/>
  <c r="J808" i="65"/>
  <c r="J809" i="65"/>
  <c r="J807" i="65"/>
  <c r="J810" i="65"/>
  <c r="J813" i="65"/>
  <c r="J811" i="65"/>
  <c r="J812" i="65"/>
  <c r="J167" i="65"/>
  <c r="J168" i="65"/>
  <c r="J166" i="65"/>
  <c r="J511" i="65"/>
  <c r="J512" i="65"/>
  <c r="J1729" i="65"/>
  <c r="J1728" i="65"/>
  <c r="J790" i="65"/>
  <c r="J995" i="65"/>
  <c r="J1456" i="65"/>
  <c r="J1454" i="65"/>
  <c r="J1457" i="65"/>
  <c r="J1455" i="65"/>
  <c r="J1669" i="65"/>
  <c r="J1668" i="65"/>
  <c r="J1092" i="65"/>
  <c r="J1331" i="65"/>
  <c r="J1330" i="65"/>
  <c r="J1329" i="65"/>
  <c r="J789" i="65"/>
  <c r="J344" i="65"/>
  <c r="J342" i="65"/>
  <c r="J343" i="65"/>
  <c r="J787" i="65"/>
  <c r="J788" i="65"/>
  <c r="J1698" i="65"/>
  <c r="J1699" i="65"/>
  <c r="J370" i="65"/>
  <c r="J369" i="65"/>
  <c r="J993" i="65"/>
  <c r="J994" i="65"/>
  <c r="J16" i="65"/>
  <c r="J15" i="65"/>
  <c r="J1007" i="65"/>
  <c r="J1008" i="65"/>
  <c r="J614" i="65"/>
  <c r="J615" i="65"/>
  <c r="J341" i="65"/>
  <c r="J1725" i="65"/>
  <c r="J1726" i="65"/>
  <c r="J1727" i="65"/>
  <c r="J1396" i="65"/>
  <c r="J1395" i="65"/>
  <c r="J86" i="65"/>
  <c r="J87" i="65"/>
  <c r="J1722" i="65"/>
  <c r="J1724" i="65"/>
  <c r="J1723" i="65"/>
  <c r="J945" i="65"/>
  <c r="J944" i="65"/>
  <c r="J946" i="65"/>
  <c r="J750" i="65"/>
  <c r="J752" i="65"/>
  <c r="J751" i="65"/>
  <c r="J1825" i="65"/>
  <c r="J131" i="65"/>
  <c r="J132" i="65"/>
  <c r="J1325" i="65"/>
  <c r="J1326" i="65"/>
  <c r="J1328" i="65"/>
  <c r="J1327" i="65"/>
  <c r="J1192" i="65"/>
  <c r="J1193" i="65"/>
  <c r="J1376" i="65"/>
  <c r="J329" i="65"/>
  <c r="J331" i="65"/>
  <c r="J330" i="65"/>
  <c r="J1744" i="65"/>
  <c r="J1651" i="65"/>
  <c r="J1244" i="65"/>
  <c r="J1245" i="65"/>
  <c r="J1394" i="65"/>
  <c r="J1393" i="65"/>
  <c r="J283" i="65"/>
  <c r="J284" i="65"/>
  <c r="J904" i="65"/>
  <c r="J903" i="65"/>
  <c r="J905" i="65"/>
  <c r="J902" i="65"/>
  <c r="J1243" i="65"/>
  <c r="J510" i="65"/>
  <c r="J940" i="65"/>
  <c r="J941" i="65"/>
  <c r="J942" i="65"/>
  <c r="J943" i="65"/>
  <c r="J1436" i="65"/>
  <c r="J1434" i="65"/>
  <c r="J1435" i="65"/>
  <c r="J1437" i="65"/>
  <c r="J1823" i="65"/>
  <c r="J1824" i="65"/>
  <c r="J83" i="65"/>
  <c r="J85" i="65"/>
  <c r="J84" i="65"/>
  <c r="J1067" i="65"/>
  <c r="J1066" i="65"/>
  <c r="J130" i="65"/>
  <c r="J1241" i="65"/>
  <c r="J1242" i="65"/>
  <c r="J1240" i="65"/>
  <c r="J1866" i="65"/>
  <c r="J1867" i="65"/>
  <c r="J1005" i="65"/>
  <c r="J1006" i="65"/>
  <c r="J557" i="65"/>
  <c r="J556" i="65"/>
  <c r="J1322" i="65"/>
  <c r="J1323" i="65"/>
  <c r="J1324" i="65"/>
  <c r="J685" i="65"/>
  <c r="J1828" i="65"/>
  <c r="J397" i="65"/>
  <c r="J396" i="65"/>
  <c r="J398" i="65"/>
  <c r="J1827" i="65"/>
  <c r="J1191" i="65"/>
  <c r="J1190" i="65"/>
  <c r="J1132" i="65"/>
  <c r="J1131" i="65"/>
  <c r="J1130" i="65"/>
  <c r="J310" i="65"/>
  <c r="J1319" i="65"/>
  <c r="J1321" i="65"/>
  <c r="J1320" i="65"/>
  <c r="J311" i="65"/>
  <c r="J312" i="65"/>
  <c r="J393" i="65"/>
  <c r="J394" i="65"/>
  <c r="J395" i="65"/>
  <c r="J714" i="65"/>
  <c r="J712" i="65"/>
  <c r="J713" i="65"/>
  <c r="J1854" i="65"/>
  <c r="J1820" i="65"/>
  <c r="J1822" i="65"/>
  <c r="J1821" i="65"/>
  <c r="J691" i="65"/>
  <c r="J689" i="65"/>
  <c r="J690" i="65"/>
  <c r="J1784" i="65"/>
  <c r="J1785" i="65"/>
  <c r="J1783" i="65"/>
  <c r="J1414" i="65"/>
  <c r="J1415" i="65"/>
  <c r="J1416" i="65"/>
  <c r="J688" i="65"/>
  <c r="J687" i="65"/>
  <c r="J1665" i="65"/>
  <c r="J1666" i="65"/>
  <c r="J1667" i="65"/>
  <c r="J1709" i="65"/>
  <c r="J1710" i="65"/>
  <c r="J470" i="65"/>
  <c r="J468" i="65"/>
  <c r="J469" i="65"/>
  <c r="J1318" i="65"/>
  <c r="J992" i="65"/>
  <c r="J989" i="65"/>
  <c r="J990" i="65"/>
  <c r="J991" i="65"/>
  <c r="J665" i="65"/>
  <c r="J254" i="65"/>
  <c r="J255" i="65"/>
  <c r="J867" i="65"/>
  <c r="J309" i="65"/>
  <c r="J308" i="65"/>
  <c r="J128" i="65"/>
  <c r="J129" i="65"/>
  <c r="J127" i="65"/>
  <c r="J1413" i="65"/>
  <c r="J666" i="65"/>
  <c r="J1392" i="65"/>
  <c r="J1239" i="65"/>
  <c r="J1237" i="65"/>
  <c r="J1238" i="65"/>
  <c r="J929" i="65"/>
  <c r="J930" i="65"/>
  <c r="J931" i="65"/>
  <c r="J932" i="65"/>
  <c r="J966" i="65"/>
  <c r="J474" i="65"/>
  <c r="J475" i="65"/>
  <c r="J476" i="65"/>
  <c r="J1161" i="65"/>
  <c r="J1160" i="65"/>
  <c r="J1640" i="65"/>
  <c r="J1432" i="65"/>
  <c r="J1433" i="65"/>
  <c r="J198" i="65"/>
  <c r="J200" i="65"/>
  <c r="J199" i="65"/>
  <c r="J1356" i="65"/>
  <c r="J1359" i="65"/>
  <c r="J1360" i="65"/>
  <c r="J1361" i="65"/>
  <c r="J1373" i="65"/>
  <c r="J1362" i="65"/>
  <c r="J1367" i="65"/>
  <c r="J1374" i="65"/>
  <c r="J1365" i="65"/>
  <c r="J1366" i="65"/>
  <c r="J1370" i="65"/>
  <c r="J1368" i="65"/>
  <c r="J1357" i="65"/>
  <c r="J1371" i="65"/>
  <c r="J1369" i="65"/>
  <c r="J1372" i="65"/>
  <c r="J1363" i="65"/>
  <c r="J1358" i="65"/>
  <c r="J1364" i="65"/>
  <c r="E8" i="63"/>
  <c r="E6" i="63"/>
  <c r="E11" i="63"/>
  <c r="E9" i="63"/>
  <c r="E10" i="63"/>
  <c r="E12" i="63"/>
  <c r="E13" i="63"/>
  <c r="E14" i="63"/>
  <c r="E15" i="63"/>
  <c r="E7" i="63"/>
  <c r="Q17" i="65" l="1"/>
  <c r="Q20" i="65"/>
  <c r="Q84" i="65"/>
  <c r="Q49" i="65"/>
  <c r="Q82" i="65"/>
  <c r="Q66" i="65"/>
  <c r="Q34" i="65"/>
  <c r="Q19" i="65"/>
  <c r="Q13" i="65"/>
  <c r="Q77" i="65"/>
  <c r="Q74" i="65"/>
  <c r="Q7" i="65"/>
  <c r="Q48" i="65"/>
  <c r="Q68" i="65"/>
  <c r="Q89" i="65"/>
  <c r="Q62" i="65"/>
  <c r="Q35" i="65"/>
  <c r="Q83" i="65"/>
  <c r="Q41" i="65"/>
  <c r="Q27" i="65"/>
  <c r="Q45" i="65"/>
  <c r="Q85" i="65"/>
  <c r="Q90" i="65"/>
  <c r="Q65" i="65"/>
  <c r="Q64" i="65"/>
  <c r="Q80" i="65"/>
  <c r="Q9" i="65"/>
  <c r="Q50" i="65"/>
  <c r="Q31" i="65"/>
  <c r="Q73" i="65"/>
  <c r="Q43" i="65"/>
  <c r="Q21" i="65"/>
  <c r="Q79" i="65"/>
  <c r="Q24" i="65"/>
  <c r="Q22" i="65"/>
  <c r="Q8" i="65"/>
  <c r="Q36" i="65"/>
  <c r="Q59" i="65"/>
  <c r="Q70" i="65"/>
  <c r="Q51" i="65"/>
  <c r="Q23" i="65"/>
  <c r="Q56" i="65"/>
  <c r="Q81" i="65"/>
  <c r="Q26" i="65"/>
  <c r="Q40" i="65"/>
  <c r="Q88" i="65"/>
  <c r="Q76" i="65"/>
  <c r="Q47" i="65"/>
  <c r="Q75" i="65"/>
  <c r="Q46" i="65"/>
  <c r="Q67" i="65"/>
  <c r="Q16" i="65"/>
  <c r="Q42" i="65"/>
  <c r="Q29" i="65"/>
  <c r="Q78" i="65"/>
  <c r="Q61" i="65"/>
  <c r="Q44" i="65"/>
  <c r="Q86" i="65"/>
  <c r="Q72" i="65"/>
  <c r="Q63" i="65"/>
  <c r="Q52" i="65"/>
  <c r="Q69" i="65"/>
  <c r="Q58" i="65"/>
  <c r="Q54" i="65"/>
  <c r="Q15" i="65"/>
  <c r="Q57" i="65"/>
  <c r="Q93" i="65"/>
  <c r="Q30" i="65"/>
  <c r="Q38" i="65"/>
  <c r="Q39" i="65"/>
  <c r="Q55" i="65"/>
  <c r="Q37" i="65"/>
  <c r="Q6" i="65"/>
  <c r="Q33" i="65"/>
  <c r="Q10" i="65"/>
  <c r="Q53" i="65"/>
  <c r="Q32" i="65"/>
  <c r="Q92" i="65"/>
  <c r="Q5" i="65"/>
  <c r="Q60" i="65"/>
  <c r="Q25" i="65"/>
  <c r="Q71" i="65"/>
  <c r="Q12" i="65"/>
  <c r="Q18" i="65"/>
  <c r="Q91" i="65"/>
  <c r="Q28" i="65"/>
  <c r="Q87" i="65"/>
  <c r="Q11" i="65"/>
  <c r="Q14" i="65"/>
  <c r="E77" i="57" a="1"/>
  <c r="E77" i="57" s="1"/>
  <c r="E78" i="57" a="1"/>
  <c r="E78" i="57" s="1"/>
  <c r="E79" i="57" a="1"/>
  <c r="E79" i="57" s="1"/>
  <c r="E80" i="57" a="1"/>
  <c r="E80" i="57" s="1"/>
  <c r="E81" i="57" a="1"/>
  <c r="E81" i="57" s="1"/>
  <c r="E82" i="57" a="1"/>
  <c r="E82" i="57" s="1"/>
  <c r="E76" i="57" a="1"/>
  <c r="E76" i="57" s="1"/>
  <c r="E88" i="57" a="1"/>
  <c r="E88" i="57" s="1"/>
  <c r="E89" i="57" a="1"/>
  <c r="E89" i="57" s="1"/>
  <c r="E90" i="57" a="1"/>
  <c r="E90" i="57" s="1"/>
  <c r="E91" i="57" a="1"/>
  <c r="E91" i="57" s="1"/>
  <c r="E92" i="57" a="1"/>
  <c r="E92" i="57" s="1"/>
  <c r="E93" i="57" a="1"/>
  <c r="E93" i="57" s="1"/>
  <c r="E87" i="57" a="1"/>
  <c r="E87" i="57" s="1"/>
  <c r="AE7" i="64" l="1" a="1"/>
  <c r="AE7" i="64" s="1"/>
  <c r="AG7" i="64" s="1" a="1"/>
  <c r="AG7" i="64" s="1"/>
  <c r="AB6" i="64" a="1"/>
  <c r="AB6" i="64" s="1"/>
  <c r="AA6" i="64" a="1"/>
  <c r="AA6" i="64" s="1"/>
  <c r="J5" i="64" a="1"/>
  <c r="J5" i="64" s="1"/>
  <c r="N5" i="64" a="1"/>
  <c r="N5" i="64" s="1"/>
  <c r="G6" i="64" a="1"/>
  <c r="G6" i="64" s="1"/>
  <c r="F6" i="64" a="1"/>
  <c r="F6" i="64" s="1"/>
  <c r="E6" i="64" a="1"/>
  <c r="E6" i="64" s="1"/>
  <c r="C28" i="64"/>
  <c r="B5" i="64" a="1"/>
  <c r="B5" i="64" s="1"/>
  <c r="F27" i="64" a="1"/>
  <c r="F27" i="64" s="1"/>
  <c r="F39" i="64" s="1" a="1"/>
  <c r="F39" i="64" s="1"/>
  <c r="D19" i="60" a="1"/>
  <c r="D19" i="60" s="1"/>
  <c r="D20" i="60" a="1"/>
  <c r="D20" i="60" s="1"/>
  <c r="D21" i="60" a="1"/>
  <c r="D21" i="60" s="1"/>
  <c r="D22" i="60" a="1"/>
  <c r="D22" i="60" s="1"/>
  <c r="D23" i="60" a="1"/>
  <c r="D23" i="60" s="1"/>
  <c r="D24" i="60" a="1"/>
  <c r="D24" i="60" s="1"/>
  <c r="D25" i="60" a="1"/>
  <c r="D25" i="60" s="1"/>
  <c r="D26" i="60" a="1"/>
  <c r="D26" i="60" s="1"/>
  <c r="F5" i="61" a="1"/>
  <c r="F5" i="61" s="1"/>
  <c r="B5" i="61" a="1"/>
  <c r="B5" i="61" s="1"/>
  <c r="C26" i="60" a="1"/>
  <c r="C26" i="60" s="1"/>
  <c r="J25" i="60" a="1"/>
  <c r="J25" i="60" s="1"/>
  <c r="C25" i="60" a="1"/>
  <c r="C25" i="60" s="1"/>
  <c r="J24" i="60" a="1"/>
  <c r="J24" i="60" s="1"/>
  <c r="C24" i="60" a="1"/>
  <c r="C24" i="60" s="1"/>
  <c r="J23" i="60"/>
  <c r="C23" i="60" a="1"/>
  <c r="C23" i="60" s="1"/>
  <c r="J22" i="60"/>
  <c r="C22" i="60" a="1"/>
  <c r="C22" i="60" s="1"/>
  <c r="C21" i="60" a="1"/>
  <c r="C21" i="60" s="1"/>
  <c r="C20" i="60" a="1"/>
  <c r="C20" i="60" s="1"/>
  <c r="C19" i="60" a="1"/>
  <c r="C19" i="60" s="1"/>
  <c r="D18" i="60" a="1"/>
  <c r="D18" i="60" s="1"/>
  <c r="C18" i="60" a="1"/>
  <c r="C18" i="60" s="1"/>
  <c r="E13" i="60" a="1"/>
  <c r="E13" i="60" s="1"/>
  <c r="D13" i="60" a="1"/>
  <c r="D13" i="60" s="1"/>
  <c r="C13" i="60"/>
  <c r="E12" i="60" a="1"/>
  <c r="E12" i="60" s="1"/>
  <c r="D12" i="60" a="1"/>
  <c r="D12" i="60" s="1"/>
  <c r="C12" i="60"/>
  <c r="E11" i="60" a="1"/>
  <c r="E11" i="60" s="1"/>
  <c r="D11" i="60" a="1"/>
  <c r="D11" i="60" s="1"/>
  <c r="C11" i="60"/>
  <c r="E10" i="60" a="1"/>
  <c r="E10" i="60" s="1"/>
  <c r="D10" i="60" a="1"/>
  <c r="D10" i="60" s="1"/>
  <c r="C10" i="60"/>
  <c r="E9" i="60" a="1"/>
  <c r="E9" i="60" s="1"/>
  <c r="D9" i="60" a="1"/>
  <c r="D9" i="60" s="1"/>
  <c r="C9" i="60"/>
  <c r="E8" i="60" a="1"/>
  <c r="E8" i="60" s="1"/>
  <c r="D8" i="60" a="1"/>
  <c r="D8" i="60" s="1"/>
  <c r="C8" i="60"/>
  <c r="E7" i="60" a="1"/>
  <c r="E7" i="60" s="1"/>
  <c r="D7" i="60" a="1"/>
  <c r="D7" i="60" s="1"/>
  <c r="C7" i="60"/>
  <c r="E6" i="60" a="1"/>
  <c r="E6" i="60" s="1"/>
  <c r="D6" i="60" a="1"/>
  <c r="D6" i="60" s="1"/>
  <c r="C6" i="60"/>
  <c r="E5" i="60" a="1"/>
  <c r="E5" i="60" s="1"/>
  <c r="D5" i="60" a="1"/>
  <c r="D5" i="60" s="1"/>
  <c r="C5" i="60"/>
  <c r="K4" i="60" a="1"/>
  <c r="K4" i="60" s="1"/>
  <c r="J4" i="60" a="1"/>
  <c r="J4" i="60" s="1"/>
  <c r="I4" i="60"/>
  <c r="E4" i="60" a="1"/>
  <c r="E4" i="60" s="1"/>
  <c r="D4" i="60" a="1"/>
  <c r="D4" i="60" s="1"/>
  <c r="C4" i="60"/>
  <c r="F32" i="59" a="1"/>
  <c r="F32" i="59" s="1"/>
  <c r="E32" i="59" a="1"/>
  <c r="E32" i="59" s="1"/>
  <c r="F31" i="59" a="1"/>
  <c r="F31" i="59" s="1"/>
  <c r="E31" i="59" a="1"/>
  <c r="E31" i="59" s="1"/>
  <c r="F30" i="59" a="1"/>
  <c r="F30" i="59" s="1"/>
  <c r="E30" i="59" a="1"/>
  <c r="E30" i="59" s="1"/>
  <c r="F29" i="59" a="1"/>
  <c r="F29" i="59" s="1"/>
  <c r="E29" i="59" a="1"/>
  <c r="E29" i="59" s="1"/>
  <c r="F28" i="59" a="1"/>
  <c r="F28" i="59" s="1"/>
  <c r="E28" i="59" a="1"/>
  <c r="E28" i="59" s="1"/>
  <c r="F27" i="59" a="1"/>
  <c r="F27" i="59" s="1"/>
  <c r="E27" i="59" a="1"/>
  <c r="E27" i="59" s="1"/>
  <c r="F26" i="59" a="1"/>
  <c r="F26" i="59" s="1"/>
  <c r="E26" i="59" a="1"/>
  <c r="E26" i="59" s="1"/>
  <c r="F25" i="59" a="1"/>
  <c r="F25" i="59" s="1"/>
  <c r="E25" i="59" a="1"/>
  <c r="E25" i="59" s="1"/>
  <c r="F24" i="59" a="1"/>
  <c r="F24" i="59" s="1"/>
  <c r="E24" i="59" a="1"/>
  <c r="E24" i="59" s="1"/>
  <c r="F23" i="59" a="1"/>
  <c r="F23" i="59" s="1"/>
  <c r="E23" i="59" a="1"/>
  <c r="E23" i="59" s="1"/>
  <c r="F22" i="59" a="1"/>
  <c r="F22" i="59" s="1"/>
  <c r="E22" i="59" a="1"/>
  <c r="E22" i="59" s="1"/>
  <c r="F21" i="59" a="1"/>
  <c r="F21" i="59" s="1"/>
  <c r="E21" i="59" a="1"/>
  <c r="E21" i="59" s="1"/>
  <c r="F20" i="59" a="1"/>
  <c r="F20" i="59" s="1"/>
  <c r="E20" i="59" a="1"/>
  <c r="E20" i="59" s="1"/>
  <c r="F19" i="59" a="1"/>
  <c r="F19" i="59" s="1"/>
  <c r="E19" i="59" a="1"/>
  <c r="E19" i="59" s="1"/>
  <c r="F18" i="59" a="1"/>
  <c r="F18" i="59" s="1"/>
  <c r="E18" i="59" a="1"/>
  <c r="E18" i="59" s="1"/>
  <c r="F17" i="59" a="1"/>
  <c r="F17" i="59" s="1"/>
  <c r="E17" i="59" a="1"/>
  <c r="E17" i="59" s="1"/>
  <c r="F16" i="59" a="1"/>
  <c r="F16" i="59" s="1"/>
  <c r="E16" i="59" a="1"/>
  <c r="E16" i="59" s="1"/>
  <c r="F15" i="59" a="1"/>
  <c r="F15" i="59" s="1"/>
  <c r="E15" i="59" a="1"/>
  <c r="E15" i="59" s="1"/>
  <c r="F14" i="59" a="1"/>
  <c r="F14" i="59" s="1"/>
  <c r="E14" i="59" a="1"/>
  <c r="E14" i="59" s="1"/>
  <c r="F13" i="59" a="1"/>
  <c r="F13" i="59" s="1"/>
  <c r="E13" i="59" a="1"/>
  <c r="E13" i="59" s="1"/>
  <c r="F12" i="59" a="1"/>
  <c r="F12" i="59" s="1"/>
  <c r="E12" i="59" a="1"/>
  <c r="E12" i="59" s="1"/>
  <c r="H11" i="59"/>
  <c r="F11" i="59" a="1"/>
  <c r="F11" i="59" s="1"/>
  <c r="E11" i="59" a="1"/>
  <c r="E11" i="59" s="1"/>
  <c r="F10" i="59" a="1"/>
  <c r="F10" i="59" s="1"/>
  <c r="E10" i="59" a="1"/>
  <c r="E10" i="59" s="1"/>
  <c r="H9" i="59"/>
  <c r="F9" i="59" a="1"/>
  <c r="F9" i="59" s="1"/>
  <c r="E9" i="59" a="1"/>
  <c r="E9" i="59" s="1"/>
  <c r="M5" i="57" a="1"/>
  <c r="M5" i="57" s="1"/>
  <c r="I7" i="57"/>
  <c r="I17" i="57" s="1"/>
  <c r="I9" i="57" a="1"/>
  <c r="I9" i="57" s="1"/>
  <c r="I11" i="57"/>
  <c r="I12" i="57"/>
  <c r="I13" i="57"/>
  <c r="H17" i="57"/>
  <c r="I21" i="57" a="1"/>
  <c r="I21" i="57" s="1"/>
  <c r="J21" i="57"/>
  <c r="J22" i="57"/>
  <c r="J23" i="57"/>
  <c r="I27" i="57"/>
  <c r="I18" i="57" l="1"/>
  <c r="D14" i="42" a="1"/>
  <c r="D14" i="42" s="1"/>
  <c r="D15" i="42" a="1"/>
  <c r="D15" i="42" s="1"/>
  <c r="D16" i="42" a="1"/>
  <c r="D16" i="42" s="1"/>
  <c r="D17" i="42" a="1"/>
  <c r="D17" i="42" s="1"/>
  <c r="D18" i="42" a="1"/>
  <c r="D18" i="42" s="1"/>
  <c r="D19" i="42" a="1"/>
  <c r="D19" i="42" s="1"/>
  <c r="D20" i="42" a="1"/>
  <c r="D20" i="42" s="1"/>
  <c r="D21" i="42" a="1"/>
  <c r="D21" i="42" s="1"/>
  <c r="D22" i="42" a="1"/>
  <c r="D22" i="42" s="1"/>
  <c r="D23" i="42" a="1"/>
  <c r="D23" i="42" s="1"/>
  <c r="D24" i="42" a="1"/>
  <c r="D24" i="42" s="1"/>
  <c r="D25" i="42" a="1"/>
  <c r="D25" i="42" s="1"/>
  <c r="D26" i="42" a="1"/>
  <c r="D26" i="42" s="1"/>
  <c r="D27" i="42" a="1"/>
  <c r="D27" i="42" s="1"/>
  <c r="D28" i="42" a="1"/>
  <c r="D28" i="42" s="1"/>
  <c r="D29" i="42" a="1"/>
  <c r="D29" i="42" s="1"/>
  <c r="D30" i="42" a="1"/>
  <c r="D30" i="42" s="1"/>
  <c r="D31" i="42" a="1"/>
  <c r="D31" i="42" s="1"/>
  <c r="D32" i="42" a="1"/>
  <c r="D32" i="42" s="1"/>
  <c r="D33" i="42" a="1"/>
  <c r="D33" i="42" s="1"/>
  <c r="D34" i="42" a="1"/>
  <c r="D34" i="42" s="1"/>
  <c r="D35" i="42" a="1"/>
  <c r="D35" i="42" s="1"/>
  <c r="D36" i="42" a="1"/>
  <c r="D36" i="42" s="1"/>
  <c r="D37" i="42" a="1"/>
  <c r="D37" i="42" s="1"/>
  <c r="D38" i="42" a="1"/>
  <c r="D38" i="42" s="1"/>
  <c r="D39" i="42" a="1"/>
  <c r="D39" i="42" s="1"/>
  <c r="D40" i="42" a="1"/>
  <c r="D40" i="42" s="1"/>
  <c r="D41" i="42" a="1"/>
  <c r="D41" i="42" s="1"/>
  <c r="D42" i="42" a="1"/>
  <c r="D42" i="42" s="1"/>
  <c r="D13" i="42" a="1"/>
  <c r="D13" i="42" s="1"/>
  <c r="E14" i="42" a="1"/>
  <c r="E14" i="42" s="1"/>
  <c r="E15" i="42" a="1"/>
  <c r="E15" i="42" s="1"/>
  <c r="E16" i="42" a="1"/>
  <c r="E16" i="42" s="1"/>
  <c r="E17" i="42" a="1"/>
  <c r="E17" i="42" s="1"/>
  <c r="E18" i="42" a="1"/>
  <c r="E18" i="42" s="1"/>
  <c r="E19" i="42" a="1"/>
  <c r="E19" i="42" s="1"/>
  <c r="E20" i="42" a="1"/>
  <c r="E20" i="42" s="1"/>
  <c r="E21" i="42" a="1"/>
  <c r="E21" i="42" s="1"/>
  <c r="E22" i="42" a="1"/>
  <c r="E22" i="42" s="1"/>
  <c r="E23" i="42" a="1"/>
  <c r="E23" i="42" s="1"/>
  <c r="E24" i="42" a="1"/>
  <c r="E24" i="42" s="1"/>
  <c r="E25" i="42" a="1"/>
  <c r="E25" i="42" s="1"/>
  <c r="E26" i="42" a="1"/>
  <c r="E26" i="42" s="1"/>
  <c r="E27" i="42" a="1"/>
  <c r="E27" i="42" s="1"/>
  <c r="E28" i="42" a="1"/>
  <c r="E28" i="42" s="1"/>
  <c r="E29" i="42" a="1"/>
  <c r="E29" i="42" s="1"/>
  <c r="E30" i="42" a="1"/>
  <c r="E30" i="42" s="1"/>
  <c r="E31" i="42" a="1"/>
  <c r="E31" i="42" s="1"/>
  <c r="E32" i="42" a="1"/>
  <c r="E32" i="42" s="1"/>
  <c r="E33" i="42" a="1"/>
  <c r="E33" i="42" s="1"/>
  <c r="E34" i="42" a="1"/>
  <c r="E34" i="42" s="1"/>
  <c r="E35" i="42" a="1"/>
  <c r="E35" i="42" s="1"/>
  <c r="E36" i="42" a="1"/>
  <c r="E36" i="42" s="1"/>
  <c r="E37" i="42" a="1"/>
  <c r="E37" i="42" s="1"/>
  <c r="E38" i="42" a="1"/>
  <c r="E38" i="42" s="1"/>
  <c r="E39" i="42" a="1"/>
  <c r="E39" i="42" s="1"/>
  <c r="E40" i="42" a="1"/>
  <c r="E40" i="42" s="1"/>
  <c r="E41" i="42" a="1"/>
  <c r="E41" i="42" s="1"/>
  <c r="E42" i="42" a="1"/>
  <c r="E42" i="42" s="1"/>
  <c r="E13" i="42" a="1"/>
  <c r="E13" i="42" s="1"/>
  <c r="G14" i="42" a="1"/>
  <c r="G14" i="42" s="1"/>
  <c r="G15" i="42" a="1"/>
  <c r="G15" i="42" s="1"/>
  <c r="G16" i="42" a="1"/>
  <c r="G16" i="42" s="1"/>
  <c r="G17" i="42" a="1"/>
  <c r="G17" i="42" s="1"/>
  <c r="G18" i="42" a="1"/>
  <c r="G18" i="42" s="1"/>
  <c r="G19" i="42" a="1"/>
  <c r="G19" i="42" s="1"/>
  <c r="G20" i="42" a="1"/>
  <c r="G20" i="42" s="1"/>
  <c r="G21" i="42" a="1"/>
  <c r="G21" i="42" s="1"/>
  <c r="G22" i="42" a="1"/>
  <c r="G22" i="42" s="1"/>
  <c r="G23" i="42" a="1"/>
  <c r="G23" i="42" s="1"/>
  <c r="G24" i="42" a="1"/>
  <c r="G24" i="42" s="1"/>
  <c r="G25" i="42" a="1"/>
  <c r="G25" i="42" s="1"/>
  <c r="G26" i="42" a="1"/>
  <c r="G26" i="42" s="1"/>
  <c r="G27" i="42" a="1"/>
  <c r="G27" i="42" s="1"/>
  <c r="G28" i="42" a="1"/>
  <c r="G28" i="42" s="1"/>
  <c r="G29" i="42" a="1"/>
  <c r="G29" i="42" s="1"/>
  <c r="G30" i="42" a="1"/>
  <c r="G30" i="42" s="1"/>
  <c r="G31" i="42" a="1"/>
  <c r="G31" i="42" s="1"/>
  <c r="G32" i="42" a="1"/>
  <c r="G32" i="42" s="1"/>
  <c r="G33" i="42" a="1"/>
  <c r="G33" i="42" s="1"/>
  <c r="G34" i="42" a="1"/>
  <c r="G34" i="42" s="1"/>
  <c r="G35" i="42" a="1"/>
  <c r="G35" i="42" s="1"/>
  <c r="G36" i="42" a="1"/>
  <c r="G36" i="42" s="1"/>
  <c r="G37" i="42" a="1"/>
  <c r="G37" i="42" s="1"/>
  <c r="G38" i="42" a="1"/>
  <c r="G38" i="42" s="1"/>
  <c r="G39" i="42" a="1"/>
  <c r="G39" i="42" s="1"/>
  <c r="G40" i="42" a="1"/>
  <c r="G40" i="42" s="1"/>
  <c r="G41" i="42" a="1"/>
  <c r="G41" i="42" s="1"/>
  <c r="G42" i="42" a="1"/>
  <c r="G42" i="42" s="1"/>
  <c r="G13" i="42" a="1"/>
  <c r="G13" i="42" s="1"/>
  <c r="L15" i="49" a="1"/>
  <c r="L15" i="49" s="1"/>
  <c r="D55" i="46"/>
  <c r="D56" i="46"/>
  <c r="D57" i="46"/>
  <c r="D58" i="46"/>
  <c r="D59" i="46"/>
  <c r="I48" i="46"/>
  <c r="I49" i="46"/>
  <c r="I50" i="46"/>
  <c r="I47" i="46"/>
  <c r="G47" i="46"/>
  <c r="D29" i="46"/>
  <c r="F29" i="46" s="1"/>
  <c r="D30" i="46" s="1"/>
  <c r="F30" i="46" s="1"/>
  <c r="D31" i="46" s="1"/>
  <c r="F31" i="46" s="1"/>
  <c r="D32" i="46" s="1"/>
  <c r="F32" i="46" s="1"/>
  <c r="D33" i="46" s="1"/>
  <c r="F33" i="46" s="1"/>
  <c r="D34" i="46" s="1"/>
  <c r="F34" i="46" s="1"/>
  <c r="D35" i="46" s="1"/>
  <c r="F35" i="46" s="1"/>
  <c r="D36" i="46" s="1"/>
  <c r="F36" i="46" s="1"/>
  <c r="D37" i="46" s="1"/>
  <c r="F37" i="46" s="1"/>
  <c r="D38" i="46" s="1"/>
  <c r="F38" i="46" s="1"/>
  <c r="D39" i="46" s="1"/>
  <c r="F39" i="46" s="1"/>
  <c r="D40" i="46" s="1"/>
  <c r="F40" i="46" s="1"/>
  <c r="C55" i="46"/>
  <c r="E55" i="46"/>
  <c r="C56" i="46"/>
  <c r="E56" i="46"/>
  <c r="H47" i="46"/>
  <c r="C57" i="46"/>
  <c r="E57" i="46"/>
  <c r="G48" i="46"/>
  <c r="H48" i="46"/>
  <c r="C58" i="46"/>
  <c r="E58" i="46"/>
  <c r="G49" i="46"/>
  <c r="H49" i="46"/>
  <c r="C59" i="46"/>
  <c r="E59" i="46"/>
  <c r="G50" i="46"/>
  <c r="H50" i="46"/>
  <c r="M4" i="46"/>
  <c r="M5" i="46"/>
  <c r="M6" i="46"/>
  <c r="M7" i="46"/>
  <c r="M8" i="46"/>
  <c r="M9" i="46"/>
  <c r="M10" i="46"/>
  <c r="M11" i="46"/>
  <c r="M12" i="46"/>
  <c r="M13" i="46"/>
  <c r="M14" i="46"/>
  <c r="M15" i="46"/>
  <c r="M16" i="46"/>
  <c r="M17" i="46"/>
  <c r="M18" i="46"/>
  <c r="M19" i="46"/>
  <c r="M20" i="46"/>
  <c r="M21" i="46"/>
  <c r="M22" i="46"/>
  <c r="M23" i="46"/>
  <c r="M24" i="46"/>
  <c r="M25" i="46"/>
  <c r="M26" i="46"/>
  <c r="M27" i="46"/>
  <c r="M28" i="46"/>
  <c r="M29" i="46"/>
  <c r="M30" i="46"/>
  <c r="M31" i="46"/>
  <c r="M32" i="46"/>
  <c r="M33" i="46"/>
  <c r="L33" i="46"/>
  <c r="L32" i="46"/>
  <c r="L31" i="46"/>
  <c r="L30" i="46"/>
  <c r="L29" i="46"/>
  <c r="L28" i="46"/>
  <c r="L27" i="46"/>
  <c r="L26" i="46"/>
  <c r="L25" i="46"/>
  <c r="L24" i="46"/>
  <c r="L23" i="46"/>
  <c r="L22" i="46"/>
  <c r="L21" i="46"/>
  <c r="L20" i="46"/>
  <c r="L19" i="46"/>
  <c r="L18" i="46"/>
  <c r="L17" i="46"/>
  <c r="L16" i="46"/>
  <c r="L15" i="46"/>
  <c r="L14" i="46"/>
  <c r="L13" i="46"/>
  <c r="L12" i="46"/>
  <c r="L11" i="46"/>
  <c r="L10" i="46"/>
  <c r="L9" i="46"/>
  <c r="L8" i="46"/>
  <c r="L7" i="46"/>
  <c r="L6" i="46"/>
  <c r="L5" i="46"/>
  <c r="L4" i="46"/>
  <c r="L35" i="46" l="1"/>
  <c r="F14" i="42" l="1"/>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13" i="42"/>
  <c r="E49" i="56" a="1"/>
  <c r="E49" i="56" s="1"/>
  <c r="E48" i="56" a="1"/>
  <c r="E48" i="56" s="1"/>
  <c r="E47" i="56" a="1"/>
  <c r="E47" i="56" s="1"/>
  <c r="E46" i="56" a="1"/>
  <c r="E46" i="56" s="1"/>
  <c r="E45" i="56" a="1"/>
  <c r="E45" i="56" s="1"/>
  <c r="E44" i="56" a="1"/>
  <c r="E44" i="56" s="1"/>
  <c r="E43" i="56" a="1"/>
  <c r="E43" i="56" s="1"/>
  <c r="E42" i="56" a="1"/>
  <c r="E42" i="56" s="1"/>
  <c r="E41" i="56" a="1"/>
  <c r="E41" i="56" s="1"/>
  <c r="E40" i="56" a="1"/>
  <c r="E40" i="56" s="1"/>
  <c r="E39" i="56" a="1"/>
  <c r="E39" i="56" s="1"/>
  <c r="E38" i="56" a="1"/>
  <c r="E38" i="56" s="1"/>
  <c r="E37" i="56" a="1"/>
  <c r="E37" i="56" s="1"/>
  <c r="E36" i="56" a="1"/>
  <c r="E36" i="56" s="1"/>
  <c r="D139" i="43"/>
  <c r="I9" i="18"/>
  <c r="J9" i="18" s="1"/>
  <c r="I10" i="18"/>
  <c r="J10" i="18" s="1"/>
  <c r="I11" i="18"/>
  <c r="J11" i="18" s="1"/>
  <c r="I12" i="18"/>
  <c r="J12" i="18" s="1"/>
  <c r="I13" i="18"/>
  <c r="J13" i="18" s="1"/>
  <c r="I14" i="18"/>
  <c r="J14" i="18" s="1"/>
  <c r="I15" i="18"/>
  <c r="J15" i="18" s="1"/>
  <c r="I16" i="18"/>
  <c r="J16" i="18" s="1"/>
  <c r="I17" i="18"/>
  <c r="J17" i="18" s="1"/>
  <c r="I18" i="18"/>
  <c r="J18" i="18" s="1"/>
  <c r="I19" i="18"/>
  <c r="J19" i="18" s="1"/>
  <c r="I20" i="18"/>
  <c r="J20" i="18" s="1"/>
  <c r="I21" i="18"/>
  <c r="J21" i="18" s="1"/>
  <c r="I22" i="18"/>
  <c r="J22" i="18" s="1"/>
  <c r="J36" i="56" l="1" a="1"/>
  <c r="O49" i="56" l="1"/>
  <c r="O45" i="56"/>
  <c r="O41" i="56"/>
  <c r="O37" i="56"/>
  <c r="O42" i="56"/>
  <c r="O38" i="56"/>
  <c r="O47" i="56"/>
  <c r="O43" i="56"/>
  <c r="O39" i="56"/>
  <c r="O48" i="56"/>
  <c r="O46" i="56"/>
  <c r="O44" i="56"/>
  <c r="O40" i="56"/>
  <c r="J36" i="56"/>
  <c r="O36" i="56" s="1"/>
  <c r="P36" i="56" l="1" a="1"/>
  <c r="P36" i="56" s="1"/>
  <c r="F60" i="26" l="1" a="1"/>
  <c r="F60" i="26" s="1"/>
  <c r="E60" i="26"/>
  <c r="D60" i="26"/>
  <c r="F59" i="26" a="1"/>
  <c r="F59" i="26" s="1"/>
  <c r="E59" i="26"/>
  <c r="D59" i="26"/>
  <c r="F58" i="26" a="1"/>
  <c r="F58" i="26" s="1"/>
  <c r="E58" i="26"/>
  <c r="D58" i="26"/>
  <c r="F57" i="26" a="1"/>
  <c r="F57" i="26" s="1"/>
  <c r="E57" i="26"/>
  <c r="D57" i="26"/>
  <c r="F56" i="26" a="1"/>
  <c r="F56" i="26" s="1"/>
  <c r="E56" i="26"/>
  <c r="D56" i="26"/>
  <c r="F55" i="26" a="1"/>
  <c r="F55" i="26" s="1"/>
  <c r="E55" i="26"/>
  <c r="D55" i="26"/>
  <c r="F54" i="26" a="1"/>
  <c r="F54" i="26" s="1"/>
  <c r="E54" i="26"/>
  <c r="D54" i="26"/>
  <c r="F53" i="26" a="1"/>
  <c r="F53" i="26" s="1"/>
  <c r="E53" i="26"/>
  <c r="D53" i="26"/>
  <c r="F52" i="26" a="1"/>
  <c r="F52" i="26" s="1"/>
  <c r="E52" i="26"/>
  <c r="D52" i="26"/>
  <c r="U1243" i="55" l="1"/>
  <c r="T1243" i="55"/>
  <c r="S1243" i="55"/>
  <c r="R1243" i="55"/>
  <c r="Q1243" i="55"/>
  <c r="U1242" i="55"/>
  <c r="T1242" i="55"/>
  <c r="S1242" i="55"/>
  <c r="R1242" i="55"/>
  <c r="Q1242" i="55"/>
  <c r="U1241" i="55"/>
  <c r="T1241" i="55"/>
  <c r="S1241" i="55"/>
  <c r="R1241" i="55"/>
  <c r="Q1241" i="55"/>
  <c r="U1240" i="55"/>
  <c r="T1240" i="55"/>
  <c r="S1240" i="55"/>
  <c r="R1240" i="55"/>
  <c r="Q1240" i="55"/>
  <c r="U1239" i="55"/>
  <c r="T1239" i="55"/>
  <c r="S1239" i="55"/>
  <c r="R1239" i="55"/>
  <c r="Q1239" i="55"/>
  <c r="U1238" i="55"/>
  <c r="T1238" i="55"/>
  <c r="S1238" i="55"/>
  <c r="R1238" i="55"/>
  <c r="Q1238" i="55"/>
  <c r="U1237" i="55"/>
  <c r="T1237" i="55"/>
  <c r="S1237" i="55"/>
  <c r="R1237" i="55"/>
  <c r="Q1237" i="55"/>
  <c r="U1236" i="55"/>
  <c r="T1236" i="55"/>
  <c r="S1236" i="55"/>
  <c r="R1236" i="55"/>
  <c r="Q1236" i="55"/>
  <c r="U1235" i="55"/>
  <c r="T1235" i="55"/>
  <c r="S1235" i="55"/>
  <c r="R1235" i="55"/>
  <c r="Q1235" i="55"/>
  <c r="U1234" i="55"/>
  <c r="T1234" i="55"/>
  <c r="S1234" i="55"/>
  <c r="R1234" i="55"/>
  <c r="Q1234" i="55"/>
  <c r="U1233" i="55"/>
  <c r="T1233" i="55"/>
  <c r="S1233" i="55"/>
  <c r="R1233" i="55"/>
  <c r="Q1233" i="55"/>
  <c r="U1232" i="55"/>
  <c r="T1232" i="55"/>
  <c r="S1232" i="55"/>
  <c r="R1232" i="55"/>
  <c r="Q1232" i="55"/>
  <c r="U1231" i="55"/>
  <c r="T1231" i="55"/>
  <c r="S1231" i="55"/>
  <c r="R1231" i="55"/>
  <c r="Q1231" i="55"/>
  <c r="U1230" i="55"/>
  <c r="T1230" i="55"/>
  <c r="S1230" i="55"/>
  <c r="R1230" i="55"/>
  <c r="Q1230" i="55"/>
  <c r="U1229" i="55"/>
  <c r="T1229" i="55"/>
  <c r="S1229" i="55"/>
  <c r="R1229" i="55"/>
  <c r="Q1229" i="55"/>
  <c r="U1228" i="55"/>
  <c r="T1228" i="55"/>
  <c r="S1228" i="55"/>
  <c r="R1228" i="55"/>
  <c r="Q1228" i="55"/>
  <c r="U1227" i="55"/>
  <c r="T1227" i="55"/>
  <c r="S1227" i="55"/>
  <c r="R1227" i="55"/>
  <c r="Q1227" i="55"/>
  <c r="U1226" i="55"/>
  <c r="T1226" i="55"/>
  <c r="S1226" i="55"/>
  <c r="R1226" i="55"/>
  <c r="Q1226" i="55"/>
  <c r="U1225" i="55"/>
  <c r="T1225" i="55"/>
  <c r="S1225" i="55"/>
  <c r="R1225" i="55"/>
  <c r="Q1225" i="55"/>
  <c r="U1224" i="55"/>
  <c r="T1224" i="55"/>
  <c r="S1224" i="55"/>
  <c r="R1224" i="55"/>
  <c r="Q1224" i="55"/>
  <c r="U1223" i="55"/>
  <c r="T1223" i="55"/>
  <c r="S1223" i="55"/>
  <c r="R1223" i="55"/>
  <c r="Q1223" i="55"/>
  <c r="U1222" i="55"/>
  <c r="T1222" i="55"/>
  <c r="S1222" i="55"/>
  <c r="R1222" i="55"/>
  <c r="Q1222" i="55"/>
  <c r="U1221" i="55"/>
  <c r="T1221" i="55"/>
  <c r="S1221" i="55"/>
  <c r="R1221" i="55"/>
  <c r="Q1221" i="55"/>
  <c r="U1220" i="55"/>
  <c r="T1220" i="55"/>
  <c r="S1220" i="55"/>
  <c r="R1220" i="55"/>
  <c r="Q1220" i="55"/>
  <c r="U1219" i="55"/>
  <c r="T1219" i="55"/>
  <c r="S1219" i="55"/>
  <c r="R1219" i="55"/>
  <c r="Q1219" i="55"/>
  <c r="U1218" i="55"/>
  <c r="T1218" i="55"/>
  <c r="S1218" i="55"/>
  <c r="R1218" i="55"/>
  <c r="Q1218" i="55"/>
  <c r="U1217" i="55"/>
  <c r="T1217" i="55"/>
  <c r="S1217" i="55"/>
  <c r="R1217" i="55"/>
  <c r="Q1217" i="55"/>
  <c r="U1216" i="55"/>
  <c r="T1216" i="55"/>
  <c r="S1216" i="55"/>
  <c r="R1216" i="55"/>
  <c r="Q1216" i="55"/>
  <c r="U1215" i="55"/>
  <c r="T1215" i="55"/>
  <c r="S1215" i="55"/>
  <c r="R1215" i="55"/>
  <c r="Q1215" i="55"/>
  <c r="U1214" i="55"/>
  <c r="T1214" i="55"/>
  <c r="S1214" i="55"/>
  <c r="R1214" i="55"/>
  <c r="Q1214" i="55"/>
  <c r="U1213" i="55"/>
  <c r="T1213" i="55"/>
  <c r="S1213" i="55"/>
  <c r="R1213" i="55"/>
  <c r="Q1213" i="55"/>
  <c r="U1212" i="55"/>
  <c r="T1212" i="55"/>
  <c r="S1212" i="55"/>
  <c r="R1212" i="55"/>
  <c r="Q1212" i="55"/>
  <c r="U1211" i="55"/>
  <c r="T1211" i="55"/>
  <c r="S1211" i="55"/>
  <c r="R1211" i="55"/>
  <c r="Q1211" i="55"/>
  <c r="U1210" i="55"/>
  <c r="T1210" i="55"/>
  <c r="S1210" i="55"/>
  <c r="R1210" i="55"/>
  <c r="Q1210" i="55"/>
  <c r="U1209" i="55"/>
  <c r="T1209" i="55"/>
  <c r="S1209" i="55"/>
  <c r="R1209" i="55"/>
  <c r="Q1209" i="55"/>
  <c r="U1208" i="55"/>
  <c r="T1208" i="55"/>
  <c r="S1208" i="55"/>
  <c r="R1208" i="55"/>
  <c r="Q1208" i="55"/>
  <c r="U1207" i="55"/>
  <c r="T1207" i="55"/>
  <c r="S1207" i="55"/>
  <c r="R1207" i="55"/>
  <c r="Q1207" i="55"/>
  <c r="U1206" i="55"/>
  <c r="T1206" i="55"/>
  <c r="S1206" i="55"/>
  <c r="R1206" i="55"/>
  <c r="Q1206" i="55"/>
  <c r="U1205" i="55"/>
  <c r="T1205" i="55"/>
  <c r="S1205" i="55"/>
  <c r="R1205" i="55"/>
  <c r="Q1205" i="55"/>
  <c r="U1204" i="55"/>
  <c r="T1204" i="55"/>
  <c r="S1204" i="55"/>
  <c r="R1204" i="55"/>
  <c r="Q1204" i="55"/>
  <c r="U1203" i="55"/>
  <c r="T1203" i="55"/>
  <c r="S1203" i="55"/>
  <c r="R1203" i="55"/>
  <c r="Q1203" i="55"/>
  <c r="U1202" i="55"/>
  <c r="T1202" i="55"/>
  <c r="S1202" i="55"/>
  <c r="R1202" i="55"/>
  <c r="Q1202" i="55"/>
  <c r="U1201" i="55"/>
  <c r="T1201" i="55"/>
  <c r="S1201" i="55"/>
  <c r="R1201" i="55"/>
  <c r="Q1201" i="55"/>
  <c r="U1200" i="55"/>
  <c r="T1200" i="55"/>
  <c r="S1200" i="55"/>
  <c r="R1200" i="55"/>
  <c r="Q1200" i="55"/>
  <c r="U1199" i="55"/>
  <c r="T1199" i="55"/>
  <c r="S1199" i="55"/>
  <c r="R1199" i="55"/>
  <c r="Q1199" i="55"/>
  <c r="U1198" i="55"/>
  <c r="T1198" i="55"/>
  <c r="S1198" i="55"/>
  <c r="R1198" i="55"/>
  <c r="Q1198" i="55"/>
  <c r="U1197" i="55"/>
  <c r="T1197" i="55"/>
  <c r="S1197" i="55"/>
  <c r="R1197" i="55"/>
  <c r="Q1197" i="55"/>
  <c r="U1196" i="55"/>
  <c r="T1196" i="55"/>
  <c r="S1196" i="55"/>
  <c r="R1196" i="55"/>
  <c r="Q1196" i="55"/>
  <c r="U1195" i="55"/>
  <c r="T1195" i="55"/>
  <c r="S1195" i="55"/>
  <c r="R1195" i="55"/>
  <c r="Q1195" i="55"/>
  <c r="U1194" i="55"/>
  <c r="T1194" i="55"/>
  <c r="S1194" i="55"/>
  <c r="R1194" i="55"/>
  <c r="Q1194" i="55"/>
  <c r="U1193" i="55"/>
  <c r="T1193" i="55"/>
  <c r="S1193" i="55"/>
  <c r="R1193" i="55"/>
  <c r="Q1193" i="55"/>
  <c r="U1192" i="55"/>
  <c r="T1192" i="55"/>
  <c r="S1192" i="55"/>
  <c r="R1192" i="55"/>
  <c r="Q1192" i="55"/>
  <c r="U1191" i="55"/>
  <c r="T1191" i="55"/>
  <c r="S1191" i="55"/>
  <c r="R1191" i="55"/>
  <c r="Q1191" i="55"/>
  <c r="U1190" i="55"/>
  <c r="T1190" i="55"/>
  <c r="S1190" i="55"/>
  <c r="R1190" i="55"/>
  <c r="Q1190" i="55"/>
  <c r="U1189" i="55"/>
  <c r="T1189" i="55"/>
  <c r="S1189" i="55"/>
  <c r="R1189" i="55"/>
  <c r="Q1189" i="55"/>
  <c r="U1188" i="55"/>
  <c r="T1188" i="55"/>
  <c r="S1188" i="55"/>
  <c r="R1188" i="55"/>
  <c r="Q1188" i="55"/>
  <c r="U1187" i="55"/>
  <c r="T1187" i="55"/>
  <c r="S1187" i="55"/>
  <c r="R1187" i="55"/>
  <c r="Q1187" i="55"/>
  <c r="U1186" i="55"/>
  <c r="T1186" i="55"/>
  <c r="S1186" i="55"/>
  <c r="R1186" i="55"/>
  <c r="Q1186" i="55"/>
  <c r="U1185" i="55"/>
  <c r="T1185" i="55"/>
  <c r="S1185" i="55"/>
  <c r="R1185" i="55"/>
  <c r="Q1185" i="55"/>
  <c r="U1184" i="55"/>
  <c r="T1184" i="55"/>
  <c r="S1184" i="55"/>
  <c r="R1184" i="55"/>
  <c r="Q1184" i="55"/>
  <c r="U1183" i="55"/>
  <c r="T1183" i="55"/>
  <c r="S1183" i="55"/>
  <c r="R1183" i="55"/>
  <c r="Q1183" i="55"/>
  <c r="U1182" i="55"/>
  <c r="T1182" i="55"/>
  <c r="S1182" i="55"/>
  <c r="R1182" i="55"/>
  <c r="Q1182" i="55"/>
  <c r="U1181" i="55"/>
  <c r="T1181" i="55"/>
  <c r="S1181" i="55"/>
  <c r="R1181" i="55"/>
  <c r="Q1181" i="55"/>
  <c r="U1180" i="55"/>
  <c r="T1180" i="55"/>
  <c r="S1180" i="55"/>
  <c r="R1180" i="55"/>
  <c r="Q1180" i="55"/>
  <c r="U1179" i="55"/>
  <c r="T1179" i="55"/>
  <c r="S1179" i="55"/>
  <c r="R1179" i="55"/>
  <c r="Q1179" i="55"/>
  <c r="U1178" i="55"/>
  <c r="T1178" i="55"/>
  <c r="S1178" i="55"/>
  <c r="R1178" i="55"/>
  <c r="Q1178" i="55"/>
  <c r="U1177" i="55"/>
  <c r="T1177" i="55"/>
  <c r="S1177" i="55"/>
  <c r="R1177" i="55"/>
  <c r="Q1177" i="55"/>
  <c r="U1176" i="55"/>
  <c r="T1176" i="55"/>
  <c r="S1176" i="55"/>
  <c r="R1176" i="55"/>
  <c r="Q1176" i="55"/>
  <c r="U1175" i="55"/>
  <c r="T1175" i="55"/>
  <c r="S1175" i="55"/>
  <c r="R1175" i="55"/>
  <c r="Q1175" i="55"/>
  <c r="U1174" i="55"/>
  <c r="T1174" i="55"/>
  <c r="S1174" i="55"/>
  <c r="R1174" i="55"/>
  <c r="Q1174" i="55"/>
  <c r="U1173" i="55"/>
  <c r="T1173" i="55"/>
  <c r="S1173" i="55"/>
  <c r="R1173" i="55"/>
  <c r="Q1173" i="55"/>
  <c r="U1172" i="55"/>
  <c r="T1172" i="55"/>
  <c r="S1172" i="55"/>
  <c r="R1172" i="55"/>
  <c r="Q1172" i="55"/>
  <c r="U1171" i="55"/>
  <c r="T1171" i="55"/>
  <c r="S1171" i="55"/>
  <c r="R1171" i="55"/>
  <c r="Q1171" i="55"/>
  <c r="U1170" i="55"/>
  <c r="T1170" i="55"/>
  <c r="S1170" i="55"/>
  <c r="R1170" i="55"/>
  <c r="Q1170" i="55"/>
  <c r="U1169" i="55"/>
  <c r="T1169" i="55"/>
  <c r="S1169" i="55"/>
  <c r="R1169" i="55"/>
  <c r="Q1169" i="55"/>
  <c r="U1168" i="55"/>
  <c r="T1168" i="55"/>
  <c r="S1168" i="55"/>
  <c r="R1168" i="55"/>
  <c r="Q1168" i="55"/>
  <c r="U1167" i="55"/>
  <c r="T1167" i="55"/>
  <c r="S1167" i="55"/>
  <c r="R1167" i="55"/>
  <c r="Q1167" i="55"/>
  <c r="U1166" i="55"/>
  <c r="T1166" i="55"/>
  <c r="S1166" i="55"/>
  <c r="R1166" i="55"/>
  <c r="Q1166" i="55"/>
  <c r="U1165" i="55"/>
  <c r="T1165" i="55"/>
  <c r="S1165" i="55"/>
  <c r="R1165" i="55"/>
  <c r="Q1165" i="55"/>
  <c r="U1164" i="55"/>
  <c r="T1164" i="55"/>
  <c r="S1164" i="55"/>
  <c r="R1164" i="55"/>
  <c r="Q1164" i="55"/>
  <c r="U1163" i="55"/>
  <c r="T1163" i="55"/>
  <c r="S1163" i="55"/>
  <c r="R1163" i="55"/>
  <c r="Q1163" i="55"/>
  <c r="U1162" i="55"/>
  <c r="T1162" i="55"/>
  <c r="S1162" i="55"/>
  <c r="R1162" i="55"/>
  <c r="Q1162" i="55"/>
  <c r="U1161" i="55"/>
  <c r="T1161" i="55"/>
  <c r="S1161" i="55"/>
  <c r="R1161" i="55"/>
  <c r="Q1161" i="55"/>
  <c r="U1160" i="55"/>
  <c r="T1160" i="55"/>
  <c r="S1160" i="55"/>
  <c r="R1160" i="55"/>
  <c r="Q1160" i="55"/>
  <c r="U1159" i="55"/>
  <c r="T1159" i="55"/>
  <c r="S1159" i="55"/>
  <c r="R1159" i="55"/>
  <c r="Q1159" i="55"/>
  <c r="U1158" i="55"/>
  <c r="T1158" i="55"/>
  <c r="S1158" i="55"/>
  <c r="R1158" i="55"/>
  <c r="Q1158" i="55"/>
  <c r="U1157" i="55"/>
  <c r="T1157" i="55"/>
  <c r="S1157" i="55"/>
  <c r="R1157" i="55"/>
  <c r="Q1157" i="55"/>
  <c r="U1156" i="55"/>
  <c r="T1156" i="55"/>
  <c r="S1156" i="55"/>
  <c r="R1156" i="55"/>
  <c r="Q1156" i="55"/>
  <c r="U1155" i="55"/>
  <c r="T1155" i="55"/>
  <c r="S1155" i="55"/>
  <c r="R1155" i="55"/>
  <c r="Q1155" i="55"/>
  <c r="U1154" i="55"/>
  <c r="T1154" i="55"/>
  <c r="S1154" i="55"/>
  <c r="R1154" i="55"/>
  <c r="Q1154" i="55"/>
  <c r="U1153" i="55"/>
  <c r="T1153" i="55"/>
  <c r="S1153" i="55"/>
  <c r="R1153" i="55"/>
  <c r="Q1153" i="55"/>
  <c r="U1152" i="55"/>
  <c r="T1152" i="55"/>
  <c r="S1152" i="55"/>
  <c r="R1152" i="55"/>
  <c r="Q1152" i="55"/>
  <c r="U1151" i="55"/>
  <c r="T1151" i="55"/>
  <c r="S1151" i="55"/>
  <c r="R1151" i="55"/>
  <c r="Q1151" i="55"/>
  <c r="U1150" i="55"/>
  <c r="T1150" i="55"/>
  <c r="S1150" i="55"/>
  <c r="R1150" i="55"/>
  <c r="Q1150" i="55"/>
  <c r="U1149" i="55"/>
  <c r="T1149" i="55"/>
  <c r="S1149" i="55"/>
  <c r="R1149" i="55"/>
  <c r="Q1149" i="55"/>
  <c r="U1148" i="55"/>
  <c r="T1148" i="55"/>
  <c r="S1148" i="55"/>
  <c r="R1148" i="55"/>
  <c r="Q1148" i="55"/>
  <c r="U1147" i="55"/>
  <c r="T1147" i="55"/>
  <c r="S1147" i="55"/>
  <c r="R1147" i="55"/>
  <c r="Q1147" i="55"/>
  <c r="U1146" i="55"/>
  <c r="T1146" i="55"/>
  <c r="S1146" i="55"/>
  <c r="R1146" i="55"/>
  <c r="Q1146" i="55"/>
  <c r="U1145" i="55"/>
  <c r="T1145" i="55"/>
  <c r="S1145" i="55"/>
  <c r="R1145" i="55"/>
  <c r="Q1145" i="55"/>
  <c r="U1144" i="55"/>
  <c r="T1144" i="55"/>
  <c r="S1144" i="55"/>
  <c r="R1144" i="55"/>
  <c r="Q1144" i="55"/>
  <c r="U1143" i="55"/>
  <c r="T1143" i="55"/>
  <c r="S1143" i="55"/>
  <c r="R1143" i="55"/>
  <c r="Q1143" i="55"/>
  <c r="U1142" i="55"/>
  <c r="T1142" i="55"/>
  <c r="S1142" i="55"/>
  <c r="R1142" i="55"/>
  <c r="Q1142" i="55"/>
  <c r="U1141" i="55"/>
  <c r="T1141" i="55"/>
  <c r="S1141" i="55"/>
  <c r="R1141" i="55"/>
  <c r="Q1141" i="55"/>
  <c r="U1140" i="55"/>
  <c r="T1140" i="55"/>
  <c r="S1140" i="55"/>
  <c r="R1140" i="55"/>
  <c r="Q1140" i="55"/>
  <c r="U1139" i="55"/>
  <c r="T1139" i="55"/>
  <c r="S1139" i="55"/>
  <c r="R1139" i="55"/>
  <c r="Q1139" i="55"/>
  <c r="U1138" i="55"/>
  <c r="T1138" i="55"/>
  <c r="S1138" i="55"/>
  <c r="R1138" i="55"/>
  <c r="Q1138" i="55"/>
  <c r="U1137" i="55"/>
  <c r="T1137" i="55"/>
  <c r="S1137" i="55"/>
  <c r="R1137" i="55"/>
  <c r="Q1137" i="55"/>
  <c r="U1136" i="55"/>
  <c r="T1136" i="55"/>
  <c r="S1136" i="55"/>
  <c r="R1136" i="55"/>
  <c r="Q1136" i="55"/>
  <c r="U1135" i="55"/>
  <c r="T1135" i="55"/>
  <c r="S1135" i="55"/>
  <c r="R1135" i="55"/>
  <c r="Q1135" i="55"/>
  <c r="U1134" i="55"/>
  <c r="T1134" i="55"/>
  <c r="S1134" i="55"/>
  <c r="R1134" i="55"/>
  <c r="Q1134" i="55"/>
  <c r="U1133" i="55"/>
  <c r="T1133" i="55"/>
  <c r="S1133" i="55"/>
  <c r="R1133" i="55"/>
  <c r="Q1133" i="55"/>
  <c r="U1132" i="55"/>
  <c r="T1132" i="55"/>
  <c r="S1132" i="55"/>
  <c r="R1132" i="55"/>
  <c r="Q1132" i="55"/>
  <c r="U1131" i="55"/>
  <c r="T1131" i="55"/>
  <c r="S1131" i="55"/>
  <c r="R1131" i="55"/>
  <c r="Q1131" i="55"/>
  <c r="U1130" i="55"/>
  <c r="T1130" i="55"/>
  <c r="S1130" i="55"/>
  <c r="R1130" i="55"/>
  <c r="Q1130" i="55"/>
  <c r="U1129" i="55"/>
  <c r="T1129" i="55"/>
  <c r="S1129" i="55"/>
  <c r="R1129" i="55"/>
  <c r="Q1129" i="55"/>
  <c r="U1128" i="55"/>
  <c r="T1128" i="55"/>
  <c r="S1128" i="55"/>
  <c r="R1128" i="55"/>
  <c r="Q1128" i="55"/>
  <c r="U1127" i="55"/>
  <c r="T1127" i="55"/>
  <c r="S1127" i="55"/>
  <c r="R1127" i="55"/>
  <c r="Q1127" i="55"/>
  <c r="U1126" i="55"/>
  <c r="T1126" i="55"/>
  <c r="S1126" i="55"/>
  <c r="R1126" i="55"/>
  <c r="Q1126" i="55"/>
  <c r="U1125" i="55"/>
  <c r="T1125" i="55"/>
  <c r="S1125" i="55"/>
  <c r="R1125" i="55"/>
  <c r="Q1125" i="55"/>
  <c r="U1124" i="55"/>
  <c r="T1124" i="55"/>
  <c r="S1124" i="55"/>
  <c r="R1124" i="55"/>
  <c r="Q1124" i="55"/>
  <c r="U1123" i="55"/>
  <c r="T1123" i="55"/>
  <c r="S1123" i="55"/>
  <c r="R1123" i="55"/>
  <c r="Q1123" i="55"/>
  <c r="U1122" i="55"/>
  <c r="T1122" i="55"/>
  <c r="S1122" i="55"/>
  <c r="R1122" i="55"/>
  <c r="Q1122" i="55"/>
  <c r="U1121" i="55"/>
  <c r="T1121" i="55"/>
  <c r="S1121" i="55"/>
  <c r="R1121" i="55"/>
  <c r="Q1121" i="55"/>
  <c r="U1120" i="55"/>
  <c r="T1120" i="55"/>
  <c r="S1120" i="55"/>
  <c r="R1120" i="55"/>
  <c r="Q1120" i="55"/>
  <c r="U1119" i="55"/>
  <c r="T1119" i="55"/>
  <c r="S1119" i="55"/>
  <c r="R1119" i="55"/>
  <c r="Q1119" i="55"/>
  <c r="U1118" i="55"/>
  <c r="T1118" i="55"/>
  <c r="S1118" i="55"/>
  <c r="R1118" i="55"/>
  <c r="Q1118" i="55"/>
  <c r="U1117" i="55"/>
  <c r="T1117" i="55"/>
  <c r="S1117" i="55"/>
  <c r="R1117" i="55"/>
  <c r="Q1117" i="55"/>
  <c r="U1116" i="55"/>
  <c r="T1116" i="55"/>
  <c r="S1116" i="55"/>
  <c r="R1116" i="55"/>
  <c r="Q1116" i="55"/>
  <c r="U1115" i="55"/>
  <c r="T1115" i="55"/>
  <c r="S1115" i="55"/>
  <c r="R1115" i="55"/>
  <c r="Q1115" i="55"/>
  <c r="U1114" i="55"/>
  <c r="T1114" i="55"/>
  <c r="S1114" i="55"/>
  <c r="R1114" i="55"/>
  <c r="Q1114" i="55"/>
  <c r="U1113" i="55"/>
  <c r="T1113" i="55"/>
  <c r="S1113" i="55"/>
  <c r="R1113" i="55"/>
  <c r="Q1113" i="55"/>
  <c r="U1112" i="55"/>
  <c r="T1112" i="55"/>
  <c r="S1112" i="55"/>
  <c r="R1112" i="55"/>
  <c r="Q1112" i="55"/>
  <c r="U1111" i="55"/>
  <c r="T1111" i="55"/>
  <c r="S1111" i="55"/>
  <c r="R1111" i="55"/>
  <c r="Q1111" i="55"/>
  <c r="U1110" i="55"/>
  <c r="T1110" i="55"/>
  <c r="S1110" i="55"/>
  <c r="R1110" i="55"/>
  <c r="Q1110" i="55"/>
  <c r="U1109" i="55"/>
  <c r="T1109" i="55"/>
  <c r="S1109" i="55"/>
  <c r="R1109" i="55"/>
  <c r="Q1109" i="55"/>
  <c r="U1108" i="55"/>
  <c r="T1108" i="55"/>
  <c r="S1108" i="55"/>
  <c r="R1108" i="55"/>
  <c r="Q1108" i="55"/>
  <c r="U1107" i="55"/>
  <c r="T1107" i="55"/>
  <c r="S1107" i="55"/>
  <c r="R1107" i="55"/>
  <c r="Q1107" i="55"/>
  <c r="U1106" i="55"/>
  <c r="T1106" i="55"/>
  <c r="S1106" i="55"/>
  <c r="R1106" i="55"/>
  <c r="Q1106" i="55"/>
  <c r="U1105" i="55"/>
  <c r="T1105" i="55"/>
  <c r="S1105" i="55"/>
  <c r="R1105" i="55"/>
  <c r="Q1105" i="55"/>
  <c r="U1104" i="55"/>
  <c r="T1104" i="55"/>
  <c r="S1104" i="55"/>
  <c r="R1104" i="55"/>
  <c r="Q1104" i="55"/>
  <c r="U1103" i="55"/>
  <c r="T1103" i="55"/>
  <c r="S1103" i="55"/>
  <c r="R1103" i="55"/>
  <c r="Q1103" i="55"/>
  <c r="U1102" i="55"/>
  <c r="T1102" i="55"/>
  <c r="S1102" i="55"/>
  <c r="R1102" i="55"/>
  <c r="Q1102" i="55"/>
  <c r="U1101" i="55"/>
  <c r="T1101" i="55"/>
  <c r="S1101" i="55"/>
  <c r="R1101" i="55"/>
  <c r="Q1101" i="55"/>
  <c r="U1100" i="55"/>
  <c r="T1100" i="55"/>
  <c r="S1100" i="55"/>
  <c r="R1100" i="55"/>
  <c r="Q1100" i="55"/>
  <c r="U1099" i="55"/>
  <c r="T1099" i="55"/>
  <c r="S1099" i="55"/>
  <c r="R1099" i="55"/>
  <c r="Q1099" i="55"/>
  <c r="U1098" i="55"/>
  <c r="T1098" i="55"/>
  <c r="S1098" i="55"/>
  <c r="R1098" i="55"/>
  <c r="Q1098" i="55"/>
  <c r="U1097" i="55"/>
  <c r="T1097" i="55"/>
  <c r="S1097" i="55"/>
  <c r="R1097" i="55"/>
  <c r="Q1097" i="55"/>
  <c r="U1096" i="55"/>
  <c r="T1096" i="55"/>
  <c r="S1096" i="55"/>
  <c r="R1096" i="55"/>
  <c r="Q1096" i="55"/>
  <c r="U1095" i="55"/>
  <c r="T1095" i="55"/>
  <c r="S1095" i="55"/>
  <c r="R1095" i="55"/>
  <c r="Q1095" i="55"/>
  <c r="U1094" i="55"/>
  <c r="T1094" i="55"/>
  <c r="S1094" i="55"/>
  <c r="R1094" i="55"/>
  <c r="Q1094" i="55"/>
  <c r="U1093" i="55"/>
  <c r="T1093" i="55"/>
  <c r="S1093" i="55"/>
  <c r="R1093" i="55"/>
  <c r="Q1093" i="55"/>
  <c r="U1092" i="55"/>
  <c r="T1092" i="55"/>
  <c r="S1092" i="55"/>
  <c r="R1092" i="55"/>
  <c r="Q1092" i="55"/>
  <c r="U1091" i="55"/>
  <c r="T1091" i="55"/>
  <c r="S1091" i="55"/>
  <c r="R1091" i="55"/>
  <c r="Q1091" i="55"/>
  <c r="U1090" i="55"/>
  <c r="T1090" i="55"/>
  <c r="S1090" i="55"/>
  <c r="R1090" i="55"/>
  <c r="Q1090" i="55"/>
  <c r="U1089" i="55"/>
  <c r="T1089" i="55"/>
  <c r="S1089" i="55"/>
  <c r="R1089" i="55"/>
  <c r="Q1089" i="55"/>
  <c r="U1088" i="55"/>
  <c r="T1088" i="55"/>
  <c r="S1088" i="55"/>
  <c r="R1088" i="55"/>
  <c r="Q1088" i="55"/>
  <c r="U1087" i="55"/>
  <c r="T1087" i="55"/>
  <c r="S1087" i="55"/>
  <c r="R1087" i="55"/>
  <c r="Q1087" i="55"/>
  <c r="U1086" i="55"/>
  <c r="T1086" i="55"/>
  <c r="S1086" i="55"/>
  <c r="R1086" i="55"/>
  <c r="Q1086" i="55"/>
  <c r="U1085" i="55"/>
  <c r="T1085" i="55"/>
  <c r="S1085" i="55"/>
  <c r="R1085" i="55"/>
  <c r="Q1085" i="55"/>
  <c r="U1084" i="55"/>
  <c r="T1084" i="55"/>
  <c r="S1084" i="55"/>
  <c r="R1084" i="55"/>
  <c r="Q1084" i="55"/>
  <c r="U1083" i="55"/>
  <c r="T1083" i="55"/>
  <c r="S1083" i="55"/>
  <c r="R1083" i="55"/>
  <c r="Q1083" i="55"/>
  <c r="U1082" i="55"/>
  <c r="T1082" i="55"/>
  <c r="S1082" i="55"/>
  <c r="R1082" i="55"/>
  <c r="Q1082" i="55"/>
  <c r="U1081" i="55"/>
  <c r="T1081" i="55"/>
  <c r="S1081" i="55"/>
  <c r="R1081" i="55"/>
  <c r="Q1081" i="55"/>
  <c r="U1080" i="55"/>
  <c r="T1080" i="55"/>
  <c r="S1080" i="55"/>
  <c r="R1080" i="55"/>
  <c r="Q1080" i="55"/>
  <c r="U1079" i="55"/>
  <c r="T1079" i="55"/>
  <c r="S1079" i="55"/>
  <c r="R1079" i="55"/>
  <c r="Q1079" i="55"/>
  <c r="U1078" i="55"/>
  <c r="T1078" i="55"/>
  <c r="S1078" i="55"/>
  <c r="R1078" i="55"/>
  <c r="Q1078" i="55"/>
  <c r="U1077" i="55"/>
  <c r="T1077" i="55"/>
  <c r="S1077" i="55"/>
  <c r="R1077" i="55"/>
  <c r="Q1077" i="55"/>
  <c r="U1076" i="55"/>
  <c r="T1076" i="55"/>
  <c r="S1076" i="55"/>
  <c r="R1076" i="55"/>
  <c r="Q1076" i="55"/>
  <c r="U1075" i="55"/>
  <c r="T1075" i="55"/>
  <c r="S1075" i="55"/>
  <c r="R1075" i="55"/>
  <c r="Q1075" i="55"/>
  <c r="U1074" i="55"/>
  <c r="T1074" i="55"/>
  <c r="S1074" i="55"/>
  <c r="R1074" i="55"/>
  <c r="Q1074" i="55"/>
  <c r="U1073" i="55"/>
  <c r="T1073" i="55"/>
  <c r="S1073" i="55"/>
  <c r="R1073" i="55"/>
  <c r="Q1073" i="55"/>
  <c r="U1072" i="55"/>
  <c r="T1072" i="55"/>
  <c r="S1072" i="55"/>
  <c r="R1072" i="55"/>
  <c r="Q1072" i="55"/>
  <c r="U1071" i="55"/>
  <c r="T1071" i="55"/>
  <c r="S1071" i="55"/>
  <c r="R1071" i="55"/>
  <c r="Q1071" i="55"/>
  <c r="U1070" i="55"/>
  <c r="T1070" i="55"/>
  <c r="S1070" i="55"/>
  <c r="R1070" i="55"/>
  <c r="Q1070" i="55"/>
  <c r="U1069" i="55"/>
  <c r="T1069" i="55"/>
  <c r="S1069" i="55"/>
  <c r="R1069" i="55"/>
  <c r="Q1069" i="55"/>
  <c r="U1068" i="55"/>
  <c r="T1068" i="55"/>
  <c r="S1068" i="55"/>
  <c r="R1068" i="55"/>
  <c r="Q1068" i="55"/>
  <c r="U1067" i="55"/>
  <c r="T1067" i="55"/>
  <c r="S1067" i="55"/>
  <c r="R1067" i="55"/>
  <c r="Q1067" i="55"/>
  <c r="U1066" i="55"/>
  <c r="T1066" i="55"/>
  <c r="S1066" i="55"/>
  <c r="R1066" i="55"/>
  <c r="Q1066" i="55"/>
  <c r="U1065" i="55"/>
  <c r="T1065" i="55"/>
  <c r="S1065" i="55"/>
  <c r="R1065" i="55"/>
  <c r="Q1065" i="55"/>
  <c r="U1064" i="55"/>
  <c r="T1064" i="55"/>
  <c r="S1064" i="55"/>
  <c r="R1064" i="55"/>
  <c r="Q1064" i="55"/>
  <c r="U1063" i="55"/>
  <c r="T1063" i="55"/>
  <c r="S1063" i="55"/>
  <c r="R1063" i="55"/>
  <c r="Q1063" i="55"/>
  <c r="U1062" i="55"/>
  <c r="T1062" i="55"/>
  <c r="S1062" i="55"/>
  <c r="R1062" i="55"/>
  <c r="Q1062" i="55"/>
  <c r="U1061" i="55"/>
  <c r="T1061" i="55"/>
  <c r="S1061" i="55"/>
  <c r="R1061" i="55"/>
  <c r="Q1061" i="55"/>
  <c r="U1060" i="55"/>
  <c r="T1060" i="55"/>
  <c r="S1060" i="55"/>
  <c r="R1060" i="55"/>
  <c r="Q1060" i="55"/>
  <c r="U1059" i="55"/>
  <c r="T1059" i="55"/>
  <c r="S1059" i="55"/>
  <c r="R1059" i="55"/>
  <c r="Q1059" i="55"/>
  <c r="U1058" i="55"/>
  <c r="T1058" i="55"/>
  <c r="S1058" i="55"/>
  <c r="R1058" i="55"/>
  <c r="Q1058" i="55"/>
  <c r="U1057" i="55"/>
  <c r="T1057" i="55"/>
  <c r="S1057" i="55"/>
  <c r="R1057" i="55"/>
  <c r="Q1057" i="55"/>
  <c r="U1056" i="55"/>
  <c r="T1056" i="55"/>
  <c r="S1056" i="55"/>
  <c r="R1056" i="55"/>
  <c r="Q1056" i="55"/>
  <c r="U1055" i="55"/>
  <c r="T1055" i="55"/>
  <c r="S1055" i="55"/>
  <c r="R1055" i="55"/>
  <c r="Q1055" i="55"/>
  <c r="U1054" i="55"/>
  <c r="T1054" i="55"/>
  <c r="S1054" i="55"/>
  <c r="R1054" i="55"/>
  <c r="Q1054" i="55"/>
  <c r="U1053" i="55"/>
  <c r="T1053" i="55"/>
  <c r="S1053" i="55"/>
  <c r="R1053" i="55"/>
  <c r="Q1053" i="55"/>
  <c r="U1052" i="55"/>
  <c r="T1052" i="55"/>
  <c r="S1052" i="55"/>
  <c r="R1052" i="55"/>
  <c r="Q1052" i="55"/>
  <c r="U1051" i="55"/>
  <c r="T1051" i="55"/>
  <c r="S1051" i="55"/>
  <c r="R1051" i="55"/>
  <c r="Q1051" i="55"/>
  <c r="U1050" i="55"/>
  <c r="T1050" i="55"/>
  <c r="S1050" i="55"/>
  <c r="R1050" i="55"/>
  <c r="Q1050" i="55"/>
  <c r="U1049" i="55"/>
  <c r="T1049" i="55"/>
  <c r="S1049" i="55"/>
  <c r="R1049" i="55"/>
  <c r="Q1049" i="55"/>
  <c r="U1048" i="55"/>
  <c r="T1048" i="55"/>
  <c r="S1048" i="55"/>
  <c r="R1048" i="55"/>
  <c r="Q1048" i="55"/>
  <c r="U1047" i="55"/>
  <c r="T1047" i="55"/>
  <c r="S1047" i="55"/>
  <c r="R1047" i="55"/>
  <c r="Q1047" i="55"/>
  <c r="U1046" i="55"/>
  <c r="T1046" i="55"/>
  <c r="S1046" i="55"/>
  <c r="R1046" i="55"/>
  <c r="Q1046" i="55"/>
  <c r="U1045" i="55"/>
  <c r="T1045" i="55"/>
  <c r="S1045" i="55"/>
  <c r="R1045" i="55"/>
  <c r="Q1045" i="55"/>
  <c r="U1044" i="55"/>
  <c r="T1044" i="55"/>
  <c r="S1044" i="55"/>
  <c r="R1044" i="55"/>
  <c r="Q1044" i="55"/>
  <c r="U1043" i="55"/>
  <c r="T1043" i="55"/>
  <c r="S1043" i="55"/>
  <c r="R1043" i="55"/>
  <c r="Q1043" i="55"/>
  <c r="U1042" i="55"/>
  <c r="T1042" i="55"/>
  <c r="S1042" i="55"/>
  <c r="R1042" i="55"/>
  <c r="Q1042" i="55"/>
  <c r="U1041" i="55"/>
  <c r="T1041" i="55"/>
  <c r="S1041" i="55"/>
  <c r="R1041" i="55"/>
  <c r="Q1041" i="55"/>
  <c r="U1040" i="55"/>
  <c r="T1040" i="55"/>
  <c r="S1040" i="55"/>
  <c r="R1040" i="55"/>
  <c r="Q1040" i="55"/>
  <c r="U1039" i="55"/>
  <c r="T1039" i="55"/>
  <c r="S1039" i="55"/>
  <c r="R1039" i="55"/>
  <c r="Q1039" i="55"/>
  <c r="U1038" i="55"/>
  <c r="T1038" i="55"/>
  <c r="S1038" i="55"/>
  <c r="R1038" i="55"/>
  <c r="Q1038" i="55"/>
  <c r="U1037" i="55"/>
  <c r="T1037" i="55"/>
  <c r="S1037" i="55"/>
  <c r="R1037" i="55"/>
  <c r="Q1037" i="55"/>
  <c r="U1036" i="55"/>
  <c r="T1036" i="55"/>
  <c r="S1036" i="55"/>
  <c r="R1036" i="55"/>
  <c r="Q1036" i="55"/>
  <c r="U1035" i="55"/>
  <c r="T1035" i="55"/>
  <c r="S1035" i="55"/>
  <c r="R1035" i="55"/>
  <c r="Q1035" i="55"/>
  <c r="U1034" i="55"/>
  <c r="T1034" i="55"/>
  <c r="S1034" i="55"/>
  <c r="R1034" i="55"/>
  <c r="Q1034" i="55"/>
  <c r="U1033" i="55"/>
  <c r="T1033" i="55"/>
  <c r="S1033" i="55"/>
  <c r="R1033" i="55"/>
  <c r="Q1033" i="55"/>
  <c r="U1032" i="55"/>
  <c r="T1032" i="55"/>
  <c r="S1032" i="55"/>
  <c r="R1032" i="55"/>
  <c r="Q1032" i="55"/>
  <c r="U1031" i="55"/>
  <c r="T1031" i="55"/>
  <c r="S1031" i="55"/>
  <c r="R1031" i="55"/>
  <c r="Q1031" i="55"/>
  <c r="U1030" i="55"/>
  <c r="T1030" i="55"/>
  <c r="S1030" i="55"/>
  <c r="R1030" i="55"/>
  <c r="Q1030" i="55"/>
  <c r="U1029" i="55"/>
  <c r="T1029" i="55"/>
  <c r="S1029" i="55"/>
  <c r="R1029" i="55"/>
  <c r="Q1029" i="55"/>
  <c r="U1028" i="55"/>
  <c r="T1028" i="55"/>
  <c r="S1028" i="55"/>
  <c r="R1028" i="55"/>
  <c r="Q1028" i="55"/>
  <c r="U1027" i="55"/>
  <c r="T1027" i="55"/>
  <c r="S1027" i="55"/>
  <c r="R1027" i="55"/>
  <c r="Q1027" i="55"/>
  <c r="U1026" i="55"/>
  <c r="T1026" i="55"/>
  <c r="S1026" i="55"/>
  <c r="R1026" i="55"/>
  <c r="Q1026" i="55"/>
  <c r="U1025" i="55"/>
  <c r="T1025" i="55"/>
  <c r="S1025" i="55"/>
  <c r="R1025" i="55"/>
  <c r="Q1025" i="55"/>
  <c r="U1024" i="55"/>
  <c r="T1024" i="55"/>
  <c r="S1024" i="55"/>
  <c r="R1024" i="55"/>
  <c r="Q1024" i="55"/>
  <c r="U1023" i="55"/>
  <c r="T1023" i="55"/>
  <c r="S1023" i="55"/>
  <c r="R1023" i="55"/>
  <c r="Q1023" i="55"/>
  <c r="U1022" i="55"/>
  <c r="T1022" i="55"/>
  <c r="S1022" i="55"/>
  <c r="R1022" i="55"/>
  <c r="Q1022" i="55"/>
  <c r="U1021" i="55"/>
  <c r="T1021" i="55"/>
  <c r="S1021" i="55"/>
  <c r="R1021" i="55"/>
  <c r="Q1021" i="55"/>
  <c r="U1020" i="55"/>
  <c r="T1020" i="55"/>
  <c r="S1020" i="55"/>
  <c r="R1020" i="55"/>
  <c r="Q1020" i="55"/>
  <c r="U1019" i="55"/>
  <c r="T1019" i="55"/>
  <c r="S1019" i="55"/>
  <c r="R1019" i="55"/>
  <c r="Q1019" i="55"/>
  <c r="U1018" i="55"/>
  <c r="T1018" i="55"/>
  <c r="S1018" i="55"/>
  <c r="R1018" i="55"/>
  <c r="Q1018" i="55"/>
  <c r="U1017" i="55"/>
  <c r="T1017" i="55"/>
  <c r="S1017" i="55"/>
  <c r="R1017" i="55"/>
  <c r="Q1017" i="55"/>
  <c r="U1016" i="55"/>
  <c r="T1016" i="55"/>
  <c r="S1016" i="55"/>
  <c r="R1016" i="55"/>
  <c r="Q1016" i="55"/>
  <c r="U1015" i="55"/>
  <c r="T1015" i="55"/>
  <c r="S1015" i="55"/>
  <c r="R1015" i="55"/>
  <c r="Q1015" i="55"/>
  <c r="U1014" i="55"/>
  <c r="T1014" i="55"/>
  <c r="S1014" i="55"/>
  <c r="R1014" i="55"/>
  <c r="Q1014" i="55"/>
  <c r="U1013" i="55"/>
  <c r="T1013" i="55"/>
  <c r="S1013" i="55"/>
  <c r="R1013" i="55"/>
  <c r="Q1013" i="55"/>
  <c r="U1012" i="55"/>
  <c r="T1012" i="55"/>
  <c r="S1012" i="55"/>
  <c r="R1012" i="55"/>
  <c r="Q1012" i="55"/>
  <c r="U1011" i="55"/>
  <c r="T1011" i="55"/>
  <c r="S1011" i="55"/>
  <c r="R1011" i="55"/>
  <c r="Q1011" i="55"/>
  <c r="U1010" i="55"/>
  <c r="T1010" i="55"/>
  <c r="S1010" i="55"/>
  <c r="R1010" i="55"/>
  <c r="Q1010" i="55"/>
  <c r="U1009" i="55"/>
  <c r="T1009" i="55"/>
  <c r="S1009" i="55"/>
  <c r="R1009" i="55"/>
  <c r="Q1009" i="55"/>
  <c r="U1008" i="55"/>
  <c r="T1008" i="55"/>
  <c r="S1008" i="55"/>
  <c r="R1008" i="55"/>
  <c r="Q1008" i="55"/>
  <c r="U1007" i="55"/>
  <c r="T1007" i="55"/>
  <c r="S1007" i="55"/>
  <c r="R1007" i="55"/>
  <c r="Q1007" i="55"/>
  <c r="U1006" i="55"/>
  <c r="T1006" i="55"/>
  <c r="S1006" i="55"/>
  <c r="R1006" i="55"/>
  <c r="Q1006" i="55"/>
  <c r="U1005" i="55"/>
  <c r="T1005" i="55"/>
  <c r="S1005" i="55"/>
  <c r="R1005" i="55"/>
  <c r="Q1005" i="55"/>
  <c r="U1004" i="55"/>
  <c r="T1004" i="55"/>
  <c r="S1004" i="55"/>
  <c r="R1004" i="55"/>
  <c r="Q1004" i="55"/>
  <c r="U1003" i="55"/>
  <c r="T1003" i="55"/>
  <c r="S1003" i="55"/>
  <c r="R1003" i="55"/>
  <c r="Q1003" i="55"/>
  <c r="U1002" i="55"/>
  <c r="T1002" i="55"/>
  <c r="S1002" i="55"/>
  <c r="R1002" i="55"/>
  <c r="Q1002" i="55"/>
  <c r="U1001" i="55"/>
  <c r="T1001" i="55"/>
  <c r="S1001" i="55"/>
  <c r="R1001" i="55"/>
  <c r="Q1001" i="55"/>
  <c r="U1000" i="55"/>
  <c r="T1000" i="55"/>
  <c r="S1000" i="55"/>
  <c r="R1000" i="55"/>
  <c r="Q1000" i="55"/>
  <c r="U999" i="55"/>
  <c r="T999" i="55"/>
  <c r="S999" i="55"/>
  <c r="R999" i="55"/>
  <c r="Q999" i="55"/>
  <c r="U998" i="55"/>
  <c r="T998" i="55"/>
  <c r="S998" i="55"/>
  <c r="R998" i="55"/>
  <c r="Q998" i="55"/>
  <c r="U997" i="55"/>
  <c r="T997" i="55"/>
  <c r="S997" i="55"/>
  <c r="R997" i="55"/>
  <c r="Q997" i="55"/>
  <c r="U996" i="55"/>
  <c r="T996" i="55"/>
  <c r="S996" i="55"/>
  <c r="R996" i="55"/>
  <c r="Q996" i="55"/>
  <c r="U995" i="55"/>
  <c r="T995" i="55"/>
  <c r="S995" i="55"/>
  <c r="R995" i="55"/>
  <c r="Q995" i="55"/>
  <c r="U994" i="55"/>
  <c r="T994" i="55"/>
  <c r="S994" i="55"/>
  <c r="R994" i="55"/>
  <c r="Q994" i="55"/>
  <c r="U993" i="55"/>
  <c r="T993" i="55"/>
  <c r="S993" i="55"/>
  <c r="R993" i="55"/>
  <c r="Q993" i="55"/>
  <c r="U992" i="55"/>
  <c r="T992" i="55"/>
  <c r="S992" i="55"/>
  <c r="R992" i="55"/>
  <c r="Q992" i="55"/>
  <c r="U991" i="55"/>
  <c r="T991" i="55"/>
  <c r="S991" i="55"/>
  <c r="R991" i="55"/>
  <c r="Q991" i="55"/>
  <c r="U990" i="55"/>
  <c r="T990" i="55"/>
  <c r="S990" i="55"/>
  <c r="R990" i="55"/>
  <c r="Q990" i="55"/>
  <c r="U989" i="55"/>
  <c r="T989" i="55"/>
  <c r="S989" i="55"/>
  <c r="R989" i="55"/>
  <c r="Q989" i="55"/>
  <c r="U988" i="55"/>
  <c r="T988" i="55"/>
  <c r="S988" i="55"/>
  <c r="R988" i="55"/>
  <c r="Q988" i="55"/>
  <c r="U987" i="55"/>
  <c r="T987" i="55"/>
  <c r="S987" i="55"/>
  <c r="R987" i="55"/>
  <c r="Q987" i="55"/>
  <c r="U986" i="55"/>
  <c r="T986" i="55"/>
  <c r="S986" i="55"/>
  <c r="R986" i="55"/>
  <c r="Q986" i="55"/>
  <c r="U985" i="55"/>
  <c r="T985" i="55"/>
  <c r="S985" i="55"/>
  <c r="R985" i="55"/>
  <c r="Q985" i="55"/>
  <c r="U984" i="55"/>
  <c r="T984" i="55"/>
  <c r="S984" i="55"/>
  <c r="R984" i="55"/>
  <c r="Q984" i="55"/>
  <c r="U983" i="55"/>
  <c r="T983" i="55"/>
  <c r="S983" i="55"/>
  <c r="R983" i="55"/>
  <c r="Q983" i="55"/>
  <c r="U982" i="55"/>
  <c r="T982" i="55"/>
  <c r="S982" i="55"/>
  <c r="R982" i="55"/>
  <c r="Q982" i="55"/>
  <c r="U981" i="55"/>
  <c r="T981" i="55"/>
  <c r="S981" i="55"/>
  <c r="R981" i="55"/>
  <c r="Q981" i="55"/>
  <c r="U980" i="55"/>
  <c r="T980" i="55"/>
  <c r="S980" i="55"/>
  <c r="R980" i="55"/>
  <c r="Q980" i="55"/>
  <c r="U979" i="55"/>
  <c r="T979" i="55"/>
  <c r="S979" i="55"/>
  <c r="R979" i="55"/>
  <c r="Q979" i="55"/>
  <c r="U978" i="55"/>
  <c r="T978" i="55"/>
  <c r="S978" i="55"/>
  <c r="R978" i="55"/>
  <c r="Q978" i="55"/>
  <c r="U977" i="55"/>
  <c r="T977" i="55"/>
  <c r="S977" i="55"/>
  <c r="R977" i="55"/>
  <c r="Q977" i="55"/>
  <c r="U976" i="55"/>
  <c r="T976" i="55"/>
  <c r="S976" i="55"/>
  <c r="R976" i="55"/>
  <c r="Q976" i="55"/>
  <c r="U975" i="55"/>
  <c r="T975" i="55"/>
  <c r="S975" i="55"/>
  <c r="R975" i="55"/>
  <c r="Q975" i="55"/>
  <c r="U974" i="55"/>
  <c r="T974" i="55"/>
  <c r="S974" i="55"/>
  <c r="R974" i="55"/>
  <c r="Q974" i="55"/>
  <c r="U973" i="55"/>
  <c r="T973" i="55"/>
  <c r="S973" i="55"/>
  <c r="R973" i="55"/>
  <c r="Q973" i="55"/>
  <c r="U972" i="55"/>
  <c r="T972" i="55"/>
  <c r="S972" i="55"/>
  <c r="R972" i="55"/>
  <c r="Q972" i="55"/>
  <c r="U971" i="55"/>
  <c r="T971" i="55"/>
  <c r="S971" i="55"/>
  <c r="R971" i="55"/>
  <c r="Q971" i="55"/>
  <c r="U970" i="55"/>
  <c r="T970" i="55"/>
  <c r="S970" i="55"/>
  <c r="R970" i="55"/>
  <c r="Q970" i="55"/>
  <c r="U969" i="55"/>
  <c r="T969" i="55"/>
  <c r="S969" i="55"/>
  <c r="R969" i="55"/>
  <c r="Q969" i="55"/>
  <c r="U968" i="55"/>
  <c r="T968" i="55"/>
  <c r="S968" i="55"/>
  <c r="R968" i="55"/>
  <c r="Q968" i="55"/>
  <c r="U967" i="55"/>
  <c r="T967" i="55"/>
  <c r="S967" i="55"/>
  <c r="R967" i="55"/>
  <c r="Q967" i="55"/>
  <c r="U966" i="55"/>
  <c r="T966" i="55"/>
  <c r="S966" i="55"/>
  <c r="R966" i="55"/>
  <c r="Q966" i="55"/>
  <c r="U965" i="55"/>
  <c r="T965" i="55"/>
  <c r="S965" i="55"/>
  <c r="R965" i="55"/>
  <c r="Q965" i="55"/>
  <c r="U964" i="55"/>
  <c r="T964" i="55"/>
  <c r="S964" i="55"/>
  <c r="R964" i="55"/>
  <c r="Q964" i="55"/>
  <c r="U963" i="55"/>
  <c r="T963" i="55"/>
  <c r="S963" i="55"/>
  <c r="R963" i="55"/>
  <c r="Q963" i="55"/>
  <c r="U962" i="55"/>
  <c r="T962" i="55"/>
  <c r="S962" i="55"/>
  <c r="R962" i="55"/>
  <c r="Q962" i="55"/>
  <c r="U961" i="55"/>
  <c r="T961" i="55"/>
  <c r="S961" i="55"/>
  <c r="R961" i="55"/>
  <c r="Q961" i="55"/>
  <c r="U960" i="55"/>
  <c r="T960" i="55"/>
  <c r="S960" i="55"/>
  <c r="R960" i="55"/>
  <c r="Q960" i="55"/>
  <c r="U959" i="55"/>
  <c r="T959" i="55"/>
  <c r="S959" i="55"/>
  <c r="R959" i="55"/>
  <c r="Q959" i="55"/>
  <c r="U958" i="55"/>
  <c r="T958" i="55"/>
  <c r="S958" i="55"/>
  <c r="R958" i="55"/>
  <c r="Q958" i="55"/>
  <c r="U957" i="55"/>
  <c r="T957" i="55"/>
  <c r="S957" i="55"/>
  <c r="R957" i="55"/>
  <c r="Q957" i="55"/>
  <c r="U956" i="55"/>
  <c r="T956" i="55"/>
  <c r="S956" i="55"/>
  <c r="R956" i="55"/>
  <c r="Q956" i="55"/>
  <c r="U955" i="55"/>
  <c r="T955" i="55"/>
  <c r="S955" i="55"/>
  <c r="R955" i="55"/>
  <c r="Q955" i="55"/>
  <c r="U954" i="55"/>
  <c r="T954" i="55"/>
  <c r="S954" i="55"/>
  <c r="R954" i="55"/>
  <c r="Q954" i="55"/>
  <c r="U953" i="55"/>
  <c r="T953" i="55"/>
  <c r="S953" i="55"/>
  <c r="R953" i="55"/>
  <c r="Q953" i="55"/>
  <c r="U952" i="55"/>
  <c r="T952" i="55"/>
  <c r="S952" i="55"/>
  <c r="R952" i="55"/>
  <c r="Q952" i="55"/>
  <c r="U951" i="55"/>
  <c r="T951" i="55"/>
  <c r="S951" i="55"/>
  <c r="R951" i="55"/>
  <c r="Q951" i="55"/>
  <c r="U950" i="55"/>
  <c r="T950" i="55"/>
  <c r="S950" i="55"/>
  <c r="R950" i="55"/>
  <c r="Q950" i="55"/>
  <c r="U949" i="55"/>
  <c r="T949" i="55"/>
  <c r="S949" i="55"/>
  <c r="R949" i="55"/>
  <c r="Q949" i="55"/>
  <c r="U948" i="55"/>
  <c r="T948" i="55"/>
  <c r="S948" i="55"/>
  <c r="R948" i="55"/>
  <c r="Q948" i="55"/>
  <c r="U947" i="55"/>
  <c r="T947" i="55"/>
  <c r="S947" i="55"/>
  <c r="R947" i="55"/>
  <c r="Q947" i="55"/>
  <c r="U946" i="55"/>
  <c r="T946" i="55"/>
  <c r="S946" i="55"/>
  <c r="R946" i="55"/>
  <c r="Q946" i="55"/>
  <c r="U945" i="55"/>
  <c r="T945" i="55"/>
  <c r="S945" i="55"/>
  <c r="R945" i="55"/>
  <c r="Q945" i="55"/>
  <c r="U944" i="55"/>
  <c r="T944" i="55"/>
  <c r="S944" i="55"/>
  <c r="R944" i="55"/>
  <c r="Q944" i="55"/>
  <c r="U943" i="55"/>
  <c r="T943" i="55"/>
  <c r="S943" i="55"/>
  <c r="R943" i="55"/>
  <c r="Q943" i="55"/>
  <c r="U942" i="55"/>
  <c r="T942" i="55"/>
  <c r="S942" i="55"/>
  <c r="R942" i="55"/>
  <c r="Q942" i="55"/>
  <c r="U941" i="55"/>
  <c r="T941" i="55"/>
  <c r="S941" i="55"/>
  <c r="R941" i="55"/>
  <c r="Q941" i="55"/>
  <c r="U940" i="55"/>
  <c r="T940" i="55"/>
  <c r="S940" i="55"/>
  <c r="R940" i="55"/>
  <c r="Q940" i="55"/>
  <c r="U939" i="55"/>
  <c r="T939" i="55"/>
  <c r="S939" i="55"/>
  <c r="R939" i="55"/>
  <c r="Q939" i="55"/>
  <c r="U938" i="55"/>
  <c r="T938" i="55"/>
  <c r="S938" i="55"/>
  <c r="R938" i="55"/>
  <c r="Q938" i="55"/>
  <c r="U937" i="55"/>
  <c r="T937" i="55"/>
  <c r="S937" i="55"/>
  <c r="R937" i="55"/>
  <c r="Q937" i="55"/>
  <c r="U936" i="55"/>
  <c r="T936" i="55"/>
  <c r="S936" i="55"/>
  <c r="R936" i="55"/>
  <c r="Q936" i="55"/>
  <c r="U935" i="55"/>
  <c r="T935" i="55"/>
  <c r="S935" i="55"/>
  <c r="R935" i="55"/>
  <c r="Q935" i="55"/>
  <c r="U934" i="55"/>
  <c r="T934" i="55"/>
  <c r="S934" i="55"/>
  <c r="R934" i="55"/>
  <c r="Q934" i="55"/>
  <c r="U933" i="55"/>
  <c r="T933" i="55"/>
  <c r="S933" i="55"/>
  <c r="R933" i="55"/>
  <c r="Q933" i="55"/>
  <c r="U932" i="55"/>
  <c r="T932" i="55"/>
  <c r="S932" i="55"/>
  <c r="R932" i="55"/>
  <c r="Q932" i="55"/>
  <c r="U931" i="55"/>
  <c r="T931" i="55"/>
  <c r="S931" i="55"/>
  <c r="R931" i="55"/>
  <c r="Q931" i="55"/>
  <c r="U930" i="55"/>
  <c r="T930" i="55"/>
  <c r="S930" i="55"/>
  <c r="R930" i="55"/>
  <c r="Q930" i="55"/>
  <c r="U929" i="55"/>
  <c r="T929" i="55"/>
  <c r="S929" i="55"/>
  <c r="R929" i="55"/>
  <c r="Q929" i="55"/>
  <c r="U928" i="55"/>
  <c r="T928" i="55"/>
  <c r="S928" i="55"/>
  <c r="R928" i="55"/>
  <c r="Q928" i="55"/>
  <c r="U927" i="55"/>
  <c r="T927" i="55"/>
  <c r="S927" i="55"/>
  <c r="R927" i="55"/>
  <c r="Q927" i="55"/>
  <c r="U926" i="55"/>
  <c r="T926" i="55"/>
  <c r="S926" i="55"/>
  <c r="R926" i="55"/>
  <c r="Q926" i="55"/>
  <c r="U925" i="55"/>
  <c r="T925" i="55"/>
  <c r="S925" i="55"/>
  <c r="R925" i="55"/>
  <c r="Q925" i="55"/>
  <c r="U924" i="55"/>
  <c r="T924" i="55"/>
  <c r="S924" i="55"/>
  <c r="R924" i="55"/>
  <c r="Q924" i="55"/>
  <c r="U923" i="55"/>
  <c r="T923" i="55"/>
  <c r="S923" i="55"/>
  <c r="R923" i="55"/>
  <c r="Q923" i="55"/>
  <c r="U922" i="55"/>
  <c r="T922" i="55"/>
  <c r="S922" i="55"/>
  <c r="R922" i="55"/>
  <c r="Q922" i="55"/>
  <c r="U921" i="55"/>
  <c r="T921" i="55"/>
  <c r="S921" i="55"/>
  <c r="R921" i="55"/>
  <c r="Q921" i="55"/>
  <c r="U920" i="55"/>
  <c r="T920" i="55"/>
  <c r="S920" i="55"/>
  <c r="R920" i="55"/>
  <c r="Q920" i="55"/>
  <c r="U919" i="55"/>
  <c r="T919" i="55"/>
  <c r="S919" i="55"/>
  <c r="R919" i="55"/>
  <c r="Q919" i="55"/>
  <c r="U918" i="55"/>
  <c r="T918" i="55"/>
  <c r="S918" i="55"/>
  <c r="R918" i="55"/>
  <c r="Q918" i="55"/>
  <c r="U917" i="55"/>
  <c r="T917" i="55"/>
  <c r="S917" i="55"/>
  <c r="R917" i="55"/>
  <c r="Q917" i="55"/>
  <c r="U916" i="55"/>
  <c r="T916" i="55"/>
  <c r="S916" i="55"/>
  <c r="R916" i="55"/>
  <c r="Q916" i="55"/>
  <c r="U915" i="55"/>
  <c r="T915" i="55"/>
  <c r="S915" i="55"/>
  <c r="R915" i="55"/>
  <c r="Q915" i="55"/>
  <c r="U914" i="55"/>
  <c r="T914" i="55"/>
  <c r="S914" i="55"/>
  <c r="R914" i="55"/>
  <c r="Q914" i="55"/>
  <c r="U913" i="55"/>
  <c r="T913" i="55"/>
  <c r="S913" i="55"/>
  <c r="R913" i="55"/>
  <c r="Q913" i="55"/>
  <c r="U912" i="55"/>
  <c r="T912" i="55"/>
  <c r="S912" i="55"/>
  <c r="R912" i="55"/>
  <c r="Q912" i="55"/>
  <c r="U911" i="55"/>
  <c r="T911" i="55"/>
  <c r="S911" i="55"/>
  <c r="R911" i="55"/>
  <c r="Q911" i="55"/>
  <c r="U910" i="55"/>
  <c r="T910" i="55"/>
  <c r="S910" i="55"/>
  <c r="R910" i="55"/>
  <c r="Q910" i="55"/>
  <c r="U909" i="55"/>
  <c r="T909" i="55"/>
  <c r="S909" i="55"/>
  <c r="R909" i="55"/>
  <c r="Q909" i="55"/>
  <c r="U908" i="55"/>
  <c r="T908" i="55"/>
  <c r="S908" i="55"/>
  <c r="R908" i="55"/>
  <c r="Q908" i="55"/>
  <c r="U907" i="55"/>
  <c r="T907" i="55"/>
  <c r="S907" i="55"/>
  <c r="R907" i="55"/>
  <c r="Q907" i="55"/>
  <c r="U906" i="55"/>
  <c r="T906" i="55"/>
  <c r="S906" i="55"/>
  <c r="R906" i="55"/>
  <c r="Q906" i="55"/>
  <c r="U905" i="55"/>
  <c r="T905" i="55"/>
  <c r="S905" i="55"/>
  <c r="R905" i="55"/>
  <c r="Q905" i="55"/>
  <c r="U904" i="55"/>
  <c r="T904" i="55"/>
  <c r="S904" i="55"/>
  <c r="R904" i="55"/>
  <c r="Q904" i="55"/>
  <c r="U903" i="55"/>
  <c r="T903" i="55"/>
  <c r="S903" i="55"/>
  <c r="R903" i="55"/>
  <c r="Q903" i="55"/>
  <c r="U902" i="55"/>
  <c r="T902" i="55"/>
  <c r="S902" i="55"/>
  <c r="R902" i="55"/>
  <c r="Q902" i="55"/>
  <c r="U901" i="55"/>
  <c r="T901" i="55"/>
  <c r="S901" i="55"/>
  <c r="R901" i="55"/>
  <c r="Q901" i="55"/>
  <c r="U900" i="55"/>
  <c r="T900" i="55"/>
  <c r="S900" i="55"/>
  <c r="R900" i="55"/>
  <c r="Q900" i="55"/>
  <c r="U899" i="55"/>
  <c r="T899" i="55"/>
  <c r="S899" i="55"/>
  <c r="R899" i="55"/>
  <c r="Q899" i="55"/>
  <c r="U898" i="55"/>
  <c r="T898" i="55"/>
  <c r="S898" i="55"/>
  <c r="R898" i="55"/>
  <c r="Q898" i="55"/>
  <c r="U897" i="55"/>
  <c r="T897" i="55"/>
  <c r="S897" i="55"/>
  <c r="R897" i="55"/>
  <c r="Q897" i="55"/>
  <c r="U896" i="55"/>
  <c r="T896" i="55"/>
  <c r="S896" i="55"/>
  <c r="R896" i="55"/>
  <c r="Q896" i="55"/>
  <c r="U895" i="55"/>
  <c r="T895" i="55"/>
  <c r="S895" i="55"/>
  <c r="R895" i="55"/>
  <c r="Q895" i="55"/>
  <c r="U894" i="55"/>
  <c r="T894" i="55"/>
  <c r="S894" i="55"/>
  <c r="R894" i="55"/>
  <c r="Q894" i="55"/>
  <c r="U893" i="55"/>
  <c r="T893" i="55"/>
  <c r="S893" i="55"/>
  <c r="R893" i="55"/>
  <c r="Q893" i="55"/>
  <c r="U892" i="55"/>
  <c r="T892" i="55"/>
  <c r="S892" i="55"/>
  <c r="R892" i="55"/>
  <c r="Q892" i="55"/>
  <c r="U891" i="55"/>
  <c r="T891" i="55"/>
  <c r="S891" i="55"/>
  <c r="R891" i="55"/>
  <c r="Q891" i="55"/>
  <c r="U890" i="55"/>
  <c r="T890" i="55"/>
  <c r="S890" i="55"/>
  <c r="R890" i="55"/>
  <c r="Q890" i="55"/>
  <c r="U889" i="55"/>
  <c r="T889" i="55"/>
  <c r="S889" i="55"/>
  <c r="R889" i="55"/>
  <c r="Q889" i="55"/>
  <c r="U888" i="55"/>
  <c r="T888" i="55"/>
  <c r="S888" i="55"/>
  <c r="R888" i="55"/>
  <c r="Q888" i="55"/>
  <c r="U887" i="55"/>
  <c r="T887" i="55"/>
  <c r="S887" i="55"/>
  <c r="R887" i="55"/>
  <c r="Q887" i="55"/>
  <c r="U886" i="55"/>
  <c r="T886" i="55"/>
  <c r="S886" i="55"/>
  <c r="R886" i="55"/>
  <c r="Q886" i="55"/>
  <c r="U885" i="55"/>
  <c r="T885" i="55"/>
  <c r="S885" i="55"/>
  <c r="R885" i="55"/>
  <c r="Q885" i="55"/>
  <c r="U884" i="55"/>
  <c r="T884" i="55"/>
  <c r="S884" i="55"/>
  <c r="R884" i="55"/>
  <c r="Q884" i="55"/>
  <c r="U883" i="55"/>
  <c r="T883" i="55"/>
  <c r="S883" i="55"/>
  <c r="R883" i="55"/>
  <c r="Q883" i="55"/>
  <c r="U882" i="55"/>
  <c r="T882" i="55"/>
  <c r="S882" i="55"/>
  <c r="R882" i="55"/>
  <c r="Q882" i="55"/>
  <c r="U881" i="55"/>
  <c r="T881" i="55"/>
  <c r="S881" i="55"/>
  <c r="R881" i="55"/>
  <c r="Q881" i="55"/>
  <c r="U880" i="55"/>
  <c r="T880" i="55"/>
  <c r="S880" i="55"/>
  <c r="R880" i="55"/>
  <c r="Q880" i="55"/>
  <c r="U879" i="55"/>
  <c r="T879" i="55"/>
  <c r="S879" i="55"/>
  <c r="R879" i="55"/>
  <c r="Q879" i="55"/>
  <c r="U878" i="55"/>
  <c r="T878" i="55"/>
  <c r="S878" i="55"/>
  <c r="R878" i="55"/>
  <c r="Q878" i="55"/>
  <c r="U877" i="55"/>
  <c r="T877" i="55"/>
  <c r="S877" i="55"/>
  <c r="R877" i="55"/>
  <c r="Q877" i="55"/>
  <c r="U876" i="55"/>
  <c r="T876" i="55"/>
  <c r="S876" i="55"/>
  <c r="R876" i="55"/>
  <c r="Q876" i="55"/>
  <c r="U875" i="55"/>
  <c r="T875" i="55"/>
  <c r="S875" i="55"/>
  <c r="R875" i="55"/>
  <c r="Q875" i="55"/>
  <c r="U874" i="55"/>
  <c r="T874" i="55"/>
  <c r="S874" i="55"/>
  <c r="R874" i="55"/>
  <c r="Q874" i="55"/>
  <c r="U873" i="55"/>
  <c r="T873" i="55"/>
  <c r="S873" i="55"/>
  <c r="R873" i="55"/>
  <c r="Q873" i="55"/>
  <c r="U872" i="55"/>
  <c r="T872" i="55"/>
  <c r="S872" i="55"/>
  <c r="R872" i="55"/>
  <c r="Q872" i="55"/>
  <c r="U871" i="55"/>
  <c r="T871" i="55"/>
  <c r="S871" i="55"/>
  <c r="R871" i="55"/>
  <c r="Q871" i="55"/>
  <c r="U870" i="55"/>
  <c r="T870" i="55"/>
  <c r="S870" i="55"/>
  <c r="R870" i="55"/>
  <c r="Q870" i="55"/>
  <c r="U869" i="55"/>
  <c r="T869" i="55"/>
  <c r="S869" i="55"/>
  <c r="R869" i="55"/>
  <c r="Q869" i="55"/>
  <c r="U868" i="55"/>
  <c r="T868" i="55"/>
  <c r="S868" i="55"/>
  <c r="R868" i="55"/>
  <c r="Q868" i="55"/>
  <c r="U867" i="55"/>
  <c r="T867" i="55"/>
  <c r="S867" i="55"/>
  <c r="R867" i="55"/>
  <c r="Q867" i="55"/>
  <c r="U866" i="55"/>
  <c r="T866" i="55"/>
  <c r="S866" i="55"/>
  <c r="R866" i="55"/>
  <c r="Q866" i="55"/>
  <c r="U865" i="55"/>
  <c r="T865" i="55"/>
  <c r="S865" i="55"/>
  <c r="R865" i="55"/>
  <c r="Q865" i="55"/>
  <c r="U864" i="55"/>
  <c r="T864" i="55"/>
  <c r="S864" i="55"/>
  <c r="R864" i="55"/>
  <c r="Q864" i="55"/>
  <c r="U863" i="55"/>
  <c r="T863" i="55"/>
  <c r="S863" i="55"/>
  <c r="R863" i="55"/>
  <c r="Q863" i="55"/>
  <c r="U862" i="55"/>
  <c r="T862" i="55"/>
  <c r="S862" i="55"/>
  <c r="R862" i="55"/>
  <c r="Q862" i="55"/>
  <c r="U861" i="55"/>
  <c r="T861" i="55"/>
  <c r="S861" i="55"/>
  <c r="R861" i="55"/>
  <c r="Q861" i="55"/>
  <c r="U860" i="55"/>
  <c r="T860" i="55"/>
  <c r="S860" i="55"/>
  <c r="R860" i="55"/>
  <c r="Q860" i="55"/>
  <c r="U859" i="55"/>
  <c r="T859" i="55"/>
  <c r="S859" i="55"/>
  <c r="R859" i="55"/>
  <c r="Q859" i="55"/>
  <c r="U858" i="55"/>
  <c r="T858" i="55"/>
  <c r="S858" i="55"/>
  <c r="R858" i="55"/>
  <c r="Q858" i="55"/>
  <c r="U857" i="55"/>
  <c r="T857" i="55"/>
  <c r="S857" i="55"/>
  <c r="R857" i="55"/>
  <c r="Q857" i="55"/>
  <c r="U856" i="55"/>
  <c r="T856" i="55"/>
  <c r="S856" i="55"/>
  <c r="R856" i="55"/>
  <c r="Q856" i="55"/>
  <c r="U855" i="55"/>
  <c r="T855" i="55"/>
  <c r="S855" i="55"/>
  <c r="R855" i="55"/>
  <c r="Q855" i="55"/>
  <c r="U854" i="55"/>
  <c r="T854" i="55"/>
  <c r="S854" i="55"/>
  <c r="R854" i="55"/>
  <c r="Q854" i="55"/>
  <c r="U853" i="55"/>
  <c r="T853" i="55"/>
  <c r="S853" i="55"/>
  <c r="R853" i="55"/>
  <c r="Q853" i="55"/>
  <c r="U852" i="55"/>
  <c r="T852" i="55"/>
  <c r="S852" i="55"/>
  <c r="R852" i="55"/>
  <c r="Q852" i="55"/>
  <c r="U851" i="55"/>
  <c r="T851" i="55"/>
  <c r="S851" i="55"/>
  <c r="R851" i="55"/>
  <c r="Q851" i="55"/>
  <c r="U850" i="55"/>
  <c r="T850" i="55"/>
  <c r="S850" i="55"/>
  <c r="R850" i="55"/>
  <c r="Q850" i="55"/>
  <c r="U849" i="55"/>
  <c r="T849" i="55"/>
  <c r="S849" i="55"/>
  <c r="R849" i="55"/>
  <c r="Q849" i="55"/>
  <c r="U848" i="55"/>
  <c r="T848" i="55"/>
  <c r="S848" i="55"/>
  <c r="R848" i="55"/>
  <c r="Q848" i="55"/>
  <c r="U847" i="55"/>
  <c r="T847" i="55"/>
  <c r="S847" i="55"/>
  <c r="R847" i="55"/>
  <c r="Q847" i="55"/>
  <c r="U846" i="55"/>
  <c r="T846" i="55"/>
  <c r="S846" i="55"/>
  <c r="R846" i="55"/>
  <c r="Q846" i="55"/>
  <c r="U845" i="55"/>
  <c r="T845" i="55"/>
  <c r="S845" i="55"/>
  <c r="R845" i="55"/>
  <c r="Q845" i="55"/>
  <c r="U844" i="55"/>
  <c r="T844" i="55"/>
  <c r="S844" i="55"/>
  <c r="R844" i="55"/>
  <c r="Q844" i="55"/>
  <c r="U843" i="55"/>
  <c r="T843" i="55"/>
  <c r="S843" i="55"/>
  <c r="R843" i="55"/>
  <c r="Q843" i="55"/>
  <c r="U842" i="55"/>
  <c r="T842" i="55"/>
  <c r="S842" i="55"/>
  <c r="R842" i="55"/>
  <c r="Q842" i="55"/>
  <c r="U841" i="55"/>
  <c r="T841" i="55"/>
  <c r="S841" i="55"/>
  <c r="R841" i="55"/>
  <c r="Q841" i="55"/>
  <c r="U840" i="55"/>
  <c r="T840" i="55"/>
  <c r="S840" i="55"/>
  <c r="R840" i="55"/>
  <c r="Q840" i="55"/>
  <c r="U839" i="55"/>
  <c r="T839" i="55"/>
  <c r="S839" i="55"/>
  <c r="R839" i="55"/>
  <c r="Q839" i="55"/>
  <c r="U838" i="55"/>
  <c r="T838" i="55"/>
  <c r="S838" i="55"/>
  <c r="R838" i="55"/>
  <c r="Q838" i="55"/>
  <c r="U837" i="55"/>
  <c r="T837" i="55"/>
  <c r="S837" i="55"/>
  <c r="R837" i="55"/>
  <c r="Q837" i="55"/>
  <c r="U836" i="55"/>
  <c r="T836" i="55"/>
  <c r="S836" i="55"/>
  <c r="R836" i="55"/>
  <c r="Q836" i="55"/>
  <c r="U835" i="55"/>
  <c r="T835" i="55"/>
  <c r="S835" i="55"/>
  <c r="R835" i="55"/>
  <c r="Q835" i="55"/>
  <c r="U834" i="55"/>
  <c r="T834" i="55"/>
  <c r="S834" i="55"/>
  <c r="R834" i="55"/>
  <c r="Q834" i="55"/>
  <c r="U833" i="55"/>
  <c r="T833" i="55"/>
  <c r="S833" i="55"/>
  <c r="R833" i="55"/>
  <c r="Q833" i="55"/>
  <c r="U832" i="55"/>
  <c r="T832" i="55"/>
  <c r="S832" i="55"/>
  <c r="R832" i="55"/>
  <c r="Q832" i="55"/>
  <c r="U831" i="55"/>
  <c r="T831" i="55"/>
  <c r="S831" i="55"/>
  <c r="R831" i="55"/>
  <c r="Q831" i="55"/>
  <c r="U830" i="55"/>
  <c r="T830" i="55"/>
  <c r="S830" i="55"/>
  <c r="R830" i="55"/>
  <c r="Q830" i="55"/>
  <c r="U829" i="55"/>
  <c r="T829" i="55"/>
  <c r="S829" i="55"/>
  <c r="R829" i="55"/>
  <c r="Q829" i="55"/>
  <c r="U828" i="55"/>
  <c r="T828" i="55"/>
  <c r="S828" i="55"/>
  <c r="R828" i="55"/>
  <c r="Q828" i="55"/>
  <c r="U827" i="55"/>
  <c r="T827" i="55"/>
  <c r="S827" i="55"/>
  <c r="R827" i="55"/>
  <c r="Q827" i="55"/>
  <c r="U826" i="55"/>
  <c r="T826" i="55"/>
  <c r="S826" i="55"/>
  <c r="R826" i="55"/>
  <c r="Q826" i="55"/>
  <c r="U825" i="55"/>
  <c r="T825" i="55"/>
  <c r="S825" i="55"/>
  <c r="R825" i="55"/>
  <c r="Q825" i="55"/>
  <c r="U824" i="55"/>
  <c r="T824" i="55"/>
  <c r="S824" i="55"/>
  <c r="R824" i="55"/>
  <c r="Q824" i="55"/>
  <c r="U823" i="55"/>
  <c r="T823" i="55"/>
  <c r="S823" i="55"/>
  <c r="R823" i="55"/>
  <c r="Q823" i="55"/>
  <c r="U822" i="55"/>
  <c r="T822" i="55"/>
  <c r="S822" i="55"/>
  <c r="R822" i="55"/>
  <c r="Q822" i="55"/>
  <c r="U821" i="55"/>
  <c r="T821" i="55"/>
  <c r="S821" i="55"/>
  <c r="R821" i="55"/>
  <c r="Q821" i="55"/>
  <c r="U820" i="55"/>
  <c r="T820" i="55"/>
  <c r="S820" i="55"/>
  <c r="R820" i="55"/>
  <c r="Q820" i="55"/>
  <c r="U819" i="55"/>
  <c r="T819" i="55"/>
  <c r="S819" i="55"/>
  <c r="R819" i="55"/>
  <c r="Q819" i="55"/>
  <c r="U818" i="55"/>
  <c r="T818" i="55"/>
  <c r="S818" i="55"/>
  <c r="R818" i="55"/>
  <c r="Q818" i="55"/>
  <c r="U817" i="55"/>
  <c r="T817" i="55"/>
  <c r="S817" i="55"/>
  <c r="R817" i="55"/>
  <c r="Q817" i="55"/>
  <c r="U816" i="55"/>
  <c r="T816" i="55"/>
  <c r="S816" i="55"/>
  <c r="R816" i="55"/>
  <c r="Q816" i="55"/>
  <c r="U815" i="55"/>
  <c r="T815" i="55"/>
  <c r="S815" i="55"/>
  <c r="R815" i="55"/>
  <c r="Q815" i="55"/>
  <c r="U814" i="55"/>
  <c r="T814" i="55"/>
  <c r="S814" i="55"/>
  <c r="R814" i="55"/>
  <c r="Q814" i="55"/>
  <c r="U813" i="55"/>
  <c r="T813" i="55"/>
  <c r="S813" i="55"/>
  <c r="R813" i="55"/>
  <c r="Q813" i="55"/>
  <c r="U812" i="55"/>
  <c r="T812" i="55"/>
  <c r="S812" i="55"/>
  <c r="R812" i="55"/>
  <c r="Q812" i="55"/>
  <c r="U811" i="55"/>
  <c r="T811" i="55"/>
  <c r="S811" i="55"/>
  <c r="R811" i="55"/>
  <c r="Q811" i="55"/>
  <c r="U810" i="55"/>
  <c r="T810" i="55"/>
  <c r="S810" i="55"/>
  <c r="R810" i="55"/>
  <c r="Q810" i="55"/>
  <c r="U809" i="55"/>
  <c r="T809" i="55"/>
  <c r="S809" i="55"/>
  <c r="R809" i="55"/>
  <c r="Q809" i="55"/>
  <c r="U808" i="55"/>
  <c r="T808" i="55"/>
  <c r="S808" i="55"/>
  <c r="R808" i="55"/>
  <c r="Q808" i="55"/>
  <c r="U807" i="55"/>
  <c r="T807" i="55"/>
  <c r="S807" i="55"/>
  <c r="R807" i="55"/>
  <c r="Q807" i="55"/>
  <c r="U806" i="55"/>
  <c r="T806" i="55"/>
  <c r="S806" i="55"/>
  <c r="R806" i="55"/>
  <c r="Q806" i="55"/>
  <c r="U805" i="55"/>
  <c r="T805" i="55"/>
  <c r="S805" i="55"/>
  <c r="R805" i="55"/>
  <c r="Q805" i="55"/>
  <c r="U804" i="55"/>
  <c r="T804" i="55"/>
  <c r="S804" i="55"/>
  <c r="R804" i="55"/>
  <c r="Q804" i="55"/>
  <c r="U803" i="55"/>
  <c r="T803" i="55"/>
  <c r="S803" i="55"/>
  <c r="R803" i="55"/>
  <c r="Q803" i="55"/>
  <c r="U802" i="55"/>
  <c r="T802" i="55"/>
  <c r="S802" i="55"/>
  <c r="R802" i="55"/>
  <c r="Q802" i="55"/>
  <c r="U801" i="55"/>
  <c r="T801" i="55"/>
  <c r="S801" i="55"/>
  <c r="R801" i="55"/>
  <c r="Q801" i="55"/>
  <c r="U800" i="55"/>
  <c r="T800" i="55"/>
  <c r="S800" i="55"/>
  <c r="R800" i="55"/>
  <c r="Q800" i="55"/>
  <c r="U799" i="55"/>
  <c r="T799" i="55"/>
  <c r="S799" i="55"/>
  <c r="R799" i="55"/>
  <c r="Q799" i="55"/>
  <c r="U798" i="55"/>
  <c r="T798" i="55"/>
  <c r="S798" i="55"/>
  <c r="R798" i="55"/>
  <c r="Q798" i="55"/>
  <c r="U797" i="55"/>
  <c r="T797" i="55"/>
  <c r="S797" i="55"/>
  <c r="R797" i="55"/>
  <c r="Q797" i="55"/>
  <c r="U796" i="55"/>
  <c r="T796" i="55"/>
  <c r="S796" i="55"/>
  <c r="R796" i="55"/>
  <c r="Q796" i="55"/>
  <c r="U795" i="55"/>
  <c r="T795" i="55"/>
  <c r="S795" i="55"/>
  <c r="R795" i="55"/>
  <c r="Q795" i="55"/>
  <c r="U794" i="55"/>
  <c r="T794" i="55"/>
  <c r="S794" i="55"/>
  <c r="R794" i="55"/>
  <c r="Q794" i="55"/>
  <c r="U793" i="55"/>
  <c r="T793" i="55"/>
  <c r="S793" i="55"/>
  <c r="R793" i="55"/>
  <c r="Q793" i="55"/>
  <c r="U792" i="55"/>
  <c r="T792" i="55"/>
  <c r="S792" i="55"/>
  <c r="R792" i="55"/>
  <c r="Q792" i="55"/>
  <c r="U791" i="55"/>
  <c r="T791" i="55"/>
  <c r="S791" i="55"/>
  <c r="R791" i="55"/>
  <c r="Q791" i="55"/>
  <c r="U790" i="55"/>
  <c r="T790" i="55"/>
  <c r="S790" i="55"/>
  <c r="R790" i="55"/>
  <c r="Q790" i="55"/>
  <c r="U789" i="55"/>
  <c r="T789" i="55"/>
  <c r="S789" i="55"/>
  <c r="R789" i="55"/>
  <c r="Q789" i="55"/>
  <c r="U788" i="55"/>
  <c r="T788" i="55"/>
  <c r="S788" i="55"/>
  <c r="R788" i="55"/>
  <c r="Q788" i="55"/>
  <c r="U787" i="55"/>
  <c r="T787" i="55"/>
  <c r="S787" i="55"/>
  <c r="R787" i="55"/>
  <c r="Q787" i="55"/>
  <c r="U786" i="55"/>
  <c r="T786" i="55"/>
  <c r="S786" i="55"/>
  <c r="R786" i="55"/>
  <c r="Q786" i="55"/>
  <c r="U785" i="55"/>
  <c r="T785" i="55"/>
  <c r="S785" i="55"/>
  <c r="R785" i="55"/>
  <c r="Q785" i="55"/>
  <c r="U784" i="55"/>
  <c r="T784" i="55"/>
  <c r="S784" i="55"/>
  <c r="R784" i="55"/>
  <c r="Q784" i="55"/>
  <c r="U783" i="55"/>
  <c r="T783" i="55"/>
  <c r="S783" i="55"/>
  <c r="R783" i="55"/>
  <c r="Q783" i="55"/>
  <c r="U782" i="55"/>
  <c r="T782" i="55"/>
  <c r="S782" i="55"/>
  <c r="R782" i="55"/>
  <c r="Q782" i="55"/>
  <c r="U781" i="55"/>
  <c r="T781" i="55"/>
  <c r="S781" i="55"/>
  <c r="R781" i="55"/>
  <c r="Q781" i="55"/>
  <c r="U780" i="55"/>
  <c r="T780" i="55"/>
  <c r="S780" i="55"/>
  <c r="R780" i="55"/>
  <c r="Q780" i="55"/>
  <c r="U779" i="55"/>
  <c r="T779" i="55"/>
  <c r="S779" i="55"/>
  <c r="R779" i="55"/>
  <c r="Q779" i="55"/>
  <c r="U778" i="55"/>
  <c r="T778" i="55"/>
  <c r="S778" i="55"/>
  <c r="R778" i="55"/>
  <c r="Q778" i="55"/>
  <c r="U777" i="55"/>
  <c r="T777" i="55"/>
  <c r="S777" i="55"/>
  <c r="R777" i="55"/>
  <c r="Q777" i="55"/>
  <c r="U776" i="55"/>
  <c r="T776" i="55"/>
  <c r="S776" i="55"/>
  <c r="R776" i="55"/>
  <c r="Q776" i="55"/>
  <c r="U775" i="55"/>
  <c r="T775" i="55"/>
  <c r="S775" i="55"/>
  <c r="R775" i="55"/>
  <c r="Q775" i="55"/>
  <c r="U774" i="55"/>
  <c r="T774" i="55"/>
  <c r="S774" i="55"/>
  <c r="R774" i="55"/>
  <c r="Q774" i="55"/>
  <c r="U773" i="55"/>
  <c r="T773" i="55"/>
  <c r="S773" i="55"/>
  <c r="R773" i="55"/>
  <c r="Q773" i="55"/>
  <c r="U772" i="55"/>
  <c r="T772" i="55"/>
  <c r="S772" i="55"/>
  <c r="R772" i="55"/>
  <c r="Q772" i="55"/>
  <c r="U771" i="55"/>
  <c r="T771" i="55"/>
  <c r="S771" i="55"/>
  <c r="R771" i="55"/>
  <c r="Q771" i="55"/>
  <c r="U770" i="55"/>
  <c r="T770" i="55"/>
  <c r="S770" i="55"/>
  <c r="R770" i="55"/>
  <c r="Q770" i="55"/>
  <c r="U769" i="55"/>
  <c r="T769" i="55"/>
  <c r="S769" i="55"/>
  <c r="R769" i="55"/>
  <c r="Q769" i="55"/>
  <c r="U768" i="55"/>
  <c r="T768" i="55"/>
  <c r="S768" i="55"/>
  <c r="R768" i="55"/>
  <c r="Q768" i="55"/>
  <c r="U767" i="55"/>
  <c r="T767" i="55"/>
  <c r="S767" i="55"/>
  <c r="R767" i="55"/>
  <c r="Q767" i="55"/>
  <c r="U766" i="55"/>
  <c r="T766" i="55"/>
  <c r="S766" i="55"/>
  <c r="R766" i="55"/>
  <c r="Q766" i="55"/>
  <c r="U765" i="55"/>
  <c r="T765" i="55"/>
  <c r="S765" i="55"/>
  <c r="R765" i="55"/>
  <c r="Q765" i="55"/>
  <c r="U764" i="55"/>
  <c r="T764" i="55"/>
  <c r="S764" i="55"/>
  <c r="R764" i="55"/>
  <c r="Q764" i="55"/>
  <c r="U763" i="55"/>
  <c r="T763" i="55"/>
  <c r="S763" i="55"/>
  <c r="R763" i="55"/>
  <c r="Q763" i="55"/>
  <c r="U762" i="55"/>
  <c r="T762" i="55"/>
  <c r="S762" i="55"/>
  <c r="R762" i="55"/>
  <c r="Q762" i="55"/>
  <c r="U761" i="55"/>
  <c r="T761" i="55"/>
  <c r="S761" i="55"/>
  <c r="R761" i="55"/>
  <c r="Q761" i="55"/>
  <c r="U760" i="55"/>
  <c r="T760" i="55"/>
  <c r="S760" i="55"/>
  <c r="R760" i="55"/>
  <c r="Q760" i="55"/>
  <c r="U759" i="55"/>
  <c r="T759" i="55"/>
  <c r="S759" i="55"/>
  <c r="R759" i="55"/>
  <c r="Q759" i="55"/>
  <c r="U758" i="55"/>
  <c r="T758" i="55"/>
  <c r="S758" i="55"/>
  <c r="R758" i="55"/>
  <c r="Q758" i="55"/>
  <c r="U757" i="55"/>
  <c r="T757" i="55"/>
  <c r="S757" i="55"/>
  <c r="R757" i="55"/>
  <c r="Q757" i="55"/>
  <c r="U756" i="55"/>
  <c r="T756" i="55"/>
  <c r="S756" i="55"/>
  <c r="R756" i="55"/>
  <c r="Q756" i="55"/>
  <c r="U755" i="55"/>
  <c r="T755" i="55"/>
  <c r="S755" i="55"/>
  <c r="R755" i="55"/>
  <c r="Q755" i="55"/>
  <c r="U754" i="55"/>
  <c r="T754" i="55"/>
  <c r="S754" i="55"/>
  <c r="R754" i="55"/>
  <c r="Q754" i="55"/>
  <c r="U753" i="55"/>
  <c r="T753" i="55"/>
  <c r="S753" i="55"/>
  <c r="R753" i="55"/>
  <c r="Q753" i="55"/>
  <c r="U752" i="55"/>
  <c r="T752" i="55"/>
  <c r="S752" i="55"/>
  <c r="R752" i="55"/>
  <c r="Q752" i="55"/>
  <c r="U751" i="55"/>
  <c r="T751" i="55"/>
  <c r="S751" i="55"/>
  <c r="R751" i="55"/>
  <c r="Q751" i="55"/>
  <c r="U750" i="55"/>
  <c r="T750" i="55"/>
  <c r="S750" i="55"/>
  <c r="R750" i="55"/>
  <c r="Q750" i="55"/>
  <c r="U749" i="55"/>
  <c r="T749" i="55"/>
  <c r="S749" i="55"/>
  <c r="R749" i="55"/>
  <c r="Q749" i="55"/>
  <c r="U748" i="55"/>
  <c r="T748" i="55"/>
  <c r="S748" i="55"/>
  <c r="R748" i="55"/>
  <c r="Q748" i="55"/>
  <c r="U747" i="55"/>
  <c r="T747" i="55"/>
  <c r="S747" i="55"/>
  <c r="R747" i="55"/>
  <c r="Q747" i="55"/>
  <c r="U746" i="55"/>
  <c r="T746" i="55"/>
  <c r="S746" i="55"/>
  <c r="R746" i="55"/>
  <c r="Q746" i="55"/>
  <c r="U745" i="55"/>
  <c r="T745" i="55"/>
  <c r="S745" i="55"/>
  <c r="R745" i="55"/>
  <c r="Q745" i="55"/>
  <c r="U744" i="55"/>
  <c r="T744" i="55"/>
  <c r="S744" i="55"/>
  <c r="R744" i="55"/>
  <c r="Q744" i="55"/>
  <c r="U743" i="55"/>
  <c r="T743" i="55"/>
  <c r="S743" i="55"/>
  <c r="R743" i="55"/>
  <c r="Q743" i="55"/>
  <c r="U742" i="55"/>
  <c r="T742" i="55"/>
  <c r="S742" i="55"/>
  <c r="R742" i="55"/>
  <c r="Q742" i="55"/>
  <c r="U741" i="55"/>
  <c r="T741" i="55"/>
  <c r="S741" i="55"/>
  <c r="R741" i="55"/>
  <c r="Q741" i="55"/>
  <c r="U740" i="55"/>
  <c r="T740" i="55"/>
  <c r="S740" i="55"/>
  <c r="R740" i="55"/>
  <c r="Q740" i="55"/>
  <c r="U739" i="55"/>
  <c r="T739" i="55"/>
  <c r="S739" i="55"/>
  <c r="R739" i="55"/>
  <c r="Q739" i="55"/>
  <c r="U738" i="55"/>
  <c r="T738" i="55"/>
  <c r="S738" i="55"/>
  <c r="R738" i="55"/>
  <c r="Q738" i="55"/>
  <c r="U737" i="55"/>
  <c r="T737" i="55"/>
  <c r="S737" i="55"/>
  <c r="R737" i="55"/>
  <c r="Q737" i="55"/>
  <c r="U736" i="55"/>
  <c r="T736" i="55"/>
  <c r="S736" i="55"/>
  <c r="R736" i="55"/>
  <c r="Q736" i="55"/>
  <c r="U735" i="55"/>
  <c r="T735" i="55"/>
  <c r="S735" i="55"/>
  <c r="R735" i="55"/>
  <c r="Q735" i="55"/>
  <c r="U734" i="55"/>
  <c r="T734" i="55"/>
  <c r="S734" i="55"/>
  <c r="R734" i="55"/>
  <c r="Q734" i="55"/>
  <c r="U733" i="55"/>
  <c r="T733" i="55"/>
  <c r="S733" i="55"/>
  <c r="R733" i="55"/>
  <c r="Q733" i="55"/>
  <c r="U732" i="55"/>
  <c r="T732" i="55"/>
  <c r="S732" i="55"/>
  <c r="R732" i="55"/>
  <c r="Q732" i="55"/>
  <c r="U731" i="55"/>
  <c r="T731" i="55"/>
  <c r="S731" i="55"/>
  <c r="R731" i="55"/>
  <c r="Q731" i="55"/>
  <c r="U730" i="55"/>
  <c r="T730" i="55"/>
  <c r="S730" i="55"/>
  <c r="R730" i="55"/>
  <c r="Q730" i="55"/>
  <c r="U729" i="55"/>
  <c r="T729" i="55"/>
  <c r="S729" i="55"/>
  <c r="R729" i="55"/>
  <c r="Q729" i="55"/>
  <c r="U728" i="55"/>
  <c r="T728" i="55"/>
  <c r="S728" i="55"/>
  <c r="R728" i="55"/>
  <c r="Q728" i="55"/>
  <c r="U727" i="55"/>
  <c r="T727" i="55"/>
  <c r="S727" i="55"/>
  <c r="R727" i="55"/>
  <c r="Q727" i="55"/>
  <c r="U726" i="55"/>
  <c r="T726" i="55"/>
  <c r="S726" i="55"/>
  <c r="R726" i="55"/>
  <c r="Q726" i="55"/>
  <c r="U725" i="55"/>
  <c r="T725" i="55"/>
  <c r="S725" i="55"/>
  <c r="R725" i="55"/>
  <c r="Q725" i="55"/>
  <c r="U724" i="55"/>
  <c r="T724" i="55"/>
  <c r="S724" i="55"/>
  <c r="R724" i="55"/>
  <c r="Q724" i="55"/>
  <c r="U723" i="55"/>
  <c r="T723" i="55"/>
  <c r="S723" i="55"/>
  <c r="R723" i="55"/>
  <c r="Q723" i="55"/>
  <c r="U722" i="55"/>
  <c r="T722" i="55"/>
  <c r="S722" i="55"/>
  <c r="R722" i="55"/>
  <c r="Q722" i="55"/>
  <c r="U721" i="55"/>
  <c r="T721" i="55"/>
  <c r="S721" i="55"/>
  <c r="R721" i="55"/>
  <c r="Q721" i="55"/>
  <c r="U720" i="55"/>
  <c r="T720" i="55"/>
  <c r="S720" i="55"/>
  <c r="R720" i="55"/>
  <c r="Q720" i="55"/>
  <c r="U719" i="55"/>
  <c r="T719" i="55"/>
  <c r="S719" i="55"/>
  <c r="R719" i="55"/>
  <c r="Q719" i="55"/>
  <c r="U718" i="55"/>
  <c r="T718" i="55"/>
  <c r="S718" i="55"/>
  <c r="R718" i="55"/>
  <c r="Q718" i="55"/>
  <c r="U717" i="55"/>
  <c r="T717" i="55"/>
  <c r="S717" i="55"/>
  <c r="R717" i="55"/>
  <c r="Q717" i="55"/>
  <c r="U716" i="55"/>
  <c r="T716" i="55"/>
  <c r="S716" i="55"/>
  <c r="R716" i="55"/>
  <c r="Q716" i="55"/>
  <c r="U715" i="55"/>
  <c r="T715" i="55"/>
  <c r="S715" i="55"/>
  <c r="R715" i="55"/>
  <c r="Q715" i="55"/>
  <c r="U714" i="55"/>
  <c r="T714" i="55"/>
  <c r="S714" i="55"/>
  <c r="R714" i="55"/>
  <c r="Q714" i="55"/>
  <c r="U713" i="55"/>
  <c r="T713" i="55"/>
  <c r="S713" i="55"/>
  <c r="R713" i="55"/>
  <c r="Q713" i="55"/>
  <c r="U712" i="55"/>
  <c r="T712" i="55"/>
  <c r="S712" i="55"/>
  <c r="R712" i="55"/>
  <c r="Q712" i="55"/>
  <c r="U711" i="55"/>
  <c r="T711" i="55"/>
  <c r="S711" i="55"/>
  <c r="R711" i="55"/>
  <c r="Q711" i="55"/>
  <c r="U710" i="55"/>
  <c r="T710" i="55"/>
  <c r="S710" i="55"/>
  <c r="R710" i="55"/>
  <c r="Q710" i="55"/>
  <c r="U709" i="55"/>
  <c r="T709" i="55"/>
  <c r="S709" i="55"/>
  <c r="R709" i="55"/>
  <c r="Q709" i="55"/>
  <c r="U708" i="55"/>
  <c r="T708" i="55"/>
  <c r="S708" i="55"/>
  <c r="R708" i="55"/>
  <c r="Q708" i="55"/>
  <c r="U707" i="55"/>
  <c r="T707" i="55"/>
  <c r="S707" i="55"/>
  <c r="R707" i="55"/>
  <c r="Q707" i="55"/>
  <c r="U706" i="55"/>
  <c r="T706" i="55"/>
  <c r="S706" i="55"/>
  <c r="R706" i="55"/>
  <c r="Q706" i="55"/>
  <c r="U705" i="55"/>
  <c r="T705" i="55"/>
  <c r="S705" i="55"/>
  <c r="R705" i="55"/>
  <c r="Q705" i="55"/>
  <c r="U704" i="55"/>
  <c r="T704" i="55"/>
  <c r="S704" i="55"/>
  <c r="R704" i="55"/>
  <c r="Q704" i="55"/>
  <c r="U703" i="55"/>
  <c r="T703" i="55"/>
  <c r="S703" i="55"/>
  <c r="R703" i="55"/>
  <c r="Q703" i="55"/>
  <c r="U702" i="55"/>
  <c r="T702" i="55"/>
  <c r="S702" i="55"/>
  <c r="R702" i="55"/>
  <c r="Q702" i="55"/>
  <c r="U701" i="55"/>
  <c r="T701" i="55"/>
  <c r="S701" i="55"/>
  <c r="R701" i="55"/>
  <c r="Q701" i="55"/>
  <c r="U700" i="55"/>
  <c r="T700" i="55"/>
  <c r="S700" i="55"/>
  <c r="R700" i="55"/>
  <c r="Q700" i="55"/>
  <c r="U699" i="55"/>
  <c r="T699" i="55"/>
  <c r="S699" i="55"/>
  <c r="R699" i="55"/>
  <c r="Q699" i="55"/>
  <c r="U698" i="55"/>
  <c r="T698" i="55"/>
  <c r="S698" i="55"/>
  <c r="R698" i="55"/>
  <c r="Q698" i="55"/>
  <c r="U697" i="55"/>
  <c r="T697" i="55"/>
  <c r="S697" i="55"/>
  <c r="R697" i="55"/>
  <c r="Q697" i="55"/>
  <c r="U696" i="55"/>
  <c r="T696" i="55"/>
  <c r="S696" i="55"/>
  <c r="R696" i="55"/>
  <c r="Q696" i="55"/>
  <c r="U695" i="55"/>
  <c r="T695" i="55"/>
  <c r="S695" i="55"/>
  <c r="R695" i="55"/>
  <c r="Q695" i="55"/>
  <c r="U694" i="55"/>
  <c r="T694" i="55"/>
  <c r="S694" i="55"/>
  <c r="R694" i="55"/>
  <c r="Q694" i="55"/>
  <c r="U693" i="55"/>
  <c r="T693" i="55"/>
  <c r="S693" i="55"/>
  <c r="R693" i="55"/>
  <c r="Q693" i="55"/>
  <c r="U692" i="55"/>
  <c r="T692" i="55"/>
  <c r="S692" i="55"/>
  <c r="R692" i="55"/>
  <c r="Q692" i="55"/>
  <c r="U691" i="55"/>
  <c r="T691" i="55"/>
  <c r="S691" i="55"/>
  <c r="R691" i="55"/>
  <c r="Q691" i="55"/>
  <c r="U690" i="55"/>
  <c r="T690" i="55"/>
  <c r="S690" i="55"/>
  <c r="R690" i="55"/>
  <c r="Q690" i="55"/>
  <c r="U689" i="55"/>
  <c r="T689" i="55"/>
  <c r="S689" i="55"/>
  <c r="R689" i="55"/>
  <c r="Q689" i="55"/>
  <c r="U688" i="55"/>
  <c r="T688" i="55"/>
  <c r="S688" i="55"/>
  <c r="R688" i="55"/>
  <c r="Q688" i="55"/>
  <c r="U687" i="55"/>
  <c r="T687" i="55"/>
  <c r="S687" i="55"/>
  <c r="R687" i="55"/>
  <c r="Q687" i="55"/>
  <c r="U686" i="55"/>
  <c r="T686" i="55"/>
  <c r="S686" i="55"/>
  <c r="R686" i="55"/>
  <c r="Q686" i="55"/>
  <c r="U685" i="55"/>
  <c r="T685" i="55"/>
  <c r="S685" i="55"/>
  <c r="R685" i="55"/>
  <c r="Q685" i="55"/>
  <c r="U684" i="55"/>
  <c r="T684" i="55"/>
  <c r="S684" i="55"/>
  <c r="R684" i="55"/>
  <c r="Q684" i="55"/>
  <c r="U683" i="55"/>
  <c r="T683" i="55"/>
  <c r="S683" i="55"/>
  <c r="R683" i="55"/>
  <c r="Q683" i="55"/>
  <c r="U682" i="55"/>
  <c r="T682" i="55"/>
  <c r="S682" i="55"/>
  <c r="R682" i="55"/>
  <c r="Q682" i="55"/>
  <c r="U681" i="55"/>
  <c r="T681" i="55"/>
  <c r="S681" i="55"/>
  <c r="R681" i="55"/>
  <c r="Q681" i="55"/>
  <c r="U680" i="55"/>
  <c r="T680" i="55"/>
  <c r="S680" i="55"/>
  <c r="R680" i="55"/>
  <c r="Q680" i="55"/>
  <c r="U679" i="55"/>
  <c r="T679" i="55"/>
  <c r="S679" i="55"/>
  <c r="R679" i="55"/>
  <c r="Q679" i="55"/>
  <c r="U678" i="55"/>
  <c r="T678" i="55"/>
  <c r="S678" i="55"/>
  <c r="R678" i="55"/>
  <c r="Q678" i="55"/>
  <c r="U677" i="55"/>
  <c r="T677" i="55"/>
  <c r="S677" i="55"/>
  <c r="R677" i="55"/>
  <c r="Q677" i="55"/>
  <c r="U676" i="55"/>
  <c r="T676" i="55"/>
  <c r="S676" i="55"/>
  <c r="R676" i="55"/>
  <c r="Q676" i="55"/>
  <c r="U675" i="55"/>
  <c r="T675" i="55"/>
  <c r="S675" i="55"/>
  <c r="R675" i="55"/>
  <c r="Q675" i="55"/>
  <c r="U674" i="55"/>
  <c r="T674" i="55"/>
  <c r="S674" i="55"/>
  <c r="R674" i="55"/>
  <c r="Q674" i="55"/>
  <c r="U673" i="55"/>
  <c r="T673" i="55"/>
  <c r="S673" i="55"/>
  <c r="R673" i="55"/>
  <c r="Q673" i="55"/>
  <c r="U672" i="55"/>
  <c r="T672" i="55"/>
  <c r="S672" i="55"/>
  <c r="R672" i="55"/>
  <c r="Q672" i="55"/>
  <c r="U671" i="55"/>
  <c r="T671" i="55"/>
  <c r="S671" i="55"/>
  <c r="R671" i="55"/>
  <c r="Q671" i="55"/>
  <c r="U670" i="55"/>
  <c r="T670" i="55"/>
  <c r="S670" i="55"/>
  <c r="R670" i="55"/>
  <c r="Q670" i="55"/>
  <c r="U669" i="55"/>
  <c r="T669" i="55"/>
  <c r="S669" i="55"/>
  <c r="R669" i="55"/>
  <c r="Q669" i="55"/>
  <c r="U668" i="55"/>
  <c r="T668" i="55"/>
  <c r="S668" i="55"/>
  <c r="R668" i="55"/>
  <c r="Q668" i="55"/>
  <c r="U667" i="55"/>
  <c r="T667" i="55"/>
  <c r="S667" i="55"/>
  <c r="R667" i="55"/>
  <c r="Q667" i="55"/>
  <c r="U666" i="55"/>
  <c r="T666" i="55"/>
  <c r="S666" i="55"/>
  <c r="R666" i="55"/>
  <c r="Q666" i="55"/>
  <c r="U665" i="55"/>
  <c r="T665" i="55"/>
  <c r="S665" i="55"/>
  <c r="R665" i="55"/>
  <c r="Q665" i="55"/>
  <c r="U664" i="55"/>
  <c r="T664" i="55"/>
  <c r="S664" i="55"/>
  <c r="R664" i="55"/>
  <c r="Q664" i="55"/>
  <c r="U663" i="55"/>
  <c r="T663" i="55"/>
  <c r="S663" i="55"/>
  <c r="R663" i="55"/>
  <c r="Q663" i="55"/>
  <c r="U662" i="55"/>
  <c r="T662" i="55"/>
  <c r="S662" i="55"/>
  <c r="R662" i="55"/>
  <c r="Q662" i="55"/>
  <c r="U661" i="55"/>
  <c r="T661" i="55"/>
  <c r="S661" i="55"/>
  <c r="R661" i="55"/>
  <c r="Q661" i="55"/>
  <c r="U660" i="55"/>
  <c r="T660" i="55"/>
  <c r="S660" i="55"/>
  <c r="R660" i="55"/>
  <c r="Q660" i="55"/>
  <c r="U659" i="55"/>
  <c r="T659" i="55"/>
  <c r="S659" i="55"/>
  <c r="R659" i="55"/>
  <c r="Q659" i="55"/>
  <c r="U658" i="55"/>
  <c r="T658" i="55"/>
  <c r="S658" i="55"/>
  <c r="R658" i="55"/>
  <c r="Q658" i="55"/>
  <c r="U657" i="55"/>
  <c r="T657" i="55"/>
  <c r="S657" i="55"/>
  <c r="R657" i="55"/>
  <c r="Q657" i="55"/>
  <c r="U656" i="55"/>
  <c r="T656" i="55"/>
  <c r="S656" i="55"/>
  <c r="R656" i="55"/>
  <c r="Q656" i="55"/>
  <c r="U655" i="55"/>
  <c r="T655" i="55"/>
  <c r="S655" i="55"/>
  <c r="R655" i="55"/>
  <c r="Q655" i="55"/>
  <c r="U654" i="55"/>
  <c r="T654" i="55"/>
  <c r="S654" i="55"/>
  <c r="R654" i="55"/>
  <c r="Q654" i="55"/>
  <c r="U653" i="55"/>
  <c r="T653" i="55"/>
  <c r="S653" i="55"/>
  <c r="R653" i="55"/>
  <c r="Q653" i="55"/>
  <c r="U652" i="55"/>
  <c r="T652" i="55"/>
  <c r="S652" i="55"/>
  <c r="R652" i="55"/>
  <c r="Q652" i="55"/>
  <c r="U651" i="55"/>
  <c r="T651" i="55"/>
  <c r="S651" i="55"/>
  <c r="R651" i="55"/>
  <c r="Q651" i="55"/>
  <c r="U650" i="55"/>
  <c r="T650" i="55"/>
  <c r="S650" i="55"/>
  <c r="R650" i="55"/>
  <c r="Q650" i="55"/>
  <c r="U649" i="55"/>
  <c r="T649" i="55"/>
  <c r="S649" i="55"/>
  <c r="R649" i="55"/>
  <c r="Q649" i="55"/>
  <c r="U648" i="55"/>
  <c r="T648" i="55"/>
  <c r="S648" i="55"/>
  <c r="R648" i="55"/>
  <c r="Q648" i="55"/>
  <c r="U647" i="55"/>
  <c r="T647" i="55"/>
  <c r="S647" i="55"/>
  <c r="R647" i="55"/>
  <c r="Q647" i="55"/>
  <c r="U646" i="55"/>
  <c r="T646" i="55"/>
  <c r="S646" i="55"/>
  <c r="R646" i="55"/>
  <c r="Q646" i="55"/>
  <c r="U645" i="55"/>
  <c r="T645" i="55"/>
  <c r="S645" i="55"/>
  <c r="R645" i="55"/>
  <c r="Q645" i="55"/>
  <c r="U644" i="55"/>
  <c r="T644" i="55"/>
  <c r="S644" i="55"/>
  <c r="R644" i="55"/>
  <c r="Q644" i="55"/>
  <c r="U643" i="55"/>
  <c r="T643" i="55"/>
  <c r="S643" i="55"/>
  <c r="R643" i="55"/>
  <c r="Q643" i="55"/>
  <c r="U642" i="55"/>
  <c r="T642" i="55"/>
  <c r="S642" i="55"/>
  <c r="R642" i="55"/>
  <c r="Q642" i="55"/>
  <c r="U641" i="55"/>
  <c r="T641" i="55"/>
  <c r="S641" i="55"/>
  <c r="R641" i="55"/>
  <c r="Q641" i="55"/>
  <c r="U640" i="55"/>
  <c r="T640" i="55"/>
  <c r="S640" i="55"/>
  <c r="R640" i="55"/>
  <c r="Q640" i="55"/>
  <c r="U639" i="55"/>
  <c r="T639" i="55"/>
  <c r="S639" i="55"/>
  <c r="R639" i="55"/>
  <c r="Q639" i="55"/>
  <c r="U638" i="55"/>
  <c r="T638" i="55"/>
  <c r="S638" i="55"/>
  <c r="R638" i="55"/>
  <c r="Q638" i="55"/>
  <c r="U637" i="55"/>
  <c r="T637" i="55"/>
  <c r="S637" i="55"/>
  <c r="R637" i="55"/>
  <c r="Q637" i="55"/>
  <c r="U636" i="55"/>
  <c r="T636" i="55"/>
  <c r="S636" i="55"/>
  <c r="R636" i="55"/>
  <c r="Q636" i="55"/>
  <c r="U635" i="55"/>
  <c r="T635" i="55"/>
  <c r="S635" i="55"/>
  <c r="R635" i="55"/>
  <c r="Q635" i="55"/>
  <c r="U634" i="55"/>
  <c r="T634" i="55"/>
  <c r="S634" i="55"/>
  <c r="R634" i="55"/>
  <c r="Q634" i="55"/>
  <c r="U633" i="55"/>
  <c r="T633" i="55"/>
  <c r="S633" i="55"/>
  <c r="R633" i="55"/>
  <c r="Q633" i="55"/>
  <c r="U632" i="55"/>
  <c r="T632" i="55"/>
  <c r="S632" i="55"/>
  <c r="R632" i="55"/>
  <c r="Q632" i="55"/>
  <c r="U631" i="55"/>
  <c r="T631" i="55"/>
  <c r="S631" i="55"/>
  <c r="R631" i="55"/>
  <c r="Q631" i="55"/>
  <c r="U630" i="55"/>
  <c r="T630" i="55"/>
  <c r="S630" i="55"/>
  <c r="R630" i="55"/>
  <c r="Q630" i="55"/>
  <c r="U629" i="55"/>
  <c r="T629" i="55"/>
  <c r="S629" i="55"/>
  <c r="R629" i="55"/>
  <c r="Q629" i="55"/>
  <c r="U628" i="55"/>
  <c r="T628" i="55"/>
  <c r="S628" i="55"/>
  <c r="R628" i="55"/>
  <c r="Q628" i="55"/>
  <c r="U627" i="55"/>
  <c r="T627" i="55"/>
  <c r="S627" i="55"/>
  <c r="R627" i="55"/>
  <c r="Q627" i="55"/>
  <c r="U626" i="55"/>
  <c r="T626" i="55"/>
  <c r="S626" i="55"/>
  <c r="R626" i="55"/>
  <c r="Q626" i="55"/>
  <c r="U625" i="55"/>
  <c r="T625" i="55"/>
  <c r="S625" i="55"/>
  <c r="R625" i="55"/>
  <c r="Q625" i="55"/>
  <c r="U624" i="55"/>
  <c r="T624" i="55"/>
  <c r="S624" i="55"/>
  <c r="R624" i="55"/>
  <c r="Q624" i="55"/>
  <c r="U623" i="55"/>
  <c r="T623" i="55"/>
  <c r="S623" i="55"/>
  <c r="R623" i="55"/>
  <c r="Q623" i="55"/>
  <c r="U622" i="55"/>
  <c r="T622" i="55"/>
  <c r="S622" i="55"/>
  <c r="R622" i="55"/>
  <c r="Q622" i="55"/>
  <c r="U621" i="55"/>
  <c r="T621" i="55"/>
  <c r="S621" i="55"/>
  <c r="R621" i="55"/>
  <c r="Q621" i="55"/>
  <c r="U620" i="55"/>
  <c r="T620" i="55"/>
  <c r="S620" i="55"/>
  <c r="R620" i="55"/>
  <c r="Q620" i="55"/>
  <c r="U619" i="55"/>
  <c r="T619" i="55"/>
  <c r="S619" i="55"/>
  <c r="R619" i="55"/>
  <c r="Q619" i="55"/>
  <c r="U618" i="55"/>
  <c r="T618" i="55"/>
  <c r="S618" i="55"/>
  <c r="R618" i="55"/>
  <c r="Q618" i="55"/>
  <c r="U617" i="55"/>
  <c r="T617" i="55"/>
  <c r="S617" i="55"/>
  <c r="R617" i="55"/>
  <c r="Q617" i="55"/>
  <c r="U616" i="55"/>
  <c r="T616" i="55"/>
  <c r="S616" i="55"/>
  <c r="R616" i="55"/>
  <c r="Q616" i="55"/>
  <c r="U615" i="55"/>
  <c r="T615" i="55"/>
  <c r="S615" i="55"/>
  <c r="R615" i="55"/>
  <c r="Q615" i="55"/>
  <c r="U614" i="55"/>
  <c r="T614" i="55"/>
  <c r="S614" i="55"/>
  <c r="R614" i="55"/>
  <c r="Q614" i="55"/>
  <c r="U613" i="55"/>
  <c r="T613" i="55"/>
  <c r="S613" i="55"/>
  <c r="R613" i="55"/>
  <c r="Q613" i="55"/>
  <c r="U612" i="55"/>
  <c r="T612" i="55"/>
  <c r="S612" i="55"/>
  <c r="R612" i="55"/>
  <c r="Q612" i="55"/>
  <c r="U611" i="55"/>
  <c r="T611" i="55"/>
  <c r="S611" i="55"/>
  <c r="R611" i="55"/>
  <c r="Q611" i="55"/>
  <c r="U610" i="55"/>
  <c r="T610" i="55"/>
  <c r="S610" i="55"/>
  <c r="R610" i="55"/>
  <c r="Q610" i="55"/>
  <c r="U609" i="55"/>
  <c r="T609" i="55"/>
  <c r="S609" i="55"/>
  <c r="R609" i="55"/>
  <c r="Q609" i="55"/>
  <c r="U608" i="55"/>
  <c r="T608" i="55"/>
  <c r="S608" i="55"/>
  <c r="R608" i="55"/>
  <c r="Q608" i="55"/>
  <c r="U607" i="55"/>
  <c r="T607" i="55"/>
  <c r="S607" i="55"/>
  <c r="R607" i="55"/>
  <c r="Q607" i="55"/>
  <c r="U606" i="55"/>
  <c r="T606" i="55"/>
  <c r="S606" i="55"/>
  <c r="R606" i="55"/>
  <c r="Q606" i="55"/>
  <c r="U605" i="55"/>
  <c r="T605" i="55"/>
  <c r="S605" i="55"/>
  <c r="R605" i="55"/>
  <c r="Q605" i="55"/>
  <c r="U604" i="55"/>
  <c r="T604" i="55"/>
  <c r="S604" i="55"/>
  <c r="R604" i="55"/>
  <c r="Q604" i="55"/>
  <c r="U603" i="55"/>
  <c r="T603" i="55"/>
  <c r="S603" i="55"/>
  <c r="R603" i="55"/>
  <c r="Q603" i="55"/>
  <c r="U602" i="55"/>
  <c r="T602" i="55"/>
  <c r="S602" i="55"/>
  <c r="R602" i="55"/>
  <c r="Q602" i="55"/>
  <c r="U601" i="55"/>
  <c r="T601" i="55"/>
  <c r="S601" i="55"/>
  <c r="R601" i="55"/>
  <c r="Q601" i="55"/>
  <c r="U600" i="55"/>
  <c r="T600" i="55"/>
  <c r="S600" i="55"/>
  <c r="R600" i="55"/>
  <c r="Q600" i="55"/>
  <c r="U599" i="55"/>
  <c r="T599" i="55"/>
  <c r="S599" i="55"/>
  <c r="R599" i="55"/>
  <c r="Q599" i="55"/>
  <c r="U598" i="55"/>
  <c r="T598" i="55"/>
  <c r="S598" i="55"/>
  <c r="R598" i="55"/>
  <c r="Q598" i="55"/>
  <c r="U597" i="55"/>
  <c r="T597" i="55"/>
  <c r="S597" i="55"/>
  <c r="R597" i="55"/>
  <c r="Q597" i="55"/>
  <c r="U596" i="55"/>
  <c r="T596" i="55"/>
  <c r="S596" i="55"/>
  <c r="R596" i="55"/>
  <c r="Q596" i="55"/>
  <c r="U595" i="55"/>
  <c r="T595" i="55"/>
  <c r="S595" i="55"/>
  <c r="R595" i="55"/>
  <c r="Q595" i="55"/>
  <c r="U594" i="55"/>
  <c r="T594" i="55"/>
  <c r="S594" i="55"/>
  <c r="R594" i="55"/>
  <c r="Q594" i="55"/>
  <c r="U593" i="55"/>
  <c r="T593" i="55"/>
  <c r="S593" i="55"/>
  <c r="R593" i="55"/>
  <c r="Q593" i="55"/>
  <c r="U592" i="55"/>
  <c r="T592" i="55"/>
  <c r="S592" i="55"/>
  <c r="R592" i="55"/>
  <c r="Q592" i="55"/>
  <c r="U591" i="55"/>
  <c r="T591" i="55"/>
  <c r="S591" i="55"/>
  <c r="R591" i="55"/>
  <c r="Q591" i="55"/>
  <c r="U590" i="55"/>
  <c r="T590" i="55"/>
  <c r="S590" i="55"/>
  <c r="R590" i="55"/>
  <c r="Q590" i="55"/>
  <c r="U589" i="55"/>
  <c r="T589" i="55"/>
  <c r="S589" i="55"/>
  <c r="R589" i="55"/>
  <c r="Q589" i="55"/>
  <c r="U588" i="55"/>
  <c r="T588" i="55"/>
  <c r="S588" i="55"/>
  <c r="R588" i="55"/>
  <c r="Q588" i="55"/>
  <c r="U587" i="55"/>
  <c r="T587" i="55"/>
  <c r="S587" i="55"/>
  <c r="R587" i="55"/>
  <c r="Q587" i="55"/>
  <c r="U586" i="55"/>
  <c r="T586" i="55"/>
  <c r="S586" i="55"/>
  <c r="R586" i="55"/>
  <c r="Q586" i="55"/>
  <c r="U585" i="55"/>
  <c r="T585" i="55"/>
  <c r="S585" i="55"/>
  <c r="R585" i="55"/>
  <c r="Q585" i="55"/>
  <c r="U584" i="55"/>
  <c r="T584" i="55"/>
  <c r="S584" i="55"/>
  <c r="R584" i="55"/>
  <c r="Q584" i="55"/>
  <c r="U583" i="55"/>
  <c r="T583" i="55"/>
  <c r="S583" i="55"/>
  <c r="R583" i="55"/>
  <c r="Q583" i="55"/>
  <c r="U582" i="55"/>
  <c r="T582" i="55"/>
  <c r="S582" i="55"/>
  <c r="R582" i="55"/>
  <c r="Q582" i="55"/>
  <c r="U581" i="55"/>
  <c r="T581" i="55"/>
  <c r="S581" i="55"/>
  <c r="R581" i="55"/>
  <c r="Q581" i="55"/>
  <c r="U580" i="55"/>
  <c r="T580" i="55"/>
  <c r="S580" i="55"/>
  <c r="R580" i="55"/>
  <c r="Q580" i="55"/>
  <c r="U579" i="55"/>
  <c r="T579" i="55"/>
  <c r="S579" i="55"/>
  <c r="R579" i="55"/>
  <c r="Q579" i="55"/>
  <c r="U578" i="55"/>
  <c r="T578" i="55"/>
  <c r="S578" i="55"/>
  <c r="R578" i="55"/>
  <c r="Q578" i="55"/>
  <c r="U577" i="55"/>
  <c r="T577" i="55"/>
  <c r="S577" i="55"/>
  <c r="R577" i="55"/>
  <c r="Q577" i="55"/>
  <c r="U576" i="55"/>
  <c r="T576" i="55"/>
  <c r="S576" i="55"/>
  <c r="R576" i="55"/>
  <c r="Q576" i="55"/>
  <c r="U575" i="55"/>
  <c r="T575" i="55"/>
  <c r="S575" i="55"/>
  <c r="R575" i="55"/>
  <c r="Q575" i="55"/>
  <c r="U574" i="55"/>
  <c r="T574" i="55"/>
  <c r="S574" i="55"/>
  <c r="R574" i="55"/>
  <c r="Q574" i="55"/>
  <c r="U573" i="55"/>
  <c r="T573" i="55"/>
  <c r="S573" i="55"/>
  <c r="R573" i="55"/>
  <c r="Q573" i="55"/>
  <c r="U572" i="55"/>
  <c r="T572" i="55"/>
  <c r="S572" i="55"/>
  <c r="R572" i="55"/>
  <c r="Q572" i="55"/>
  <c r="U571" i="55"/>
  <c r="T571" i="55"/>
  <c r="S571" i="55"/>
  <c r="R571" i="55"/>
  <c r="Q571" i="55"/>
  <c r="U570" i="55"/>
  <c r="T570" i="55"/>
  <c r="S570" i="55"/>
  <c r="R570" i="55"/>
  <c r="Q570" i="55"/>
  <c r="U569" i="55"/>
  <c r="T569" i="55"/>
  <c r="S569" i="55"/>
  <c r="R569" i="55"/>
  <c r="Q569" i="55"/>
  <c r="U568" i="55"/>
  <c r="T568" i="55"/>
  <c r="S568" i="55"/>
  <c r="R568" i="55"/>
  <c r="Q568" i="55"/>
  <c r="U567" i="55"/>
  <c r="T567" i="55"/>
  <c r="S567" i="55"/>
  <c r="R567" i="55"/>
  <c r="Q567" i="55"/>
  <c r="U566" i="55"/>
  <c r="T566" i="55"/>
  <c r="S566" i="55"/>
  <c r="R566" i="55"/>
  <c r="Q566" i="55"/>
  <c r="U565" i="55"/>
  <c r="T565" i="55"/>
  <c r="S565" i="55"/>
  <c r="R565" i="55"/>
  <c r="Q565" i="55"/>
  <c r="U564" i="55"/>
  <c r="T564" i="55"/>
  <c r="S564" i="55"/>
  <c r="R564" i="55"/>
  <c r="Q564" i="55"/>
  <c r="U563" i="55"/>
  <c r="T563" i="55"/>
  <c r="S563" i="55"/>
  <c r="R563" i="55"/>
  <c r="Q563" i="55"/>
  <c r="U562" i="55"/>
  <c r="T562" i="55"/>
  <c r="S562" i="55"/>
  <c r="R562" i="55"/>
  <c r="Q562" i="55"/>
  <c r="U561" i="55"/>
  <c r="T561" i="55"/>
  <c r="S561" i="55"/>
  <c r="R561" i="55"/>
  <c r="Q561" i="55"/>
  <c r="U560" i="55"/>
  <c r="T560" i="55"/>
  <c r="S560" i="55"/>
  <c r="R560" i="55"/>
  <c r="Q560" i="55"/>
  <c r="U559" i="55"/>
  <c r="T559" i="55"/>
  <c r="S559" i="55"/>
  <c r="R559" i="55"/>
  <c r="Q559" i="55"/>
  <c r="U558" i="55"/>
  <c r="T558" i="55"/>
  <c r="S558" i="55"/>
  <c r="R558" i="55"/>
  <c r="Q558" i="55"/>
  <c r="U557" i="55"/>
  <c r="T557" i="55"/>
  <c r="S557" i="55"/>
  <c r="R557" i="55"/>
  <c r="Q557" i="55"/>
  <c r="U556" i="55"/>
  <c r="T556" i="55"/>
  <c r="S556" i="55"/>
  <c r="R556" i="55"/>
  <c r="Q556" i="55"/>
  <c r="U555" i="55"/>
  <c r="T555" i="55"/>
  <c r="S555" i="55"/>
  <c r="R555" i="55"/>
  <c r="Q555" i="55"/>
  <c r="U554" i="55"/>
  <c r="T554" i="55"/>
  <c r="S554" i="55"/>
  <c r="R554" i="55"/>
  <c r="Q554" i="55"/>
  <c r="U553" i="55"/>
  <c r="T553" i="55"/>
  <c r="S553" i="55"/>
  <c r="R553" i="55"/>
  <c r="Q553" i="55"/>
  <c r="U552" i="55"/>
  <c r="T552" i="55"/>
  <c r="S552" i="55"/>
  <c r="R552" i="55"/>
  <c r="Q552" i="55"/>
  <c r="U551" i="55"/>
  <c r="T551" i="55"/>
  <c r="S551" i="55"/>
  <c r="R551" i="55"/>
  <c r="Q551" i="55"/>
  <c r="U550" i="55"/>
  <c r="T550" i="55"/>
  <c r="S550" i="55"/>
  <c r="R550" i="55"/>
  <c r="Q550" i="55"/>
  <c r="U549" i="55"/>
  <c r="T549" i="55"/>
  <c r="S549" i="55"/>
  <c r="R549" i="55"/>
  <c r="Q549" i="55"/>
  <c r="U548" i="55"/>
  <c r="T548" i="55"/>
  <c r="S548" i="55"/>
  <c r="R548" i="55"/>
  <c r="Q548" i="55"/>
  <c r="U547" i="55"/>
  <c r="T547" i="55"/>
  <c r="S547" i="55"/>
  <c r="R547" i="55"/>
  <c r="Q547" i="55"/>
  <c r="U546" i="55"/>
  <c r="T546" i="55"/>
  <c r="S546" i="55"/>
  <c r="R546" i="55"/>
  <c r="Q546" i="55"/>
  <c r="U545" i="55"/>
  <c r="T545" i="55"/>
  <c r="S545" i="55"/>
  <c r="R545" i="55"/>
  <c r="Q545" i="55"/>
  <c r="U544" i="55"/>
  <c r="T544" i="55"/>
  <c r="S544" i="55"/>
  <c r="R544" i="55"/>
  <c r="Q544" i="55"/>
  <c r="U543" i="55"/>
  <c r="T543" i="55"/>
  <c r="S543" i="55"/>
  <c r="R543" i="55"/>
  <c r="Q543" i="55"/>
  <c r="U542" i="55"/>
  <c r="T542" i="55"/>
  <c r="S542" i="55"/>
  <c r="R542" i="55"/>
  <c r="Q542" i="55"/>
  <c r="U541" i="55"/>
  <c r="T541" i="55"/>
  <c r="S541" i="55"/>
  <c r="R541" i="55"/>
  <c r="Q541" i="55"/>
  <c r="U540" i="55"/>
  <c r="T540" i="55"/>
  <c r="S540" i="55"/>
  <c r="R540" i="55"/>
  <c r="Q540" i="55"/>
  <c r="U539" i="55"/>
  <c r="T539" i="55"/>
  <c r="S539" i="55"/>
  <c r="R539" i="55"/>
  <c r="Q539" i="55"/>
  <c r="U538" i="55"/>
  <c r="T538" i="55"/>
  <c r="S538" i="55"/>
  <c r="R538" i="55"/>
  <c r="Q538" i="55"/>
  <c r="U537" i="55"/>
  <c r="T537" i="55"/>
  <c r="S537" i="55"/>
  <c r="R537" i="55"/>
  <c r="Q537" i="55"/>
  <c r="U536" i="55"/>
  <c r="T536" i="55"/>
  <c r="S536" i="55"/>
  <c r="R536" i="55"/>
  <c r="Q536" i="55"/>
  <c r="U535" i="55"/>
  <c r="T535" i="55"/>
  <c r="S535" i="55"/>
  <c r="R535" i="55"/>
  <c r="Q535" i="55"/>
  <c r="U534" i="55"/>
  <c r="T534" i="55"/>
  <c r="S534" i="55"/>
  <c r="R534" i="55"/>
  <c r="Q534" i="55"/>
  <c r="U533" i="55"/>
  <c r="T533" i="55"/>
  <c r="S533" i="55"/>
  <c r="R533" i="55"/>
  <c r="Q533" i="55"/>
  <c r="U532" i="55"/>
  <c r="T532" i="55"/>
  <c r="S532" i="55"/>
  <c r="R532" i="55"/>
  <c r="Q532" i="55"/>
  <c r="U531" i="55"/>
  <c r="T531" i="55"/>
  <c r="S531" i="55"/>
  <c r="R531" i="55"/>
  <c r="Q531" i="55"/>
  <c r="U530" i="55"/>
  <c r="T530" i="55"/>
  <c r="S530" i="55"/>
  <c r="R530" i="55"/>
  <c r="Q530" i="55"/>
  <c r="U529" i="55"/>
  <c r="T529" i="55"/>
  <c r="S529" i="55"/>
  <c r="R529" i="55"/>
  <c r="Q529" i="55"/>
  <c r="U528" i="55"/>
  <c r="T528" i="55"/>
  <c r="S528" i="55"/>
  <c r="R528" i="55"/>
  <c r="Q528" i="55"/>
  <c r="U527" i="55"/>
  <c r="T527" i="55"/>
  <c r="S527" i="55"/>
  <c r="R527" i="55"/>
  <c r="Q527" i="55"/>
  <c r="U526" i="55"/>
  <c r="T526" i="55"/>
  <c r="S526" i="55"/>
  <c r="R526" i="55"/>
  <c r="Q526" i="55"/>
  <c r="U525" i="55"/>
  <c r="T525" i="55"/>
  <c r="S525" i="55"/>
  <c r="R525" i="55"/>
  <c r="Q525" i="55"/>
  <c r="U524" i="55"/>
  <c r="T524" i="55"/>
  <c r="S524" i="55"/>
  <c r="R524" i="55"/>
  <c r="Q524" i="55"/>
  <c r="U523" i="55"/>
  <c r="T523" i="55"/>
  <c r="S523" i="55"/>
  <c r="R523" i="55"/>
  <c r="Q523" i="55"/>
  <c r="U522" i="55"/>
  <c r="T522" i="55"/>
  <c r="S522" i="55"/>
  <c r="R522" i="55"/>
  <c r="Q522" i="55"/>
  <c r="U521" i="55"/>
  <c r="T521" i="55"/>
  <c r="S521" i="55"/>
  <c r="R521" i="55"/>
  <c r="Q521" i="55"/>
  <c r="U520" i="55"/>
  <c r="T520" i="55"/>
  <c r="S520" i="55"/>
  <c r="R520" i="55"/>
  <c r="Q520" i="55"/>
  <c r="U519" i="55"/>
  <c r="T519" i="55"/>
  <c r="S519" i="55"/>
  <c r="R519" i="55"/>
  <c r="Q519" i="55"/>
  <c r="U518" i="55"/>
  <c r="T518" i="55"/>
  <c r="S518" i="55"/>
  <c r="R518" i="55"/>
  <c r="Q518" i="55"/>
  <c r="U517" i="55"/>
  <c r="T517" i="55"/>
  <c r="S517" i="55"/>
  <c r="R517" i="55"/>
  <c r="Q517" i="55"/>
  <c r="U516" i="55"/>
  <c r="T516" i="55"/>
  <c r="S516" i="55"/>
  <c r="R516" i="55"/>
  <c r="Q516" i="55"/>
  <c r="U515" i="55"/>
  <c r="T515" i="55"/>
  <c r="S515" i="55"/>
  <c r="R515" i="55"/>
  <c r="Q515" i="55"/>
  <c r="U514" i="55"/>
  <c r="T514" i="55"/>
  <c r="S514" i="55"/>
  <c r="R514" i="55"/>
  <c r="Q514" i="55"/>
  <c r="U513" i="55"/>
  <c r="T513" i="55"/>
  <c r="S513" i="55"/>
  <c r="R513" i="55"/>
  <c r="Q513" i="55"/>
  <c r="U512" i="55"/>
  <c r="T512" i="55"/>
  <c r="S512" i="55"/>
  <c r="R512" i="55"/>
  <c r="Q512" i="55"/>
  <c r="U511" i="55"/>
  <c r="T511" i="55"/>
  <c r="S511" i="55"/>
  <c r="R511" i="55"/>
  <c r="Q511" i="55"/>
  <c r="U510" i="55"/>
  <c r="T510" i="55"/>
  <c r="S510" i="55"/>
  <c r="R510" i="55"/>
  <c r="Q510" i="55"/>
  <c r="U509" i="55"/>
  <c r="T509" i="55"/>
  <c r="S509" i="55"/>
  <c r="R509" i="55"/>
  <c r="Q509" i="55"/>
  <c r="U508" i="55"/>
  <c r="T508" i="55"/>
  <c r="S508" i="55"/>
  <c r="R508" i="55"/>
  <c r="Q508" i="55"/>
  <c r="U507" i="55"/>
  <c r="T507" i="55"/>
  <c r="S507" i="55"/>
  <c r="R507" i="55"/>
  <c r="Q507" i="55"/>
  <c r="U506" i="55"/>
  <c r="T506" i="55"/>
  <c r="S506" i="55"/>
  <c r="R506" i="55"/>
  <c r="Q506" i="55"/>
  <c r="U505" i="55"/>
  <c r="T505" i="55"/>
  <c r="S505" i="55"/>
  <c r="R505" i="55"/>
  <c r="Q505" i="55"/>
  <c r="U504" i="55"/>
  <c r="T504" i="55"/>
  <c r="S504" i="55"/>
  <c r="R504" i="55"/>
  <c r="Q504" i="55"/>
  <c r="U503" i="55"/>
  <c r="T503" i="55"/>
  <c r="S503" i="55"/>
  <c r="R503" i="55"/>
  <c r="Q503" i="55"/>
  <c r="U502" i="55"/>
  <c r="T502" i="55"/>
  <c r="S502" i="55"/>
  <c r="R502" i="55"/>
  <c r="Q502" i="55"/>
  <c r="U501" i="55"/>
  <c r="T501" i="55"/>
  <c r="S501" i="55"/>
  <c r="R501" i="55"/>
  <c r="Q501" i="55"/>
  <c r="U500" i="55"/>
  <c r="T500" i="55"/>
  <c r="S500" i="55"/>
  <c r="R500" i="55"/>
  <c r="Q500" i="55"/>
  <c r="U499" i="55"/>
  <c r="T499" i="55"/>
  <c r="S499" i="55"/>
  <c r="R499" i="55"/>
  <c r="Q499" i="55"/>
  <c r="U498" i="55"/>
  <c r="T498" i="55"/>
  <c r="S498" i="55"/>
  <c r="R498" i="55"/>
  <c r="Q498" i="55"/>
  <c r="U497" i="55"/>
  <c r="T497" i="55"/>
  <c r="S497" i="55"/>
  <c r="R497" i="55"/>
  <c r="Q497" i="55"/>
  <c r="U496" i="55"/>
  <c r="T496" i="55"/>
  <c r="S496" i="55"/>
  <c r="R496" i="55"/>
  <c r="Q496" i="55"/>
  <c r="U495" i="55"/>
  <c r="T495" i="55"/>
  <c r="S495" i="55"/>
  <c r="R495" i="55"/>
  <c r="Q495" i="55"/>
  <c r="U494" i="55"/>
  <c r="T494" i="55"/>
  <c r="S494" i="55"/>
  <c r="R494" i="55"/>
  <c r="Q494" i="55"/>
  <c r="U493" i="55"/>
  <c r="T493" i="55"/>
  <c r="S493" i="55"/>
  <c r="R493" i="55"/>
  <c r="Q493" i="55"/>
  <c r="U492" i="55"/>
  <c r="T492" i="55"/>
  <c r="S492" i="55"/>
  <c r="R492" i="55"/>
  <c r="Q492" i="55"/>
  <c r="U491" i="55"/>
  <c r="T491" i="55"/>
  <c r="S491" i="55"/>
  <c r="R491" i="55"/>
  <c r="Q491" i="55"/>
  <c r="U490" i="55"/>
  <c r="T490" i="55"/>
  <c r="S490" i="55"/>
  <c r="R490" i="55"/>
  <c r="Q490" i="55"/>
  <c r="U489" i="55"/>
  <c r="T489" i="55"/>
  <c r="S489" i="55"/>
  <c r="R489" i="55"/>
  <c r="Q489" i="55"/>
  <c r="U488" i="55"/>
  <c r="T488" i="55"/>
  <c r="S488" i="55"/>
  <c r="R488" i="55"/>
  <c r="Q488" i="55"/>
  <c r="U487" i="55"/>
  <c r="T487" i="55"/>
  <c r="S487" i="55"/>
  <c r="R487" i="55"/>
  <c r="Q487" i="55"/>
  <c r="U486" i="55"/>
  <c r="T486" i="55"/>
  <c r="S486" i="55"/>
  <c r="R486" i="55"/>
  <c r="Q486" i="55"/>
  <c r="U485" i="55"/>
  <c r="T485" i="55"/>
  <c r="S485" i="55"/>
  <c r="R485" i="55"/>
  <c r="Q485" i="55"/>
  <c r="U484" i="55"/>
  <c r="T484" i="55"/>
  <c r="S484" i="55"/>
  <c r="R484" i="55"/>
  <c r="Q484" i="55"/>
  <c r="U483" i="55"/>
  <c r="T483" i="55"/>
  <c r="S483" i="55"/>
  <c r="R483" i="55"/>
  <c r="Q483" i="55"/>
  <c r="U482" i="55"/>
  <c r="T482" i="55"/>
  <c r="S482" i="55"/>
  <c r="R482" i="55"/>
  <c r="Q482" i="55"/>
  <c r="U481" i="55"/>
  <c r="T481" i="55"/>
  <c r="S481" i="55"/>
  <c r="R481" i="55"/>
  <c r="Q481" i="55"/>
  <c r="U480" i="55"/>
  <c r="T480" i="55"/>
  <c r="S480" i="55"/>
  <c r="R480" i="55"/>
  <c r="Q480" i="55"/>
  <c r="U479" i="55"/>
  <c r="T479" i="55"/>
  <c r="S479" i="55"/>
  <c r="R479" i="55"/>
  <c r="Q479" i="55"/>
  <c r="U478" i="55"/>
  <c r="T478" i="55"/>
  <c r="S478" i="55"/>
  <c r="R478" i="55"/>
  <c r="Q478" i="55"/>
  <c r="U477" i="55"/>
  <c r="T477" i="55"/>
  <c r="S477" i="55"/>
  <c r="R477" i="55"/>
  <c r="Q477" i="55"/>
  <c r="U476" i="55"/>
  <c r="T476" i="55"/>
  <c r="S476" i="55"/>
  <c r="R476" i="55"/>
  <c r="Q476" i="55"/>
  <c r="U475" i="55"/>
  <c r="T475" i="55"/>
  <c r="S475" i="55"/>
  <c r="R475" i="55"/>
  <c r="Q475" i="55"/>
  <c r="U474" i="55"/>
  <c r="T474" i="55"/>
  <c r="S474" i="55"/>
  <c r="R474" i="55"/>
  <c r="Q474" i="55"/>
  <c r="U473" i="55"/>
  <c r="T473" i="55"/>
  <c r="S473" i="55"/>
  <c r="R473" i="55"/>
  <c r="Q473" i="55"/>
  <c r="U472" i="55"/>
  <c r="T472" i="55"/>
  <c r="S472" i="55"/>
  <c r="R472" i="55"/>
  <c r="Q472" i="55"/>
  <c r="U471" i="55"/>
  <c r="T471" i="55"/>
  <c r="S471" i="55"/>
  <c r="R471" i="55"/>
  <c r="Q471" i="55"/>
  <c r="U470" i="55"/>
  <c r="T470" i="55"/>
  <c r="S470" i="55"/>
  <c r="R470" i="55"/>
  <c r="Q470" i="55"/>
  <c r="U469" i="55"/>
  <c r="T469" i="55"/>
  <c r="S469" i="55"/>
  <c r="R469" i="55"/>
  <c r="Q469" i="55"/>
  <c r="U468" i="55"/>
  <c r="T468" i="55"/>
  <c r="S468" i="55"/>
  <c r="R468" i="55"/>
  <c r="Q468" i="55"/>
  <c r="U467" i="55"/>
  <c r="T467" i="55"/>
  <c r="S467" i="55"/>
  <c r="R467" i="55"/>
  <c r="Q467" i="55"/>
  <c r="U466" i="55"/>
  <c r="T466" i="55"/>
  <c r="S466" i="55"/>
  <c r="R466" i="55"/>
  <c r="Q466" i="55"/>
  <c r="U465" i="55"/>
  <c r="T465" i="55"/>
  <c r="S465" i="55"/>
  <c r="R465" i="55"/>
  <c r="Q465" i="55"/>
  <c r="U464" i="55"/>
  <c r="T464" i="55"/>
  <c r="S464" i="55"/>
  <c r="R464" i="55"/>
  <c r="Q464" i="55"/>
  <c r="U463" i="55"/>
  <c r="T463" i="55"/>
  <c r="S463" i="55"/>
  <c r="R463" i="55"/>
  <c r="Q463" i="55"/>
  <c r="U462" i="55"/>
  <c r="T462" i="55"/>
  <c r="S462" i="55"/>
  <c r="R462" i="55"/>
  <c r="Q462" i="55"/>
  <c r="U461" i="55"/>
  <c r="T461" i="55"/>
  <c r="S461" i="55"/>
  <c r="R461" i="55"/>
  <c r="Q461" i="55"/>
  <c r="U460" i="55"/>
  <c r="T460" i="55"/>
  <c r="S460" i="55"/>
  <c r="R460" i="55"/>
  <c r="Q460" i="55"/>
  <c r="U459" i="55"/>
  <c r="T459" i="55"/>
  <c r="S459" i="55"/>
  <c r="R459" i="55"/>
  <c r="Q459" i="55"/>
  <c r="U458" i="55"/>
  <c r="T458" i="55"/>
  <c r="S458" i="55"/>
  <c r="R458" i="55"/>
  <c r="Q458" i="55"/>
  <c r="U457" i="55"/>
  <c r="T457" i="55"/>
  <c r="S457" i="55"/>
  <c r="R457" i="55"/>
  <c r="Q457" i="55"/>
  <c r="U456" i="55"/>
  <c r="T456" i="55"/>
  <c r="S456" i="55"/>
  <c r="R456" i="55"/>
  <c r="Q456" i="55"/>
  <c r="U455" i="55"/>
  <c r="T455" i="55"/>
  <c r="S455" i="55"/>
  <c r="R455" i="55"/>
  <c r="Q455" i="55"/>
  <c r="U454" i="55"/>
  <c r="T454" i="55"/>
  <c r="S454" i="55"/>
  <c r="R454" i="55"/>
  <c r="Q454" i="55"/>
  <c r="U453" i="55"/>
  <c r="T453" i="55"/>
  <c r="S453" i="55"/>
  <c r="R453" i="55"/>
  <c r="Q453" i="55"/>
  <c r="U452" i="55"/>
  <c r="T452" i="55"/>
  <c r="S452" i="55"/>
  <c r="R452" i="55"/>
  <c r="Q452" i="55"/>
  <c r="U451" i="55"/>
  <c r="T451" i="55"/>
  <c r="S451" i="55"/>
  <c r="R451" i="55"/>
  <c r="Q451" i="55"/>
  <c r="U450" i="55"/>
  <c r="T450" i="55"/>
  <c r="S450" i="55"/>
  <c r="R450" i="55"/>
  <c r="Q450" i="55"/>
  <c r="U449" i="55"/>
  <c r="T449" i="55"/>
  <c r="S449" i="55"/>
  <c r="R449" i="55"/>
  <c r="Q449" i="55"/>
  <c r="U448" i="55"/>
  <c r="T448" i="55"/>
  <c r="S448" i="55"/>
  <c r="R448" i="55"/>
  <c r="Q448" i="55"/>
  <c r="U447" i="55"/>
  <c r="T447" i="55"/>
  <c r="S447" i="55"/>
  <c r="R447" i="55"/>
  <c r="Q447" i="55"/>
  <c r="U446" i="55"/>
  <c r="T446" i="55"/>
  <c r="S446" i="55"/>
  <c r="R446" i="55"/>
  <c r="Q446" i="55"/>
  <c r="U445" i="55"/>
  <c r="T445" i="55"/>
  <c r="S445" i="55"/>
  <c r="R445" i="55"/>
  <c r="Q445" i="55"/>
  <c r="U444" i="55"/>
  <c r="T444" i="55"/>
  <c r="S444" i="55"/>
  <c r="R444" i="55"/>
  <c r="Q444" i="55"/>
  <c r="U443" i="55"/>
  <c r="T443" i="55"/>
  <c r="S443" i="55"/>
  <c r="R443" i="55"/>
  <c r="Q443" i="55"/>
  <c r="U442" i="55"/>
  <c r="T442" i="55"/>
  <c r="S442" i="55"/>
  <c r="R442" i="55"/>
  <c r="Q442" i="55"/>
  <c r="U441" i="55"/>
  <c r="T441" i="55"/>
  <c r="S441" i="55"/>
  <c r="R441" i="55"/>
  <c r="Q441" i="55"/>
  <c r="U440" i="55"/>
  <c r="T440" i="55"/>
  <c r="S440" i="55"/>
  <c r="R440" i="55"/>
  <c r="Q440" i="55"/>
  <c r="U439" i="55"/>
  <c r="T439" i="55"/>
  <c r="S439" i="55"/>
  <c r="R439" i="55"/>
  <c r="Q439" i="55"/>
  <c r="U438" i="55"/>
  <c r="T438" i="55"/>
  <c r="S438" i="55"/>
  <c r="R438" i="55"/>
  <c r="Q438" i="55"/>
  <c r="U437" i="55"/>
  <c r="T437" i="55"/>
  <c r="S437" i="55"/>
  <c r="R437" i="55"/>
  <c r="Q437" i="55"/>
  <c r="U436" i="55"/>
  <c r="T436" i="55"/>
  <c r="S436" i="55"/>
  <c r="R436" i="55"/>
  <c r="Q436" i="55"/>
  <c r="U435" i="55"/>
  <c r="T435" i="55"/>
  <c r="S435" i="55"/>
  <c r="R435" i="55"/>
  <c r="Q435" i="55"/>
  <c r="U434" i="55"/>
  <c r="T434" i="55"/>
  <c r="S434" i="55"/>
  <c r="R434" i="55"/>
  <c r="Q434" i="55"/>
  <c r="U433" i="55"/>
  <c r="T433" i="55"/>
  <c r="S433" i="55"/>
  <c r="R433" i="55"/>
  <c r="Q433" i="55"/>
  <c r="U432" i="55"/>
  <c r="T432" i="55"/>
  <c r="S432" i="55"/>
  <c r="R432" i="55"/>
  <c r="Q432" i="55"/>
  <c r="U431" i="55"/>
  <c r="T431" i="55"/>
  <c r="S431" i="55"/>
  <c r="R431" i="55"/>
  <c r="Q431" i="55"/>
  <c r="U430" i="55"/>
  <c r="T430" i="55"/>
  <c r="S430" i="55"/>
  <c r="R430" i="55"/>
  <c r="Q430" i="55"/>
  <c r="U429" i="55"/>
  <c r="T429" i="55"/>
  <c r="S429" i="55"/>
  <c r="R429" i="55"/>
  <c r="Q429" i="55"/>
  <c r="U428" i="55"/>
  <c r="T428" i="55"/>
  <c r="S428" i="55"/>
  <c r="R428" i="55"/>
  <c r="Q428" i="55"/>
  <c r="U427" i="55"/>
  <c r="T427" i="55"/>
  <c r="S427" i="55"/>
  <c r="R427" i="55"/>
  <c r="Q427" i="55"/>
  <c r="U426" i="55"/>
  <c r="T426" i="55"/>
  <c r="S426" i="55"/>
  <c r="R426" i="55"/>
  <c r="Q426" i="55"/>
  <c r="U425" i="55"/>
  <c r="T425" i="55"/>
  <c r="S425" i="55"/>
  <c r="R425" i="55"/>
  <c r="Q425" i="55"/>
  <c r="U424" i="55"/>
  <c r="T424" i="55"/>
  <c r="S424" i="55"/>
  <c r="R424" i="55"/>
  <c r="Q424" i="55"/>
  <c r="U423" i="55"/>
  <c r="T423" i="55"/>
  <c r="S423" i="55"/>
  <c r="R423" i="55"/>
  <c r="Q423" i="55"/>
  <c r="U422" i="55"/>
  <c r="T422" i="55"/>
  <c r="S422" i="55"/>
  <c r="R422" i="55"/>
  <c r="Q422" i="55"/>
  <c r="U421" i="55"/>
  <c r="T421" i="55"/>
  <c r="S421" i="55"/>
  <c r="R421" i="55"/>
  <c r="Q421" i="55"/>
  <c r="U420" i="55"/>
  <c r="T420" i="55"/>
  <c r="S420" i="55"/>
  <c r="R420" i="55"/>
  <c r="Q420" i="55"/>
  <c r="U419" i="55"/>
  <c r="T419" i="55"/>
  <c r="S419" i="55"/>
  <c r="R419" i="55"/>
  <c r="Q419" i="55"/>
  <c r="U418" i="55"/>
  <c r="T418" i="55"/>
  <c r="S418" i="55"/>
  <c r="R418" i="55"/>
  <c r="Q418" i="55"/>
  <c r="U417" i="55"/>
  <c r="T417" i="55"/>
  <c r="S417" i="55"/>
  <c r="R417" i="55"/>
  <c r="Q417" i="55"/>
  <c r="U416" i="55"/>
  <c r="T416" i="55"/>
  <c r="S416" i="55"/>
  <c r="R416" i="55"/>
  <c r="Q416" i="55"/>
  <c r="U415" i="55"/>
  <c r="T415" i="55"/>
  <c r="S415" i="55"/>
  <c r="R415" i="55"/>
  <c r="Q415" i="55"/>
  <c r="U414" i="55"/>
  <c r="T414" i="55"/>
  <c r="S414" i="55"/>
  <c r="R414" i="55"/>
  <c r="Q414" i="55"/>
  <c r="U413" i="55"/>
  <c r="T413" i="55"/>
  <c r="S413" i="55"/>
  <c r="R413" i="55"/>
  <c r="Q413" i="55"/>
  <c r="U412" i="55"/>
  <c r="T412" i="55"/>
  <c r="S412" i="55"/>
  <c r="R412" i="55"/>
  <c r="Q412" i="55"/>
  <c r="U411" i="55"/>
  <c r="T411" i="55"/>
  <c r="S411" i="55"/>
  <c r="R411" i="55"/>
  <c r="Q411" i="55"/>
  <c r="U410" i="55"/>
  <c r="T410" i="55"/>
  <c r="S410" i="55"/>
  <c r="R410" i="55"/>
  <c r="Q410" i="55"/>
  <c r="U409" i="55"/>
  <c r="T409" i="55"/>
  <c r="S409" i="55"/>
  <c r="R409" i="55"/>
  <c r="Q409" i="55"/>
  <c r="U408" i="55"/>
  <c r="T408" i="55"/>
  <c r="S408" i="55"/>
  <c r="R408" i="55"/>
  <c r="Q408" i="55"/>
  <c r="U407" i="55"/>
  <c r="T407" i="55"/>
  <c r="S407" i="55"/>
  <c r="R407" i="55"/>
  <c r="Q407" i="55"/>
  <c r="U406" i="55"/>
  <c r="T406" i="55"/>
  <c r="S406" i="55"/>
  <c r="R406" i="55"/>
  <c r="Q406" i="55"/>
  <c r="U405" i="55"/>
  <c r="T405" i="55"/>
  <c r="S405" i="55"/>
  <c r="R405" i="55"/>
  <c r="Q405" i="55"/>
  <c r="U404" i="55"/>
  <c r="T404" i="55"/>
  <c r="S404" i="55"/>
  <c r="R404" i="55"/>
  <c r="Q404" i="55"/>
  <c r="U403" i="55"/>
  <c r="T403" i="55"/>
  <c r="S403" i="55"/>
  <c r="R403" i="55"/>
  <c r="Q403" i="55"/>
  <c r="U402" i="55"/>
  <c r="T402" i="55"/>
  <c r="S402" i="55"/>
  <c r="R402" i="55"/>
  <c r="Q402" i="55"/>
  <c r="U401" i="55"/>
  <c r="T401" i="55"/>
  <c r="S401" i="55"/>
  <c r="R401" i="55"/>
  <c r="Q401" i="55"/>
  <c r="U400" i="55"/>
  <c r="T400" i="55"/>
  <c r="S400" i="55"/>
  <c r="R400" i="55"/>
  <c r="Q400" i="55"/>
  <c r="U399" i="55"/>
  <c r="T399" i="55"/>
  <c r="S399" i="55"/>
  <c r="R399" i="55"/>
  <c r="Q399" i="55"/>
  <c r="U398" i="55"/>
  <c r="T398" i="55"/>
  <c r="S398" i="55"/>
  <c r="R398" i="55"/>
  <c r="Q398" i="55"/>
  <c r="U397" i="55"/>
  <c r="T397" i="55"/>
  <c r="S397" i="55"/>
  <c r="R397" i="55"/>
  <c r="Q397" i="55"/>
  <c r="U396" i="55"/>
  <c r="T396" i="55"/>
  <c r="S396" i="55"/>
  <c r="R396" i="55"/>
  <c r="Q396" i="55"/>
  <c r="U395" i="55"/>
  <c r="T395" i="55"/>
  <c r="S395" i="55"/>
  <c r="R395" i="55"/>
  <c r="Q395" i="55"/>
  <c r="U394" i="55"/>
  <c r="T394" i="55"/>
  <c r="S394" i="55"/>
  <c r="R394" i="55"/>
  <c r="Q394" i="55"/>
  <c r="U393" i="55"/>
  <c r="T393" i="55"/>
  <c r="S393" i="55"/>
  <c r="R393" i="55"/>
  <c r="Q393" i="55"/>
  <c r="U392" i="55"/>
  <c r="T392" i="55"/>
  <c r="S392" i="55"/>
  <c r="R392" i="55"/>
  <c r="Q392" i="55"/>
  <c r="U391" i="55"/>
  <c r="T391" i="55"/>
  <c r="S391" i="55"/>
  <c r="R391" i="55"/>
  <c r="Q391" i="55"/>
  <c r="U390" i="55"/>
  <c r="T390" i="55"/>
  <c r="S390" i="55"/>
  <c r="R390" i="55"/>
  <c r="Q390" i="55"/>
  <c r="U389" i="55"/>
  <c r="T389" i="55"/>
  <c r="S389" i="55"/>
  <c r="R389" i="55"/>
  <c r="Q389" i="55"/>
  <c r="U388" i="55"/>
  <c r="T388" i="55"/>
  <c r="S388" i="55"/>
  <c r="R388" i="55"/>
  <c r="Q388" i="55"/>
  <c r="U387" i="55"/>
  <c r="T387" i="55"/>
  <c r="S387" i="55"/>
  <c r="R387" i="55"/>
  <c r="Q387" i="55"/>
  <c r="U386" i="55"/>
  <c r="T386" i="55"/>
  <c r="S386" i="55"/>
  <c r="R386" i="55"/>
  <c r="Q386" i="55"/>
  <c r="U385" i="55"/>
  <c r="T385" i="55"/>
  <c r="S385" i="55"/>
  <c r="R385" i="55"/>
  <c r="Q385" i="55"/>
  <c r="U384" i="55"/>
  <c r="T384" i="55"/>
  <c r="S384" i="55"/>
  <c r="R384" i="55"/>
  <c r="Q384" i="55"/>
  <c r="U383" i="55"/>
  <c r="T383" i="55"/>
  <c r="S383" i="55"/>
  <c r="R383" i="55"/>
  <c r="Q383" i="55"/>
  <c r="U382" i="55"/>
  <c r="T382" i="55"/>
  <c r="S382" i="55"/>
  <c r="R382" i="55"/>
  <c r="Q382" i="55"/>
  <c r="U381" i="55"/>
  <c r="T381" i="55"/>
  <c r="S381" i="55"/>
  <c r="R381" i="55"/>
  <c r="Q381" i="55"/>
  <c r="U380" i="55"/>
  <c r="T380" i="55"/>
  <c r="S380" i="55"/>
  <c r="R380" i="55"/>
  <c r="Q380" i="55"/>
  <c r="U379" i="55"/>
  <c r="T379" i="55"/>
  <c r="S379" i="55"/>
  <c r="R379" i="55"/>
  <c r="Q379" i="55"/>
  <c r="U378" i="55"/>
  <c r="T378" i="55"/>
  <c r="S378" i="55"/>
  <c r="R378" i="55"/>
  <c r="Q378" i="55"/>
  <c r="U377" i="55"/>
  <c r="T377" i="55"/>
  <c r="S377" i="55"/>
  <c r="R377" i="55"/>
  <c r="Q377" i="55"/>
  <c r="U376" i="55"/>
  <c r="T376" i="55"/>
  <c r="S376" i="55"/>
  <c r="R376" i="55"/>
  <c r="Q376" i="55"/>
  <c r="U375" i="55"/>
  <c r="T375" i="55"/>
  <c r="S375" i="55"/>
  <c r="R375" i="55"/>
  <c r="Q375" i="55"/>
  <c r="U374" i="55"/>
  <c r="T374" i="55"/>
  <c r="S374" i="55"/>
  <c r="R374" i="55"/>
  <c r="Q374" i="55"/>
  <c r="U373" i="55"/>
  <c r="T373" i="55"/>
  <c r="S373" i="55"/>
  <c r="R373" i="55"/>
  <c r="Q373" i="55"/>
  <c r="U372" i="55"/>
  <c r="T372" i="55"/>
  <c r="S372" i="55"/>
  <c r="R372" i="55"/>
  <c r="Q372" i="55"/>
  <c r="U371" i="55"/>
  <c r="T371" i="55"/>
  <c r="S371" i="55"/>
  <c r="R371" i="55"/>
  <c r="Q371" i="55"/>
  <c r="U370" i="55"/>
  <c r="T370" i="55"/>
  <c r="S370" i="55"/>
  <c r="R370" i="55"/>
  <c r="Q370" i="55"/>
  <c r="U369" i="55"/>
  <c r="T369" i="55"/>
  <c r="S369" i="55"/>
  <c r="R369" i="55"/>
  <c r="Q369" i="55"/>
  <c r="U368" i="55"/>
  <c r="T368" i="55"/>
  <c r="S368" i="55"/>
  <c r="R368" i="55"/>
  <c r="Q368" i="55"/>
  <c r="U367" i="55"/>
  <c r="T367" i="55"/>
  <c r="S367" i="55"/>
  <c r="R367" i="55"/>
  <c r="Q367" i="55"/>
  <c r="U366" i="55"/>
  <c r="T366" i="55"/>
  <c r="S366" i="55"/>
  <c r="R366" i="55"/>
  <c r="Q366" i="55"/>
  <c r="U365" i="55"/>
  <c r="T365" i="55"/>
  <c r="S365" i="55"/>
  <c r="R365" i="55"/>
  <c r="Q365" i="55"/>
  <c r="U364" i="55"/>
  <c r="T364" i="55"/>
  <c r="S364" i="55"/>
  <c r="R364" i="55"/>
  <c r="Q364" i="55"/>
  <c r="U363" i="55"/>
  <c r="T363" i="55"/>
  <c r="S363" i="55"/>
  <c r="R363" i="55"/>
  <c r="Q363" i="55"/>
  <c r="U362" i="55"/>
  <c r="T362" i="55"/>
  <c r="S362" i="55"/>
  <c r="R362" i="55"/>
  <c r="Q362" i="55"/>
  <c r="U361" i="55"/>
  <c r="T361" i="55"/>
  <c r="S361" i="55"/>
  <c r="R361" i="55"/>
  <c r="Q361" i="55"/>
  <c r="U360" i="55"/>
  <c r="T360" i="55"/>
  <c r="S360" i="55"/>
  <c r="R360" i="55"/>
  <c r="Q360" i="55"/>
  <c r="U359" i="55"/>
  <c r="T359" i="55"/>
  <c r="S359" i="55"/>
  <c r="R359" i="55"/>
  <c r="Q359" i="55"/>
  <c r="U358" i="55"/>
  <c r="T358" i="55"/>
  <c r="S358" i="55"/>
  <c r="R358" i="55"/>
  <c r="Q358" i="55"/>
  <c r="U357" i="55"/>
  <c r="T357" i="55"/>
  <c r="S357" i="55"/>
  <c r="R357" i="55"/>
  <c r="Q357" i="55"/>
  <c r="U356" i="55"/>
  <c r="T356" i="55"/>
  <c r="S356" i="55"/>
  <c r="R356" i="55"/>
  <c r="Q356" i="55"/>
  <c r="U355" i="55"/>
  <c r="T355" i="55"/>
  <c r="S355" i="55"/>
  <c r="R355" i="55"/>
  <c r="Q355" i="55"/>
  <c r="U354" i="55"/>
  <c r="T354" i="55"/>
  <c r="S354" i="55"/>
  <c r="R354" i="55"/>
  <c r="Q354" i="55"/>
  <c r="U353" i="55"/>
  <c r="T353" i="55"/>
  <c r="S353" i="55"/>
  <c r="R353" i="55"/>
  <c r="Q353" i="55"/>
  <c r="U352" i="55"/>
  <c r="T352" i="55"/>
  <c r="S352" i="55"/>
  <c r="R352" i="55"/>
  <c r="Q352" i="55"/>
  <c r="U351" i="55"/>
  <c r="T351" i="55"/>
  <c r="S351" i="55"/>
  <c r="R351" i="55"/>
  <c r="Q351" i="55"/>
  <c r="U350" i="55"/>
  <c r="T350" i="55"/>
  <c r="S350" i="55"/>
  <c r="R350" i="55"/>
  <c r="Q350" i="55"/>
  <c r="U349" i="55"/>
  <c r="T349" i="55"/>
  <c r="S349" i="55"/>
  <c r="R349" i="55"/>
  <c r="Q349" i="55"/>
  <c r="U348" i="55"/>
  <c r="T348" i="55"/>
  <c r="S348" i="55"/>
  <c r="R348" i="55"/>
  <c r="Q348" i="55"/>
  <c r="U347" i="55"/>
  <c r="T347" i="55"/>
  <c r="S347" i="55"/>
  <c r="R347" i="55"/>
  <c r="Q347" i="55"/>
  <c r="U346" i="55"/>
  <c r="T346" i="55"/>
  <c r="S346" i="55"/>
  <c r="R346" i="55"/>
  <c r="Q346" i="55"/>
  <c r="U345" i="55"/>
  <c r="T345" i="55"/>
  <c r="S345" i="55"/>
  <c r="R345" i="55"/>
  <c r="Q345" i="55"/>
  <c r="U344" i="55"/>
  <c r="T344" i="55"/>
  <c r="S344" i="55"/>
  <c r="R344" i="55"/>
  <c r="Q344" i="55"/>
  <c r="U343" i="55"/>
  <c r="T343" i="55"/>
  <c r="S343" i="55"/>
  <c r="R343" i="55"/>
  <c r="Q343" i="55"/>
  <c r="U342" i="55"/>
  <c r="T342" i="55"/>
  <c r="S342" i="55"/>
  <c r="R342" i="55"/>
  <c r="Q342" i="55"/>
  <c r="U341" i="55"/>
  <c r="T341" i="55"/>
  <c r="S341" i="55"/>
  <c r="R341" i="55"/>
  <c r="Q341" i="55"/>
  <c r="U340" i="55"/>
  <c r="T340" i="55"/>
  <c r="S340" i="55"/>
  <c r="R340" i="55"/>
  <c r="Q340" i="55"/>
  <c r="U339" i="55"/>
  <c r="T339" i="55"/>
  <c r="S339" i="55"/>
  <c r="R339" i="55"/>
  <c r="Q339" i="55"/>
  <c r="U338" i="55"/>
  <c r="T338" i="55"/>
  <c r="S338" i="55"/>
  <c r="R338" i="55"/>
  <c r="Q338" i="55"/>
  <c r="U337" i="55"/>
  <c r="T337" i="55"/>
  <c r="S337" i="55"/>
  <c r="R337" i="55"/>
  <c r="Q337" i="55"/>
  <c r="U336" i="55"/>
  <c r="T336" i="55"/>
  <c r="S336" i="55"/>
  <c r="R336" i="55"/>
  <c r="Q336" i="55"/>
  <c r="U335" i="55"/>
  <c r="T335" i="55"/>
  <c r="S335" i="55"/>
  <c r="R335" i="55"/>
  <c r="Q335" i="55"/>
  <c r="U334" i="55"/>
  <c r="T334" i="55"/>
  <c r="S334" i="55"/>
  <c r="R334" i="55"/>
  <c r="Q334" i="55"/>
  <c r="U333" i="55"/>
  <c r="T333" i="55"/>
  <c r="S333" i="55"/>
  <c r="R333" i="55"/>
  <c r="Q333" i="55"/>
  <c r="U332" i="55"/>
  <c r="T332" i="55"/>
  <c r="S332" i="55"/>
  <c r="R332" i="55"/>
  <c r="Q332" i="55"/>
  <c r="U331" i="55"/>
  <c r="T331" i="55"/>
  <c r="S331" i="55"/>
  <c r="R331" i="55"/>
  <c r="Q331" i="55"/>
  <c r="U330" i="55"/>
  <c r="T330" i="55"/>
  <c r="S330" i="55"/>
  <c r="R330" i="55"/>
  <c r="Q330" i="55"/>
  <c r="U329" i="55"/>
  <c r="T329" i="55"/>
  <c r="S329" i="55"/>
  <c r="R329" i="55"/>
  <c r="Q329" i="55"/>
  <c r="U328" i="55"/>
  <c r="T328" i="55"/>
  <c r="S328" i="55"/>
  <c r="R328" i="55"/>
  <c r="Q328" i="55"/>
  <c r="U327" i="55"/>
  <c r="T327" i="55"/>
  <c r="S327" i="55"/>
  <c r="R327" i="55"/>
  <c r="Q327" i="55"/>
  <c r="U326" i="55"/>
  <c r="T326" i="55"/>
  <c r="S326" i="55"/>
  <c r="R326" i="55"/>
  <c r="Q326" i="55"/>
  <c r="U325" i="55"/>
  <c r="T325" i="55"/>
  <c r="S325" i="55"/>
  <c r="R325" i="55"/>
  <c r="Q325" i="55"/>
  <c r="U324" i="55"/>
  <c r="T324" i="55"/>
  <c r="S324" i="55"/>
  <c r="R324" i="55"/>
  <c r="Q324" i="55"/>
  <c r="U323" i="55"/>
  <c r="T323" i="55"/>
  <c r="S323" i="55"/>
  <c r="R323" i="55"/>
  <c r="Q323" i="55"/>
  <c r="U322" i="55"/>
  <c r="T322" i="55"/>
  <c r="S322" i="55"/>
  <c r="R322" i="55"/>
  <c r="Q322" i="55"/>
  <c r="U321" i="55"/>
  <c r="T321" i="55"/>
  <c r="S321" i="55"/>
  <c r="R321" i="55"/>
  <c r="Q321" i="55"/>
  <c r="U320" i="55"/>
  <c r="T320" i="55"/>
  <c r="S320" i="55"/>
  <c r="R320" i="55"/>
  <c r="Q320" i="55"/>
  <c r="U319" i="55"/>
  <c r="T319" i="55"/>
  <c r="S319" i="55"/>
  <c r="R319" i="55"/>
  <c r="Q319" i="55"/>
  <c r="U318" i="55"/>
  <c r="T318" i="55"/>
  <c r="S318" i="55"/>
  <c r="R318" i="55"/>
  <c r="Q318" i="55"/>
  <c r="U317" i="55"/>
  <c r="T317" i="55"/>
  <c r="S317" i="55"/>
  <c r="R317" i="55"/>
  <c r="Q317" i="55"/>
  <c r="U316" i="55"/>
  <c r="T316" i="55"/>
  <c r="S316" i="55"/>
  <c r="R316" i="55"/>
  <c r="Q316" i="55"/>
  <c r="U315" i="55"/>
  <c r="T315" i="55"/>
  <c r="S315" i="55"/>
  <c r="R315" i="55"/>
  <c r="Q315" i="55"/>
  <c r="U314" i="55"/>
  <c r="T314" i="55"/>
  <c r="S314" i="55"/>
  <c r="R314" i="55"/>
  <c r="Q314" i="55"/>
  <c r="U313" i="55"/>
  <c r="T313" i="55"/>
  <c r="S313" i="55"/>
  <c r="R313" i="55"/>
  <c r="Q313" i="55"/>
  <c r="U312" i="55"/>
  <c r="T312" i="55"/>
  <c r="S312" i="55"/>
  <c r="R312" i="55"/>
  <c r="Q312" i="55"/>
  <c r="U311" i="55"/>
  <c r="T311" i="55"/>
  <c r="S311" i="55"/>
  <c r="R311" i="55"/>
  <c r="Q311" i="55"/>
  <c r="U310" i="55"/>
  <c r="T310" i="55"/>
  <c r="S310" i="55"/>
  <c r="R310" i="55"/>
  <c r="Q310" i="55"/>
  <c r="U309" i="55"/>
  <c r="T309" i="55"/>
  <c r="S309" i="55"/>
  <c r="R309" i="55"/>
  <c r="Q309" i="55"/>
  <c r="U308" i="55"/>
  <c r="T308" i="55"/>
  <c r="S308" i="55"/>
  <c r="R308" i="55"/>
  <c r="Q308" i="55"/>
  <c r="U307" i="55"/>
  <c r="T307" i="55"/>
  <c r="S307" i="55"/>
  <c r="R307" i="55"/>
  <c r="Q307" i="55"/>
  <c r="U306" i="55"/>
  <c r="T306" i="55"/>
  <c r="S306" i="55"/>
  <c r="R306" i="55"/>
  <c r="Q306" i="55"/>
  <c r="U305" i="55"/>
  <c r="T305" i="55"/>
  <c r="S305" i="55"/>
  <c r="R305" i="55"/>
  <c r="Q305" i="55"/>
  <c r="U304" i="55"/>
  <c r="T304" i="55"/>
  <c r="S304" i="55"/>
  <c r="R304" i="55"/>
  <c r="Q304" i="55"/>
  <c r="U303" i="55"/>
  <c r="T303" i="55"/>
  <c r="S303" i="55"/>
  <c r="R303" i="55"/>
  <c r="Q303" i="55"/>
  <c r="U302" i="55"/>
  <c r="T302" i="55"/>
  <c r="S302" i="55"/>
  <c r="R302" i="55"/>
  <c r="Q302" i="55"/>
  <c r="U301" i="55"/>
  <c r="T301" i="55"/>
  <c r="S301" i="55"/>
  <c r="R301" i="55"/>
  <c r="Q301" i="55"/>
  <c r="U300" i="55"/>
  <c r="T300" i="55"/>
  <c r="S300" i="55"/>
  <c r="R300" i="55"/>
  <c r="Q300" i="55"/>
  <c r="U299" i="55"/>
  <c r="T299" i="55"/>
  <c r="S299" i="55"/>
  <c r="R299" i="55"/>
  <c r="Q299" i="55"/>
  <c r="U298" i="55"/>
  <c r="T298" i="55"/>
  <c r="S298" i="55"/>
  <c r="R298" i="55"/>
  <c r="Q298" i="55"/>
  <c r="U297" i="55"/>
  <c r="T297" i="55"/>
  <c r="S297" i="55"/>
  <c r="R297" i="55"/>
  <c r="Q297" i="55"/>
  <c r="U296" i="55"/>
  <c r="T296" i="55"/>
  <c r="S296" i="55"/>
  <c r="R296" i="55"/>
  <c r="Q296" i="55"/>
  <c r="U295" i="55"/>
  <c r="T295" i="55"/>
  <c r="S295" i="55"/>
  <c r="R295" i="55"/>
  <c r="Q295" i="55"/>
  <c r="U294" i="55"/>
  <c r="T294" i="55"/>
  <c r="S294" i="55"/>
  <c r="R294" i="55"/>
  <c r="Q294" i="55"/>
  <c r="U293" i="55"/>
  <c r="T293" i="55"/>
  <c r="S293" i="55"/>
  <c r="R293" i="55"/>
  <c r="Q293" i="55"/>
  <c r="U292" i="55"/>
  <c r="T292" i="55"/>
  <c r="S292" i="55"/>
  <c r="R292" i="55"/>
  <c r="Q292" i="55"/>
  <c r="U291" i="55"/>
  <c r="T291" i="55"/>
  <c r="S291" i="55"/>
  <c r="R291" i="55"/>
  <c r="Q291" i="55"/>
  <c r="U290" i="55"/>
  <c r="T290" i="55"/>
  <c r="S290" i="55"/>
  <c r="R290" i="55"/>
  <c r="Q290" i="55"/>
  <c r="U289" i="55"/>
  <c r="T289" i="55"/>
  <c r="S289" i="55"/>
  <c r="R289" i="55"/>
  <c r="Q289" i="55"/>
  <c r="U288" i="55"/>
  <c r="T288" i="55"/>
  <c r="S288" i="55"/>
  <c r="R288" i="55"/>
  <c r="Q288" i="55"/>
  <c r="U287" i="55"/>
  <c r="T287" i="55"/>
  <c r="S287" i="55"/>
  <c r="R287" i="55"/>
  <c r="Q287" i="55"/>
  <c r="U286" i="55"/>
  <c r="T286" i="55"/>
  <c r="S286" i="55"/>
  <c r="R286" i="55"/>
  <c r="Q286" i="55"/>
  <c r="U285" i="55"/>
  <c r="T285" i="55"/>
  <c r="S285" i="55"/>
  <c r="R285" i="55"/>
  <c r="Q285" i="55"/>
  <c r="U284" i="55"/>
  <c r="T284" i="55"/>
  <c r="S284" i="55"/>
  <c r="R284" i="55"/>
  <c r="Q284" i="55"/>
  <c r="U283" i="55"/>
  <c r="T283" i="55"/>
  <c r="S283" i="55"/>
  <c r="R283" i="55"/>
  <c r="Q283" i="55"/>
  <c r="U282" i="55"/>
  <c r="T282" i="55"/>
  <c r="S282" i="55"/>
  <c r="R282" i="55"/>
  <c r="Q282" i="55"/>
  <c r="U281" i="55"/>
  <c r="T281" i="55"/>
  <c r="S281" i="55"/>
  <c r="R281" i="55"/>
  <c r="Q281" i="55"/>
  <c r="U280" i="55"/>
  <c r="T280" i="55"/>
  <c r="S280" i="55"/>
  <c r="R280" i="55"/>
  <c r="Q280" i="55"/>
  <c r="U279" i="55"/>
  <c r="T279" i="55"/>
  <c r="S279" i="55"/>
  <c r="R279" i="55"/>
  <c r="Q279" i="55"/>
  <c r="U278" i="55"/>
  <c r="T278" i="55"/>
  <c r="S278" i="55"/>
  <c r="R278" i="55"/>
  <c r="Q278" i="55"/>
  <c r="U277" i="55"/>
  <c r="T277" i="55"/>
  <c r="S277" i="55"/>
  <c r="R277" i="55"/>
  <c r="Q277" i="55"/>
  <c r="U276" i="55"/>
  <c r="T276" i="55"/>
  <c r="S276" i="55"/>
  <c r="R276" i="55"/>
  <c r="Q276" i="55"/>
  <c r="U275" i="55"/>
  <c r="T275" i="55"/>
  <c r="S275" i="55"/>
  <c r="R275" i="55"/>
  <c r="Q275" i="55"/>
  <c r="U274" i="55"/>
  <c r="T274" i="55"/>
  <c r="S274" i="55"/>
  <c r="R274" i="55"/>
  <c r="Q274" i="55"/>
  <c r="U273" i="55"/>
  <c r="T273" i="55"/>
  <c r="S273" i="55"/>
  <c r="R273" i="55"/>
  <c r="Q273" i="55"/>
  <c r="U272" i="55"/>
  <c r="T272" i="55"/>
  <c r="S272" i="55"/>
  <c r="R272" i="55"/>
  <c r="Q272" i="55"/>
  <c r="U271" i="55"/>
  <c r="T271" i="55"/>
  <c r="S271" i="55"/>
  <c r="R271" i="55"/>
  <c r="Q271" i="55"/>
  <c r="U270" i="55"/>
  <c r="T270" i="55"/>
  <c r="S270" i="55"/>
  <c r="R270" i="55"/>
  <c r="Q270" i="55"/>
  <c r="U269" i="55"/>
  <c r="T269" i="55"/>
  <c r="S269" i="55"/>
  <c r="R269" i="55"/>
  <c r="Q269" i="55"/>
  <c r="U268" i="55"/>
  <c r="T268" i="55"/>
  <c r="S268" i="55"/>
  <c r="R268" i="55"/>
  <c r="Q268" i="55"/>
  <c r="U267" i="55"/>
  <c r="T267" i="55"/>
  <c r="S267" i="55"/>
  <c r="R267" i="55"/>
  <c r="Q267" i="55"/>
  <c r="U266" i="55"/>
  <c r="T266" i="55"/>
  <c r="S266" i="55"/>
  <c r="R266" i="55"/>
  <c r="Q266" i="55"/>
  <c r="U265" i="55"/>
  <c r="T265" i="55"/>
  <c r="S265" i="55"/>
  <c r="R265" i="55"/>
  <c r="Q265" i="55"/>
  <c r="U264" i="55"/>
  <c r="T264" i="55"/>
  <c r="S264" i="55"/>
  <c r="R264" i="55"/>
  <c r="Q264" i="55"/>
  <c r="U263" i="55"/>
  <c r="T263" i="55"/>
  <c r="S263" i="55"/>
  <c r="R263" i="55"/>
  <c r="Q263" i="55"/>
  <c r="U262" i="55"/>
  <c r="T262" i="55"/>
  <c r="S262" i="55"/>
  <c r="R262" i="55"/>
  <c r="Q262" i="55"/>
  <c r="U261" i="55"/>
  <c r="T261" i="55"/>
  <c r="S261" i="55"/>
  <c r="R261" i="55"/>
  <c r="Q261" i="55"/>
  <c r="U260" i="55"/>
  <c r="T260" i="55"/>
  <c r="S260" i="55"/>
  <c r="R260" i="55"/>
  <c r="Q260" i="55"/>
  <c r="U259" i="55"/>
  <c r="T259" i="55"/>
  <c r="S259" i="55"/>
  <c r="R259" i="55"/>
  <c r="Q259" i="55"/>
  <c r="U258" i="55"/>
  <c r="T258" i="55"/>
  <c r="S258" i="55"/>
  <c r="R258" i="55"/>
  <c r="Q258" i="55"/>
  <c r="U257" i="55"/>
  <c r="T257" i="55"/>
  <c r="S257" i="55"/>
  <c r="R257" i="55"/>
  <c r="Q257" i="55"/>
  <c r="U256" i="55"/>
  <c r="T256" i="55"/>
  <c r="S256" i="55"/>
  <c r="R256" i="55"/>
  <c r="Q256" i="55"/>
  <c r="U255" i="55"/>
  <c r="T255" i="55"/>
  <c r="S255" i="55"/>
  <c r="R255" i="55"/>
  <c r="Q255" i="55"/>
  <c r="U254" i="55"/>
  <c r="T254" i="55"/>
  <c r="S254" i="55"/>
  <c r="R254" i="55"/>
  <c r="Q254" i="55"/>
  <c r="U253" i="55"/>
  <c r="T253" i="55"/>
  <c r="S253" i="55"/>
  <c r="R253" i="55"/>
  <c r="Q253" i="55"/>
  <c r="U252" i="55"/>
  <c r="T252" i="55"/>
  <c r="S252" i="55"/>
  <c r="R252" i="55"/>
  <c r="Q252" i="55"/>
  <c r="U251" i="55"/>
  <c r="T251" i="55"/>
  <c r="S251" i="55"/>
  <c r="R251" i="55"/>
  <c r="Q251" i="55"/>
  <c r="U250" i="55"/>
  <c r="T250" i="55"/>
  <c r="S250" i="55"/>
  <c r="R250" i="55"/>
  <c r="Q250" i="55"/>
  <c r="U249" i="55"/>
  <c r="T249" i="55"/>
  <c r="S249" i="55"/>
  <c r="R249" i="55"/>
  <c r="Q249" i="55"/>
  <c r="U248" i="55"/>
  <c r="T248" i="55"/>
  <c r="S248" i="55"/>
  <c r="R248" i="55"/>
  <c r="Q248" i="55"/>
  <c r="U247" i="55"/>
  <c r="T247" i="55"/>
  <c r="S247" i="55"/>
  <c r="R247" i="55"/>
  <c r="Q247" i="55"/>
  <c r="U246" i="55"/>
  <c r="T246" i="55"/>
  <c r="S246" i="55"/>
  <c r="R246" i="55"/>
  <c r="Q246" i="55"/>
  <c r="U245" i="55"/>
  <c r="T245" i="55"/>
  <c r="S245" i="55"/>
  <c r="R245" i="55"/>
  <c r="Q245" i="55"/>
  <c r="U244" i="55"/>
  <c r="T244" i="55"/>
  <c r="S244" i="55"/>
  <c r="R244" i="55"/>
  <c r="Q244" i="55"/>
  <c r="U243" i="55"/>
  <c r="T243" i="55"/>
  <c r="S243" i="55"/>
  <c r="R243" i="55"/>
  <c r="Q243" i="55"/>
  <c r="U242" i="55"/>
  <c r="T242" i="55"/>
  <c r="S242" i="55"/>
  <c r="R242" i="55"/>
  <c r="Q242" i="55"/>
  <c r="U241" i="55"/>
  <c r="T241" i="55"/>
  <c r="S241" i="55"/>
  <c r="R241" i="55"/>
  <c r="Q241" i="55"/>
  <c r="U240" i="55"/>
  <c r="T240" i="55"/>
  <c r="S240" i="55"/>
  <c r="R240" i="55"/>
  <c r="Q240" i="55"/>
  <c r="U239" i="55"/>
  <c r="T239" i="55"/>
  <c r="S239" i="55"/>
  <c r="R239" i="55"/>
  <c r="Q239" i="55"/>
  <c r="U238" i="55"/>
  <c r="T238" i="55"/>
  <c r="S238" i="55"/>
  <c r="R238" i="55"/>
  <c r="Q238" i="55"/>
  <c r="U237" i="55"/>
  <c r="T237" i="55"/>
  <c r="S237" i="55"/>
  <c r="R237" i="55"/>
  <c r="Q237" i="55"/>
  <c r="U236" i="55"/>
  <c r="T236" i="55"/>
  <c r="S236" i="55"/>
  <c r="R236" i="55"/>
  <c r="Q236" i="55"/>
  <c r="U235" i="55"/>
  <c r="T235" i="55"/>
  <c r="S235" i="55"/>
  <c r="R235" i="55"/>
  <c r="Q235" i="55"/>
  <c r="U234" i="55"/>
  <c r="T234" i="55"/>
  <c r="S234" i="55"/>
  <c r="R234" i="55"/>
  <c r="Q234" i="55"/>
  <c r="U233" i="55"/>
  <c r="T233" i="55"/>
  <c r="S233" i="55"/>
  <c r="R233" i="55"/>
  <c r="Q233" i="55"/>
  <c r="U232" i="55"/>
  <c r="T232" i="55"/>
  <c r="S232" i="55"/>
  <c r="R232" i="55"/>
  <c r="Q232" i="55"/>
  <c r="U231" i="55"/>
  <c r="T231" i="55"/>
  <c r="S231" i="55"/>
  <c r="R231" i="55"/>
  <c r="Q231" i="55"/>
  <c r="U230" i="55"/>
  <c r="T230" i="55"/>
  <c r="S230" i="55"/>
  <c r="R230" i="55"/>
  <c r="Q230" i="55"/>
  <c r="U229" i="55"/>
  <c r="T229" i="55"/>
  <c r="S229" i="55"/>
  <c r="R229" i="55"/>
  <c r="Q229" i="55"/>
  <c r="U228" i="55"/>
  <c r="T228" i="55"/>
  <c r="S228" i="55"/>
  <c r="R228" i="55"/>
  <c r="Q228" i="55"/>
  <c r="U227" i="55"/>
  <c r="T227" i="55"/>
  <c r="S227" i="55"/>
  <c r="R227" i="55"/>
  <c r="Q227" i="55"/>
  <c r="U226" i="55"/>
  <c r="T226" i="55"/>
  <c r="S226" i="55"/>
  <c r="R226" i="55"/>
  <c r="Q226" i="55"/>
  <c r="U225" i="55"/>
  <c r="T225" i="55"/>
  <c r="S225" i="55"/>
  <c r="R225" i="55"/>
  <c r="Q225" i="55"/>
  <c r="U224" i="55"/>
  <c r="T224" i="55"/>
  <c r="S224" i="55"/>
  <c r="R224" i="55"/>
  <c r="Q224" i="55"/>
  <c r="U223" i="55"/>
  <c r="T223" i="55"/>
  <c r="S223" i="55"/>
  <c r="R223" i="55"/>
  <c r="Q223" i="55"/>
  <c r="U222" i="55"/>
  <c r="T222" i="55"/>
  <c r="S222" i="55"/>
  <c r="R222" i="55"/>
  <c r="Q222" i="55"/>
  <c r="U221" i="55"/>
  <c r="T221" i="55"/>
  <c r="S221" i="55"/>
  <c r="R221" i="55"/>
  <c r="Q221" i="55"/>
  <c r="U220" i="55"/>
  <c r="T220" i="55"/>
  <c r="S220" i="55"/>
  <c r="R220" i="55"/>
  <c r="Q220" i="55"/>
  <c r="U219" i="55"/>
  <c r="T219" i="55"/>
  <c r="S219" i="55"/>
  <c r="R219" i="55"/>
  <c r="Q219" i="55"/>
  <c r="U218" i="55"/>
  <c r="T218" i="55"/>
  <c r="S218" i="55"/>
  <c r="R218" i="55"/>
  <c r="Q218" i="55"/>
  <c r="U217" i="55"/>
  <c r="T217" i="55"/>
  <c r="S217" i="55"/>
  <c r="R217" i="55"/>
  <c r="Q217" i="55"/>
  <c r="U216" i="55"/>
  <c r="T216" i="55"/>
  <c r="S216" i="55"/>
  <c r="R216" i="55"/>
  <c r="Q216" i="55"/>
  <c r="U215" i="55"/>
  <c r="T215" i="55"/>
  <c r="S215" i="55"/>
  <c r="R215" i="55"/>
  <c r="Q215" i="55"/>
  <c r="U214" i="55"/>
  <c r="T214" i="55"/>
  <c r="S214" i="55"/>
  <c r="R214" i="55"/>
  <c r="Q214" i="55"/>
  <c r="U213" i="55"/>
  <c r="T213" i="55"/>
  <c r="S213" i="55"/>
  <c r="R213" i="55"/>
  <c r="Q213" i="55"/>
  <c r="U212" i="55"/>
  <c r="T212" i="55"/>
  <c r="S212" i="55"/>
  <c r="R212" i="55"/>
  <c r="Q212" i="55"/>
  <c r="U211" i="55"/>
  <c r="T211" i="55"/>
  <c r="S211" i="55"/>
  <c r="R211" i="55"/>
  <c r="Q211" i="55"/>
  <c r="U210" i="55"/>
  <c r="T210" i="55"/>
  <c r="S210" i="55"/>
  <c r="R210" i="55"/>
  <c r="Q210" i="55"/>
  <c r="U209" i="55"/>
  <c r="T209" i="55"/>
  <c r="S209" i="55"/>
  <c r="R209" i="55"/>
  <c r="Q209" i="55"/>
  <c r="U208" i="55"/>
  <c r="T208" i="55"/>
  <c r="S208" i="55"/>
  <c r="R208" i="55"/>
  <c r="Q208" i="55"/>
  <c r="U207" i="55"/>
  <c r="T207" i="55"/>
  <c r="S207" i="55"/>
  <c r="R207" i="55"/>
  <c r="Q207" i="55"/>
  <c r="U206" i="55"/>
  <c r="T206" i="55"/>
  <c r="S206" i="55"/>
  <c r="R206" i="55"/>
  <c r="Q206" i="55"/>
  <c r="U205" i="55"/>
  <c r="T205" i="55"/>
  <c r="S205" i="55"/>
  <c r="R205" i="55"/>
  <c r="Q205" i="55"/>
  <c r="U204" i="55"/>
  <c r="T204" i="55"/>
  <c r="S204" i="55"/>
  <c r="R204" i="55"/>
  <c r="Q204" i="55"/>
  <c r="U203" i="55"/>
  <c r="T203" i="55"/>
  <c r="S203" i="55"/>
  <c r="R203" i="55"/>
  <c r="Q203" i="55"/>
  <c r="U202" i="55"/>
  <c r="T202" i="55"/>
  <c r="S202" i="55"/>
  <c r="R202" i="55"/>
  <c r="Q202" i="55"/>
  <c r="U201" i="55"/>
  <c r="T201" i="55"/>
  <c r="S201" i="55"/>
  <c r="R201" i="55"/>
  <c r="Q201" i="55"/>
  <c r="U200" i="55"/>
  <c r="T200" i="55"/>
  <c r="S200" i="55"/>
  <c r="R200" i="55"/>
  <c r="Q200" i="55"/>
  <c r="U199" i="55"/>
  <c r="T199" i="55"/>
  <c r="S199" i="55"/>
  <c r="R199" i="55"/>
  <c r="Q199" i="55"/>
  <c r="U198" i="55"/>
  <c r="T198" i="55"/>
  <c r="S198" i="55"/>
  <c r="R198" i="55"/>
  <c r="Q198" i="55"/>
  <c r="U197" i="55"/>
  <c r="T197" i="55"/>
  <c r="S197" i="55"/>
  <c r="R197" i="55"/>
  <c r="Q197" i="55"/>
  <c r="U196" i="55"/>
  <c r="T196" i="55"/>
  <c r="S196" i="55"/>
  <c r="R196" i="55"/>
  <c r="Q196" i="55"/>
  <c r="U195" i="55"/>
  <c r="T195" i="55"/>
  <c r="S195" i="55"/>
  <c r="R195" i="55"/>
  <c r="Q195" i="55"/>
  <c r="U194" i="55"/>
  <c r="T194" i="55"/>
  <c r="S194" i="55"/>
  <c r="R194" i="55"/>
  <c r="Q194" i="55"/>
  <c r="U193" i="55"/>
  <c r="T193" i="55"/>
  <c r="S193" i="55"/>
  <c r="R193" i="55"/>
  <c r="Q193" i="55"/>
  <c r="U192" i="55"/>
  <c r="T192" i="55"/>
  <c r="S192" i="55"/>
  <c r="R192" i="55"/>
  <c r="Q192" i="55"/>
  <c r="U191" i="55"/>
  <c r="T191" i="55"/>
  <c r="S191" i="55"/>
  <c r="R191" i="55"/>
  <c r="Q191" i="55"/>
  <c r="U190" i="55"/>
  <c r="T190" i="55"/>
  <c r="S190" i="55"/>
  <c r="R190" i="55"/>
  <c r="Q190" i="55"/>
  <c r="U189" i="55"/>
  <c r="T189" i="55"/>
  <c r="S189" i="55"/>
  <c r="R189" i="55"/>
  <c r="Q189" i="55"/>
  <c r="U188" i="55"/>
  <c r="T188" i="55"/>
  <c r="S188" i="55"/>
  <c r="R188" i="55"/>
  <c r="Q188" i="55"/>
  <c r="U187" i="55"/>
  <c r="T187" i="55"/>
  <c r="S187" i="55"/>
  <c r="R187" i="55"/>
  <c r="Q187" i="55"/>
  <c r="U186" i="55"/>
  <c r="T186" i="55"/>
  <c r="S186" i="55"/>
  <c r="R186" i="55"/>
  <c r="Q186" i="55"/>
  <c r="U185" i="55"/>
  <c r="T185" i="55"/>
  <c r="S185" i="55"/>
  <c r="R185" i="55"/>
  <c r="Q185" i="55"/>
  <c r="U184" i="55"/>
  <c r="T184" i="55"/>
  <c r="S184" i="55"/>
  <c r="R184" i="55"/>
  <c r="Q184" i="55"/>
  <c r="U183" i="55"/>
  <c r="T183" i="55"/>
  <c r="S183" i="55"/>
  <c r="R183" i="55"/>
  <c r="Q183" i="55"/>
  <c r="U182" i="55"/>
  <c r="T182" i="55"/>
  <c r="S182" i="55"/>
  <c r="R182" i="55"/>
  <c r="Q182" i="55"/>
  <c r="U181" i="55"/>
  <c r="T181" i="55"/>
  <c r="S181" i="55"/>
  <c r="R181" i="55"/>
  <c r="Q181" i="55"/>
  <c r="U180" i="55"/>
  <c r="T180" i="55"/>
  <c r="S180" i="55"/>
  <c r="R180" i="55"/>
  <c r="Q180" i="55"/>
  <c r="U179" i="55"/>
  <c r="T179" i="55"/>
  <c r="S179" i="55"/>
  <c r="R179" i="55"/>
  <c r="Q179" i="55"/>
  <c r="U178" i="55"/>
  <c r="T178" i="55"/>
  <c r="S178" i="55"/>
  <c r="R178" i="55"/>
  <c r="Q178" i="55"/>
  <c r="U177" i="55"/>
  <c r="T177" i="55"/>
  <c r="S177" i="55"/>
  <c r="R177" i="55"/>
  <c r="Q177" i="55"/>
  <c r="U176" i="55"/>
  <c r="T176" i="55"/>
  <c r="S176" i="55"/>
  <c r="R176" i="55"/>
  <c r="Q176" i="55"/>
  <c r="U175" i="55"/>
  <c r="T175" i="55"/>
  <c r="S175" i="55"/>
  <c r="R175" i="55"/>
  <c r="Q175" i="55"/>
  <c r="U174" i="55"/>
  <c r="T174" i="55"/>
  <c r="S174" i="55"/>
  <c r="R174" i="55"/>
  <c r="Q174" i="55"/>
  <c r="U173" i="55"/>
  <c r="T173" i="55"/>
  <c r="S173" i="55"/>
  <c r="R173" i="55"/>
  <c r="Q173" i="55"/>
  <c r="U172" i="55"/>
  <c r="T172" i="55"/>
  <c r="S172" i="55"/>
  <c r="R172" i="55"/>
  <c r="Q172" i="55"/>
  <c r="U171" i="55"/>
  <c r="T171" i="55"/>
  <c r="S171" i="55"/>
  <c r="R171" i="55"/>
  <c r="Q171" i="55"/>
  <c r="U170" i="55"/>
  <c r="T170" i="55"/>
  <c r="S170" i="55"/>
  <c r="R170" i="55"/>
  <c r="Q170" i="55"/>
  <c r="U169" i="55"/>
  <c r="T169" i="55"/>
  <c r="S169" i="55"/>
  <c r="R169" i="55"/>
  <c r="Q169" i="55"/>
  <c r="U168" i="55"/>
  <c r="T168" i="55"/>
  <c r="S168" i="55"/>
  <c r="R168" i="55"/>
  <c r="Q168" i="55"/>
  <c r="U167" i="55"/>
  <c r="T167" i="55"/>
  <c r="S167" i="55"/>
  <c r="R167" i="55"/>
  <c r="Q167" i="55"/>
  <c r="U166" i="55"/>
  <c r="T166" i="55"/>
  <c r="S166" i="55"/>
  <c r="R166" i="55"/>
  <c r="Q166" i="55"/>
  <c r="U165" i="55"/>
  <c r="T165" i="55"/>
  <c r="S165" i="55"/>
  <c r="R165" i="55"/>
  <c r="Q165" i="55"/>
  <c r="U164" i="55"/>
  <c r="T164" i="55"/>
  <c r="S164" i="55"/>
  <c r="R164" i="55"/>
  <c r="Q164" i="55"/>
  <c r="U163" i="55"/>
  <c r="T163" i="55"/>
  <c r="S163" i="55"/>
  <c r="R163" i="55"/>
  <c r="Q163" i="55"/>
  <c r="U162" i="55"/>
  <c r="T162" i="55"/>
  <c r="S162" i="55"/>
  <c r="R162" i="55"/>
  <c r="Q162" i="55"/>
  <c r="U161" i="55"/>
  <c r="T161" i="55"/>
  <c r="S161" i="55"/>
  <c r="R161" i="55"/>
  <c r="Q161" i="55"/>
  <c r="U160" i="55"/>
  <c r="T160" i="55"/>
  <c r="S160" i="55"/>
  <c r="R160" i="55"/>
  <c r="Q160" i="55"/>
  <c r="U159" i="55"/>
  <c r="T159" i="55"/>
  <c r="S159" i="55"/>
  <c r="R159" i="55"/>
  <c r="Q159" i="55"/>
  <c r="U158" i="55"/>
  <c r="T158" i="55"/>
  <c r="S158" i="55"/>
  <c r="R158" i="55"/>
  <c r="Q158" i="55"/>
  <c r="U157" i="55"/>
  <c r="T157" i="55"/>
  <c r="S157" i="55"/>
  <c r="R157" i="55"/>
  <c r="Q157" i="55"/>
  <c r="U156" i="55"/>
  <c r="T156" i="55"/>
  <c r="S156" i="55"/>
  <c r="R156" i="55"/>
  <c r="Q156" i="55"/>
  <c r="U155" i="55"/>
  <c r="T155" i="55"/>
  <c r="S155" i="55"/>
  <c r="R155" i="55"/>
  <c r="Q155" i="55"/>
  <c r="U154" i="55"/>
  <c r="T154" i="55"/>
  <c r="S154" i="55"/>
  <c r="R154" i="55"/>
  <c r="Q154" i="55"/>
  <c r="U153" i="55"/>
  <c r="T153" i="55"/>
  <c r="S153" i="55"/>
  <c r="R153" i="55"/>
  <c r="Q153" i="55"/>
  <c r="U152" i="55"/>
  <c r="T152" i="55"/>
  <c r="S152" i="55"/>
  <c r="R152" i="55"/>
  <c r="Q152" i="55"/>
  <c r="U151" i="55"/>
  <c r="T151" i="55"/>
  <c r="S151" i="55"/>
  <c r="R151" i="55"/>
  <c r="Q151" i="55"/>
  <c r="U150" i="55"/>
  <c r="T150" i="55"/>
  <c r="S150" i="55"/>
  <c r="R150" i="55"/>
  <c r="Q150" i="55"/>
  <c r="U149" i="55"/>
  <c r="T149" i="55"/>
  <c r="S149" i="55"/>
  <c r="R149" i="55"/>
  <c r="Q149" i="55"/>
  <c r="U148" i="55"/>
  <c r="T148" i="55"/>
  <c r="S148" i="55"/>
  <c r="R148" i="55"/>
  <c r="Q148" i="55"/>
  <c r="U147" i="55"/>
  <c r="T147" i="55"/>
  <c r="S147" i="55"/>
  <c r="R147" i="55"/>
  <c r="Q147" i="55"/>
  <c r="U146" i="55"/>
  <c r="T146" i="55"/>
  <c r="S146" i="55"/>
  <c r="R146" i="55"/>
  <c r="Q146" i="55"/>
  <c r="U145" i="55"/>
  <c r="T145" i="55"/>
  <c r="S145" i="55"/>
  <c r="R145" i="55"/>
  <c r="Q145" i="55"/>
  <c r="U144" i="55"/>
  <c r="T144" i="55"/>
  <c r="S144" i="55"/>
  <c r="R144" i="55"/>
  <c r="Q144" i="55"/>
  <c r="U143" i="55"/>
  <c r="T143" i="55"/>
  <c r="S143" i="55"/>
  <c r="R143" i="55"/>
  <c r="Q143" i="55"/>
  <c r="U142" i="55"/>
  <c r="T142" i="55"/>
  <c r="S142" i="55"/>
  <c r="R142" i="55"/>
  <c r="Q142" i="55"/>
  <c r="U141" i="55"/>
  <c r="T141" i="55"/>
  <c r="S141" i="55"/>
  <c r="R141" i="55"/>
  <c r="Q141" i="55"/>
  <c r="U140" i="55"/>
  <c r="T140" i="55"/>
  <c r="S140" i="55"/>
  <c r="R140" i="55"/>
  <c r="Q140" i="55"/>
  <c r="U139" i="55"/>
  <c r="T139" i="55"/>
  <c r="S139" i="55"/>
  <c r="R139" i="55"/>
  <c r="Q139" i="55"/>
  <c r="U138" i="55"/>
  <c r="T138" i="55"/>
  <c r="S138" i="55"/>
  <c r="R138" i="55"/>
  <c r="Q138" i="55"/>
  <c r="U137" i="55"/>
  <c r="T137" i="55"/>
  <c r="S137" i="55"/>
  <c r="R137" i="55"/>
  <c r="Q137" i="55"/>
  <c r="U136" i="55"/>
  <c r="T136" i="55"/>
  <c r="S136" i="55"/>
  <c r="R136" i="55"/>
  <c r="Q136" i="55"/>
  <c r="U135" i="55"/>
  <c r="T135" i="55"/>
  <c r="S135" i="55"/>
  <c r="R135" i="55"/>
  <c r="Q135" i="55"/>
  <c r="U134" i="55"/>
  <c r="T134" i="55"/>
  <c r="S134" i="55"/>
  <c r="R134" i="55"/>
  <c r="Q134" i="55"/>
  <c r="U133" i="55"/>
  <c r="T133" i="55"/>
  <c r="S133" i="55"/>
  <c r="R133" i="55"/>
  <c r="Q133" i="55"/>
  <c r="U132" i="55"/>
  <c r="T132" i="55"/>
  <c r="S132" i="55"/>
  <c r="R132" i="55"/>
  <c r="Q132" i="55"/>
  <c r="U131" i="55"/>
  <c r="T131" i="55"/>
  <c r="S131" i="55"/>
  <c r="R131" i="55"/>
  <c r="Q131" i="55"/>
  <c r="U130" i="55"/>
  <c r="T130" i="55"/>
  <c r="S130" i="55"/>
  <c r="R130" i="55"/>
  <c r="Q130" i="55"/>
  <c r="U129" i="55"/>
  <c r="T129" i="55"/>
  <c r="S129" i="55"/>
  <c r="R129" i="55"/>
  <c r="Q129" i="55"/>
  <c r="U128" i="55"/>
  <c r="T128" i="55"/>
  <c r="S128" i="55"/>
  <c r="R128" i="55"/>
  <c r="Q128" i="55"/>
  <c r="U127" i="55"/>
  <c r="T127" i="55"/>
  <c r="S127" i="55"/>
  <c r="R127" i="55"/>
  <c r="Q127" i="55"/>
  <c r="U126" i="55"/>
  <c r="T126" i="55"/>
  <c r="S126" i="55"/>
  <c r="R126" i="55"/>
  <c r="Q126" i="55"/>
  <c r="U125" i="55"/>
  <c r="T125" i="55"/>
  <c r="S125" i="55"/>
  <c r="R125" i="55"/>
  <c r="Q125" i="55"/>
  <c r="U124" i="55"/>
  <c r="T124" i="55"/>
  <c r="S124" i="55"/>
  <c r="R124" i="55"/>
  <c r="Q124" i="55"/>
  <c r="U123" i="55"/>
  <c r="T123" i="55"/>
  <c r="S123" i="55"/>
  <c r="R123" i="55"/>
  <c r="Q123" i="55"/>
  <c r="U122" i="55"/>
  <c r="T122" i="55"/>
  <c r="S122" i="55"/>
  <c r="R122" i="55"/>
  <c r="Q122" i="55"/>
  <c r="U121" i="55"/>
  <c r="T121" i="55"/>
  <c r="S121" i="55"/>
  <c r="R121" i="55"/>
  <c r="Q121" i="55"/>
  <c r="U120" i="55"/>
  <c r="T120" i="55"/>
  <c r="S120" i="55"/>
  <c r="R120" i="55"/>
  <c r="Q120" i="55"/>
  <c r="U119" i="55"/>
  <c r="T119" i="55"/>
  <c r="S119" i="55"/>
  <c r="R119" i="55"/>
  <c r="Q119" i="55"/>
  <c r="U118" i="55"/>
  <c r="T118" i="55"/>
  <c r="S118" i="55"/>
  <c r="R118" i="55"/>
  <c r="Q118" i="55"/>
  <c r="U117" i="55"/>
  <c r="T117" i="55"/>
  <c r="S117" i="55"/>
  <c r="R117" i="55"/>
  <c r="Q117" i="55"/>
  <c r="U116" i="55"/>
  <c r="T116" i="55"/>
  <c r="S116" i="55"/>
  <c r="R116" i="55"/>
  <c r="Q116" i="55"/>
  <c r="U115" i="55"/>
  <c r="T115" i="55"/>
  <c r="S115" i="55"/>
  <c r="R115" i="55"/>
  <c r="Q115" i="55"/>
  <c r="U114" i="55"/>
  <c r="T114" i="55"/>
  <c r="S114" i="55"/>
  <c r="R114" i="55"/>
  <c r="Q114" i="55"/>
  <c r="U113" i="55"/>
  <c r="T113" i="55"/>
  <c r="S113" i="55"/>
  <c r="R113" i="55"/>
  <c r="Q113" i="55"/>
  <c r="U112" i="55"/>
  <c r="T112" i="55"/>
  <c r="S112" i="55"/>
  <c r="R112" i="55"/>
  <c r="Q112" i="55"/>
  <c r="U111" i="55"/>
  <c r="T111" i="55"/>
  <c r="S111" i="55"/>
  <c r="R111" i="55"/>
  <c r="Q111" i="55"/>
  <c r="U110" i="55"/>
  <c r="T110" i="55"/>
  <c r="S110" i="55"/>
  <c r="R110" i="55"/>
  <c r="Q110" i="55"/>
  <c r="U109" i="55"/>
  <c r="T109" i="55"/>
  <c r="S109" i="55"/>
  <c r="R109" i="55"/>
  <c r="Q109" i="55"/>
  <c r="U108" i="55"/>
  <c r="T108" i="55"/>
  <c r="S108" i="55"/>
  <c r="R108" i="55"/>
  <c r="Q108" i="55"/>
  <c r="U107" i="55"/>
  <c r="T107" i="55"/>
  <c r="S107" i="55"/>
  <c r="R107" i="55"/>
  <c r="Q107" i="55"/>
  <c r="U106" i="55"/>
  <c r="T106" i="55"/>
  <c r="S106" i="55"/>
  <c r="R106" i="55"/>
  <c r="Q106" i="55"/>
  <c r="U105" i="55"/>
  <c r="T105" i="55"/>
  <c r="S105" i="55"/>
  <c r="R105" i="55"/>
  <c r="Q105" i="55"/>
  <c r="U104" i="55"/>
  <c r="T104" i="55"/>
  <c r="S104" i="55"/>
  <c r="R104" i="55"/>
  <c r="Q104" i="55"/>
  <c r="U103" i="55"/>
  <c r="T103" i="55"/>
  <c r="S103" i="55"/>
  <c r="R103" i="55"/>
  <c r="Q103" i="55"/>
  <c r="U102" i="55"/>
  <c r="T102" i="55"/>
  <c r="S102" i="55"/>
  <c r="R102" i="55"/>
  <c r="Q102" i="55"/>
  <c r="U101" i="55"/>
  <c r="T101" i="55"/>
  <c r="S101" i="55"/>
  <c r="R101" i="55"/>
  <c r="Q101" i="55"/>
  <c r="U100" i="55"/>
  <c r="T100" i="55"/>
  <c r="S100" i="55"/>
  <c r="R100" i="55"/>
  <c r="Q100" i="55"/>
  <c r="U99" i="55"/>
  <c r="T99" i="55"/>
  <c r="S99" i="55"/>
  <c r="R99" i="55"/>
  <c r="Q99" i="55"/>
  <c r="U98" i="55"/>
  <c r="T98" i="55"/>
  <c r="S98" i="55"/>
  <c r="R98" i="55"/>
  <c r="Q98" i="55"/>
  <c r="U97" i="55"/>
  <c r="T97" i="55"/>
  <c r="S97" i="55"/>
  <c r="R97" i="55"/>
  <c r="Q97" i="55"/>
  <c r="U96" i="55"/>
  <c r="T96" i="55"/>
  <c r="S96" i="55"/>
  <c r="R96" i="55"/>
  <c r="Q96" i="55"/>
  <c r="U95" i="55"/>
  <c r="T95" i="55"/>
  <c r="S95" i="55"/>
  <c r="R95" i="55"/>
  <c r="Q95" i="55"/>
  <c r="U94" i="55"/>
  <c r="T94" i="55"/>
  <c r="S94" i="55"/>
  <c r="R94" i="55"/>
  <c r="Q94" i="55"/>
  <c r="U93" i="55"/>
  <c r="T93" i="55"/>
  <c r="S93" i="55"/>
  <c r="R93" i="55"/>
  <c r="Q93" i="55"/>
  <c r="U92" i="55"/>
  <c r="T92" i="55"/>
  <c r="S92" i="55"/>
  <c r="R92" i="55"/>
  <c r="Q92" i="55"/>
  <c r="U91" i="55"/>
  <c r="T91" i="55"/>
  <c r="S91" i="55"/>
  <c r="R91" i="55"/>
  <c r="Q91" i="55"/>
  <c r="U90" i="55"/>
  <c r="T90" i="55"/>
  <c r="S90" i="55"/>
  <c r="R90" i="55"/>
  <c r="Q90" i="55"/>
  <c r="U89" i="55"/>
  <c r="T89" i="55"/>
  <c r="S89" i="55"/>
  <c r="R89" i="55"/>
  <c r="Q89" i="55"/>
  <c r="U88" i="55"/>
  <c r="T88" i="55"/>
  <c r="S88" i="55"/>
  <c r="R88" i="55"/>
  <c r="Q88" i="55"/>
  <c r="U87" i="55"/>
  <c r="T87" i="55"/>
  <c r="S87" i="55"/>
  <c r="R87" i="55"/>
  <c r="Q87" i="55"/>
  <c r="U86" i="55"/>
  <c r="T86" i="55"/>
  <c r="S86" i="55"/>
  <c r="R86" i="55"/>
  <c r="Q86" i="55"/>
  <c r="U85" i="55"/>
  <c r="T85" i="55"/>
  <c r="S85" i="55"/>
  <c r="R85" i="55"/>
  <c r="Q85" i="55"/>
  <c r="U84" i="55"/>
  <c r="T84" i="55"/>
  <c r="S84" i="55"/>
  <c r="R84" i="55"/>
  <c r="Q84" i="55"/>
  <c r="U83" i="55"/>
  <c r="T83" i="55"/>
  <c r="S83" i="55"/>
  <c r="R83" i="55"/>
  <c r="Q83" i="55"/>
  <c r="U82" i="55"/>
  <c r="T82" i="55"/>
  <c r="S82" i="55"/>
  <c r="R82" i="55"/>
  <c r="Q82" i="55"/>
  <c r="U81" i="55"/>
  <c r="T81" i="55"/>
  <c r="S81" i="55"/>
  <c r="R81" i="55"/>
  <c r="Q81" i="55"/>
  <c r="U80" i="55"/>
  <c r="T80" i="55"/>
  <c r="S80" i="55"/>
  <c r="R80" i="55"/>
  <c r="Q80" i="55"/>
  <c r="U79" i="55"/>
  <c r="T79" i="55"/>
  <c r="S79" i="55"/>
  <c r="R79" i="55"/>
  <c r="Q79" i="55"/>
  <c r="U78" i="55"/>
  <c r="T78" i="55"/>
  <c r="S78" i="55"/>
  <c r="R78" i="55"/>
  <c r="Q78" i="55"/>
  <c r="U77" i="55"/>
  <c r="T77" i="55"/>
  <c r="S77" i="55"/>
  <c r="R77" i="55"/>
  <c r="Q77" i="55"/>
  <c r="U76" i="55"/>
  <c r="T76" i="55"/>
  <c r="S76" i="55"/>
  <c r="R76" i="55"/>
  <c r="Q76" i="55"/>
  <c r="U75" i="55"/>
  <c r="T75" i="55"/>
  <c r="S75" i="55"/>
  <c r="R75" i="55"/>
  <c r="Q75" i="55"/>
  <c r="U74" i="55"/>
  <c r="T74" i="55"/>
  <c r="S74" i="55"/>
  <c r="R74" i="55"/>
  <c r="Q74" i="55"/>
  <c r="U73" i="55"/>
  <c r="T73" i="55"/>
  <c r="S73" i="55"/>
  <c r="R73" i="55"/>
  <c r="Q73" i="55"/>
  <c r="U72" i="55"/>
  <c r="T72" i="55"/>
  <c r="S72" i="55"/>
  <c r="R72" i="55"/>
  <c r="Q72" i="55"/>
  <c r="U71" i="55"/>
  <c r="T71" i="55"/>
  <c r="S71" i="55"/>
  <c r="R71" i="55"/>
  <c r="Q71" i="55"/>
  <c r="U70" i="55"/>
  <c r="T70" i="55"/>
  <c r="S70" i="55"/>
  <c r="R70" i="55"/>
  <c r="Q70" i="55"/>
  <c r="U69" i="55"/>
  <c r="T69" i="55"/>
  <c r="S69" i="55"/>
  <c r="R69" i="55"/>
  <c r="Q69" i="55"/>
  <c r="U68" i="55"/>
  <c r="T68" i="55"/>
  <c r="S68" i="55"/>
  <c r="R68" i="55"/>
  <c r="Q68" i="55"/>
  <c r="U67" i="55"/>
  <c r="T67" i="55"/>
  <c r="S67" i="55"/>
  <c r="R67" i="55"/>
  <c r="Q67" i="55"/>
  <c r="U66" i="55"/>
  <c r="T66" i="55"/>
  <c r="S66" i="55"/>
  <c r="R66" i="55"/>
  <c r="Q66" i="55"/>
  <c r="U65" i="55"/>
  <c r="T65" i="55"/>
  <c r="S65" i="55"/>
  <c r="R65" i="55"/>
  <c r="Q65" i="55"/>
  <c r="U64" i="55"/>
  <c r="T64" i="55"/>
  <c r="S64" i="55"/>
  <c r="R64" i="55"/>
  <c r="Q64" i="55"/>
  <c r="U63" i="55"/>
  <c r="T63" i="55"/>
  <c r="S63" i="55"/>
  <c r="R63" i="55"/>
  <c r="Q63" i="55"/>
  <c r="U62" i="55"/>
  <c r="T62" i="55"/>
  <c r="S62" i="55"/>
  <c r="R62" i="55"/>
  <c r="Q62" i="55"/>
  <c r="U61" i="55"/>
  <c r="T61" i="55"/>
  <c r="S61" i="55"/>
  <c r="R61" i="55"/>
  <c r="Q61" i="55"/>
  <c r="U60" i="55"/>
  <c r="T60" i="55"/>
  <c r="S60" i="55"/>
  <c r="R60" i="55"/>
  <c r="Q60" i="55"/>
  <c r="U59" i="55"/>
  <c r="T59" i="55"/>
  <c r="S59" i="55"/>
  <c r="R59" i="55"/>
  <c r="Q59" i="55"/>
  <c r="U58" i="55"/>
  <c r="T58" i="55"/>
  <c r="S58" i="55"/>
  <c r="R58" i="55"/>
  <c r="Q58" i="55"/>
  <c r="U57" i="55"/>
  <c r="T57" i="55"/>
  <c r="S57" i="55"/>
  <c r="R57" i="55"/>
  <c r="Q57" i="55"/>
  <c r="U56" i="55"/>
  <c r="T56" i="55"/>
  <c r="S56" i="55"/>
  <c r="R56" i="55"/>
  <c r="Q56" i="55"/>
  <c r="U55" i="55"/>
  <c r="T55" i="55"/>
  <c r="S55" i="55"/>
  <c r="R55" i="55"/>
  <c r="Q55" i="55"/>
  <c r="U54" i="55"/>
  <c r="T54" i="55"/>
  <c r="S54" i="55"/>
  <c r="R54" i="55"/>
  <c r="Q54" i="55"/>
  <c r="U53" i="55"/>
  <c r="T53" i="55"/>
  <c r="S53" i="55"/>
  <c r="R53" i="55"/>
  <c r="Q53" i="55"/>
  <c r="U52" i="55"/>
  <c r="T52" i="55"/>
  <c r="S52" i="55"/>
  <c r="R52" i="55"/>
  <c r="Q52" i="55"/>
  <c r="U51" i="55"/>
  <c r="T51" i="55"/>
  <c r="S51" i="55"/>
  <c r="R51" i="55"/>
  <c r="Q51" i="55"/>
  <c r="U50" i="55"/>
  <c r="T50" i="55"/>
  <c r="S50" i="55"/>
  <c r="R50" i="55"/>
  <c r="Q50" i="55"/>
  <c r="U49" i="55"/>
  <c r="T49" i="55"/>
  <c r="S49" i="55"/>
  <c r="R49" i="55"/>
  <c r="Q49" i="55"/>
  <c r="U48" i="55"/>
  <c r="T48" i="55"/>
  <c r="S48" i="55"/>
  <c r="R48" i="55"/>
  <c r="Q48" i="55"/>
  <c r="U47" i="55"/>
  <c r="T47" i="55"/>
  <c r="S47" i="55"/>
  <c r="R47" i="55"/>
  <c r="Q47" i="55"/>
  <c r="U46" i="55"/>
  <c r="T46" i="55"/>
  <c r="S46" i="55"/>
  <c r="R46" i="55"/>
  <c r="Q46" i="55"/>
  <c r="U45" i="55"/>
  <c r="T45" i="55"/>
  <c r="S45" i="55"/>
  <c r="R45" i="55"/>
  <c r="Q45" i="55"/>
  <c r="U44" i="55"/>
  <c r="T44" i="55"/>
  <c r="S44" i="55"/>
  <c r="R44" i="55"/>
  <c r="Q44" i="55"/>
  <c r="U43" i="55"/>
  <c r="T43" i="55"/>
  <c r="S43" i="55"/>
  <c r="R43" i="55"/>
  <c r="Q43" i="55"/>
  <c r="U42" i="55"/>
  <c r="T42" i="55"/>
  <c r="S42" i="55"/>
  <c r="R42" i="55"/>
  <c r="Q42" i="55"/>
  <c r="U41" i="55"/>
  <c r="T41" i="55"/>
  <c r="S41" i="55"/>
  <c r="R41" i="55"/>
  <c r="Q41" i="55"/>
  <c r="U40" i="55"/>
  <c r="T40" i="55"/>
  <c r="S40" i="55"/>
  <c r="R40" i="55"/>
  <c r="Q40" i="55"/>
  <c r="U39" i="55"/>
  <c r="T39" i="55"/>
  <c r="S39" i="55"/>
  <c r="R39" i="55"/>
  <c r="Q39" i="55"/>
  <c r="U38" i="55"/>
  <c r="T38" i="55"/>
  <c r="S38" i="55"/>
  <c r="R38" i="55"/>
  <c r="Q38" i="55"/>
  <c r="U37" i="55"/>
  <c r="T37" i="55"/>
  <c r="S37" i="55"/>
  <c r="R37" i="55"/>
  <c r="Q37" i="55"/>
  <c r="U36" i="55"/>
  <c r="T36" i="55"/>
  <c r="S36" i="55"/>
  <c r="R36" i="55"/>
  <c r="Q36" i="55"/>
  <c r="U35" i="55"/>
  <c r="T35" i="55"/>
  <c r="S35" i="55"/>
  <c r="R35" i="55"/>
  <c r="Q35" i="55"/>
  <c r="U34" i="55"/>
  <c r="T34" i="55"/>
  <c r="S34" i="55"/>
  <c r="R34" i="55"/>
  <c r="Q34" i="55"/>
  <c r="U33" i="55"/>
  <c r="T33" i="55"/>
  <c r="S33" i="55"/>
  <c r="R33" i="55"/>
  <c r="Q33" i="55"/>
  <c r="U32" i="55"/>
  <c r="T32" i="55"/>
  <c r="S32" i="55"/>
  <c r="R32" i="55"/>
  <c r="Q32" i="55"/>
  <c r="U31" i="55"/>
  <c r="T31" i="55"/>
  <c r="S31" i="55"/>
  <c r="R31" i="55"/>
  <c r="Q31" i="55"/>
  <c r="U30" i="55"/>
  <c r="T30" i="55"/>
  <c r="S30" i="55"/>
  <c r="R30" i="55"/>
  <c r="Q30" i="55"/>
  <c r="U29" i="55"/>
  <c r="T29" i="55"/>
  <c r="S29" i="55"/>
  <c r="R29" i="55"/>
  <c r="Q29" i="55"/>
  <c r="U28" i="55"/>
  <c r="T28" i="55"/>
  <c r="S28" i="55"/>
  <c r="R28" i="55"/>
  <c r="Q28" i="55"/>
  <c r="U27" i="55"/>
  <c r="T27" i="55"/>
  <c r="S27" i="55"/>
  <c r="R27" i="55"/>
  <c r="Q27" i="55"/>
  <c r="U26" i="55"/>
  <c r="T26" i="55"/>
  <c r="S26" i="55"/>
  <c r="R26" i="55"/>
  <c r="Q26" i="55"/>
  <c r="U25" i="55"/>
  <c r="T25" i="55"/>
  <c r="S25" i="55"/>
  <c r="R25" i="55"/>
  <c r="Q25" i="55"/>
  <c r="U24" i="55"/>
  <c r="T24" i="55"/>
  <c r="S24" i="55"/>
  <c r="R24" i="55"/>
  <c r="Q24" i="55"/>
  <c r="U23" i="55"/>
  <c r="T23" i="55"/>
  <c r="S23" i="55"/>
  <c r="R23" i="55"/>
  <c r="Q23" i="55"/>
  <c r="U22" i="55"/>
  <c r="T22" i="55"/>
  <c r="S22" i="55"/>
  <c r="R22" i="55"/>
  <c r="Q22" i="55"/>
  <c r="U21" i="55"/>
  <c r="T21" i="55"/>
  <c r="S21" i="55"/>
  <c r="R21" i="55"/>
  <c r="Q21" i="55"/>
  <c r="U20" i="55"/>
  <c r="T20" i="55"/>
  <c r="S20" i="55"/>
  <c r="R20" i="55"/>
  <c r="Q20" i="55"/>
  <c r="U19" i="55"/>
  <c r="T19" i="55"/>
  <c r="S19" i="55"/>
  <c r="R19" i="55"/>
  <c r="Q19" i="55"/>
  <c r="U18" i="55"/>
  <c r="T18" i="55"/>
  <c r="S18" i="55"/>
  <c r="R18" i="55"/>
  <c r="Q18" i="55"/>
  <c r="U17" i="55"/>
  <c r="T17" i="55"/>
  <c r="S17" i="55"/>
  <c r="R17" i="55"/>
  <c r="Q17" i="55"/>
  <c r="U16" i="55"/>
  <c r="T16" i="55"/>
  <c r="S16" i="55"/>
  <c r="R16" i="55"/>
  <c r="Q16" i="55"/>
  <c r="U15" i="55"/>
  <c r="T15" i="55"/>
  <c r="S15" i="55"/>
  <c r="R15" i="55"/>
  <c r="Q15" i="55"/>
  <c r="U14" i="55"/>
  <c r="T14" i="55"/>
  <c r="S14" i="55"/>
  <c r="R14" i="55"/>
  <c r="Q14" i="55"/>
  <c r="U13" i="55"/>
  <c r="T13" i="55"/>
  <c r="S13" i="55"/>
  <c r="R13" i="55"/>
  <c r="Q13" i="55"/>
  <c r="U12" i="55"/>
  <c r="T12" i="55"/>
  <c r="S12" i="55"/>
  <c r="R12" i="55"/>
  <c r="Q12" i="55"/>
  <c r="U11" i="55"/>
  <c r="T11" i="55"/>
  <c r="S11" i="55"/>
  <c r="R11" i="55"/>
  <c r="Q11" i="55"/>
  <c r="U10" i="55"/>
  <c r="T10" i="55"/>
  <c r="S10" i="55"/>
  <c r="R10" i="55"/>
  <c r="Q10" i="55"/>
  <c r="U9" i="55"/>
  <c r="T9" i="55"/>
  <c r="S9" i="55"/>
  <c r="R9" i="55"/>
  <c r="Q9" i="55"/>
  <c r="U8" i="55"/>
  <c r="T8" i="55"/>
  <c r="S8" i="55"/>
  <c r="R8" i="55"/>
  <c r="Q8" i="55"/>
  <c r="U7" i="55"/>
  <c r="T7" i="55"/>
  <c r="S7" i="55"/>
  <c r="R7" i="55"/>
  <c r="Q7" i="55"/>
  <c r="U6" i="55"/>
  <c r="T6" i="55"/>
  <c r="S6" i="55"/>
  <c r="R6" i="55"/>
  <c r="Q6" i="55"/>
  <c r="U5" i="55"/>
  <c r="T5" i="55"/>
  <c r="S5" i="55"/>
  <c r="R5" i="55"/>
  <c r="Q5" i="55"/>
  <c r="U4" i="55"/>
  <c r="T4" i="55"/>
  <c r="S4" i="55"/>
  <c r="R4" i="55"/>
  <c r="Q4" i="55"/>
  <c r="U3" i="55"/>
  <c r="T3" i="55"/>
  <c r="S3" i="55"/>
  <c r="R3" i="55"/>
  <c r="Q3" i="55"/>
  <c r="S7" i="64" l="1" a="1"/>
  <c r="S7" i="64" s="1"/>
  <c r="J6" i="23"/>
  <c r="V8" i="54" a="1"/>
  <c r="V8" i="54" s="1"/>
  <c r="V9" i="54" a="1"/>
  <c r="V9" i="54" s="1"/>
  <c r="V10" i="54" a="1"/>
  <c r="V10" i="54" s="1"/>
  <c r="V11" i="54" a="1"/>
  <c r="V11" i="54" s="1"/>
  <c r="Z14" i="54" s="1"/>
  <c r="V12" i="54" a="1"/>
  <c r="V12" i="54" s="1"/>
  <c r="V13" i="54" a="1"/>
  <c r="V13" i="54" s="1"/>
  <c r="Z15" i="54" s="1"/>
  <c r="V14" i="54" a="1"/>
  <c r="V14" i="54" s="1"/>
  <c r="V15" i="54" a="1"/>
  <c r="V15" i="54" s="1"/>
  <c r="Z16" i="54" s="1"/>
  <c r="V16" i="54" a="1"/>
  <c r="V16" i="54" s="1"/>
  <c r="V17" i="54" a="1"/>
  <c r="V17" i="54" s="1"/>
  <c r="Z17" i="54" s="1"/>
  <c r="V18" i="54" a="1"/>
  <c r="V18" i="54" s="1"/>
  <c r="V19" i="54" a="1"/>
  <c r="V19" i="54" s="1"/>
  <c r="Z18" i="54" s="1"/>
  <c r="V20" i="54" a="1"/>
  <c r="V20" i="54" s="1"/>
  <c r="V21" i="54" a="1"/>
  <c r="V21" i="54" s="1"/>
  <c r="Z19" i="54" s="1"/>
  <c r="V22" i="54" a="1"/>
  <c r="V22" i="54" s="1"/>
  <c r="V23" i="54" a="1"/>
  <c r="V23" i="54" s="1"/>
  <c r="Z20" i="54" s="1"/>
  <c r="V24" i="54" a="1"/>
  <c r="V24" i="54" s="1"/>
  <c r="V25" i="54" a="1"/>
  <c r="V25" i="54" s="1"/>
  <c r="Z21" i="54" s="1"/>
  <c r="V26" i="54" a="1"/>
  <c r="V26" i="54" s="1"/>
  <c r="V27" i="54" a="1"/>
  <c r="V27" i="54" s="1"/>
  <c r="Z22" i="54" s="1"/>
  <c r="V28" i="54" a="1"/>
  <c r="V28" i="54" s="1"/>
  <c r="V29" i="54" a="1"/>
  <c r="V29" i="54" s="1"/>
  <c r="Z23" i="54" s="1"/>
  <c r="V30" i="54" a="1"/>
  <c r="V30" i="54" s="1"/>
  <c r="V31" i="54" a="1"/>
  <c r="V31" i="54" s="1"/>
  <c r="Z24" i="54" s="1"/>
  <c r="V32" i="54" a="1"/>
  <c r="V32" i="54" s="1"/>
  <c r="V33" i="54" a="1"/>
  <c r="V33" i="54" s="1"/>
  <c r="Z25" i="54" s="1"/>
  <c r="V34" i="54" a="1"/>
  <c r="V34" i="54" s="1"/>
  <c r="V35" i="54" a="1"/>
  <c r="V35" i="54" s="1"/>
  <c r="Z26" i="54" s="1"/>
  <c r="V36" i="54" a="1"/>
  <c r="V36" i="54" s="1"/>
  <c r="V37" i="54" a="1"/>
  <c r="V37" i="54" s="1"/>
  <c r="Z27" i="54" s="1"/>
  <c r="V38" i="54" a="1"/>
  <c r="V38" i="54" s="1"/>
  <c r="V39" i="54" a="1"/>
  <c r="V39" i="54" s="1"/>
  <c r="Z28" i="54" s="1"/>
  <c r="V40" i="54" a="1"/>
  <c r="V40" i="54" s="1"/>
  <c r="V41" i="54" a="1"/>
  <c r="V41" i="54" s="1"/>
  <c r="Z29" i="54" s="1"/>
  <c r="V42" i="54" a="1"/>
  <c r="V42" i="54" s="1"/>
  <c r="V43" i="54" a="1"/>
  <c r="V43" i="54" s="1"/>
  <c r="Z30" i="54" s="1"/>
  <c r="V44" i="54" a="1"/>
  <c r="V44" i="54" s="1"/>
  <c r="V45" i="54" a="1"/>
  <c r="V45" i="54" s="1"/>
  <c r="Z31" i="54" s="1"/>
  <c r="V46" i="54" a="1"/>
  <c r="V46" i="54" s="1"/>
  <c r="V47" i="54" a="1"/>
  <c r="V47" i="54" s="1"/>
  <c r="Z32" i="54" s="1"/>
  <c r="V48" i="54" a="1"/>
  <c r="V48" i="54" s="1"/>
  <c r="V49" i="54" a="1"/>
  <c r="V49" i="54" s="1"/>
  <c r="Z33" i="54" s="1"/>
  <c r="V50" i="54" a="1"/>
  <c r="V50" i="54" s="1"/>
  <c r="V51" i="54" a="1"/>
  <c r="V51" i="54" s="1"/>
  <c r="Z34" i="54" s="1"/>
  <c r="V52" i="54" a="1"/>
  <c r="V52" i="54" s="1"/>
  <c r="V53" i="54" a="1"/>
  <c r="V53" i="54" s="1"/>
  <c r="Z35" i="54" s="1"/>
  <c r="V54" i="54" a="1"/>
  <c r="V54" i="54" s="1"/>
  <c r="V55" i="54" a="1"/>
  <c r="V55" i="54" s="1"/>
  <c r="Z36" i="54" s="1"/>
  <c r="V56" i="54" a="1"/>
  <c r="V56" i="54" s="1"/>
  <c r="V57" i="54" a="1"/>
  <c r="V57" i="54" s="1"/>
  <c r="Z37" i="54" s="1"/>
  <c r="V58" i="54" a="1"/>
  <c r="V58" i="54" s="1"/>
  <c r="V59" i="54" a="1"/>
  <c r="V59" i="54" s="1"/>
  <c r="Z38" i="54" s="1"/>
  <c r="V60" i="54" a="1"/>
  <c r="V60" i="54" s="1"/>
  <c r="V61" i="54" a="1"/>
  <c r="V61" i="54" s="1"/>
  <c r="Z39" i="54" s="1"/>
  <c r="V62" i="54" a="1"/>
  <c r="V62" i="54" s="1"/>
  <c r="V63" i="54" a="1"/>
  <c r="V63" i="54" s="1"/>
  <c r="Z40" i="54" s="1"/>
  <c r="V64" i="54" a="1"/>
  <c r="V64" i="54" s="1"/>
  <c r="V65" i="54" a="1"/>
  <c r="V65" i="54" s="1"/>
  <c r="Z41" i="54" s="1"/>
  <c r="V66" i="54" a="1"/>
  <c r="V66" i="54" s="1"/>
  <c r="V67" i="54" a="1"/>
  <c r="V67" i="54" s="1"/>
  <c r="Z42" i="54" s="1"/>
  <c r="V68" i="54" a="1"/>
  <c r="V68" i="54" s="1"/>
  <c r="V69" i="54" a="1"/>
  <c r="V69" i="54" s="1"/>
  <c r="Z43" i="54" s="1"/>
  <c r="V70" i="54" a="1"/>
  <c r="V70" i="54" s="1"/>
  <c r="V71" i="54" a="1"/>
  <c r="V71" i="54" s="1"/>
  <c r="Z44" i="54" s="1"/>
  <c r="V72" i="54" a="1"/>
  <c r="V72" i="54" s="1"/>
  <c r="V73" i="54" a="1"/>
  <c r="V73" i="54" s="1"/>
  <c r="Z45" i="54" s="1"/>
  <c r="V74" i="54" a="1"/>
  <c r="V74" i="54" s="1"/>
  <c r="V75" i="54" a="1"/>
  <c r="V75" i="54" s="1"/>
  <c r="Z46" i="54" s="1"/>
  <c r="V76" i="54" a="1"/>
  <c r="V76" i="54" s="1"/>
  <c r="V77" i="54" a="1"/>
  <c r="V77" i="54" s="1"/>
  <c r="Z47" i="54" s="1"/>
  <c r="V78" i="54" a="1"/>
  <c r="V78" i="54" s="1"/>
  <c r="V79" i="54" a="1"/>
  <c r="V79" i="54" s="1"/>
  <c r="Z48" i="54" s="1"/>
  <c r="V80" i="54" a="1"/>
  <c r="V80" i="54" s="1"/>
  <c r="V81" i="54" a="1"/>
  <c r="V81" i="54" s="1"/>
  <c r="Z49" i="54" s="1"/>
  <c r="V82" i="54" a="1"/>
  <c r="V82" i="54" s="1"/>
  <c r="V83" i="54" a="1"/>
  <c r="V83" i="54" s="1"/>
  <c r="Z50" i="54" s="1"/>
  <c r="V84" i="54" a="1"/>
  <c r="V84" i="54" s="1"/>
  <c r="V85" i="54" a="1"/>
  <c r="V85" i="54" s="1"/>
  <c r="Z51" i="54" s="1"/>
  <c r="V86" i="54" a="1"/>
  <c r="V86" i="54" s="1"/>
  <c r="V87" i="54" a="1"/>
  <c r="V87" i="54" s="1"/>
  <c r="Z52" i="54" s="1"/>
  <c r="V88" i="54" a="1"/>
  <c r="V88" i="54" s="1"/>
  <c r="V89" i="54" a="1"/>
  <c r="V89" i="54" s="1"/>
  <c r="Z53" i="54" s="1"/>
  <c r="V90" i="54" a="1"/>
  <c r="V90" i="54" s="1"/>
  <c r="V91" i="54" a="1"/>
  <c r="V91" i="54" s="1"/>
  <c r="Z54" i="54" s="1"/>
  <c r="V92" i="54" a="1"/>
  <c r="V92" i="54" s="1"/>
  <c r="V93" i="54" a="1"/>
  <c r="V93" i="54" s="1"/>
  <c r="Z55" i="54" s="1"/>
  <c r="V94" i="54" a="1"/>
  <c r="V94" i="54" s="1"/>
  <c r="V95" i="54" a="1"/>
  <c r="V95" i="54" s="1"/>
  <c r="Z56" i="54" s="1"/>
  <c r="V96" i="54" a="1"/>
  <c r="V96" i="54" s="1"/>
  <c r="V97" i="54" a="1"/>
  <c r="V97" i="54" s="1"/>
  <c r="Z57" i="54" s="1"/>
  <c r="V98" i="54" a="1"/>
  <c r="V98" i="54" s="1"/>
  <c r="V99" i="54" a="1"/>
  <c r="V99" i="54" s="1"/>
  <c r="Z58" i="54" s="1"/>
  <c r="V100" i="54" a="1"/>
  <c r="V100" i="54" s="1"/>
  <c r="V101" i="54" a="1"/>
  <c r="V101" i="54" s="1"/>
  <c r="Z59" i="54" s="1"/>
  <c r="V102" i="54" a="1"/>
  <c r="V102" i="54" s="1"/>
  <c r="V103" i="54" a="1"/>
  <c r="V103" i="54" s="1"/>
  <c r="Z60" i="54" s="1"/>
  <c r="V104" i="54" a="1"/>
  <c r="V104" i="54" s="1"/>
  <c r="V105" i="54" a="1"/>
  <c r="V105" i="54" s="1"/>
  <c r="Z61" i="54" s="1"/>
  <c r="V106" i="54" a="1"/>
  <c r="V106" i="54" s="1"/>
  <c r="V107" i="54" a="1"/>
  <c r="V107" i="54" s="1"/>
  <c r="Z62" i="54" s="1"/>
  <c r="V108" i="54" a="1"/>
  <c r="V108" i="54" s="1"/>
  <c r="V109" i="54" a="1"/>
  <c r="V109" i="54" s="1"/>
  <c r="Z63" i="54" s="1"/>
  <c r="V110" i="54" a="1"/>
  <c r="V110" i="54" s="1"/>
  <c r="V111" i="54" a="1"/>
  <c r="V111" i="54" s="1"/>
  <c r="Z64" i="54" s="1"/>
  <c r="V112" i="54" a="1"/>
  <c r="V112" i="54" s="1"/>
  <c r="V113" i="54" a="1"/>
  <c r="V113" i="54" s="1"/>
  <c r="Z65" i="54" s="1"/>
  <c r="V114" i="54" a="1"/>
  <c r="V114" i="54" s="1"/>
  <c r="V115" i="54" a="1"/>
  <c r="V115" i="54" s="1"/>
  <c r="Z66" i="54" s="1"/>
  <c r="V116" i="54" a="1"/>
  <c r="V116" i="54" s="1"/>
  <c r="V117" i="54" a="1"/>
  <c r="V117" i="54" s="1"/>
  <c r="Z67" i="54" s="1"/>
  <c r="V118" i="54" a="1"/>
  <c r="V118" i="54" s="1"/>
  <c r="V119" i="54" a="1"/>
  <c r="V119" i="54" s="1"/>
  <c r="Z68" i="54" s="1"/>
  <c r="V120" i="54" a="1"/>
  <c r="V120" i="54" s="1"/>
  <c r="V121" i="54" a="1"/>
  <c r="V121" i="54" s="1"/>
  <c r="Z69" i="54" s="1"/>
  <c r="V122" i="54" a="1"/>
  <c r="V122" i="54" s="1"/>
  <c r="V123" i="54" a="1"/>
  <c r="V123" i="54" s="1"/>
  <c r="Z70" i="54" s="1"/>
  <c r="V124" i="54" a="1"/>
  <c r="V124" i="54" s="1"/>
  <c r="V125" i="54" a="1"/>
  <c r="V125" i="54" s="1"/>
  <c r="Z71" i="54" s="1"/>
  <c r="V126" i="54" a="1"/>
  <c r="V126" i="54" s="1"/>
  <c r="V127" i="54" a="1"/>
  <c r="V127" i="54" s="1"/>
  <c r="Z72" i="54" s="1"/>
  <c r="V128" i="54" a="1"/>
  <c r="V128" i="54" s="1"/>
  <c r="V129" i="54" a="1"/>
  <c r="V129" i="54" s="1"/>
  <c r="Z73" i="54" s="1"/>
  <c r="V130" i="54" a="1"/>
  <c r="V130" i="54" s="1"/>
  <c r="V131" i="54" a="1"/>
  <c r="V131" i="54" s="1"/>
  <c r="Z74" i="54" s="1"/>
  <c r="V132" i="54" a="1"/>
  <c r="V132" i="54" s="1"/>
  <c r="V133" i="54" a="1"/>
  <c r="V133" i="54" s="1"/>
  <c r="Z75" i="54" s="1"/>
  <c r="V134" i="54" a="1"/>
  <c r="V134" i="54" s="1"/>
  <c r="V135" i="54" a="1"/>
  <c r="V135" i="54" s="1"/>
  <c r="Z76" i="54" s="1"/>
  <c r="V136" i="54" a="1"/>
  <c r="V136" i="54" s="1"/>
  <c r="V137" i="54" a="1"/>
  <c r="V137" i="54" s="1"/>
  <c r="Z77" i="54" s="1"/>
  <c r="V138" i="54" a="1"/>
  <c r="V138" i="54" s="1"/>
  <c r="V139" i="54" a="1"/>
  <c r="V139" i="54" s="1"/>
  <c r="Z78" i="54" s="1"/>
  <c r="V140" i="54" a="1"/>
  <c r="V140" i="54" s="1"/>
  <c r="V141" i="54" a="1"/>
  <c r="V141" i="54" s="1"/>
  <c r="Z79" i="54" s="1"/>
  <c r="V142" i="54" a="1"/>
  <c r="V142" i="54" s="1"/>
  <c r="V143" i="54" a="1"/>
  <c r="V143" i="54" s="1"/>
  <c r="Z80" i="54" s="1"/>
  <c r="V144" i="54" a="1"/>
  <c r="V144" i="54" s="1"/>
  <c r="V145" i="54" a="1"/>
  <c r="V145" i="54" s="1"/>
  <c r="Z81" i="54" s="1"/>
  <c r="V146" i="54" a="1"/>
  <c r="V146" i="54" s="1"/>
  <c r="V147" i="54" a="1"/>
  <c r="V147" i="54" s="1"/>
  <c r="Z82" i="54" s="1"/>
  <c r="V148" i="54" a="1"/>
  <c r="V148" i="54" s="1"/>
  <c r="V149" i="54" a="1"/>
  <c r="V149" i="54" s="1"/>
  <c r="Z83" i="54" s="1"/>
  <c r="V150" i="54" a="1"/>
  <c r="V150" i="54" s="1"/>
  <c r="V151" i="54" a="1"/>
  <c r="V151" i="54" s="1"/>
  <c r="Z84" i="54" s="1"/>
  <c r="V152" i="54" a="1"/>
  <c r="V152" i="54" s="1"/>
  <c r="V153" i="54" a="1"/>
  <c r="V153" i="54" s="1"/>
  <c r="Z85" i="54" s="1"/>
  <c r="V154" i="54" a="1"/>
  <c r="V154" i="54" s="1"/>
  <c r="V155" i="54" a="1"/>
  <c r="V155" i="54" s="1"/>
  <c r="Z86" i="54" s="1"/>
  <c r="V156" i="54" a="1"/>
  <c r="V156" i="54" s="1"/>
  <c r="V157" i="54" a="1"/>
  <c r="V157" i="54" s="1"/>
  <c r="Z87" i="54" s="1"/>
  <c r="V158" i="54" a="1"/>
  <c r="V158" i="54" s="1"/>
  <c r="V159" i="54" a="1"/>
  <c r="V159" i="54" s="1"/>
  <c r="Z88" i="54" s="1"/>
  <c r="V160" i="54" a="1"/>
  <c r="V160" i="54" s="1"/>
  <c r="V161" i="54" a="1"/>
  <c r="V161" i="54" s="1"/>
  <c r="Z89" i="54" s="1"/>
  <c r="V162" i="54" a="1"/>
  <c r="V162" i="54" s="1"/>
  <c r="V163" i="54" a="1"/>
  <c r="V163" i="54" s="1"/>
  <c r="Z90" i="54" s="1"/>
  <c r="V164" i="54" a="1"/>
  <c r="V164" i="54" s="1"/>
  <c r="V165" i="54" a="1"/>
  <c r="V165" i="54" s="1"/>
  <c r="Z91" i="54" s="1"/>
  <c r="V166" i="54" a="1"/>
  <c r="V166" i="54" s="1"/>
  <c r="V167" i="54" a="1"/>
  <c r="V167" i="54" s="1"/>
  <c r="Z92" i="54" s="1"/>
  <c r="V168" i="54" a="1"/>
  <c r="V168" i="54" s="1"/>
  <c r="V169" i="54" a="1"/>
  <c r="V169" i="54" s="1"/>
  <c r="Z93" i="54" s="1"/>
  <c r="V170" i="54" a="1"/>
  <c r="V170" i="54" s="1"/>
  <c r="V171" i="54" a="1"/>
  <c r="V171" i="54" s="1"/>
  <c r="Z94" i="54" s="1"/>
  <c r="V172" i="54" a="1"/>
  <c r="V172" i="54" s="1"/>
  <c r="V173" i="54" a="1"/>
  <c r="V173" i="54" s="1"/>
  <c r="Z95" i="54" s="1"/>
  <c r="V174" i="54" a="1"/>
  <c r="V174" i="54" s="1"/>
  <c r="V175" i="54" a="1"/>
  <c r="V175" i="54" s="1"/>
  <c r="Z96" i="54" s="1"/>
  <c r="V176" i="54" a="1"/>
  <c r="V176" i="54" s="1"/>
  <c r="V177" i="54" a="1"/>
  <c r="V177" i="54" s="1"/>
  <c r="Z97" i="54" s="1"/>
  <c r="V178" i="54" a="1"/>
  <c r="V178" i="54" s="1"/>
  <c r="V179" i="54" a="1"/>
  <c r="V179" i="54" s="1"/>
  <c r="Z98" i="54" s="1"/>
  <c r="V180" i="54" a="1"/>
  <c r="V180" i="54" s="1"/>
  <c r="V181" i="54" a="1"/>
  <c r="V181" i="54" s="1"/>
  <c r="Z99" i="54" s="1"/>
  <c r="V182" i="54" a="1"/>
  <c r="V182" i="54" s="1"/>
  <c r="V183" i="54" a="1"/>
  <c r="V183" i="54" s="1"/>
  <c r="Z100" i="54" s="1"/>
  <c r="V184" i="54" a="1"/>
  <c r="V184" i="54" s="1"/>
  <c r="V185" i="54" a="1"/>
  <c r="V185" i="54" s="1"/>
  <c r="Z101" i="54" s="1"/>
  <c r="V186" i="54" a="1"/>
  <c r="V186" i="54" s="1"/>
  <c r="V187" i="54" a="1"/>
  <c r="V187" i="54" s="1"/>
  <c r="Z102" i="54" s="1"/>
  <c r="V188" i="54" a="1"/>
  <c r="V188" i="54" s="1"/>
  <c r="V189" i="54" a="1"/>
  <c r="V189" i="54" s="1"/>
  <c r="Z103" i="54" s="1"/>
  <c r="V190" i="54" a="1"/>
  <c r="V190" i="54" s="1"/>
  <c r="V191" i="54" a="1"/>
  <c r="V191" i="54" s="1"/>
  <c r="Z104" i="54" s="1"/>
  <c r="V192" i="54" a="1"/>
  <c r="V192" i="54" s="1"/>
  <c r="V193" i="54" a="1"/>
  <c r="V193" i="54" s="1"/>
  <c r="Z105" i="54" s="1"/>
  <c r="V194" i="54" a="1"/>
  <c r="V194" i="54" s="1"/>
  <c r="V195" i="54" a="1"/>
  <c r="V195" i="54" s="1"/>
  <c r="Z106" i="54" s="1"/>
  <c r="V196" i="54" a="1"/>
  <c r="V196" i="54" s="1"/>
  <c r="V197" i="54" a="1"/>
  <c r="V197" i="54" s="1"/>
  <c r="Z107" i="54" s="1"/>
  <c r="V198" i="54" a="1"/>
  <c r="V198" i="54" s="1"/>
  <c r="V199" i="54" a="1"/>
  <c r="V199" i="54" s="1"/>
  <c r="Z108" i="54" s="1"/>
  <c r="V200" i="54" a="1"/>
  <c r="V200" i="54" s="1"/>
  <c r="V201" i="54" a="1"/>
  <c r="V201" i="54" s="1"/>
  <c r="Z109" i="54" s="1"/>
  <c r="V202" i="54" a="1"/>
  <c r="V202" i="54" s="1"/>
  <c r="V203" i="54" a="1"/>
  <c r="V203" i="54" s="1"/>
  <c r="Z110" i="54" s="1"/>
  <c r="V204" i="54" a="1"/>
  <c r="V204" i="54" s="1"/>
  <c r="V205" i="54" a="1"/>
  <c r="V205" i="54" s="1"/>
  <c r="Z111" i="54" s="1"/>
  <c r="V206" i="54" a="1"/>
  <c r="V206" i="54" s="1"/>
  <c r="V207" i="54" a="1"/>
  <c r="V207" i="54" s="1"/>
  <c r="Z112" i="54" s="1"/>
  <c r="V208" i="54" a="1"/>
  <c r="V208" i="54" s="1"/>
  <c r="V209" i="54" a="1"/>
  <c r="V209" i="54" s="1"/>
  <c r="Z113" i="54" s="1"/>
  <c r="V210" i="54" a="1"/>
  <c r="V210" i="54" s="1"/>
  <c r="V211" i="54" a="1"/>
  <c r="V211" i="54" s="1"/>
  <c r="Z114" i="54" s="1"/>
  <c r="V212" i="54" a="1"/>
  <c r="V212" i="54" s="1"/>
  <c r="V213" i="54" a="1"/>
  <c r="V213" i="54" s="1"/>
  <c r="Z115" i="54" s="1"/>
  <c r="V214" i="54" a="1"/>
  <c r="V214" i="54" s="1"/>
  <c r="V215" i="54" a="1"/>
  <c r="V215" i="54" s="1"/>
  <c r="Z116" i="54" s="1"/>
  <c r="V216" i="54" a="1"/>
  <c r="V216" i="54" s="1"/>
  <c r="V217" i="54" a="1"/>
  <c r="V217" i="54" s="1"/>
  <c r="Z117" i="54" s="1"/>
  <c r="V218" i="54" a="1"/>
  <c r="V218" i="54" s="1"/>
  <c r="V219" i="54" a="1"/>
  <c r="V219" i="54" s="1"/>
  <c r="Z118" i="54" s="1"/>
  <c r="V220" i="54" a="1"/>
  <c r="V220" i="54" s="1"/>
  <c r="V221" i="54" a="1"/>
  <c r="V221" i="54" s="1"/>
  <c r="Z119" i="54" s="1"/>
  <c r="V222" i="54" a="1"/>
  <c r="V222" i="54" s="1"/>
  <c r="V223" i="54" a="1"/>
  <c r="V223" i="54" s="1"/>
  <c r="Z120" i="54" s="1"/>
  <c r="V224" i="54" a="1"/>
  <c r="V224" i="54" s="1"/>
  <c r="V225" i="54" a="1"/>
  <c r="V225" i="54" s="1"/>
  <c r="Z121" i="54" s="1"/>
  <c r="V226" i="54" a="1"/>
  <c r="V226" i="54" s="1"/>
  <c r="V227" i="54" a="1"/>
  <c r="V227" i="54" s="1"/>
  <c r="Z122" i="54" s="1"/>
  <c r="V228" i="54" a="1"/>
  <c r="V228" i="54" s="1"/>
  <c r="V229" i="54" a="1"/>
  <c r="V229" i="54" s="1"/>
  <c r="Z123" i="54" s="1"/>
  <c r="V230" i="54" a="1"/>
  <c r="V230" i="54" s="1"/>
  <c r="V231" i="54" a="1"/>
  <c r="V231" i="54" s="1"/>
  <c r="Z124" i="54" s="1"/>
  <c r="V232" i="54" a="1"/>
  <c r="V232" i="54" s="1"/>
  <c r="V233" i="54" a="1"/>
  <c r="V233" i="54" s="1"/>
  <c r="Z125" i="54" s="1"/>
  <c r="V234" i="54" a="1"/>
  <c r="V234" i="54" s="1"/>
  <c r="V235" i="54" a="1"/>
  <c r="V235" i="54" s="1"/>
  <c r="Z126" i="54" s="1"/>
  <c r="V236" i="54" a="1"/>
  <c r="V236" i="54" s="1"/>
  <c r="V237" i="54" a="1"/>
  <c r="V237" i="54" s="1"/>
  <c r="Z127" i="54" s="1"/>
  <c r="V238" i="54" a="1"/>
  <c r="V238" i="54" s="1"/>
  <c r="V239" i="54" a="1"/>
  <c r="V239" i="54" s="1"/>
  <c r="Z128" i="54" s="1"/>
  <c r="V240" i="54" a="1"/>
  <c r="V240" i="54" s="1"/>
  <c r="V241" i="54" a="1"/>
  <c r="V241" i="54" s="1"/>
  <c r="Z129" i="54" s="1"/>
  <c r="V242" i="54" a="1"/>
  <c r="V242" i="54" s="1"/>
  <c r="V243" i="54" a="1"/>
  <c r="V243" i="54" s="1"/>
  <c r="Z130" i="54" s="1"/>
  <c r="V244" i="54" a="1"/>
  <c r="V244" i="54" s="1"/>
  <c r="V245" i="54" a="1"/>
  <c r="V245" i="54" s="1"/>
  <c r="Z131" i="54" s="1"/>
  <c r="V246" i="54" a="1"/>
  <c r="V246" i="54" s="1"/>
  <c r="V247" i="54" a="1"/>
  <c r="V247" i="54" s="1"/>
  <c r="Z132" i="54" s="1"/>
  <c r="V248" i="54" a="1"/>
  <c r="V248" i="54" s="1"/>
  <c r="V249" i="54" a="1"/>
  <c r="V249" i="54" s="1"/>
  <c r="Z133" i="54" s="1"/>
  <c r="V250" i="54" a="1"/>
  <c r="V250" i="54" s="1"/>
  <c r="V251" i="54" a="1"/>
  <c r="V251" i="54" s="1"/>
  <c r="Z134" i="54" s="1"/>
  <c r="V252" i="54" a="1"/>
  <c r="V252" i="54" s="1"/>
  <c r="V253" i="54" a="1"/>
  <c r="V253" i="54" s="1"/>
  <c r="Z135" i="54" s="1"/>
  <c r="V254" i="54" a="1"/>
  <c r="V254" i="54" s="1"/>
  <c r="V255" i="54" a="1"/>
  <c r="V255" i="54" s="1"/>
  <c r="Z136" i="54" s="1"/>
  <c r="V256" i="54" a="1"/>
  <c r="V256" i="54" s="1"/>
  <c r="V257" i="54" a="1"/>
  <c r="V257" i="54" s="1"/>
  <c r="Z137" i="54" s="1"/>
  <c r="V258" i="54" a="1"/>
  <c r="V258" i="54" s="1"/>
  <c r="V259" i="54" a="1"/>
  <c r="V259" i="54" s="1"/>
  <c r="Z138" i="54" s="1"/>
  <c r="V260" i="54" a="1"/>
  <c r="V260" i="54" s="1"/>
  <c r="V261" i="54" a="1"/>
  <c r="V261" i="54" s="1"/>
  <c r="Z139" i="54" s="1"/>
  <c r="V262" i="54" a="1"/>
  <c r="V262" i="54" s="1"/>
  <c r="V263" i="54" a="1"/>
  <c r="V263" i="54" s="1"/>
  <c r="Z140" i="54" s="1"/>
  <c r="V264" i="54" a="1"/>
  <c r="V264" i="54" s="1"/>
  <c r="V265" i="54" a="1"/>
  <c r="V265" i="54" s="1"/>
  <c r="Z141" i="54" s="1"/>
  <c r="V266" i="54" a="1"/>
  <c r="V266" i="54"/>
  <c r="V267" i="54" a="1"/>
  <c r="V267" i="54" s="1"/>
  <c r="Z142" i="54" s="1"/>
  <c r="V268" i="54" a="1"/>
  <c r="V268" i="54" s="1"/>
  <c r="V269" i="54" a="1"/>
  <c r="V269" i="54" s="1"/>
  <c r="Z143" i="54" s="1"/>
  <c r="V270" i="54" a="1"/>
  <c r="V270" i="54" s="1"/>
  <c r="V271" i="54" a="1"/>
  <c r="V271" i="54" s="1"/>
  <c r="Z144" i="54" s="1"/>
  <c r="V272" i="54" a="1"/>
  <c r="V272" i="54" s="1"/>
  <c r="V273" i="54" a="1"/>
  <c r="V273" i="54" s="1"/>
  <c r="Z145" i="54" s="1"/>
  <c r="V274" i="54" a="1"/>
  <c r="V274" i="54" s="1"/>
  <c r="V275" i="54" a="1"/>
  <c r="V275" i="54" s="1"/>
  <c r="Z146" i="54" s="1"/>
  <c r="V276" i="54" a="1"/>
  <c r="V276" i="54" s="1"/>
  <c r="V277" i="54" a="1"/>
  <c r="V277" i="54" s="1"/>
  <c r="Z147" i="54" s="1"/>
  <c r="V278" i="54" a="1"/>
  <c r="V278" i="54" s="1"/>
  <c r="V279" i="54" a="1"/>
  <c r="V279" i="54" s="1"/>
  <c r="Z148" i="54" s="1"/>
  <c r="V280" i="54" a="1"/>
  <c r="V280" i="54" s="1"/>
  <c r="V281" i="54" a="1"/>
  <c r="V281" i="54" s="1"/>
  <c r="Z149" i="54" s="1"/>
  <c r="V282" i="54" a="1"/>
  <c r="V282" i="54" s="1"/>
  <c r="V283" i="54" a="1"/>
  <c r="V283" i="54" s="1"/>
  <c r="Z150" i="54" s="1"/>
  <c r="V284" i="54" a="1"/>
  <c r="V284" i="54" s="1"/>
  <c r="V285" i="54" a="1"/>
  <c r="V285" i="54" s="1"/>
  <c r="Z151" i="54" s="1"/>
  <c r="V286" i="54" a="1"/>
  <c r="V286" i="54" s="1"/>
  <c r="V287" i="54" a="1"/>
  <c r="V287" i="54" s="1"/>
  <c r="Z152" i="54" s="1"/>
  <c r="V288" i="54" a="1"/>
  <c r="V288" i="54" s="1"/>
  <c r="V289" i="54" a="1"/>
  <c r="V289" i="54" s="1"/>
  <c r="Z153" i="54" s="1"/>
  <c r="V290" i="54" a="1"/>
  <c r="V290" i="54" s="1"/>
  <c r="V291" i="54" a="1"/>
  <c r="V291" i="54" s="1"/>
  <c r="Z154" i="54" s="1"/>
  <c r="V292" i="54" a="1"/>
  <c r="V292" i="54" s="1"/>
  <c r="V293" i="54" a="1"/>
  <c r="V293" i="54" s="1"/>
  <c r="Z155" i="54" s="1"/>
  <c r="V294" i="54" a="1"/>
  <c r="V294" i="54" s="1"/>
  <c r="V295" i="54" a="1"/>
  <c r="V295" i="54" s="1"/>
  <c r="Z156" i="54" s="1"/>
  <c r="V296" i="54" a="1"/>
  <c r="V296" i="54" s="1"/>
  <c r="V297" i="54" a="1"/>
  <c r="V297" i="54" s="1"/>
  <c r="Z157" i="54" s="1"/>
  <c r="V298" i="54" a="1"/>
  <c r="V298" i="54" s="1"/>
  <c r="V299" i="54" a="1"/>
  <c r="V299" i="54" s="1"/>
  <c r="Z158" i="54" s="1"/>
  <c r="V300" i="54" a="1"/>
  <c r="V300" i="54" s="1"/>
  <c r="V301" i="54" a="1"/>
  <c r="V301" i="54" s="1"/>
  <c r="Z159" i="54" s="1"/>
  <c r="V302" i="54" a="1"/>
  <c r="V302" i="54" s="1"/>
  <c r="V303" i="54" a="1"/>
  <c r="V303" i="54" s="1"/>
  <c r="Z160" i="54" s="1"/>
  <c r="V304" i="54" a="1"/>
  <c r="V304" i="54" s="1"/>
  <c r="V305" i="54" a="1"/>
  <c r="V305" i="54" s="1"/>
  <c r="Z161" i="54" s="1"/>
  <c r="V306" i="54" a="1"/>
  <c r="V306" i="54" s="1"/>
  <c r="V307" i="54" a="1"/>
  <c r="V307" i="54" s="1"/>
  <c r="Z162" i="54" s="1"/>
  <c r="V308" i="54" a="1"/>
  <c r="V308" i="54" s="1"/>
  <c r="V309" i="54" a="1"/>
  <c r="V309" i="54" s="1"/>
  <c r="Z163" i="54" s="1"/>
  <c r="V310" i="54" a="1"/>
  <c r="V310" i="54" s="1"/>
  <c r="V311" i="54" a="1"/>
  <c r="V311" i="54" s="1"/>
  <c r="Z164" i="54" s="1"/>
  <c r="V312" i="54" a="1"/>
  <c r="V312" i="54" s="1"/>
  <c r="V313" i="54" a="1"/>
  <c r="V313" i="54" s="1"/>
  <c r="Z165" i="54" s="1"/>
  <c r="V314" i="54" a="1"/>
  <c r="V314" i="54" s="1"/>
  <c r="V315" i="54" a="1"/>
  <c r="V315" i="54" s="1"/>
  <c r="Z166" i="54" s="1"/>
  <c r="V316" i="54" a="1"/>
  <c r="V316" i="54" s="1"/>
  <c r="V317" i="54" a="1"/>
  <c r="V317" i="54" s="1"/>
  <c r="Z167" i="54" s="1"/>
  <c r="V318" i="54" a="1"/>
  <c r="V318" i="54" s="1"/>
  <c r="V319" i="54" a="1"/>
  <c r="V319" i="54" s="1"/>
  <c r="Z168" i="54" s="1"/>
  <c r="V320" i="54" a="1"/>
  <c r="V320" i="54" s="1"/>
  <c r="V321" i="54" a="1"/>
  <c r="V321" i="54" s="1"/>
  <c r="Z169" i="54" s="1"/>
  <c r="V322" i="54" a="1"/>
  <c r="V322" i="54" s="1"/>
  <c r="V323" i="54" a="1"/>
  <c r="V323" i="54" s="1"/>
  <c r="Z170" i="54" s="1"/>
  <c r="V324" i="54" a="1"/>
  <c r="V324" i="54" s="1"/>
  <c r="V325" i="54" a="1"/>
  <c r="V325" i="54" s="1"/>
  <c r="Z171" i="54" s="1"/>
  <c r="V326" i="54" a="1"/>
  <c r="V326" i="54" s="1"/>
  <c r="V327" i="54" a="1"/>
  <c r="V327" i="54" s="1"/>
  <c r="Z172" i="54" s="1"/>
  <c r="V328" i="54" a="1"/>
  <c r="V328" i="54" s="1"/>
  <c r="V329" i="54" a="1"/>
  <c r="V329" i="54" s="1"/>
  <c r="Z173" i="54" s="1"/>
  <c r="V330" i="54" a="1"/>
  <c r="V330" i="54" s="1"/>
  <c r="V331" i="54" a="1"/>
  <c r="V331" i="54" s="1"/>
  <c r="Z174" i="54" s="1"/>
  <c r="V332" i="54" a="1"/>
  <c r="V332" i="54" s="1"/>
  <c r="V333" i="54" a="1"/>
  <c r="V333" i="54" s="1"/>
  <c r="Z175" i="54" s="1"/>
  <c r="V334" i="54" a="1"/>
  <c r="V334" i="54" s="1"/>
  <c r="V335" i="54" a="1"/>
  <c r="V335" i="54" s="1"/>
  <c r="Z176" i="54" s="1"/>
  <c r="V336" i="54" a="1"/>
  <c r="V336" i="54" s="1"/>
  <c r="V337" i="54" a="1"/>
  <c r="V337" i="54" s="1"/>
  <c r="Z177" i="54" s="1"/>
  <c r="V338" i="54" a="1"/>
  <c r="V338" i="54" s="1"/>
  <c r="V339" i="54" a="1"/>
  <c r="V339" i="54" s="1"/>
  <c r="Z178" i="54" s="1"/>
  <c r="V340" i="54" a="1"/>
  <c r="V340" i="54" s="1"/>
  <c r="V341" i="54" a="1"/>
  <c r="V341" i="54" s="1"/>
  <c r="Z179" i="54" s="1"/>
  <c r="V342" i="54" a="1"/>
  <c r="V342" i="54" s="1"/>
  <c r="V343" i="54" a="1"/>
  <c r="V343" i="54" s="1"/>
  <c r="Z180" i="54" s="1"/>
  <c r="V344" i="54" a="1"/>
  <c r="V344" i="54" s="1"/>
  <c r="V345" i="54" a="1"/>
  <c r="V345" i="54" s="1"/>
  <c r="Z181" i="54" s="1"/>
  <c r="V346" i="54" a="1"/>
  <c r="V346" i="54" s="1"/>
  <c r="V347" i="54" a="1"/>
  <c r="V347" i="54" s="1"/>
  <c r="Z182" i="54" s="1"/>
  <c r="V348" i="54" a="1"/>
  <c r="V348" i="54" s="1"/>
  <c r="V349" i="54" a="1"/>
  <c r="V349" i="54" s="1"/>
  <c r="Z183" i="54" s="1"/>
  <c r="V350" i="54" a="1"/>
  <c r="V350" i="54" s="1"/>
  <c r="V351" i="54" a="1"/>
  <c r="V351" i="54" s="1"/>
  <c r="Z184" i="54" s="1"/>
  <c r="V352" i="54" a="1"/>
  <c r="V352" i="54" s="1"/>
  <c r="V353" i="54" a="1"/>
  <c r="V353" i="54" s="1"/>
  <c r="Z185" i="54" s="1"/>
  <c r="V354" i="54" a="1"/>
  <c r="V354" i="54" s="1"/>
  <c r="V355" i="54" a="1"/>
  <c r="V355" i="54" s="1"/>
  <c r="Z186" i="54" s="1"/>
  <c r="V356" i="54" a="1"/>
  <c r="V356" i="54" s="1"/>
  <c r="V357" i="54" a="1"/>
  <c r="V357" i="54" s="1"/>
  <c r="Z187" i="54" s="1"/>
  <c r="V358" i="54" a="1"/>
  <c r="V358" i="54" s="1"/>
  <c r="V359" i="54" a="1"/>
  <c r="V359" i="54" s="1"/>
  <c r="Z188" i="54" s="1"/>
  <c r="V360" i="54" a="1"/>
  <c r="V360" i="54" s="1"/>
  <c r="V361" i="54" a="1"/>
  <c r="V361" i="54" s="1"/>
  <c r="Z189" i="54" s="1"/>
  <c r="V362" i="54" a="1"/>
  <c r="V362" i="54" s="1"/>
  <c r="V363" i="54" a="1"/>
  <c r="V363" i="54" s="1"/>
  <c r="Z190" i="54" s="1"/>
  <c r="V364" i="54" a="1"/>
  <c r="V364" i="54" s="1"/>
  <c r="V365" i="54" a="1"/>
  <c r="V365" i="54" s="1"/>
  <c r="Z191" i="54" s="1"/>
  <c r="V366" i="54" a="1"/>
  <c r="V366" i="54" s="1"/>
  <c r="V367" i="54" a="1"/>
  <c r="V367" i="54" s="1"/>
  <c r="Z192" i="54" s="1"/>
  <c r="V368" i="54" a="1"/>
  <c r="V368" i="54" s="1"/>
  <c r="V369" i="54" a="1"/>
  <c r="V369" i="54" s="1"/>
  <c r="Z193" i="54" s="1"/>
  <c r="V370" i="54" a="1"/>
  <c r="V370" i="54" s="1"/>
  <c r="V371" i="54" a="1"/>
  <c r="V371" i="54" s="1"/>
  <c r="Z194" i="54" s="1"/>
  <c r="V372" i="54" a="1"/>
  <c r="V372" i="54" s="1"/>
  <c r="V373" i="54" a="1"/>
  <c r="V373" i="54" s="1"/>
  <c r="Z195" i="54" s="1"/>
  <c r="V374" i="54" a="1"/>
  <c r="V374" i="54" s="1"/>
  <c r="V375" i="54" a="1"/>
  <c r="V375" i="54" s="1"/>
  <c r="Z196" i="54" s="1"/>
  <c r="V376" i="54" a="1"/>
  <c r="V376" i="54" s="1"/>
  <c r="V377" i="54" a="1"/>
  <c r="V377" i="54" s="1"/>
  <c r="Z197" i="54" s="1"/>
  <c r="V378" i="54" a="1"/>
  <c r="V378" i="54" s="1"/>
  <c r="V379" i="54" a="1"/>
  <c r="V379" i="54" s="1"/>
  <c r="Z198" i="54" s="1"/>
  <c r="V380" i="54" a="1"/>
  <c r="V380" i="54" s="1"/>
  <c r="V381" i="54" a="1"/>
  <c r="V381" i="54" s="1"/>
  <c r="Z199" i="54" s="1"/>
  <c r="V382" i="54" a="1"/>
  <c r="V382" i="54" s="1"/>
  <c r="V383" i="54" a="1"/>
  <c r="V383" i="54" s="1"/>
  <c r="Z200" i="54" s="1"/>
  <c r="V384" i="54" a="1"/>
  <c r="V384" i="54" s="1"/>
  <c r="V385" i="54" a="1"/>
  <c r="V385" i="54" s="1"/>
  <c r="Z201" i="54" s="1"/>
  <c r="V386" i="54" a="1"/>
  <c r="V386" i="54" s="1"/>
  <c r="V387" i="54" a="1"/>
  <c r="V387" i="54" s="1"/>
  <c r="Z202" i="54" s="1"/>
  <c r="V388" i="54" a="1"/>
  <c r="V388" i="54" s="1"/>
  <c r="V389" i="54" a="1"/>
  <c r="V389" i="54" s="1"/>
  <c r="Z203" i="54" s="1"/>
  <c r="V390" i="54" a="1"/>
  <c r="V390" i="54" s="1"/>
  <c r="V391" i="54" a="1"/>
  <c r="V391" i="54" s="1"/>
  <c r="Z204" i="54" s="1"/>
  <c r="V392" i="54" a="1"/>
  <c r="V392" i="54" s="1"/>
  <c r="V393" i="54" a="1"/>
  <c r="V393" i="54" s="1"/>
  <c r="Z205" i="54" s="1"/>
  <c r="V394" i="54" a="1"/>
  <c r="V394" i="54" s="1"/>
  <c r="V395" i="54" a="1"/>
  <c r="V395" i="54" s="1"/>
  <c r="Z206" i="54" s="1"/>
  <c r="V396" i="54" a="1"/>
  <c r="V396" i="54" s="1"/>
  <c r="V397" i="54" a="1"/>
  <c r="V397" i="54" s="1"/>
  <c r="Z207" i="54" s="1"/>
  <c r="V398" i="54" a="1"/>
  <c r="V398" i="54" s="1"/>
  <c r="V399" i="54" a="1"/>
  <c r="V399" i="54" s="1"/>
  <c r="Z208" i="54" s="1"/>
  <c r="V400" i="54" a="1"/>
  <c r="V400" i="54" s="1"/>
  <c r="V401" i="54" a="1"/>
  <c r="V401" i="54" s="1"/>
  <c r="Z209" i="54" s="1"/>
  <c r="V402" i="54" a="1"/>
  <c r="V402" i="54" s="1"/>
  <c r="V403" i="54" a="1"/>
  <c r="V403" i="54" s="1"/>
  <c r="Z210" i="54" s="1"/>
  <c r="V404" i="54" a="1"/>
  <c r="V404" i="54" s="1"/>
  <c r="V405" i="54" a="1"/>
  <c r="V405" i="54" s="1"/>
  <c r="Z211" i="54" s="1"/>
  <c r="V406" i="54" a="1"/>
  <c r="V406" i="54" s="1"/>
  <c r="V407" i="54" a="1"/>
  <c r="V407" i="54" s="1"/>
  <c r="Z212" i="54" s="1"/>
  <c r="V408" i="54" a="1"/>
  <c r="V408" i="54" s="1"/>
  <c r="V409" i="54" a="1"/>
  <c r="V409" i="54" s="1"/>
  <c r="Z213" i="54" s="1"/>
  <c r="V410" i="54" a="1"/>
  <c r="V410" i="54" s="1"/>
  <c r="V411" i="54" a="1"/>
  <c r="V411" i="54" s="1"/>
  <c r="Z214" i="54" s="1"/>
  <c r="V412" i="54" a="1"/>
  <c r="V412" i="54" s="1"/>
  <c r="V413" i="54" a="1"/>
  <c r="V413" i="54" s="1"/>
  <c r="Z215" i="54" s="1"/>
  <c r="V414" i="54" a="1"/>
  <c r="V414" i="54" s="1"/>
  <c r="V415" i="54" a="1"/>
  <c r="V415" i="54" s="1"/>
  <c r="Z216" i="54" s="1"/>
  <c r="V416" i="54" a="1"/>
  <c r="V416" i="54" s="1"/>
  <c r="V417" i="54" a="1"/>
  <c r="V417" i="54" s="1"/>
  <c r="Z217" i="54" s="1"/>
  <c r="V418" i="54" a="1"/>
  <c r="V418" i="54" s="1"/>
  <c r="V419" i="54" a="1"/>
  <c r="V419" i="54" s="1"/>
  <c r="Z218" i="54" s="1"/>
  <c r="V420" i="54" a="1"/>
  <c r="V420" i="54" s="1"/>
  <c r="V421" i="54" a="1"/>
  <c r="V421" i="54" s="1"/>
  <c r="Z219" i="54" s="1"/>
  <c r="V422" i="54" a="1"/>
  <c r="V422" i="54" s="1"/>
  <c r="V423" i="54" a="1"/>
  <c r="V423" i="54" s="1"/>
  <c r="Z220" i="54" s="1"/>
  <c r="V424" i="54" a="1"/>
  <c r="V424" i="54" s="1"/>
  <c r="V425" i="54" a="1"/>
  <c r="V425" i="54" s="1"/>
  <c r="Z221" i="54" s="1"/>
  <c r="V426" i="54" a="1"/>
  <c r="V426" i="54" s="1"/>
  <c r="V427" i="54" a="1"/>
  <c r="V427" i="54" s="1"/>
  <c r="Z222" i="54" s="1"/>
  <c r="V428" i="54" a="1"/>
  <c r="V428" i="54" s="1"/>
  <c r="V429" i="54" a="1"/>
  <c r="V429" i="54" s="1"/>
  <c r="Z223" i="54" s="1"/>
  <c r="V430" i="54" a="1"/>
  <c r="V430" i="54" s="1"/>
  <c r="V431" i="54" a="1"/>
  <c r="V431" i="54" s="1"/>
  <c r="Z224" i="54" s="1"/>
  <c r="V432" i="54" a="1"/>
  <c r="V432" i="54" s="1"/>
  <c r="V433" i="54" a="1"/>
  <c r="V433" i="54" s="1"/>
  <c r="Z225" i="54" s="1"/>
  <c r="V434" i="54" a="1"/>
  <c r="V434" i="54" s="1"/>
  <c r="V435" i="54" a="1"/>
  <c r="V435" i="54" s="1"/>
  <c r="Z226" i="54" s="1"/>
  <c r="V436" i="54" a="1"/>
  <c r="V436" i="54" s="1"/>
  <c r="V437" i="54" a="1"/>
  <c r="V437" i="54" s="1"/>
  <c r="Z227" i="54" s="1"/>
  <c r="V438" i="54" a="1"/>
  <c r="V438" i="54" s="1"/>
  <c r="V439" i="54" a="1"/>
  <c r="V439" i="54" s="1"/>
  <c r="Z228" i="54" s="1"/>
  <c r="V440" i="54" a="1"/>
  <c r="V440" i="54" s="1"/>
  <c r="V441" i="54" a="1"/>
  <c r="V441" i="54" s="1"/>
  <c r="Z229" i="54" s="1"/>
  <c r="V442" i="54" a="1"/>
  <c r="V442" i="54" s="1"/>
  <c r="V443" i="54" a="1"/>
  <c r="V443" i="54" s="1"/>
  <c r="Z230" i="54" s="1"/>
  <c r="V444" i="54" a="1"/>
  <c r="V444" i="54" s="1"/>
  <c r="V445" i="54" a="1"/>
  <c r="V445" i="54" s="1"/>
  <c r="Z231" i="54" s="1"/>
  <c r="V446" i="54" a="1"/>
  <c r="V446" i="54" s="1"/>
  <c r="V447" i="54" a="1"/>
  <c r="V447" i="54" s="1"/>
  <c r="Z232" i="54" s="1"/>
  <c r="V448" i="54" a="1"/>
  <c r="V448" i="54" s="1"/>
  <c r="V449" i="54" a="1"/>
  <c r="V449" i="54" s="1"/>
  <c r="Z233" i="54" s="1"/>
  <c r="V450" i="54" a="1"/>
  <c r="V450" i="54" s="1"/>
  <c r="V451" i="54" a="1"/>
  <c r="V451" i="54" s="1"/>
  <c r="Z234" i="54" s="1"/>
  <c r="V452" i="54" a="1"/>
  <c r="V452" i="54" s="1"/>
  <c r="V453" i="54" a="1"/>
  <c r="V453" i="54" s="1"/>
  <c r="Z235" i="54" s="1"/>
  <c r="V454" i="54" a="1"/>
  <c r="V454" i="54" s="1"/>
  <c r="V455" i="54" a="1"/>
  <c r="V455" i="54" s="1"/>
  <c r="Z236" i="54" s="1"/>
  <c r="V456" i="54" a="1"/>
  <c r="V456" i="54" s="1"/>
  <c r="V457" i="54" a="1"/>
  <c r="V457" i="54" s="1"/>
  <c r="Z237" i="54" s="1"/>
  <c r="V458" i="54" a="1"/>
  <c r="V458" i="54" s="1"/>
  <c r="V459" i="54" a="1"/>
  <c r="V459" i="54" s="1"/>
  <c r="Z238" i="54" s="1"/>
  <c r="V460" i="54" a="1"/>
  <c r="V460" i="54" s="1"/>
  <c r="V461" i="54" a="1"/>
  <c r="V461" i="54" s="1"/>
  <c r="Z239" i="54" s="1"/>
  <c r="V462" i="54" a="1"/>
  <c r="V462" i="54" s="1"/>
  <c r="V463" i="54" a="1"/>
  <c r="V463" i="54" s="1"/>
  <c r="Z240" i="54" s="1"/>
  <c r="V464" i="54" a="1"/>
  <c r="V464" i="54" s="1"/>
  <c r="V465" i="54" a="1"/>
  <c r="V465" i="54" s="1"/>
  <c r="Z241" i="54" s="1"/>
  <c r="V466" i="54" a="1"/>
  <c r="V466" i="54" s="1"/>
  <c r="V467" i="54" a="1"/>
  <c r="V467" i="54" s="1"/>
  <c r="Z242" i="54" s="1"/>
  <c r="V468" i="54" a="1"/>
  <c r="V468" i="54" s="1"/>
  <c r="V469" i="54" a="1"/>
  <c r="V469" i="54" s="1"/>
  <c r="Z243" i="54" s="1"/>
  <c r="V470" i="54" a="1"/>
  <c r="V470" i="54" s="1"/>
  <c r="V471" i="54" a="1"/>
  <c r="V471" i="54" s="1"/>
  <c r="Z244" i="54" s="1"/>
  <c r="V472" i="54" a="1"/>
  <c r="V472" i="54" s="1"/>
  <c r="V473" i="54" a="1"/>
  <c r="V473" i="54" s="1"/>
  <c r="Z245" i="54" s="1"/>
  <c r="V474" i="54" a="1"/>
  <c r="V474" i="54" s="1"/>
  <c r="V475" i="54" a="1"/>
  <c r="V475" i="54" s="1"/>
  <c r="Z246" i="54" s="1"/>
  <c r="V476" i="54" a="1"/>
  <c r="V476" i="54" s="1"/>
  <c r="V477" i="54" a="1"/>
  <c r="V477" i="54" s="1"/>
  <c r="Z247" i="54" s="1"/>
  <c r="V478" i="54" a="1"/>
  <c r="V478" i="54" s="1"/>
  <c r="V479" i="54" a="1"/>
  <c r="V479" i="54" s="1"/>
  <c r="Z248" i="54" s="1"/>
  <c r="V480" i="54" a="1"/>
  <c r="V480" i="54" s="1"/>
  <c r="V481" i="54" a="1"/>
  <c r="V481" i="54" s="1"/>
  <c r="Z249" i="54" s="1"/>
  <c r="V482" i="54" a="1"/>
  <c r="V482" i="54" s="1"/>
  <c r="V483" i="54" a="1"/>
  <c r="V483" i="54" s="1"/>
  <c r="Z250" i="54" s="1"/>
  <c r="V484" i="54" a="1"/>
  <c r="V484" i="54" s="1"/>
  <c r="V485" i="54" a="1"/>
  <c r="V485" i="54" s="1"/>
  <c r="Z251" i="54" s="1"/>
  <c r="V486" i="54" a="1"/>
  <c r="V486" i="54" s="1"/>
  <c r="V487" i="54" a="1"/>
  <c r="V487" i="54" s="1"/>
  <c r="Z252" i="54" s="1"/>
  <c r="V488" i="54" a="1"/>
  <c r="V488" i="54" s="1"/>
  <c r="V489" i="54" a="1"/>
  <c r="V489" i="54" s="1"/>
  <c r="Z253" i="54" s="1"/>
  <c r="V490" i="54" a="1"/>
  <c r="V490" i="54" s="1"/>
  <c r="V491" i="54" a="1"/>
  <c r="V491" i="54" s="1"/>
  <c r="Z254" i="54" s="1"/>
  <c r="V492" i="54" a="1"/>
  <c r="V492" i="54" s="1"/>
  <c r="V493" i="54" a="1"/>
  <c r="V493" i="54" s="1"/>
  <c r="Z255" i="54" s="1"/>
  <c r="V494" i="54" a="1"/>
  <c r="V494" i="54" s="1"/>
  <c r="V495" i="54" a="1"/>
  <c r="V495" i="54" s="1"/>
  <c r="Z256" i="54" s="1"/>
  <c r="V496" i="54" a="1"/>
  <c r="V496" i="54" s="1"/>
  <c r="V497" i="54" a="1"/>
  <c r="V497" i="54" s="1"/>
  <c r="Z257" i="54" s="1"/>
  <c r="V498" i="54" a="1"/>
  <c r="V498" i="54" s="1"/>
  <c r="V499" i="54" a="1"/>
  <c r="V499" i="54" s="1"/>
  <c r="Z258" i="54" s="1"/>
  <c r="V500" i="54" a="1"/>
  <c r="V500" i="54" s="1"/>
  <c r="V501" i="54" a="1"/>
  <c r="V501" i="54" s="1"/>
  <c r="Z259" i="54" s="1"/>
  <c r="V502" i="54" a="1"/>
  <c r="V502" i="54" s="1"/>
  <c r="V503" i="54" a="1"/>
  <c r="V503" i="54" s="1"/>
  <c r="Z260" i="54" s="1"/>
  <c r="V504" i="54" a="1"/>
  <c r="V504" i="54" s="1"/>
  <c r="V505" i="54" a="1"/>
  <c r="V505" i="54" s="1"/>
  <c r="Z261" i="54" s="1"/>
  <c r="V506" i="54" a="1"/>
  <c r="V506" i="54" s="1"/>
  <c r="V507" i="54" a="1"/>
  <c r="V507" i="54" s="1"/>
  <c r="Z262" i="54" s="1"/>
  <c r="V508" i="54" a="1"/>
  <c r="V508" i="54" s="1"/>
  <c r="V509" i="54" a="1"/>
  <c r="V509" i="54" s="1"/>
  <c r="Z263" i="54" s="1"/>
  <c r="V510" i="54" a="1"/>
  <c r="V510" i="54" s="1"/>
  <c r="V511" i="54" a="1"/>
  <c r="V511" i="54" s="1"/>
  <c r="Z264" i="54" s="1"/>
  <c r="V512" i="54" a="1"/>
  <c r="V512" i="54" s="1"/>
  <c r="V513" i="54" a="1"/>
  <c r="V513" i="54" s="1"/>
  <c r="Z265" i="54" s="1"/>
  <c r="V514" i="54" a="1"/>
  <c r="V514" i="54" s="1"/>
  <c r="V515" i="54" a="1"/>
  <c r="V515" i="54" s="1"/>
  <c r="Z266" i="54" s="1"/>
  <c r="V516" i="54" a="1"/>
  <c r="V516" i="54" s="1"/>
  <c r="V517" i="54" a="1"/>
  <c r="V517" i="54" s="1"/>
  <c r="Z267" i="54" s="1"/>
  <c r="V518" i="54" a="1"/>
  <c r="V518" i="54" s="1"/>
  <c r="V519" i="54" a="1"/>
  <c r="V519" i="54" s="1"/>
  <c r="Z268" i="54" s="1"/>
  <c r="V520" i="54" a="1"/>
  <c r="V520" i="54" s="1"/>
  <c r="V521" i="54" a="1"/>
  <c r="V521" i="54" s="1"/>
  <c r="Z269" i="54" s="1"/>
  <c r="V522" i="54" a="1"/>
  <c r="V522" i="54" s="1"/>
  <c r="V523" i="54" a="1"/>
  <c r="V523" i="54" s="1"/>
  <c r="Z270" i="54" s="1"/>
  <c r="V524" i="54" a="1"/>
  <c r="V524" i="54" s="1"/>
  <c r="V525" i="54" a="1"/>
  <c r="V525" i="54" s="1"/>
  <c r="Z271" i="54" s="1"/>
  <c r="V526" i="54" a="1"/>
  <c r="V526" i="54" s="1"/>
  <c r="V527" i="54" a="1"/>
  <c r="V527" i="54" s="1"/>
  <c r="Z272" i="54" s="1"/>
  <c r="V528" i="54" a="1"/>
  <c r="V528" i="54" s="1"/>
  <c r="V529" i="54" a="1"/>
  <c r="V529" i="54" s="1"/>
  <c r="Z273" i="54" s="1"/>
  <c r="V530" i="54" a="1"/>
  <c r="V530" i="54" s="1"/>
  <c r="V531" i="54" a="1"/>
  <c r="V531" i="54" s="1"/>
  <c r="Z274" i="54" s="1"/>
  <c r="V532" i="54" a="1"/>
  <c r="V532" i="54" s="1"/>
  <c r="V533" i="54" a="1"/>
  <c r="V533" i="54" s="1"/>
  <c r="Z275" i="54" s="1"/>
  <c r="V534" i="54" a="1"/>
  <c r="V534" i="54" s="1"/>
  <c r="V535" i="54" a="1"/>
  <c r="V535" i="54" s="1"/>
  <c r="Z276" i="54" s="1"/>
  <c r="V536" i="54" a="1"/>
  <c r="V536" i="54" s="1"/>
  <c r="V537" i="54" a="1"/>
  <c r="V537" i="54" s="1"/>
  <c r="Z277" i="54" s="1"/>
  <c r="V538" i="54" a="1"/>
  <c r="V538" i="54" s="1"/>
  <c r="V539" i="54" a="1"/>
  <c r="V539" i="54" s="1"/>
  <c r="Z278" i="54" s="1"/>
  <c r="V540" i="54" a="1"/>
  <c r="V540" i="54" s="1"/>
  <c r="V541" i="54" a="1"/>
  <c r="V541" i="54" s="1"/>
  <c r="Z279" i="54" s="1"/>
  <c r="V542" i="54" a="1"/>
  <c r="V542" i="54" s="1"/>
  <c r="V543" i="54" a="1"/>
  <c r="V543" i="54" s="1"/>
  <c r="Z280" i="54" s="1"/>
  <c r="V544" i="54" a="1"/>
  <c r="V544" i="54" s="1"/>
  <c r="V545" i="54" a="1"/>
  <c r="V545" i="54" s="1"/>
  <c r="Z281" i="54" s="1"/>
  <c r="V546" i="54" a="1"/>
  <c r="V546" i="54" s="1"/>
  <c r="V547" i="54" a="1"/>
  <c r="V547" i="54" s="1"/>
  <c r="Z282" i="54" s="1"/>
  <c r="V548" i="54" a="1"/>
  <c r="V548" i="54" s="1"/>
  <c r="V549" i="54" a="1"/>
  <c r="V549" i="54" s="1"/>
  <c r="Z283" i="54" s="1"/>
  <c r="V550" i="54" a="1"/>
  <c r="V550" i="54" s="1"/>
  <c r="V551" i="54" a="1"/>
  <c r="V551" i="54" s="1"/>
  <c r="Z284" i="54" s="1"/>
  <c r="V552" i="54" a="1"/>
  <c r="V552" i="54" s="1"/>
  <c r="V553" i="54" a="1"/>
  <c r="V553" i="54" s="1"/>
  <c r="Z285" i="54" s="1"/>
  <c r="V554" i="54" a="1"/>
  <c r="V554" i="54" s="1"/>
  <c r="V555" i="54" a="1"/>
  <c r="V555" i="54" s="1"/>
  <c r="Z286" i="54" s="1"/>
  <c r="V556" i="54" a="1"/>
  <c r="V556" i="54" s="1"/>
  <c r="V557" i="54" a="1"/>
  <c r="V557" i="54" s="1"/>
  <c r="Z287" i="54" s="1"/>
  <c r="V558" i="54" a="1"/>
  <c r="V558" i="54" s="1"/>
  <c r="V559" i="54" a="1"/>
  <c r="V559" i="54" s="1"/>
  <c r="Z288" i="54" s="1"/>
  <c r="V560" i="54" a="1"/>
  <c r="V560" i="54" s="1"/>
  <c r="V561" i="54" a="1"/>
  <c r="V561" i="54" s="1"/>
  <c r="Z289" i="54" s="1"/>
  <c r="V562" i="54" a="1"/>
  <c r="V562" i="54" s="1"/>
  <c r="V563" i="54" a="1"/>
  <c r="V563" i="54" s="1"/>
  <c r="Z290" i="54" s="1"/>
  <c r="V564" i="54" a="1"/>
  <c r="V564" i="54" s="1"/>
  <c r="V565" i="54" a="1"/>
  <c r="V565" i="54" s="1"/>
  <c r="Z291" i="54" s="1"/>
  <c r="V566" i="54" a="1"/>
  <c r="V566" i="54" s="1"/>
  <c r="V567" i="54" a="1"/>
  <c r="V567" i="54" s="1"/>
  <c r="Z292" i="54" s="1"/>
  <c r="V568" i="54" a="1"/>
  <c r="V568" i="54" s="1"/>
  <c r="V569" i="54" a="1"/>
  <c r="V569" i="54" s="1"/>
  <c r="Z293" i="54" s="1"/>
  <c r="V570" i="54" a="1"/>
  <c r="V570" i="54" s="1"/>
  <c r="V571" i="54" a="1"/>
  <c r="V571" i="54" s="1"/>
  <c r="Z294" i="54" s="1"/>
  <c r="V572" i="54" a="1"/>
  <c r="V572" i="54" s="1"/>
  <c r="V573" i="54" a="1"/>
  <c r="V573" i="54" s="1"/>
  <c r="Z295" i="54" s="1"/>
  <c r="V574" i="54" a="1"/>
  <c r="V574" i="54" s="1"/>
  <c r="V575" i="54" a="1"/>
  <c r="V575" i="54" s="1"/>
  <c r="Z296" i="54" s="1"/>
  <c r="V576" i="54" a="1"/>
  <c r="V576" i="54" s="1"/>
  <c r="V577" i="54" a="1"/>
  <c r="V577" i="54" s="1"/>
  <c r="Z297" i="54" s="1"/>
  <c r="V578" i="54" a="1"/>
  <c r="V578" i="54" s="1"/>
  <c r="V579" i="54" a="1"/>
  <c r="V579" i="54" s="1"/>
  <c r="Z298" i="54" s="1"/>
  <c r="V580" i="54" a="1"/>
  <c r="V580" i="54" s="1"/>
  <c r="V581" i="54" a="1"/>
  <c r="V581" i="54" s="1"/>
  <c r="Z299" i="54" s="1"/>
  <c r="V582" i="54" a="1"/>
  <c r="V582" i="54" s="1"/>
  <c r="V583" i="54" a="1"/>
  <c r="V583" i="54" s="1"/>
  <c r="Z300" i="54" s="1"/>
  <c r="V584" i="54" a="1"/>
  <c r="V584" i="54" s="1"/>
  <c r="V585" i="54" a="1"/>
  <c r="V585" i="54" s="1"/>
  <c r="Z301" i="54" s="1"/>
  <c r="V586" i="54" a="1"/>
  <c r="V586" i="54" s="1"/>
  <c r="V587" i="54" a="1"/>
  <c r="V587" i="54" s="1"/>
  <c r="Z302" i="54" s="1"/>
  <c r="V588" i="54" a="1"/>
  <c r="V588" i="54" s="1"/>
  <c r="V589" i="54" a="1"/>
  <c r="V589" i="54" s="1"/>
  <c r="Z303" i="54" s="1"/>
  <c r="V590" i="54" a="1"/>
  <c r="V590" i="54" s="1"/>
  <c r="V591" i="54" a="1"/>
  <c r="V591" i="54" s="1"/>
  <c r="Z304" i="54" s="1"/>
  <c r="V592" i="54" a="1"/>
  <c r="V592" i="54" s="1"/>
  <c r="V593" i="54" a="1"/>
  <c r="V593" i="54" s="1"/>
  <c r="Z305" i="54" s="1"/>
  <c r="V594" i="54" a="1"/>
  <c r="V594" i="54" s="1"/>
  <c r="V595" i="54" a="1"/>
  <c r="V595" i="54" s="1"/>
  <c r="Z306" i="54" s="1"/>
  <c r="V596" i="54" a="1"/>
  <c r="V596" i="54" s="1"/>
  <c r="V597" i="54" a="1"/>
  <c r="V597" i="54" s="1"/>
  <c r="Z307" i="54" s="1"/>
  <c r="V598" i="54" a="1"/>
  <c r="V598" i="54" s="1"/>
  <c r="V599" i="54" a="1"/>
  <c r="V599" i="54" s="1"/>
  <c r="Z308" i="54" s="1"/>
  <c r="V600" i="54" a="1"/>
  <c r="V600" i="54" s="1"/>
  <c r="V601" i="54" a="1"/>
  <c r="V601" i="54" s="1"/>
  <c r="Z309" i="54" s="1"/>
  <c r="V602" i="54" a="1"/>
  <c r="V602" i="54" s="1"/>
  <c r="V603" i="54" a="1"/>
  <c r="V603" i="54" s="1"/>
  <c r="Z310" i="54" s="1"/>
  <c r="V604" i="54" a="1"/>
  <c r="V604" i="54" s="1"/>
  <c r="V605" i="54" a="1"/>
  <c r="V605" i="54" s="1"/>
  <c r="Z311" i="54" s="1"/>
  <c r="V606" i="54" a="1"/>
  <c r="V606" i="54" s="1"/>
  <c r="V607" i="54" a="1"/>
  <c r="V607" i="54" s="1"/>
  <c r="Z312" i="54" s="1"/>
  <c r="V608" i="54" a="1"/>
  <c r="V608" i="54" s="1"/>
  <c r="V609" i="54" a="1"/>
  <c r="V609" i="54" s="1"/>
  <c r="Z313" i="54" s="1"/>
  <c r="V610" i="54" a="1"/>
  <c r="V610" i="54" s="1"/>
  <c r="V611" i="54" a="1"/>
  <c r="V611" i="54" s="1"/>
  <c r="Z314" i="54" s="1"/>
  <c r="V612" i="54" a="1"/>
  <c r="V612" i="54" s="1"/>
  <c r="V613" i="54" a="1"/>
  <c r="V613" i="54" s="1"/>
  <c r="Z315" i="54" s="1"/>
  <c r="V614" i="54" a="1"/>
  <c r="V614" i="54" s="1"/>
  <c r="V615" i="54" a="1"/>
  <c r="V615" i="54" s="1"/>
  <c r="Z316" i="54" s="1"/>
  <c r="V616" i="54" a="1"/>
  <c r="V616" i="54" s="1"/>
  <c r="V617" i="54" a="1"/>
  <c r="V617" i="54" s="1"/>
  <c r="Z317" i="54" s="1"/>
  <c r="V618" i="54" a="1"/>
  <c r="V618" i="54" s="1"/>
  <c r="V619" i="54" a="1"/>
  <c r="V619" i="54" s="1"/>
  <c r="Z318" i="54" s="1"/>
  <c r="V620" i="54" a="1"/>
  <c r="V620" i="54" s="1"/>
  <c r="V621" i="54" a="1"/>
  <c r="V621" i="54" s="1"/>
  <c r="Z319" i="54" s="1"/>
  <c r="V622" i="54" a="1"/>
  <c r="V622" i="54" s="1"/>
  <c r="V623" i="54" a="1"/>
  <c r="V623" i="54" s="1"/>
  <c r="Z320" i="54" s="1"/>
  <c r="V624" i="54" a="1"/>
  <c r="V624" i="54" s="1"/>
  <c r="V625" i="54" a="1"/>
  <c r="V625" i="54" s="1"/>
  <c r="Z321" i="54" s="1"/>
  <c r="V626" i="54" a="1"/>
  <c r="V626" i="54" s="1"/>
  <c r="V627" i="54" a="1"/>
  <c r="V627" i="54" s="1"/>
  <c r="Z322" i="54" s="1"/>
  <c r="V628" i="54" a="1"/>
  <c r="V628" i="54" s="1"/>
  <c r="V629" i="54" a="1"/>
  <c r="V629" i="54" s="1"/>
  <c r="Z323" i="54" s="1"/>
  <c r="V630" i="54" a="1"/>
  <c r="V630" i="54" s="1"/>
  <c r="V631" i="54" a="1"/>
  <c r="V631" i="54" s="1"/>
  <c r="Z324" i="54" s="1"/>
  <c r="V632" i="54" a="1"/>
  <c r="V632" i="54" s="1"/>
  <c r="V633" i="54" a="1"/>
  <c r="V633" i="54" s="1"/>
  <c r="Z325" i="54" s="1"/>
  <c r="V634" i="54" a="1"/>
  <c r="V634" i="54" s="1"/>
  <c r="V635" i="54" a="1"/>
  <c r="V635" i="54" s="1"/>
  <c r="Z326" i="54" s="1"/>
  <c r="V636" i="54" a="1"/>
  <c r="V636" i="54" s="1"/>
  <c r="V637" i="54" a="1"/>
  <c r="V637" i="54" s="1"/>
  <c r="Z327" i="54" s="1"/>
  <c r="V638" i="54" a="1"/>
  <c r="V638" i="54" s="1"/>
  <c r="V639" i="54" a="1"/>
  <c r="V639" i="54" s="1"/>
  <c r="Z328" i="54" s="1"/>
  <c r="V640" i="54" a="1"/>
  <c r="V640" i="54" s="1"/>
  <c r="V641" i="54" a="1"/>
  <c r="V641" i="54" s="1"/>
  <c r="Z329" i="54" s="1"/>
  <c r="V642" i="54" a="1"/>
  <c r="V642" i="54" s="1"/>
  <c r="V643" i="54" a="1"/>
  <c r="V643" i="54" s="1"/>
  <c r="Z330" i="54" s="1"/>
  <c r="V644" i="54" a="1"/>
  <c r="V644" i="54" s="1"/>
  <c r="V645" i="54" a="1"/>
  <c r="V645" i="54" s="1"/>
  <c r="Z331" i="54" s="1"/>
  <c r="V646" i="54" a="1"/>
  <c r="V646" i="54" s="1"/>
  <c r="V647" i="54" a="1"/>
  <c r="V647" i="54" s="1"/>
  <c r="Z332" i="54" s="1"/>
  <c r="V648" i="54" a="1"/>
  <c r="V648" i="54" s="1"/>
  <c r="V649" i="54" a="1"/>
  <c r="V649" i="54" s="1"/>
  <c r="Z333" i="54" s="1"/>
  <c r="V650" i="54" a="1"/>
  <c r="V650" i="54" s="1"/>
  <c r="V651" i="54" a="1"/>
  <c r="V651" i="54" s="1"/>
  <c r="Z334" i="54" s="1"/>
  <c r="V652" i="54" a="1"/>
  <c r="V652" i="54" s="1"/>
  <c r="V653" i="54" a="1"/>
  <c r="V653" i="54" s="1"/>
  <c r="Z335" i="54" s="1"/>
  <c r="V654" i="54" a="1"/>
  <c r="V654" i="54" s="1"/>
  <c r="V655" i="54" a="1"/>
  <c r="V655" i="54" s="1"/>
  <c r="Z336" i="54" s="1"/>
  <c r="V656" i="54" a="1"/>
  <c r="V656" i="54" s="1"/>
  <c r="V657" i="54" a="1"/>
  <c r="V657" i="54" s="1"/>
  <c r="Z337" i="54" s="1"/>
  <c r="V658" i="54" a="1"/>
  <c r="V658" i="54" s="1"/>
  <c r="V659" i="54" a="1"/>
  <c r="V659" i="54" s="1"/>
  <c r="Z338" i="54" s="1"/>
  <c r="V660" i="54" a="1"/>
  <c r="V660" i="54" s="1"/>
  <c r="V661" i="54" a="1"/>
  <c r="V661" i="54" s="1"/>
  <c r="Z339" i="54" s="1"/>
  <c r="V662" i="54" a="1"/>
  <c r="V662" i="54" s="1"/>
  <c r="V663" i="54" a="1"/>
  <c r="V663" i="54" s="1"/>
  <c r="Z340" i="54" s="1"/>
  <c r="V664" i="54" a="1"/>
  <c r="V664" i="54" s="1"/>
  <c r="V665" i="54" a="1"/>
  <c r="V665" i="54" s="1"/>
  <c r="Z341" i="54" s="1"/>
  <c r="V666" i="54" a="1"/>
  <c r="V666" i="54" s="1"/>
  <c r="V667" i="54" a="1"/>
  <c r="V667" i="54" s="1"/>
  <c r="Z342" i="54" s="1"/>
  <c r="V668" i="54" a="1"/>
  <c r="V668" i="54" s="1"/>
  <c r="V669" i="54" a="1"/>
  <c r="V669" i="54" s="1"/>
  <c r="Z343" i="54" s="1"/>
  <c r="V670" i="54" a="1"/>
  <c r="V670" i="54" s="1"/>
  <c r="V671" i="54" a="1"/>
  <c r="V671" i="54" s="1"/>
  <c r="Z344" i="54" s="1"/>
  <c r="V672" i="54" a="1"/>
  <c r="V672" i="54" s="1"/>
  <c r="V673" i="54" a="1"/>
  <c r="V673" i="54" s="1"/>
  <c r="Z345" i="54" s="1"/>
  <c r="V674" i="54" a="1"/>
  <c r="V674" i="54" s="1"/>
  <c r="V675" i="54" a="1"/>
  <c r="V675" i="54" s="1"/>
  <c r="Z346" i="54" s="1"/>
  <c r="V676" i="54" a="1"/>
  <c r="V676" i="54" s="1"/>
  <c r="V677" i="54" a="1"/>
  <c r="V677" i="54" s="1"/>
  <c r="Z347" i="54" s="1"/>
  <c r="V678" i="54" a="1"/>
  <c r="V678" i="54" s="1"/>
  <c r="V679" i="54" a="1"/>
  <c r="V679" i="54" s="1"/>
  <c r="Z348" i="54" s="1"/>
  <c r="V680" i="54" a="1"/>
  <c r="V680" i="54" s="1"/>
  <c r="V681" i="54" a="1"/>
  <c r="V681" i="54" s="1"/>
  <c r="Z349" i="54" s="1"/>
  <c r="V682" i="54" a="1"/>
  <c r="V682" i="54" s="1"/>
  <c r="V683" i="54" a="1"/>
  <c r="V683" i="54" s="1"/>
  <c r="Z350" i="54" s="1"/>
  <c r="V684" i="54" a="1"/>
  <c r="V684" i="54" s="1"/>
  <c r="V685" i="54" a="1"/>
  <c r="V685" i="54" s="1"/>
  <c r="Z351" i="54" s="1"/>
  <c r="V686" i="54" a="1"/>
  <c r="V686" i="54" s="1"/>
  <c r="V687" i="54" a="1"/>
  <c r="V687" i="54" s="1"/>
  <c r="Z352" i="54" s="1"/>
  <c r="V688" i="54" a="1"/>
  <c r="V688" i="54" s="1"/>
  <c r="V689" i="54" a="1"/>
  <c r="V689" i="54" s="1"/>
  <c r="Z353" i="54" s="1"/>
  <c r="V690" i="54" a="1"/>
  <c r="V690" i="54" s="1"/>
  <c r="V691" i="54" a="1"/>
  <c r="V691" i="54" s="1"/>
  <c r="Z354" i="54" s="1"/>
  <c r="V692" i="54" a="1"/>
  <c r="V692" i="54" s="1"/>
  <c r="V693" i="54" a="1"/>
  <c r="V693" i="54" s="1"/>
  <c r="Z355" i="54" s="1"/>
  <c r="V694" i="54" a="1"/>
  <c r="V694" i="54" s="1"/>
  <c r="V695" i="54" a="1"/>
  <c r="V695" i="54" s="1"/>
  <c r="Z356" i="54" s="1"/>
  <c r="V696" i="54" a="1"/>
  <c r="V696" i="54" s="1"/>
  <c r="V697" i="54" a="1"/>
  <c r="V697" i="54" s="1"/>
  <c r="Z357" i="54" s="1"/>
  <c r="V698" i="54" a="1"/>
  <c r="V698" i="54" s="1"/>
  <c r="V699" i="54" a="1"/>
  <c r="V699" i="54" s="1"/>
  <c r="Z358" i="54" s="1"/>
  <c r="V700" i="54" a="1"/>
  <c r="V700" i="54" s="1"/>
  <c r="V701" i="54" a="1"/>
  <c r="V701" i="54" s="1"/>
  <c r="Z359" i="54" s="1"/>
  <c r="V702" i="54" a="1"/>
  <c r="V702" i="54" s="1"/>
  <c r="V703" i="54" a="1"/>
  <c r="V703" i="54" s="1"/>
  <c r="Z360" i="54" s="1"/>
  <c r="V704" i="54" a="1"/>
  <c r="V704" i="54" s="1"/>
  <c r="V705" i="54" a="1"/>
  <c r="V705" i="54" s="1"/>
  <c r="Z361" i="54" s="1"/>
  <c r="V706" i="54" a="1"/>
  <c r="V706" i="54" s="1"/>
  <c r="V707" i="54" a="1"/>
  <c r="V707" i="54" s="1"/>
  <c r="Z362" i="54" s="1"/>
  <c r="V708" i="54" a="1"/>
  <c r="V708" i="54" s="1"/>
  <c r="V709" i="54" a="1"/>
  <c r="V709" i="54" s="1"/>
  <c r="Z363" i="54" s="1"/>
  <c r="V710" i="54" a="1"/>
  <c r="V710" i="54" s="1"/>
  <c r="V711" i="54" a="1"/>
  <c r="V711" i="54" s="1"/>
  <c r="Z364" i="54" s="1"/>
  <c r="V712" i="54" a="1"/>
  <c r="V712" i="54" s="1"/>
  <c r="V713" i="54" a="1"/>
  <c r="V713" i="54" s="1"/>
  <c r="Z365" i="54" s="1"/>
  <c r="V714" i="54" a="1"/>
  <c r="V714" i="54" s="1"/>
  <c r="V715" i="54" a="1"/>
  <c r="V715" i="54" s="1"/>
  <c r="Z366" i="54" s="1"/>
  <c r="V716" i="54" a="1"/>
  <c r="V716" i="54" s="1"/>
  <c r="V717" i="54" a="1"/>
  <c r="V717" i="54" s="1"/>
  <c r="Z367" i="54" s="1"/>
  <c r="V718" i="54" a="1"/>
  <c r="V718" i="54" s="1"/>
  <c r="V719" i="54" a="1"/>
  <c r="V719" i="54" s="1"/>
  <c r="V720" i="54" a="1"/>
  <c r="V720" i="54" s="1"/>
  <c r="V721" i="54" a="1"/>
  <c r="V721" i="54" s="1"/>
  <c r="V722" i="54" a="1"/>
  <c r="V722" i="54" s="1"/>
  <c r="V723" i="54" a="1"/>
  <c r="V723" i="54" s="1"/>
  <c r="V724" i="54" a="1"/>
  <c r="V724" i="54" s="1"/>
  <c r="V725" i="54" a="1"/>
  <c r="V725" i="54" s="1"/>
  <c r="V726" i="54" a="1"/>
  <c r="V726" i="54" s="1"/>
  <c r="V727" i="54" a="1"/>
  <c r="V727" i="54" s="1"/>
  <c r="V728" i="54" a="1"/>
  <c r="V728" i="54" s="1"/>
  <c r="V729" i="54" a="1"/>
  <c r="V729" i="54" s="1"/>
  <c r="V730" i="54" a="1"/>
  <c r="V730" i="54" s="1"/>
  <c r="V731" i="54" a="1"/>
  <c r="V731" i="54" s="1"/>
  <c r="V732" i="54" a="1"/>
  <c r="V732" i="54" s="1"/>
  <c r="V733" i="54" a="1"/>
  <c r="V733" i="54" s="1"/>
  <c r="V734" i="54" a="1"/>
  <c r="V734" i="54" s="1"/>
  <c r="V735" i="54" a="1"/>
  <c r="V735" i="54" s="1"/>
  <c r="V736" i="54" a="1"/>
  <c r="V736" i="54" s="1"/>
  <c r="V737" i="54" a="1"/>
  <c r="V737" i="54" s="1"/>
  <c r="V738" i="54" a="1"/>
  <c r="V738" i="54" s="1"/>
  <c r="V739" i="54" a="1"/>
  <c r="V739" i="54" s="1"/>
  <c r="V740" i="54" a="1"/>
  <c r="V740" i="54" s="1"/>
  <c r="V741" i="54" a="1"/>
  <c r="V741" i="54" s="1"/>
  <c r="V742" i="54" a="1"/>
  <c r="V742" i="54" s="1"/>
  <c r="V743" i="54" a="1"/>
  <c r="V743" i="54" s="1"/>
  <c r="V744" i="54" a="1"/>
  <c r="V744" i="54" s="1"/>
  <c r="V745" i="54" a="1"/>
  <c r="V745" i="54" s="1"/>
  <c r="V746" i="54" a="1"/>
  <c r="V746" i="54" s="1"/>
  <c r="V747" i="54" a="1"/>
  <c r="V747" i="54" s="1"/>
  <c r="V748" i="54" a="1"/>
  <c r="V748" i="54" s="1"/>
  <c r="V749" i="54" a="1"/>
  <c r="V749" i="54" s="1"/>
  <c r="V750" i="54" a="1"/>
  <c r="V750" i="54" s="1"/>
  <c r="V751" i="54" a="1"/>
  <c r="V751" i="54" s="1"/>
  <c r="V752" i="54" a="1"/>
  <c r="V752" i="54" s="1"/>
  <c r="V753" i="54" a="1"/>
  <c r="V753" i="54" s="1"/>
  <c r="V754" i="54" a="1"/>
  <c r="V754" i="54" s="1"/>
  <c r="V755" i="54" a="1"/>
  <c r="V755" i="54" s="1"/>
  <c r="V756" i="54" a="1"/>
  <c r="V756" i="54" s="1"/>
  <c r="V757" i="54" a="1"/>
  <c r="V757" i="54" s="1"/>
  <c r="V758" i="54" a="1"/>
  <c r="V758" i="54" s="1"/>
  <c r="V759" i="54" a="1"/>
  <c r="V759" i="54" s="1"/>
  <c r="V760" i="54" a="1"/>
  <c r="V760" i="54" s="1"/>
  <c r="V761" i="54" a="1"/>
  <c r="V761" i="54" s="1"/>
  <c r="V762" i="54" a="1"/>
  <c r="V762" i="54" s="1"/>
  <c r="V763" i="54" a="1"/>
  <c r="V763" i="54" s="1"/>
  <c r="V764" i="54" a="1"/>
  <c r="V764" i="54" s="1"/>
  <c r="V765" i="54" a="1"/>
  <c r="V765" i="54" s="1"/>
  <c r="V766" i="54" a="1"/>
  <c r="V766" i="54" s="1"/>
  <c r="V767" i="54" a="1"/>
  <c r="V767" i="54" s="1"/>
  <c r="V768" i="54" a="1"/>
  <c r="V768" i="54" s="1"/>
  <c r="V769" i="54" a="1"/>
  <c r="V769" i="54" s="1"/>
  <c r="V770" i="54" a="1"/>
  <c r="V770" i="54" s="1"/>
  <c r="V771" i="54" a="1"/>
  <c r="V771" i="54" s="1"/>
  <c r="V772" i="54" a="1"/>
  <c r="V772" i="54" s="1"/>
  <c r="V773" i="54" a="1"/>
  <c r="V773" i="54" s="1"/>
  <c r="V774" i="54" a="1"/>
  <c r="V774" i="54" s="1"/>
  <c r="V775" i="54" a="1"/>
  <c r="V775" i="54" s="1"/>
  <c r="V776" i="54" a="1"/>
  <c r="V776" i="54" s="1"/>
  <c r="V777" i="54" a="1"/>
  <c r="V777" i="54" s="1"/>
  <c r="V778" i="54" a="1"/>
  <c r="V778" i="54" s="1"/>
  <c r="V779" i="54" a="1"/>
  <c r="V779" i="54" s="1"/>
  <c r="V780" i="54" a="1"/>
  <c r="V780" i="54" s="1"/>
  <c r="V781" i="54" a="1"/>
  <c r="V781" i="54" s="1"/>
  <c r="V782" i="54" a="1"/>
  <c r="V782" i="54" s="1"/>
  <c r="V783" i="54" a="1"/>
  <c r="V783" i="54" s="1"/>
  <c r="V784" i="54" a="1"/>
  <c r="V784" i="54" s="1"/>
  <c r="V785" i="54" a="1"/>
  <c r="V785" i="54" s="1"/>
  <c r="V786" i="54" a="1"/>
  <c r="V786" i="54" s="1"/>
  <c r="V787" i="54" a="1"/>
  <c r="V787" i="54" s="1"/>
  <c r="V788" i="54" a="1"/>
  <c r="V788" i="54" s="1"/>
  <c r="V789" i="54" a="1"/>
  <c r="V789" i="54" s="1"/>
  <c r="V790" i="54" a="1"/>
  <c r="V790" i="54" s="1"/>
  <c r="V791" i="54" a="1"/>
  <c r="V791" i="54" s="1"/>
  <c r="V792" i="54" a="1"/>
  <c r="V792" i="54" s="1"/>
  <c r="V793" i="54" a="1"/>
  <c r="V793" i="54" s="1"/>
  <c r="V794" i="54" a="1"/>
  <c r="V794" i="54" s="1"/>
  <c r="V795" i="54" a="1"/>
  <c r="V795" i="54" s="1"/>
  <c r="V796" i="54" a="1"/>
  <c r="V796" i="54" s="1"/>
  <c r="V797" i="54" a="1"/>
  <c r="V797" i="54" s="1"/>
  <c r="V798" i="54" a="1"/>
  <c r="V798" i="54" s="1"/>
  <c r="V799" i="54" a="1"/>
  <c r="V799" i="54" s="1"/>
  <c r="V800" i="54" a="1"/>
  <c r="V800" i="54" s="1"/>
  <c r="V801" i="54" a="1"/>
  <c r="V801" i="54" s="1"/>
  <c r="V802" i="54" a="1"/>
  <c r="V802" i="54" s="1"/>
  <c r="V803" i="54" a="1"/>
  <c r="V803" i="54" s="1"/>
  <c r="V804" i="54" a="1"/>
  <c r="V804" i="54" s="1"/>
  <c r="V805" i="54" a="1"/>
  <c r="V805" i="54" s="1"/>
  <c r="V806" i="54" a="1"/>
  <c r="V806" i="54" s="1"/>
  <c r="V807" i="54" a="1"/>
  <c r="V807" i="54" s="1"/>
  <c r="V808" i="54" a="1"/>
  <c r="V808" i="54" s="1"/>
  <c r="V809" i="54" a="1"/>
  <c r="V809" i="54" s="1"/>
  <c r="V810" i="54" a="1"/>
  <c r="V810" i="54" s="1"/>
  <c r="V811" i="54" a="1"/>
  <c r="V811" i="54" s="1"/>
  <c r="V812" i="54" a="1"/>
  <c r="V812" i="54" s="1"/>
  <c r="V813" i="54" a="1"/>
  <c r="V813" i="54" s="1"/>
  <c r="V814" i="54" a="1"/>
  <c r="V814" i="54" s="1"/>
  <c r="V815" i="54" a="1"/>
  <c r="V815" i="54" s="1"/>
  <c r="V816" i="54" a="1"/>
  <c r="V816" i="54" s="1"/>
  <c r="V817" i="54" a="1"/>
  <c r="V817" i="54" s="1"/>
  <c r="V818" i="54" a="1"/>
  <c r="V818" i="54" s="1"/>
  <c r="V819" i="54" a="1"/>
  <c r="V819" i="54" s="1"/>
  <c r="V820" i="54" a="1"/>
  <c r="V820" i="54" s="1"/>
  <c r="V821" i="54" a="1"/>
  <c r="V821" i="54" s="1"/>
  <c r="V822" i="54" a="1"/>
  <c r="V822" i="54" s="1"/>
  <c r="V823" i="54" a="1"/>
  <c r="V823" i="54" s="1"/>
  <c r="V824" i="54" a="1"/>
  <c r="V824" i="54" s="1"/>
  <c r="V825" i="54" a="1"/>
  <c r="V825" i="54" s="1"/>
  <c r="V826" i="54" a="1"/>
  <c r="V826" i="54" s="1"/>
  <c r="V827" i="54" a="1"/>
  <c r="V827" i="54" s="1"/>
  <c r="V828" i="54" a="1"/>
  <c r="V828" i="54" s="1"/>
  <c r="V829" i="54" a="1"/>
  <c r="V829" i="54" s="1"/>
  <c r="V830" i="54" a="1"/>
  <c r="V830" i="54" s="1"/>
  <c r="V831" i="54" a="1"/>
  <c r="V831" i="54" s="1"/>
  <c r="V832" i="54" a="1"/>
  <c r="V832" i="54" s="1"/>
  <c r="V833" i="54" a="1"/>
  <c r="V833" i="54" s="1"/>
  <c r="V834" i="54" a="1"/>
  <c r="V834" i="54" s="1"/>
  <c r="V835" i="54" a="1"/>
  <c r="V835" i="54" s="1"/>
  <c r="V836" i="54" a="1"/>
  <c r="V836" i="54" s="1"/>
  <c r="V837" i="54" a="1"/>
  <c r="V837" i="54" s="1"/>
  <c r="V838" i="54" a="1"/>
  <c r="V838" i="54" s="1"/>
  <c r="V839" i="54" a="1"/>
  <c r="V839" i="54" s="1"/>
  <c r="V840" i="54" a="1"/>
  <c r="V840" i="54" s="1"/>
  <c r="V841" i="54" a="1"/>
  <c r="V841" i="54" s="1"/>
  <c r="V842" i="54" a="1"/>
  <c r="V842" i="54" s="1"/>
  <c r="V843" i="54" a="1"/>
  <c r="V843" i="54" s="1"/>
  <c r="V844" i="54" a="1"/>
  <c r="V844" i="54" s="1"/>
  <c r="V845" i="54" a="1"/>
  <c r="V845" i="54" s="1"/>
  <c r="V846" i="54" a="1"/>
  <c r="V846" i="54" s="1"/>
  <c r="V847" i="54" a="1"/>
  <c r="V847" i="54" s="1"/>
  <c r="V848" i="54" a="1"/>
  <c r="V848" i="54" s="1"/>
  <c r="V849" i="54" a="1"/>
  <c r="V849" i="54" s="1"/>
  <c r="V850" i="54" a="1"/>
  <c r="V850" i="54" s="1"/>
  <c r="V851" i="54" a="1"/>
  <c r="V851" i="54" s="1"/>
  <c r="V852" i="54" a="1"/>
  <c r="V852" i="54" s="1"/>
  <c r="V853" i="54" a="1"/>
  <c r="V853" i="54" s="1"/>
  <c r="V854" i="54" a="1"/>
  <c r="V854" i="54" s="1"/>
  <c r="V855" i="54" a="1"/>
  <c r="V855" i="54" s="1"/>
  <c r="V856" i="54" a="1"/>
  <c r="V856" i="54" s="1"/>
  <c r="V857" i="54" a="1"/>
  <c r="V857" i="54" s="1"/>
  <c r="V858" i="54" a="1"/>
  <c r="V858" i="54" s="1"/>
  <c r="V859" i="54" a="1"/>
  <c r="V859" i="54" s="1"/>
  <c r="V860" i="54" a="1"/>
  <c r="V860" i="54" s="1"/>
  <c r="V861" i="54" a="1"/>
  <c r="V861" i="54" s="1"/>
  <c r="V862" i="54" a="1"/>
  <c r="V862" i="54" s="1"/>
  <c r="V863" i="54" a="1"/>
  <c r="V863" i="54" s="1"/>
  <c r="V864" i="54" a="1"/>
  <c r="V864" i="54" s="1"/>
  <c r="V865" i="54" a="1"/>
  <c r="V865" i="54" s="1"/>
  <c r="V866" i="54" a="1"/>
  <c r="V866" i="54" s="1"/>
  <c r="V867" i="54" a="1"/>
  <c r="V867" i="54" s="1"/>
  <c r="V868" i="54" a="1"/>
  <c r="V868" i="54" s="1"/>
  <c r="V869" i="54" a="1"/>
  <c r="V869" i="54" s="1"/>
  <c r="V870" i="54" a="1"/>
  <c r="V870" i="54" s="1"/>
  <c r="V871" i="54" a="1"/>
  <c r="V871" i="54" s="1"/>
  <c r="V872" i="54" a="1"/>
  <c r="V872" i="54" s="1"/>
  <c r="V873" i="54" a="1"/>
  <c r="V873" i="54" s="1"/>
  <c r="V874" i="54" a="1"/>
  <c r="V874" i="54" s="1"/>
  <c r="V875" i="54" a="1"/>
  <c r="V875" i="54" s="1"/>
  <c r="V876" i="54" a="1"/>
  <c r="V876" i="54" s="1"/>
  <c r="V877" i="54" a="1"/>
  <c r="V877" i="54" s="1"/>
  <c r="V878" i="54" a="1"/>
  <c r="V878" i="54" s="1"/>
  <c r="V879" i="54" a="1"/>
  <c r="V879" i="54" s="1"/>
  <c r="V880" i="54" a="1"/>
  <c r="V880" i="54" s="1"/>
  <c r="V881" i="54" a="1"/>
  <c r="V881" i="54" s="1"/>
  <c r="V882" i="54" a="1"/>
  <c r="V882" i="54" s="1"/>
  <c r="V883" i="54" a="1"/>
  <c r="V883" i="54" s="1"/>
  <c r="V884" i="54" a="1"/>
  <c r="V884" i="54" s="1"/>
  <c r="V885" i="54" a="1"/>
  <c r="V885" i="54" s="1"/>
  <c r="V886" i="54" a="1"/>
  <c r="V886" i="54" s="1"/>
  <c r="V887" i="54" a="1"/>
  <c r="V887" i="54" s="1"/>
  <c r="V888" i="54" a="1"/>
  <c r="V888" i="54" s="1"/>
  <c r="V889" i="54" a="1"/>
  <c r="V889" i="54" s="1"/>
  <c r="V890" i="54" a="1"/>
  <c r="V890" i="54" s="1"/>
  <c r="V891" i="54" a="1"/>
  <c r="V891" i="54" s="1"/>
  <c r="V892" i="54" a="1"/>
  <c r="V892" i="54" s="1"/>
  <c r="V893" i="54" a="1"/>
  <c r="V893" i="54" s="1"/>
  <c r="V894" i="54" a="1"/>
  <c r="V894" i="54" s="1"/>
  <c r="V895" i="54" a="1"/>
  <c r="V895" i="54" s="1"/>
  <c r="V896" i="54" a="1"/>
  <c r="V896" i="54" s="1"/>
  <c r="V897" i="54" a="1"/>
  <c r="V897" i="54" s="1"/>
  <c r="V898" i="54" a="1"/>
  <c r="V898" i="54" s="1"/>
  <c r="V899" i="54" a="1"/>
  <c r="V899" i="54" s="1"/>
  <c r="V900" i="54" a="1"/>
  <c r="V900" i="54"/>
  <c r="V901" i="54" a="1"/>
  <c r="V901" i="54" s="1"/>
  <c r="V902" i="54" a="1"/>
  <c r="V902" i="54" s="1"/>
  <c r="V903" i="54" a="1"/>
  <c r="V903" i="54" s="1"/>
  <c r="V904" i="54" a="1"/>
  <c r="V904" i="54" s="1"/>
  <c r="V905" i="54" a="1"/>
  <c r="V905" i="54" s="1"/>
  <c r="V906" i="54" a="1"/>
  <c r="V906" i="54" s="1"/>
  <c r="V907" i="54" a="1"/>
  <c r="V907" i="54" s="1"/>
  <c r="V908" i="54" a="1"/>
  <c r="V908" i="54" s="1"/>
  <c r="V909" i="54" a="1"/>
  <c r="V909" i="54" s="1"/>
  <c r="V910" i="54" a="1"/>
  <c r="V910" i="54" s="1"/>
  <c r="V911" i="54" a="1"/>
  <c r="V911" i="54" s="1"/>
  <c r="V912" i="54" a="1"/>
  <c r="V912" i="54" s="1"/>
  <c r="V913" i="54" a="1"/>
  <c r="V913" i="54" s="1"/>
  <c r="V914" i="54" a="1"/>
  <c r="V914" i="54" s="1"/>
  <c r="V915" i="54" a="1"/>
  <c r="V915" i="54" s="1"/>
  <c r="V916" i="54" a="1"/>
  <c r="V916" i="54" s="1"/>
  <c r="V917" i="54" a="1"/>
  <c r="V917" i="54" s="1"/>
  <c r="V918" i="54" a="1"/>
  <c r="V918" i="54" s="1"/>
  <c r="V919" i="54" a="1"/>
  <c r="V919" i="54" s="1"/>
  <c r="V920" i="54" a="1"/>
  <c r="V920" i="54" s="1"/>
  <c r="V921" i="54" a="1"/>
  <c r="V921" i="54" s="1"/>
  <c r="V922" i="54" a="1"/>
  <c r="V922" i="54" s="1"/>
  <c r="V923" i="54" a="1"/>
  <c r="V923" i="54" s="1"/>
  <c r="V924" i="54" a="1"/>
  <c r="V924" i="54" s="1"/>
  <c r="V925" i="54" a="1"/>
  <c r="V925" i="54" s="1"/>
  <c r="V926" i="54" a="1"/>
  <c r="V926" i="54" s="1"/>
  <c r="V927" i="54" a="1"/>
  <c r="V927" i="54" s="1"/>
  <c r="V928" i="54" a="1"/>
  <c r="V928" i="54" s="1"/>
  <c r="V929" i="54" a="1"/>
  <c r="V929" i="54" s="1"/>
  <c r="V930" i="54" a="1"/>
  <c r="V930" i="54" s="1"/>
  <c r="V931" i="54" a="1"/>
  <c r="V931" i="54" s="1"/>
  <c r="V932" i="54" a="1"/>
  <c r="V932" i="54" s="1"/>
  <c r="V933" i="54" a="1"/>
  <c r="V933" i="54" s="1"/>
  <c r="V934" i="54" a="1"/>
  <c r="V934" i="54" s="1"/>
  <c r="V935" i="54" a="1"/>
  <c r="V935" i="54" s="1"/>
  <c r="V936" i="54" a="1"/>
  <c r="V936" i="54" s="1"/>
  <c r="V937" i="54" a="1"/>
  <c r="V937" i="54" s="1"/>
  <c r="V938" i="54" a="1"/>
  <c r="V938" i="54" s="1"/>
  <c r="V939" i="54" a="1"/>
  <c r="V939" i="54" s="1"/>
  <c r="V940" i="54" a="1"/>
  <c r="V940" i="54" s="1"/>
  <c r="V941" i="54" a="1"/>
  <c r="V941" i="54" s="1"/>
  <c r="V942" i="54" a="1"/>
  <c r="V942" i="54" s="1"/>
  <c r="V943" i="54" a="1"/>
  <c r="V943" i="54" s="1"/>
  <c r="V944" i="54" a="1"/>
  <c r="V944" i="54" s="1"/>
  <c r="V945" i="54" a="1"/>
  <c r="V945" i="54" s="1"/>
  <c r="V946" i="54" a="1"/>
  <c r="V946" i="54" s="1"/>
  <c r="V947" i="54" a="1"/>
  <c r="V947" i="54" s="1"/>
  <c r="V948" i="54" a="1"/>
  <c r="V948" i="54" s="1"/>
  <c r="V949" i="54" a="1"/>
  <c r="V949" i="54" s="1"/>
  <c r="V950" i="54" a="1"/>
  <c r="V950" i="54" s="1"/>
  <c r="V951" i="54" a="1"/>
  <c r="V951" i="54" s="1"/>
  <c r="V952" i="54" a="1"/>
  <c r="V952" i="54" s="1"/>
  <c r="V953" i="54" a="1"/>
  <c r="V953" i="54" s="1"/>
  <c r="V954" i="54" a="1"/>
  <c r="V954" i="54" s="1"/>
  <c r="V955" i="54" a="1"/>
  <c r="V955" i="54" s="1"/>
  <c r="V956" i="54" a="1"/>
  <c r="V956" i="54" s="1"/>
  <c r="V957" i="54" a="1"/>
  <c r="V957" i="54" s="1"/>
  <c r="V958" i="54" a="1"/>
  <c r="V958" i="54" s="1"/>
  <c r="V959" i="54" a="1"/>
  <c r="V959" i="54" s="1"/>
  <c r="V960" i="54" a="1"/>
  <c r="V960" i="54" s="1"/>
  <c r="V961" i="54" a="1"/>
  <c r="V961" i="54" s="1"/>
  <c r="V962" i="54" a="1"/>
  <c r="V962" i="54" s="1"/>
  <c r="V963" i="54" a="1"/>
  <c r="V963" i="54" s="1"/>
  <c r="V964" i="54" a="1"/>
  <c r="V964" i="54" s="1"/>
  <c r="V965" i="54" a="1"/>
  <c r="V965" i="54" s="1"/>
  <c r="V966" i="54" a="1"/>
  <c r="V966" i="54" s="1"/>
  <c r="V967" i="54" a="1"/>
  <c r="V967" i="54" s="1"/>
  <c r="V968" i="54" a="1"/>
  <c r="V968" i="54" s="1"/>
  <c r="V969" i="54" a="1"/>
  <c r="V969" i="54" s="1"/>
  <c r="V970" i="54" a="1"/>
  <c r="V970" i="54" s="1"/>
  <c r="V971" i="54" a="1"/>
  <c r="V971" i="54" s="1"/>
  <c r="V972" i="54" a="1"/>
  <c r="V972" i="54" s="1"/>
  <c r="V973" i="54" a="1"/>
  <c r="V973" i="54" s="1"/>
  <c r="V974" i="54" a="1"/>
  <c r="V974" i="54" s="1"/>
  <c r="V975" i="54" a="1"/>
  <c r="V975" i="54" s="1"/>
  <c r="V976" i="54" a="1"/>
  <c r="V976" i="54" s="1"/>
  <c r="V977" i="54" a="1"/>
  <c r="V977" i="54" s="1"/>
  <c r="V978" i="54" a="1"/>
  <c r="V978" i="54" s="1"/>
  <c r="V979" i="54" a="1"/>
  <c r="V979" i="54" s="1"/>
  <c r="V980" i="54" a="1"/>
  <c r="V980" i="54" s="1"/>
  <c r="V981" i="54" a="1"/>
  <c r="V981" i="54" s="1"/>
  <c r="V982" i="54" a="1"/>
  <c r="V982" i="54" s="1"/>
  <c r="V983" i="54" a="1"/>
  <c r="V983" i="54" s="1"/>
  <c r="V984" i="54" a="1"/>
  <c r="V984" i="54" s="1"/>
  <c r="V985" i="54" a="1"/>
  <c r="V985" i="54" s="1"/>
  <c r="V986" i="54" a="1"/>
  <c r="V986" i="54" s="1"/>
  <c r="V987" i="54" a="1"/>
  <c r="V987" i="54" s="1"/>
  <c r="V988" i="54" a="1"/>
  <c r="V988" i="54" s="1"/>
  <c r="V989" i="54" a="1"/>
  <c r="V989" i="54" s="1"/>
  <c r="V990" i="54" a="1"/>
  <c r="V990" i="54" s="1"/>
  <c r="V991" i="54" a="1"/>
  <c r="V991" i="54" s="1"/>
  <c r="V992" i="54" a="1"/>
  <c r="V992" i="54" s="1"/>
  <c r="V993" i="54" a="1"/>
  <c r="V993" i="54" s="1"/>
  <c r="V994" i="54" a="1"/>
  <c r="V994" i="54" s="1"/>
  <c r="V995" i="54" a="1"/>
  <c r="V995" i="54" s="1"/>
  <c r="V996" i="54" a="1"/>
  <c r="V996" i="54" s="1"/>
  <c r="V997" i="54" a="1"/>
  <c r="V997" i="54" s="1"/>
  <c r="V998" i="54" a="1"/>
  <c r="V998" i="54" s="1"/>
  <c r="V999" i="54" a="1"/>
  <c r="V999" i="54" s="1"/>
  <c r="V1000" i="54" a="1"/>
  <c r="V1000" i="54" s="1"/>
  <c r="V1001" i="54" a="1"/>
  <c r="V1001" i="54" s="1"/>
  <c r="V1002" i="54" a="1"/>
  <c r="V1002" i="54" s="1"/>
  <c r="V1003" i="54" a="1"/>
  <c r="V1003" i="54" s="1"/>
  <c r="V1004" i="54" a="1"/>
  <c r="V1004" i="54" s="1"/>
  <c r="V1005" i="54" a="1"/>
  <c r="V1005" i="54" s="1"/>
  <c r="V1006" i="54" a="1"/>
  <c r="V1006" i="54" s="1"/>
  <c r="V1007" i="54" a="1"/>
  <c r="V1007" i="54" s="1"/>
  <c r="V1008" i="54" a="1"/>
  <c r="V1008" i="54" s="1"/>
  <c r="V1009" i="54" a="1"/>
  <c r="V1009" i="54" s="1"/>
  <c r="V1010" i="54" a="1"/>
  <c r="V1010" i="54" s="1"/>
  <c r="V1011" i="54" a="1"/>
  <c r="V1011" i="54" s="1"/>
  <c r="V1012" i="54" a="1"/>
  <c r="V1012" i="54" s="1"/>
  <c r="V1013" i="54" a="1"/>
  <c r="V1013" i="54" s="1"/>
  <c r="V1014" i="54" a="1"/>
  <c r="V1014" i="54" s="1"/>
  <c r="V1015" i="54" a="1"/>
  <c r="V1015" i="54" s="1"/>
  <c r="V1016" i="54" a="1"/>
  <c r="V1016" i="54" s="1"/>
  <c r="V1017" i="54" a="1"/>
  <c r="V1017" i="54" s="1"/>
  <c r="V1018" i="54" a="1"/>
  <c r="V1018" i="54" s="1"/>
  <c r="V1019" i="54" a="1"/>
  <c r="V1019" i="54" s="1"/>
  <c r="V1020" i="54" a="1"/>
  <c r="V1020" i="54" s="1"/>
  <c r="V1021" i="54" a="1"/>
  <c r="V1021" i="54" s="1"/>
  <c r="V1022" i="54" a="1"/>
  <c r="V1022" i="54" s="1"/>
  <c r="V1023" i="54" a="1"/>
  <c r="V1023" i="54" s="1"/>
  <c r="V1024" i="54" a="1"/>
  <c r="V1024" i="54" s="1"/>
  <c r="V1025" i="54" a="1"/>
  <c r="V1025" i="54" s="1"/>
  <c r="V1026" i="54" a="1"/>
  <c r="V1026" i="54" s="1"/>
  <c r="V1027" i="54" a="1"/>
  <c r="V1027" i="54" s="1"/>
  <c r="V1028" i="54" a="1"/>
  <c r="V1028" i="54" s="1"/>
  <c r="V1029" i="54" a="1"/>
  <c r="V1029" i="54" s="1"/>
  <c r="V1030" i="54" a="1"/>
  <c r="V1030" i="54" s="1"/>
  <c r="V1031" i="54" a="1"/>
  <c r="V1031" i="54" s="1"/>
  <c r="V1032" i="54" a="1"/>
  <c r="V1032" i="54" s="1"/>
  <c r="V1033" i="54" a="1"/>
  <c r="V1033" i="54" s="1"/>
  <c r="V1034" i="54" a="1"/>
  <c r="V1034" i="54" s="1"/>
  <c r="V1035" i="54" a="1"/>
  <c r="V1035" i="54" s="1"/>
  <c r="V1036" i="54" a="1"/>
  <c r="V1036" i="54" s="1"/>
  <c r="V1037" i="54" a="1"/>
  <c r="V1037" i="54" s="1"/>
  <c r="V1038" i="54" a="1"/>
  <c r="V1038" i="54" s="1"/>
  <c r="V1039" i="54" a="1"/>
  <c r="V1039" i="54" s="1"/>
  <c r="V1040" i="54" a="1"/>
  <c r="V1040" i="54" s="1"/>
  <c r="V1041" i="54" a="1"/>
  <c r="V1041" i="54" s="1"/>
  <c r="V1042" i="54" a="1"/>
  <c r="V1042" i="54" s="1"/>
  <c r="V1043" i="54" a="1"/>
  <c r="V1043" i="54" s="1"/>
  <c r="V1044" i="54" a="1"/>
  <c r="V1044" i="54" s="1"/>
  <c r="V1045" i="54" a="1"/>
  <c r="V1045" i="54" s="1"/>
  <c r="V1046" i="54" a="1"/>
  <c r="V1046" i="54" s="1"/>
  <c r="V1047" i="54" a="1"/>
  <c r="V1047" i="54" s="1"/>
  <c r="V1048" i="54" a="1"/>
  <c r="V1048" i="54" s="1"/>
  <c r="V1049" i="54" a="1"/>
  <c r="V1049" i="54" s="1"/>
  <c r="V1050" i="54" a="1"/>
  <c r="V1050" i="54" s="1"/>
  <c r="V1051" i="54" a="1"/>
  <c r="V1051" i="54" s="1"/>
  <c r="V1052" i="54" a="1"/>
  <c r="V1052" i="54" s="1"/>
  <c r="V1053" i="54" a="1"/>
  <c r="V1053" i="54" s="1"/>
  <c r="V1054" i="54" a="1"/>
  <c r="V1054" i="54" s="1"/>
  <c r="V1055" i="54" a="1"/>
  <c r="V1055" i="54" s="1"/>
  <c r="V1056" i="54" a="1"/>
  <c r="V1056" i="54" s="1"/>
  <c r="V1057" i="54" a="1"/>
  <c r="V1057" i="54" s="1"/>
  <c r="V1058" i="54" a="1"/>
  <c r="V1058" i="54" s="1"/>
  <c r="V1059" i="54" a="1"/>
  <c r="V1059" i="54" s="1"/>
  <c r="V1060" i="54" a="1"/>
  <c r="V1060" i="54" s="1"/>
  <c r="V1061" i="54" a="1"/>
  <c r="V1061" i="54" s="1"/>
  <c r="V1062" i="54" a="1"/>
  <c r="V1062" i="54" s="1"/>
  <c r="V1063" i="54" a="1"/>
  <c r="V1063" i="54" s="1"/>
  <c r="V1064" i="54" a="1"/>
  <c r="V1064" i="54" s="1"/>
  <c r="V1065" i="54" a="1"/>
  <c r="V1065" i="54" s="1"/>
  <c r="V1066" i="54" a="1"/>
  <c r="V1066" i="54" s="1"/>
  <c r="V1067" i="54" a="1"/>
  <c r="V1067" i="54" s="1"/>
  <c r="V1068" i="54" a="1"/>
  <c r="V1068" i="54" s="1"/>
  <c r="V1069" i="54" a="1"/>
  <c r="V1069" i="54" s="1"/>
  <c r="V1070" i="54" a="1"/>
  <c r="V1070" i="54" s="1"/>
  <c r="V1071" i="54" a="1"/>
  <c r="V1071" i="54" s="1"/>
  <c r="V1072" i="54" a="1"/>
  <c r="V1072" i="54" s="1"/>
  <c r="V1073" i="54" a="1"/>
  <c r="V1073" i="54" s="1"/>
  <c r="V1074" i="54" a="1"/>
  <c r="V1074" i="54" s="1"/>
  <c r="V1075" i="54" a="1"/>
  <c r="V1075" i="54" s="1"/>
  <c r="V1076" i="54" a="1"/>
  <c r="V1076" i="54" s="1"/>
  <c r="V1077" i="54" a="1"/>
  <c r="V1077" i="54" s="1"/>
  <c r="V1078" i="54" a="1"/>
  <c r="V1078" i="54" s="1"/>
  <c r="V1079" i="54" a="1"/>
  <c r="V1079" i="54" s="1"/>
  <c r="V1080" i="54" a="1"/>
  <c r="V1080" i="54" s="1"/>
  <c r="V1081" i="54" a="1"/>
  <c r="V1081" i="54" s="1"/>
  <c r="V1082" i="54" a="1"/>
  <c r="V1082" i="54" s="1"/>
  <c r="V1083" i="54" a="1"/>
  <c r="V1083" i="54" s="1"/>
  <c r="V1084" i="54" a="1"/>
  <c r="V1084" i="54" s="1"/>
  <c r="V1085" i="54" a="1"/>
  <c r="V1085" i="54" s="1"/>
  <c r="V1086" i="54" a="1"/>
  <c r="V1086" i="54" s="1"/>
  <c r="V1087" i="54" a="1"/>
  <c r="V1087" i="54" s="1"/>
  <c r="V1088" i="54" a="1"/>
  <c r="V1088" i="54" s="1"/>
  <c r="V1089" i="54" a="1"/>
  <c r="V1089" i="54" s="1"/>
  <c r="V1090" i="54" a="1"/>
  <c r="V1090" i="54" s="1"/>
  <c r="V1091" i="54" a="1"/>
  <c r="V1091" i="54" s="1"/>
  <c r="V1092" i="54" a="1"/>
  <c r="V1092" i="54" s="1"/>
  <c r="V1093" i="54" a="1"/>
  <c r="V1093" i="54" s="1"/>
  <c r="V1094" i="54" a="1"/>
  <c r="V1094" i="54" s="1"/>
  <c r="V1095" i="54" a="1"/>
  <c r="V1095" i="54" s="1"/>
  <c r="V1096" i="54" a="1"/>
  <c r="V1096" i="54" s="1"/>
  <c r="V1097" i="54" a="1"/>
  <c r="V1097" i="54" s="1"/>
  <c r="V1098" i="54" a="1"/>
  <c r="V1098" i="54" s="1"/>
  <c r="V1099" i="54" a="1"/>
  <c r="V1099" i="54" s="1"/>
  <c r="V1100" i="54" a="1"/>
  <c r="V1100" i="54" s="1"/>
  <c r="V1101" i="54" a="1"/>
  <c r="V1101" i="54" s="1"/>
  <c r="V1102" i="54" a="1"/>
  <c r="V1102" i="54" s="1"/>
  <c r="V1103" i="54" a="1"/>
  <c r="V1103" i="54" s="1"/>
  <c r="V1104" i="54" a="1"/>
  <c r="V1104" i="54" s="1"/>
  <c r="V1105" i="54" a="1"/>
  <c r="V1105" i="54" s="1"/>
  <c r="V1106" i="54" a="1"/>
  <c r="V1106" i="54" s="1"/>
  <c r="V1107" i="54" a="1"/>
  <c r="V1107" i="54" s="1"/>
  <c r="V1108" i="54" a="1"/>
  <c r="V1108" i="54" s="1"/>
  <c r="V1109" i="54" a="1"/>
  <c r="V1109" i="54" s="1"/>
  <c r="V1110" i="54" a="1"/>
  <c r="V1110" i="54" s="1"/>
  <c r="V1111" i="54" a="1"/>
  <c r="V1111" i="54" s="1"/>
  <c r="V1112" i="54" a="1"/>
  <c r="V1112" i="54" s="1"/>
  <c r="V1113" i="54" a="1"/>
  <c r="V1113" i="54" s="1"/>
  <c r="V1114" i="54" a="1"/>
  <c r="V1114" i="54" s="1"/>
  <c r="V1115" i="54" a="1"/>
  <c r="V1115" i="54" s="1"/>
  <c r="V1116" i="54" a="1"/>
  <c r="V1116" i="54" s="1"/>
  <c r="V1117" i="54" a="1"/>
  <c r="V1117" i="54" s="1"/>
  <c r="V1118" i="54" a="1"/>
  <c r="V1118" i="54" s="1"/>
  <c r="V1119" i="54" a="1"/>
  <c r="V1119" i="54" s="1"/>
  <c r="V1120" i="54" a="1"/>
  <c r="V1120" i="54" s="1"/>
  <c r="V1121" i="54" a="1"/>
  <c r="V1121" i="54" s="1"/>
  <c r="V1122" i="54" a="1"/>
  <c r="V1122" i="54" s="1"/>
  <c r="V1123" i="54" a="1"/>
  <c r="V1123" i="54" s="1"/>
  <c r="V1124" i="54" a="1"/>
  <c r="V1124" i="54" s="1"/>
  <c r="V1125" i="54" a="1"/>
  <c r="V1125" i="54" s="1"/>
  <c r="V1126" i="54" a="1"/>
  <c r="V1126" i="54" s="1"/>
  <c r="V1127" i="54" a="1"/>
  <c r="V1127" i="54" s="1"/>
  <c r="V1128" i="54" a="1"/>
  <c r="V1128" i="54" s="1"/>
  <c r="V1129" i="54" a="1"/>
  <c r="V1129" i="54" s="1"/>
  <c r="V1130" i="54" a="1"/>
  <c r="V1130" i="54" s="1"/>
  <c r="V1131" i="54" a="1"/>
  <c r="V1131" i="54" s="1"/>
  <c r="V1132" i="54" a="1"/>
  <c r="V1132" i="54" s="1"/>
  <c r="V1133" i="54" a="1"/>
  <c r="V1133" i="54" s="1"/>
  <c r="V1134" i="54" a="1"/>
  <c r="V1134" i="54" s="1"/>
  <c r="V1135" i="54" a="1"/>
  <c r="V1135" i="54" s="1"/>
  <c r="V1136" i="54" a="1"/>
  <c r="V1136" i="54" s="1"/>
  <c r="V1137" i="54" a="1"/>
  <c r="V1137" i="54" s="1"/>
  <c r="V1138" i="54" a="1"/>
  <c r="V1138" i="54" s="1"/>
  <c r="V1139" i="54" a="1"/>
  <c r="V1139" i="54" s="1"/>
  <c r="V1140" i="54" a="1"/>
  <c r="V1140" i="54" s="1"/>
  <c r="V1141" i="54" a="1"/>
  <c r="V1141" i="54" s="1"/>
  <c r="V1142" i="54" a="1"/>
  <c r="V1142" i="54" s="1"/>
  <c r="V1143" i="54" a="1"/>
  <c r="V1143" i="54" s="1"/>
  <c r="V1144" i="54" a="1"/>
  <c r="V1144" i="54" s="1"/>
  <c r="V1145" i="54" a="1"/>
  <c r="V1145" i="54" s="1"/>
  <c r="V1146" i="54" a="1"/>
  <c r="V1146" i="54" s="1"/>
  <c r="V1147" i="54" a="1"/>
  <c r="V1147" i="54" s="1"/>
  <c r="V1148" i="54" a="1"/>
  <c r="V1148" i="54" s="1"/>
  <c r="V1149" i="54" a="1"/>
  <c r="V1149" i="54" s="1"/>
  <c r="V1150" i="54" a="1"/>
  <c r="V1150" i="54" s="1"/>
  <c r="V1151" i="54" a="1"/>
  <c r="V1151" i="54" s="1"/>
  <c r="V1152" i="54" a="1"/>
  <c r="V1152" i="54" s="1"/>
  <c r="V1153" i="54" a="1"/>
  <c r="V1153" i="54" s="1"/>
  <c r="V1154" i="54" a="1"/>
  <c r="V1154" i="54" s="1"/>
  <c r="V1155" i="54" a="1"/>
  <c r="V1155" i="54" s="1"/>
  <c r="V1156" i="54" a="1"/>
  <c r="V1156" i="54" s="1"/>
  <c r="V1157" i="54" a="1"/>
  <c r="V1157" i="54" s="1"/>
  <c r="V1158" i="54" a="1"/>
  <c r="V1158" i="54" s="1"/>
  <c r="V1159" i="54" a="1"/>
  <c r="V1159" i="54" s="1"/>
  <c r="V1160" i="54" a="1"/>
  <c r="V1160" i="54" s="1"/>
  <c r="V1161" i="54" a="1"/>
  <c r="V1161" i="54" s="1"/>
  <c r="V1162" i="54" a="1"/>
  <c r="V1162" i="54" s="1"/>
  <c r="V1163" i="54" a="1"/>
  <c r="V1163" i="54" s="1"/>
  <c r="V1164" i="54" a="1"/>
  <c r="V1164" i="54" s="1"/>
  <c r="V1165" i="54" a="1"/>
  <c r="V1165" i="54" s="1"/>
  <c r="V1166" i="54" a="1"/>
  <c r="V1166" i="54" s="1"/>
  <c r="V1167" i="54" a="1"/>
  <c r="V1167" i="54" s="1"/>
  <c r="V1168" i="54" a="1"/>
  <c r="V1168" i="54" s="1"/>
  <c r="V1169" i="54" a="1"/>
  <c r="V1169" i="54" s="1"/>
  <c r="V1170" i="54" a="1"/>
  <c r="V1170" i="54" s="1"/>
  <c r="V1171" i="54" a="1"/>
  <c r="V1171" i="54" s="1"/>
  <c r="V1172" i="54" a="1"/>
  <c r="V1172" i="54" s="1"/>
  <c r="V1173" i="54" a="1"/>
  <c r="V1173" i="54" s="1"/>
  <c r="V1174" i="54" a="1"/>
  <c r="V1174" i="54" s="1"/>
  <c r="V1175" i="54" a="1"/>
  <c r="V1175" i="54" s="1"/>
  <c r="V1176" i="54" a="1"/>
  <c r="V1176" i="54" s="1"/>
  <c r="V1177" i="54" a="1"/>
  <c r="V1177" i="54" s="1"/>
  <c r="V1178" i="54" a="1"/>
  <c r="V1178" i="54" s="1"/>
  <c r="V1179" i="54" a="1"/>
  <c r="V1179" i="54" s="1"/>
  <c r="V1180" i="54" a="1"/>
  <c r="V1180" i="54" s="1"/>
  <c r="V1181" i="54" a="1"/>
  <c r="V1181" i="54" s="1"/>
  <c r="V1182" i="54" a="1"/>
  <c r="V1182" i="54" s="1"/>
  <c r="V1183" i="54" a="1"/>
  <c r="V1183" i="54" s="1"/>
  <c r="V1184" i="54" a="1"/>
  <c r="V1184" i="54" s="1"/>
  <c r="V1185" i="54" a="1"/>
  <c r="V1185" i="54" s="1"/>
  <c r="V1186" i="54" a="1"/>
  <c r="V1186" i="54" s="1"/>
  <c r="V1187" i="54" a="1"/>
  <c r="V1187" i="54" s="1"/>
  <c r="V1188" i="54" a="1"/>
  <c r="V1188" i="54" s="1"/>
  <c r="V1189" i="54" a="1"/>
  <c r="V1189" i="54" s="1"/>
  <c r="V1190" i="54" a="1"/>
  <c r="V1190" i="54" s="1"/>
  <c r="V1191" i="54" a="1"/>
  <c r="V1191" i="54" s="1"/>
  <c r="V1192" i="54" a="1"/>
  <c r="V1192" i="54" s="1"/>
  <c r="V1193" i="54" a="1"/>
  <c r="V1193" i="54" s="1"/>
  <c r="V1194" i="54" a="1"/>
  <c r="V1194" i="54" s="1"/>
  <c r="V1195" i="54" a="1"/>
  <c r="V1195" i="54" s="1"/>
  <c r="V1196" i="54" a="1"/>
  <c r="V1196" i="54" s="1"/>
  <c r="V1197" i="54" a="1"/>
  <c r="V1197" i="54" s="1"/>
  <c r="V1198" i="54" a="1"/>
  <c r="V1198" i="54" s="1"/>
  <c r="V1199" i="54" a="1"/>
  <c r="V1199" i="54" s="1"/>
  <c r="V1200" i="54" a="1"/>
  <c r="V1200" i="54" s="1"/>
  <c r="V1201" i="54" a="1"/>
  <c r="V1201" i="54" s="1"/>
  <c r="V1202" i="54" a="1"/>
  <c r="V1202" i="54" s="1"/>
  <c r="V1203" i="54" a="1"/>
  <c r="V1203" i="54" s="1"/>
  <c r="V1204" i="54" a="1"/>
  <c r="V1204" i="54" s="1"/>
  <c r="V1205" i="54" a="1"/>
  <c r="V1205" i="54" s="1"/>
  <c r="V1206" i="54" a="1"/>
  <c r="V1206" i="54" s="1"/>
  <c r="V1207" i="54" a="1"/>
  <c r="V1207" i="54" s="1"/>
  <c r="V1208" i="54" a="1"/>
  <c r="V1208" i="54" s="1"/>
  <c r="V1209" i="54" a="1"/>
  <c r="V1209" i="54" s="1"/>
  <c r="V1210" i="54" a="1"/>
  <c r="V1210" i="54" s="1"/>
  <c r="V1211" i="54" a="1"/>
  <c r="V1211" i="54" s="1"/>
  <c r="V1212" i="54" a="1"/>
  <c r="V1212" i="54" s="1"/>
  <c r="V1213" i="54" a="1"/>
  <c r="V1213" i="54" s="1"/>
  <c r="V1214" i="54" a="1"/>
  <c r="V1214" i="54" s="1"/>
  <c r="V1215" i="54" a="1"/>
  <c r="V1215" i="54" s="1"/>
  <c r="V1216" i="54" a="1"/>
  <c r="V1216" i="54" s="1"/>
  <c r="V1217" i="54" a="1"/>
  <c r="V1217" i="54" s="1"/>
  <c r="V1218" i="54" a="1"/>
  <c r="V1218" i="54" s="1"/>
  <c r="V1219" i="54" a="1"/>
  <c r="V1219" i="54" s="1"/>
  <c r="V1220" i="54" a="1"/>
  <c r="V1220" i="54" s="1"/>
  <c r="V1221" i="54" a="1"/>
  <c r="V1221" i="54" s="1"/>
  <c r="V1222" i="54" a="1"/>
  <c r="V1222" i="54" s="1"/>
  <c r="V1223" i="54" a="1"/>
  <c r="V1223" i="54" s="1"/>
  <c r="V1224" i="54" a="1"/>
  <c r="V1224" i="54" s="1"/>
  <c r="V1225" i="54" a="1"/>
  <c r="V1225" i="54" s="1"/>
  <c r="V1226" i="54" a="1"/>
  <c r="V1226" i="54" s="1"/>
  <c r="V1227" i="54" a="1"/>
  <c r="V1227" i="54" s="1"/>
  <c r="V1228" i="54" a="1"/>
  <c r="V1228" i="54" s="1"/>
  <c r="V1229" i="54" a="1"/>
  <c r="V1229" i="54" s="1"/>
  <c r="V1230" i="54" a="1"/>
  <c r="V1230" i="54" s="1"/>
  <c r="V1231" i="54" a="1"/>
  <c r="V1231" i="54" s="1"/>
  <c r="V1232" i="54" a="1"/>
  <c r="V1232" i="54" s="1"/>
  <c r="V1233" i="54" a="1"/>
  <c r="V1233" i="54" s="1"/>
  <c r="V1234" i="54" a="1"/>
  <c r="V1234" i="54" s="1"/>
  <c r="V1235" i="54" a="1"/>
  <c r="V1235" i="54" s="1"/>
  <c r="V1236" i="54" a="1"/>
  <c r="V1236" i="54" s="1"/>
  <c r="V1237" i="54" a="1"/>
  <c r="V1237" i="54" s="1"/>
  <c r="V1238" i="54" a="1"/>
  <c r="V1238" i="54" s="1"/>
  <c r="V1239" i="54" a="1"/>
  <c r="V1239" i="54" s="1"/>
  <c r="V1240" i="54" a="1"/>
  <c r="V1240" i="54" s="1"/>
  <c r="V1241" i="54" a="1"/>
  <c r="V1241" i="54" s="1"/>
  <c r="V1242" i="54" a="1"/>
  <c r="V1242" i="54" s="1"/>
  <c r="V1243" i="54" a="1"/>
  <c r="V1243" i="54" s="1"/>
  <c r="V1244" i="54" a="1"/>
  <c r="V1244" i="54" s="1"/>
  <c r="V1245" i="54" a="1"/>
  <c r="V1245" i="54" s="1"/>
  <c r="V1246" i="54" a="1"/>
  <c r="V1246" i="54" s="1"/>
  <c r="V1247" i="54" a="1"/>
  <c r="V1247" i="54" s="1"/>
  <c r="V1248" i="54" a="1"/>
  <c r="V1248" i="54" s="1"/>
  <c r="V1249" i="54" a="1"/>
  <c r="V1249" i="54" s="1"/>
  <c r="V1250" i="54" a="1"/>
  <c r="V1250" i="54" s="1"/>
  <c r="V1251" i="54" a="1"/>
  <c r="V1251" i="54" s="1"/>
  <c r="V1252" i="54" a="1"/>
  <c r="V1252" i="54" s="1"/>
  <c r="V1253" i="54" a="1"/>
  <c r="V1253" i="54" s="1"/>
  <c r="V1254" i="54" a="1"/>
  <c r="V1254" i="54" s="1"/>
  <c r="V1255" i="54" a="1"/>
  <c r="V1255" i="54" s="1"/>
  <c r="V1256" i="54" a="1"/>
  <c r="V1256" i="54" s="1"/>
  <c r="V1257" i="54" a="1"/>
  <c r="V1257" i="54" s="1"/>
  <c r="V1258" i="54" a="1"/>
  <c r="V1258" i="54" s="1"/>
  <c r="V1259" i="54" a="1"/>
  <c r="V1259" i="54" s="1"/>
  <c r="V1260" i="54" a="1"/>
  <c r="V1260" i="54" s="1"/>
  <c r="V1261" i="54" a="1"/>
  <c r="V1261" i="54" s="1"/>
  <c r="V1262" i="54" a="1"/>
  <c r="V1262" i="54" s="1"/>
  <c r="V1263" i="54" a="1"/>
  <c r="V1263" i="54" s="1"/>
  <c r="V1264" i="54" a="1"/>
  <c r="V1264" i="54" s="1"/>
  <c r="V1265" i="54" a="1"/>
  <c r="V1265" i="54" s="1"/>
  <c r="V1266" i="54" a="1"/>
  <c r="V1266" i="54" s="1"/>
  <c r="V1267" i="54" a="1"/>
  <c r="V1267" i="54" s="1"/>
  <c r="V1268" i="54" a="1"/>
  <c r="V1268" i="54" s="1"/>
  <c r="V1269" i="54" a="1"/>
  <c r="V1269" i="54" s="1"/>
  <c r="V1270" i="54" a="1"/>
  <c r="V1270" i="54" s="1"/>
  <c r="V1271" i="54" a="1"/>
  <c r="V1271" i="54" s="1"/>
  <c r="V1272" i="54" a="1"/>
  <c r="V1272" i="54" s="1"/>
  <c r="V1273" i="54" a="1"/>
  <c r="V1273" i="54" s="1"/>
  <c r="V1274" i="54" a="1"/>
  <c r="V1274" i="54" s="1"/>
  <c r="V1275" i="54" a="1"/>
  <c r="V1275" i="54" s="1"/>
  <c r="V1276" i="54" a="1"/>
  <c r="V1276" i="54" s="1"/>
  <c r="V1277" i="54" a="1"/>
  <c r="V1277" i="54" s="1"/>
  <c r="V1278" i="54" a="1"/>
  <c r="V1278" i="54" s="1"/>
  <c r="V1279" i="54" a="1"/>
  <c r="V1279" i="54" s="1"/>
  <c r="V1280" i="54" a="1"/>
  <c r="V1280" i="54" s="1"/>
  <c r="V1281" i="54" a="1"/>
  <c r="V1281" i="54" s="1"/>
  <c r="V1282" i="54" a="1"/>
  <c r="V1282" i="54" s="1"/>
  <c r="V1283" i="54" a="1"/>
  <c r="V1283" i="54" s="1"/>
  <c r="V1284" i="54" a="1"/>
  <c r="V1284" i="54" s="1"/>
  <c r="V1285" i="54" a="1"/>
  <c r="V1285" i="54" s="1"/>
  <c r="V1286" i="54" a="1"/>
  <c r="V1286" i="54" s="1"/>
  <c r="V1287" i="54" a="1"/>
  <c r="V1287" i="54" s="1"/>
  <c r="V1288" i="54" a="1"/>
  <c r="V1288" i="54" s="1"/>
  <c r="V1289" i="54" a="1"/>
  <c r="V1289" i="54" s="1"/>
  <c r="V1290" i="54" a="1"/>
  <c r="V1290" i="54" s="1"/>
  <c r="V1291" i="54" a="1"/>
  <c r="V1291" i="54" s="1"/>
  <c r="V1292" i="54" a="1"/>
  <c r="V1292" i="54" s="1"/>
  <c r="V1293" i="54" a="1"/>
  <c r="V1293" i="54" s="1"/>
  <c r="V1294" i="54" a="1"/>
  <c r="V1294" i="54" s="1"/>
  <c r="V1295" i="54" a="1"/>
  <c r="V1295" i="54" s="1"/>
  <c r="V1296" i="54" a="1"/>
  <c r="V1296" i="54" s="1"/>
  <c r="V1297" i="54" a="1"/>
  <c r="V1297" i="54" s="1"/>
  <c r="V1298" i="54" a="1"/>
  <c r="V1298" i="54" s="1"/>
  <c r="V1299" i="54" a="1"/>
  <c r="V1299" i="54" s="1"/>
  <c r="V1300" i="54" a="1"/>
  <c r="V1300" i="54" s="1"/>
  <c r="V1301" i="54" a="1"/>
  <c r="V1301" i="54" s="1"/>
  <c r="V1302" i="54" a="1"/>
  <c r="V1302" i="54" s="1"/>
  <c r="V1303" i="54" a="1"/>
  <c r="V1303" i="54" s="1"/>
  <c r="V1304" i="54" a="1"/>
  <c r="V1304" i="54" s="1"/>
  <c r="V1305" i="54" a="1"/>
  <c r="V1305" i="54" s="1"/>
  <c r="V1306" i="54" a="1"/>
  <c r="V1306" i="54" s="1"/>
  <c r="V1307" i="54" a="1"/>
  <c r="V1307" i="54" s="1"/>
  <c r="V1308" i="54" a="1"/>
  <c r="V1308" i="54" s="1"/>
  <c r="V1309" i="54" a="1"/>
  <c r="V1309" i="54" s="1"/>
  <c r="V1310" i="54" a="1"/>
  <c r="V1310" i="54" s="1"/>
  <c r="V1311" i="54" a="1"/>
  <c r="V1311" i="54" s="1"/>
  <c r="V1312" i="54" a="1"/>
  <c r="V1312" i="54" s="1"/>
  <c r="V1313" i="54" a="1"/>
  <c r="V1313" i="54" s="1"/>
  <c r="V1314" i="54" a="1"/>
  <c r="V1314" i="54" s="1"/>
  <c r="V1315" i="54" a="1"/>
  <c r="V1315" i="54" s="1"/>
  <c r="V1316" i="54" a="1"/>
  <c r="V1316" i="54" s="1"/>
  <c r="V1317" i="54" a="1"/>
  <c r="V1317" i="54" s="1"/>
  <c r="V1318" i="54" a="1"/>
  <c r="V1318" i="54" s="1"/>
  <c r="V1319" i="54" a="1"/>
  <c r="V1319" i="54" s="1"/>
  <c r="V1320" i="54" a="1"/>
  <c r="V1320" i="54" s="1"/>
  <c r="V1321" i="54" a="1"/>
  <c r="V1321" i="54" s="1"/>
  <c r="V1322" i="54" a="1"/>
  <c r="V1322" i="54" s="1"/>
  <c r="V1323" i="54" a="1"/>
  <c r="V1323" i="54" s="1"/>
  <c r="V1324" i="54" a="1"/>
  <c r="V1324" i="54" s="1"/>
  <c r="V1325" i="54" a="1"/>
  <c r="V1325" i="54" s="1"/>
  <c r="V1326" i="54" a="1"/>
  <c r="V1326" i="54" s="1"/>
  <c r="V1327" i="54" a="1"/>
  <c r="V1327" i="54" s="1"/>
  <c r="V1328" i="54" a="1"/>
  <c r="V1328" i="54" s="1"/>
  <c r="V1329" i="54" a="1"/>
  <c r="V1329" i="54" s="1"/>
  <c r="V1330" i="54" a="1"/>
  <c r="V1330" i="54" s="1"/>
  <c r="V1331" i="54" a="1"/>
  <c r="V1331" i="54" s="1"/>
  <c r="V1332" i="54" a="1"/>
  <c r="V1332" i="54" s="1"/>
  <c r="V1333" i="54" a="1"/>
  <c r="V1333" i="54" s="1"/>
  <c r="V1334" i="54" a="1"/>
  <c r="V1334" i="54" s="1"/>
  <c r="V1335" i="54" a="1"/>
  <c r="V1335" i="54" s="1"/>
  <c r="V1336" i="54" a="1"/>
  <c r="V1336" i="54" s="1"/>
  <c r="V1337" i="54" a="1"/>
  <c r="V1337" i="54" s="1"/>
  <c r="V1338" i="54" a="1"/>
  <c r="V1338" i="54" s="1"/>
  <c r="V1339" i="54" a="1"/>
  <c r="V1339" i="54" s="1"/>
  <c r="V1340" i="54" a="1"/>
  <c r="V1340" i="54" s="1"/>
  <c r="V1341" i="54" a="1"/>
  <c r="V1341" i="54" s="1"/>
  <c r="V1342" i="54" a="1"/>
  <c r="V1342" i="54" s="1"/>
  <c r="V1343" i="54" a="1"/>
  <c r="V1343" i="54" s="1"/>
  <c r="V1344" i="54" a="1"/>
  <c r="V1344" i="54" s="1"/>
  <c r="V1345" i="54" a="1"/>
  <c r="V1345" i="54" s="1"/>
  <c r="V1346" i="54" a="1"/>
  <c r="V1346" i="54" s="1"/>
  <c r="V1347" i="54" a="1"/>
  <c r="V1347" i="54" s="1"/>
  <c r="V1348" i="54" a="1"/>
  <c r="V1348" i="54" s="1"/>
  <c r="V1349" i="54" a="1"/>
  <c r="V1349" i="54" s="1"/>
  <c r="V1350" i="54" a="1"/>
  <c r="V1350" i="54" s="1"/>
  <c r="V1351" i="54" a="1"/>
  <c r="V1351" i="54" s="1"/>
  <c r="V1352" i="54" a="1"/>
  <c r="V1352" i="54" s="1"/>
  <c r="V1353" i="54" a="1"/>
  <c r="V1353" i="54" s="1"/>
  <c r="V1354" i="54" a="1"/>
  <c r="V1354" i="54" s="1"/>
  <c r="V1355" i="54" a="1"/>
  <c r="V1355" i="54" s="1"/>
  <c r="V1356" i="54" a="1"/>
  <c r="V1356" i="54" s="1"/>
  <c r="V1357" i="54" a="1"/>
  <c r="V1357" i="54" s="1"/>
  <c r="V1358" i="54" a="1"/>
  <c r="V1358" i="54" s="1"/>
  <c r="V1359" i="54" a="1"/>
  <c r="V1359" i="54" s="1"/>
  <c r="V1360" i="54" a="1"/>
  <c r="V1360" i="54" s="1"/>
  <c r="V1361" i="54" a="1"/>
  <c r="V1361" i="54" s="1"/>
  <c r="V1362" i="54" a="1"/>
  <c r="V1362" i="54" s="1"/>
  <c r="V1363" i="54" a="1"/>
  <c r="V1363" i="54" s="1"/>
  <c r="V1364" i="54" a="1"/>
  <c r="V1364" i="54" s="1"/>
  <c r="V1365" i="54" a="1"/>
  <c r="V1365" i="54" s="1"/>
  <c r="V1366" i="54" a="1"/>
  <c r="V1366" i="54" s="1"/>
  <c r="V1367" i="54" a="1"/>
  <c r="V1367" i="54" s="1"/>
  <c r="V1368" i="54" a="1"/>
  <c r="V1368" i="54" s="1"/>
  <c r="V1369" i="54" a="1"/>
  <c r="V1369" i="54" s="1"/>
  <c r="V1370" i="54" a="1"/>
  <c r="V1370" i="54" s="1"/>
  <c r="V1371" i="54" a="1"/>
  <c r="V1371" i="54" s="1"/>
  <c r="V1372" i="54" a="1"/>
  <c r="V1372" i="54" s="1"/>
  <c r="V1373" i="54" a="1"/>
  <c r="V1373" i="54" s="1"/>
  <c r="V1374" i="54" a="1"/>
  <c r="V1374" i="54" s="1"/>
  <c r="V1375" i="54" a="1"/>
  <c r="V1375" i="54" s="1"/>
  <c r="V1376" i="54" a="1"/>
  <c r="V1376" i="54" s="1"/>
  <c r="V1377" i="54" a="1"/>
  <c r="V1377" i="54" s="1"/>
  <c r="V1378" i="54" a="1"/>
  <c r="V1378" i="54" s="1"/>
  <c r="V1379" i="54" a="1"/>
  <c r="V1379" i="54" s="1"/>
  <c r="V1380" i="54" a="1"/>
  <c r="V1380" i="54" s="1"/>
  <c r="V1381" i="54" a="1"/>
  <c r="V1381" i="54" s="1"/>
  <c r="V1382" i="54" a="1"/>
  <c r="V1382" i="54" s="1"/>
  <c r="V1383" i="54" a="1"/>
  <c r="V1383" i="54" s="1"/>
  <c r="V1384" i="54" a="1"/>
  <c r="V1384" i="54" s="1"/>
  <c r="V1385" i="54" a="1"/>
  <c r="V1385" i="54" s="1"/>
  <c r="V1386" i="54" a="1"/>
  <c r="V1386" i="54" s="1"/>
  <c r="V1387" i="54" a="1"/>
  <c r="V1387" i="54" s="1"/>
  <c r="V1388" i="54" a="1"/>
  <c r="V1388" i="54" s="1"/>
  <c r="V1389" i="54" a="1"/>
  <c r="V1389" i="54" s="1"/>
  <c r="V1390" i="54" a="1"/>
  <c r="V1390" i="54" s="1"/>
  <c r="V1391" i="54" a="1"/>
  <c r="V1391" i="54" s="1"/>
  <c r="V1392" i="54" a="1"/>
  <c r="V1392" i="54" s="1"/>
  <c r="V1393" i="54" a="1"/>
  <c r="V1393" i="54" s="1"/>
  <c r="V1394" i="54" a="1"/>
  <c r="V1394" i="54" s="1"/>
  <c r="V1395" i="54" a="1"/>
  <c r="V1395" i="54" s="1"/>
  <c r="V1396" i="54" a="1"/>
  <c r="V1396" i="54" s="1"/>
  <c r="V1397" i="54" a="1"/>
  <c r="V1397" i="54" s="1"/>
  <c r="V1398" i="54" a="1"/>
  <c r="V1398" i="54" s="1"/>
  <c r="V1399" i="54" a="1"/>
  <c r="V1399" i="54" s="1"/>
  <c r="V1400" i="54" a="1"/>
  <c r="V1400" i="54" s="1"/>
  <c r="V1401" i="54" a="1"/>
  <c r="V1401" i="54" s="1"/>
  <c r="V1402" i="54" a="1"/>
  <c r="V1402" i="54" s="1"/>
  <c r="V1403" i="54" a="1"/>
  <c r="V1403" i="54" s="1"/>
  <c r="V1404" i="54" a="1"/>
  <c r="V1404" i="54" s="1"/>
  <c r="V1405" i="54" a="1"/>
  <c r="V1405" i="54" s="1"/>
  <c r="V1406" i="54" a="1"/>
  <c r="V1406" i="54" s="1"/>
  <c r="V1407" i="54" a="1"/>
  <c r="V1407" i="54" s="1"/>
  <c r="V1408" i="54" a="1"/>
  <c r="V1408" i="54" s="1"/>
  <c r="V1409" i="54" a="1"/>
  <c r="V1409" i="54" s="1"/>
  <c r="V1410" i="54" a="1"/>
  <c r="V1410" i="54" s="1"/>
  <c r="V1411" i="54" a="1"/>
  <c r="V1411" i="54" s="1"/>
  <c r="V1412" i="54" a="1"/>
  <c r="V1412" i="54" s="1"/>
  <c r="V1413" i="54" a="1"/>
  <c r="V1413" i="54" s="1"/>
  <c r="V1414" i="54" a="1"/>
  <c r="V1414" i="54" s="1"/>
  <c r="V1415" i="54" a="1"/>
  <c r="V1415" i="54" s="1"/>
  <c r="V1416" i="54" a="1"/>
  <c r="V1416" i="54" s="1"/>
  <c r="V1417" i="54" a="1"/>
  <c r="V1417" i="54" s="1"/>
  <c r="V1418" i="54" a="1"/>
  <c r="V1418" i="54" s="1"/>
  <c r="AB3" i="54"/>
  <c r="D54" i="11" a="1"/>
  <c r="D54" i="11" s="1"/>
  <c r="D53" i="11"/>
  <c r="E40" i="11"/>
  <c r="E41" i="11"/>
  <c r="E42" i="11"/>
  <c r="E43" i="11"/>
  <c r="E44" i="11"/>
  <c r="E45" i="11"/>
  <c r="E39" i="11"/>
  <c r="C48"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7" i="11"/>
  <c r="D47" i="26"/>
  <c r="D46" i="26"/>
  <c r="D45" i="2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8" i="6"/>
  <c r="B3" i="53"/>
  <c r="I2" i="53"/>
  <c r="H2" i="53"/>
  <c r="G2" i="53"/>
  <c r="F2" i="53"/>
  <c r="E2" i="53"/>
  <c r="D2" i="53"/>
  <c r="C2" i="53"/>
  <c r="X3" i="54" l="1"/>
  <c r="Z3" i="54"/>
  <c r="AC3" i="54"/>
  <c r="AD3" i="54" s="1"/>
  <c r="AA3" i="54"/>
  <c r="Y3" i="54"/>
  <c r="J10" i="53"/>
  <c r="J12" i="53"/>
  <c r="J13" i="53"/>
  <c r="J15" i="53"/>
  <c r="J16" i="53"/>
  <c r="J17" i="53"/>
  <c r="J20" i="53"/>
  <c r="J22" i="53"/>
  <c r="J23" i="53"/>
  <c r="J24" i="53"/>
  <c r="J25" i="53"/>
  <c r="J29" i="53"/>
  <c r="J30" i="53"/>
  <c r="J33" i="53"/>
  <c r="J34" i="53"/>
  <c r="J35" i="53"/>
  <c r="J37" i="53"/>
  <c r="J38" i="53"/>
  <c r="J39" i="53"/>
  <c r="J41" i="53"/>
  <c r="J42" i="53"/>
  <c r="J43" i="53"/>
  <c r="J45" i="53"/>
  <c r="J46" i="53"/>
  <c r="J47" i="53"/>
  <c r="J48" i="53"/>
  <c r="J49" i="53"/>
  <c r="J50" i="53"/>
  <c r="J51" i="53"/>
  <c r="J52" i="53"/>
  <c r="J53" i="53"/>
  <c r="J54" i="53"/>
  <c r="J55" i="53"/>
  <c r="J56" i="53"/>
  <c r="J57" i="53"/>
  <c r="J58" i="53"/>
  <c r="J59" i="53"/>
  <c r="J60" i="53"/>
  <c r="J61" i="53"/>
  <c r="J62" i="53"/>
  <c r="J64" i="53"/>
  <c r="J65" i="53"/>
  <c r="J66" i="53"/>
  <c r="J67" i="53"/>
  <c r="J68" i="53"/>
  <c r="J69" i="53"/>
  <c r="J70" i="53"/>
  <c r="J71" i="53"/>
  <c r="J72" i="53"/>
  <c r="J73" i="53"/>
  <c r="J74" i="53"/>
  <c r="J75" i="53"/>
  <c r="J76" i="53"/>
  <c r="J77" i="53"/>
  <c r="J78" i="53"/>
  <c r="J79" i="53"/>
  <c r="J80" i="53"/>
  <c r="J81" i="53"/>
  <c r="J82" i="53"/>
  <c r="J84" i="53"/>
  <c r="J85" i="53"/>
  <c r="J86" i="53"/>
  <c r="J89" i="53"/>
  <c r="J90" i="53"/>
  <c r="J92" i="53"/>
  <c r="J93" i="53"/>
  <c r="J95" i="53"/>
  <c r="J96" i="53"/>
  <c r="J97" i="53"/>
  <c r="J99" i="53"/>
  <c r="J100" i="53"/>
  <c r="J103" i="53"/>
  <c r="J105" i="53"/>
  <c r="J106" i="53"/>
  <c r="J107" i="53"/>
  <c r="J108" i="53"/>
  <c r="J109" i="53"/>
  <c r="J110" i="53"/>
  <c r="J112" i="53"/>
  <c r="J115" i="53"/>
  <c r="J116" i="53"/>
  <c r="J117" i="53"/>
  <c r="J119" i="53"/>
  <c r="J120" i="53"/>
  <c r="J121" i="53"/>
  <c r="J122" i="53"/>
  <c r="J123" i="53"/>
  <c r="J125" i="53"/>
  <c r="J127" i="53"/>
  <c r="J128" i="53"/>
  <c r="J129" i="53"/>
  <c r="J130" i="53"/>
  <c r="J131" i="53"/>
  <c r="J132" i="53"/>
  <c r="J133" i="53"/>
  <c r="J134" i="53"/>
  <c r="J136" i="53"/>
  <c r="J137" i="53"/>
  <c r="J138" i="53"/>
  <c r="J139" i="53"/>
  <c r="J143" i="53"/>
  <c r="J144" i="53"/>
  <c r="J146" i="53"/>
  <c r="J147" i="53"/>
  <c r="J148" i="53"/>
  <c r="J152" i="53"/>
  <c r="J153" i="53"/>
  <c r="J155" i="53"/>
  <c r="J156" i="53"/>
  <c r="J158" i="53"/>
  <c r="J162" i="53"/>
  <c r="J163" i="53"/>
  <c r="J165" i="53"/>
  <c r="J166" i="53"/>
  <c r="J167" i="53"/>
  <c r="J168" i="53"/>
  <c r="J171" i="53"/>
  <c r="J172" i="53"/>
  <c r="J173" i="53"/>
  <c r="J175" i="53"/>
  <c r="J177" i="53"/>
  <c r="J178" i="53"/>
  <c r="J179" i="53"/>
  <c r="J180" i="53"/>
  <c r="J181" i="53"/>
  <c r="J182" i="53"/>
  <c r="J184" i="53"/>
  <c r="J185" i="53"/>
  <c r="J186" i="53"/>
  <c r="J187" i="53"/>
  <c r="J188" i="53"/>
  <c r="J189" i="53"/>
  <c r="J190" i="53"/>
  <c r="J191" i="53"/>
  <c r="J192" i="53"/>
  <c r="J193" i="53"/>
  <c r="J194" i="53"/>
  <c r="J195" i="53"/>
  <c r="J198" i="53"/>
  <c r="J199" i="53"/>
  <c r="J201" i="53"/>
  <c r="J202" i="53"/>
  <c r="J203" i="53"/>
  <c r="J204" i="53"/>
  <c r="J205" i="53"/>
  <c r="J206" i="53"/>
  <c r="J207" i="53"/>
  <c r="J208" i="53"/>
  <c r="J209" i="53"/>
  <c r="J210" i="53"/>
  <c r="J211" i="53"/>
  <c r="J212" i="53"/>
  <c r="J213" i="53"/>
  <c r="J214" i="53"/>
  <c r="J215" i="53"/>
  <c r="J216" i="53"/>
  <c r="J217" i="53"/>
  <c r="J221" i="53"/>
  <c r="J223" i="53"/>
  <c r="J224" i="53"/>
  <c r="J225" i="53"/>
  <c r="J226" i="53"/>
  <c r="J227" i="53"/>
  <c r="J228" i="53"/>
  <c r="J229" i="53"/>
  <c r="J230" i="53"/>
  <c r="J231" i="53"/>
  <c r="J232" i="53"/>
  <c r="J235" i="53"/>
  <c r="J236" i="53"/>
  <c r="J237" i="53"/>
  <c r="J238" i="53"/>
  <c r="J239" i="53"/>
  <c r="J242" i="53"/>
  <c r="J243" i="53"/>
  <c r="J244" i="53"/>
  <c r="J245" i="53"/>
  <c r="J246" i="53"/>
  <c r="J247" i="53"/>
  <c r="J249" i="53"/>
  <c r="J250" i="53"/>
  <c r="J251" i="53"/>
  <c r="J252" i="53"/>
  <c r="J253" i="53"/>
  <c r="J254" i="53"/>
  <c r="J255" i="53"/>
  <c r="J256" i="53"/>
  <c r="J257" i="53"/>
  <c r="J258" i="53"/>
  <c r="J259" i="53"/>
  <c r="J261" i="53"/>
  <c r="J262" i="53"/>
  <c r="J263" i="53"/>
  <c r="J266" i="53"/>
  <c r="J269" i="53"/>
  <c r="J271" i="53"/>
  <c r="J273" i="53"/>
  <c r="J274" i="53"/>
  <c r="J275" i="53"/>
  <c r="J277" i="53"/>
  <c r="J279" i="53"/>
  <c r="J280" i="53"/>
  <c r="J282" i="53"/>
  <c r="J283" i="53"/>
  <c r="J285" i="53"/>
  <c r="J287" i="53"/>
  <c r="J288" i="53"/>
  <c r="J289" i="53"/>
  <c r="J290" i="53"/>
  <c r="J291" i="53"/>
  <c r="J292" i="53"/>
  <c r="J293" i="53"/>
  <c r="J294" i="53"/>
  <c r="J296" i="53"/>
  <c r="J297" i="53"/>
  <c r="J298" i="53"/>
  <c r="J299" i="53"/>
  <c r="J300" i="53"/>
  <c r="J301" i="53"/>
  <c r="J302" i="53"/>
  <c r="J303" i="53"/>
  <c r="J304" i="53"/>
  <c r="J305" i="53"/>
  <c r="J309" i="53"/>
  <c r="J310" i="53"/>
  <c r="J311" i="53"/>
  <c r="J314" i="53"/>
  <c r="J315" i="53"/>
  <c r="J316" i="53"/>
  <c r="J317" i="53"/>
  <c r="J318" i="53"/>
  <c r="J322" i="53"/>
  <c r="J323" i="53"/>
  <c r="J324" i="53"/>
  <c r="J325" i="53"/>
  <c r="J327" i="53"/>
  <c r="J328" i="53"/>
  <c r="J329" i="53"/>
  <c r="J331" i="53"/>
  <c r="J332" i="53"/>
  <c r="J333" i="53"/>
  <c r="J334" i="53"/>
  <c r="J337" i="53"/>
  <c r="J338" i="53"/>
  <c r="J339" i="53"/>
  <c r="J341" i="53"/>
  <c r="J342" i="53"/>
  <c r="J343" i="53"/>
  <c r="J344" i="53"/>
  <c r="J345" i="53"/>
  <c r="J346" i="53"/>
  <c r="J347" i="53"/>
  <c r="J349" i="53"/>
  <c r="J350" i="53"/>
  <c r="J351" i="53"/>
  <c r="J352" i="53"/>
  <c r="J353" i="53"/>
  <c r="J354" i="53"/>
  <c r="J355" i="53"/>
  <c r="J356" i="53"/>
  <c r="J358" i="53"/>
  <c r="J359" i="53"/>
  <c r="J360" i="53"/>
  <c r="J361" i="53"/>
  <c r="J362" i="53"/>
  <c r="J364" i="53"/>
  <c r="J365" i="53"/>
  <c r="J366" i="53"/>
  <c r="J367" i="53"/>
  <c r="J368" i="53"/>
  <c r="J369" i="53"/>
  <c r="J370" i="53"/>
  <c r="J371" i="53"/>
  <c r="J372" i="53"/>
  <c r="J373" i="53"/>
  <c r="J375" i="53"/>
  <c r="J376" i="53"/>
  <c r="J377" i="53"/>
  <c r="J378" i="53"/>
  <c r="J379" i="53"/>
  <c r="J380" i="53"/>
  <c r="J381" i="53"/>
  <c r="J382" i="53"/>
  <c r="J383" i="53"/>
  <c r="J385" i="53"/>
  <c r="J387" i="53"/>
  <c r="J388" i="53"/>
  <c r="J389" i="53"/>
  <c r="J390" i="53"/>
  <c r="J391" i="53"/>
  <c r="J392" i="53"/>
  <c r="J393" i="53"/>
  <c r="J394" i="53"/>
  <c r="J395" i="53"/>
  <c r="J397" i="53"/>
  <c r="J398" i="53"/>
  <c r="J399" i="53"/>
  <c r="J401" i="53"/>
  <c r="J402" i="53"/>
  <c r="J403" i="53"/>
  <c r="J404" i="53"/>
  <c r="J405" i="53"/>
  <c r="J406" i="53"/>
  <c r="J408" i="53"/>
  <c r="J411" i="53"/>
  <c r="J412" i="53"/>
  <c r="J413" i="53"/>
  <c r="J414" i="53"/>
  <c r="J415" i="53"/>
  <c r="J417" i="53"/>
  <c r="J418" i="53"/>
  <c r="J419" i="53"/>
  <c r="J420" i="53"/>
  <c r="J421" i="53"/>
  <c r="J422" i="53"/>
  <c r="J423" i="53"/>
  <c r="J424" i="53"/>
  <c r="J425" i="53"/>
  <c r="J426" i="53"/>
  <c r="J428" i="53"/>
  <c r="J429" i="53"/>
  <c r="J430" i="53"/>
  <c r="J432" i="53"/>
  <c r="J433" i="53"/>
  <c r="J434" i="53"/>
  <c r="J435" i="53"/>
  <c r="J436" i="53"/>
  <c r="J438" i="53"/>
  <c r="J439" i="53"/>
  <c r="J440" i="53"/>
  <c r="J442" i="53"/>
  <c r="J443" i="53"/>
  <c r="J444" i="53"/>
  <c r="J445" i="53"/>
  <c r="J446" i="53"/>
  <c r="J447" i="53"/>
  <c r="J449" i="53"/>
  <c r="J450" i="53"/>
  <c r="J451" i="53"/>
  <c r="J452" i="53"/>
  <c r="J454" i="53"/>
  <c r="J457" i="53"/>
  <c r="J459" i="53"/>
  <c r="J460" i="53"/>
  <c r="J461" i="53"/>
  <c r="J462" i="53"/>
  <c r="J463" i="53"/>
  <c r="J465" i="53"/>
  <c r="J466" i="53"/>
  <c r="J468" i="53"/>
  <c r="J469" i="53"/>
  <c r="J470" i="53"/>
  <c r="J471" i="53"/>
  <c r="J472" i="53"/>
  <c r="J473" i="53"/>
  <c r="J474" i="53"/>
  <c r="J475" i="53"/>
  <c r="J476" i="53"/>
  <c r="J478" i="53"/>
  <c r="J479" i="53"/>
  <c r="J480" i="53"/>
  <c r="J481" i="53"/>
  <c r="J483" i="53"/>
  <c r="J484" i="53"/>
  <c r="J485" i="53"/>
  <c r="J486" i="53"/>
  <c r="J487" i="53"/>
  <c r="J488" i="53"/>
  <c r="J489" i="53"/>
  <c r="O6" i="53"/>
  <c r="O7" i="53"/>
  <c r="O8" i="53"/>
  <c r="O9" i="53"/>
  <c r="O10" i="53"/>
  <c r="O11" i="53"/>
  <c r="O12" i="53"/>
  <c r="O13" i="53"/>
  <c r="O14" i="53"/>
  <c r="O15" i="53"/>
  <c r="H6" i="53"/>
  <c r="O16" i="53"/>
  <c r="O17" i="53"/>
  <c r="O18" i="53"/>
  <c r="O19" i="53"/>
  <c r="L20" i="53"/>
  <c r="O20" i="53"/>
  <c r="L21" i="53"/>
  <c r="O21" i="53"/>
  <c r="L22" i="53"/>
  <c r="O22" i="53"/>
  <c r="O23" i="53"/>
  <c r="L24" i="53"/>
  <c r="O24" i="53"/>
  <c r="L25"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O208" i="53"/>
  <c r="O209" i="53"/>
  <c r="O210" i="53"/>
  <c r="O211" i="53"/>
  <c r="O212" i="53"/>
  <c r="O213" i="53"/>
  <c r="O214" i="53"/>
  <c r="O215" i="53"/>
  <c r="O216" i="53"/>
  <c r="O217" i="53"/>
  <c r="O218" i="53"/>
  <c r="O219" i="53"/>
  <c r="O220" i="53"/>
  <c r="O221" i="53"/>
  <c r="O222" i="53"/>
  <c r="O223" i="53"/>
  <c r="O224" i="53"/>
  <c r="O225" i="53"/>
  <c r="O226" i="53"/>
  <c r="O227" i="53"/>
  <c r="O228" i="53"/>
  <c r="O229" i="53"/>
  <c r="O230" i="53"/>
  <c r="O231" i="53"/>
  <c r="O232" i="53"/>
  <c r="O233" i="53"/>
  <c r="O234" i="53"/>
  <c r="O235" i="53"/>
  <c r="O236" i="53"/>
  <c r="O237" i="53"/>
  <c r="O238" i="53"/>
  <c r="O239" i="53"/>
  <c r="O240" i="53"/>
  <c r="O241" i="53"/>
  <c r="O242" i="53"/>
  <c r="O243" i="53"/>
  <c r="O244" i="53"/>
  <c r="O245" i="53"/>
  <c r="O246" i="53"/>
  <c r="O247" i="53"/>
  <c r="O248" i="53"/>
  <c r="O249" i="53"/>
  <c r="O250" i="53"/>
  <c r="O251" i="53"/>
  <c r="O252" i="53"/>
  <c r="O253" i="53"/>
  <c r="O254" i="53"/>
  <c r="O255" i="53"/>
  <c r="O256" i="53"/>
  <c r="O257" i="53"/>
  <c r="O258" i="53"/>
  <c r="O259" i="53"/>
  <c r="O260" i="53"/>
  <c r="O261" i="53"/>
  <c r="O262" i="53"/>
  <c r="O263" i="53"/>
  <c r="O264" i="53"/>
  <c r="O265" i="53"/>
  <c r="O266" i="53"/>
  <c r="O267" i="53"/>
  <c r="O268" i="53"/>
  <c r="O269" i="53"/>
  <c r="O270" i="53"/>
  <c r="O271" i="53"/>
  <c r="O272" i="53"/>
  <c r="O273" i="53"/>
  <c r="O274" i="53"/>
  <c r="O275" i="53"/>
  <c r="O276" i="53"/>
  <c r="O277" i="53"/>
  <c r="O278" i="53"/>
  <c r="O279" i="53"/>
  <c r="O280" i="53"/>
  <c r="O281" i="53"/>
  <c r="O282" i="53"/>
  <c r="O283" i="53"/>
  <c r="O284" i="53"/>
  <c r="O285" i="53"/>
  <c r="O286" i="53"/>
  <c r="O287" i="53"/>
  <c r="O288" i="53"/>
  <c r="O289" i="53"/>
  <c r="O290" i="53"/>
  <c r="O291" i="53"/>
  <c r="O292" i="53"/>
  <c r="O293" i="53"/>
  <c r="O294" i="53"/>
  <c r="O295" i="53"/>
  <c r="O296" i="53"/>
  <c r="O297" i="53"/>
  <c r="O298" i="53"/>
  <c r="O299" i="53"/>
  <c r="O300" i="53"/>
  <c r="O301" i="53"/>
  <c r="O302" i="53"/>
  <c r="O303" i="53"/>
  <c r="O304" i="53"/>
  <c r="O305" i="53"/>
  <c r="O306" i="53"/>
  <c r="O307" i="53"/>
  <c r="O308" i="53"/>
  <c r="O309" i="53"/>
  <c r="O310" i="53"/>
  <c r="O311" i="53"/>
  <c r="O312" i="53"/>
  <c r="O313" i="53"/>
  <c r="O314" i="53"/>
  <c r="O315" i="53"/>
  <c r="O316" i="53"/>
  <c r="O317" i="53"/>
  <c r="O318" i="53"/>
  <c r="O319" i="53"/>
  <c r="O320" i="53"/>
  <c r="O321" i="53"/>
  <c r="O322" i="53"/>
  <c r="O323" i="53"/>
  <c r="O324" i="53"/>
  <c r="O325" i="53"/>
  <c r="O326" i="53"/>
  <c r="O327" i="53"/>
  <c r="O328" i="53"/>
  <c r="O329" i="53"/>
  <c r="O330" i="53"/>
  <c r="O331" i="53"/>
  <c r="O332" i="53"/>
  <c r="O333" i="53"/>
  <c r="O334" i="53"/>
  <c r="O335" i="53"/>
  <c r="O336" i="53"/>
  <c r="O337" i="53"/>
  <c r="O338" i="53"/>
  <c r="O339" i="53"/>
  <c r="O340" i="53"/>
  <c r="O341" i="53"/>
  <c r="O342" i="53"/>
  <c r="O343" i="53"/>
  <c r="O344" i="53"/>
  <c r="O345" i="53"/>
  <c r="O346" i="53"/>
  <c r="O347" i="53"/>
  <c r="O348" i="53"/>
  <c r="O349" i="53"/>
  <c r="O350" i="53"/>
  <c r="O351" i="53"/>
  <c r="O352" i="53"/>
  <c r="O353" i="53"/>
  <c r="O354" i="53"/>
  <c r="O355" i="53"/>
  <c r="O356" i="53"/>
  <c r="O357" i="53"/>
  <c r="O358" i="53"/>
  <c r="O359" i="53"/>
  <c r="O360" i="53"/>
  <c r="O361" i="53"/>
  <c r="O362" i="53"/>
  <c r="O363" i="53"/>
  <c r="O364" i="53"/>
  <c r="O365" i="53"/>
  <c r="O366" i="53"/>
  <c r="O367" i="53"/>
  <c r="O368" i="53"/>
  <c r="O369" i="53"/>
  <c r="O370" i="53"/>
  <c r="O371" i="53"/>
  <c r="O372" i="53"/>
  <c r="O373" i="53"/>
  <c r="O374" i="53"/>
  <c r="O375" i="53"/>
  <c r="O376" i="53"/>
  <c r="O377" i="53"/>
  <c r="O378" i="53"/>
  <c r="O379" i="53"/>
  <c r="O380" i="53"/>
  <c r="O381" i="53"/>
  <c r="O382" i="53"/>
  <c r="O383" i="53"/>
  <c r="O384" i="53"/>
  <c r="O385" i="53"/>
  <c r="O386" i="53"/>
  <c r="O387" i="53"/>
  <c r="O388" i="53"/>
  <c r="O389" i="53"/>
  <c r="O390" i="53"/>
  <c r="O391" i="53"/>
  <c r="O392" i="53"/>
  <c r="O393" i="53"/>
  <c r="O394" i="53"/>
  <c r="O395" i="53"/>
  <c r="O396" i="53"/>
  <c r="O397" i="53"/>
  <c r="O398" i="53"/>
  <c r="O399" i="53"/>
  <c r="O400" i="53"/>
  <c r="O401" i="53"/>
  <c r="O402" i="53"/>
  <c r="O403" i="53"/>
  <c r="O404" i="53"/>
  <c r="O405" i="53"/>
  <c r="O406" i="53"/>
  <c r="O407" i="53"/>
  <c r="O408" i="53"/>
  <c r="O409" i="53"/>
  <c r="O410" i="53"/>
  <c r="O411" i="53"/>
  <c r="O412" i="53"/>
  <c r="O413" i="53"/>
  <c r="O414" i="53"/>
  <c r="O415" i="53"/>
  <c r="O416" i="53"/>
  <c r="O417" i="53"/>
  <c r="O418" i="53"/>
  <c r="O419" i="53"/>
  <c r="O420" i="53"/>
  <c r="O421" i="53"/>
  <c r="O422" i="53"/>
  <c r="O423" i="53"/>
  <c r="O424" i="53"/>
  <c r="O425" i="53"/>
  <c r="O426" i="53"/>
  <c r="O427" i="53"/>
  <c r="O428" i="53"/>
  <c r="O429" i="53"/>
  <c r="O430" i="53"/>
  <c r="O431" i="53"/>
  <c r="O432" i="53"/>
  <c r="O433" i="53"/>
  <c r="O434" i="53"/>
  <c r="O435" i="53"/>
  <c r="O436" i="53"/>
  <c r="O437" i="53"/>
  <c r="O438" i="53"/>
  <c r="O439" i="53"/>
  <c r="O440" i="53"/>
  <c r="O441" i="53"/>
  <c r="O442" i="53"/>
  <c r="O443" i="53"/>
  <c r="O444" i="53"/>
  <c r="O445" i="53"/>
  <c r="O446" i="53"/>
  <c r="O447" i="53"/>
  <c r="O448" i="53"/>
  <c r="O449" i="53"/>
  <c r="O450" i="53"/>
  <c r="O451" i="53"/>
  <c r="O452" i="53"/>
  <c r="O453" i="53"/>
  <c r="O454" i="53"/>
  <c r="O455" i="53"/>
  <c r="O456" i="53"/>
  <c r="O457" i="53"/>
  <c r="O458" i="53"/>
  <c r="O459" i="53"/>
  <c r="O460" i="53"/>
  <c r="O461" i="53"/>
  <c r="O462" i="53"/>
  <c r="O463" i="53"/>
  <c r="O464" i="53"/>
  <c r="O465" i="53"/>
  <c r="O466" i="53"/>
  <c r="O467" i="53"/>
  <c r="O468" i="53"/>
  <c r="O469" i="53"/>
  <c r="O470" i="53"/>
  <c r="O471" i="53"/>
  <c r="O472" i="53"/>
  <c r="O473" i="53"/>
  <c r="O474" i="53"/>
  <c r="O475" i="53"/>
  <c r="O476" i="53"/>
  <c r="O477" i="53"/>
  <c r="O478" i="53"/>
  <c r="O479" i="53"/>
  <c r="O480" i="53"/>
  <c r="O481" i="53"/>
  <c r="O482" i="53"/>
  <c r="O483" i="53"/>
  <c r="O484" i="53"/>
  <c r="O485" i="53"/>
  <c r="O486" i="53"/>
  <c r="O487" i="53"/>
  <c r="O488" i="53"/>
  <c r="O489" i="53"/>
  <c r="D38" i="26"/>
  <c r="C39" i="26"/>
  <c r="J6" i="53" l="1"/>
  <c r="H348" i="53"/>
  <c r="J348" i="53" s="1"/>
  <c r="H488" i="53"/>
  <c r="H484" i="53"/>
  <c r="H469" i="53"/>
  <c r="H390" i="53"/>
  <c r="H424" i="53"/>
  <c r="H350" i="53"/>
  <c r="H475" i="53"/>
  <c r="H473" i="53"/>
  <c r="H463" i="53"/>
  <c r="H458" i="53"/>
  <c r="J458" i="53" s="1"/>
  <c r="H453" i="53"/>
  <c r="J453" i="53" s="1"/>
  <c r="H487" i="53"/>
  <c r="H481" i="53"/>
  <c r="H455" i="53"/>
  <c r="J455" i="53" s="1"/>
  <c r="H444" i="53"/>
  <c r="H478" i="53"/>
  <c r="H452" i="53"/>
  <c r="H450" i="53"/>
  <c r="H448" i="53"/>
  <c r="J448" i="53" s="1"/>
  <c r="H437" i="53"/>
  <c r="J437" i="53" s="1"/>
  <c r="H313" i="53"/>
  <c r="J313" i="53" s="1"/>
  <c r="H311" i="53"/>
  <c r="H309" i="53"/>
  <c r="H82" i="53"/>
  <c r="H456" i="53"/>
  <c r="J456" i="53" s="1"/>
  <c r="H434" i="53"/>
  <c r="H432" i="53"/>
  <c r="H476" i="53"/>
  <c r="H466" i="53"/>
  <c r="H459" i="53"/>
  <c r="H447" i="53"/>
  <c r="H485" i="53"/>
  <c r="H482" i="53"/>
  <c r="J482" i="53" s="1"/>
  <c r="H479" i="53"/>
  <c r="H470" i="53"/>
  <c r="H467" i="53"/>
  <c r="J467" i="53" s="1"/>
  <c r="H464" i="53"/>
  <c r="J464" i="53" s="1"/>
  <c r="H461" i="53"/>
  <c r="H457" i="53"/>
  <c r="H454" i="53"/>
  <c r="H451" i="53"/>
  <c r="H440" i="53"/>
  <c r="H438" i="53"/>
  <c r="H435" i="53"/>
  <c r="H421" i="53"/>
  <c r="H419" i="53"/>
  <c r="H417" i="53"/>
  <c r="H397" i="53"/>
  <c r="H367" i="53"/>
  <c r="H365" i="53"/>
  <c r="H363" i="53"/>
  <c r="J363" i="53" s="1"/>
  <c r="H489" i="53"/>
  <c r="H486" i="53"/>
  <c r="H483" i="53"/>
  <c r="H472" i="53"/>
  <c r="H468" i="53"/>
  <c r="H465" i="53"/>
  <c r="H462" i="53"/>
  <c r="H428" i="53"/>
  <c r="H425" i="53"/>
  <c r="H422" i="53"/>
  <c r="H415" i="53"/>
  <c r="H404" i="53"/>
  <c r="H398" i="53"/>
  <c r="H393" i="53"/>
  <c r="H391" i="53"/>
  <c r="H380" i="53"/>
  <c r="H373" i="53"/>
  <c r="H371" i="53"/>
  <c r="H253" i="53"/>
  <c r="H247" i="53"/>
  <c r="H245" i="53"/>
  <c r="H238" i="53"/>
  <c r="H236" i="53"/>
  <c r="H441" i="53"/>
  <c r="J441" i="53" s="1"/>
  <c r="H429" i="53"/>
  <c r="H426" i="53"/>
  <c r="H423" i="53"/>
  <c r="H407" i="53"/>
  <c r="J407" i="53" s="1"/>
  <c r="H401" i="53"/>
  <c r="H381" i="53"/>
  <c r="H376" i="53"/>
  <c r="H343" i="53"/>
  <c r="H340" i="53"/>
  <c r="J340" i="53" s="1"/>
  <c r="H217" i="53"/>
  <c r="H215" i="53"/>
  <c r="H213" i="53"/>
  <c r="H480" i="53"/>
  <c r="H477" i="53"/>
  <c r="J477" i="53" s="1"/>
  <c r="H474" i="53"/>
  <c r="H471" i="53"/>
  <c r="H460" i="53"/>
  <c r="H445" i="53"/>
  <c r="H442" i="53"/>
  <c r="H433" i="53"/>
  <c r="H414" i="53"/>
  <c r="H410" i="53"/>
  <c r="J410" i="53" s="1"/>
  <c r="H408" i="53"/>
  <c r="H387" i="53"/>
  <c r="H362" i="53"/>
  <c r="H356" i="53"/>
  <c r="H341" i="53"/>
  <c r="H431" i="53"/>
  <c r="J431" i="53" s="1"/>
  <c r="H416" i="53"/>
  <c r="J416" i="53" s="1"/>
  <c r="H413" i="53"/>
  <c r="H411" i="53"/>
  <c r="H402" i="53"/>
  <c r="H394" i="53"/>
  <c r="H386" i="53"/>
  <c r="J386" i="53" s="1"/>
  <c r="H384" i="53"/>
  <c r="J384" i="53" s="1"/>
  <c r="H377" i="53"/>
  <c r="H374" i="53"/>
  <c r="J374" i="53" s="1"/>
  <c r="H359" i="53"/>
  <c r="H337" i="53"/>
  <c r="H332" i="53"/>
  <c r="H330" i="53"/>
  <c r="J330" i="53" s="1"/>
  <c r="H324" i="53"/>
  <c r="H316" i="53"/>
  <c r="H314" i="53"/>
  <c r="H335" i="53"/>
  <c r="J335" i="53" s="1"/>
  <c r="H333" i="53"/>
  <c r="H268" i="53"/>
  <c r="J268" i="53" s="1"/>
  <c r="H264" i="53"/>
  <c r="J264" i="53" s="1"/>
  <c r="H231" i="53"/>
  <c r="H229" i="53"/>
  <c r="H227" i="53"/>
  <c r="H211" i="53"/>
  <c r="H207" i="53"/>
  <c r="H449" i="53"/>
  <c r="H446" i="53"/>
  <c r="H443" i="53"/>
  <c r="H439" i="53"/>
  <c r="H436" i="53"/>
  <c r="H430" i="53"/>
  <c r="H427" i="53"/>
  <c r="J427" i="53" s="1"/>
  <c r="H420" i="53"/>
  <c r="H418" i="53"/>
  <c r="H405" i="53"/>
  <c r="H399" i="53"/>
  <c r="H395" i="53"/>
  <c r="H388" i="53"/>
  <c r="H385" i="53"/>
  <c r="H382" i="53"/>
  <c r="H378" i="53"/>
  <c r="H370" i="53"/>
  <c r="H357" i="53"/>
  <c r="J357" i="53" s="1"/>
  <c r="H354" i="53"/>
  <c r="H351" i="53"/>
  <c r="H346" i="53"/>
  <c r="H291" i="53"/>
  <c r="H412" i="53"/>
  <c r="H409" i="53"/>
  <c r="J409" i="53" s="1"/>
  <c r="H406" i="53"/>
  <c r="H403" i="53"/>
  <c r="H400" i="53"/>
  <c r="J400" i="53" s="1"/>
  <c r="H396" i="53"/>
  <c r="J396" i="53" s="1"/>
  <c r="H392" i="53"/>
  <c r="H389" i="53"/>
  <c r="H383" i="53"/>
  <c r="H379" i="53"/>
  <c r="H368" i="53"/>
  <c r="H361" i="53"/>
  <c r="H358" i="53"/>
  <c r="H355" i="53"/>
  <c r="H352" i="53"/>
  <c r="H339" i="53"/>
  <c r="H327" i="53"/>
  <c r="H293" i="53"/>
  <c r="H375" i="53"/>
  <c r="H372" i="53"/>
  <c r="H369" i="53"/>
  <c r="H366" i="53"/>
  <c r="H364" i="53"/>
  <c r="H360" i="53"/>
  <c r="H353" i="53"/>
  <c r="H347" i="53"/>
  <c r="H344" i="53"/>
  <c r="H325" i="53"/>
  <c r="H322" i="53"/>
  <c r="H319" i="53"/>
  <c r="J319" i="53" s="1"/>
  <c r="H317" i="53"/>
  <c r="H305" i="53"/>
  <c r="H301" i="53"/>
  <c r="H292" i="53"/>
  <c r="H290" i="53"/>
  <c r="H197" i="53"/>
  <c r="J197" i="53" s="1"/>
  <c r="H195" i="53"/>
  <c r="H329" i="53"/>
  <c r="H326" i="53"/>
  <c r="J326" i="53" s="1"/>
  <c r="H323" i="53"/>
  <c r="H320" i="53"/>
  <c r="J320" i="53" s="1"/>
  <c r="H308" i="53"/>
  <c r="J308" i="53" s="1"/>
  <c r="H303" i="53"/>
  <c r="H297" i="53"/>
  <c r="H286" i="53"/>
  <c r="J286" i="53" s="1"/>
  <c r="H180" i="53"/>
  <c r="H169" i="53"/>
  <c r="J169" i="53" s="1"/>
  <c r="H336" i="53"/>
  <c r="J336" i="53" s="1"/>
  <c r="H331" i="53"/>
  <c r="H318" i="53"/>
  <c r="H315" i="53"/>
  <c r="H310" i="53"/>
  <c r="H307" i="53"/>
  <c r="J307" i="53" s="1"/>
  <c r="H302" i="53"/>
  <c r="H295" i="53"/>
  <c r="J295" i="53" s="1"/>
  <c r="H288" i="53"/>
  <c r="H212" i="53"/>
  <c r="H204" i="53"/>
  <c r="H157" i="53"/>
  <c r="J157" i="53" s="1"/>
  <c r="H150" i="53"/>
  <c r="J150" i="53" s="1"/>
  <c r="H285" i="53"/>
  <c r="H280" i="53"/>
  <c r="H252" i="53"/>
  <c r="H349" i="53"/>
  <c r="H345" i="53"/>
  <c r="H342" i="53"/>
  <c r="H338" i="53"/>
  <c r="H334" i="53"/>
  <c r="H328" i="53"/>
  <c r="H321" i="53"/>
  <c r="J321" i="53" s="1"/>
  <c r="H299" i="53"/>
  <c r="H281" i="53"/>
  <c r="J281" i="53" s="1"/>
  <c r="H279" i="53"/>
  <c r="H277" i="53"/>
  <c r="H273" i="53"/>
  <c r="H271" i="53"/>
  <c r="H255" i="53"/>
  <c r="H250" i="53"/>
  <c r="H243" i="53"/>
  <c r="H241" i="53"/>
  <c r="J241" i="53" s="1"/>
  <c r="H233" i="53"/>
  <c r="J233" i="53" s="1"/>
  <c r="H222" i="53"/>
  <c r="J222" i="53" s="1"/>
  <c r="H312" i="53"/>
  <c r="J312" i="53" s="1"/>
  <c r="H306" i="53"/>
  <c r="J306" i="53" s="1"/>
  <c r="H300" i="53"/>
  <c r="H296" i="53"/>
  <c r="H287" i="53"/>
  <c r="H284" i="53"/>
  <c r="J284" i="53" s="1"/>
  <c r="H282" i="53"/>
  <c r="H270" i="53"/>
  <c r="J270" i="53" s="1"/>
  <c r="H267" i="53"/>
  <c r="J267" i="53" s="1"/>
  <c r="H265" i="53"/>
  <c r="J265" i="53" s="1"/>
  <c r="H259" i="53"/>
  <c r="H257" i="53"/>
  <c r="H254" i="53"/>
  <c r="H251" i="53"/>
  <c r="H248" i="53"/>
  <c r="J248" i="53" s="1"/>
  <c r="H240" i="53"/>
  <c r="J240" i="53" s="1"/>
  <c r="H219" i="53"/>
  <c r="J219" i="53" s="1"/>
  <c r="H199" i="53"/>
  <c r="H192" i="53"/>
  <c r="H188" i="53"/>
  <c r="H304" i="53"/>
  <c r="H298" i="53"/>
  <c r="H294" i="53"/>
  <c r="H289" i="53"/>
  <c r="H283" i="53"/>
  <c r="H276" i="53"/>
  <c r="J276" i="53" s="1"/>
  <c r="H274" i="53"/>
  <c r="H262" i="53"/>
  <c r="H260" i="53"/>
  <c r="J260" i="53" s="1"/>
  <c r="H258" i="53"/>
  <c r="H244" i="53"/>
  <c r="H235" i="53"/>
  <c r="H232" i="53"/>
  <c r="H225" i="53"/>
  <c r="H185" i="53"/>
  <c r="H167" i="53"/>
  <c r="H160" i="53"/>
  <c r="J160" i="53" s="1"/>
  <c r="H242" i="53"/>
  <c r="H239" i="53"/>
  <c r="H237" i="53"/>
  <c r="H226" i="53"/>
  <c r="H223" i="53"/>
  <c r="H191" i="53"/>
  <c r="H182" i="53"/>
  <c r="H174" i="53"/>
  <c r="J174" i="53" s="1"/>
  <c r="H154" i="53"/>
  <c r="J154" i="53" s="1"/>
  <c r="H139" i="53"/>
  <c r="H135" i="53"/>
  <c r="J135" i="53" s="1"/>
  <c r="H133" i="53"/>
  <c r="H126" i="53"/>
  <c r="J126" i="53" s="1"/>
  <c r="H124" i="53"/>
  <c r="J124" i="53" s="1"/>
  <c r="H120" i="53"/>
  <c r="H210" i="53"/>
  <c r="H208" i="53"/>
  <c r="H205" i="53"/>
  <c r="H202" i="53"/>
  <c r="H194" i="53"/>
  <c r="H189" i="53"/>
  <c r="H186" i="53"/>
  <c r="H177" i="53"/>
  <c r="H175" i="53"/>
  <c r="H172" i="53"/>
  <c r="H163" i="53"/>
  <c r="H161" i="53"/>
  <c r="J161" i="53" s="1"/>
  <c r="H158" i="53"/>
  <c r="H155" i="53"/>
  <c r="H144" i="53"/>
  <c r="H221" i="53"/>
  <c r="H218" i="53"/>
  <c r="J218" i="53" s="1"/>
  <c r="H206" i="53"/>
  <c r="H203" i="53"/>
  <c r="H201" i="53"/>
  <c r="H198" i="53"/>
  <c r="H187" i="53"/>
  <c r="H184" i="53"/>
  <c r="H181" i="53"/>
  <c r="H178" i="53"/>
  <c r="H171" i="53"/>
  <c r="H168" i="53"/>
  <c r="H156" i="53"/>
  <c r="H152" i="53"/>
  <c r="H149" i="53"/>
  <c r="J149" i="53" s="1"/>
  <c r="H147" i="53"/>
  <c r="H107" i="53"/>
  <c r="H278" i="53"/>
  <c r="J278" i="53" s="1"/>
  <c r="H275" i="53"/>
  <c r="H272" i="53"/>
  <c r="J272" i="53" s="1"/>
  <c r="H269" i="53"/>
  <c r="H266" i="53"/>
  <c r="H263" i="53"/>
  <c r="H261" i="53"/>
  <c r="H256" i="53"/>
  <c r="H249" i="53"/>
  <c r="H246" i="53"/>
  <c r="H234" i="53"/>
  <c r="J234" i="53" s="1"/>
  <c r="H230" i="53"/>
  <c r="H228" i="53"/>
  <c r="H224" i="53"/>
  <c r="H220" i="53"/>
  <c r="J220" i="53" s="1"/>
  <c r="H216" i="53"/>
  <c r="H214" i="53"/>
  <c r="H209" i="53"/>
  <c r="H200" i="53"/>
  <c r="J200" i="53" s="1"/>
  <c r="H196" i="53"/>
  <c r="J196" i="53" s="1"/>
  <c r="H193" i="53"/>
  <c r="H190" i="53"/>
  <c r="H183" i="53"/>
  <c r="J183" i="53" s="1"/>
  <c r="H179" i="53"/>
  <c r="H176" i="53"/>
  <c r="J176" i="53" s="1"/>
  <c r="H173" i="53"/>
  <c r="H170" i="53"/>
  <c r="J170" i="53" s="1"/>
  <c r="H166" i="53"/>
  <c r="H164" i="53"/>
  <c r="J164" i="53" s="1"/>
  <c r="H162" i="53"/>
  <c r="H132" i="53"/>
  <c r="H131" i="53"/>
  <c r="H105" i="53"/>
  <c r="H142" i="53"/>
  <c r="J142" i="53" s="1"/>
  <c r="H116" i="53"/>
  <c r="H102" i="53"/>
  <c r="J102" i="53" s="1"/>
  <c r="H92" i="53"/>
  <c r="H74" i="53"/>
  <c r="H28" i="53"/>
  <c r="J28" i="53" s="1"/>
  <c r="H127" i="53"/>
  <c r="H138" i="53"/>
  <c r="H136" i="53"/>
  <c r="H50" i="53"/>
  <c r="H40" i="53"/>
  <c r="J40" i="53" s="1"/>
  <c r="H59" i="53"/>
  <c r="H130" i="53"/>
  <c r="H121" i="53"/>
  <c r="H112" i="53"/>
  <c r="H109" i="53"/>
  <c r="H99" i="53"/>
  <c r="H96" i="53"/>
  <c r="H94" i="53"/>
  <c r="J94" i="53" s="1"/>
  <c r="H85" i="53"/>
  <c r="H78" i="53"/>
  <c r="H66" i="53"/>
  <c r="H64" i="53"/>
  <c r="H55" i="53"/>
  <c r="H38" i="53"/>
  <c r="H165" i="53"/>
  <c r="H159" i="53"/>
  <c r="J159" i="53" s="1"/>
  <c r="H153" i="53"/>
  <c r="H146" i="53"/>
  <c r="H143" i="53"/>
  <c r="H140" i="53"/>
  <c r="J140" i="53" s="1"/>
  <c r="H113" i="53"/>
  <c r="J113" i="53" s="1"/>
  <c r="H110" i="53"/>
  <c r="H101" i="53"/>
  <c r="J101" i="53" s="1"/>
  <c r="H97" i="53"/>
  <c r="H87" i="53"/>
  <c r="J87" i="53" s="1"/>
  <c r="H79" i="53"/>
  <c r="H58" i="53"/>
  <c r="H56" i="53"/>
  <c r="H33" i="53"/>
  <c r="H151" i="53"/>
  <c r="J151" i="53" s="1"/>
  <c r="H148" i="53"/>
  <c r="H145" i="53"/>
  <c r="J145" i="53" s="1"/>
  <c r="H141" i="53"/>
  <c r="J141" i="53" s="1"/>
  <c r="H137" i="53"/>
  <c r="H134" i="53"/>
  <c r="H128" i="53"/>
  <c r="H125" i="53"/>
  <c r="H122" i="53"/>
  <c r="H119" i="53"/>
  <c r="H117" i="53"/>
  <c r="H114" i="53"/>
  <c r="J114" i="53" s="1"/>
  <c r="H108" i="53"/>
  <c r="H103" i="53"/>
  <c r="H100" i="53"/>
  <c r="H93" i="53"/>
  <c r="H88" i="53"/>
  <c r="J88" i="53" s="1"/>
  <c r="H83" i="53"/>
  <c r="J83" i="53" s="1"/>
  <c r="H80" i="53"/>
  <c r="H70" i="53"/>
  <c r="H67" i="53"/>
  <c r="H62" i="53"/>
  <c r="H60" i="53"/>
  <c r="H46" i="53"/>
  <c r="H43" i="53"/>
  <c r="H31" i="53"/>
  <c r="J31" i="53" s="1"/>
  <c r="H129" i="53"/>
  <c r="H123" i="53"/>
  <c r="H106" i="53"/>
  <c r="H91" i="53"/>
  <c r="J91" i="53" s="1"/>
  <c r="H89" i="53"/>
  <c r="H86" i="53"/>
  <c r="H84" i="53"/>
  <c r="H76" i="53"/>
  <c r="H71" i="53"/>
  <c r="H68" i="53"/>
  <c r="H52" i="53"/>
  <c r="H47" i="53"/>
  <c r="H44" i="53"/>
  <c r="J44" i="53" s="1"/>
  <c r="H35" i="53"/>
  <c r="H32" i="53"/>
  <c r="J32" i="53" s="1"/>
  <c r="H19" i="53"/>
  <c r="J19" i="53" s="1"/>
  <c r="H118" i="53"/>
  <c r="J118" i="53" s="1"/>
  <c r="H115" i="53"/>
  <c r="H111" i="53"/>
  <c r="J111" i="53" s="1"/>
  <c r="H104" i="53"/>
  <c r="J104" i="53" s="1"/>
  <c r="H98" i="53"/>
  <c r="J98" i="53" s="1"/>
  <c r="H95" i="53"/>
  <c r="H90" i="53"/>
  <c r="H81" i="53"/>
  <c r="H75" i="53"/>
  <c r="H72" i="53"/>
  <c r="H63" i="53"/>
  <c r="J63" i="53" s="1"/>
  <c r="H54" i="53"/>
  <c r="H51" i="53"/>
  <c r="H48" i="53"/>
  <c r="H42" i="53"/>
  <c r="H39" i="53"/>
  <c r="H36" i="53"/>
  <c r="J36" i="53" s="1"/>
  <c r="H27" i="53"/>
  <c r="J27" i="53" s="1"/>
  <c r="H18" i="53"/>
  <c r="J18" i="53" s="1"/>
  <c r="H8" i="53"/>
  <c r="J8" i="53" s="1"/>
  <c r="H29" i="53"/>
  <c r="H23" i="53"/>
  <c r="H22" i="53"/>
  <c r="H21" i="53"/>
  <c r="J21" i="53" s="1"/>
  <c r="H20" i="53"/>
  <c r="H11" i="53"/>
  <c r="J11" i="53" s="1"/>
  <c r="H77" i="53"/>
  <c r="H73" i="53"/>
  <c r="H69" i="53"/>
  <c r="H65" i="53"/>
  <c r="H61" i="53"/>
  <c r="H57" i="53"/>
  <c r="H53" i="53"/>
  <c r="H49" i="53"/>
  <c r="H45" i="53"/>
  <c r="H41" i="53"/>
  <c r="H37" i="53"/>
  <c r="H34" i="53"/>
  <c r="H30" i="53"/>
  <c r="H26" i="53"/>
  <c r="J26" i="53" s="1"/>
  <c r="H25" i="53"/>
  <c r="H24" i="53"/>
  <c r="H17" i="53"/>
  <c r="H16" i="53"/>
  <c r="H12" i="53"/>
  <c r="H7" i="53"/>
  <c r="J7" i="53" s="1"/>
  <c r="H15" i="53"/>
  <c r="H13" i="53"/>
  <c r="H9" i="53"/>
  <c r="J9" i="53" s="1"/>
  <c r="H14" i="53"/>
  <c r="J14" i="53" s="1"/>
  <c r="H10" i="53"/>
  <c r="N31" i="52"/>
  <c r="M31" i="52"/>
  <c r="L31" i="52"/>
  <c r="K31" i="52"/>
  <c r="J31" i="52"/>
  <c r="I31" i="52"/>
  <c r="H31" i="52"/>
  <c r="G31" i="52"/>
  <c r="F31" i="52"/>
  <c r="E31" i="52"/>
  <c r="D31" i="52"/>
  <c r="C31" i="52"/>
  <c r="O30" i="52"/>
  <c r="O29" i="52"/>
  <c r="N26" i="52"/>
  <c r="M26" i="52"/>
  <c r="L26" i="52"/>
  <c r="K26" i="52"/>
  <c r="J26" i="52"/>
  <c r="I26" i="52"/>
  <c r="H26" i="52"/>
  <c r="G26" i="52"/>
  <c r="F26" i="52"/>
  <c r="E26" i="52"/>
  <c r="D26" i="52"/>
  <c r="C26" i="52"/>
  <c r="O25" i="52"/>
  <c r="O24" i="52"/>
  <c r="O23" i="52"/>
  <c r="O22" i="52"/>
  <c r="O21" i="52"/>
  <c r="O20" i="52"/>
  <c r="N17" i="52"/>
  <c r="M17" i="52"/>
  <c r="L17" i="52"/>
  <c r="K17" i="52"/>
  <c r="J17" i="52"/>
  <c r="I17" i="52"/>
  <c r="H17" i="52"/>
  <c r="G17" i="52"/>
  <c r="F17" i="52"/>
  <c r="E17" i="52"/>
  <c r="D17" i="52"/>
  <c r="C17" i="52"/>
  <c r="O16" i="52"/>
  <c r="O15" i="52"/>
  <c r="O14" i="52"/>
  <c r="O13" i="52"/>
  <c r="O12" i="52"/>
  <c r="O11" i="52"/>
  <c r="O10" i="52"/>
  <c r="O9" i="52"/>
  <c r="N5" i="52"/>
  <c r="N6" i="52" s="1"/>
  <c r="M5" i="52"/>
  <c r="M6" i="52" s="1"/>
  <c r="L5" i="52"/>
  <c r="L6" i="52" s="1"/>
  <c r="K5" i="52"/>
  <c r="K6" i="52" s="1"/>
  <c r="J5" i="52"/>
  <c r="I5" i="52"/>
  <c r="I6" i="52" s="1"/>
  <c r="H5" i="52"/>
  <c r="H6" i="52" s="1"/>
  <c r="G5" i="52"/>
  <c r="G6" i="52" s="1"/>
  <c r="F5" i="52"/>
  <c r="E5" i="52"/>
  <c r="E6" i="52" s="1"/>
  <c r="D5" i="52"/>
  <c r="D6" i="52" s="1"/>
  <c r="C5" i="52"/>
  <c r="O4" i="52"/>
  <c r="J3" i="53" l="1"/>
  <c r="L19" i="53"/>
  <c r="L23" i="53"/>
  <c r="J6" i="52"/>
  <c r="J34" i="52" s="1"/>
  <c r="F6" i="52"/>
  <c r="O26" i="52"/>
  <c r="O5" i="52"/>
  <c r="O6" i="52" s="1"/>
  <c r="O31" i="52"/>
  <c r="O17" i="52"/>
  <c r="F34" i="52"/>
  <c r="N34" i="52"/>
  <c r="D34" i="52"/>
  <c r="H34" i="52"/>
  <c r="E34" i="52"/>
  <c r="I34" i="52"/>
  <c r="M34" i="52"/>
  <c r="L34" i="52"/>
  <c r="G34" i="52"/>
  <c r="K34" i="52"/>
  <c r="C6" i="52"/>
  <c r="C34" i="52" s="1"/>
  <c r="O34" i="52" l="1"/>
  <c r="M35" i="52"/>
  <c r="I35" i="52"/>
  <c r="E35" i="52"/>
  <c r="L35" i="52"/>
  <c r="H35" i="52"/>
  <c r="D35" i="52"/>
  <c r="J35" i="52"/>
  <c r="K35" i="52"/>
  <c r="G35" i="52"/>
  <c r="C35" i="52"/>
  <c r="N35" i="52"/>
  <c r="F35" i="52"/>
  <c r="I11" i="37" l="1"/>
  <c r="I12" i="37"/>
  <c r="I13" i="37" l="1"/>
  <c r="O7" i="7" l="1"/>
  <c r="O8" i="7"/>
  <c r="O9" i="7"/>
  <c r="O10" i="7"/>
  <c r="O6" i="7"/>
  <c r="N7" i="7"/>
  <c r="N8" i="7"/>
  <c r="N9" i="7"/>
  <c r="N10" i="7"/>
  <c r="N6" i="7"/>
  <c r="K33" i="46" l="1"/>
  <c r="K32" i="46"/>
  <c r="K31" i="46"/>
  <c r="K30" i="46"/>
  <c r="K29" i="46"/>
  <c r="K28" i="46"/>
  <c r="K27" i="46"/>
  <c r="K26" i="46"/>
  <c r="K25" i="46"/>
  <c r="K24" i="46"/>
  <c r="K23" i="46"/>
  <c r="K22" i="46"/>
  <c r="K21" i="46"/>
  <c r="K20" i="46"/>
  <c r="K19" i="46"/>
  <c r="K18" i="46"/>
  <c r="K17" i="46"/>
  <c r="K16" i="46"/>
  <c r="K15" i="46"/>
  <c r="K14" i="46"/>
  <c r="K13" i="46"/>
  <c r="K12" i="46"/>
  <c r="K11" i="46"/>
  <c r="K10" i="46"/>
  <c r="K9" i="46"/>
  <c r="K8" i="46"/>
  <c r="K7" i="46"/>
  <c r="K6" i="46"/>
  <c r="K5" i="46"/>
  <c r="K4" i="46"/>
  <c r="C4" i="46"/>
  <c r="C5" i="46"/>
  <c r="C6" i="46"/>
  <c r="C7" i="46"/>
  <c r="C8" i="46"/>
  <c r="C9" i="46"/>
  <c r="C10" i="46"/>
  <c r="I14" i="13" l="1"/>
  <c r="H9" i="13"/>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1" i="9"/>
  <c r="C11" i="46" l="1"/>
  <c r="C12" i="46"/>
  <c r="C13" i="46"/>
  <c r="C14" i="46"/>
  <c r="F2" i="5" l="1"/>
  <c r="F14" i="46"/>
  <c r="H14" i="46" s="1"/>
  <c r="F13" i="46"/>
  <c r="G13" i="46" s="1"/>
  <c r="F12" i="46"/>
  <c r="H12" i="46" s="1"/>
  <c r="F11" i="46"/>
  <c r="G11" i="46" s="1"/>
  <c r="F10" i="46"/>
  <c r="H10" i="46" s="1"/>
  <c r="F9" i="46"/>
  <c r="G9" i="46" s="1"/>
  <c r="F8" i="46"/>
  <c r="H8" i="46" s="1"/>
  <c r="F7" i="46"/>
  <c r="G7" i="46" s="1"/>
  <c r="F6" i="46"/>
  <c r="H6" i="46" s="1"/>
  <c r="F5" i="46"/>
  <c r="G5" i="46" s="1"/>
  <c r="F4" i="46"/>
  <c r="H4" i="46" s="1"/>
  <c r="G4" i="46" l="1"/>
  <c r="G12" i="46"/>
  <c r="G8" i="46"/>
  <c r="G6" i="46"/>
  <c r="G10" i="46"/>
  <c r="H5" i="46"/>
  <c r="H9" i="46"/>
  <c r="H13" i="46"/>
  <c r="G14" i="46"/>
  <c r="H7" i="46"/>
  <c r="H11" i="46"/>
  <c r="C4" i="8"/>
  <c r="B4" i="8" s="1"/>
  <c r="C47" i="11" l="1"/>
  <c r="C7" i="11" l="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22" i="37" l="1"/>
  <c r="J6" i="26" l="1"/>
  <c r="J7" i="26"/>
  <c r="J8" i="26"/>
  <c r="J9" i="26"/>
  <c r="J10" i="26"/>
  <c r="J11" i="26"/>
  <c r="J12" i="26"/>
  <c r="J5" i="26"/>
  <c r="C6" i="30"/>
  <c r="D5" i="30" s="1"/>
  <c r="C10" i="30"/>
  <c r="F10" i="30"/>
  <c r="B25" i="30"/>
  <c r="D5" i="26"/>
  <c r="I5" i="26" s="1"/>
  <c r="E5" i="26"/>
  <c r="G5" i="26"/>
  <c r="D6" i="26"/>
  <c r="I6" i="26" s="1"/>
  <c r="E6" i="26"/>
  <c r="G6" i="26"/>
  <c r="D7" i="26"/>
  <c r="I7" i="26" s="1"/>
  <c r="E7" i="26"/>
  <c r="G7" i="26"/>
  <c r="D8" i="26"/>
  <c r="I8" i="26" s="1"/>
  <c r="E8" i="26"/>
  <c r="G8" i="26"/>
  <c r="D9" i="26"/>
  <c r="I9" i="26" s="1"/>
  <c r="E9" i="26"/>
  <c r="G9" i="26"/>
  <c r="D10" i="26"/>
  <c r="I10" i="26" s="1"/>
  <c r="E10" i="26"/>
  <c r="G10" i="26"/>
  <c r="D11" i="26"/>
  <c r="I11" i="26" s="1"/>
  <c r="E11" i="26"/>
  <c r="G11" i="26"/>
  <c r="D12" i="26"/>
  <c r="I12" i="26" s="1"/>
  <c r="E12" i="26"/>
  <c r="G12" i="26"/>
  <c r="J6" i="22"/>
  <c r="E6" i="22" s="1"/>
  <c r="D6" i="20"/>
  <c r="E6" i="20"/>
  <c r="D7" i="20"/>
  <c r="E7" i="20"/>
  <c r="D8" i="20"/>
  <c r="E8" i="20"/>
  <c r="D9" i="20"/>
  <c r="E9" i="20"/>
  <c r="H9" i="20"/>
  <c r="D10" i="20"/>
  <c r="E10" i="20"/>
  <c r="D11" i="20"/>
  <c r="E11" i="20"/>
  <c r="D12" i="20"/>
  <c r="E12" i="20"/>
  <c r="D13" i="20"/>
  <c r="E13" i="20"/>
  <c r="D14" i="20"/>
  <c r="E14" i="20"/>
  <c r="D15" i="20"/>
  <c r="E15" i="20"/>
  <c r="D16" i="20"/>
  <c r="E16" i="20"/>
  <c r="D17" i="20"/>
  <c r="E17" i="20"/>
  <c r="B19" i="20"/>
  <c r="B19" i="13"/>
  <c r="H12" i="26" l="1"/>
  <c r="E16" i="22"/>
  <c r="H11" i="26"/>
  <c r="H10" i="26"/>
  <c r="F12" i="26"/>
  <c r="H8" i="26"/>
  <c r="H7" i="26"/>
  <c r="H6" i="26"/>
  <c r="E24" i="22"/>
  <c r="E8" i="22"/>
  <c r="F9" i="26"/>
  <c r="H9" i="26"/>
  <c r="H5" i="26"/>
  <c r="F8" i="26"/>
  <c r="E29" i="22"/>
  <c r="E26" i="22"/>
  <c r="E21" i="22"/>
  <c r="E18" i="22"/>
  <c r="E13" i="22"/>
  <c r="E10" i="22"/>
  <c r="F5" i="26"/>
  <c r="E23" i="22"/>
  <c r="E15" i="22"/>
  <c r="E7" i="22"/>
  <c r="F10" i="26"/>
  <c r="F6" i="26"/>
  <c r="F11" i="26"/>
  <c r="F7" i="26"/>
  <c r="E30" i="22"/>
  <c r="E28" i="22"/>
  <c r="E27" i="22"/>
  <c r="E25" i="22"/>
  <c r="E22" i="22"/>
  <c r="E20" i="22"/>
  <c r="E19" i="22"/>
  <c r="E17" i="22"/>
  <c r="E14" i="22"/>
  <c r="E12" i="22"/>
  <c r="E11" i="22"/>
  <c r="E9" i="22"/>
  <c r="H20" i="22" l="1"/>
  <c r="H14" i="22"/>
  <c r="H22" i="22"/>
  <c r="H11" i="22"/>
  <c r="H19" i="22"/>
  <c r="H27" i="22"/>
  <c r="H15" i="22"/>
  <c r="H13" i="22"/>
  <c r="H29" i="22"/>
  <c r="H28" i="22"/>
  <c r="H23" i="22"/>
  <c r="H18" i="22"/>
  <c r="H8" i="22"/>
  <c r="H16" i="22"/>
  <c r="H21" i="22"/>
  <c r="H24" i="22"/>
  <c r="G12" i="22"/>
  <c r="H12" i="22"/>
  <c r="H30" i="22"/>
  <c r="H9" i="22"/>
  <c r="H17" i="22"/>
  <c r="H25" i="22"/>
  <c r="G6" i="22"/>
  <c r="H7" i="22"/>
  <c r="H10" i="22"/>
  <c r="H26" i="22"/>
  <c r="H6" i="22"/>
  <c r="G20" i="22"/>
  <c r="G13" i="22"/>
  <c r="G8" i="22"/>
  <c r="G22" i="22"/>
  <c r="G23" i="22"/>
  <c r="G24" i="22"/>
  <c r="G25" i="22"/>
  <c r="G21" i="22"/>
  <c r="G16" i="22"/>
  <c r="G28" i="22"/>
  <c r="G15" i="22"/>
  <c r="G29" i="22"/>
  <c r="G14" i="22"/>
  <c r="G30" i="22"/>
  <c r="G18" i="22"/>
  <c r="G9" i="22"/>
  <c r="G17" i="22"/>
  <c r="G11" i="22"/>
  <c r="G19" i="22"/>
  <c r="G27" i="22"/>
  <c r="G7" i="22"/>
  <c r="G10" i="22"/>
  <c r="G26" i="22"/>
  <c r="F11" i="22"/>
  <c r="F30" i="22"/>
  <c r="F22" i="22"/>
  <c r="F14" i="22"/>
  <c r="F28" i="22"/>
  <c r="F20" i="22"/>
  <c r="F12" i="22"/>
  <c r="F6" i="22"/>
  <c r="F25" i="22"/>
  <c r="F17" i="22"/>
  <c r="F9" i="22"/>
  <c r="F23" i="22"/>
  <c r="F15" i="22"/>
  <c r="F7" i="22"/>
  <c r="F26" i="22"/>
  <c r="F18" i="22"/>
  <c r="F10" i="22"/>
  <c r="F24" i="22"/>
  <c r="F16" i="22"/>
  <c r="F8" i="22"/>
  <c r="F29" i="22"/>
  <c r="F21" i="22"/>
  <c r="F13" i="22"/>
  <c r="F27" i="22"/>
  <c r="F1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DP</author>
  </authors>
  <commentList>
    <comment ref="O6" authorId="0" shapeId="0" xr:uid="{D6294917-BF29-47CA-A7A9-4ABEE79B0761}">
      <text>
        <r>
          <rPr>
            <b/>
            <sz val="9"/>
            <color indexed="9"/>
            <rFont val="Tahoma"/>
            <family val="2"/>
          </rPr>
          <t xml:space="preserve">use rept()
</t>
        </r>
        <r>
          <rPr>
            <sz val="9"/>
            <color indexed="9"/>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Danny</author>
  </authors>
  <commentList>
    <comment ref="H1" authorId="0" shapeId="0" xr:uid="{00000000-0006-0000-0700-000001000000}">
      <text>
        <r>
          <rPr>
            <b/>
            <sz val="9"/>
            <color indexed="81"/>
            <rFont val="Tahoma"/>
            <family val="2"/>
          </rPr>
          <t>Danny:</t>
        </r>
        <r>
          <rPr>
            <sz val="9"/>
            <color indexed="81"/>
            <rFont val="Tahoma"/>
            <family val="2"/>
          </rPr>
          <t xml:space="preserve">
unhide to see a solution
- Try first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 authorId="0" shapeId="0" xr:uid="{00000000-0006-0000-0B00-000001000000}">
      <text>
        <r>
          <rPr>
            <b/>
            <sz val="8"/>
            <color indexed="81"/>
            <rFont val="Tahoma"/>
            <family val="2"/>
          </rPr>
          <t>Use a name based on a formula:
&gt; 7000 is Excellent
&gt;3000 is Well done
...</t>
        </r>
      </text>
    </comment>
    <comment ref="B19" authorId="0" shapeId="0" xr:uid="{00000000-0006-0000-0B00-000002000000}">
      <text>
        <r>
          <rPr>
            <b/>
            <sz val="8"/>
            <color indexed="81"/>
            <rFont val="Tahoma"/>
            <family val="2"/>
          </rPr>
          <t xml:space="preserve">this is done with formatting - user defined
</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Danny</author>
  </authors>
  <commentList>
    <comment ref="D33" authorId="0" shapeId="0" xr:uid="{00000000-0006-0000-0900-000001000000}">
      <text>
        <r>
          <rPr>
            <b/>
            <sz val="9"/>
            <color indexed="81"/>
            <rFont val="Tahoma"/>
            <family val="2"/>
          </rPr>
          <t xml:space="preserve">Solution
</t>
        </r>
        <r>
          <rPr>
            <sz val="9"/>
            <color indexed="81"/>
            <rFont val="Tahoma"/>
            <family val="2"/>
          </rPr>
          <t>http://theexceltrainer.co.uk/how-to-correctly-sort-ip-addresses-in-excel/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Danny</author>
  </authors>
  <commentList>
    <comment ref="D33" authorId="0" shapeId="0" xr:uid="{CCAB2D6F-1879-45C5-9770-E65921FDDB7F}">
      <text>
        <r>
          <rPr>
            <b/>
            <sz val="9"/>
            <color indexed="81"/>
            <rFont val="Tahoma"/>
            <family val="2"/>
          </rPr>
          <t xml:space="preserve">Solution
</t>
        </r>
        <r>
          <rPr>
            <sz val="9"/>
            <color indexed="81"/>
            <rFont val="Tahoma"/>
            <family val="2"/>
          </rPr>
          <t>http://theexceltrainer.co.uk/how-to-correctly-sort-ip-addresses-in-excel/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Purnachandra Rao Duggirala</author>
  </authors>
  <commentList>
    <comment ref="E26" authorId="0" shapeId="0" xr:uid="{00000000-0006-0000-1300-000001000000}">
      <text>
        <r>
          <rPr>
            <sz val="9"/>
            <color indexed="81"/>
            <rFont val="Tahoma"/>
            <family val="2"/>
          </rPr>
          <t>Enter start date &amp; time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DP</author>
  </authors>
  <commentList>
    <comment ref="E5" authorId="0" shapeId="0" xr:uid="{C01A40D3-EA96-44AA-B53A-450B1DA0825B}">
      <text>
        <r>
          <rPr>
            <b/>
            <sz val="9"/>
            <color indexed="81"/>
            <rFont val="Tahoma"/>
            <family val="2"/>
          </rPr>
          <t>DP:</t>
        </r>
        <r>
          <rPr>
            <sz val="9"/>
            <color indexed="81"/>
            <rFont val="Tahoma"/>
            <family val="2"/>
          </rPr>
          <t xml:space="preserve">
Using spill operator in Data validation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02C96A-6E2A-4C49-8CA9-00EA56127E43}" keepAlive="1" name="Query - answers" description="Connection to the 'answers' query in the workbook." type="5" refreshedVersion="8" background="1" saveData="1">
    <dbPr connection="Provider=Microsoft.Mashup.OleDb.1;Data Source=$Workbook$;Location=answers;Extended Properties=&quot;&quot;" command="SELECT * FROM [answers]"/>
  </connection>
  <connection id="2" xr16:uid="{8504F902-D54E-48B0-8F00-6CB97F784169}" keepAlive="1" name="Query - Points" description="Connection to the 'Points' query in the workbook." type="5" refreshedVersion="0" background="1">
    <dbPr connection="Provider=Microsoft.Mashup.OleDb.1;Data Source=$Workbook$;Location=Points;Extended Properties=&quot;&quot;" command="SELECT * FROM [Points]"/>
  </connection>
  <connection id="3" xr16:uid="{8B6A8B5E-9A56-42B1-AED9-B1ED72422B31}" keepAlive="1" name="Query - Stats" description="Connection to the 'Stats' query in the workbook." type="5" refreshedVersion="8" background="1" saveData="1">
    <dbPr connection="Provider=Microsoft.Mashup.OleDb.1;Data Source=$Workbook$;Location=Stats;Extended Properties=&quot;&quot;" command="SELECT * FROM [Stats]"/>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8">
    <bk>
      <extLst>
        <ext uri="{3e2802c4-a4d2-4d8b-9148-e3be6c30e623}">
          <xlrd:rvb i="0"/>
        </ext>
      </extLst>
    </bk>
    <bk>
      <extLst>
        <ext uri="{3e2802c4-a4d2-4d8b-9148-e3be6c30e623}">
          <xlrd:rvb i="30"/>
        </ext>
      </extLst>
    </bk>
    <bk>
      <extLst>
        <ext uri="{3e2802c4-a4d2-4d8b-9148-e3be6c30e623}">
          <xlrd:rvb i="48"/>
        </ext>
      </extLst>
    </bk>
    <bk>
      <extLst>
        <ext uri="{3e2802c4-a4d2-4d8b-9148-e3be6c30e623}">
          <xlrd:rvb i="54"/>
        </ext>
      </extLst>
    </bk>
    <bk>
      <extLst>
        <ext uri="{3e2802c4-a4d2-4d8b-9148-e3be6c30e623}">
          <xlrd:rvb i="83"/>
        </ext>
      </extLst>
    </bk>
    <bk>
      <extLst>
        <ext uri="{3e2802c4-a4d2-4d8b-9148-e3be6c30e623}">
          <xlrd:rvb i="96"/>
        </ext>
      </extLst>
    </bk>
    <bk>
      <extLst>
        <ext uri="{3e2802c4-a4d2-4d8b-9148-e3be6c30e623}">
          <xlrd:rvb i="101"/>
        </ext>
      </extLst>
    </bk>
    <bk>
      <extLst>
        <ext uri="{3e2802c4-a4d2-4d8b-9148-e3be6c30e623}">
          <xlrd:rvb i="131"/>
        </ext>
      </extLst>
    </bk>
    <bk>
      <extLst>
        <ext uri="{3e2802c4-a4d2-4d8b-9148-e3be6c30e623}">
          <xlrd:rvb i="145"/>
        </ext>
      </extLst>
    </bk>
    <bk>
      <extLst>
        <ext uri="{3e2802c4-a4d2-4d8b-9148-e3be6c30e623}">
          <xlrd:rvb i="150"/>
        </ext>
      </extLst>
    </bk>
    <bk>
      <extLst>
        <ext uri="{3e2802c4-a4d2-4d8b-9148-e3be6c30e623}">
          <xlrd:rvb i="180"/>
        </ext>
      </extLst>
    </bk>
    <bk>
      <extLst>
        <ext uri="{3e2802c4-a4d2-4d8b-9148-e3be6c30e623}">
          <xlrd:rvb i="209"/>
        </ext>
      </extLst>
    </bk>
    <bk>
      <extLst>
        <ext uri="{3e2802c4-a4d2-4d8b-9148-e3be6c30e623}">
          <xlrd:rvb i="214"/>
        </ext>
      </extLst>
    </bk>
    <bk>
      <extLst>
        <ext uri="{3e2802c4-a4d2-4d8b-9148-e3be6c30e623}">
          <xlrd:rvb i="245"/>
        </ext>
      </extLst>
    </bk>
    <bk>
      <extLst>
        <ext uri="{3e2802c4-a4d2-4d8b-9148-e3be6c30e623}">
          <xlrd:rvb i="279"/>
        </ext>
      </extLst>
    </bk>
    <bk>
      <extLst>
        <ext uri="{3e2802c4-a4d2-4d8b-9148-e3be6c30e623}">
          <xlrd:rvb i="284"/>
        </ext>
      </extLst>
    </bk>
    <bk>
      <extLst>
        <ext uri="{3e2802c4-a4d2-4d8b-9148-e3be6c30e623}">
          <xlrd:rvb i="314"/>
        </ext>
      </extLst>
    </bk>
    <bk>
      <extLst>
        <ext uri="{3e2802c4-a4d2-4d8b-9148-e3be6c30e623}">
          <xlrd:rvb i="338"/>
        </ext>
      </extLst>
    </bk>
    <bk>
      <extLst>
        <ext uri="{3e2802c4-a4d2-4d8b-9148-e3be6c30e623}">
          <xlrd:rvb i="343"/>
        </ext>
      </extLst>
    </bk>
    <bk>
      <extLst>
        <ext uri="{3e2802c4-a4d2-4d8b-9148-e3be6c30e623}">
          <xlrd:rvb i="373"/>
        </ext>
      </extLst>
    </bk>
    <bk>
      <extLst>
        <ext uri="{3e2802c4-a4d2-4d8b-9148-e3be6c30e623}">
          <xlrd:rvb i="409"/>
        </ext>
      </extLst>
    </bk>
    <bk>
      <extLst>
        <ext uri="{3e2802c4-a4d2-4d8b-9148-e3be6c30e623}">
          <xlrd:rvb i="414"/>
        </ext>
      </extLst>
    </bk>
    <bk>
      <extLst>
        <ext uri="{3e2802c4-a4d2-4d8b-9148-e3be6c30e623}">
          <xlrd:rvb i="444"/>
        </ext>
      </extLst>
    </bk>
    <bk>
      <extLst>
        <ext uri="{3e2802c4-a4d2-4d8b-9148-e3be6c30e623}">
          <xlrd:rvb i="472"/>
        </ext>
      </extLst>
    </bk>
    <bk>
      <extLst>
        <ext uri="{3e2802c4-a4d2-4d8b-9148-e3be6c30e623}">
          <xlrd:rvb i="477"/>
        </ext>
      </extLst>
    </bk>
    <bk>
      <extLst>
        <ext uri="{3e2802c4-a4d2-4d8b-9148-e3be6c30e623}">
          <xlrd:rvb i="506"/>
        </ext>
      </extLst>
    </bk>
    <bk>
      <extLst>
        <ext uri="{3e2802c4-a4d2-4d8b-9148-e3be6c30e623}">
          <xlrd:rvb i="520"/>
        </ext>
      </extLst>
    </bk>
    <bk>
      <extLst>
        <ext uri="{3e2802c4-a4d2-4d8b-9148-e3be6c30e623}">
          <xlrd:rvb i="525"/>
        </ext>
      </extLst>
    </bk>
    <bk>
      <extLst>
        <ext uri="{3e2802c4-a4d2-4d8b-9148-e3be6c30e623}">
          <xlrd:rvb i="555"/>
        </ext>
      </extLst>
    </bk>
    <bk>
      <extLst>
        <ext uri="{3e2802c4-a4d2-4d8b-9148-e3be6c30e623}">
          <xlrd:rvb i="579"/>
        </ext>
      </extLst>
    </bk>
    <bk>
      <extLst>
        <ext uri="{3e2802c4-a4d2-4d8b-9148-e3be6c30e623}">
          <xlrd:rvb i="584"/>
        </ext>
      </extLst>
    </bk>
    <bk>
      <extLst>
        <ext uri="{3e2802c4-a4d2-4d8b-9148-e3be6c30e623}">
          <xlrd:rvb i="613"/>
        </ext>
      </extLst>
    </bk>
    <bk>
      <extLst>
        <ext uri="{3e2802c4-a4d2-4d8b-9148-e3be6c30e623}">
          <xlrd:rvb i="642"/>
        </ext>
      </extLst>
    </bk>
    <bk>
      <extLst>
        <ext uri="{3e2802c4-a4d2-4d8b-9148-e3be6c30e623}">
          <xlrd:rvb i="647"/>
        </ext>
      </extLst>
    </bk>
    <bk>
      <extLst>
        <ext uri="{3e2802c4-a4d2-4d8b-9148-e3be6c30e623}">
          <xlrd:rvb i="677"/>
        </ext>
      </extLst>
    </bk>
    <bk>
      <extLst>
        <ext uri="{3e2802c4-a4d2-4d8b-9148-e3be6c30e623}">
          <xlrd:rvb i="704"/>
        </ext>
      </extLst>
    </bk>
    <bk>
      <extLst>
        <ext uri="{3e2802c4-a4d2-4d8b-9148-e3be6c30e623}">
          <xlrd:rvb i="709"/>
        </ext>
      </extLst>
    </bk>
    <bk>
      <extLst>
        <ext uri="{3e2802c4-a4d2-4d8b-9148-e3be6c30e623}">
          <xlrd:rvb i="738"/>
        </ext>
      </extLst>
    </bk>
    <bk>
      <extLst>
        <ext uri="{3e2802c4-a4d2-4d8b-9148-e3be6c30e623}">
          <xlrd:rvb i="765"/>
        </ext>
      </extLst>
    </bk>
    <bk>
      <extLst>
        <ext uri="{3e2802c4-a4d2-4d8b-9148-e3be6c30e623}">
          <xlrd:rvb i="770"/>
        </ext>
      </extLst>
    </bk>
    <bk>
      <extLst>
        <ext uri="{3e2802c4-a4d2-4d8b-9148-e3be6c30e623}">
          <xlrd:rvb i="803"/>
        </ext>
      </extLst>
    </bk>
    <bk>
      <extLst>
        <ext uri="{3e2802c4-a4d2-4d8b-9148-e3be6c30e623}">
          <xlrd:rvb i="837"/>
        </ext>
      </extLst>
    </bk>
    <bk>
      <extLst>
        <ext uri="{3e2802c4-a4d2-4d8b-9148-e3be6c30e623}">
          <xlrd:rvb i="842"/>
        </ext>
      </extLst>
    </bk>
    <bk>
      <extLst>
        <ext uri="{3e2802c4-a4d2-4d8b-9148-e3be6c30e623}">
          <xlrd:rvb i="871"/>
        </ext>
      </extLst>
    </bk>
    <bk>
      <extLst>
        <ext uri="{3e2802c4-a4d2-4d8b-9148-e3be6c30e623}">
          <xlrd:rvb i="884"/>
        </ext>
      </extLst>
    </bk>
    <bk>
      <extLst>
        <ext uri="{3e2802c4-a4d2-4d8b-9148-e3be6c30e623}">
          <xlrd:rvb i="890"/>
        </ext>
      </extLst>
    </bk>
    <bk>
      <extLst>
        <ext uri="{3e2802c4-a4d2-4d8b-9148-e3be6c30e623}">
          <xlrd:rvb i="924"/>
        </ext>
      </extLst>
    </bk>
    <bk>
      <extLst>
        <ext uri="{3e2802c4-a4d2-4d8b-9148-e3be6c30e623}">
          <xlrd:rvb i="966"/>
        </ext>
      </extLst>
    </bk>
  </futureMetadata>
  <cellMetadata count="1">
    <bk>
      <rc t="1" v="0"/>
    </bk>
  </cellMetadata>
  <valueMetadata count="4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valueMetadata>
</metadata>
</file>

<file path=xl/sharedStrings.xml><?xml version="1.0" encoding="utf-8"?>
<sst xmlns="http://schemas.openxmlformats.org/spreadsheetml/2006/main" count="140761" uniqueCount="8954">
  <si>
    <t>Syntax voor opmaak</t>
  </si>
  <si>
    <t>Codes Mise en Forme</t>
  </si>
  <si>
    <t>Cumuleren</t>
  </si>
  <si>
    <t>Cumulated Results</t>
  </si>
  <si>
    <t>Cumulations</t>
  </si>
  <si>
    <t>Garages</t>
  </si>
  <si>
    <t>NL</t>
  </si>
  <si>
    <t>EN</t>
  </si>
  <si>
    <t>FR</t>
  </si>
  <si>
    <t>Menu</t>
  </si>
  <si>
    <t>Home</t>
  </si>
  <si>
    <t>Accueil</t>
  </si>
  <si>
    <t>Hoofdmenu</t>
  </si>
  <si>
    <t>Main Menu</t>
  </si>
  <si>
    <t>Menu Principal</t>
  </si>
  <si>
    <t>Results2</t>
  </si>
  <si>
    <t>Results</t>
  </si>
  <si>
    <t>F</t>
  </si>
  <si>
    <t>Florence Rossi</t>
  </si>
  <si>
    <t>Véronique Lefebvre</t>
  </si>
  <si>
    <t>Isabelle Livemont</t>
  </si>
  <si>
    <t>M</t>
  </si>
  <si>
    <t>Jean-Marc Barthélemi</t>
  </si>
  <si>
    <t>Isabelle Huart</t>
  </si>
  <si>
    <t>Philippe Lelaid</t>
  </si>
  <si>
    <t>Pierre Marchand</t>
  </si>
  <si>
    <t>Lucien Gilbert</t>
  </si>
  <si>
    <t>Cédric Swennen</t>
  </si>
  <si>
    <t>Capucine Lechat</t>
  </si>
  <si>
    <t>Jeanne Calmant</t>
  </si>
  <si>
    <t>Emmanuelle Vandenstucken</t>
  </si>
  <si>
    <t>Laurence Gervasoni</t>
  </si>
  <si>
    <t>Gérard Mensaif</t>
  </si>
  <si>
    <t>Sophie Schmidt</t>
  </si>
  <si>
    <t>Caroline Deveyer</t>
  </si>
  <si>
    <t>Marie Curry</t>
  </si>
  <si>
    <t>Laurence Urges</t>
  </si>
  <si>
    <t>Petit Jeanne</t>
  </si>
  <si>
    <t>Henri Charles</t>
  </si>
  <si>
    <t>Yvan Noé</t>
  </si>
  <si>
    <t>Héol Lienne</t>
  </si>
  <si>
    <t>Mac Donald</t>
  </si>
  <si>
    <t>Soubiroux Bernadette</t>
  </si>
  <si>
    <t>Leclerc Yvonne</t>
  </si>
  <si>
    <t>OK?</t>
  </si>
  <si>
    <t>Age</t>
  </si>
  <si>
    <t>Height</t>
  </si>
  <si>
    <t>Gender</t>
  </si>
  <si>
    <t>Name</t>
  </si>
  <si>
    <t>R and D</t>
  </si>
  <si>
    <t>Research Scientist</t>
  </si>
  <si>
    <t>Valerie</t>
  </si>
  <si>
    <t>Alexandra</t>
  </si>
  <si>
    <t>Marketing</t>
  </si>
  <si>
    <t>Group Assist.</t>
  </si>
  <si>
    <t>Maurice</t>
  </si>
  <si>
    <t>Adams</t>
  </si>
  <si>
    <t>Johan</t>
  </si>
  <si>
    <t>Product Marketer</t>
  </si>
  <si>
    <t>Goldberg</t>
  </si>
  <si>
    <t>Christophe</t>
  </si>
  <si>
    <t>Group Mgr.</t>
  </si>
  <si>
    <t>Sam</t>
  </si>
  <si>
    <t>Engineering</t>
  </si>
  <si>
    <t>Aline</t>
  </si>
  <si>
    <t>Marie</t>
  </si>
  <si>
    <t>David</t>
  </si>
  <si>
    <t>Alice</t>
  </si>
  <si>
    <t>Albert</t>
  </si>
  <si>
    <t>Technician</t>
  </si>
  <si>
    <t>François</t>
  </si>
  <si>
    <t>Arnaud</t>
  </si>
  <si>
    <t>Mechanical Engineer</t>
  </si>
  <si>
    <t>Jessica</t>
  </si>
  <si>
    <t>Jeannette</t>
  </si>
  <si>
    <t>Wilde</t>
  </si>
  <si>
    <t>Software Engineer</t>
  </si>
  <si>
    <t>Catherine</t>
  </si>
  <si>
    <t>Coenen</t>
  </si>
  <si>
    <t>Denis</t>
  </si>
  <si>
    <t>Collaert</t>
  </si>
  <si>
    <t>Eric</t>
  </si>
  <si>
    <t>Conrad</t>
  </si>
  <si>
    <t>Senior Engineer</t>
  </si>
  <si>
    <t>Michèle</t>
  </si>
  <si>
    <t>Alesi</t>
  </si>
  <si>
    <t>Admin</t>
  </si>
  <si>
    <t>Admin Assist.</t>
  </si>
  <si>
    <t>Wolf</t>
  </si>
  <si>
    <t>Jean</t>
  </si>
  <si>
    <t>Wiels</t>
  </si>
  <si>
    <t>Joseph</t>
  </si>
  <si>
    <t>Van Steen</t>
  </si>
  <si>
    <t>Jacques</t>
  </si>
  <si>
    <t>Spiros</t>
  </si>
  <si>
    <t>Cost Accountant</t>
  </si>
  <si>
    <t>Phillipe</t>
  </si>
  <si>
    <t>Senna</t>
  </si>
  <si>
    <t>Patrick</t>
  </si>
  <si>
    <t>Richards</t>
  </si>
  <si>
    <t>Misentos</t>
  </si>
  <si>
    <t>Michel</t>
  </si>
  <si>
    <t>Johnson</t>
  </si>
  <si>
    <t>Gert</t>
  </si>
  <si>
    <t>Johanus</t>
  </si>
  <si>
    <t>Engineering Mgr.</t>
  </si>
  <si>
    <t>Andrée</t>
  </si>
  <si>
    <t>Hill</t>
  </si>
  <si>
    <t>Caroline</t>
  </si>
  <si>
    <t>Fourneaux</t>
  </si>
  <si>
    <t>Flair</t>
  </si>
  <si>
    <t>Susane</t>
  </si>
  <si>
    <t>Bllllavier</t>
  </si>
  <si>
    <t>Pierre</t>
  </si>
  <si>
    <t>Bartin</t>
  </si>
  <si>
    <t>Aruda</t>
  </si>
  <si>
    <t>Felice</t>
  </si>
  <si>
    <t>Arton</t>
  </si>
  <si>
    <t>Fernand</t>
  </si>
  <si>
    <t>Arnisi</t>
  </si>
  <si>
    <t>Departement</t>
  </si>
  <si>
    <t>Amount between 100000 and 200000</t>
  </si>
  <si>
    <t>Lettre ville début &gt;T et &lt;W</t>
  </si>
  <si>
    <t>Lettre ville début &gt;T  Attention :=T inclus dans ce cas</t>
  </si>
  <si>
    <t>Adresses contenant chemin pour SPRL et weg pour BVBA</t>
  </si>
  <si>
    <t xml:space="preserve">Advanced </t>
  </si>
  <si>
    <t>Personnes nées en 1940</t>
  </si>
  <si>
    <t>Personnes entre 40 et 50 ans</t>
  </si>
  <si>
    <t xml:space="preserve">Personnes de plus de 60 ans </t>
  </si>
  <si>
    <t>Villes contenant « X » mais pas « LL »</t>
  </si>
  <si>
    <t>Nombre  dont 2ème lettre ville = O et contient Z</t>
  </si>
  <si>
    <t>Nombre de villes de 3 caractères</t>
  </si>
  <si>
    <t>Nombre de villes se terminant par « en »</t>
  </si>
  <si>
    <t>6 + 1 = 7</t>
  </si>
  <si>
    <t>Nombre d’adresses au N° 8</t>
  </si>
  <si>
    <t>Nombre d’adresses contenant N° 8</t>
  </si>
  <si>
    <t>Car Land bvba (243)</t>
  </si>
  <si>
    <t>Quelle est la société qui contient SPRL ou BVBA</t>
  </si>
  <si>
    <t>185-486-513</t>
  </si>
  <si>
    <t>Quels sont les 3 garages contenant « rue » et ne commençant pas par « rue »</t>
  </si>
  <si>
    <t>Nombre garage dont adresse contient rue</t>
  </si>
  <si>
    <t>Nombre garage dont adresse commence par rue</t>
  </si>
  <si>
    <t>Nombre de SPRL et BVBA</t>
  </si>
  <si>
    <t>Nombre de SPRL</t>
  </si>
  <si>
    <t>Nombre de BVBA</t>
  </si>
  <si>
    <t>Nombre garages NL dans tel Zone 02</t>
  </si>
  <si>
    <t>Nombre garages NL</t>
  </si>
  <si>
    <t>non</t>
  </si>
  <si>
    <t>Zbinden</t>
  </si>
  <si>
    <t>Béatrice</t>
  </si>
  <si>
    <t>WANDRE</t>
  </si>
  <si>
    <t>JET SET IMPORT</t>
  </si>
  <si>
    <t>oui</t>
  </si>
  <si>
    <t>Zandona</t>
  </si>
  <si>
    <t>Salvatore</t>
  </si>
  <si>
    <t>WAVRE</t>
  </si>
  <si>
    <t>JEANQUART SPRL</t>
  </si>
  <si>
    <t>N</t>
  </si>
  <si>
    <t>Yvan</t>
  </si>
  <si>
    <t>645.188.867</t>
  </si>
  <si>
    <t>BELSELE</t>
  </si>
  <si>
    <t>JEAN PIERRE GGE</t>
  </si>
  <si>
    <t>439.931.919</t>
  </si>
  <si>
    <t>GLIMES</t>
  </si>
  <si>
    <t>JEAN FRANCOIS VINCENT SC</t>
  </si>
  <si>
    <t>Wyckmans</t>
  </si>
  <si>
    <t>Sylvie</t>
  </si>
  <si>
    <t>HEPPIGNIES</t>
  </si>
  <si>
    <t>JB ORGANISATION</t>
  </si>
  <si>
    <t>Wulleman</t>
  </si>
  <si>
    <t>Paul</t>
  </si>
  <si>
    <t>720.002.789</t>
  </si>
  <si>
    <t>MOLLEM</t>
  </si>
  <si>
    <t>JANSSENS L GGE</t>
  </si>
  <si>
    <t>Wouters</t>
  </si>
  <si>
    <t>Luc</t>
  </si>
  <si>
    <t>TAMINES</t>
  </si>
  <si>
    <t>JANSSENS</t>
  </si>
  <si>
    <t>Wolters</t>
  </si>
  <si>
    <t>Geoffroy</t>
  </si>
  <si>
    <t>696.193.843</t>
  </si>
  <si>
    <t>ZONHOVEN</t>
  </si>
  <si>
    <t>JANS JEAN PIERRE</t>
  </si>
  <si>
    <t>THEUX</t>
  </si>
  <si>
    <t>JAMINON OCCASION</t>
  </si>
  <si>
    <t>Wirtz</t>
  </si>
  <si>
    <t>Pol</t>
  </si>
  <si>
    <t>MARCINELLE</t>
  </si>
  <si>
    <t>JAGER ERIC ETS</t>
  </si>
  <si>
    <t>Willems</t>
  </si>
  <si>
    <t>Jany</t>
  </si>
  <si>
    <t>HASSELT</t>
  </si>
  <si>
    <t>JAENEN G</t>
  </si>
  <si>
    <t>Didier</t>
  </si>
  <si>
    <t>437.584.618</t>
  </si>
  <si>
    <t>WATERLOO</t>
  </si>
  <si>
    <t>JADOT JP GGE SPRL</t>
  </si>
  <si>
    <t>Willaert</t>
  </si>
  <si>
    <t>Claude</t>
  </si>
  <si>
    <t>438.988.544</t>
  </si>
  <si>
    <t>BRUXELLES</t>
  </si>
  <si>
    <t>JADOT GGE SPRL</t>
  </si>
  <si>
    <t>Philippe</t>
  </si>
  <si>
    <t>LEDEGEM</t>
  </si>
  <si>
    <t>JACQUES RIK GGE</t>
  </si>
  <si>
    <t>Whitburn</t>
  </si>
  <si>
    <t>Mike</t>
  </si>
  <si>
    <t>LESVE</t>
  </si>
  <si>
    <t>JACQUEMART GGE</t>
  </si>
  <si>
    <t>Weyden</t>
  </si>
  <si>
    <t>Joep</t>
  </si>
  <si>
    <t>411.532.792</t>
  </si>
  <si>
    <t>MUIZEN</t>
  </si>
  <si>
    <t>JACOBS J &amp; G GGE BVBA</t>
  </si>
  <si>
    <t>Werbrouck</t>
  </si>
  <si>
    <t>Pascale</t>
  </si>
  <si>
    <t>400.637.219</t>
  </si>
  <si>
    <t>ZAVENTEM</t>
  </si>
  <si>
    <t>JACOBS F &amp; ZONEN GGE BVBA</t>
  </si>
  <si>
    <t>454.301.874</t>
  </si>
  <si>
    <t>MARCHE EN FAMENNE</t>
  </si>
  <si>
    <t>J.M.W. AUTOMOBILES SA</t>
  </si>
  <si>
    <t>Wellens</t>
  </si>
  <si>
    <t>545.606.291</t>
  </si>
  <si>
    <t>RIXENSART</t>
  </si>
  <si>
    <t>J.L.B. CARS</t>
  </si>
  <si>
    <t>Weldman</t>
  </si>
  <si>
    <t>Myriam</t>
  </si>
  <si>
    <t>WAREMME</t>
  </si>
  <si>
    <t>J M SERVICE</t>
  </si>
  <si>
    <t>Weiser</t>
  </si>
  <si>
    <t>Daniel</t>
  </si>
  <si>
    <t>GINGELOM</t>
  </si>
  <si>
    <t>ISTAS GGE</t>
  </si>
  <si>
    <t>Weidenbach</t>
  </si>
  <si>
    <t>566.696.863</t>
  </si>
  <si>
    <t>INTL BUSINESS CAR</t>
  </si>
  <si>
    <t>439.412.275</t>
  </si>
  <si>
    <t>INTERCONTINENTAL CAR EXPORT SA</t>
  </si>
  <si>
    <t>Weber</t>
  </si>
  <si>
    <t>Yannick</t>
  </si>
  <si>
    <t>MELLE</t>
  </si>
  <si>
    <t>INTERCAR</t>
  </si>
  <si>
    <t>635.106.213</t>
  </si>
  <si>
    <t>WOMMELGEM</t>
  </si>
  <si>
    <t>INTER CARS GGE</t>
  </si>
  <si>
    <t>422.580.302</t>
  </si>
  <si>
    <t>SAINT GHISLAIN</t>
  </si>
  <si>
    <t>INTER-AUTO GGE SPRL</t>
  </si>
  <si>
    <t>422.059.470</t>
  </si>
  <si>
    <t>SCHOTEN</t>
  </si>
  <si>
    <t>INIMEX BVBA</t>
  </si>
  <si>
    <t>Warnecke</t>
  </si>
  <si>
    <t>451.238.951</t>
  </si>
  <si>
    <t>ROESELARE</t>
  </si>
  <si>
    <t>INGELS CAR &amp; TRUCK GGE BVBA</t>
  </si>
  <si>
    <t>Walravens</t>
  </si>
  <si>
    <t>Jean-Michel</t>
  </si>
  <si>
    <t>GENT</t>
  </si>
  <si>
    <t>INATRA BVBA</t>
  </si>
  <si>
    <t>Corinne</t>
  </si>
  <si>
    <t>412.984.527</t>
  </si>
  <si>
    <t>WEPION</t>
  </si>
  <si>
    <t>IMPORAUTOPNEU SPRL</t>
  </si>
  <si>
    <t>Walach</t>
  </si>
  <si>
    <t>Siegfried</t>
  </si>
  <si>
    <t>676.098.611</t>
  </si>
  <si>
    <t>IZEGEM</t>
  </si>
  <si>
    <t>IMPENS HENK</t>
  </si>
  <si>
    <t>Michael</t>
  </si>
  <si>
    <t>435.466.850</t>
  </si>
  <si>
    <t>WILRIJK</t>
  </si>
  <si>
    <t>IMEXCO NV</t>
  </si>
  <si>
    <t>METTET</t>
  </si>
  <si>
    <t>IDEAL SERVICE</t>
  </si>
  <si>
    <t>Vyncke</t>
  </si>
  <si>
    <t>Françoise</t>
  </si>
  <si>
    <t>639.353.427</t>
  </si>
  <si>
    <t>HERENT</t>
  </si>
  <si>
    <t>IDEAL GGE</t>
  </si>
  <si>
    <t>431.074.037</t>
  </si>
  <si>
    <t>CHATELET</t>
  </si>
  <si>
    <t>IDEAL-AUTO GGE SC</t>
  </si>
  <si>
    <t>Visart</t>
  </si>
  <si>
    <t>Etienne</t>
  </si>
  <si>
    <t>JUMET</t>
  </si>
  <si>
    <t>ICRET GGE</t>
  </si>
  <si>
    <t>Vilain-XIV</t>
  </si>
  <si>
    <t>Jean-François</t>
  </si>
  <si>
    <t>431.795.104</t>
  </si>
  <si>
    <t>IBERCAR BVBA</t>
  </si>
  <si>
    <t>Verhoeven</t>
  </si>
  <si>
    <t>Kristien</t>
  </si>
  <si>
    <t>401.977.502</t>
  </si>
  <si>
    <t>I.P.A.C. SPRL</t>
  </si>
  <si>
    <t>Verhelle</t>
  </si>
  <si>
    <t>Anthony</t>
  </si>
  <si>
    <t>633.026.849</t>
  </si>
  <si>
    <t>KONTICH</t>
  </si>
  <si>
    <t>HUYSMANS GGE</t>
  </si>
  <si>
    <t>Verhaeghe</t>
  </si>
  <si>
    <t>NEVELE (LANDEGEM)</t>
  </si>
  <si>
    <t>HUYSMAN GGE</t>
  </si>
  <si>
    <t>444.903.762</t>
  </si>
  <si>
    <t>MORTSEL</t>
  </si>
  <si>
    <t>HUYBREGTS GGE BVBA</t>
  </si>
  <si>
    <t>Verfaillie</t>
  </si>
  <si>
    <t>Lia</t>
  </si>
  <si>
    <t>424.990.157</t>
  </si>
  <si>
    <t>DILBEEK</t>
  </si>
  <si>
    <t>HUMA BVBA (STATION SHELL)</t>
  </si>
  <si>
    <t>Verdoodt</t>
  </si>
  <si>
    <t>Jean-Luc</t>
  </si>
  <si>
    <t>WAREGEM</t>
  </si>
  <si>
    <t>HUBERT (AUTOBEDRIJF) BVBA</t>
  </si>
  <si>
    <t>FOSSES LA VILLE</t>
  </si>
  <si>
    <t>HOUZE</t>
  </si>
  <si>
    <t>Verbois</t>
  </si>
  <si>
    <t>Chantal</t>
  </si>
  <si>
    <t>519.873.676</t>
  </si>
  <si>
    <t>BRUGGE</t>
  </si>
  <si>
    <t>HOUTTEMAN HUGO GGE</t>
  </si>
  <si>
    <t>Verbist</t>
  </si>
  <si>
    <t>Léa</t>
  </si>
  <si>
    <t>697.322.904</t>
  </si>
  <si>
    <t>LANAKEN</t>
  </si>
  <si>
    <t>HOUBEN NICO GGE/CARR.</t>
  </si>
  <si>
    <t>Verbeurgt</t>
  </si>
  <si>
    <t>728.160.786</t>
  </si>
  <si>
    <t>BALEN</t>
  </si>
  <si>
    <t>HOUBEN GUIDO GGE</t>
  </si>
  <si>
    <t>530.254.854</t>
  </si>
  <si>
    <t>STADEN</t>
  </si>
  <si>
    <t>HOORELBEKE ROGER</t>
  </si>
  <si>
    <t>684.270.662</t>
  </si>
  <si>
    <t>BEVEREN WAAS</t>
  </si>
  <si>
    <t>HOLLANDERS ROY</t>
  </si>
  <si>
    <t>427.444.158</t>
  </si>
  <si>
    <t>PUURS</t>
  </si>
  <si>
    <t>HOFMANS E &amp; J GGE BVBA</t>
  </si>
  <si>
    <t>Vanspeybroek</t>
  </si>
  <si>
    <t>Patsy</t>
  </si>
  <si>
    <t>LINTER (ORSMAAL)</t>
  </si>
  <si>
    <t>HOEBREGS FREDDY</t>
  </si>
  <si>
    <t>Vanrielaere</t>
  </si>
  <si>
    <t>Jean-Pierre</t>
  </si>
  <si>
    <t>407.685.159</t>
  </si>
  <si>
    <t>HIPPODROME (GGE DE L) SPRL</t>
  </si>
  <si>
    <t>Vanoverbeke</t>
  </si>
  <si>
    <t>Piet</t>
  </si>
  <si>
    <t>569.083.360</t>
  </si>
  <si>
    <t>MEEUWEN-GRUITRODE</t>
  </si>
  <si>
    <t>HILKENS &amp; ZONEN (AUTOHANDEL)</t>
  </si>
  <si>
    <t>743.137.685</t>
  </si>
  <si>
    <t>BUGGENHOUT</t>
  </si>
  <si>
    <t>HEYMANS MARC</t>
  </si>
  <si>
    <t>407.903.905</t>
  </si>
  <si>
    <t>LEUVEN</t>
  </si>
  <si>
    <t>HEVERLEE MOTORS BVBA</t>
  </si>
  <si>
    <t>Vanleeuwen</t>
  </si>
  <si>
    <t>Geertrui</t>
  </si>
  <si>
    <t>LANDELIES</t>
  </si>
  <si>
    <t>HEUCHAMPS</t>
  </si>
  <si>
    <t>Vanlaet</t>
  </si>
  <si>
    <t>Guy</t>
  </si>
  <si>
    <t>572.193.991</t>
  </si>
  <si>
    <t>KORTENAKEN</t>
  </si>
  <si>
    <t>HERMANS P GGE</t>
  </si>
  <si>
    <t>Vanlaere</t>
  </si>
  <si>
    <t>Gisèle</t>
  </si>
  <si>
    <t>GLABBEEK</t>
  </si>
  <si>
    <t>HERMANS LAUWENS GGE</t>
  </si>
  <si>
    <t>Vanlaarhoven</t>
  </si>
  <si>
    <t>Gustaaf</t>
  </si>
  <si>
    <t>746.098.858</t>
  </si>
  <si>
    <t>OVERIJSE</t>
  </si>
  <si>
    <t>HERMANGE RAYMOND</t>
  </si>
  <si>
    <t>512.013.114</t>
  </si>
  <si>
    <t>WUUSTWEZEL</t>
  </si>
  <si>
    <t>HERMAN PIERRE GGE</t>
  </si>
  <si>
    <t>Vanhetgroenewoud</t>
  </si>
  <si>
    <t>Sandro</t>
  </si>
  <si>
    <t>511.707.365</t>
  </si>
  <si>
    <t>BORGERHOUT</t>
  </si>
  <si>
    <t>HEREMANS A (AUTOHANDEL)</t>
  </si>
  <si>
    <t>Vangramberen</t>
  </si>
  <si>
    <t>Jean-Jacques</t>
  </si>
  <si>
    <t>GROOT BIJGAARDEN</t>
  </si>
  <si>
    <t>HEREMANS</t>
  </si>
  <si>
    <t>FLEURUS</t>
  </si>
  <si>
    <t>HENRY GGE</t>
  </si>
  <si>
    <t>Vanesse</t>
  </si>
  <si>
    <t>Simone</t>
  </si>
  <si>
    <t>442.389.284</t>
  </si>
  <si>
    <t>RETINNE</t>
  </si>
  <si>
    <t>HENRY ERIC SA</t>
  </si>
  <si>
    <t>Vanespen</t>
  </si>
  <si>
    <t>565.017.674</t>
  </si>
  <si>
    <t>HENNEUSE STANLEY</t>
  </si>
  <si>
    <t>Vandoorselaere</t>
  </si>
  <si>
    <t>Marie-Louise</t>
  </si>
  <si>
    <t>612.668.925</t>
  </si>
  <si>
    <t>MELLET</t>
  </si>
  <si>
    <t>HENNEBERT J.P.</t>
  </si>
  <si>
    <t>Vandewoude</t>
  </si>
  <si>
    <t>Ines</t>
  </si>
  <si>
    <t>DILSEN</t>
  </si>
  <si>
    <t>HENDRIKX &amp; ZOON</t>
  </si>
  <si>
    <t>Vandewoestijne</t>
  </si>
  <si>
    <t>Sophie</t>
  </si>
  <si>
    <t>Hendrickx Automobile</t>
  </si>
  <si>
    <t>Vandewalle</t>
  </si>
  <si>
    <t>Jacqueline</t>
  </si>
  <si>
    <t>564.622.746</t>
  </si>
  <si>
    <t>HEMES ALAIN</t>
  </si>
  <si>
    <t>Vandevyver</t>
  </si>
  <si>
    <t>Roland</t>
  </si>
  <si>
    <t>437.773.965</t>
  </si>
  <si>
    <t>Sint Niklaas</t>
  </si>
  <si>
    <t>Hemelaer Yves  NV</t>
  </si>
  <si>
    <t>Vandevelde</t>
  </si>
  <si>
    <t>427.955.882</t>
  </si>
  <si>
    <t>HELMET CARS SA</t>
  </si>
  <si>
    <t>Fabienne</t>
  </si>
  <si>
    <t>HASSELTSE AUTOCENTRALE</t>
  </si>
  <si>
    <t>662.262.946</t>
  </si>
  <si>
    <t>CHIMAY</t>
  </si>
  <si>
    <t>HARDENNE BRUNO</t>
  </si>
  <si>
    <t>440.795.318</t>
  </si>
  <si>
    <t>HANCIAUX BRUSSELS</t>
  </si>
  <si>
    <t>HALON JEAN-LUC</t>
  </si>
  <si>
    <t>HENRI CHAPELLE</t>
  </si>
  <si>
    <t>HALLEUX H</t>
  </si>
  <si>
    <t>Vandermeulen</t>
  </si>
  <si>
    <t>Bruno</t>
  </si>
  <si>
    <t>PONT A CELLES</t>
  </si>
  <si>
    <t>HAGON GGE</t>
  </si>
  <si>
    <t>600.442.371</t>
  </si>
  <si>
    <t>LIEGE</t>
  </si>
  <si>
    <t>HABRAN HENRI GGE</t>
  </si>
  <si>
    <t>411.661.763</t>
  </si>
  <si>
    <t>GXL AUTOS SA</t>
  </si>
  <si>
    <t>Vandeperre</t>
  </si>
  <si>
    <t>Jan</t>
  </si>
  <si>
    <t>444.946.522</t>
  </si>
  <si>
    <t>FRASNES L/G</t>
  </si>
  <si>
    <t>GURZO AUTO-TECHNICA SPRL</t>
  </si>
  <si>
    <t>Vandenkerkhove</t>
  </si>
  <si>
    <t>Marc</t>
  </si>
  <si>
    <t>440.932.009</t>
  </si>
  <si>
    <t>PIN</t>
  </si>
  <si>
    <t>GUISSARD GGE SA</t>
  </si>
  <si>
    <t>Vandenhauten</t>
  </si>
  <si>
    <t>COURCELLES</t>
  </si>
  <si>
    <t>GUILLAIN A</t>
  </si>
  <si>
    <t>452.939.322</t>
  </si>
  <si>
    <t>GUIDO'S CARS NV</t>
  </si>
  <si>
    <t>Vandendorpe</t>
  </si>
  <si>
    <t>Véronique</t>
  </si>
  <si>
    <t>440.107.509</t>
  </si>
  <si>
    <t>GENK</t>
  </si>
  <si>
    <t>GUIDO GGE BVBA</t>
  </si>
  <si>
    <t>729.259.460</t>
  </si>
  <si>
    <t>HEERS</t>
  </si>
  <si>
    <t>GUFFENS TONY</t>
  </si>
  <si>
    <t>Jean-Marie</t>
  </si>
  <si>
    <t>747.251.277</t>
  </si>
  <si>
    <t>SINT PIETERS LEEUW</t>
  </si>
  <si>
    <t>GRYSOUILLE THIERRY CARS</t>
  </si>
  <si>
    <t>Bernard</t>
  </si>
  <si>
    <t>579.665.367</t>
  </si>
  <si>
    <t>MALDEREN</t>
  </si>
  <si>
    <t>GROENHOF GGE</t>
  </si>
  <si>
    <t>MONCEAU S/SAMBRE</t>
  </si>
  <si>
    <t>GRELAK JP GGE</t>
  </si>
  <si>
    <t>CEREXHE-HEUSEUX</t>
  </si>
  <si>
    <t>GREGOIRE</t>
  </si>
  <si>
    <t>Vandenbosch</t>
  </si>
  <si>
    <t>Anouk</t>
  </si>
  <si>
    <t>662.201.875</t>
  </si>
  <si>
    <t>GRANDFILS JEAN PIERRE</t>
  </si>
  <si>
    <t>BOUGE</t>
  </si>
  <si>
    <t>GRANDE SANTO GGE</t>
  </si>
  <si>
    <t>401.727.181</t>
  </si>
  <si>
    <t>FONTAINE L EVEQUE</t>
  </si>
  <si>
    <t>GOYENS G</t>
  </si>
  <si>
    <t>422.111.039</t>
  </si>
  <si>
    <t>RANSART</t>
  </si>
  <si>
    <t>GOREUX GGE SPRL</t>
  </si>
  <si>
    <t>DIEST</t>
  </si>
  <si>
    <t>GOOVAERTS Georges</t>
  </si>
  <si>
    <t>Vandegoor</t>
  </si>
  <si>
    <t>Natacha</t>
  </si>
  <si>
    <t>746.181.408</t>
  </si>
  <si>
    <t>HULDENBERG</t>
  </si>
  <si>
    <t>GOOSSENS DIRK AUTOHANDEL/CARR.</t>
  </si>
  <si>
    <t>Vandecasteele</t>
  </si>
  <si>
    <t>762.168.293</t>
  </si>
  <si>
    <t>ROUX</t>
  </si>
  <si>
    <t>GOMY FABRICE GGE</t>
  </si>
  <si>
    <t>Vandebroek</t>
  </si>
  <si>
    <t>Peter</t>
  </si>
  <si>
    <t>567.338.647</t>
  </si>
  <si>
    <t>GOLOMB GGE (THE NICE CAR)</t>
  </si>
  <si>
    <t>439.297.657</t>
  </si>
  <si>
    <t>BEERSEL</t>
  </si>
  <si>
    <t>GOLDIE CAR SA</t>
  </si>
  <si>
    <t>Vanbarlem</t>
  </si>
  <si>
    <t>Barbara</t>
  </si>
  <si>
    <t>775.156.692</t>
  </si>
  <si>
    <t>GOLDENBERG JOSEPH</t>
  </si>
  <si>
    <t>VanAarden</t>
  </si>
  <si>
    <t>Marcel</t>
  </si>
  <si>
    <t>435.595.326</t>
  </si>
  <si>
    <t>BOCHOLT</t>
  </si>
  <si>
    <t>GOJAN GGE NV</t>
  </si>
  <si>
    <t>W</t>
  </si>
  <si>
    <t>705.608.880</t>
  </si>
  <si>
    <t>GOFFLO JOS AUTOHANDEL</t>
  </si>
  <si>
    <t>KORTRIJK</t>
  </si>
  <si>
    <t>GOEMINNE JAN</t>
  </si>
  <si>
    <t>Van Wachen</t>
  </si>
  <si>
    <t>SAINT VITH</t>
  </si>
  <si>
    <t>GM AUTOMOBILE</t>
  </si>
  <si>
    <t>Van Vaerenberg</t>
  </si>
  <si>
    <t>Martine</t>
  </si>
  <si>
    <t>626.334.641</t>
  </si>
  <si>
    <t>BRUNEHAUT</t>
  </si>
  <si>
    <t>GLORIEUX R GGE</t>
  </si>
  <si>
    <t>Van Strijdonck</t>
  </si>
  <si>
    <t>456.205.153</t>
  </si>
  <si>
    <t>GLOBAL ASSISTANCE</t>
  </si>
  <si>
    <t>415.893.042</t>
  </si>
  <si>
    <t>GKM SPRL</t>
  </si>
  <si>
    <t>Van Rymenant</t>
  </si>
  <si>
    <t>Thierry</t>
  </si>
  <si>
    <t>425.736.562</t>
  </si>
  <si>
    <t>BREENDONK</t>
  </si>
  <si>
    <t>GITS BVBA</t>
  </si>
  <si>
    <t>Van Roosbroeck</t>
  </si>
  <si>
    <t>Jos</t>
  </si>
  <si>
    <t>687.294.587</t>
  </si>
  <si>
    <t>BRECHT</t>
  </si>
  <si>
    <t>GINO AUTOHANDEL</t>
  </si>
  <si>
    <t>Van Rompaey</t>
  </si>
  <si>
    <t>424.955.020</t>
  </si>
  <si>
    <t>HOGNOUL</t>
  </si>
  <si>
    <t>GILLON GGE SPRL</t>
  </si>
  <si>
    <t>Van Ransbeeck</t>
  </si>
  <si>
    <t>Muriel</t>
  </si>
  <si>
    <t>720.328.136</t>
  </si>
  <si>
    <t>OPWIJK</t>
  </si>
  <si>
    <t>GILLIS PATRICK AUTOHANDEL</t>
  </si>
  <si>
    <t>Van Ooidonk</t>
  </si>
  <si>
    <t>NAMUR</t>
  </si>
  <si>
    <t>GILLAIN GGE</t>
  </si>
  <si>
    <t>Van Obberghen</t>
  </si>
  <si>
    <t>729.279.058</t>
  </si>
  <si>
    <t>GIJSENS GEERT</t>
  </si>
  <si>
    <t>Van nuffelen</t>
  </si>
  <si>
    <t>Helen</t>
  </si>
  <si>
    <t>564.200.203</t>
  </si>
  <si>
    <t>GIGOT GASTON</t>
  </si>
  <si>
    <t>THUIN</t>
  </si>
  <si>
    <t>GIBET (GGE DU)</t>
  </si>
  <si>
    <t>747.079.350</t>
  </si>
  <si>
    <t>GIAMBRA RAIMONDO</t>
  </si>
  <si>
    <t>Van Keyenberg</t>
  </si>
  <si>
    <t>Chistian</t>
  </si>
  <si>
    <t>612.804.230</t>
  </si>
  <si>
    <t>FALISOLLE</t>
  </si>
  <si>
    <t>GIAFFREDA ALBERTO</t>
  </si>
  <si>
    <t>Van Impe</t>
  </si>
  <si>
    <t>422.654.833</t>
  </si>
  <si>
    <t>GHEYSEN RAF NV</t>
  </si>
  <si>
    <t>433.298.010</t>
  </si>
  <si>
    <t>GHEYSEN ERIK (AUTOHANDEL) BVBA</t>
  </si>
  <si>
    <t>Vaerewijck</t>
  </si>
  <si>
    <t>Patricia</t>
  </si>
  <si>
    <t>433.744.210</t>
  </si>
  <si>
    <t>BREE</t>
  </si>
  <si>
    <t>GEUSENS GGE NV</t>
  </si>
  <si>
    <t>442.639.803</t>
  </si>
  <si>
    <t>GERMEAU GGE</t>
  </si>
  <si>
    <t>GEPA BVBA</t>
  </si>
  <si>
    <t>Unkn</t>
  </si>
  <si>
    <t>GOSSELIES</t>
  </si>
  <si>
    <t>GEOFROID GGE</t>
  </si>
  <si>
    <t>442.275.260</t>
  </si>
  <si>
    <t>LANDENNE</t>
  </si>
  <si>
    <t>GENICAR GGE SC</t>
  </si>
  <si>
    <t>Brigitte</t>
  </si>
  <si>
    <t>420.371.670</t>
  </si>
  <si>
    <t>GEEURICKX WIM</t>
  </si>
  <si>
    <t>697.304.888</t>
  </si>
  <si>
    <t>GEERTS PAUL AUTOBEDRIJF</t>
  </si>
  <si>
    <t>DE HAAN</t>
  </si>
  <si>
    <t>GEERTS ERIC</t>
  </si>
  <si>
    <t>Ulens</t>
  </si>
  <si>
    <t>Léone</t>
  </si>
  <si>
    <t>TERNAT</t>
  </si>
  <si>
    <t>GEEROMS NV</t>
  </si>
  <si>
    <t>629.410.927</t>
  </si>
  <si>
    <t>KASTERLEE</t>
  </si>
  <si>
    <t>GEENEN A CARR.</t>
  </si>
  <si>
    <t>Trucco</t>
  </si>
  <si>
    <t>Claudia</t>
  </si>
  <si>
    <t>417.852.343</t>
  </si>
  <si>
    <t>GECABE SA</t>
  </si>
  <si>
    <t>Tricot</t>
  </si>
  <si>
    <t>Marie-France</t>
  </si>
  <si>
    <t>SOMBREFFE</t>
  </si>
  <si>
    <t>GARDISSEUR A GGE</t>
  </si>
  <si>
    <t>Toussaint</t>
  </si>
  <si>
    <t>778.091.537</t>
  </si>
  <si>
    <t>QUEVY (HAVAY)</t>
  </si>
  <si>
    <t>GARCIA DOMINGO CARLOS</t>
  </si>
  <si>
    <t>JEMEPPE</t>
  </si>
  <si>
    <t>Garage du Boutte SPRL</t>
  </si>
  <si>
    <t>Tombeur</t>
  </si>
  <si>
    <t>435.526.535</t>
  </si>
  <si>
    <t>SINT KATELIJNE WAVER</t>
  </si>
  <si>
    <t>GAMAUTO BVBA</t>
  </si>
  <si>
    <t>Toledo</t>
  </si>
  <si>
    <t>425.185.939</t>
  </si>
  <si>
    <t>GALLE TRUCKS &amp; TRAILERS NV</t>
  </si>
  <si>
    <t>Timmermans</t>
  </si>
  <si>
    <t>Chris</t>
  </si>
  <si>
    <t>LESSINES</t>
  </si>
  <si>
    <t>GAILLY VANDERHAUWAERT GGE</t>
  </si>
  <si>
    <t>MONS</t>
  </si>
  <si>
    <t>GABRIC</t>
  </si>
  <si>
    <t>Thomisse</t>
  </si>
  <si>
    <t>Vinciane</t>
  </si>
  <si>
    <t>631.519.191</t>
  </si>
  <si>
    <t>KALMTHOUT</t>
  </si>
  <si>
    <t>GABHERCAR GGE</t>
  </si>
  <si>
    <t>452.007.231</t>
  </si>
  <si>
    <t>GERAARDSBERGEN</t>
  </si>
  <si>
    <t>G.D.T. TRADE BVBA</t>
  </si>
  <si>
    <t>708.703.675</t>
  </si>
  <si>
    <t>G CARS</t>
  </si>
  <si>
    <t>Tack</t>
  </si>
  <si>
    <t>439.523.232</t>
  </si>
  <si>
    <t>RHODE ST GENESE</t>
  </si>
  <si>
    <t>FX ONE SA</t>
  </si>
  <si>
    <t>Suys</t>
  </si>
  <si>
    <t>Alain</t>
  </si>
  <si>
    <t>448.526.812</t>
  </si>
  <si>
    <t>FTC MOTOR GGE SPRL</t>
  </si>
  <si>
    <t>FROYEN LUC</t>
  </si>
  <si>
    <t>Stuyck</t>
  </si>
  <si>
    <t>Dominique</t>
  </si>
  <si>
    <t>ANDENNE</t>
  </si>
  <si>
    <t>FROIDBISE ETS</t>
  </si>
  <si>
    <t>SERAING</t>
  </si>
  <si>
    <t>FRED AUTOMOBILES</t>
  </si>
  <si>
    <t>Stouffs</t>
  </si>
  <si>
    <t>429.104.442</t>
  </si>
  <si>
    <t>ERPE MERE</t>
  </si>
  <si>
    <t>FRANK (AUTOPARK) BVBA</t>
  </si>
  <si>
    <t>Stockman</t>
  </si>
  <si>
    <t>TRAZEGNIES</t>
  </si>
  <si>
    <t>FRANCOIS R GGE</t>
  </si>
  <si>
    <t>Stienhault</t>
  </si>
  <si>
    <t>657.531.623</t>
  </si>
  <si>
    <t>TAVIERS</t>
  </si>
  <si>
    <t>FRANCOIS C GGE</t>
  </si>
  <si>
    <t>618.972.341</t>
  </si>
  <si>
    <t>LE ROEULX</t>
  </si>
  <si>
    <t>FRANCO GGE</t>
  </si>
  <si>
    <t>Yves</t>
  </si>
  <si>
    <t>FRANCO-BELGICA</t>
  </si>
  <si>
    <t>415.309.557</t>
  </si>
  <si>
    <t>TEMSE</t>
  </si>
  <si>
    <t>FRANCKAERT GGE BVBA</t>
  </si>
  <si>
    <t>425.828.713</t>
  </si>
  <si>
    <t>AFFLIGEM</t>
  </si>
  <si>
    <t>FOUQUAERT TRUCKS &amp; TRACKS NV</t>
  </si>
  <si>
    <t>BELOEIL</t>
  </si>
  <si>
    <t>FOUCART GGE SC</t>
  </si>
  <si>
    <t>Spooren</t>
  </si>
  <si>
    <t>448.750.506</t>
  </si>
  <si>
    <t>FORUM AUTOMOBILE SA</t>
  </si>
  <si>
    <t>Spits</t>
  </si>
  <si>
    <t>Marie-Claire</t>
  </si>
  <si>
    <t>552.269.104</t>
  </si>
  <si>
    <t>FORD FRANK</t>
  </si>
  <si>
    <t>Sommers</t>
  </si>
  <si>
    <t>Jean-Paul</t>
  </si>
  <si>
    <t>674.061.017</t>
  </si>
  <si>
    <t>HOUTHULST</t>
  </si>
  <si>
    <t>FONTEYNE LUC</t>
  </si>
  <si>
    <t>KNOKKE HEIST</t>
  </si>
  <si>
    <t>FLORE-CAESEELE MARC</t>
  </si>
  <si>
    <t>Soille</t>
  </si>
  <si>
    <t>Stephane</t>
  </si>
  <si>
    <t>614.891.116</t>
  </si>
  <si>
    <t>WANFERCEE BAULET</t>
  </si>
  <si>
    <t>FLEURUS OCCASIONS DELCHARLERIE</t>
  </si>
  <si>
    <t>Sohier</t>
  </si>
  <si>
    <t>Pascal</t>
  </si>
  <si>
    <t>413.742.513</t>
  </si>
  <si>
    <t>FLANDROY GGE SPRL</t>
  </si>
  <si>
    <t>557.154.736</t>
  </si>
  <si>
    <t>FIZAINE PAUL GGE</t>
  </si>
  <si>
    <t>Snoy</t>
  </si>
  <si>
    <t>Graziella</t>
  </si>
  <si>
    <t>FIREPOWER G SPRL</t>
  </si>
  <si>
    <t>Smits</t>
  </si>
  <si>
    <t>Anne</t>
  </si>
  <si>
    <t>ANDERLUES</t>
  </si>
  <si>
    <t>FIORI F ETS</t>
  </si>
  <si>
    <t>Smith</t>
  </si>
  <si>
    <t>Viviane</t>
  </si>
  <si>
    <t>447.635.303</t>
  </si>
  <si>
    <t>SCHILDE</t>
  </si>
  <si>
    <t>FIMO BVBA</t>
  </si>
  <si>
    <t>Smets</t>
  </si>
  <si>
    <t>Benny</t>
  </si>
  <si>
    <t>573.284.549</t>
  </si>
  <si>
    <t>FIGYS GGE</t>
  </si>
  <si>
    <t>Sinniger</t>
  </si>
  <si>
    <t>Sylvia</t>
  </si>
  <si>
    <t>413.712.126</t>
  </si>
  <si>
    <t>RIJKEVORSEL</t>
  </si>
  <si>
    <t>FIFTH WHEEL GGE BVBA</t>
  </si>
  <si>
    <t>Simons</t>
  </si>
  <si>
    <t>Henri</t>
  </si>
  <si>
    <t>552.369.963</t>
  </si>
  <si>
    <t>FIACAR  SMULDERS ERIC</t>
  </si>
  <si>
    <t>Simon</t>
  </si>
  <si>
    <t>447.546.122</t>
  </si>
  <si>
    <t>FLEMALLE</t>
  </si>
  <si>
    <t>FDT - ACAPHY AUTOMOBILE CO.</t>
  </si>
  <si>
    <t>549.210.634</t>
  </si>
  <si>
    <t>FAVRESSE R</t>
  </si>
  <si>
    <t>689.291.205</t>
  </si>
  <si>
    <t>SART ST LAUR</t>
  </si>
  <si>
    <t>FALQUE RUDY</t>
  </si>
  <si>
    <t>Servais</t>
  </si>
  <si>
    <t>452.116.208</t>
  </si>
  <si>
    <t>MARIEMBOURG</t>
  </si>
  <si>
    <t>FAGNE MOTOR EXPORT SPRL</t>
  </si>
  <si>
    <t>Serkeyn</t>
  </si>
  <si>
    <t>454.938.413</t>
  </si>
  <si>
    <t>SOUVRET</t>
  </si>
  <si>
    <t>EXCLUSIVES S.A.</t>
  </si>
  <si>
    <t>Serge</t>
  </si>
  <si>
    <t>451.003.082</t>
  </si>
  <si>
    <t>WEZEMBEEK OPPEM</t>
  </si>
  <si>
    <t>EXCEL CARS SPRL</t>
  </si>
  <si>
    <t>Seigneur</t>
  </si>
  <si>
    <t>STEMBERT</t>
  </si>
  <si>
    <t>EVRARD B</t>
  </si>
  <si>
    <t>Sculier</t>
  </si>
  <si>
    <t>Laurent</t>
  </si>
  <si>
    <t>455.115.189</t>
  </si>
  <si>
    <t>EVANS CAR SPRL</t>
  </si>
  <si>
    <t>439.965.868</t>
  </si>
  <si>
    <t>EUROTRUCKS NV</t>
  </si>
  <si>
    <t>LATINNE</t>
  </si>
  <si>
    <t>EUROTO</t>
  </si>
  <si>
    <t>Schreuer</t>
  </si>
  <si>
    <t>444.657.304</t>
  </si>
  <si>
    <t>NIVELLES</t>
  </si>
  <si>
    <t>EUROTAXI SPRL</t>
  </si>
  <si>
    <t>Arlette</t>
  </si>
  <si>
    <t>556.444.854</t>
  </si>
  <si>
    <t>BRUSSEGEM</t>
  </si>
  <si>
    <t>EUROPEAN CARS GGE</t>
  </si>
  <si>
    <t>Schmitt</t>
  </si>
  <si>
    <t>437.207.209</t>
  </si>
  <si>
    <t>EUROPE TOITURE  CAR TRADE SPRL</t>
  </si>
  <si>
    <t>Schmidt</t>
  </si>
  <si>
    <t>422.855.761</t>
  </si>
  <si>
    <t>DAMME</t>
  </si>
  <si>
    <t>EURO FORKLIFTS</t>
  </si>
  <si>
    <t>Schindfessel</t>
  </si>
  <si>
    <t>Jean-Claude</t>
  </si>
  <si>
    <t>448.287.973</t>
  </si>
  <si>
    <t>EURO COMMERCIAL GGE</t>
  </si>
  <si>
    <t>Schauwers</t>
  </si>
  <si>
    <t>423.348.679</t>
  </si>
  <si>
    <t>EURO CAR CENTER NV</t>
  </si>
  <si>
    <t>628.302.652</t>
  </si>
  <si>
    <t>SCHELLE</t>
  </si>
  <si>
    <t>EURO CAR ANTWERP GGE</t>
  </si>
  <si>
    <t>Buelens</t>
  </si>
  <si>
    <t>454.101.540</t>
  </si>
  <si>
    <t>CUL-DES-SARTS</t>
  </si>
  <si>
    <t>Euro Auto Duval</t>
  </si>
  <si>
    <t>Salmon</t>
  </si>
  <si>
    <t>Olivier</t>
  </si>
  <si>
    <t>EURO 93</t>
  </si>
  <si>
    <t>414.701.922</t>
  </si>
  <si>
    <t>EURIS SPRL</t>
  </si>
  <si>
    <t>Sacre</t>
  </si>
  <si>
    <t>EURAUTO GGE</t>
  </si>
  <si>
    <t>EUPEN</t>
  </si>
  <si>
    <t>EUPEN CAR</t>
  </si>
  <si>
    <t>ETS CLAUDE FELTZ</t>
  </si>
  <si>
    <t>Ruymbeke</t>
  </si>
  <si>
    <t>BELGRADE</t>
  </si>
  <si>
    <t>ESSO</t>
  </si>
  <si>
    <t>Rutten</t>
  </si>
  <si>
    <t>438.061.601</t>
  </si>
  <si>
    <t>ANS</t>
  </si>
  <si>
    <t>ESPACE BOUILLE</t>
  </si>
  <si>
    <t>Karel</t>
  </si>
  <si>
    <t>429.961.804</t>
  </si>
  <si>
    <t>Av de Luxembourg 49</t>
  </si>
  <si>
    <t>ES GGE NV</t>
  </si>
  <si>
    <t>Ruelens</t>
  </si>
  <si>
    <t>Victor</t>
  </si>
  <si>
    <t>666.229.850</t>
  </si>
  <si>
    <t>ENGELS PHILIPPE 4X4</t>
  </si>
  <si>
    <t>422.099.656</t>
  </si>
  <si>
    <t>BRAINE LE CHÂTEAU</t>
  </si>
  <si>
    <t>EMILIO SPRL (GGE DU ZONING)</t>
  </si>
  <si>
    <t>Rousseaux</t>
  </si>
  <si>
    <t>Tanguy</t>
  </si>
  <si>
    <t>452.635.355</t>
  </si>
  <si>
    <t>IEPER</t>
  </si>
  <si>
    <t>EMG NV  (VANTUUR MOTORS)</t>
  </si>
  <si>
    <t>Christian</t>
  </si>
  <si>
    <t>441.019.309</t>
  </si>
  <si>
    <t>WILLEBROEK</t>
  </si>
  <si>
    <t>EMC  BVBA</t>
  </si>
  <si>
    <t>Rommelaere</t>
  </si>
  <si>
    <t>432.080.857</t>
  </si>
  <si>
    <t>MARCHIENNE AU PONT</t>
  </si>
  <si>
    <t>ELITSERVICE SPRL</t>
  </si>
  <si>
    <t>Eliane</t>
  </si>
  <si>
    <t>432.970.683</t>
  </si>
  <si>
    <t>SINT NIKLAAS</t>
  </si>
  <si>
    <t>ELAN LDC NV</t>
  </si>
  <si>
    <t>Romagnoli</t>
  </si>
  <si>
    <t>Suzanna</t>
  </si>
  <si>
    <t>439.127.413</t>
  </si>
  <si>
    <t>LILLOIS</t>
  </si>
  <si>
    <t>ECI WATERLOO SPRL</t>
  </si>
  <si>
    <t>Rolland</t>
  </si>
  <si>
    <t>534.170.684</t>
  </si>
  <si>
    <t>E.T.C.</t>
  </si>
  <si>
    <t>448.667.362</t>
  </si>
  <si>
    <t>BONINNE</t>
  </si>
  <si>
    <t>DWB MOTORS SPRL</t>
  </si>
  <si>
    <t>Roger</t>
  </si>
  <si>
    <t>Christine</t>
  </si>
  <si>
    <t>716.155.255</t>
  </si>
  <si>
    <t>ERQUELINNES</t>
  </si>
  <si>
    <t>DV MOTOR SC</t>
  </si>
  <si>
    <t>Rodriguez</t>
  </si>
  <si>
    <t>Nicole</t>
  </si>
  <si>
    <t>SOYE</t>
  </si>
  <si>
    <t>DURUISSEAU GGE</t>
  </si>
  <si>
    <t>Robin</t>
  </si>
  <si>
    <t>Blaise</t>
  </si>
  <si>
    <t>642.301.534</t>
  </si>
  <si>
    <t>DUPONTSEEL GUIDO GGE</t>
  </si>
  <si>
    <t>Robert</t>
  </si>
  <si>
    <t>528.054.340</t>
  </si>
  <si>
    <t>ZUIENKERKE</t>
  </si>
  <si>
    <t>DUPON J. GGE</t>
  </si>
  <si>
    <t>Jean-Louis</t>
  </si>
  <si>
    <t>421.517.755</t>
  </si>
  <si>
    <t>DUMOULIN AUTOHANDEL BVBA</t>
  </si>
  <si>
    <t>654.524.524</t>
  </si>
  <si>
    <t>GILLY</t>
  </si>
  <si>
    <t>DUMONT RUDY</t>
  </si>
  <si>
    <t>Rimbeau</t>
  </si>
  <si>
    <t>FORCHIES</t>
  </si>
  <si>
    <t>DUMONCEAU</t>
  </si>
  <si>
    <t>Righenzi</t>
  </si>
  <si>
    <t>René</t>
  </si>
  <si>
    <t>746.120.436</t>
  </si>
  <si>
    <t>DULAIT G AUTOMOBILES</t>
  </si>
  <si>
    <t>Richir</t>
  </si>
  <si>
    <t>600.188.290</t>
  </si>
  <si>
    <t>DUHAUT CLAUDE</t>
  </si>
  <si>
    <t>Ribant</t>
  </si>
  <si>
    <t>670.020.669</t>
  </si>
  <si>
    <t>CORDES</t>
  </si>
  <si>
    <t>DUFOUR MICHEL GGE</t>
  </si>
  <si>
    <t>Reynders</t>
  </si>
  <si>
    <t>Karine</t>
  </si>
  <si>
    <t>CHARLEROI</t>
  </si>
  <si>
    <t>DUEZ J</t>
  </si>
  <si>
    <t>DUERINCKX BVBA</t>
  </si>
  <si>
    <t>772.019.139</t>
  </si>
  <si>
    <t>WESTERLO</t>
  </si>
  <si>
    <t>DUBRUYN GGE FV</t>
  </si>
  <si>
    <t>Rens</t>
  </si>
  <si>
    <t>DU ROND POINT GGE</t>
  </si>
  <si>
    <t>424.160.016</t>
  </si>
  <si>
    <t>DU GIBET GGE</t>
  </si>
  <si>
    <t>LEOPOLDSBURG</t>
  </si>
  <si>
    <t>DRUTTI JOZEF</t>
  </si>
  <si>
    <t>Renaux</t>
  </si>
  <si>
    <t>530.860.610</t>
  </si>
  <si>
    <t>DRIESSENS LEOPOLD</t>
  </si>
  <si>
    <t>AARDOIE</t>
  </si>
  <si>
    <t>DRIESSENS L</t>
  </si>
  <si>
    <t>Reiners</t>
  </si>
  <si>
    <t>629.370.048</t>
  </si>
  <si>
    <t>OLEN</t>
  </si>
  <si>
    <t>DRIES WIM</t>
  </si>
  <si>
    <t>644.137.705</t>
  </si>
  <si>
    <t>OUDENAARDE</t>
  </si>
  <si>
    <t>DOUTERLOIGNE ANTOON GGE</t>
  </si>
  <si>
    <t>Rauter</t>
  </si>
  <si>
    <t>615.068.882</t>
  </si>
  <si>
    <t>TARCIENNE</t>
  </si>
  <si>
    <t>DOUCET ORC SA</t>
  </si>
  <si>
    <t>Rampinini</t>
  </si>
  <si>
    <t>Carla</t>
  </si>
  <si>
    <t>657.432.544</t>
  </si>
  <si>
    <t>DORIA LUIGI</t>
  </si>
  <si>
    <t>Ramboer</t>
  </si>
  <si>
    <t>438.475.335</t>
  </si>
  <si>
    <t>HERSTAL</t>
  </si>
  <si>
    <t>DOMINIQUE GGE SC</t>
  </si>
  <si>
    <t>Quittelier</t>
  </si>
  <si>
    <t>557.705.557</t>
  </si>
  <si>
    <t>DOLANI ALEXANDRE</t>
  </si>
  <si>
    <t>Pyis</t>
  </si>
  <si>
    <t>Ludo</t>
  </si>
  <si>
    <t>420.110.067</t>
  </si>
  <si>
    <t>WIJNEGEM</t>
  </si>
  <si>
    <t>DOENS G AUTOBEDRIJF BVBA</t>
  </si>
  <si>
    <t>Prost</t>
  </si>
  <si>
    <t>429.956.458</t>
  </si>
  <si>
    <t>DM CAR &amp; PIECES SPRL</t>
  </si>
  <si>
    <t>Prinzie</t>
  </si>
  <si>
    <t>OLLOY S/VIROIN</t>
  </si>
  <si>
    <t>DLC MOTOR</t>
  </si>
  <si>
    <t>Praet</t>
  </si>
  <si>
    <t>Jo</t>
  </si>
  <si>
    <t>746.242.279</t>
  </si>
  <si>
    <t>DL CARS</t>
  </si>
  <si>
    <t>Potten</t>
  </si>
  <si>
    <t>442.824.202</t>
  </si>
  <si>
    <t>DIXI SCRL</t>
  </si>
  <si>
    <t>Potdevin</t>
  </si>
  <si>
    <t>564.566.526</t>
  </si>
  <si>
    <t>DIVINE CAR</t>
  </si>
  <si>
    <t>Pont</t>
  </si>
  <si>
    <t>433.921.085</t>
  </si>
  <si>
    <t>DISTRICAR SA</t>
  </si>
  <si>
    <t>Pons</t>
  </si>
  <si>
    <t>Josi</t>
  </si>
  <si>
    <t>442.335.638</t>
  </si>
  <si>
    <t>HEUSDEN-ZOLDER</t>
  </si>
  <si>
    <t>DIRECT NV</t>
  </si>
  <si>
    <t>DIRECT AUTO</t>
  </si>
  <si>
    <t>Poffé</t>
  </si>
  <si>
    <t>430.778.582</t>
  </si>
  <si>
    <t>DIETERAUTO GGE BVBA</t>
  </si>
  <si>
    <t>TURNHOUT</t>
  </si>
  <si>
    <t>DIERCKX GGE</t>
  </si>
  <si>
    <t>HAALTERT</t>
  </si>
  <si>
    <t>DIEPENDAELE WIM</t>
  </si>
  <si>
    <t>Pirotte</t>
  </si>
  <si>
    <t>689.152.435</t>
  </si>
  <si>
    <t>AUVELAIS</t>
  </si>
  <si>
    <t>DIEGOCCASE GGE</t>
  </si>
  <si>
    <t>Piron</t>
  </si>
  <si>
    <t>Francis</t>
  </si>
  <si>
    <t>434.052.630</t>
  </si>
  <si>
    <t>DICAR BVBA</t>
  </si>
  <si>
    <t>Pinchetti</t>
  </si>
  <si>
    <t>Dario</t>
  </si>
  <si>
    <t>439.971.808</t>
  </si>
  <si>
    <t>DIC SC</t>
  </si>
  <si>
    <t>Pignard</t>
  </si>
  <si>
    <t>MONTEGNEE</t>
  </si>
  <si>
    <t>DI FEDE</t>
  </si>
  <si>
    <t>739.142.275</t>
  </si>
  <si>
    <t>D'HOOGE ROMAIN GGE</t>
  </si>
  <si>
    <t>Pietermans</t>
  </si>
  <si>
    <t>Carine</t>
  </si>
  <si>
    <t>433.042.444</t>
  </si>
  <si>
    <t>D'HONDT A GGE CV</t>
  </si>
  <si>
    <t>785.057.820</t>
  </si>
  <si>
    <t>SENEFFE</t>
  </si>
  <si>
    <t>D'HERICOURT GGE</t>
  </si>
  <si>
    <t>Picard</t>
  </si>
  <si>
    <t>Claudine</t>
  </si>
  <si>
    <t>562.474.195</t>
  </si>
  <si>
    <t>D'HERDE JEAN</t>
  </si>
  <si>
    <t>Gaétan</t>
  </si>
  <si>
    <t>MONTIGN. S/SAMBRE</t>
  </si>
  <si>
    <t>D'HAEYER BENOIT</t>
  </si>
  <si>
    <t>Petre</t>
  </si>
  <si>
    <t>442.609.119</t>
  </si>
  <si>
    <t>ZULTE</t>
  </si>
  <si>
    <t>D'HAENE &amp; CO AUTOBEDRIJF NV</t>
  </si>
  <si>
    <t>613.173.226</t>
  </si>
  <si>
    <t>DAMPREMY</t>
  </si>
  <si>
    <t>DEXPERT GGE</t>
  </si>
  <si>
    <t>Julie</t>
  </si>
  <si>
    <t>527.267.056</t>
  </si>
  <si>
    <t>MENEN</t>
  </si>
  <si>
    <t>DEWULF JP</t>
  </si>
  <si>
    <t>589.153.848</t>
  </si>
  <si>
    <t>DEWULF AUTOSALON</t>
  </si>
  <si>
    <t>DEWINTERE YVES</t>
  </si>
  <si>
    <t>682.099.545</t>
  </si>
  <si>
    <t>ZEDELGEM</t>
  </si>
  <si>
    <t>DEVRIENDT PAUL GGE</t>
  </si>
  <si>
    <t>Peeters</t>
  </si>
  <si>
    <t>ANTWERPEN</t>
  </si>
  <si>
    <t>DEVOS GGE BVBA</t>
  </si>
  <si>
    <t>430.495.502</t>
  </si>
  <si>
    <t>DEVOS AUTOHANDEL BVBA</t>
  </si>
  <si>
    <t>626.744.219</t>
  </si>
  <si>
    <t>TOURNAI</t>
  </si>
  <si>
    <t>DETOURNAY J GGE</t>
  </si>
  <si>
    <t>444.882.481</t>
  </si>
  <si>
    <t>DETILLEUX DANIEL (DEPANNAGE)</t>
  </si>
  <si>
    <t>Paquot</t>
  </si>
  <si>
    <t>Murielle</t>
  </si>
  <si>
    <t>THUILLIES</t>
  </si>
  <si>
    <t>DESTATTE J</t>
  </si>
  <si>
    <t>Painvin</t>
  </si>
  <si>
    <t>Therese</t>
  </si>
  <si>
    <t>AVIN</t>
  </si>
  <si>
    <t>DESOILLE</t>
  </si>
  <si>
    <t>Pacquay</t>
  </si>
  <si>
    <t>Marielle</t>
  </si>
  <si>
    <t>DIKSMUIDE</t>
  </si>
  <si>
    <t>DESNOUCK BART (AUTOHANDEL)</t>
  </si>
  <si>
    <t>Osce</t>
  </si>
  <si>
    <t>Line</t>
  </si>
  <si>
    <t>533.357.864</t>
  </si>
  <si>
    <t>DESMET MARC GGE</t>
  </si>
  <si>
    <t>732.161.047</t>
  </si>
  <si>
    <t>KAMPENHOUT</t>
  </si>
  <si>
    <t>DESEES TONY GGE</t>
  </si>
  <si>
    <t>Novali</t>
  </si>
  <si>
    <t>Pierina</t>
  </si>
  <si>
    <t>429.544.308</t>
  </si>
  <si>
    <t>EPPEGEM</t>
  </si>
  <si>
    <t>DESCHOUWER FRANCOIS MOTOS NV</t>
  </si>
  <si>
    <t>Nollet</t>
  </si>
  <si>
    <t>Walter</t>
  </si>
  <si>
    <t>547.264.102</t>
  </si>
  <si>
    <t>DESCHAMPS MICHEL</t>
  </si>
  <si>
    <t>660.248.613</t>
  </si>
  <si>
    <t>DESCENDRE PAUL</t>
  </si>
  <si>
    <t>Nolf</t>
  </si>
  <si>
    <t>Frédéric</t>
  </si>
  <si>
    <t>704.216.931</t>
  </si>
  <si>
    <t>DESCAMPS P</t>
  </si>
  <si>
    <t>Nocent</t>
  </si>
  <si>
    <t>Chantale</t>
  </si>
  <si>
    <t>CINEY</t>
  </si>
  <si>
    <t>DESAUTO'S CINEY</t>
  </si>
  <si>
    <t>554.468.529</t>
  </si>
  <si>
    <t>DESAMITO L</t>
  </si>
  <si>
    <t>Nicodème</t>
  </si>
  <si>
    <t>Vincent</t>
  </si>
  <si>
    <t>449.799.490</t>
  </si>
  <si>
    <t>LEUZE-EN-HAINAUT</t>
  </si>
  <si>
    <t>DESABLENS SPRL</t>
  </si>
  <si>
    <t>DERWA EDDY</t>
  </si>
  <si>
    <t>611.475.825</t>
  </si>
  <si>
    <t>DERIVIERE BARBE</t>
  </si>
  <si>
    <t>705.553.551</t>
  </si>
  <si>
    <t>PEER</t>
  </si>
  <si>
    <t>DERISON PATRICK GGE</t>
  </si>
  <si>
    <t>Neuhuis</t>
  </si>
  <si>
    <t>745.176.962</t>
  </si>
  <si>
    <t>MEISE</t>
  </si>
  <si>
    <t>DEREPPE VICTOR GGE</t>
  </si>
  <si>
    <t>Neirinckx</t>
  </si>
  <si>
    <t>Annie</t>
  </si>
  <si>
    <t>674.183.058</t>
  </si>
  <si>
    <t>DERDAELE POL</t>
  </si>
  <si>
    <t>718.375.862</t>
  </si>
  <si>
    <t>NOIREFONTAINE</t>
  </si>
  <si>
    <t>DEPIERREUX A GGE/CARR.</t>
  </si>
  <si>
    <t>Nauman</t>
  </si>
  <si>
    <t>Valérie</t>
  </si>
  <si>
    <t>699.105.823</t>
  </si>
  <si>
    <t>KINROOI</t>
  </si>
  <si>
    <t>DENIER PETER (AUTOHANDEL)</t>
  </si>
  <si>
    <t>Nathalie</t>
  </si>
  <si>
    <t>545.361.912</t>
  </si>
  <si>
    <t>DEMOLI SPORTS</t>
  </si>
  <si>
    <t>775.012.479</t>
  </si>
  <si>
    <t>DEMOL MARC</t>
  </si>
  <si>
    <t>Nagel</t>
  </si>
  <si>
    <t>441.538.555</t>
  </si>
  <si>
    <t>NINOVE</t>
  </si>
  <si>
    <t>DEMOL GUY NV</t>
  </si>
  <si>
    <t>Nadin</t>
  </si>
  <si>
    <t>Marie-Dominique</t>
  </si>
  <si>
    <t>445.522.780</t>
  </si>
  <si>
    <t>DEMIR SCRL</t>
  </si>
  <si>
    <t>710.622.988</t>
  </si>
  <si>
    <t>FOURON LE COMTE</t>
  </si>
  <si>
    <t>DEMEZ ROLAND GGE</t>
  </si>
  <si>
    <t>mush</t>
  </si>
  <si>
    <t>Martin</t>
  </si>
  <si>
    <t>676.133.451</t>
  </si>
  <si>
    <t>DENTERGEM</t>
  </si>
  <si>
    <t>DEMEYER ROLAND (AUTOHANDEL)</t>
  </si>
  <si>
    <t>Musch</t>
  </si>
  <si>
    <t>BRUSSEL</t>
  </si>
  <si>
    <t>DEMEYER E GGE</t>
  </si>
  <si>
    <t>Munster</t>
  </si>
  <si>
    <t>521.167.835</t>
  </si>
  <si>
    <t>HARELBEKE</t>
  </si>
  <si>
    <t>DEMAREZ JOEL GGE</t>
  </si>
  <si>
    <t>Mulkens</t>
  </si>
  <si>
    <t>Ann</t>
  </si>
  <si>
    <t>448.909.070</t>
  </si>
  <si>
    <t>HAMME</t>
  </si>
  <si>
    <t>DELTATRUCKS NV</t>
  </si>
  <si>
    <t>Moulin</t>
  </si>
  <si>
    <t>565.510.889</t>
  </si>
  <si>
    <t>DELSTANCHES GGE</t>
  </si>
  <si>
    <t>689.337.725</t>
  </si>
  <si>
    <t>BIESME</t>
  </si>
  <si>
    <t>DELPORTE HUBERT GGE</t>
  </si>
  <si>
    <t>Moss</t>
  </si>
  <si>
    <t>Giles</t>
  </si>
  <si>
    <t>552.412.723</t>
  </si>
  <si>
    <t>DELLEUSE ROLAND</t>
  </si>
  <si>
    <t>602.994.659</t>
  </si>
  <si>
    <t>FAIMES</t>
  </si>
  <si>
    <t>DELLEUSE JEAN</t>
  </si>
  <si>
    <t>DELEU DANIEL</t>
  </si>
  <si>
    <t>Morrenne</t>
  </si>
  <si>
    <t>Benoit</t>
  </si>
  <si>
    <t>605.979.190</t>
  </si>
  <si>
    <t>VEDRIN</t>
  </si>
  <si>
    <t>DELENTREE GGE</t>
  </si>
  <si>
    <t>Moorkens</t>
  </si>
  <si>
    <t>Alex</t>
  </si>
  <si>
    <t>525.311.121</t>
  </si>
  <si>
    <t>KUURNE</t>
  </si>
  <si>
    <t>DELEERSNIJDER RAF</t>
  </si>
  <si>
    <t>694.227.416</t>
  </si>
  <si>
    <t>NASSOGNE</t>
  </si>
  <si>
    <t>DELCOURT GGE</t>
  </si>
  <si>
    <t>Moné</t>
  </si>
  <si>
    <t>André</t>
  </si>
  <si>
    <t>449.695.463</t>
  </si>
  <si>
    <t>DENDERMONDE</t>
  </si>
  <si>
    <t>DELCORPS MARC (AUTOBEDRIJF) NV</t>
  </si>
  <si>
    <t>Monchart</t>
  </si>
  <si>
    <t>662.282.940</t>
  </si>
  <si>
    <t>BEAUMONT</t>
  </si>
  <si>
    <t>DELAUNOIS GERARD</t>
  </si>
  <si>
    <t>Molders</t>
  </si>
  <si>
    <t>Wim</t>
  </si>
  <si>
    <t>764.112.352</t>
  </si>
  <si>
    <t>LA LOUVIERE</t>
  </si>
  <si>
    <t>DELATTRE PHILIPPE</t>
  </si>
  <si>
    <t>Moiny</t>
  </si>
  <si>
    <t>558.300.821</t>
  </si>
  <si>
    <t>DELANDER MICHEL</t>
  </si>
  <si>
    <t>Moens</t>
  </si>
  <si>
    <t>Roeland</t>
  </si>
  <si>
    <t>776.037.117</t>
  </si>
  <si>
    <t>LASNE</t>
  </si>
  <si>
    <t>DELAIN YVES</t>
  </si>
  <si>
    <t>DELAERE L GGE</t>
  </si>
  <si>
    <t>434.483.883</t>
  </si>
  <si>
    <t>KORTEMARK</t>
  </si>
  <si>
    <t>DELAERE KRIST GGE BVBA</t>
  </si>
  <si>
    <t>446.199.406</t>
  </si>
  <si>
    <t>LENDELEDE</t>
  </si>
  <si>
    <t>DELAERE BART AUTOHANDEL BVBA</t>
  </si>
  <si>
    <t>610.148.707</t>
  </si>
  <si>
    <t>LEUZE EN HAINAUT</t>
  </si>
  <si>
    <t>DEKNUDT GERMAIN GGE</t>
  </si>
  <si>
    <t>Mine</t>
  </si>
  <si>
    <t>659.449.253</t>
  </si>
  <si>
    <t>BIERGES</t>
  </si>
  <si>
    <t>DEJONGE EDDY</t>
  </si>
  <si>
    <t>Benoît</t>
  </si>
  <si>
    <t>551.633.456</t>
  </si>
  <si>
    <t>DEGRYSE PASCAL</t>
  </si>
  <si>
    <t>Milo</t>
  </si>
  <si>
    <t>415.584.325</t>
  </si>
  <si>
    <t>WINGENE</t>
  </si>
  <si>
    <t>DEGROOTE NV</t>
  </si>
  <si>
    <t>Milleville</t>
  </si>
  <si>
    <t>Nadine</t>
  </si>
  <si>
    <t>573.637.709</t>
  </si>
  <si>
    <t>HALLE</t>
  </si>
  <si>
    <t>DEDOBBELEER L GGE</t>
  </si>
  <si>
    <t>451.819.862</t>
  </si>
  <si>
    <t>DECOUX GGE SPRL</t>
  </si>
  <si>
    <t>Jean-Yves</t>
  </si>
  <si>
    <t>680.161.624</t>
  </si>
  <si>
    <t>MOORSLEDE</t>
  </si>
  <si>
    <t>DECORTE MARC (AUTOHANDEL)</t>
  </si>
  <si>
    <t>Michiels</t>
  </si>
  <si>
    <t>DECLERCQ R GGE</t>
  </si>
  <si>
    <t>676.177.003</t>
  </si>
  <si>
    <t>OOSTROZEBEKE</t>
  </si>
  <si>
    <t>DECLERCK DENIJS KURT</t>
  </si>
  <si>
    <t>Marie-Paule</t>
  </si>
  <si>
    <t>720.377.923</t>
  </si>
  <si>
    <t>DEBRUYNE MARC</t>
  </si>
  <si>
    <t>657.481.143</t>
  </si>
  <si>
    <t>OHEY</t>
  </si>
  <si>
    <t>DEBROUX RENE</t>
  </si>
  <si>
    <t>Meurer</t>
  </si>
  <si>
    <t>Stany</t>
  </si>
  <si>
    <t>DEBROUX MONDIAL AUTO sa</t>
  </si>
  <si>
    <t>571.872.111</t>
  </si>
  <si>
    <t>SINT GENESIUS RODE</t>
  </si>
  <si>
    <t>DEBREMAEKER ROBERT</t>
  </si>
  <si>
    <t>Mertens</t>
  </si>
  <si>
    <t>759.125.958</t>
  </si>
  <si>
    <t>DEBATY DOMINIQUE GGE</t>
  </si>
  <si>
    <t>426.299.162</t>
  </si>
  <si>
    <t>AALST</t>
  </si>
  <si>
    <t>DE WITTE JOHAN GGE BVBA</t>
  </si>
  <si>
    <t>575.511.688</t>
  </si>
  <si>
    <t>DE WIT GEBR (AUTOHANDEL)</t>
  </si>
  <si>
    <t>577.662.318</t>
  </si>
  <si>
    <t>BILZEN</t>
  </si>
  <si>
    <t>DE VREESE R &amp; E GGE</t>
  </si>
  <si>
    <t>454.300.884</t>
  </si>
  <si>
    <t>ZWEVEGEM</t>
  </si>
  <si>
    <t>DE VOLDER MOTORS BVBA</t>
  </si>
  <si>
    <t>Merckx</t>
  </si>
  <si>
    <t>711.091.459</t>
  </si>
  <si>
    <t>EEKLO</t>
  </si>
  <si>
    <t>DE SUTTER ARSEEN GGE</t>
  </si>
  <si>
    <t>Meert</t>
  </si>
  <si>
    <t>588.045.276</t>
  </si>
  <si>
    <t>DE STOOP DECLERCQ GGE</t>
  </si>
  <si>
    <t>DE SMET NESTOR</t>
  </si>
  <si>
    <t>Mathieu</t>
  </si>
  <si>
    <t>424.960.166</t>
  </si>
  <si>
    <t>DE RUYSSCHER ZN BVBA</t>
  </si>
  <si>
    <t>Masson</t>
  </si>
  <si>
    <t>Linda</t>
  </si>
  <si>
    <t>593.767.385</t>
  </si>
  <si>
    <t>DE ROECK ANTOINE</t>
  </si>
  <si>
    <t>646.108.684</t>
  </si>
  <si>
    <t>WAASMUNSTER</t>
  </si>
  <si>
    <t>DE RIJBEL POL GGE/CARR.</t>
  </si>
  <si>
    <t>Massagé</t>
  </si>
  <si>
    <t>DE RIDDER R GGE</t>
  </si>
  <si>
    <t>661.406.178</t>
  </si>
  <si>
    <t>ACOZ</t>
  </si>
  <si>
    <t>DE RAEVE M GGE</t>
  </si>
  <si>
    <t>Marschall</t>
  </si>
  <si>
    <t>Neil</t>
  </si>
  <si>
    <t>DE NEVE P GGE</t>
  </si>
  <si>
    <t>Marque</t>
  </si>
  <si>
    <t>520.787.654</t>
  </si>
  <si>
    <t>DE NAEGHEL LOUIS GGE</t>
  </si>
  <si>
    <t>Marinus</t>
  </si>
  <si>
    <t>Kristof</t>
  </si>
  <si>
    <t>578.607.473</t>
  </si>
  <si>
    <t>VILVOORDE</t>
  </si>
  <si>
    <t>DE MOOY GGE</t>
  </si>
  <si>
    <t>Marien</t>
  </si>
  <si>
    <t>Marianne</t>
  </si>
  <si>
    <t>531.716.881</t>
  </si>
  <si>
    <t>MEULEBEKE</t>
  </si>
  <si>
    <t>DE MEYERE W GGE</t>
  </si>
  <si>
    <t>Marcq</t>
  </si>
  <si>
    <t>654.562.136</t>
  </si>
  <si>
    <t>CHATELINEAU</t>
  </si>
  <si>
    <t>DE MEYER GGE</t>
  </si>
  <si>
    <t>648.418.274</t>
  </si>
  <si>
    <t>AALTER</t>
  </si>
  <si>
    <t>DE MARLIE LUC</t>
  </si>
  <si>
    <t>743.192.521</t>
  </si>
  <si>
    <t>LEBBEKE</t>
  </si>
  <si>
    <t>DE MAEYER J GGE</t>
  </si>
  <si>
    <t>Mannes</t>
  </si>
  <si>
    <t>520.207.238</t>
  </si>
  <si>
    <t>DE LANNOYE GUIDO</t>
  </si>
  <si>
    <t>Manneback</t>
  </si>
  <si>
    <t>CHAUDFONTAINE</t>
  </si>
  <si>
    <t>DE LA ROCHETTE GGE</t>
  </si>
  <si>
    <t>Malhaize</t>
  </si>
  <si>
    <t>ZELE</t>
  </si>
  <si>
    <t>DE KEUKELEIRE N GGE</t>
  </si>
  <si>
    <t>WEVELGEM</t>
  </si>
  <si>
    <t>DE JONCKHEERE (AUTOPARK)</t>
  </si>
  <si>
    <t>Maes</t>
  </si>
  <si>
    <t>678.199.254</t>
  </si>
  <si>
    <t>WIELSBEKE</t>
  </si>
  <si>
    <t>DE HULSTERS MARLEEN</t>
  </si>
  <si>
    <t>440.961.406</t>
  </si>
  <si>
    <t>ICHTEGEM</t>
  </si>
  <si>
    <t>DE GRYSE GGE NV</t>
  </si>
  <si>
    <t>Luffman</t>
  </si>
  <si>
    <t>Sue</t>
  </si>
  <si>
    <t>664.152.466</t>
  </si>
  <si>
    <t>DOUR (BLAUGIES)</t>
  </si>
  <si>
    <t>DE GEYTER JOSEPH</t>
  </si>
  <si>
    <t>Lovenfosse</t>
  </si>
  <si>
    <t>733.144.014</t>
  </si>
  <si>
    <t>LUBBEEK</t>
  </si>
  <si>
    <t>DE FILETTE WILLY GGE</t>
  </si>
  <si>
    <t>737.248.005</t>
  </si>
  <si>
    <t>DE CROOCK KOEN</t>
  </si>
  <si>
    <t>AS</t>
  </si>
  <si>
    <t>DE COSTER MARC</t>
  </si>
  <si>
    <t>Lottin</t>
  </si>
  <si>
    <t>DE COSTER (AUTOPARK)</t>
  </si>
  <si>
    <t>Lorie</t>
  </si>
  <si>
    <t>Nicolas</t>
  </si>
  <si>
    <t>570.486.890</t>
  </si>
  <si>
    <t>HERNE</t>
  </si>
  <si>
    <t>DE COOMAN ANDRE GGE</t>
  </si>
  <si>
    <t>Lorette</t>
  </si>
  <si>
    <t>Carole</t>
  </si>
  <si>
    <t>645.011.990</t>
  </si>
  <si>
    <t>DE CONINCK K GGE</t>
  </si>
  <si>
    <t>Locus</t>
  </si>
  <si>
    <t>DE CONINCK H GGE</t>
  </si>
  <si>
    <t>Lindholm</t>
  </si>
  <si>
    <t>Lars</t>
  </si>
  <si>
    <t>400.204.182</t>
  </si>
  <si>
    <t>NAZARETH</t>
  </si>
  <si>
    <t>DE BUCK COMPANY NV</t>
  </si>
  <si>
    <t>Lieve</t>
  </si>
  <si>
    <t>KNESSELARE</t>
  </si>
  <si>
    <t>DE BRUYNE GGE</t>
  </si>
  <si>
    <t>438.131.578</t>
  </si>
  <si>
    <t>TIELT</t>
  </si>
  <si>
    <t>DE BRABANDERE D NV</t>
  </si>
  <si>
    <t>782.043.197</t>
  </si>
  <si>
    <t>DEINZE (GOTTEM)</t>
  </si>
  <si>
    <t>DE BOEVER PASCAL GGE</t>
  </si>
  <si>
    <t>Leys</t>
  </si>
  <si>
    <t>400.851.609</t>
  </si>
  <si>
    <t>DE BOER B GGE BVBA</t>
  </si>
  <si>
    <t>Levy</t>
  </si>
  <si>
    <t>Raphael</t>
  </si>
  <si>
    <t>DE BOECK LUDO</t>
  </si>
  <si>
    <t>Lemoine</t>
  </si>
  <si>
    <t>Joêlle</t>
  </si>
  <si>
    <t>417.790.183</t>
  </si>
  <si>
    <t>DE BILDE BVBA</t>
  </si>
  <si>
    <t>Lemmens</t>
  </si>
  <si>
    <t>Dirk</t>
  </si>
  <si>
    <t>425.663.516</t>
  </si>
  <si>
    <t>DE BELS AUTOHANDEL BVBA</t>
  </si>
  <si>
    <t>Lejeune</t>
  </si>
  <si>
    <t>DE BAETS GGE</t>
  </si>
  <si>
    <t>Legrelle</t>
  </si>
  <si>
    <t>573.690.959</t>
  </si>
  <si>
    <t>DAY LAURENT</t>
  </si>
  <si>
    <t>Legrand</t>
  </si>
  <si>
    <t>545.526.614</t>
  </si>
  <si>
    <t>DAXBEK M GGE</t>
  </si>
  <si>
    <t>746.234.361</t>
  </si>
  <si>
    <t>DAVID'S Q8 SERVICE</t>
  </si>
  <si>
    <t>Leclercq</t>
  </si>
  <si>
    <t>424.886.922</t>
  </si>
  <si>
    <t>MONT S/MARCHIENNE</t>
  </si>
  <si>
    <t>DAUTOM SPRL</t>
  </si>
  <si>
    <t>Monique</t>
  </si>
  <si>
    <t>LIMBOURG</t>
  </si>
  <si>
    <t>DARIMONT C</t>
  </si>
  <si>
    <t>KRUISHOUTEM</t>
  </si>
  <si>
    <t>DANY GGE</t>
  </si>
  <si>
    <t>441.832.327</t>
  </si>
  <si>
    <t>DANCAR TECHNIC SA  (Siège)</t>
  </si>
  <si>
    <t>Lechien</t>
  </si>
  <si>
    <t>418.151.954</t>
  </si>
  <si>
    <t>DAMSEAUX P SPRL</t>
  </si>
  <si>
    <t>433.346.312</t>
  </si>
  <si>
    <t>DAMACAR</t>
  </si>
  <si>
    <t>Lausberg</t>
  </si>
  <si>
    <t>433.710.754</t>
  </si>
  <si>
    <t>DAIVIER R GGE</t>
  </si>
  <si>
    <t>Langin</t>
  </si>
  <si>
    <t>435.989.957</t>
  </si>
  <si>
    <t>DAILLY GGE</t>
  </si>
  <si>
    <t>Langenhaeck</t>
  </si>
  <si>
    <t>578.542.246</t>
  </si>
  <si>
    <t>DAHLMANN AUTOHANDEL</t>
  </si>
  <si>
    <t>Lambeau</t>
  </si>
  <si>
    <t>Karin</t>
  </si>
  <si>
    <t>D'AGOSTINO</t>
  </si>
  <si>
    <t>443.662.756</t>
  </si>
  <si>
    <t>DAFRACO BVBA</t>
  </si>
  <si>
    <t>Kremer</t>
  </si>
  <si>
    <t>767.179.631</t>
  </si>
  <si>
    <t>MEERLE</t>
  </si>
  <si>
    <t>DAEMS AUTOHANDEL</t>
  </si>
  <si>
    <t>Koutsakos</t>
  </si>
  <si>
    <t>Kristopher</t>
  </si>
  <si>
    <t>718.434.161</t>
  </si>
  <si>
    <t>NEUFCHATEAU</t>
  </si>
  <si>
    <t>DACO CHRISTOPHE</t>
  </si>
  <si>
    <t>458.129.119</t>
  </si>
  <si>
    <t>D.L.C. MOTOR SCRIS</t>
  </si>
  <si>
    <t>458.407.944</t>
  </si>
  <si>
    <t>D &amp; D CARS BVBA</t>
  </si>
  <si>
    <t>Kok</t>
  </si>
  <si>
    <t>Pierre-Michel</t>
  </si>
  <si>
    <t>439.783.449</t>
  </si>
  <si>
    <t>CYGNES MOTOR SPRL</t>
  </si>
  <si>
    <t>Klinkemallie</t>
  </si>
  <si>
    <t>611.000.624</t>
  </si>
  <si>
    <t>CUVELIER R</t>
  </si>
  <si>
    <t>SAINT NICOLAS</t>
  </si>
  <si>
    <t>CUPPENS</t>
  </si>
  <si>
    <t>Kinet</t>
  </si>
  <si>
    <t>CUENEN P GGE</t>
  </si>
  <si>
    <t>Kine</t>
  </si>
  <si>
    <t>Sonja</t>
  </si>
  <si>
    <t>CTV INTERNATIONAL</t>
  </si>
  <si>
    <t>Kenens</t>
  </si>
  <si>
    <t>Emmanuel</t>
  </si>
  <si>
    <t>647.108.774</t>
  </si>
  <si>
    <t>CROMBEEN LEON GGE</t>
  </si>
  <si>
    <t>Jongen</t>
  </si>
  <si>
    <t>BEERSE</t>
  </si>
  <si>
    <t>CRETS G GGE</t>
  </si>
  <si>
    <t>Joly</t>
  </si>
  <si>
    <t>426.575.118</t>
  </si>
  <si>
    <t>MECHELEN</t>
  </si>
  <si>
    <t>CRAUWELS GGE BVBA</t>
  </si>
  <si>
    <t>Joëlle</t>
  </si>
  <si>
    <t>COVENT  GGE</t>
  </si>
  <si>
    <t>Jeun</t>
  </si>
  <si>
    <t>A</t>
  </si>
  <si>
    <t>413.715.589</t>
  </si>
  <si>
    <t>ASSE</t>
  </si>
  <si>
    <t>COURTRANS BVBA</t>
  </si>
  <si>
    <t>Janssens</t>
  </si>
  <si>
    <t>Danièle</t>
  </si>
  <si>
    <t>651.402.609</t>
  </si>
  <si>
    <t>AMAY</t>
  </si>
  <si>
    <t>COUPE JEAN-PIERRE GGE</t>
  </si>
  <si>
    <t>442.405.221</t>
  </si>
  <si>
    <t>HUY</t>
  </si>
  <si>
    <t>COULEE HUBERT</t>
  </si>
  <si>
    <t>Janson</t>
  </si>
  <si>
    <t>452.403.545</t>
  </si>
  <si>
    <t>MAARKEDAL</t>
  </si>
  <si>
    <t>COUGER ENGINEERING BVBA</t>
  </si>
  <si>
    <t>Jans</t>
  </si>
  <si>
    <t>Marleen</t>
  </si>
  <si>
    <t>747.349.663</t>
  </si>
  <si>
    <t>KESTER</t>
  </si>
  <si>
    <t>COSYN WILLY GGE CARR.</t>
  </si>
  <si>
    <t>CORPHALIE MOTOR</t>
  </si>
  <si>
    <t>Jacobs</t>
  </si>
  <si>
    <t>558.410.489</t>
  </si>
  <si>
    <t>CORNILLIE JACQUES</t>
  </si>
  <si>
    <t>COPPENS</t>
  </si>
  <si>
    <t>Istace</t>
  </si>
  <si>
    <t>Xavier</t>
  </si>
  <si>
    <t>654.347.944</t>
  </si>
  <si>
    <t>COOPMANS PASCAL</t>
  </si>
  <si>
    <t>MOL</t>
  </si>
  <si>
    <t>COOMANS PAUL</t>
  </si>
  <si>
    <t>Ingels</t>
  </si>
  <si>
    <t>Marco</t>
  </si>
  <si>
    <t>734.138.560</t>
  </si>
  <si>
    <t>DENDERLEEUW</t>
  </si>
  <si>
    <t>COOMANS K (AUTOBEDR)</t>
  </si>
  <si>
    <t>582.173.412</t>
  </si>
  <si>
    <t>COOMAM GUIDO GGE</t>
  </si>
  <si>
    <t>456.938.294</t>
  </si>
  <si>
    <t>CONTICARS BVBA</t>
  </si>
  <si>
    <t>540.437.775</t>
  </si>
  <si>
    <t>BIERCEE</t>
  </si>
  <si>
    <t>CONSTANT JOHN</t>
  </si>
  <si>
    <t>Hollmann</t>
  </si>
  <si>
    <t>COMADIS NV</t>
  </si>
  <si>
    <t>Hoeven</t>
  </si>
  <si>
    <t>430.094.040</t>
  </si>
  <si>
    <t>COMACO GGE SPRL</t>
  </si>
  <si>
    <t>526.266.471</t>
  </si>
  <si>
    <t>ANZEGEM</t>
  </si>
  <si>
    <t>COLPAERT WILLY GGE</t>
  </si>
  <si>
    <t>Heymans</t>
  </si>
  <si>
    <t>713.239.911</t>
  </si>
  <si>
    <t>COLLIMEX - COLLIN CHRISTIAN</t>
  </si>
  <si>
    <t>Heuzer</t>
  </si>
  <si>
    <t>598.380.132</t>
  </si>
  <si>
    <t>COLLETTE PIERRE GGE</t>
  </si>
  <si>
    <t>Hetherington</t>
  </si>
  <si>
    <t>Helena</t>
  </si>
  <si>
    <t>718.371.607</t>
  </si>
  <si>
    <t>WITTIMONT</t>
  </si>
  <si>
    <t>COLLET JEAN LUC</t>
  </si>
  <si>
    <t>Hermans</t>
  </si>
  <si>
    <t>651.115.567</t>
  </si>
  <si>
    <t>COLLARD G W GGE</t>
  </si>
  <si>
    <t>Herbots</t>
  </si>
  <si>
    <t>Karina</t>
  </si>
  <si>
    <t>BORGLOON</t>
  </si>
  <si>
    <t>COENEN T</t>
  </si>
  <si>
    <t>Heps</t>
  </si>
  <si>
    <t>435.475.362</t>
  </si>
  <si>
    <t>COENEN MOTOR SPRL</t>
  </si>
  <si>
    <t>Henry</t>
  </si>
  <si>
    <t>Colette</t>
  </si>
  <si>
    <t>COENEN J</t>
  </si>
  <si>
    <t>Arianne</t>
  </si>
  <si>
    <t>426.184.742</t>
  </si>
  <si>
    <t>COENE AUTOHANDEL GGE</t>
  </si>
  <si>
    <t>Henrijean</t>
  </si>
  <si>
    <t>771.039.340</t>
  </si>
  <si>
    <t>HEUSDEN ZOLDER</t>
  </si>
  <si>
    <t>CMW GGE</t>
  </si>
  <si>
    <t>604.670.878</t>
  </si>
  <si>
    <t>BRAIVES</t>
  </si>
  <si>
    <t>CMB AUTOMOBILES</t>
  </si>
  <si>
    <t>629.326.595</t>
  </si>
  <si>
    <t>CLISSEN STAF GGE</t>
  </si>
  <si>
    <t>Henneuse</t>
  </si>
  <si>
    <t>603.590.616</t>
  </si>
  <si>
    <t>GRIVEGNE</t>
  </si>
  <si>
    <t>CLEUREN</t>
  </si>
  <si>
    <t>696.391.011</t>
  </si>
  <si>
    <t>ALKEN</t>
  </si>
  <si>
    <t>CLEEREN GERT (AUTOHANDEL)</t>
  </si>
  <si>
    <t>510.991.248</t>
  </si>
  <si>
    <t>NIEL</t>
  </si>
  <si>
    <t>CLASSIC CARS GGE</t>
  </si>
  <si>
    <t>Hendeles</t>
  </si>
  <si>
    <t>448.981.623</t>
  </si>
  <si>
    <t>TIENEN</t>
  </si>
  <si>
    <t>CLARMAN BVBA</t>
  </si>
  <si>
    <t>Hellinckx</t>
  </si>
  <si>
    <t>Gerda</t>
  </si>
  <si>
    <t>659.060.560</t>
  </si>
  <si>
    <t>CLAESSENS JM</t>
  </si>
  <si>
    <t>Helleputte</t>
  </si>
  <si>
    <t>418.656.849</t>
  </si>
  <si>
    <t>CLAES AUTO'S NV</t>
  </si>
  <si>
    <t>Hellenbosch</t>
  </si>
  <si>
    <t>TONGEREN</t>
  </si>
  <si>
    <t>CILISSEN LEON</t>
  </si>
  <si>
    <t>Hayot</t>
  </si>
  <si>
    <t>715.228.312</t>
  </si>
  <si>
    <t>CIAMPI FABRIZIO GGE</t>
  </si>
  <si>
    <t>Hautier</t>
  </si>
  <si>
    <t>592.725.824</t>
  </si>
  <si>
    <t>CHRISTOPHE (AUTOHANDEL)</t>
  </si>
  <si>
    <t>Haumont</t>
  </si>
  <si>
    <t>CHEZ LILLO</t>
  </si>
  <si>
    <t>Hardy</t>
  </si>
  <si>
    <t>CHATELET MOTOR SERVICES s.a.</t>
  </si>
  <si>
    <t>Harbitz</t>
  </si>
  <si>
    <t>Hans</t>
  </si>
  <si>
    <t>DION</t>
  </si>
  <si>
    <t>CHARLIER H</t>
  </si>
  <si>
    <t>Hanssens</t>
  </si>
  <si>
    <t>CHAMPION</t>
  </si>
  <si>
    <t>CHAMPION MOTOR PIRLOT SA</t>
  </si>
  <si>
    <t>Hanjoul</t>
  </si>
  <si>
    <t>425.941.549</t>
  </si>
  <si>
    <t>HERENTALS</t>
  </si>
  <si>
    <t>CEVOMAN NV</t>
  </si>
  <si>
    <t>Haex</t>
  </si>
  <si>
    <t>550.052.653</t>
  </si>
  <si>
    <t>CEULEMANS GGE</t>
  </si>
  <si>
    <t>424.946.211</t>
  </si>
  <si>
    <t>CENTRE DE L'OCCASION SPRL</t>
  </si>
  <si>
    <t>Gyselen</t>
  </si>
  <si>
    <t>Ursula</t>
  </si>
  <si>
    <t>NANINNE</t>
  </si>
  <si>
    <t>CENTRE AUTOMOBILE NAMUROIS</t>
  </si>
  <si>
    <t>Gurman</t>
  </si>
  <si>
    <t>412.861.395</t>
  </si>
  <si>
    <t>CENTRAAL GGE BVBA</t>
  </si>
  <si>
    <t>Guilbert</t>
  </si>
  <si>
    <t>438.241.941</t>
  </si>
  <si>
    <t>CENTER CARS GGE CV</t>
  </si>
  <si>
    <t>417.602.024</t>
  </si>
  <si>
    <t>CEARA (AUTOHANDEL) BVBA</t>
  </si>
  <si>
    <t>Guéry</t>
  </si>
  <si>
    <t>422.201.210</t>
  </si>
  <si>
    <t>LEMBEEK</t>
  </si>
  <si>
    <t>CDS INTERNATIONAL BVBA</t>
  </si>
  <si>
    <t>Manuel</t>
  </si>
  <si>
    <t>418.635.865</t>
  </si>
  <si>
    <t>CATOBEL SPRL</t>
  </si>
  <si>
    <t>Gucassoff</t>
  </si>
  <si>
    <t>Alexandre</t>
  </si>
  <si>
    <t>659.149.444</t>
  </si>
  <si>
    <t>CASTRO AGOSTINHO</t>
  </si>
  <si>
    <t>Grootjans</t>
  </si>
  <si>
    <t>Erna</t>
  </si>
  <si>
    <t>417.651.910</t>
  </si>
  <si>
    <t>KOEKELARE</t>
  </si>
  <si>
    <t>CASIER EDGARD GGE BVBA</t>
  </si>
  <si>
    <t>Grisard</t>
  </si>
  <si>
    <t>629.315.808</t>
  </si>
  <si>
    <t>AARSCHOT</t>
  </si>
  <si>
    <t>CARWELL-PETROWELL</t>
  </si>
  <si>
    <t>457.535.340</t>
  </si>
  <si>
    <t>CARS &amp; BUSINESS SPRL</t>
  </si>
  <si>
    <t>449.374.769</t>
  </si>
  <si>
    <t>CARROSSERIE D D FLEURUSIENNE</t>
  </si>
  <si>
    <t>726.131.607</t>
  </si>
  <si>
    <t>CARRETTA MICHEL</t>
  </si>
  <si>
    <t>Gillis</t>
  </si>
  <si>
    <t>515.588.058</t>
  </si>
  <si>
    <t>CARRERA GGE</t>
  </si>
  <si>
    <t>Gillet</t>
  </si>
  <si>
    <t>Tonny</t>
  </si>
  <si>
    <t>774.046.043</t>
  </si>
  <si>
    <t>CARPINO RAYMOND</t>
  </si>
  <si>
    <t>Gilbert</t>
  </si>
  <si>
    <t>Karinne</t>
  </si>
  <si>
    <t>SOUMAGNE</t>
  </si>
  <si>
    <t>CARPINO</t>
  </si>
  <si>
    <t>Gikas</t>
  </si>
  <si>
    <t>Filio</t>
  </si>
  <si>
    <t>431.860.232</t>
  </si>
  <si>
    <t>CARPENTIER SPRL</t>
  </si>
  <si>
    <t>Gijsbrecht</t>
  </si>
  <si>
    <t>Marcus</t>
  </si>
  <si>
    <t>579.821.755</t>
  </si>
  <si>
    <t>CARLIER ANDRE GGE</t>
  </si>
  <si>
    <t>423.994.324</t>
  </si>
  <si>
    <t>CARGA TRUCKS GGE</t>
  </si>
  <si>
    <t>Gielen</t>
  </si>
  <si>
    <t>431.648.515</t>
  </si>
  <si>
    <t>CAREXPRESS SCRL</t>
  </si>
  <si>
    <t>Gibbon</t>
  </si>
  <si>
    <t>433.559.217</t>
  </si>
  <si>
    <t>ATH</t>
  </si>
  <si>
    <t>CARATH GGE SPRL</t>
  </si>
  <si>
    <t>MICHEROUX</t>
  </si>
  <si>
    <t>CAR SERVICE DEBY</t>
  </si>
  <si>
    <t>Germain</t>
  </si>
  <si>
    <t>Jöelle</t>
  </si>
  <si>
    <t>429.955.765</t>
  </si>
  <si>
    <t>GREZ DOICEAU</t>
  </si>
  <si>
    <t>CAR SCHOP SC</t>
  </si>
  <si>
    <t>Georis</t>
  </si>
  <si>
    <t>Elisabeth</t>
  </si>
  <si>
    <t>432.723.235</t>
  </si>
  <si>
    <t>CAR ONE SA</t>
  </si>
  <si>
    <t>GRIMBERGEN</t>
  </si>
  <si>
    <t>CAR OLI SPRL</t>
  </si>
  <si>
    <t>Gemoets</t>
  </si>
  <si>
    <t>435.336.790</t>
  </si>
  <si>
    <t>CAR No 1  ANDRE JACQUES NV</t>
  </si>
  <si>
    <t>Geens</t>
  </si>
  <si>
    <t>456.828.527</t>
  </si>
  <si>
    <t>OISQUERCQ</t>
  </si>
  <si>
    <t>CAR MANIAC SPRL</t>
  </si>
  <si>
    <t>Gago</t>
  </si>
  <si>
    <t>Fréderic</t>
  </si>
  <si>
    <t>430.575.575</t>
  </si>
  <si>
    <t>CAR LAND SPRL/BVBA</t>
  </si>
  <si>
    <t>Frère-Hanon</t>
  </si>
  <si>
    <t>433.265.940</t>
  </si>
  <si>
    <t>CAR IMPORT-JB MOTOR SPORT NV</t>
  </si>
  <si>
    <t>693.405.983</t>
  </si>
  <si>
    <t>CHAUMONT-GISTOUX</t>
  </si>
  <si>
    <t>CAR DELVAUX</t>
  </si>
  <si>
    <t>Fransman</t>
  </si>
  <si>
    <t>Jean-Henri</t>
  </si>
  <si>
    <t>429.213.221</t>
  </si>
  <si>
    <t>CAR CONTINENTAL EXPORT SPRL</t>
  </si>
  <si>
    <t>Fontaine</t>
  </si>
  <si>
    <t>559.643.280</t>
  </si>
  <si>
    <t>CAR CONSULT GGE</t>
  </si>
  <si>
    <t>453.614.461</t>
  </si>
  <si>
    <t>HOEILAART</t>
  </si>
  <si>
    <t>CAR CONNECTION BVBA</t>
  </si>
  <si>
    <t>Flabat</t>
  </si>
  <si>
    <t>Magali</t>
  </si>
  <si>
    <t>452.624.269</t>
  </si>
  <si>
    <t>FERNELMONT</t>
  </si>
  <si>
    <t>CAR CONCEPT SA</t>
  </si>
  <si>
    <t>420.634.362</t>
  </si>
  <si>
    <t>CAR 911 SA</t>
  </si>
  <si>
    <t>Ferraro</t>
  </si>
  <si>
    <t>450.395.051</t>
  </si>
  <si>
    <t>CAR + SA</t>
  </si>
  <si>
    <t>427.564.716</t>
  </si>
  <si>
    <t>CAR &amp; MOTION  (SODIVO)</t>
  </si>
  <si>
    <t>Ferdinande</t>
  </si>
  <si>
    <t>436.030.935</t>
  </si>
  <si>
    <t>STROMBEEK BEVER</t>
  </si>
  <si>
    <t>CAPANNELLI L SPRL</t>
  </si>
  <si>
    <t>Fenix</t>
  </si>
  <si>
    <t>565.091.316</t>
  </si>
  <si>
    <t>CAMPS CLAES</t>
  </si>
  <si>
    <t>648.244.763</t>
  </si>
  <si>
    <t>CAMPE RONNY GGE</t>
  </si>
  <si>
    <t>Felleman</t>
  </si>
  <si>
    <t>523.753.577</t>
  </si>
  <si>
    <t>CALLEWAERT CARLO</t>
  </si>
  <si>
    <t>Favey</t>
  </si>
  <si>
    <t>DESTELBERGEN</t>
  </si>
  <si>
    <t>CALIS F GGE</t>
  </si>
  <si>
    <t>436.279.076</t>
  </si>
  <si>
    <t>C.B. CARS SA</t>
  </si>
  <si>
    <t>Fain</t>
  </si>
  <si>
    <t>Micheline</t>
  </si>
  <si>
    <t>BUYS HAROLD AUTOHANDEL</t>
  </si>
  <si>
    <t>511.540.089</t>
  </si>
  <si>
    <t>BUTZEN ROLAND</t>
  </si>
  <si>
    <t>416.785.046</t>
  </si>
  <si>
    <t>BUROCLEAN EXPORT AUTO SPRL</t>
  </si>
  <si>
    <t>724.143.107</t>
  </si>
  <si>
    <t>ARLON</t>
  </si>
  <si>
    <t>BURNIAT PATRICK</t>
  </si>
  <si>
    <t>FLERON</t>
  </si>
  <si>
    <t>BURNET</t>
  </si>
  <si>
    <t>Engels</t>
  </si>
  <si>
    <t>716.382.315</t>
  </si>
  <si>
    <t>BURANELLO BRUNO</t>
  </si>
  <si>
    <t>Elsen</t>
  </si>
  <si>
    <t>640.233.652</t>
  </si>
  <si>
    <t>HECHTEL EKSEL</t>
  </si>
  <si>
    <t>BUNKENS GGE</t>
  </si>
  <si>
    <t>Alfred</t>
  </si>
  <si>
    <t>691.124.505</t>
  </si>
  <si>
    <t>LA ROCHE</t>
  </si>
  <si>
    <t>BULTOT PATRICK</t>
  </si>
  <si>
    <t>Ellis</t>
  </si>
  <si>
    <t>ROOSDAAL</t>
  </si>
  <si>
    <t>BULTE RUDI</t>
  </si>
  <si>
    <t>Jane</t>
  </si>
  <si>
    <t>BUGA AUTOCENTER</t>
  </si>
  <si>
    <t>Ekblom</t>
  </si>
  <si>
    <t>446.910.573</t>
  </si>
  <si>
    <t>BRUXELLES COMPTOIR DE L'AUTO</t>
  </si>
  <si>
    <t>442.609.911</t>
  </si>
  <si>
    <t>BRUVACO NV</t>
  </si>
  <si>
    <t>Eeman</t>
  </si>
  <si>
    <t>421.231.012</t>
  </si>
  <si>
    <t>BRUSSELS TRADE CENTER SPRL-BTC</t>
  </si>
  <si>
    <t>MERKSEM</t>
  </si>
  <si>
    <t>BRITTI &amp; ZONEN  BVBA</t>
  </si>
  <si>
    <t>Dutordoir</t>
  </si>
  <si>
    <t>Alexis</t>
  </si>
  <si>
    <t>445.204.165</t>
  </si>
  <si>
    <t>BRISTOL MOTEURS SC</t>
  </si>
  <si>
    <t>Dumont</t>
  </si>
  <si>
    <t>647.138.468</t>
  </si>
  <si>
    <t>SINT LIEVENS HOUTEM</t>
  </si>
  <si>
    <t>BRIJS W GGE</t>
  </si>
  <si>
    <t>Dufour</t>
  </si>
  <si>
    <t>Vanessa</t>
  </si>
  <si>
    <t>426.949.458</t>
  </si>
  <si>
    <t>BREVAN PETER INTERNAT. BVBA</t>
  </si>
  <si>
    <t>Ducarme</t>
  </si>
  <si>
    <t>423.725.296</t>
  </si>
  <si>
    <t>BREEBOS MOTORS NV</t>
  </si>
  <si>
    <t>Ducamp</t>
  </si>
  <si>
    <t>433.912.375</t>
  </si>
  <si>
    <t>BRAEM GEBR. NV</t>
  </si>
  <si>
    <t>Drybooms</t>
  </si>
  <si>
    <t>645.323.479</t>
  </si>
  <si>
    <t>STEKENE</t>
  </si>
  <si>
    <t>BRAEKMAN (AUTOHANDEL)</t>
  </si>
  <si>
    <t>Drion</t>
  </si>
  <si>
    <t>Jocelyne</t>
  </si>
  <si>
    <t>423.737.273</t>
  </si>
  <si>
    <t>BOWO BVBA</t>
  </si>
  <si>
    <t>Driesen</t>
  </si>
  <si>
    <t>415.170.292</t>
  </si>
  <si>
    <t>BOVA NV</t>
  </si>
  <si>
    <t>573.616.923</t>
  </si>
  <si>
    <t>BOURLEAU R GGE</t>
  </si>
  <si>
    <t>Douxfils</t>
  </si>
  <si>
    <t>Marie-Pierre</t>
  </si>
  <si>
    <t>443.089.664</t>
  </si>
  <si>
    <t>BOULOS BROTHERS SPRL</t>
  </si>
  <si>
    <t>Doucet</t>
  </si>
  <si>
    <t>676.010.024</t>
  </si>
  <si>
    <t>BOUCQUET CHRISTIAAN</t>
  </si>
  <si>
    <t>Donck</t>
  </si>
  <si>
    <t>Kathleen</t>
  </si>
  <si>
    <t>667.163.921</t>
  </si>
  <si>
    <t>FRAMERIES</t>
  </si>
  <si>
    <t>BOUCHEZ CLAUDE GGE</t>
  </si>
  <si>
    <t>Cedric</t>
  </si>
  <si>
    <t>OOSTENDE</t>
  </si>
  <si>
    <t>BOUCHE JACQUES</t>
  </si>
  <si>
    <t>574.313.442</t>
  </si>
  <si>
    <t>BOTTELBERGS L GGE</t>
  </si>
  <si>
    <t>530.175.472</t>
  </si>
  <si>
    <t>BOSTYN RAF GGE</t>
  </si>
  <si>
    <t>Diricq</t>
  </si>
  <si>
    <t>Willy</t>
  </si>
  <si>
    <t>533.286.006</t>
  </si>
  <si>
    <t>BOSSUYT M &amp; B</t>
  </si>
  <si>
    <t>698.004.575</t>
  </si>
  <si>
    <t>BOSMANS MARLEEN</t>
  </si>
  <si>
    <t>Dillien</t>
  </si>
  <si>
    <t>BOSMANS GUIDO</t>
  </si>
  <si>
    <t>Dierickx</t>
  </si>
  <si>
    <t>642.114.066</t>
  </si>
  <si>
    <t>BORGERS C GGE</t>
  </si>
  <si>
    <t>694.313.231</t>
  </si>
  <si>
    <t>SAINT HUBERT</t>
  </si>
  <si>
    <t>BORDELLIER PATRICE GGE</t>
  </si>
  <si>
    <t>682.134.880</t>
  </si>
  <si>
    <t>BONNY RAFAEL GGE</t>
  </si>
  <si>
    <t>ZUTENDAAL</t>
  </si>
  <si>
    <t>BONNU G ETN</t>
  </si>
  <si>
    <t>D'Hooghe</t>
  </si>
  <si>
    <t>Annick</t>
  </si>
  <si>
    <t>519.598.217</t>
  </si>
  <si>
    <t>BONNEURE GINO GGE</t>
  </si>
  <si>
    <t>D'Hoedt</t>
  </si>
  <si>
    <t>Nick</t>
  </si>
  <si>
    <t>BONGERS PETER</t>
  </si>
  <si>
    <t>D'Haeseleer</t>
  </si>
  <si>
    <t>Toni</t>
  </si>
  <si>
    <t>454.530.221</t>
  </si>
  <si>
    <t>BAS WARNETON</t>
  </si>
  <si>
    <t>BONDUE JEAN PIERRE SPRL</t>
  </si>
  <si>
    <t>Dhaenens</t>
  </si>
  <si>
    <t>Arnold</t>
  </si>
  <si>
    <t>448.246.007</t>
  </si>
  <si>
    <t>HAMONT-ACHEL</t>
  </si>
  <si>
    <t>BOLLEN GGE NV</t>
  </si>
  <si>
    <t>Dewolf</t>
  </si>
  <si>
    <t>Sibille</t>
  </si>
  <si>
    <t>BOLLEN G GGE</t>
  </si>
  <si>
    <t>Dewevre</t>
  </si>
  <si>
    <t>713.177.652</t>
  </si>
  <si>
    <t>SPA</t>
  </si>
  <si>
    <t>BOGAERTS  (FINA)</t>
  </si>
  <si>
    <t>Devulder</t>
  </si>
  <si>
    <t>Nadège</t>
  </si>
  <si>
    <t>BM OCCASIONS SC</t>
  </si>
  <si>
    <t>423.641.164</t>
  </si>
  <si>
    <t>BLOCRY GGE</t>
  </si>
  <si>
    <t>660.328.191</t>
  </si>
  <si>
    <t>GOUTROUX</t>
  </si>
  <si>
    <t>BLEKIC PASCAL GGE</t>
  </si>
  <si>
    <t>Desterke</t>
  </si>
  <si>
    <t>417.113.856</t>
  </si>
  <si>
    <t>BLAUWE POORT GGE</t>
  </si>
  <si>
    <t>551.257.532</t>
  </si>
  <si>
    <t>BINON RB</t>
  </si>
  <si>
    <t>Desmecht</t>
  </si>
  <si>
    <t>Charline</t>
  </si>
  <si>
    <t>412.878.025</t>
  </si>
  <si>
    <t>BILLEN FRANS NV</t>
  </si>
  <si>
    <t>Dermaut</t>
  </si>
  <si>
    <t>Rudolphe</t>
  </si>
  <si>
    <t>691.024.733</t>
  </si>
  <si>
    <t>BANDE</t>
  </si>
  <si>
    <t>BILLA POL</t>
  </si>
  <si>
    <t>BEVANUX GGE</t>
  </si>
  <si>
    <t>Deprins</t>
  </si>
  <si>
    <t>Bob</t>
  </si>
  <si>
    <t>413.684.115</t>
  </si>
  <si>
    <t>BERNARD GGE SPRL</t>
  </si>
  <si>
    <t>Deprez</t>
  </si>
  <si>
    <t>WALHAIN</t>
  </si>
  <si>
    <t>BERNARD GGE</t>
  </si>
  <si>
    <t>Delombaerde</t>
  </si>
  <si>
    <t>Freddy</t>
  </si>
  <si>
    <t>452.937.144</t>
  </si>
  <si>
    <t>BERNARD DECOENE COMP. GGE BVBA</t>
  </si>
  <si>
    <t>Delhez</t>
  </si>
  <si>
    <t>Huguette</t>
  </si>
  <si>
    <t>576.049.247</t>
  </si>
  <si>
    <t>BOUTERSEM</t>
  </si>
  <si>
    <t>BERGHEN L GGE/CARR.</t>
  </si>
  <si>
    <t>Delhaye</t>
  </si>
  <si>
    <t>709.862.232</t>
  </si>
  <si>
    <t>BERGANS DONKERWOLKE</t>
  </si>
  <si>
    <t>Delfosse</t>
  </si>
  <si>
    <t>BENVEGNA FRERES SPRL</t>
  </si>
  <si>
    <t>Deleplanque</t>
  </si>
  <si>
    <t>BENOIT GGE</t>
  </si>
  <si>
    <t>Delcourt</t>
  </si>
  <si>
    <t>428.848.183</t>
  </si>
  <si>
    <t>BENNY AUTOHANDEL</t>
  </si>
  <si>
    <t>427.598.170</t>
  </si>
  <si>
    <t>BELTRACOM SPRL</t>
  </si>
  <si>
    <t>Delbauve</t>
  </si>
  <si>
    <t>417.950.135</t>
  </si>
  <si>
    <t>NIJLEN</t>
  </si>
  <si>
    <t>BELLENS P (AUTOBEDRIJF) BVBA</t>
  </si>
  <si>
    <t>Delannoy</t>
  </si>
  <si>
    <t>Anne-Lise</t>
  </si>
  <si>
    <t>661.060.740</t>
  </si>
  <si>
    <t>BELLENS ALFRED GGE</t>
  </si>
  <si>
    <t>444.023.636</t>
  </si>
  <si>
    <t>BELLEGEMSE AUTOHANDEL</t>
  </si>
  <si>
    <t>Delaette</t>
  </si>
  <si>
    <t>540.100.750</t>
  </si>
  <si>
    <t>BELLAS JEAN AUTO IMPORT EXPORT</t>
  </si>
  <si>
    <t>Deladrier</t>
  </si>
  <si>
    <t>430.645.950</t>
  </si>
  <si>
    <t>BELIBAN SPRL</t>
  </si>
  <si>
    <t>Degroot</t>
  </si>
  <si>
    <t>Laurence</t>
  </si>
  <si>
    <t>633.369.814</t>
  </si>
  <si>
    <t>MEISE (WESTRODE)</t>
  </si>
  <si>
    <t>BELGIAN TRANSIT SYSTEMS BVBA</t>
  </si>
  <si>
    <t>Degreef</t>
  </si>
  <si>
    <t>431.201.820</t>
  </si>
  <si>
    <t>BELGIAN MOTOR COMPANY</t>
  </si>
  <si>
    <t>701.131.737</t>
  </si>
  <si>
    <t>Napoleonkaai 19</t>
  </si>
  <si>
    <t>BELGIAN CARTRANS SYSTEMS</t>
  </si>
  <si>
    <t>Degeest</t>
  </si>
  <si>
    <t>BEIRENS BVBA</t>
  </si>
  <si>
    <t>Deflandre</t>
  </si>
  <si>
    <t>BEETS L GGE</t>
  </si>
  <si>
    <t>Defernez</t>
  </si>
  <si>
    <t>Lucie</t>
  </si>
  <si>
    <t>406.858.481</t>
  </si>
  <si>
    <t>BECKERS SA</t>
  </si>
  <si>
    <t>637.110.846</t>
  </si>
  <si>
    <t>HERK DE STAD</t>
  </si>
  <si>
    <t>BECKERS A GGE</t>
  </si>
  <si>
    <t>Decroix</t>
  </si>
  <si>
    <t>LODELINSART</t>
  </si>
  <si>
    <t>BEAUTY CAR SC</t>
  </si>
  <si>
    <t>Decoman</t>
  </si>
  <si>
    <t>BEAUSSART (GGE DU) SC</t>
  </si>
  <si>
    <t>Decobecq</t>
  </si>
  <si>
    <t>637.398.876</t>
  </si>
  <si>
    <t>BERINGEN</t>
  </si>
  <si>
    <t>BEAUFAYS ROMAIN</t>
  </si>
  <si>
    <t>Declercq</t>
  </si>
  <si>
    <t>450.008.239</t>
  </si>
  <si>
    <t>KORTENBERG</t>
  </si>
  <si>
    <t>BCC CARS BVBA</t>
  </si>
  <si>
    <t>Deckers</t>
  </si>
  <si>
    <t>BERLARE</t>
  </si>
  <si>
    <t>BAYENS R GGE</t>
  </si>
  <si>
    <t>661.170.608</t>
  </si>
  <si>
    <t>BASTIANINI ROBERTO GGE</t>
  </si>
  <si>
    <t>Debrakeleer</t>
  </si>
  <si>
    <t>451.630.119</t>
  </si>
  <si>
    <t>BAS GGE SPRL (TRANSPORT)</t>
  </si>
  <si>
    <t>INCOURT</t>
  </si>
  <si>
    <t>BARTELS P</t>
  </si>
  <si>
    <t>436.708.747</t>
  </si>
  <si>
    <t>BARRIERE (GGE DE LA) SC</t>
  </si>
  <si>
    <t>Debongnie</t>
  </si>
  <si>
    <t>501.323.516</t>
  </si>
  <si>
    <t>BAMPS F. LOUIS</t>
  </si>
  <si>
    <t>Debliecq</t>
  </si>
  <si>
    <t>Sylvianne</t>
  </si>
  <si>
    <t>687.282.711</t>
  </si>
  <si>
    <t>BALEMANS LUC (TEXACO SCHOTEN)</t>
  </si>
  <si>
    <t>BAETEN GGE</t>
  </si>
  <si>
    <t>Debecq</t>
  </si>
  <si>
    <t>REMOUCHAMPS</t>
  </si>
  <si>
    <t>BAAR</t>
  </si>
  <si>
    <t>De Vuyst</t>
  </si>
  <si>
    <t>Sunny</t>
  </si>
  <si>
    <t>423.666.009</t>
  </si>
  <si>
    <t>B.T.T. TRUCKS HERENTALS NV</t>
  </si>
  <si>
    <t>de Vleeschouwer</t>
  </si>
  <si>
    <t>547.444.442</t>
  </si>
  <si>
    <t>AYDEMIR LERMAN</t>
  </si>
  <si>
    <t>De Ridder</t>
  </si>
  <si>
    <t>448.841.071</t>
  </si>
  <si>
    <t>AVP NV</t>
  </si>
  <si>
    <t>424.351.244</t>
  </si>
  <si>
    <t>AVIATION (GGE DE L) SPRL</t>
  </si>
  <si>
    <t>de Ricker</t>
  </si>
  <si>
    <t>578.374.574</t>
  </si>
  <si>
    <t>AVENUE (GGE DE L')</t>
  </si>
  <si>
    <t>MONTIGNY LE TILLEUL</t>
  </si>
  <si>
    <t>AVENTAGE A ETS</t>
  </si>
  <si>
    <t>436.465.455</t>
  </si>
  <si>
    <t>OHAIN</t>
  </si>
  <si>
    <t>AVENIR (GGE DE L)</t>
  </si>
  <si>
    <t>De Partz</t>
  </si>
  <si>
    <t>444.348.585</t>
  </si>
  <si>
    <t>AVENIDA CARS SA</t>
  </si>
  <si>
    <t>De Moor</t>
  </si>
  <si>
    <t>Filip</t>
  </si>
  <si>
    <t>452.643.174</t>
  </si>
  <si>
    <t>AUTOWINKEL BVBA</t>
  </si>
  <si>
    <t>De Meyer</t>
  </si>
  <si>
    <t>Florence</t>
  </si>
  <si>
    <t>AUTOSTOCK REKEM NV</t>
  </si>
  <si>
    <t>613.041.384</t>
  </si>
  <si>
    <t>AUTOS'MINNE</t>
  </si>
  <si>
    <t>de Kok</t>
  </si>
  <si>
    <t>424.330.359</t>
  </si>
  <si>
    <t>GLABAIS</t>
  </si>
  <si>
    <t>AUTOSAN SPRL GGE</t>
  </si>
  <si>
    <t>456.645.118</t>
  </si>
  <si>
    <t>AUTO'S YVES BVBA</t>
  </si>
  <si>
    <t>de Kemel</t>
  </si>
  <si>
    <t>446.716.078</t>
  </si>
  <si>
    <t>HALEN</t>
  </si>
  <si>
    <t>AUTO'S XAVIER BVBA</t>
  </si>
  <si>
    <t>De Jongh</t>
  </si>
  <si>
    <t>457.035.195</t>
  </si>
  <si>
    <t>AUTO'S WEVER GGE BVBA</t>
  </si>
  <si>
    <t>439.963.987</t>
  </si>
  <si>
    <t>LONDERZEEL</t>
  </si>
  <si>
    <t>AUTO'S WERNER GGE BVBA</t>
  </si>
  <si>
    <t>de Houwer</t>
  </si>
  <si>
    <t>AUTO'S VERLEYSEN</t>
  </si>
  <si>
    <t>510.952.943</t>
  </si>
  <si>
    <t>AUTO'S VAN LOOVEREN JOS GGE</t>
  </si>
  <si>
    <t>de Harvan</t>
  </si>
  <si>
    <t>636.144.905</t>
  </si>
  <si>
    <t>RUMST</t>
  </si>
  <si>
    <t>AUTOS VAN INNIS</t>
  </si>
  <si>
    <t>De Groote</t>
  </si>
  <si>
    <t>707.334.193</t>
  </si>
  <si>
    <t>BEGIJNENDIJK</t>
  </si>
  <si>
    <t>AUTO'S VALCKENEERS</t>
  </si>
  <si>
    <t>De Gelder</t>
  </si>
  <si>
    <t>543.178.422</t>
  </si>
  <si>
    <t>AUTOS PASCAL</t>
  </si>
  <si>
    <t>De Gavre</t>
  </si>
  <si>
    <t>605.936.531</t>
  </si>
  <si>
    <t>AUTO export</t>
  </si>
  <si>
    <t>De Gailly</t>
  </si>
  <si>
    <t>633.320.126</t>
  </si>
  <si>
    <t>AUTO'S MEERSMAN GGE</t>
  </si>
  <si>
    <t>de Frahan</t>
  </si>
  <si>
    <t>451.566.177</t>
  </si>
  <si>
    <t>AUTO'S LIERMAN VOF</t>
  </si>
  <si>
    <t>de Decker</t>
  </si>
  <si>
    <t>637.427.976</t>
  </si>
  <si>
    <t>AUTO'S HUYBRECHTS</t>
  </si>
  <si>
    <t>435.079.147</t>
  </si>
  <si>
    <t>AUTO'S HERMENS BVBA</t>
  </si>
  <si>
    <t>435.010.257</t>
  </si>
  <si>
    <t>AUTO'S GVF  NV</t>
  </si>
  <si>
    <t>De Busscher</t>
  </si>
  <si>
    <t>697.415.746</t>
  </si>
  <si>
    <t>AUTO'S GERAERTS EDWIN</t>
  </si>
  <si>
    <t>De Bruyne</t>
  </si>
  <si>
    <t>Patrice</t>
  </si>
  <si>
    <t>734.241.993</t>
  </si>
  <si>
    <t>AUTO'S DEBOLLE</t>
  </si>
  <si>
    <t>730.161.560</t>
  </si>
  <si>
    <t>AUTO'S COMHAIR JANS</t>
  </si>
  <si>
    <t>De Borghraeve</t>
  </si>
  <si>
    <t>Alec</t>
  </si>
  <si>
    <t>639.335.512</t>
  </si>
  <si>
    <t>HOESELT (WERM)</t>
  </si>
  <si>
    <t>AUTO'S COENEN LUC</t>
  </si>
  <si>
    <t>De Bolle</t>
  </si>
  <si>
    <t>Mariane</t>
  </si>
  <si>
    <t>458.289.762</t>
  </si>
  <si>
    <t>Kraainem</t>
  </si>
  <si>
    <t>Stockel Car</t>
  </si>
  <si>
    <t>De Baekkere</t>
  </si>
  <si>
    <t>Anneke</t>
  </si>
  <si>
    <t>739.270.850</t>
  </si>
  <si>
    <t>AUTO'S CHRISTIAN</t>
  </si>
  <si>
    <t>Daxhelet</t>
  </si>
  <si>
    <t>444.130.336</t>
  </si>
  <si>
    <t>AUTO'S CARDOEN  (DATOS NV)</t>
  </si>
  <si>
    <t>Daue</t>
  </si>
  <si>
    <t>Jean-Rémy</t>
  </si>
  <si>
    <t>677.300.025</t>
  </si>
  <si>
    <t>AUTO'S BULCKE</t>
  </si>
  <si>
    <t>448.173.256</t>
  </si>
  <si>
    <t>AUTO'S BLONDIAU HUGO  (SHELL)</t>
  </si>
  <si>
    <t>445.356.197</t>
  </si>
  <si>
    <t>AUTO'S BLEYS NV</t>
  </si>
  <si>
    <t>Daffe</t>
  </si>
  <si>
    <t>699.311.602</t>
  </si>
  <si>
    <t>PUTTE</t>
  </si>
  <si>
    <t>AUTO'S BERGHS FRANK</t>
  </si>
  <si>
    <t>MAASEIK</t>
  </si>
  <si>
    <t>AUTO'S BERBEN</t>
  </si>
  <si>
    <t>Cromphout</t>
  </si>
  <si>
    <t>698.142.454</t>
  </si>
  <si>
    <t>NEERPELT</t>
  </si>
  <si>
    <t>AUTO'S BENNY GGE</t>
  </si>
  <si>
    <t>Crevecoeur</t>
  </si>
  <si>
    <t>574.801.511</t>
  </si>
  <si>
    <t>AUTO'S ACHTEN</t>
  </si>
  <si>
    <t>Crabbe</t>
  </si>
  <si>
    <t>Stefaan</t>
  </si>
  <si>
    <t>TILLEUR</t>
  </si>
  <si>
    <t>AUTOS 17</t>
  </si>
  <si>
    <t>420.823.711</t>
  </si>
  <si>
    <t>AUTOS 145 NV</t>
  </si>
  <si>
    <t>431.606.448</t>
  </si>
  <si>
    <t>AUTOMOBILES J.J.P. SA</t>
  </si>
  <si>
    <t>Courtois</t>
  </si>
  <si>
    <t>ROVER IXELLES</t>
  </si>
  <si>
    <t>Courbet</t>
  </si>
  <si>
    <t>759.158.919</t>
  </si>
  <si>
    <t>AUTOMOBILES DU CENTRE</t>
  </si>
  <si>
    <t>Coumans</t>
  </si>
  <si>
    <t>Kris</t>
  </si>
  <si>
    <t>420.097.102</t>
  </si>
  <si>
    <t>AUTOMOBILES BOURGEOIS SPRL</t>
  </si>
  <si>
    <t>Cornélis</t>
  </si>
  <si>
    <t>Morganne</t>
  </si>
  <si>
    <t>AUTOMOBILE DE NAMUR SAN sa</t>
  </si>
  <si>
    <t>Coquette</t>
  </si>
  <si>
    <t>451.160.460</t>
  </si>
  <si>
    <t>AUTOMOBILE BUSINESS NV</t>
  </si>
  <si>
    <t>Coppens</t>
  </si>
  <si>
    <t>AUTOMOBIEL BM</t>
  </si>
  <si>
    <t>Concierge</t>
  </si>
  <si>
    <t>Claudette</t>
  </si>
  <si>
    <t>418.380.301</t>
  </si>
  <si>
    <t>AUTOMIL SPRL</t>
  </si>
  <si>
    <t>AUTOHANDEL VAN ISACKER</t>
  </si>
  <si>
    <t>558.501.650</t>
  </si>
  <si>
    <t>AUTOFORMALITE</t>
  </si>
  <si>
    <t>Cibret</t>
  </si>
  <si>
    <t>AUTOCCASIONS RANSART</t>
  </si>
  <si>
    <t>402.483.880</t>
  </si>
  <si>
    <t>AUTO VENTE SPRL</t>
  </si>
  <si>
    <t>550.026.127</t>
  </si>
  <si>
    <t>AUTO TRANSAC</t>
  </si>
  <si>
    <t>Charroux</t>
  </si>
  <si>
    <t>451.278.939</t>
  </si>
  <si>
    <t>AUTO TOP SA</t>
  </si>
  <si>
    <t>Chaouat</t>
  </si>
  <si>
    <t>Sabrina</t>
  </si>
  <si>
    <t>AUTO STAINIER (Select??)</t>
  </si>
  <si>
    <t>Chabeau</t>
  </si>
  <si>
    <t>438.090.305</t>
  </si>
  <si>
    <t>AUTO SOL SC</t>
  </si>
  <si>
    <t>Cettou</t>
  </si>
  <si>
    <t>435.680.448</t>
  </si>
  <si>
    <t>AUTO SELECT GGE SPRL</t>
  </si>
  <si>
    <t>Cauwe</t>
  </si>
  <si>
    <t>AUTO SAN</t>
  </si>
  <si>
    <t>Casimiro</t>
  </si>
  <si>
    <t>Annabelle</t>
  </si>
  <si>
    <t>716.376.078</t>
  </si>
  <si>
    <t>AUTO ROBERT GGE</t>
  </si>
  <si>
    <t>Cartuyvels</t>
  </si>
  <si>
    <t>Alphonse-Philippe</t>
  </si>
  <si>
    <t>561.465.395</t>
  </si>
  <si>
    <t>AUTO RADO</t>
  </si>
  <si>
    <t>Carlier</t>
  </si>
  <si>
    <t>TUBIZE</t>
  </si>
  <si>
    <t>AUTO PLUS SPRL (CAPIZZI)</t>
  </si>
  <si>
    <t>Carels</t>
  </si>
  <si>
    <t>450.323.884</t>
  </si>
  <si>
    <t>DIEPENBEEK</t>
  </si>
  <si>
    <t>AUTO PIPELEERS NV</t>
  </si>
  <si>
    <t>Car</t>
  </si>
  <si>
    <t>Virginie</t>
  </si>
  <si>
    <t>AUTO PIERCARS</t>
  </si>
  <si>
    <t>429.737.120</t>
  </si>
  <si>
    <t>AUTO PERFORMANCE SC</t>
  </si>
  <si>
    <t>Camacho</t>
  </si>
  <si>
    <t>Marisa</t>
  </si>
  <si>
    <t>422.154.589</t>
  </si>
  <si>
    <t>AUTO PAUL NV</t>
  </si>
  <si>
    <t>Callens</t>
  </si>
  <si>
    <t>Mercedes-Benz Belgium S.A.</t>
  </si>
  <si>
    <t>Byé</t>
  </si>
  <si>
    <t>598.514.546</t>
  </si>
  <si>
    <t>AUTO MEMO</t>
  </si>
  <si>
    <t>Buyst</t>
  </si>
  <si>
    <t>439.257.372</t>
  </si>
  <si>
    <t>AUTO MEEUSEN BVBA</t>
  </si>
  <si>
    <t>Buyens</t>
  </si>
  <si>
    <t>LA CALAMINE</t>
  </si>
  <si>
    <t>AUTO KRUGEL SPRL</t>
  </si>
  <si>
    <t>Burton</t>
  </si>
  <si>
    <t>442.855.775</t>
  </si>
  <si>
    <t>FONTAINE L'EVEQUE</t>
  </si>
  <si>
    <t>AUTO KIT ABELOOS SPRL</t>
  </si>
  <si>
    <t>Mirène</t>
  </si>
  <si>
    <t>456.545.247</t>
  </si>
  <si>
    <t>AUTOKELLY</t>
  </si>
  <si>
    <t>403.423.394</t>
  </si>
  <si>
    <t>AUTO FIMA SPRL</t>
  </si>
  <si>
    <t>Buntinckx</t>
  </si>
  <si>
    <t>427.350.623</t>
  </si>
  <si>
    <t>WANFERCEE-BAULET</t>
  </si>
  <si>
    <t>AUTO EXPORT DALLA GGE SPRL</t>
  </si>
  <si>
    <t>Bulens</t>
  </si>
  <si>
    <t>450.712.379</t>
  </si>
  <si>
    <t>AUTO DU MOULIN SPRL</t>
  </si>
  <si>
    <t>557.645.773</t>
  </si>
  <si>
    <t>AUTO DECOUR GGE</t>
  </si>
  <si>
    <t>438.641.819</t>
  </si>
  <si>
    <t>AUTO DD  SCS</t>
  </si>
  <si>
    <t>Mariette</t>
  </si>
  <si>
    <t>431.995.735</t>
  </si>
  <si>
    <t>AUTO CROMA SPRL</t>
  </si>
  <si>
    <t>Lydie</t>
  </si>
  <si>
    <t>AUTO COLO</t>
  </si>
  <si>
    <t>456.095.582</t>
  </si>
  <si>
    <t>AUTO CERI SPRL</t>
  </si>
  <si>
    <t>Bruwier</t>
  </si>
  <si>
    <t>424.423.302</t>
  </si>
  <si>
    <t>AUTO 319 SPRL</t>
  </si>
  <si>
    <t>Brodelet</t>
  </si>
  <si>
    <t>454.480.929</t>
  </si>
  <si>
    <t>AUTO 240 SPRL</t>
  </si>
  <si>
    <t>TEMPLOUX</t>
  </si>
  <si>
    <t>AUTO 2</t>
  </si>
  <si>
    <t>AUTO 13</t>
  </si>
  <si>
    <t>Bricteux</t>
  </si>
  <si>
    <t>433.506.361</t>
  </si>
  <si>
    <t>AUTO-SAFI SA / NV</t>
  </si>
  <si>
    <t>Brichette</t>
  </si>
  <si>
    <t>Maria</t>
  </si>
  <si>
    <t>AUTO-OCCASION BRESSAN</t>
  </si>
  <si>
    <t>Brassine</t>
  </si>
  <si>
    <t>AUTELEER</t>
  </si>
  <si>
    <t>427.742.284</t>
  </si>
  <si>
    <t>AURELIE ASBL</t>
  </si>
  <si>
    <t>Axel</t>
  </si>
  <si>
    <t>AUQUIER L</t>
  </si>
  <si>
    <t>Branson</t>
  </si>
  <si>
    <t>Sandra</t>
  </si>
  <si>
    <t>LOCHRISTI</t>
  </si>
  <si>
    <t>AUDENAERT JOHAN</t>
  </si>
  <si>
    <t>Braillard</t>
  </si>
  <si>
    <t>444.259.604</t>
  </si>
  <si>
    <t>AU PETIT GARAGE SA</t>
  </si>
  <si>
    <t>Bracke</t>
  </si>
  <si>
    <t>707.143.757</t>
  </si>
  <si>
    <t>ATLAS AUTO'S</t>
  </si>
  <si>
    <t>Boxho</t>
  </si>
  <si>
    <t>425.989.455</t>
  </si>
  <si>
    <t>ATELMA SPRL</t>
  </si>
  <si>
    <t>Boux</t>
  </si>
  <si>
    <t>ATCOMEX CY NV</t>
  </si>
  <si>
    <t>Ludovicq</t>
  </si>
  <si>
    <t>428.531.251</t>
  </si>
  <si>
    <t>ASV INTERNATIONAL CAR SC</t>
  </si>
  <si>
    <t>Bourgeois</t>
  </si>
  <si>
    <t>423.651.062</t>
  </si>
  <si>
    <t>ASTUROBEL SPRL CARROSSERIE</t>
  </si>
  <si>
    <t>Bouffioux</t>
  </si>
  <si>
    <t>GEMBLOUX</t>
  </si>
  <si>
    <t>ARTIE</t>
  </si>
  <si>
    <t>Bostandjis</t>
  </si>
  <si>
    <t>733.243.091</t>
  </si>
  <si>
    <t>BIERBEEK</t>
  </si>
  <si>
    <t>ARNAUTS CHRISTIAAN</t>
  </si>
  <si>
    <t>Borsen</t>
  </si>
  <si>
    <t>634.367.924</t>
  </si>
  <si>
    <t>APERS WILLY AUTO &amp; MOTORHANDEL</t>
  </si>
  <si>
    <t>454.746.193</t>
  </si>
  <si>
    <t>ANYOS G.C.V.</t>
  </si>
  <si>
    <t>ANTOINE GARAGE VOLVO</t>
  </si>
  <si>
    <t>Booth</t>
  </si>
  <si>
    <t>Allan</t>
  </si>
  <si>
    <t>ANDY CAR</t>
  </si>
  <si>
    <t>Boone</t>
  </si>
  <si>
    <t>759.252.157</t>
  </si>
  <si>
    <t>ANDRIESSENS GGE</t>
  </si>
  <si>
    <t>Bonnivers</t>
  </si>
  <si>
    <t>SINT MARTENS LATEM</t>
  </si>
  <si>
    <t>ANDRE GGE</t>
  </si>
  <si>
    <t>Bonne</t>
  </si>
  <si>
    <t>Béa</t>
  </si>
  <si>
    <t>521.436.861</t>
  </si>
  <si>
    <t>AMEYE DIRK GGE/CARR.</t>
  </si>
  <si>
    <t>Bohyn</t>
  </si>
  <si>
    <t>St-Amandsberg</t>
  </si>
  <si>
    <t>AMERICAN CAR IMPORT</t>
  </si>
  <si>
    <t>BRAINE-L'ALLEUD</t>
  </si>
  <si>
    <t>AMBROSIO S.A.</t>
  </si>
  <si>
    <t>417.051.894</t>
  </si>
  <si>
    <t>ALSEMCAR BVBA</t>
  </si>
  <si>
    <t>439.158.293</t>
  </si>
  <si>
    <t>ALPAPHI SA</t>
  </si>
  <si>
    <t>Bleeckx</t>
  </si>
  <si>
    <t>553.371.142</t>
  </si>
  <si>
    <t>ALONGI FRANCESCO</t>
  </si>
  <si>
    <t>Blause</t>
  </si>
  <si>
    <t>ALLEXBEL BVBA</t>
  </si>
  <si>
    <t>437.429.616</t>
  </si>
  <si>
    <t>INGELMUNSTER</t>
  </si>
  <si>
    <t>ALL MOBIL BVBA</t>
  </si>
  <si>
    <t>Denise</t>
  </si>
  <si>
    <t>436.073.990</t>
  </si>
  <si>
    <t>STERREBEEK</t>
  </si>
  <si>
    <t>ALL CARS SA</t>
  </si>
  <si>
    <t>Bjune</t>
  </si>
  <si>
    <t>Anders</t>
  </si>
  <si>
    <t>447.745.961</t>
  </si>
  <si>
    <t>DUFFEL</t>
  </si>
  <si>
    <t>ALL CARS BVBA</t>
  </si>
  <si>
    <t>Bienfet</t>
  </si>
  <si>
    <t>LEUZE</t>
  </si>
  <si>
    <t>ALL-CARS sprl</t>
  </si>
  <si>
    <t>Bidoul</t>
  </si>
  <si>
    <t>453.289.017</t>
  </si>
  <si>
    <t>ALDA BVBA</t>
  </si>
  <si>
    <t>526.494.224</t>
  </si>
  <si>
    <t>ALCARS AUTOHANDEL</t>
  </si>
  <si>
    <t>Bertrand</t>
  </si>
  <si>
    <t>443.842.997</t>
  </si>
  <si>
    <t>VERVIERS</t>
  </si>
  <si>
    <t>AKDAG AUTO SC</t>
  </si>
  <si>
    <t>Bertone</t>
  </si>
  <si>
    <t>435.407.759</t>
  </si>
  <si>
    <t>QUEVAUCAMPS</t>
  </si>
  <si>
    <t>AJM CAR SA</t>
  </si>
  <si>
    <t>Bertho</t>
  </si>
  <si>
    <t>424.456.954</t>
  </si>
  <si>
    <t>AIRPORT MOTOR CENTER SA</t>
  </si>
  <si>
    <t>Bernaer</t>
  </si>
  <si>
    <t>Nancy</t>
  </si>
  <si>
    <t>665.326.958</t>
  </si>
  <si>
    <t>AGNELLO GIUSEPPE GGE</t>
  </si>
  <si>
    <t>Bergmans</t>
  </si>
  <si>
    <t>454.409.069</t>
  </si>
  <si>
    <t>BRAINE LE CHATEAU</t>
  </si>
  <si>
    <t>AGENCE DU PARC INDUSTRIEL SA</t>
  </si>
  <si>
    <t>Berghen</t>
  </si>
  <si>
    <t>Dan</t>
  </si>
  <si>
    <t>421.152.125</t>
  </si>
  <si>
    <t>AG ITEM MOBILE</t>
  </si>
  <si>
    <t>Berckmans</t>
  </si>
  <si>
    <t>456.889.794</t>
  </si>
  <si>
    <t>AFRICAINE GGE SPRL</t>
  </si>
  <si>
    <t>Berck</t>
  </si>
  <si>
    <t>426.466.438</t>
  </si>
  <si>
    <t>BONHEIDEN</t>
  </si>
  <si>
    <t>AERTS WILLY BVBA</t>
  </si>
  <si>
    <t>Beirnaerdt</t>
  </si>
  <si>
    <t>400.615.245</t>
  </si>
  <si>
    <t>AEROTAX BVBA</t>
  </si>
  <si>
    <t>Beeuwsaert</t>
  </si>
  <si>
    <t>715.235.834</t>
  </si>
  <si>
    <t>ADESIONE MAURICE</t>
  </si>
  <si>
    <t>746.182.002</t>
  </si>
  <si>
    <t>ADAMS</t>
  </si>
  <si>
    <t>jjj</t>
  </si>
  <si>
    <t>FEDERAUTO</t>
  </si>
  <si>
    <t>Beckers</t>
  </si>
  <si>
    <t>fff</t>
  </si>
  <si>
    <t>ADAMCZYCK</t>
  </si>
  <si>
    <t>ccc</t>
  </si>
  <si>
    <t>ADAM AUTO SERVICE</t>
  </si>
  <si>
    <t>638.636.221</t>
  </si>
  <si>
    <t>ACKERMANS PETER</t>
  </si>
  <si>
    <t>Becker</t>
  </si>
  <si>
    <t>TONGRINNE</t>
  </si>
  <si>
    <t>ACE DEBESSELLE</t>
  </si>
  <si>
    <t>422.502.306</t>
  </si>
  <si>
    <t>ACATIMEX GGE SPRL</t>
  </si>
  <si>
    <t>Bassilière</t>
  </si>
  <si>
    <t>693.470.321</t>
  </si>
  <si>
    <t>ABS MOTORS - BRAHY PHILIPPE</t>
  </si>
  <si>
    <t>696.173.948</t>
  </si>
  <si>
    <t>ABEKO AUTO'S</t>
  </si>
  <si>
    <t>654.533.036</t>
  </si>
  <si>
    <t>ABDULKADIR ATILA GGE</t>
  </si>
  <si>
    <t>428.671.308</t>
  </si>
  <si>
    <t>AABECAR</t>
  </si>
  <si>
    <t>Ahmad</t>
  </si>
  <si>
    <t>444.260.493</t>
  </si>
  <si>
    <t>A.M. CLASS CARS SC</t>
  </si>
  <si>
    <t>Anita</t>
  </si>
  <si>
    <t>450.683.279</t>
  </si>
  <si>
    <t>bbbb</t>
  </si>
  <si>
    <t>A &amp; M AUTO'S BVBA</t>
  </si>
  <si>
    <t>425.669.355</t>
  </si>
  <si>
    <t>44 (GGE SPRL)</t>
  </si>
  <si>
    <t>Membre</t>
  </si>
  <si>
    <t>Montant</t>
  </si>
  <si>
    <t>Nom</t>
  </si>
  <si>
    <t>Remise</t>
  </si>
  <si>
    <t>tva</t>
  </si>
  <si>
    <t>Ville</t>
  </si>
  <si>
    <t>CP</t>
  </si>
  <si>
    <t>Société</t>
  </si>
  <si>
    <t>Ref</t>
  </si>
  <si>
    <t>11/0012</t>
  </si>
  <si>
    <t>11/0003</t>
  </si>
  <si>
    <t>11/0011</t>
  </si>
  <si>
    <t>11/0002</t>
  </si>
  <si>
    <t>11/0001</t>
  </si>
  <si>
    <t>&gt; 60</t>
  </si>
  <si>
    <t>31-60</t>
  </si>
  <si>
    <t>1-30</t>
  </si>
  <si>
    <t>Amount</t>
  </si>
  <si>
    <t>Invoice
Date</t>
  </si>
  <si>
    <t>Invoice
Nr</t>
  </si>
  <si>
    <t>Client
Nr</t>
  </si>
  <si>
    <t>Date</t>
  </si>
  <si>
    <t>C</t>
  </si>
  <si>
    <t>D</t>
  </si>
  <si>
    <t>V</t>
  </si>
  <si>
    <t>Dec</t>
  </si>
  <si>
    <t>Nov</t>
  </si>
  <si>
    <t>Oct</t>
  </si>
  <si>
    <t>Sep</t>
  </si>
  <si>
    <t>Aug</t>
  </si>
  <si>
    <t>Jul</t>
  </si>
  <si>
    <t>Jun</t>
  </si>
  <si>
    <t>May</t>
  </si>
  <si>
    <t>Revenue</t>
  </si>
  <si>
    <t>Apr</t>
  </si>
  <si>
    <t>Quarter</t>
  </si>
  <si>
    <t>Mar</t>
  </si>
  <si>
    <t>Feb</t>
  </si>
  <si>
    <t>Quotation</t>
  </si>
  <si>
    <t>Cumulated</t>
  </si>
  <si>
    <t>Month</t>
  </si>
  <si>
    <t>Logical</t>
  </si>
  <si>
    <t>Text</t>
  </si>
  <si>
    <t>Database</t>
  </si>
  <si>
    <t>Lookup</t>
  </si>
  <si>
    <t>Statistical</t>
  </si>
  <si>
    <t>Financial</t>
  </si>
  <si>
    <t>First Name</t>
  </si>
  <si>
    <t>Language</t>
  </si>
  <si>
    <t>Birthdate</t>
  </si>
  <si>
    <t>Availability</t>
  </si>
  <si>
    <t>Immediately Available</t>
  </si>
  <si>
    <t>Available within 2-3 months</t>
  </si>
  <si>
    <t>Not Available</t>
  </si>
  <si>
    <t>Referentie</t>
  </si>
  <si>
    <t>Ranking</t>
  </si>
  <si>
    <t>Rangorde</t>
  </si>
  <si>
    <t>Rang</t>
  </si>
  <si>
    <t>US</t>
  </si>
  <si>
    <t>UK</t>
  </si>
  <si>
    <t>IT</t>
  </si>
  <si>
    <t>Country</t>
  </si>
  <si>
    <t>Total</t>
  </si>
  <si>
    <t>Complex Text Functions</t>
  </si>
  <si>
    <t>Peer, Xavier</t>
  </si>
  <si>
    <t>Sonne, Agnes</t>
  </si>
  <si>
    <t>Troost, Benedicte</t>
  </si>
  <si>
    <t>Roodt, Pieter</t>
  </si>
  <si>
    <t>Apers, Dominique</t>
  </si>
  <si>
    <t>Van Bladel, Paul</t>
  </si>
  <si>
    <t>Beernaert, Jozef</t>
  </si>
  <si>
    <t>Obelisk, Julie</t>
  </si>
  <si>
    <t>To return the first name, without the middle name (if present), use</t>
  </si>
  <si>
    <t>Returning  First Word In A String</t>
  </si>
  <si>
    <t>Returning Last Word In A String</t>
  </si>
  <si>
    <t>This formula in as array formula.</t>
  </si>
  <si>
    <t>Returning All But First Word In A String</t>
  </si>
  <si>
    <t>Name, First Name</t>
  </si>
  <si>
    <t>Together</t>
  </si>
  <si>
    <t>Separate</t>
  </si>
  <si>
    <t>Compl. Tekst Functies</t>
  </si>
  <si>
    <t>Fonctions Texte Compl.</t>
  </si>
  <si>
    <t>Key</t>
  </si>
  <si>
    <t>(unmodified)</t>
  </si>
  <si>
    <t>Shift</t>
  </si>
  <si>
    <t>Ctrl</t>
  </si>
  <si>
    <t>Alt</t>
  </si>
  <si>
    <t>Shift+Ctrl</t>
  </si>
  <si>
    <t>Shift+Alt</t>
  </si>
  <si>
    <t>Ctrl+Alt</t>
  </si>
  <si>
    <t>Shift+Ctrl+Alt</t>
  </si>
  <si>
    <t>F1</t>
  </si>
  <si>
    <t>Help</t>
  </si>
  <si>
    <t>What Is…</t>
  </si>
  <si>
    <t>Show/Hide Ribbon (was TaskPane)</t>
  </si>
  <si>
    <t>Insert Chart as Object (was as Sheet)</t>
  </si>
  <si>
    <t/>
  </si>
  <si>
    <t>New Sheet</t>
  </si>
  <si>
    <t>New Macro sheet</t>
  </si>
  <si>
    <t>F2</t>
  </si>
  <si>
    <t>Toggle Select, Edit, and Enter/Point modes</t>
  </si>
  <si>
    <t>Insert/Edit Comment</t>
  </si>
  <si>
    <t>SHOW.INFO() (Deprecated)</t>
  </si>
  <si>
    <t>Save As</t>
  </si>
  <si>
    <t>Save</t>
  </si>
  <si>
    <t>Open</t>
  </si>
  <si>
    <t>Print</t>
  </si>
  <si>
    <t>F3</t>
  </si>
  <si>
    <t>Paste Names</t>
  </si>
  <si>
    <t>Function Wizard</t>
  </si>
  <si>
    <t>Define Names Dialog</t>
  </si>
  <si>
    <t>Create Names</t>
  </si>
  <si>
    <t>New Name</t>
  </si>
  <si>
    <t>F4</t>
  </si>
  <si>
    <t>ReDo</t>
  </si>
  <si>
    <t>Find Next (from most recent search)</t>
  </si>
  <si>
    <t>Close Window</t>
  </si>
  <si>
    <t>Close App</t>
  </si>
  <si>
    <t>Find Previous (from most recent search)</t>
  </si>
  <si>
    <t>F5</t>
  </si>
  <si>
    <t>GoTo (or refresh file list?)</t>
  </si>
  <si>
    <t>Find Dialog</t>
  </si>
  <si>
    <t>Restore Window</t>
  </si>
  <si>
    <t>Refresh</t>
  </si>
  <si>
    <t>Refresh All</t>
  </si>
  <si>
    <t>F6</t>
  </si>
  <si>
    <t>Next Pane</t>
  </si>
  <si>
    <t>Previous Pane</t>
  </si>
  <si>
    <t>Next Window</t>
  </si>
  <si>
    <t>Switch to VBA IDE (if up)</t>
  </si>
  <si>
    <t>Previous Window</t>
  </si>
  <si>
    <t>F7</t>
  </si>
  <si>
    <t>Check Spelling</t>
  </si>
  <si>
    <t>Move Window</t>
  </si>
  <si>
    <t>F8</t>
  </si>
  <si>
    <t>Extend Selection Mode</t>
  </si>
  <si>
    <t>Add to Selection Mode</t>
  </si>
  <si>
    <t>Size Window</t>
  </si>
  <si>
    <t>Run Macro</t>
  </si>
  <si>
    <t>F9</t>
  </si>
  <si>
    <t>Calculate Now</t>
  </si>
  <si>
    <t>Calc Sheet</t>
  </si>
  <si>
    <t>Minimize Window</t>
  </si>
  <si>
    <t>Recalc Full</t>
  </si>
  <si>
    <t>Recalc Full Rebuild</t>
  </si>
  <si>
    <t>F10</t>
  </si>
  <si>
    <t>Activate Menus</t>
  </si>
  <si>
    <t>Activate Context Menus</t>
  </si>
  <si>
    <t>Toggle Maximized/Restored</t>
  </si>
  <si>
    <t>Show OOUI</t>
  </si>
  <si>
    <t>F11</t>
  </si>
  <si>
    <t>Insert Chart on New Sheet</t>
  </si>
  <si>
    <t>New Worksheet</t>
  </si>
  <si>
    <t>New Macro Sheet</t>
  </si>
  <si>
    <t>Show VBA IDE</t>
  </si>
  <si>
    <t>Show Script Editor</t>
  </si>
  <si>
    <t>F12</t>
  </si>
  <si>
    <t>Thai Dictionary</t>
  </si>
  <si>
    <t>Add</t>
  </si>
  <si>
    <t>Insert Dialog</t>
  </si>
  <si>
    <t>Backspace</t>
  </si>
  <si>
    <t>Edit and Clear</t>
  </si>
  <si>
    <t>Collapse selection to the active cell</t>
  </si>
  <si>
    <t>Scroll to show active cell</t>
  </si>
  <si>
    <t>Undo</t>
  </si>
  <si>
    <t>Decimal</t>
  </si>
  <si>
    <t>Rotates the Active Cell through the corners of the selection</t>
  </si>
  <si>
    <t>Delete</t>
  </si>
  <si>
    <t>Clear</t>
  </si>
  <si>
    <t>Cut</t>
  </si>
  <si>
    <t>Divide</t>
  </si>
  <si>
    <t>Select Array</t>
  </si>
  <si>
    <t>Down</t>
  </si>
  <si>
    <t>Move down one cell</t>
  </si>
  <si>
    <t>Extend selection down one cell</t>
  </si>
  <si>
    <t>Select the last cell in the area down</t>
  </si>
  <si>
    <t>Open drop-down (auto-complete, filter, or validation)</t>
  </si>
  <si>
    <t>Extend selection down to last cell in area down</t>
  </si>
  <si>
    <t>End</t>
  </si>
  <si>
    <t>Toggle End Mode</t>
  </si>
  <si>
    <t>Toggle End Mode (and extend when you press SHIFT+Arrow key)</t>
  </si>
  <si>
    <t>Selects the last cell in the sheet</t>
  </si>
  <si>
    <t>Extends the selection to the last cell in the sheet</t>
  </si>
  <si>
    <t>Escape</t>
  </si>
  <si>
    <t>Cancel (Edit, copy, cut, dialog, etc.)</t>
  </si>
  <si>
    <t>Bring up Start Menu (overriding an Excel command)</t>
  </si>
  <si>
    <t>Task Manager (Windows - overriding an XL command)</t>
  </si>
  <si>
    <t>Execute</t>
  </si>
  <si>
    <t>Enter value and move down</t>
  </si>
  <si>
    <t>Enter value and move up</t>
  </si>
  <si>
    <t>Fill value in edited cell into all cell and do not move</t>
  </si>
  <si>
    <t>Select the first cell in the row</t>
  </si>
  <si>
    <t>Extend selection to the first cell in the row</t>
  </si>
  <si>
    <t>Select first cell in window (or pane)</t>
  </si>
  <si>
    <t>Extend selection to the first cell in the window or pane</t>
  </si>
  <si>
    <t>Insert</t>
  </si>
  <si>
    <t>Toggle Overwrite mode in edit mode</t>
  </si>
  <si>
    <t>Paste</t>
  </si>
  <si>
    <t>Copy</t>
  </si>
  <si>
    <t>Left</t>
  </si>
  <si>
    <t>Move left one cell</t>
  </si>
  <si>
    <t>Extend selection left one cell</t>
  </si>
  <si>
    <t>Select the last cell in the area left</t>
  </si>
  <si>
    <t>Back (hyperlink navigation)</t>
  </si>
  <si>
    <t>Extend selection down to last cell in area left</t>
  </si>
  <si>
    <t>Ungroup</t>
  </si>
  <si>
    <t>Move active cell to previous non-adjacent area within selection</t>
  </si>
  <si>
    <t>Multiply</t>
  </si>
  <si>
    <t>Select current region</t>
  </si>
  <si>
    <t>PageDown</t>
  </si>
  <si>
    <t>Page Down</t>
  </si>
  <si>
    <t>Extend selection page down</t>
  </si>
  <si>
    <t>Next Sheet</t>
  </si>
  <si>
    <t>Page Right</t>
  </si>
  <si>
    <t>Extend Selection one sheet down</t>
  </si>
  <si>
    <t>Extend selection Page Right</t>
  </si>
  <si>
    <t>PageUp</t>
  </si>
  <si>
    <t>Page Up</t>
  </si>
  <si>
    <t>Extend selection page up</t>
  </si>
  <si>
    <t>Previous Sheet</t>
  </si>
  <si>
    <t>Page Left</t>
  </si>
  <si>
    <t>Extend Selection one sheet up</t>
  </si>
  <si>
    <t>Extend selection Page Left</t>
  </si>
  <si>
    <t>Return</t>
  </si>
  <si>
    <t>Right</t>
  </si>
  <si>
    <t>Move right one cell</t>
  </si>
  <si>
    <t>Extend selection right one cell</t>
  </si>
  <si>
    <t>Select the last cell in the area right</t>
  </si>
  <si>
    <t>Forward (hyperlink navigation)</t>
  </si>
  <si>
    <t>Extend selection down to last cell in area right</t>
  </si>
  <si>
    <t>Group</t>
  </si>
  <si>
    <t>Move active cell to next non-adjacent area within selection</t>
  </si>
  <si>
    <t>Space</t>
  </si>
  <si>
    <t>Select Row</t>
  </si>
  <si>
    <t>Select Column</t>
  </si>
  <si>
    <t>Select All</t>
  </si>
  <si>
    <t>Subtract</t>
  </si>
  <si>
    <t>Delete Cells</t>
  </si>
  <si>
    <t>Tab</t>
  </si>
  <si>
    <t>Shift+Tab</t>
  </si>
  <si>
    <t>Next app</t>
  </si>
  <si>
    <t>Indent</t>
  </si>
  <si>
    <t>Outdent</t>
  </si>
  <si>
    <t>Up</t>
  </si>
  <si>
    <t>Move up one cell</t>
  </si>
  <si>
    <t>Extend selection up one cell</t>
  </si>
  <si>
    <t>Select cell at top of region</t>
  </si>
  <si>
    <t>Close Drop-down, if up</t>
  </si>
  <si>
    <t>Extend selection up to end of region</t>
  </si>
  <si>
    <t>Hide Column</t>
  </si>
  <si>
    <t>Show Column</t>
  </si>
  <si>
    <t>Format Cells</t>
  </si>
  <si>
    <t>Fixed decimal &amp; comma format</t>
  </si>
  <si>
    <t>Bold</t>
  </si>
  <si>
    <t>Time (AM/PM) format</t>
  </si>
  <si>
    <t>Italic</t>
  </si>
  <si>
    <t>Date format</t>
  </si>
  <si>
    <t>Underline</t>
  </si>
  <si>
    <t>Currency format</t>
  </si>
  <si>
    <t>Strikethrough</t>
  </si>
  <si>
    <t>Percentage format</t>
  </si>
  <si>
    <t>Toggle Show, Hide, and Show Placeholders for Objects</t>
  </si>
  <si>
    <t>Exponential format</t>
  </si>
  <si>
    <t>Toggle Main toolbar visibility</t>
  </si>
  <si>
    <t>Outline border</t>
  </si>
  <si>
    <t>Toggle showing outline symbols</t>
  </si>
  <si>
    <t>Hide Row</t>
  </si>
  <si>
    <t>Show Row</t>
  </si>
  <si>
    <t>'</t>
  </si>
  <si>
    <t>Copy above cell and edit</t>
  </si>
  <si>
    <t>Activates the cell style drop-down or dialog</t>
  </si>
  <si>
    <t>-</t>
  </si>
  <si>
    <t>Remove all borders</t>
  </si>
  <si>
    <t>,</t>
  </si>
  <si>
    <t>?</t>
  </si>
  <si>
    <t>Fill down</t>
  </si>
  <si>
    <t>.</t>
  </si>
  <si>
    <t>Fill right</t>
  </si>
  <si>
    <t>/</t>
  </si>
  <si>
    <t>;</t>
  </si>
  <si>
    <t>Insert Current Date (in edit mode)</t>
  </si>
  <si>
    <t>Select Visible</t>
  </si>
  <si>
    <t>Insert current time (in edit mode)</t>
  </si>
  <si>
    <t>[</t>
  </si>
  <si>
    <t>Select direct precedent cells</t>
  </si>
  <si>
    <t>Select all precedent cells</t>
  </si>
  <si>
    <t>\</t>
  </si>
  <si>
    <t>Select unequal cells in row/col of selection</t>
  </si>
  <si>
    <t>Select cells unequal to active cell</t>
  </si>
  <si>
    <t>]</t>
  </si>
  <si>
    <t>Select directly dependent cells</t>
  </si>
  <si>
    <t>Select all dependent cells</t>
  </si>
  <si>
    <t>`</t>
  </si>
  <si>
    <t>Formula Auditing Mode</t>
  </si>
  <si>
    <t>General Number Format</t>
  </si>
  <si>
    <t>=</t>
  </si>
  <si>
    <t>Autosum</t>
  </si>
  <si>
    <t>Insert cells</t>
  </si>
  <si>
    <t>Select current region, select all</t>
  </si>
  <si>
    <t>Insert arguments in formula</t>
  </si>
  <si>
    <t>B</t>
  </si>
  <si>
    <t>Address Book (only when emailing not as attachment)</t>
  </si>
  <si>
    <t>E</t>
  </si>
  <si>
    <t>Font face</t>
  </si>
  <si>
    <t>G</t>
  </si>
  <si>
    <t>GoTo</t>
  </si>
  <si>
    <t>H</t>
  </si>
  <si>
    <t>Replace</t>
  </si>
  <si>
    <t>I</t>
  </si>
  <si>
    <t>J</t>
  </si>
  <si>
    <t>K</t>
  </si>
  <si>
    <t>Insert Hyperlink</t>
  </si>
  <si>
    <t>Check Names (only when emailing not as attachment)</t>
  </si>
  <si>
    <t>L</t>
  </si>
  <si>
    <t>Insert Table</t>
  </si>
  <si>
    <t>Toggle AutoFilter</t>
  </si>
  <si>
    <t>Reapply Sort/Filter</t>
  </si>
  <si>
    <t>New Workbook</t>
  </si>
  <si>
    <t>O</t>
  </si>
  <si>
    <t>Open Workbook</t>
  </si>
  <si>
    <t>Select Comments</t>
  </si>
  <si>
    <t>P</t>
  </si>
  <si>
    <t>Font size</t>
  </si>
  <si>
    <t>Q</t>
  </si>
  <si>
    <t>R</t>
  </si>
  <si>
    <t>S</t>
  </si>
  <si>
    <t>Send Now (only when emailing not as attachment)</t>
  </si>
  <si>
    <t>T</t>
  </si>
  <si>
    <t>Toggle Total Row</t>
  </si>
  <si>
    <t>U</t>
  </si>
  <si>
    <t>X</t>
  </si>
  <si>
    <t>Y</t>
  </si>
  <si>
    <t>Redo</t>
  </si>
  <si>
    <t>Z</t>
  </si>
  <si>
    <t>Codes Formatting</t>
  </si>
  <si>
    <t>Raccourcis</t>
  </si>
  <si>
    <t>Shortcut keys</t>
  </si>
  <si>
    <t>Snelkoppelingen</t>
  </si>
  <si>
    <t>Jaarinterest</t>
  </si>
  <si>
    <t>Checking</t>
  </si>
  <si>
    <t>Jaar</t>
  </si>
  <si>
    <t>Lening</t>
  </si>
  <si>
    <t>Maand. Afbetaling</t>
  </si>
  <si>
    <t>Checking with PMT()</t>
  </si>
  <si>
    <t>Paiements</t>
  </si>
  <si>
    <t>Payments</t>
  </si>
  <si>
    <t>Nr Of words</t>
  </si>
  <si>
    <t>=len(trim(text)) - len(SUBSTITUTE(trim(text);" ";""))</t>
  </si>
  <si>
    <t>fType</t>
  </si>
  <si>
    <t>English</t>
  </si>
  <si>
    <t>Nederlands</t>
  </si>
  <si>
    <t>Deutsch</t>
  </si>
  <si>
    <t>Français</t>
  </si>
  <si>
    <t>Español</t>
  </si>
  <si>
    <t>fGroup</t>
  </si>
  <si>
    <t>ABS</t>
  </si>
  <si>
    <t>Math</t>
  </si>
  <si>
    <t>ACCRINT</t>
  </si>
  <si>
    <t>SAMENG.RENTE</t>
  </si>
  <si>
    <t>AUFGELZINS</t>
  </si>
  <si>
    <t>INTERET.ACC</t>
  </si>
  <si>
    <t>INT.ACUM</t>
  </si>
  <si>
    <t>ACCRINTM</t>
  </si>
  <si>
    <t>SAMENG.RENTE.V</t>
  </si>
  <si>
    <t>AUFGELZINSF</t>
  </si>
  <si>
    <t>INTERET.ACC.MAT</t>
  </si>
  <si>
    <t>INT.ACUM.V</t>
  </si>
  <si>
    <t>ACOS</t>
  </si>
  <si>
    <t>BOOGCOS</t>
  </si>
  <si>
    <t>ARCCOS</t>
  </si>
  <si>
    <t>ACOSH</t>
  </si>
  <si>
    <t>BOOGCOSH</t>
  </si>
  <si>
    <t>ARCCOSHYP</t>
  </si>
  <si>
    <t>ADDRESS</t>
  </si>
  <si>
    <t>ADRES</t>
  </si>
  <si>
    <t>ADRESSE</t>
  </si>
  <si>
    <t>DIRECCION</t>
  </si>
  <si>
    <t>AMORDEGRC</t>
  </si>
  <si>
    <t>AMORDEGRK</t>
  </si>
  <si>
    <t>AMORTIZ.PROGRE</t>
  </si>
  <si>
    <t>AMORLINC</t>
  </si>
  <si>
    <t>AMORLINEARK</t>
  </si>
  <si>
    <t>AMORTIZ.LIN</t>
  </si>
  <si>
    <t>AND</t>
  </si>
  <si>
    <t>UND</t>
  </si>
  <si>
    <t>ET</t>
  </si>
  <si>
    <t>AREAS</t>
  </si>
  <si>
    <t>BEREIKEN</t>
  </si>
  <si>
    <t>BEREICHE</t>
  </si>
  <si>
    <t>ZONES</t>
  </si>
  <si>
    <t>ASC</t>
  </si>
  <si>
    <t>ASIN</t>
  </si>
  <si>
    <t>BOOGSIN</t>
  </si>
  <si>
    <t>ARCSIN</t>
  </si>
  <si>
    <t>ASENO</t>
  </si>
  <si>
    <t>ASINH</t>
  </si>
  <si>
    <t>BOOGSINH</t>
  </si>
  <si>
    <t>ARCSINHYP</t>
  </si>
  <si>
    <t>ASENOH</t>
  </si>
  <si>
    <t>ATAN</t>
  </si>
  <si>
    <t>BOOGTAN</t>
  </si>
  <si>
    <t>ARCTAN</t>
  </si>
  <si>
    <t>ATAN2</t>
  </si>
  <si>
    <t>BOOGTAN2</t>
  </si>
  <si>
    <t>ARCTAN2</t>
  </si>
  <si>
    <t>ATANH</t>
  </si>
  <si>
    <t>BOOGTANH</t>
  </si>
  <si>
    <t>ARCTANHYP</t>
  </si>
  <si>
    <t>AVEDEV</t>
  </si>
  <si>
    <t>GEM.DEVIATIE</t>
  </si>
  <si>
    <t>MITTELABW</t>
  </si>
  <si>
    <t>ECART.MOYEN</t>
  </si>
  <si>
    <t>DESVPROM</t>
  </si>
  <si>
    <t>AVERAGE</t>
  </si>
  <si>
    <t>GEMIDDELDE</t>
  </si>
  <si>
    <t>MITTELWERT</t>
  </si>
  <si>
    <t>MOYENNE</t>
  </si>
  <si>
    <t>PROMEDIO</t>
  </si>
  <si>
    <t>AVERAGEA</t>
  </si>
  <si>
    <t>GEMIDDELDEA</t>
  </si>
  <si>
    <t>MITTELWERTA</t>
  </si>
  <si>
    <t>fnNA:AVERAGEA</t>
  </si>
  <si>
    <t>BAHTTEXT</t>
  </si>
  <si>
    <t>BAHT.TEKST</t>
  </si>
  <si>
    <t>fnNA:BAHTTEXT</t>
  </si>
  <si>
    <t>BESSELI</t>
  </si>
  <si>
    <t>BESSEL.I</t>
  </si>
  <si>
    <t>BESSELJ</t>
  </si>
  <si>
    <t>BESSEL.J</t>
  </si>
  <si>
    <t>BESSELK</t>
  </si>
  <si>
    <t>BESSEL.K</t>
  </si>
  <si>
    <t>BESSELY</t>
  </si>
  <si>
    <t>BESSEL.Y</t>
  </si>
  <si>
    <t>BETADIST</t>
  </si>
  <si>
    <t>BETA.VERD</t>
  </si>
  <si>
    <t>BETAVERT</t>
  </si>
  <si>
    <t>LOI.BETA</t>
  </si>
  <si>
    <t>DISTR.BETA</t>
  </si>
  <si>
    <t>BETAINV</t>
  </si>
  <si>
    <t>BETA.INV</t>
  </si>
  <si>
    <t>BETA.INVERSE</t>
  </si>
  <si>
    <t>DISTR.BETA.INV</t>
  </si>
  <si>
    <t>BIN2DEC</t>
  </si>
  <si>
    <t>BIN.N.DEC</t>
  </si>
  <si>
    <t>BININDEZ</t>
  </si>
  <si>
    <t>BINDEC</t>
  </si>
  <si>
    <t>BIN.A.DEC</t>
  </si>
  <si>
    <t>BIN2HEX</t>
  </si>
  <si>
    <t>BIN.N.HEX</t>
  </si>
  <si>
    <t>BININHEX</t>
  </si>
  <si>
    <t>BINHEX</t>
  </si>
  <si>
    <t>BIN.A.HEX</t>
  </si>
  <si>
    <t>BIN2OCT</t>
  </si>
  <si>
    <t>BIN.N.OCT</t>
  </si>
  <si>
    <t>BININOKT</t>
  </si>
  <si>
    <t>BINOCT</t>
  </si>
  <si>
    <t>BIN.A.OCT</t>
  </si>
  <si>
    <t>BINOMDIST</t>
  </si>
  <si>
    <t>BINOMIALE.VERD</t>
  </si>
  <si>
    <t>BINOMVERT</t>
  </si>
  <si>
    <t>LOI.BINOMIALE</t>
  </si>
  <si>
    <t>DISTR.BINOM</t>
  </si>
  <si>
    <t>CEILING</t>
  </si>
  <si>
    <t>AFRONDEN.BOVEN</t>
  </si>
  <si>
    <t>OBERGRENZE</t>
  </si>
  <si>
    <t>PLAFOND</t>
  </si>
  <si>
    <t>MULTIPLO.SUPERIOR</t>
  </si>
  <si>
    <t>CELL</t>
  </si>
  <si>
    <t>CEL</t>
  </si>
  <si>
    <t>ZELLE</t>
  </si>
  <si>
    <t>CELLULE</t>
  </si>
  <si>
    <t>CELDA</t>
  </si>
  <si>
    <t>Information</t>
  </si>
  <si>
    <t>CHAR</t>
  </si>
  <si>
    <t>TEKEN</t>
  </si>
  <si>
    <t>ZEICHEN</t>
  </si>
  <si>
    <t>CAR</t>
  </si>
  <si>
    <t>CARACTER</t>
  </si>
  <si>
    <t>CHIDIST</t>
  </si>
  <si>
    <t>CHI.KWADRAAT</t>
  </si>
  <si>
    <t>CHIVERT</t>
  </si>
  <si>
    <t>LOI.KHIDEUX</t>
  </si>
  <si>
    <t>DISTR.CHI</t>
  </si>
  <si>
    <t>CHIINV</t>
  </si>
  <si>
    <t>CHI.KWADRAAT.INV</t>
  </si>
  <si>
    <t>KHIDEUX.INVERSE</t>
  </si>
  <si>
    <t>PRUEBA.CHI.INV</t>
  </si>
  <si>
    <t>CHITEST</t>
  </si>
  <si>
    <t>CHI.TOETS</t>
  </si>
  <si>
    <t>TEST.KHIDEUX</t>
  </si>
  <si>
    <t>PRUEBA.CHI</t>
  </si>
  <si>
    <t>CHOOSE</t>
  </si>
  <si>
    <t>KIEZEN</t>
  </si>
  <si>
    <t>WAHL</t>
  </si>
  <si>
    <t>CHOISIR</t>
  </si>
  <si>
    <t>ELEGIR</t>
  </si>
  <si>
    <t>SELECCIONAR</t>
  </si>
  <si>
    <t>CLEAN</t>
  </si>
  <si>
    <t>WISSEN.CONTROL</t>
  </si>
  <si>
    <t>SÄUBERN</t>
  </si>
  <si>
    <t>EPURAGE</t>
  </si>
  <si>
    <t>LIMPIAR</t>
  </si>
  <si>
    <t>CODE</t>
  </si>
  <si>
    <t>CODIGO</t>
  </si>
  <si>
    <t>COLUMN</t>
  </si>
  <si>
    <t>KOLOM</t>
  </si>
  <si>
    <t>SPALTE</t>
  </si>
  <si>
    <t>COLONNE</t>
  </si>
  <si>
    <t>COLUMNA</t>
  </si>
  <si>
    <t>COLUMNS</t>
  </si>
  <si>
    <t>KOLOMMEN</t>
  </si>
  <si>
    <t>SPALTEN</t>
  </si>
  <si>
    <t>COLONNES</t>
  </si>
  <si>
    <t>COLUMNAS</t>
  </si>
  <si>
    <t>COMBIN</t>
  </si>
  <si>
    <t>COMBINATIES</t>
  </si>
  <si>
    <t>KOMBINATIONEN</t>
  </si>
  <si>
    <t>COMBINAT</t>
  </si>
  <si>
    <t>COMPLEX</t>
  </si>
  <si>
    <t>KOMPLEXE</t>
  </si>
  <si>
    <t>COMPLEXE</t>
  </si>
  <si>
    <t>COMPLEJO</t>
  </si>
  <si>
    <t>CONCATENATE</t>
  </si>
  <si>
    <t>TEKST.SAMENVOEGEN</t>
  </si>
  <si>
    <t>VERKETTEN</t>
  </si>
  <si>
    <t>CONCATENER</t>
  </si>
  <si>
    <t>CONCATENAR</t>
  </si>
  <si>
    <t>CONFIDENCE</t>
  </si>
  <si>
    <t>BETROUWBAARHEID</t>
  </si>
  <si>
    <t>KONFIDENZ</t>
  </si>
  <si>
    <t>INTERVALLE.CONFIANCE</t>
  </si>
  <si>
    <t>INTERVALO.CONFIANZA</t>
  </si>
  <si>
    <t>CONVERT</t>
  </si>
  <si>
    <t>CONVERTEREN</t>
  </si>
  <si>
    <t>UMWANDELN</t>
  </si>
  <si>
    <t>CONVERTIR</t>
  </si>
  <si>
    <t>CORREL</t>
  </si>
  <si>
    <t>CORRELATIE</t>
  </si>
  <si>
    <t>KORREL</t>
  </si>
  <si>
    <t>COEFFICIENT.CORRELATION</t>
  </si>
  <si>
    <t>COEF.DE.CORREL</t>
  </si>
  <si>
    <t>COS</t>
  </si>
  <si>
    <t>COSH</t>
  </si>
  <si>
    <t>COSHYP</t>
  </si>
  <si>
    <t>COUNT</t>
  </si>
  <si>
    <t>AANTAL</t>
  </si>
  <si>
    <t>ANZAHL</t>
  </si>
  <si>
    <t>NB</t>
  </si>
  <si>
    <t>CONTAR</t>
  </si>
  <si>
    <t>COUNTA</t>
  </si>
  <si>
    <t>AANTALARG</t>
  </si>
  <si>
    <t>ANZAHL2</t>
  </si>
  <si>
    <t>NBVAL</t>
  </si>
  <si>
    <t>CONTARA</t>
  </si>
  <si>
    <t>COUNTBLANK</t>
  </si>
  <si>
    <t>AANTAL.LEGE.CELLEN</t>
  </si>
  <si>
    <t>ANZAHLLEEREZELLEN</t>
  </si>
  <si>
    <t>NB.VIDE</t>
  </si>
  <si>
    <t>CONTAR.BLANCO</t>
  </si>
  <si>
    <t>COUNTIF</t>
  </si>
  <si>
    <t>AANTAL.ALS</t>
  </si>
  <si>
    <t>ZÄHLENWENN</t>
  </si>
  <si>
    <t>NB.SI</t>
  </si>
  <si>
    <t>CONTAR.SI</t>
  </si>
  <si>
    <t>COUPDAYBS</t>
  </si>
  <si>
    <t>COUP.DAGEN.BB</t>
  </si>
  <si>
    <t>ZINSTERMTAGVA</t>
  </si>
  <si>
    <t>NB.JOURS.COUPON.PREC</t>
  </si>
  <si>
    <t>CUPON.DIAS.L1</t>
  </si>
  <si>
    <t>COUPDAYS</t>
  </si>
  <si>
    <t>COUP.DAGEN</t>
  </si>
  <si>
    <t>ZINSTERMTAGE</t>
  </si>
  <si>
    <t>NB.JOURS.COUPONS</t>
  </si>
  <si>
    <t>CUPON.DIAS</t>
  </si>
  <si>
    <t>COUPDAYSNC</t>
  </si>
  <si>
    <t>COUP.DAGEN.VV</t>
  </si>
  <si>
    <t>ZINSTERMTAGNZ</t>
  </si>
  <si>
    <t>NB.JOURS.COUPON.SUIV</t>
  </si>
  <si>
    <t>CUPON.DIAS.L2</t>
  </si>
  <si>
    <t>COUPNCD</t>
  </si>
  <si>
    <t>COUP.DATUM.NB</t>
  </si>
  <si>
    <t>ZINSTERMNZ</t>
  </si>
  <si>
    <t>DATE.COUPON.SUIV</t>
  </si>
  <si>
    <t>CUPON.FECHA.L2</t>
  </si>
  <si>
    <t>COUPNUM</t>
  </si>
  <si>
    <t>COUP.AANTAL</t>
  </si>
  <si>
    <t>ZINSTERMZAHL</t>
  </si>
  <si>
    <t>NB.COUPONS</t>
  </si>
  <si>
    <t>CUPON.NUM</t>
  </si>
  <si>
    <t>COUPPCD</t>
  </si>
  <si>
    <t>COUP.DATUM.VB</t>
  </si>
  <si>
    <t>ZINSTERMVZ</t>
  </si>
  <si>
    <t>DATE.COUPON.PREC</t>
  </si>
  <si>
    <t>CUPON.FECHA.L1</t>
  </si>
  <si>
    <t>COVAR</t>
  </si>
  <si>
    <t>COVARIANTIE</t>
  </si>
  <si>
    <t>KOVAR</t>
  </si>
  <si>
    <t>COVARIANCE</t>
  </si>
  <si>
    <t>CRITBINOM</t>
  </si>
  <si>
    <t>CRIT.BINOM</t>
  </si>
  <si>
    <t>KRITBINOM</t>
  </si>
  <si>
    <t>CRITERE.LOI.BINOMIALE</t>
  </si>
  <si>
    <t>BINOM.CRIT</t>
  </si>
  <si>
    <t>CUMIPMT</t>
  </si>
  <si>
    <t>CUM.RENTE</t>
  </si>
  <si>
    <t>KUMZINSZ</t>
  </si>
  <si>
    <t>CUMUL.INTER</t>
  </si>
  <si>
    <t>PAGO.INT.ENTRE</t>
  </si>
  <si>
    <t>CUMPRINC</t>
  </si>
  <si>
    <t>CUM.HOOFDSOM</t>
  </si>
  <si>
    <t>KUMKAPITAL</t>
  </si>
  <si>
    <t>CUMUL.PRINCPER</t>
  </si>
  <si>
    <t>PAGO.PRINC.ENTRE</t>
  </si>
  <si>
    <t>DATE</t>
  </si>
  <si>
    <t>DATUM</t>
  </si>
  <si>
    <t>FECHA</t>
  </si>
  <si>
    <t>DATEDIF</t>
  </si>
  <si>
    <t>DATUMVERSCHIL</t>
  </si>
  <si>
    <t>SIFECHA</t>
  </si>
  <si>
    <t>Undocumented</t>
  </si>
  <si>
    <t>DATESTRING</t>
  </si>
  <si>
    <t>DATUMNOTATIE</t>
  </si>
  <si>
    <t>CADENA.FECHA</t>
  </si>
  <si>
    <t>DATEVALUE</t>
  </si>
  <si>
    <t>DATUMWAARDE</t>
  </si>
  <si>
    <t>DATWERT</t>
  </si>
  <si>
    <t>DATEVAL</t>
  </si>
  <si>
    <t>FECHANUMERO</t>
  </si>
  <si>
    <t>DAVERAGE</t>
  </si>
  <si>
    <t>DBGEMIDDELDE</t>
  </si>
  <si>
    <t>DBMITTELWERT</t>
  </si>
  <si>
    <t>BDMOYENNE</t>
  </si>
  <si>
    <t>BDPROMEDIO</t>
  </si>
  <si>
    <t>DAY</t>
  </si>
  <si>
    <t>DAG</t>
  </si>
  <si>
    <t>TAG</t>
  </si>
  <si>
    <t>JOUR</t>
  </si>
  <si>
    <t>DIA</t>
  </si>
  <si>
    <t>DAYS360</t>
  </si>
  <si>
    <t>DAGEN360</t>
  </si>
  <si>
    <t>TAGE360</t>
  </si>
  <si>
    <t>JOURS360</t>
  </si>
  <si>
    <t>DIAS360</t>
  </si>
  <si>
    <t>DB</t>
  </si>
  <si>
    <t>GDA2</t>
  </si>
  <si>
    <t>DBCS</t>
  </si>
  <si>
    <t>Text DoubleByte</t>
  </si>
  <si>
    <t>DCOUNT</t>
  </si>
  <si>
    <t>DBAANTAL</t>
  </si>
  <si>
    <t>DBANZAHL</t>
  </si>
  <si>
    <t>BDNB</t>
  </si>
  <si>
    <t>BDCONTAR</t>
  </si>
  <si>
    <t>DCOUNTA</t>
  </si>
  <si>
    <t>DBAANTALC</t>
  </si>
  <si>
    <t>DBANZAHL2</t>
  </si>
  <si>
    <t>BDNBVAL</t>
  </si>
  <si>
    <t>BDCONTARA</t>
  </si>
  <si>
    <t>DDB</t>
  </si>
  <si>
    <t>GDA</t>
  </si>
  <si>
    <t>DEC2BIN</t>
  </si>
  <si>
    <t>DEC.N.BIN</t>
  </si>
  <si>
    <t>DEZINBIN</t>
  </si>
  <si>
    <t>DECBIN</t>
  </si>
  <si>
    <t>DEC.A.BIN</t>
  </si>
  <si>
    <t>DEC2HEX</t>
  </si>
  <si>
    <t>DEC.N.HEX</t>
  </si>
  <si>
    <t>DEZINHEX</t>
  </si>
  <si>
    <t>DECHEX</t>
  </si>
  <si>
    <t>DEC.A.HEX</t>
  </si>
  <si>
    <t>DEC2OCT</t>
  </si>
  <si>
    <t>DEC.N.OCT</t>
  </si>
  <si>
    <t>DEZINOKT</t>
  </si>
  <si>
    <t>DECOCT</t>
  </si>
  <si>
    <t>DEC.A.OCT</t>
  </si>
  <si>
    <t>DEGREES</t>
  </si>
  <si>
    <t>GRADEN</t>
  </si>
  <si>
    <t>GRAD</t>
  </si>
  <si>
    <t>DEGRES</t>
  </si>
  <si>
    <t>GRADOS</t>
  </si>
  <si>
    <t>DELTA</t>
  </si>
  <si>
    <t>DEVSQ</t>
  </si>
  <si>
    <t>DEV.KWAD</t>
  </si>
  <si>
    <t>SUMQUADABW</t>
  </si>
  <si>
    <t>SOMME.CARRES.ECARTS</t>
  </si>
  <si>
    <t>DESVIA2</t>
  </si>
  <si>
    <t>DGET</t>
  </si>
  <si>
    <t>DBLEZEN</t>
  </si>
  <si>
    <t>DBAUSZUG</t>
  </si>
  <si>
    <t>BDLIRE</t>
  </si>
  <si>
    <t>BDEXTRAER</t>
  </si>
  <si>
    <t>DISC</t>
  </si>
  <si>
    <t>DISCONTO</t>
  </si>
  <si>
    <t>DISAGIO</t>
  </si>
  <si>
    <t>TAUX.ESCOMPTE</t>
  </si>
  <si>
    <t>TASA.DESC</t>
  </si>
  <si>
    <t>DMAX</t>
  </si>
  <si>
    <t>DBMAX</t>
  </si>
  <si>
    <t>BDMAX</t>
  </si>
  <si>
    <t>DMIN</t>
  </si>
  <si>
    <t>DBMIN</t>
  </si>
  <si>
    <t>BDMIN</t>
  </si>
  <si>
    <t>DOLLAR</t>
  </si>
  <si>
    <t>GULDEN</t>
  </si>
  <si>
    <t>DM</t>
  </si>
  <si>
    <t>FRANC</t>
  </si>
  <si>
    <t>MONEDA</t>
  </si>
  <si>
    <t>DOLLARDE</t>
  </si>
  <si>
    <t>GULDEN.DE</t>
  </si>
  <si>
    <t>NOTIERUNGDEZ</t>
  </si>
  <si>
    <t>PRIX.DEC</t>
  </si>
  <si>
    <t>MONEDA.DEC</t>
  </si>
  <si>
    <t>DOLLARFR</t>
  </si>
  <si>
    <t>GULDEN.BR</t>
  </si>
  <si>
    <t>NOTIERUNGBRU</t>
  </si>
  <si>
    <t>PRIX.FRAC</t>
  </si>
  <si>
    <t>MONEDA.FRAC</t>
  </si>
  <si>
    <t>DPRODUCT</t>
  </si>
  <si>
    <t>DBPRODUCT</t>
  </si>
  <si>
    <t>DBPRODUKT</t>
  </si>
  <si>
    <t>BDPRODUIT</t>
  </si>
  <si>
    <t>BDPRODUCTO</t>
  </si>
  <si>
    <t>DSTDEV</t>
  </si>
  <si>
    <t>DBSTDEV</t>
  </si>
  <si>
    <t>DBSTDABW</t>
  </si>
  <si>
    <t>BDECARTYPE</t>
  </si>
  <si>
    <t>BDDESVEST</t>
  </si>
  <si>
    <t>DSTDEVP</t>
  </si>
  <si>
    <t>DBSTDEVP</t>
  </si>
  <si>
    <t>DBSTDABWN</t>
  </si>
  <si>
    <t>BDECARTYPEP</t>
  </si>
  <si>
    <t>BDDESVESTP</t>
  </si>
  <si>
    <t>DSUM</t>
  </si>
  <si>
    <t>DBSOM</t>
  </si>
  <si>
    <t>DBSUMME</t>
  </si>
  <si>
    <t>BDSOMME</t>
  </si>
  <si>
    <t>BDSUMA</t>
  </si>
  <si>
    <t>DURATION</t>
  </si>
  <si>
    <t>DUUR</t>
  </si>
  <si>
    <t>DUREE</t>
  </si>
  <si>
    <t>DURACION</t>
  </si>
  <si>
    <t>DVAR</t>
  </si>
  <si>
    <t>DBVAR</t>
  </si>
  <si>
    <t>DBVARIANZ</t>
  </si>
  <si>
    <t>BDVAR</t>
  </si>
  <si>
    <t>DVARP</t>
  </si>
  <si>
    <t>DBVARP</t>
  </si>
  <si>
    <t>DBVARIANZEN</t>
  </si>
  <si>
    <t>BDVARP</t>
  </si>
  <si>
    <t>EDATE</t>
  </si>
  <si>
    <t>ZELFDE.DAG</t>
  </si>
  <si>
    <t>EDATUM</t>
  </si>
  <si>
    <t>MOIS.DECALER</t>
  </si>
  <si>
    <t>FECHA.MES</t>
  </si>
  <si>
    <t>EFFECT</t>
  </si>
  <si>
    <t>EFFECT.RENTE</t>
  </si>
  <si>
    <t>EFFEKTIV</t>
  </si>
  <si>
    <t>TAUX.EFFECTIF</t>
  </si>
  <si>
    <t>INT.EFECTIVO</t>
  </si>
  <si>
    <t>EOMONTH</t>
  </si>
  <si>
    <t>LAATSTE.DAG</t>
  </si>
  <si>
    <t>MONATSENDE</t>
  </si>
  <si>
    <t>FIN.MOIS</t>
  </si>
  <si>
    <t>FIN.MES</t>
  </si>
  <si>
    <t>ERF</t>
  </si>
  <si>
    <t>FOUTFUNCTIE</t>
  </si>
  <si>
    <t>GAUSSFEHLER</t>
  </si>
  <si>
    <t>FUN.ERROR</t>
  </si>
  <si>
    <t>ERFC</t>
  </si>
  <si>
    <t>FOUT.COMPLEMENT</t>
  </si>
  <si>
    <t>GAUSSFKOMPL</t>
  </si>
  <si>
    <t>FUN.ERROR.COMPL</t>
  </si>
  <si>
    <t>ERROR.TYPE</t>
  </si>
  <si>
    <t>TYPE.FOUT</t>
  </si>
  <si>
    <t>FEHLER.TYP</t>
  </si>
  <si>
    <t>TYPE.ERREUR</t>
  </si>
  <si>
    <t>TIPO.DE.ERROR</t>
  </si>
  <si>
    <t>EUROCONVERT</t>
  </si>
  <si>
    <t>External</t>
  </si>
  <si>
    <t>EVEN</t>
  </si>
  <si>
    <t>GERADE</t>
  </si>
  <si>
    <t>PAIR</t>
  </si>
  <si>
    <t>REDONDEA.PAR</t>
  </si>
  <si>
    <t>EXACT</t>
  </si>
  <si>
    <t>GELIJK</t>
  </si>
  <si>
    <t>IDENTISCH</t>
  </si>
  <si>
    <t>IGUAL</t>
  </si>
  <si>
    <t>EXP</t>
  </si>
  <si>
    <t>EXPONDIST</t>
  </si>
  <si>
    <t>EXPON.VERD</t>
  </si>
  <si>
    <t>EXPONVERT</t>
  </si>
  <si>
    <t>LOI.EXPONENTIELLE</t>
  </si>
  <si>
    <t>DISTR.EXP</t>
  </si>
  <si>
    <t>FACT</t>
  </si>
  <si>
    <t>FACULTEIT</t>
  </si>
  <si>
    <t>FAKULTÄT</t>
  </si>
  <si>
    <t>FACTDOUBLE</t>
  </si>
  <si>
    <t>DUBBELE.FACULTEIT</t>
  </si>
  <si>
    <t>ZWEIFAKULTÄT</t>
  </si>
  <si>
    <t>FACT.DOBLE</t>
  </si>
  <si>
    <t>FALSE</t>
  </si>
  <si>
    <t>ONWAAR</t>
  </si>
  <si>
    <t>FALSCH</t>
  </si>
  <si>
    <t>FAUX</t>
  </si>
  <si>
    <t>FALSO</t>
  </si>
  <si>
    <t>FDIST</t>
  </si>
  <si>
    <t>F.VERDELING</t>
  </si>
  <si>
    <t>FVERT</t>
  </si>
  <si>
    <t>LOI.F</t>
  </si>
  <si>
    <t>DISTR.F</t>
  </si>
  <si>
    <t>FIND</t>
  </si>
  <si>
    <t>VIND.ALLES</t>
  </si>
  <si>
    <t>FINDEN</t>
  </si>
  <si>
    <t>TROUVE</t>
  </si>
  <si>
    <t>ENCONTRAR</t>
  </si>
  <si>
    <t>FINDB</t>
  </si>
  <si>
    <t>VIND.ALLES.B</t>
  </si>
  <si>
    <t>FINDENB</t>
  </si>
  <si>
    <t>ENCONTRARB</t>
  </si>
  <si>
    <t>FINV</t>
  </si>
  <si>
    <t>F.INVERSE</t>
  </si>
  <si>
    <t>INVERSE.LOI.F</t>
  </si>
  <si>
    <t>DISTR.F.INV</t>
  </si>
  <si>
    <t>FISHER</t>
  </si>
  <si>
    <t>FISHERINV</t>
  </si>
  <si>
    <t>FISHER.INV</t>
  </si>
  <si>
    <t>FISHER.INVERSE</t>
  </si>
  <si>
    <t>PRUEBA.FISHER.INV</t>
  </si>
  <si>
    <t>FIXED</t>
  </si>
  <si>
    <t>VAST</t>
  </si>
  <si>
    <t>FEST</t>
  </si>
  <si>
    <t>CTXT</t>
  </si>
  <si>
    <t>DECIMAL</t>
  </si>
  <si>
    <t>FLOOR</t>
  </si>
  <si>
    <t>AFRONDEN.BENEDEN</t>
  </si>
  <si>
    <t>UNTERGRENZE</t>
  </si>
  <si>
    <t>PLANCHER</t>
  </si>
  <si>
    <t>MULTIPLO.INFERIOR</t>
  </si>
  <si>
    <t>FORECAST</t>
  </si>
  <si>
    <t>VOORSPELLEN</t>
  </si>
  <si>
    <t>SCHÄTZER</t>
  </si>
  <si>
    <t>PREVISION</t>
  </si>
  <si>
    <t>PRONOSTICO</t>
  </si>
  <si>
    <t>FREQUENCY</t>
  </si>
  <si>
    <t>INTERVAL</t>
  </si>
  <si>
    <t>HÄUFIGKEIT</t>
  </si>
  <si>
    <t>FREQUENCE</t>
  </si>
  <si>
    <t>FRECUENCIA</t>
  </si>
  <si>
    <t>FTEST</t>
  </si>
  <si>
    <t>F.TOETS</t>
  </si>
  <si>
    <t>TEST.F</t>
  </si>
  <si>
    <t>PRUEBA.F</t>
  </si>
  <si>
    <t>FV</t>
  </si>
  <si>
    <t>TW</t>
  </si>
  <si>
    <t>ZW</t>
  </si>
  <si>
    <t>VC</t>
  </si>
  <si>
    <t>VF</t>
  </si>
  <si>
    <t>FVSCHEDULE</t>
  </si>
  <si>
    <t>TOEK.WAARDE2</t>
  </si>
  <si>
    <t>ZW2</t>
  </si>
  <si>
    <t>VC.PAIEMENTS</t>
  </si>
  <si>
    <t>VF.PLAN</t>
  </si>
  <si>
    <t>GAMMADIST</t>
  </si>
  <si>
    <t>GAMMA.VERD</t>
  </si>
  <si>
    <t>GAMMAVERT</t>
  </si>
  <si>
    <t>LOI.GAMMA</t>
  </si>
  <si>
    <t>DISTR.GAMMA</t>
  </si>
  <si>
    <t>GAMMAINV</t>
  </si>
  <si>
    <t>GAMMA.INV</t>
  </si>
  <si>
    <t>LOI.GAMMA.INVERSE</t>
  </si>
  <si>
    <t>DISTR.GAMMA.INV</t>
  </si>
  <si>
    <t>GAMMALN</t>
  </si>
  <si>
    <t>GAMMA.LN</t>
  </si>
  <si>
    <t>LNGAMMA</t>
  </si>
  <si>
    <t>GCD</t>
  </si>
  <si>
    <t>GGD</t>
  </si>
  <si>
    <t>GGT</t>
  </si>
  <si>
    <t>PGCD</t>
  </si>
  <si>
    <t>M.C.D</t>
  </si>
  <si>
    <t>GEOMEAN</t>
  </si>
  <si>
    <t>MEETK.GEM</t>
  </si>
  <si>
    <t>GEOMITTEL</t>
  </si>
  <si>
    <t>MOYENNE.GEOMETRIQUE</t>
  </si>
  <si>
    <t>MEDIA.GEOM</t>
  </si>
  <si>
    <t>GESTEP</t>
  </si>
  <si>
    <t>GROTER.DAN</t>
  </si>
  <si>
    <t>GGANZZAHL</t>
  </si>
  <si>
    <t>SUP.SEUIL</t>
  </si>
  <si>
    <t>MAYOR.O.IGUAL</t>
  </si>
  <si>
    <t>GETPIVOTDATA</t>
  </si>
  <si>
    <t>DRAAITABEL.OPHALEN</t>
  </si>
  <si>
    <t>PIVOTDATENZUORDNEN</t>
  </si>
  <si>
    <t>LIREDONNEESTABCROISDYNAMIQUE</t>
  </si>
  <si>
    <t>fnNA:GETPIVOTDATA</t>
  </si>
  <si>
    <t>GROWTH</t>
  </si>
  <si>
    <t>GROEI</t>
  </si>
  <si>
    <t>VARIATION</t>
  </si>
  <si>
    <t>CROISSANCE</t>
  </si>
  <si>
    <t>CRECIMIENTO</t>
  </si>
  <si>
    <t>HARMEAN</t>
  </si>
  <si>
    <t>HARM.GEM</t>
  </si>
  <si>
    <t>HARMITTEL</t>
  </si>
  <si>
    <t>MOYENNE.HARMONIQUE</t>
  </si>
  <si>
    <t>MEDIA.ARMO</t>
  </si>
  <si>
    <t>HEX2BIN</t>
  </si>
  <si>
    <t>HEX.N.BIN</t>
  </si>
  <si>
    <t>HEXINBIN</t>
  </si>
  <si>
    <t>HEXBIN</t>
  </si>
  <si>
    <t>HEX.A.BIN</t>
  </si>
  <si>
    <t>HEX2DEC</t>
  </si>
  <si>
    <t>HEX.N.DEC</t>
  </si>
  <si>
    <t>HEXINDEZ</t>
  </si>
  <si>
    <t>HEXDEC</t>
  </si>
  <si>
    <t>HEX.A.DEC</t>
  </si>
  <si>
    <t>HEX2OCT</t>
  </si>
  <si>
    <t>HEX.N.OCT</t>
  </si>
  <si>
    <t>HEXINOKT</t>
  </si>
  <si>
    <t>HEXOCT</t>
  </si>
  <si>
    <t>HEX.A.OCT</t>
  </si>
  <si>
    <t>HLOOKUP</t>
  </si>
  <si>
    <t>HORIZ.ZOEKEN</t>
  </si>
  <si>
    <t>WVERWEIS</t>
  </si>
  <si>
    <t>RECHERCHEH</t>
  </si>
  <si>
    <t>BUSCARH</t>
  </si>
  <si>
    <t>HOUR</t>
  </si>
  <si>
    <t>UUR</t>
  </si>
  <si>
    <t>STUNDE</t>
  </si>
  <si>
    <t>HEURE</t>
  </si>
  <si>
    <t>HORA</t>
  </si>
  <si>
    <t>TIME</t>
  </si>
  <si>
    <t>HYPERLINK</t>
  </si>
  <si>
    <t>LIEN_HYPERTEXTE</t>
  </si>
  <si>
    <t>fnNA:HYPERLINK</t>
  </si>
  <si>
    <t>HYPGEOMDIST</t>
  </si>
  <si>
    <t>HYPERGEO.VERD</t>
  </si>
  <si>
    <t>HYPGEOMVERT</t>
  </si>
  <si>
    <t>LOI.HYPERGEOMETRIQUE</t>
  </si>
  <si>
    <t>DISTR.HIPERGEOM</t>
  </si>
  <si>
    <t>IF</t>
  </si>
  <si>
    <t>ALS</t>
  </si>
  <si>
    <t>WENN</t>
  </si>
  <si>
    <t>SI</t>
  </si>
  <si>
    <t>IMABS</t>
  </si>
  <si>
    <t>C.ABS</t>
  </si>
  <si>
    <t>COMPLEXE.MODULE</t>
  </si>
  <si>
    <t>IM.ABS</t>
  </si>
  <si>
    <t>IMAGINARY</t>
  </si>
  <si>
    <t>C.IM.DEEL</t>
  </si>
  <si>
    <t>IMAGINÄRTEIL</t>
  </si>
  <si>
    <t>COMPLEXE.IMAGINAIRE</t>
  </si>
  <si>
    <t>IMAGINARIO</t>
  </si>
  <si>
    <t>IMARGUMENT</t>
  </si>
  <si>
    <t>C.ARGUMENT</t>
  </si>
  <si>
    <t>COMPLEXE.ARGUMENT</t>
  </si>
  <si>
    <t>IM.ANGULO</t>
  </si>
  <si>
    <t>IMCONJUGATE</t>
  </si>
  <si>
    <t>C.TOEGEVOEGD</t>
  </si>
  <si>
    <t>IMKONJUGIERTE</t>
  </si>
  <si>
    <t>COMPLEXE.CONJUGUE</t>
  </si>
  <si>
    <t>IM.CONJUGADA</t>
  </si>
  <si>
    <t>IMCOS</t>
  </si>
  <si>
    <t>C.COS</t>
  </si>
  <si>
    <t>COMPLEXE.COS</t>
  </si>
  <si>
    <t>IM.COS</t>
  </si>
  <si>
    <t>IMDIV</t>
  </si>
  <si>
    <t>C.QUOTIENT</t>
  </si>
  <si>
    <t>COMPLEXE.DIV</t>
  </si>
  <si>
    <t>IM.DIV</t>
  </si>
  <si>
    <t>IMEXP</t>
  </si>
  <si>
    <t>C.EXP</t>
  </si>
  <si>
    <t>COMPLEXE.EXP</t>
  </si>
  <si>
    <t>IM.EXP</t>
  </si>
  <si>
    <t>IMLN</t>
  </si>
  <si>
    <t>C.LN</t>
  </si>
  <si>
    <t>COMPLEXE.LN</t>
  </si>
  <si>
    <t>IM.LN</t>
  </si>
  <si>
    <t>IMLOG10</t>
  </si>
  <si>
    <t>C.LOG10</t>
  </si>
  <si>
    <t>COMPLEXE.LOG10</t>
  </si>
  <si>
    <t>IM.LOG10</t>
  </si>
  <si>
    <t>IMLOG2</t>
  </si>
  <si>
    <t>C.LOG2</t>
  </si>
  <si>
    <t>COMPLEXE.LOG2</t>
  </si>
  <si>
    <t>IM.LOG2</t>
  </si>
  <si>
    <t>IMPOWER</t>
  </si>
  <si>
    <t>C.MACHT</t>
  </si>
  <si>
    <t>IMAPOTENZ</t>
  </si>
  <si>
    <t>COMPLEXE.PUISSANCE</t>
  </si>
  <si>
    <t>IM.POT</t>
  </si>
  <si>
    <t>IMPRODUCT</t>
  </si>
  <si>
    <t>C.PRODUCT</t>
  </si>
  <si>
    <t>IMPRODUKT</t>
  </si>
  <si>
    <t>COMPLEXE.PRODUIT</t>
  </si>
  <si>
    <t>IM.PRODUCT</t>
  </si>
  <si>
    <t>IMREAL</t>
  </si>
  <si>
    <t>C.REEEL.DEEL</t>
  </si>
  <si>
    <t>IMREALTEIL</t>
  </si>
  <si>
    <t>COMPLEXE.REEL</t>
  </si>
  <si>
    <t>IM.REAL</t>
  </si>
  <si>
    <t>IMSIN</t>
  </si>
  <si>
    <t>C.SIN</t>
  </si>
  <si>
    <t>COMPLEXE.SIN</t>
  </si>
  <si>
    <t>IM.SENO</t>
  </si>
  <si>
    <t>IMSQRT</t>
  </si>
  <si>
    <t>C.WORTEL</t>
  </si>
  <si>
    <t>IMWURZEL</t>
  </si>
  <si>
    <t>COMPLEXE.RACINE</t>
  </si>
  <si>
    <t>IM.RAIZ2</t>
  </si>
  <si>
    <t>IMSUB</t>
  </si>
  <si>
    <t>C.VERSCHIL</t>
  </si>
  <si>
    <t>COMPLEXE.DIFFERENCE</t>
  </si>
  <si>
    <t>IM.SUSTR</t>
  </si>
  <si>
    <t>IMSUM</t>
  </si>
  <si>
    <t>C.SOM</t>
  </si>
  <si>
    <t>IMSUMME</t>
  </si>
  <si>
    <t>COMPLEXE.SOMME</t>
  </si>
  <si>
    <t>IM.SUM</t>
  </si>
  <si>
    <t>INDEX</t>
  </si>
  <si>
    <t>INDICE</t>
  </si>
  <si>
    <t>INDIRECT</t>
  </si>
  <si>
    <t>INDIREKT</t>
  </si>
  <si>
    <t>INDIRECTO</t>
  </si>
  <si>
    <t>INFO</t>
  </si>
  <si>
    <t>INT</t>
  </si>
  <si>
    <t>INTEGER</t>
  </si>
  <si>
    <t>GANZZAHL</t>
  </si>
  <si>
    <t>ENT</t>
  </si>
  <si>
    <t>ENTERO</t>
  </si>
  <si>
    <t>INTERCEPT</t>
  </si>
  <si>
    <t>SNIJPUNT</t>
  </si>
  <si>
    <t>ACHSENABSCHNITT</t>
  </si>
  <si>
    <t>ORDONNEE.ORIGINE</t>
  </si>
  <si>
    <t>INTERSECCION</t>
  </si>
  <si>
    <t>INTRATE</t>
  </si>
  <si>
    <t>RENTEPERCENTAGE</t>
  </si>
  <si>
    <t>ZINSSATZ</t>
  </si>
  <si>
    <t>TAUX.INTERET</t>
  </si>
  <si>
    <t>TASA.INT</t>
  </si>
  <si>
    <t>IPMT</t>
  </si>
  <si>
    <t>IBET</t>
  </si>
  <si>
    <t>ZINSZ</t>
  </si>
  <si>
    <t>INTPER</t>
  </si>
  <si>
    <t>PAGOINT</t>
  </si>
  <si>
    <t>IRR</t>
  </si>
  <si>
    <t>IR</t>
  </si>
  <si>
    <t>IKV</t>
  </si>
  <si>
    <t>TRI</t>
  </si>
  <si>
    <t>TIR</t>
  </si>
  <si>
    <t>ISBLANK</t>
  </si>
  <si>
    <t>ISLEEG</t>
  </si>
  <si>
    <t>ISTLEER</t>
  </si>
  <si>
    <t>ESTVIDE</t>
  </si>
  <si>
    <t>ESBLANCO</t>
  </si>
  <si>
    <t>ISERR</t>
  </si>
  <si>
    <t>ISFOUT2</t>
  </si>
  <si>
    <t>ISTFEHL</t>
  </si>
  <si>
    <t>ESTERR</t>
  </si>
  <si>
    <t>ESERR</t>
  </si>
  <si>
    <t>ISERROR</t>
  </si>
  <si>
    <t>ISFOUT</t>
  </si>
  <si>
    <t>ISTFEHLER</t>
  </si>
  <si>
    <t>ESTERREUR</t>
  </si>
  <si>
    <t>ESERROR</t>
  </si>
  <si>
    <t>ISEVEN</t>
  </si>
  <si>
    <t>IS.EVEN</t>
  </si>
  <si>
    <t>ISTGERADE</t>
  </si>
  <si>
    <t>EST.PAIR</t>
  </si>
  <si>
    <t>ES.PAR</t>
  </si>
  <si>
    <t>ISLOGICAL</t>
  </si>
  <si>
    <t>ISLOGISCH</t>
  </si>
  <si>
    <t>ISTLOG</t>
  </si>
  <si>
    <t>ESTLOGIQUE</t>
  </si>
  <si>
    <t>ESLOGICO</t>
  </si>
  <si>
    <t>ISNA</t>
  </si>
  <si>
    <t>ISNB</t>
  </si>
  <si>
    <t>ISTNV</t>
  </si>
  <si>
    <t>ESTNA</t>
  </si>
  <si>
    <t>ESNOD</t>
  </si>
  <si>
    <t>ISNONTEXT</t>
  </si>
  <si>
    <t>ISGEENTEKST</t>
  </si>
  <si>
    <t>ISTKTEXT</t>
  </si>
  <si>
    <t>ESTNONTEXTE</t>
  </si>
  <si>
    <t>ESNOTEXTO</t>
  </si>
  <si>
    <t>ISNUMBER</t>
  </si>
  <si>
    <t>ISGETAL</t>
  </si>
  <si>
    <t>ISTZAHL</t>
  </si>
  <si>
    <t>ESTNUM</t>
  </si>
  <si>
    <t>ESNUMERO</t>
  </si>
  <si>
    <t>ISODD</t>
  </si>
  <si>
    <t>IS.ONEVEN</t>
  </si>
  <si>
    <t>ISTUNGERADE</t>
  </si>
  <si>
    <t>EST.IMPAIR</t>
  </si>
  <si>
    <t>ES.IMPAR</t>
  </si>
  <si>
    <t>ISPMT</t>
  </si>
  <si>
    <t>ISBET</t>
  </si>
  <si>
    <t>INT.PAGO.DIR</t>
  </si>
  <si>
    <t>ISREF</t>
  </si>
  <si>
    <t>ISVERWIJZING</t>
  </si>
  <si>
    <t>ISTBEZUG</t>
  </si>
  <si>
    <t>ESTREF</t>
  </si>
  <si>
    <t>ESREF</t>
  </si>
  <si>
    <t>ISTEXT</t>
  </si>
  <si>
    <t>ISTEKST</t>
  </si>
  <si>
    <t>ISTTEXT</t>
  </si>
  <si>
    <t>ESTTEXTE</t>
  </si>
  <si>
    <t>ESTEXTO</t>
  </si>
  <si>
    <t>JIS</t>
  </si>
  <si>
    <t>fnNA:JIS</t>
  </si>
  <si>
    <t>KURT</t>
  </si>
  <si>
    <t>KURTOSIS</t>
  </si>
  <si>
    <t>CURTOSIS</t>
  </si>
  <si>
    <t>LARGE</t>
  </si>
  <si>
    <t>GROOTSTE</t>
  </si>
  <si>
    <t>KGRÖSSTE</t>
  </si>
  <si>
    <t>GRANDE.VALEUR</t>
  </si>
  <si>
    <t>K.ESIMO.MAYOR</t>
  </si>
  <si>
    <t>LCM</t>
  </si>
  <si>
    <t>KGV</t>
  </si>
  <si>
    <t>PPCM</t>
  </si>
  <si>
    <t>M.C.M</t>
  </si>
  <si>
    <t>LEFT</t>
  </si>
  <si>
    <t>LINKS</t>
  </si>
  <si>
    <t>GAUCHE</t>
  </si>
  <si>
    <t>IZQUIERDA</t>
  </si>
  <si>
    <t>LEFTB</t>
  </si>
  <si>
    <t>LINKSB</t>
  </si>
  <si>
    <t>IZQUIERDAB</t>
  </si>
  <si>
    <t>LEN</t>
  </si>
  <si>
    <t>LENGTE</t>
  </si>
  <si>
    <t>LÄNGE</t>
  </si>
  <si>
    <t>NBCAR</t>
  </si>
  <si>
    <t>LARGO</t>
  </si>
  <si>
    <t>LENB</t>
  </si>
  <si>
    <t>LENGTEB</t>
  </si>
  <si>
    <t>LARGOB</t>
  </si>
  <si>
    <t>LINEST</t>
  </si>
  <si>
    <t>LIJNSCH</t>
  </si>
  <si>
    <t>RGP</t>
  </si>
  <si>
    <t>DROITEREG</t>
  </si>
  <si>
    <t>ESTIMACION.LINEAL</t>
  </si>
  <si>
    <t>LN</t>
  </si>
  <si>
    <t>LOG</t>
  </si>
  <si>
    <t>LOG10</t>
  </si>
  <si>
    <t>LOGEST</t>
  </si>
  <si>
    <t>LOGSCH</t>
  </si>
  <si>
    <t>RKP</t>
  </si>
  <si>
    <t>LOGREG</t>
  </si>
  <si>
    <t>ESTIMACION.LOGARITMICA</t>
  </si>
  <si>
    <t>LOGINV</t>
  </si>
  <si>
    <t>LOG.NORM.INV</t>
  </si>
  <si>
    <t>LOI.LOGNORMALE.INVERSE</t>
  </si>
  <si>
    <t>DISTR.LOG.INV</t>
  </si>
  <si>
    <t>LOGNORMDIST</t>
  </si>
  <si>
    <t>LOG.NORM.VERD</t>
  </si>
  <si>
    <t>LOGNORMVERT</t>
  </si>
  <si>
    <t>LOI.LOGNORMALE</t>
  </si>
  <si>
    <t>DISTR.LOG.NORM</t>
  </si>
  <si>
    <t>LOOKUP</t>
  </si>
  <si>
    <t>ZOEKEN</t>
  </si>
  <si>
    <t>VERWEIS</t>
  </si>
  <si>
    <t>RECHERCHE</t>
  </si>
  <si>
    <t>BUSCAR</t>
  </si>
  <si>
    <t>LOWER</t>
  </si>
  <si>
    <t>KLEINE.LETTERS</t>
  </si>
  <si>
    <t>KLEIN</t>
  </si>
  <si>
    <t>MINUSCULE</t>
  </si>
  <si>
    <t>MINUSC</t>
  </si>
  <si>
    <t>MATCH</t>
  </si>
  <si>
    <t>VERGELIJKEN</t>
  </si>
  <si>
    <t>VERGLEICH</t>
  </si>
  <si>
    <t>EQUIV</t>
  </si>
  <si>
    <t>COINCIDIR</t>
  </si>
  <si>
    <t>MAX</t>
  </si>
  <si>
    <t>MAXA</t>
  </si>
  <si>
    <t>fnNA:MAXA</t>
  </si>
  <si>
    <t>MDETERM</t>
  </si>
  <si>
    <t>DETERMINANTMAT</t>
  </si>
  <si>
    <t>MDET</t>
  </si>
  <si>
    <t>DETERMAT</t>
  </si>
  <si>
    <t>MDURATION</t>
  </si>
  <si>
    <t>AANG.DUUR</t>
  </si>
  <si>
    <t>DUREE.MODIFIEE</t>
  </si>
  <si>
    <t>DURACION.MODIF</t>
  </si>
  <si>
    <t>MEDIAN</t>
  </si>
  <si>
    <t>MEDIAAN</t>
  </si>
  <si>
    <t>MEDIANE</t>
  </si>
  <si>
    <t>MEDIANA</t>
  </si>
  <si>
    <t>MID</t>
  </si>
  <si>
    <t>DEEL</t>
  </si>
  <si>
    <t>TEIL</t>
  </si>
  <si>
    <t>STXT</t>
  </si>
  <si>
    <t>EXTRAE</t>
  </si>
  <si>
    <t>MIDB</t>
  </si>
  <si>
    <t>DEELB</t>
  </si>
  <si>
    <t>TEILB</t>
  </si>
  <si>
    <t>MIN</t>
  </si>
  <si>
    <t>MINA</t>
  </si>
  <si>
    <t>fnNA:MINA</t>
  </si>
  <si>
    <t>MINV</t>
  </si>
  <si>
    <t>MINUTE</t>
  </si>
  <si>
    <t>MINUUT</t>
  </si>
  <si>
    <t>MINUTO</t>
  </si>
  <si>
    <t>MINVERSE</t>
  </si>
  <si>
    <t>INVERSEMAT</t>
  </si>
  <si>
    <t>MINVERSA</t>
  </si>
  <si>
    <t>MIRR</t>
  </si>
  <si>
    <t>GIR</t>
  </si>
  <si>
    <t>QIKV</t>
  </si>
  <si>
    <t>TRIM</t>
  </si>
  <si>
    <t>TIRM</t>
  </si>
  <si>
    <t>MMULT</t>
  </si>
  <si>
    <t>PRODUCTMAT</t>
  </si>
  <si>
    <t>PRODUITMAT</t>
  </si>
  <si>
    <t>MOD</t>
  </si>
  <si>
    <t>REST</t>
  </si>
  <si>
    <t>RESIDUO</t>
  </si>
  <si>
    <t>MODE</t>
  </si>
  <si>
    <t>MODUS</t>
  </si>
  <si>
    <t>MODALWERT</t>
  </si>
  <si>
    <t>MODA</t>
  </si>
  <si>
    <t>MONTH</t>
  </si>
  <si>
    <t>MAAND</t>
  </si>
  <si>
    <t>MONAT</t>
  </si>
  <si>
    <t>MOIS</t>
  </si>
  <si>
    <t>MES</t>
  </si>
  <si>
    <t>MROUND</t>
  </si>
  <si>
    <t>AFRONDEN.N.VEELVOUD</t>
  </si>
  <si>
    <t>VRUNDEN</t>
  </si>
  <si>
    <t>ARRONDI.AU.MULTIPLE</t>
  </si>
  <si>
    <t>REDOND.MULT</t>
  </si>
  <si>
    <t>MULTINOMIAL</t>
  </si>
  <si>
    <t>MULTINOMIAAL</t>
  </si>
  <si>
    <t>POLYNOMIAL</t>
  </si>
  <si>
    <t>MULTINOMIALE</t>
  </si>
  <si>
    <t>NA</t>
  </si>
  <si>
    <t>NV</t>
  </si>
  <si>
    <t>NOD</t>
  </si>
  <si>
    <t>NEGBINOMDIST</t>
  </si>
  <si>
    <t>NEG.BINOM.VERD</t>
  </si>
  <si>
    <t>NEGBINOMVERT</t>
  </si>
  <si>
    <t>LOI.BINOMIALE.NEG</t>
  </si>
  <si>
    <t>NETWORKDAYS</t>
  </si>
  <si>
    <t>NETTO.WERKDAGEN</t>
  </si>
  <si>
    <t>NETTOARBEITSTAGE</t>
  </si>
  <si>
    <t>NB.JOURS.OUVRES</t>
  </si>
  <si>
    <t>DIAS.LAB</t>
  </si>
  <si>
    <t>NOMINAL</t>
  </si>
  <si>
    <t>NOMINALE.RENTE</t>
  </si>
  <si>
    <t>TAUX.NOMINAL</t>
  </si>
  <si>
    <t>TASA.NOMINAL</t>
  </si>
  <si>
    <t>NORMDIST</t>
  </si>
  <si>
    <t>NORM.VERD</t>
  </si>
  <si>
    <t>NORMVERT</t>
  </si>
  <si>
    <t>LOI.NORMALE</t>
  </si>
  <si>
    <t>DISTR.NORM</t>
  </si>
  <si>
    <t>NORMINV</t>
  </si>
  <si>
    <t>NORM.INV</t>
  </si>
  <si>
    <t>LOI.NORMALE.INVERSE</t>
  </si>
  <si>
    <t>DISTR.NORM.INV</t>
  </si>
  <si>
    <t>NORMSDIST</t>
  </si>
  <si>
    <t>STAND.NORM.VERD</t>
  </si>
  <si>
    <t>STANDNORMVERT</t>
  </si>
  <si>
    <t>LOI.NORMALE.STANDARD</t>
  </si>
  <si>
    <t>DISTR.NORM.ESTAND</t>
  </si>
  <si>
    <t>NORMSINV</t>
  </si>
  <si>
    <t>STAND.NORM.INV</t>
  </si>
  <si>
    <t>STANDNORMINV</t>
  </si>
  <si>
    <t>LOI.NORMALE.STANDARD.INVERSE</t>
  </si>
  <si>
    <t>DISTR.NORM.ESTAND.INV</t>
  </si>
  <si>
    <t>NOT</t>
  </si>
  <si>
    <t>NIET</t>
  </si>
  <si>
    <t>NICHT</t>
  </si>
  <si>
    <t>NON</t>
  </si>
  <si>
    <t>NO</t>
  </si>
  <si>
    <t>NOW</t>
  </si>
  <si>
    <t>NU</t>
  </si>
  <si>
    <t>JETZT</t>
  </si>
  <si>
    <t>MAINTENANT</t>
  </si>
  <si>
    <t>AHORA</t>
  </si>
  <si>
    <t>NPER</t>
  </si>
  <si>
    <t>ZZR</t>
  </si>
  <si>
    <t>NPM</t>
  </si>
  <si>
    <t>NPV</t>
  </si>
  <si>
    <t>NHW</t>
  </si>
  <si>
    <t>NBW</t>
  </si>
  <si>
    <t>VAN</t>
  </si>
  <si>
    <t>VNA</t>
  </si>
  <si>
    <t>NUMBERSTRING</t>
  </si>
  <si>
    <t>GETALNOTATIE</t>
  </si>
  <si>
    <t>CADENA.NUMERO</t>
  </si>
  <si>
    <t>OCT2BIN</t>
  </si>
  <si>
    <t>OCT.N.BIN</t>
  </si>
  <si>
    <t>OKTINBIN</t>
  </si>
  <si>
    <t>OCTBIN</t>
  </si>
  <si>
    <t>OCT.A.BIN</t>
  </si>
  <si>
    <t>OCT2DEC</t>
  </si>
  <si>
    <t>OCT.N.DEC</t>
  </si>
  <si>
    <t>OKTINDEZ</t>
  </si>
  <si>
    <t>OCTDEC</t>
  </si>
  <si>
    <t>OCT.A.DEC</t>
  </si>
  <si>
    <t>OCT2HEX</t>
  </si>
  <si>
    <t>OCT.N.HEX</t>
  </si>
  <si>
    <t>OKTINHEX</t>
  </si>
  <si>
    <t>OCTHEX</t>
  </si>
  <si>
    <t>OCT.A.HEX</t>
  </si>
  <si>
    <t>ODD</t>
  </si>
  <si>
    <t>ONEVEN</t>
  </si>
  <si>
    <t>UNGERADE</t>
  </si>
  <si>
    <t>IMPAIR</t>
  </si>
  <si>
    <t>REDONDEA.IMPAR</t>
  </si>
  <si>
    <t>ODDFPRICE</t>
  </si>
  <si>
    <t>AFW.ET.PRIJS</t>
  </si>
  <si>
    <t>UNREGER.KURS</t>
  </si>
  <si>
    <t>PRIX.PCOUPON.IRREG</t>
  </si>
  <si>
    <t>PRECIO.PER.IRREGULAR.1</t>
  </si>
  <si>
    <t>ODDFYIELD</t>
  </si>
  <si>
    <t>AFW.ET.REND</t>
  </si>
  <si>
    <t>UNREGER.REND</t>
  </si>
  <si>
    <t>REND.PCOUPON.IRREG</t>
  </si>
  <si>
    <t>RENDTO.PER.IRREGULAR.1</t>
  </si>
  <si>
    <t>ODDLPRICE</t>
  </si>
  <si>
    <t>AFW.LT.PRIJS</t>
  </si>
  <si>
    <t>UNREGLE.KURS</t>
  </si>
  <si>
    <t>PRIX.DCOUPON.IRREG</t>
  </si>
  <si>
    <t>PRECIO.PER.IRREGULAR.2</t>
  </si>
  <si>
    <t>ODDLYIELD</t>
  </si>
  <si>
    <t>AFW.LT.REND</t>
  </si>
  <si>
    <t>UNREGLE.REND</t>
  </si>
  <si>
    <t>REND.DCOUPON.IRREG</t>
  </si>
  <si>
    <t>RENDTO.PER.IRREGULAR.2</t>
  </si>
  <si>
    <t>OFFSET</t>
  </si>
  <si>
    <t>VERSCHUIVING</t>
  </si>
  <si>
    <t>BEREICH.VERSCHIEBEN</t>
  </si>
  <si>
    <t>DECALER</t>
  </si>
  <si>
    <t>DESREF</t>
  </si>
  <si>
    <t>OR</t>
  </si>
  <si>
    <t>OF</t>
  </si>
  <si>
    <t>ODER</t>
  </si>
  <si>
    <t>OU</t>
  </si>
  <si>
    <t>PEARSON</t>
  </si>
  <si>
    <t>PERCENTILE</t>
  </si>
  <si>
    <t>PERCENTIEL</t>
  </si>
  <si>
    <t>QUANTIL</t>
  </si>
  <si>
    <t>CENTILE</t>
  </si>
  <si>
    <t>PERCENTIL</t>
  </si>
  <si>
    <t>PERCENTRANK</t>
  </si>
  <si>
    <t>PERCENT.RANG</t>
  </si>
  <si>
    <t>QUANTILSRANG</t>
  </si>
  <si>
    <t>RANG.POURCENTAGE</t>
  </si>
  <si>
    <t>RANGO.PERCENTIL</t>
  </si>
  <si>
    <t>PERMUT</t>
  </si>
  <si>
    <t>PERMUTATIES</t>
  </si>
  <si>
    <t>VARIATIONEN</t>
  </si>
  <si>
    <t>PERMUTATION</t>
  </si>
  <si>
    <t>PERMUTACIONES</t>
  </si>
  <si>
    <t>PHONETIC</t>
  </si>
  <si>
    <t>FONETISCH</t>
  </si>
  <si>
    <t>PHONÉTIQUE</t>
  </si>
  <si>
    <t>fnNA:PHONETIC</t>
  </si>
  <si>
    <t>PI</t>
  </si>
  <si>
    <t>PMT</t>
  </si>
  <si>
    <t>BET</t>
  </si>
  <si>
    <t>RMZ</t>
  </si>
  <si>
    <t>VPM</t>
  </si>
  <si>
    <t>PAGO</t>
  </si>
  <si>
    <t>POISSON</t>
  </si>
  <si>
    <t>LOI.POISSON</t>
  </si>
  <si>
    <t>POWER</t>
  </si>
  <si>
    <t>MACHT</t>
  </si>
  <si>
    <t>POTENZ</t>
  </si>
  <si>
    <t>PUISSANCE</t>
  </si>
  <si>
    <t>POTENCIA</t>
  </si>
  <si>
    <t>PPMT</t>
  </si>
  <si>
    <t>PBET</t>
  </si>
  <si>
    <t>KAPZ</t>
  </si>
  <si>
    <t>PRINCPER</t>
  </si>
  <si>
    <t>PAGOPRIN</t>
  </si>
  <si>
    <t>PRICE</t>
  </si>
  <si>
    <t>PRIJS.NOM</t>
  </si>
  <si>
    <t>KURS</t>
  </si>
  <si>
    <t>PRIX.TITRE</t>
  </si>
  <si>
    <t>PRECIO</t>
  </si>
  <si>
    <t>PRICEDISC</t>
  </si>
  <si>
    <t>PRIJS.DISCONTO</t>
  </si>
  <si>
    <t>KURSDISAGIO</t>
  </si>
  <si>
    <t>VALEUR.ENCAISSEMENT</t>
  </si>
  <si>
    <t>PRECIO.DESCUENTO</t>
  </si>
  <si>
    <t>PRICEMAT</t>
  </si>
  <si>
    <t>PRIJS.VERVALDAG</t>
  </si>
  <si>
    <t>KURSFÄLLIG</t>
  </si>
  <si>
    <t>PRIX.TITRE.ECHEANCE</t>
  </si>
  <si>
    <t>PRECIO.VENCIMIENTO</t>
  </si>
  <si>
    <t>PROB</t>
  </si>
  <si>
    <t>KANS</t>
  </si>
  <si>
    <t>WAHRSCHBEREICH</t>
  </si>
  <si>
    <t>PROBABILITE</t>
  </si>
  <si>
    <t>PROBABILIDAD</t>
  </si>
  <si>
    <t>PRODUCT</t>
  </si>
  <si>
    <t>PRODUKT</t>
  </si>
  <si>
    <t>PRODUIT</t>
  </si>
  <si>
    <t>PRODUCTO</t>
  </si>
  <si>
    <t>PROPER</t>
  </si>
  <si>
    <t>BEGINLETTERS</t>
  </si>
  <si>
    <t>GROSS2</t>
  </si>
  <si>
    <t>NOMPROPRE</t>
  </si>
  <si>
    <t>NOMPROPIO</t>
  </si>
  <si>
    <t>PV</t>
  </si>
  <si>
    <t>HW</t>
  </si>
  <si>
    <t>BW</t>
  </si>
  <si>
    <t>VA</t>
  </si>
  <si>
    <t>QUARTILE</t>
  </si>
  <si>
    <t>KWARTIEL</t>
  </si>
  <si>
    <t>CUARTIL</t>
  </si>
  <si>
    <t>QUOTIENT</t>
  </si>
  <si>
    <t>COCIENTE</t>
  </si>
  <si>
    <t>RADIANS</t>
  </si>
  <si>
    <t>RADIALEN</t>
  </si>
  <si>
    <t>BOGENMASS</t>
  </si>
  <si>
    <t>RADIANES</t>
  </si>
  <si>
    <t>RAND</t>
  </si>
  <si>
    <t>ASELECT</t>
  </si>
  <si>
    <t>ZUFALLSZAHL</t>
  </si>
  <si>
    <t>ALEA</t>
  </si>
  <si>
    <t>ALEATORIO</t>
  </si>
  <si>
    <t>RANDBETWEEN</t>
  </si>
  <si>
    <t>ASELECTTUSSEN</t>
  </si>
  <si>
    <t>ZUFALLSBEREICH</t>
  </si>
  <si>
    <t>ALEA.ENTRE.BORNES</t>
  </si>
  <si>
    <t>ALEATORIO.ENTRE</t>
  </si>
  <si>
    <t>RANK</t>
  </si>
  <si>
    <t>RANG</t>
  </si>
  <si>
    <t>JERARQUIA</t>
  </si>
  <si>
    <t>RATE</t>
  </si>
  <si>
    <t>RENTE</t>
  </si>
  <si>
    <t>ZINS</t>
  </si>
  <si>
    <t>TAUX</t>
  </si>
  <si>
    <t>TASA</t>
  </si>
  <si>
    <t>RECEIVED</t>
  </si>
  <si>
    <t>OPBRENGST</t>
  </si>
  <si>
    <t>AUSZAHLUNG</t>
  </si>
  <si>
    <t>VALEUR.NOMINALE</t>
  </si>
  <si>
    <t>CANTIDAD.RECIBIDA</t>
  </si>
  <si>
    <t>REPLACE</t>
  </si>
  <si>
    <t>VERVANGEN</t>
  </si>
  <si>
    <t>ERSETZEN</t>
  </si>
  <si>
    <t>REMPLACER</t>
  </si>
  <si>
    <t>REEMPLAZAR</t>
  </si>
  <si>
    <t>REPLACEB</t>
  </si>
  <si>
    <t>VERVANGENB</t>
  </si>
  <si>
    <t>ERSETZENB</t>
  </si>
  <si>
    <t>REEMPLAZARB</t>
  </si>
  <si>
    <t>REPT</t>
  </si>
  <si>
    <t>HERHALING</t>
  </si>
  <si>
    <t>WIEDERHOLEN</t>
  </si>
  <si>
    <t>REPETIR</t>
  </si>
  <si>
    <t>RIGHT</t>
  </si>
  <si>
    <t>RECHTS</t>
  </si>
  <si>
    <t>DROITE</t>
  </si>
  <si>
    <t>DERECHA</t>
  </si>
  <si>
    <t>RIGHTB</t>
  </si>
  <si>
    <t>RECHTSB</t>
  </si>
  <si>
    <t>DERECHAB</t>
  </si>
  <si>
    <t>ROMAN</t>
  </si>
  <si>
    <t>ROMEINS</t>
  </si>
  <si>
    <t>RÖMISCH</t>
  </si>
  <si>
    <t>ROMAIN</t>
  </si>
  <si>
    <t>NUMERO.ROMANO</t>
  </si>
  <si>
    <t>ROUND</t>
  </si>
  <si>
    <t>AFRONDEN</t>
  </si>
  <si>
    <t>RUNDEN</t>
  </si>
  <si>
    <t>ARRONDI</t>
  </si>
  <si>
    <t>REDONDEAR</t>
  </si>
  <si>
    <t>ROUNDDOWN</t>
  </si>
  <si>
    <t>AFRONDEN.NAAR.BENEDEN</t>
  </si>
  <si>
    <t>ABRUNDEN</t>
  </si>
  <si>
    <t>ARRONDI.INF</t>
  </si>
  <si>
    <t>REDONDEAR.MENOS</t>
  </si>
  <si>
    <t>ROUNDUP</t>
  </si>
  <si>
    <t>AFRONDEN.NAAR.BOVEN</t>
  </si>
  <si>
    <t>AUFRUNDEN</t>
  </si>
  <si>
    <t>ARRONDI.SUP</t>
  </si>
  <si>
    <t>REDONDEAR.MAS</t>
  </si>
  <si>
    <t>ROW</t>
  </si>
  <si>
    <t>RIJ</t>
  </si>
  <si>
    <t>ZEILE</t>
  </si>
  <si>
    <t>LIGNE</t>
  </si>
  <si>
    <t>FILA</t>
  </si>
  <si>
    <t>ROWS</t>
  </si>
  <si>
    <t>RIJEN</t>
  </si>
  <si>
    <t>ZEILEN</t>
  </si>
  <si>
    <t>LIGNES</t>
  </si>
  <si>
    <t>FILAS</t>
  </si>
  <si>
    <t>RSQ</t>
  </si>
  <si>
    <t>R.KWADRAAT</t>
  </si>
  <si>
    <t>BESTIMMTHEITSMASS</t>
  </si>
  <si>
    <t>COEFFICIENT.DETERMINATION</t>
  </si>
  <si>
    <t>COEFICIENTE.R2</t>
  </si>
  <si>
    <t>RTD</t>
  </si>
  <si>
    <t>RTG</t>
  </si>
  <si>
    <t>fnNA:RTD</t>
  </si>
  <si>
    <t>SEARCH</t>
  </si>
  <si>
    <t>VIND.SPEC</t>
  </si>
  <si>
    <t>SUCHEN</t>
  </si>
  <si>
    <t>CHERCHE</t>
  </si>
  <si>
    <t>HALLAR</t>
  </si>
  <si>
    <t>SEARCHB</t>
  </si>
  <si>
    <t>VIND.SPEC.B</t>
  </si>
  <si>
    <t>SUCHENB</t>
  </si>
  <si>
    <t>HALLARB</t>
  </si>
  <si>
    <t>SECOND</t>
  </si>
  <si>
    <t>SECONDE</t>
  </si>
  <si>
    <t>SEKUNDE</t>
  </si>
  <si>
    <t>SEGUNDO</t>
  </si>
  <si>
    <t>SERIESSUM</t>
  </si>
  <si>
    <t>SOM.MACHTREEKS</t>
  </si>
  <si>
    <t>POTENZREIHE</t>
  </si>
  <si>
    <t>SOMME.SERIES</t>
  </si>
  <si>
    <t>SUMA.SERIES</t>
  </si>
  <si>
    <t>SIGN</t>
  </si>
  <si>
    <t>POS.NEG</t>
  </si>
  <si>
    <t>VORZEICHEN</t>
  </si>
  <si>
    <t>SIGNE</t>
  </si>
  <si>
    <t>SIGNO</t>
  </si>
  <si>
    <t>SIN</t>
  </si>
  <si>
    <t>SENO</t>
  </si>
  <si>
    <t>SINH</t>
  </si>
  <si>
    <t>SINHYP</t>
  </si>
  <si>
    <t>SENOH</t>
  </si>
  <si>
    <t>SKEW</t>
  </si>
  <si>
    <t>SCHEEFHEID</t>
  </si>
  <si>
    <t>SCHIEFE</t>
  </si>
  <si>
    <t>COEFFICIENT.ASYMETRIE</t>
  </si>
  <si>
    <t>COEFICIENTE.ASIMETRIA</t>
  </si>
  <si>
    <t>SLN</t>
  </si>
  <si>
    <t>LIN.AFSCHR</t>
  </si>
  <si>
    <t>LIA</t>
  </si>
  <si>
    <t>AMORLIN</t>
  </si>
  <si>
    <t>SLOPE</t>
  </si>
  <si>
    <t>RICHTING</t>
  </si>
  <si>
    <t>STEIGUNG</t>
  </si>
  <si>
    <t>PENTE</t>
  </si>
  <si>
    <t>PENDIENTE</t>
  </si>
  <si>
    <t>SMALL</t>
  </si>
  <si>
    <t>KLEINSTE</t>
  </si>
  <si>
    <t>KKLEINSTE</t>
  </si>
  <si>
    <t>PETITE.VALEUR</t>
  </si>
  <si>
    <t>K.ESIMO.MENOR</t>
  </si>
  <si>
    <t>SQRT</t>
  </si>
  <si>
    <t>WORTEL</t>
  </si>
  <si>
    <t>WURZEL</t>
  </si>
  <si>
    <t>RACINE</t>
  </si>
  <si>
    <t>RAIZ</t>
  </si>
  <si>
    <t>SQRTPI</t>
  </si>
  <si>
    <t>WORTEL.PI</t>
  </si>
  <si>
    <t>WURZELPI</t>
  </si>
  <si>
    <t>RACINE.PI</t>
  </si>
  <si>
    <t>RAIZ2PI</t>
  </si>
  <si>
    <t>STANDARDIZE</t>
  </si>
  <si>
    <t>NORMALISEREN</t>
  </si>
  <si>
    <t>STANDARDISIERUNG</t>
  </si>
  <si>
    <t>CENTREE.REDUITE</t>
  </si>
  <si>
    <t>NORMALIZACION</t>
  </si>
  <si>
    <t>STDEV</t>
  </si>
  <si>
    <t>STABW</t>
  </si>
  <si>
    <t>ECARTYPE</t>
  </si>
  <si>
    <t>DESVEST</t>
  </si>
  <si>
    <t>STDEVA</t>
  </si>
  <si>
    <t>STABWA</t>
  </si>
  <si>
    <t>fnNA:STDEVA</t>
  </si>
  <si>
    <t>STDEVP</t>
  </si>
  <si>
    <t>STABWN</t>
  </si>
  <si>
    <t>ECARTYPEP</t>
  </si>
  <si>
    <t>DESVESTP</t>
  </si>
  <si>
    <t>STDEVPA</t>
  </si>
  <si>
    <t>STABWNA</t>
  </si>
  <si>
    <t>fnNA:STDEVPA</t>
  </si>
  <si>
    <t>STEYX</t>
  </si>
  <si>
    <t>STAND.FOUT.YX</t>
  </si>
  <si>
    <t>STFEHLERYX</t>
  </si>
  <si>
    <t>ERREUR.TYPE.XY</t>
  </si>
  <si>
    <t>ERROR.TIPICO.XY</t>
  </si>
  <si>
    <t>SUBSTITUTE</t>
  </si>
  <si>
    <t>SUBSTITUEREN</t>
  </si>
  <si>
    <t>WECHSELN</t>
  </si>
  <si>
    <t>SUBSTITUE</t>
  </si>
  <si>
    <t>SUSTITUIR</t>
  </si>
  <si>
    <t>SUBTOTAL</t>
  </si>
  <si>
    <t>SUBTOTAAL</t>
  </si>
  <si>
    <t>TEILERGEBNIS</t>
  </si>
  <si>
    <t>SOUS.TOTAL</t>
  </si>
  <si>
    <t>SUBTOTALES</t>
  </si>
  <si>
    <t>SUM</t>
  </si>
  <si>
    <t>SOM</t>
  </si>
  <si>
    <t>SUMME</t>
  </si>
  <si>
    <t>SOMME</t>
  </si>
  <si>
    <t>SUMA</t>
  </si>
  <si>
    <t>SUMIF</t>
  </si>
  <si>
    <t>SOM.ALS</t>
  </si>
  <si>
    <t>SUMMEWENN</t>
  </si>
  <si>
    <t>SOMME.SI</t>
  </si>
  <si>
    <t>SUMAR.SI</t>
  </si>
  <si>
    <t>SUMPRODUCT</t>
  </si>
  <si>
    <t>SOMPRODUCT</t>
  </si>
  <si>
    <t>SUMMENPRODUKT</t>
  </si>
  <si>
    <t>SOMMEPROD</t>
  </si>
  <si>
    <t>SUMAPRODUCTO</t>
  </si>
  <si>
    <t>SUMSQ</t>
  </si>
  <si>
    <t>KWADRATENSOM</t>
  </si>
  <si>
    <t>QUADRATESUMME</t>
  </si>
  <si>
    <t>SOMME.CARRES</t>
  </si>
  <si>
    <t>SUMA.CUADRADOS</t>
  </si>
  <si>
    <t>SUMX2MY2</t>
  </si>
  <si>
    <t>SOM.X2MINY2</t>
  </si>
  <si>
    <t>SUMMEX2MY2</t>
  </si>
  <si>
    <t>SOMME.X2MY2</t>
  </si>
  <si>
    <t>SUMAX2MENOSY2</t>
  </si>
  <si>
    <t>SUMX2PY2</t>
  </si>
  <si>
    <t>SOM.X2PLUSY2</t>
  </si>
  <si>
    <t>SUMMEX2PY2</t>
  </si>
  <si>
    <t>SOMME.X2PY2</t>
  </si>
  <si>
    <t>SUMAX2MASY2</t>
  </si>
  <si>
    <t>SUMXMY2</t>
  </si>
  <si>
    <t>SOM.XMINY.2</t>
  </si>
  <si>
    <t>SUMMEXMY2</t>
  </si>
  <si>
    <t>SOMME.XMY2</t>
  </si>
  <si>
    <t>SUMAXMENOSY2</t>
  </si>
  <si>
    <t>SYD</t>
  </si>
  <si>
    <t>TAN</t>
  </si>
  <si>
    <t>TANH</t>
  </si>
  <si>
    <t>TANHYP</t>
  </si>
  <si>
    <t>TBILLEQ</t>
  </si>
  <si>
    <t>SCHATK.OBL</t>
  </si>
  <si>
    <t>TBILLÄQUIV</t>
  </si>
  <si>
    <t>TAUX.ESCOMPTE.R</t>
  </si>
  <si>
    <t>LETRA.DE.TES.EQV.A.BONO</t>
  </si>
  <si>
    <t>TBILLPRICE</t>
  </si>
  <si>
    <t>SCHATK.PRIJS</t>
  </si>
  <si>
    <t>TBILLKURS</t>
  </si>
  <si>
    <t>PRIX.BON.TRESOR</t>
  </si>
  <si>
    <t>LETRA.DE.TES.PRECIO</t>
  </si>
  <si>
    <t>TBILLYIELD</t>
  </si>
  <si>
    <t>SCHATK.REND</t>
  </si>
  <si>
    <t>TBILLRENDITE</t>
  </si>
  <si>
    <t>RENDEMENT.BON.TRESOR</t>
  </si>
  <si>
    <t>LETRA.DE.TES.RENDTO</t>
  </si>
  <si>
    <t>TDIST</t>
  </si>
  <si>
    <t>T.VERD</t>
  </si>
  <si>
    <t>TVERT</t>
  </si>
  <si>
    <t>LOI.STUDENT</t>
  </si>
  <si>
    <t>DISTR.T</t>
  </si>
  <si>
    <t>TEXT</t>
  </si>
  <si>
    <t>TEKST</t>
  </si>
  <si>
    <t>TEXTE</t>
  </si>
  <si>
    <t>TEXTO</t>
  </si>
  <si>
    <t>TIJD</t>
  </si>
  <si>
    <t>ZEIT</t>
  </si>
  <si>
    <t>TEMPS</t>
  </si>
  <si>
    <t>NSHORA</t>
  </si>
  <si>
    <t>TIMEVALUE</t>
  </si>
  <si>
    <t>TIJDWAARDE</t>
  </si>
  <si>
    <t>ZEITWERT</t>
  </si>
  <si>
    <t>TEMPSVAL</t>
  </si>
  <si>
    <t>HORANUMERO</t>
  </si>
  <si>
    <t>TINV</t>
  </si>
  <si>
    <t>T.INV</t>
  </si>
  <si>
    <t>LOI.STUDENT.INVERSE</t>
  </si>
  <si>
    <t>DISTR.T.INV</t>
  </si>
  <si>
    <t>TODAY</t>
  </si>
  <si>
    <t>VANDAAG</t>
  </si>
  <si>
    <t>HEUTE</t>
  </si>
  <si>
    <t>AUJOURDHUI</t>
  </si>
  <si>
    <t>HOY</t>
  </si>
  <si>
    <t>TRANSPOSE</t>
  </si>
  <si>
    <t>TRANSPONEREN</t>
  </si>
  <si>
    <t>MTRANS</t>
  </si>
  <si>
    <t>TRANSPONER</t>
  </si>
  <si>
    <t>TREND</t>
  </si>
  <si>
    <t>TENDANCE</t>
  </si>
  <si>
    <t>TENDENCIA</t>
  </si>
  <si>
    <t>SPATIES.WISSEN</t>
  </si>
  <si>
    <t>GLÄTTEN</t>
  </si>
  <si>
    <t>SUPPRESPACE</t>
  </si>
  <si>
    <t>ESPACIOS</t>
  </si>
  <si>
    <t>TRIMMEAN</t>
  </si>
  <si>
    <t>GETRIMD.GEM</t>
  </si>
  <si>
    <t>GESTUTZTMITTEL</t>
  </si>
  <si>
    <t>MOYENNE.REDUITE</t>
  </si>
  <si>
    <t>MEDIA.ACOTADA</t>
  </si>
  <si>
    <t>TRUE</t>
  </si>
  <si>
    <t>WAAR</t>
  </si>
  <si>
    <t>WAHR</t>
  </si>
  <si>
    <t>VRAI</t>
  </si>
  <si>
    <t>VERDADERO</t>
  </si>
  <si>
    <t>TRUNC</t>
  </si>
  <si>
    <t>GEHEEL</t>
  </si>
  <si>
    <t>KÜRZEN</t>
  </si>
  <si>
    <t>TRONQUE</t>
  </si>
  <si>
    <t>TRUNCAR</t>
  </si>
  <si>
    <t>TTEST</t>
  </si>
  <si>
    <t>T.TOETS</t>
  </si>
  <si>
    <t>TEST.STUDENT</t>
  </si>
  <si>
    <t>PRUEBA.T</t>
  </si>
  <si>
    <t>TYPE</t>
  </si>
  <si>
    <t>TYP</t>
  </si>
  <si>
    <t>TIPO</t>
  </si>
  <si>
    <t>UPPER</t>
  </si>
  <si>
    <t>HOOFDLETTERS</t>
  </si>
  <si>
    <t>GROSS</t>
  </si>
  <si>
    <t>MAJUSCULE</t>
  </si>
  <si>
    <t>MAYUSC</t>
  </si>
  <si>
    <t>USDOLLAR</t>
  </si>
  <si>
    <t>VALUE</t>
  </si>
  <si>
    <t>WAARDE</t>
  </si>
  <si>
    <t>WERT</t>
  </si>
  <si>
    <t>CNUM</t>
  </si>
  <si>
    <t>VALOR</t>
  </si>
  <si>
    <t>VAR</t>
  </si>
  <si>
    <t>VARIANZ</t>
  </si>
  <si>
    <t>VARA</t>
  </si>
  <si>
    <t>VARIANZA</t>
  </si>
  <si>
    <t>fnNA:VARA</t>
  </si>
  <si>
    <t>VARP</t>
  </si>
  <si>
    <t>VARIANZEN</t>
  </si>
  <si>
    <t>VAR.P</t>
  </si>
  <si>
    <t>VARPA</t>
  </si>
  <si>
    <t>VARIANZENA</t>
  </si>
  <si>
    <t>fnNA:VARPA</t>
  </si>
  <si>
    <t>VDB</t>
  </si>
  <si>
    <t>DVS</t>
  </si>
  <si>
    <t>VLOOKUP</t>
  </si>
  <si>
    <t>VERT.ZOEKEN</t>
  </si>
  <si>
    <t>SVERWEIS</t>
  </si>
  <si>
    <t>RECHERCHEV</t>
  </si>
  <si>
    <t>BUSCARV</t>
  </si>
  <si>
    <t>WEEKDAY</t>
  </si>
  <si>
    <t>WEEKDAG</t>
  </si>
  <si>
    <t>WOCHENTAG</t>
  </si>
  <si>
    <t>JOURSEM</t>
  </si>
  <si>
    <t>DIASEM</t>
  </si>
  <si>
    <t>WEEKNUM</t>
  </si>
  <si>
    <t>WEEKNUMMER</t>
  </si>
  <si>
    <t>KALENDERWOCHE</t>
  </si>
  <si>
    <t>NO.SEMAINE</t>
  </si>
  <si>
    <t>NUM.DE.SEMANA</t>
  </si>
  <si>
    <t>WEIBULL</t>
  </si>
  <si>
    <t>LOI.WEIBULL</t>
  </si>
  <si>
    <t>DIST.WEIBULL</t>
  </si>
  <si>
    <t>WORKDAY</t>
  </si>
  <si>
    <t>WERKDAG</t>
  </si>
  <si>
    <t>ARBEITSTAG</t>
  </si>
  <si>
    <t>SERIE.JOUR.OUVRE</t>
  </si>
  <si>
    <t>DIA.LAB</t>
  </si>
  <si>
    <t>XIRR</t>
  </si>
  <si>
    <t>IR.SCHEMA</t>
  </si>
  <si>
    <t>XINTZINSFUSS</t>
  </si>
  <si>
    <t>TRI.PAIEMENTS</t>
  </si>
  <si>
    <t>TIR.NO.PER</t>
  </si>
  <si>
    <t>XNPV</t>
  </si>
  <si>
    <t>NHW2</t>
  </si>
  <si>
    <t>XKAPITALWERT</t>
  </si>
  <si>
    <t>VAN.PAIEMENTS</t>
  </si>
  <si>
    <t>VNA.NO.PER</t>
  </si>
  <si>
    <t>YEAR</t>
  </si>
  <si>
    <t>JAAR</t>
  </si>
  <si>
    <t>JAHR</t>
  </si>
  <si>
    <t>ANNEE</t>
  </si>
  <si>
    <t>AÑO</t>
  </si>
  <si>
    <t>YEARFRAC</t>
  </si>
  <si>
    <t>JAAR.DEEL</t>
  </si>
  <si>
    <t>BRTEILJAHRE</t>
  </si>
  <si>
    <t>FRACTION.ANNEE</t>
  </si>
  <si>
    <t>FRAC.AÑO</t>
  </si>
  <si>
    <t>YIELD</t>
  </si>
  <si>
    <t>RENDEMENT</t>
  </si>
  <si>
    <t>RENDITE</t>
  </si>
  <si>
    <t>RENDEMENT.TITRE</t>
  </si>
  <si>
    <t>RENDTO</t>
  </si>
  <si>
    <t>YIELDDISC</t>
  </si>
  <si>
    <t>REND.DISCONTO</t>
  </si>
  <si>
    <t>RENDITEDIS</t>
  </si>
  <si>
    <t>RENDEMENT.SIMPLE</t>
  </si>
  <si>
    <t>RENDTO.DESC</t>
  </si>
  <si>
    <t>YIELDMAT</t>
  </si>
  <si>
    <t>REND.VERVAL</t>
  </si>
  <si>
    <t>RENDITEFÄLL</t>
  </si>
  <si>
    <t>RENDEMENT.TITRE.ECHEANCE</t>
  </si>
  <si>
    <t>RENDTO.VENCTO</t>
  </si>
  <si>
    <t>ZTEST</t>
  </si>
  <si>
    <t>Z.TOETS</t>
  </si>
  <si>
    <t>GTEST</t>
  </si>
  <si>
    <t>TEST.Z</t>
  </si>
  <si>
    <t>PRUEBA.Z</t>
  </si>
  <si>
    <t>A1.R1C1</t>
  </si>
  <si>
    <t>A1.R1K1</t>
  </si>
  <si>
    <t>A1.Z1S1</t>
  </si>
  <si>
    <t>A1.L1C1</t>
  </si>
  <si>
    <t>Command</t>
  </si>
  <si>
    <t>ABSREF</t>
  </si>
  <si>
    <t>ABSOLUTE.VERWIJZING</t>
  </si>
  <si>
    <t>ABSPOS</t>
  </si>
  <si>
    <t>REFABS</t>
  </si>
  <si>
    <t>ACTIVATE</t>
  </si>
  <si>
    <t>ACTIVEREN</t>
  </si>
  <si>
    <t>AKTIVIEREN</t>
  </si>
  <si>
    <t>ACTIVER</t>
  </si>
  <si>
    <t>ACTIVAR</t>
  </si>
  <si>
    <t>ACTIVATE.NEXT</t>
  </si>
  <si>
    <t>VOLGENDE.ACTIVEREN</t>
  </si>
  <si>
    <t>AKTIVIEREN.WEITER</t>
  </si>
  <si>
    <t>ACTIVER.SUIV</t>
  </si>
  <si>
    <t>ACTIVAR.SIGUIENTE</t>
  </si>
  <si>
    <t>ACTIVATE.PREV</t>
  </si>
  <si>
    <t>VORIGE.ACTIVEREN</t>
  </si>
  <si>
    <t>AKTIVIEREN.VORHER</t>
  </si>
  <si>
    <t>ACTIVER.PREC</t>
  </si>
  <si>
    <t>ACTIVAR.ANTERIOR</t>
  </si>
  <si>
    <t>ACTIVE.CELL</t>
  </si>
  <si>
    <t>ACTIEVE.CEL</t>
  </si>
  <si>
    <t>AKTIVE.ZELLE</t>
  </si>
  <si>
    <t>CELLULE.ACTIVE</t>
  </si>
  <si>
    <t>CELDA.ACTIVA</t>
  </si>
  <si>
    <t>ACTIVE.CELL.FONT</t>
  </si>
  <si>
    <t>OPMAAK.ACTIEVE.CEL</t>
  </si>
  <si>
    <t>AKTIVE.ZELLE.SCHRIFTART</t>
  </si>
  <si>
    <t>POLICE.CELLULE.ACTIVE</t>
  </si>
  <si>
    <t>FUENTE.CELDA.ACTIVA</t>
  </si>
  <si>
    <t>ADD.ARROW</t>
  </si>
  <si>
    <t>PIJL.TOEVOEGEN</t>
  </si>
  <si>
    <t>PFEIL.EINFÜGEN</t>
  </si>
  <si>
    <t>AJOUTER.FLECHE</t>
  </si>
  <si>
    <t>AGREGAR.FLECHA</t>
  </si>
  <si>
    <t>ADD.BAR</t>
  </si>
  <si>
    <t>BALK.TOEVOEGEN</t>
  </si>
  <si>
    <t>MENÜLEISTE.EINFÜGEN</t>
  </si>
  <si>
    <t>AJOUTER.BARRE</t>
  </si>
  <si>
    <t>AGREGAR.BARRA</t>
  </si>
  <si>
    <t>ADD.CHART.AUTOFORMAT</t>
  </si>
  <si>
    <t>GRAFIEKSJABLOON.TOEVOEGEN</t>
  </si>
  <si>
    <t>ZU.SAMMLUNG.HINZUFÜGEN</t>
  </si>
  <si>
    <t>GRAPHIQUE.AJOUTER.FORMAT.AUTOMATIQUE</t>
  </si>
  <si>
    <t>AGREGAR.AUTOFMTO.GRAF</t>
  </si>
  <si>
    <t>ADD.COMMAND</t>
  </si>
  <si>
    <t>OPDRACHT.TOEVOEGEN</t>
  </si>
  <si>
    <t>BEFEHL.EINFÜGEN</t>
  </si>
  <si>
    <t>AJOUTER.COMMANDE</t>
  </si>
  <si>
    <t>AGREGAR.COMANDO</t>
  </si>
  <si>
    <t>ADD.LIST.ITEM</t>
  </si>
  <si>
    <t>LIJSTGEGEVEN.TOEVOEGEN</t>
  </si>
  <si>
    <t>LISTENEINTRAG.EINFÜGEN</t>
  </si>
  <si>
    <t>AJOUTER.ELEMENT.LISTE</t>
  </si>
  <si>
    <t>AGREGAR.A.LISTA</t>
  </si>
  <si>
    <t>ADD.MENU</t>
  </si>
  <si>
    <t>MENU.TOEVOEGEN</t>
  </si>
  <si>
    <t>MENÜ.EINFÜGEN</t>
  </si>
  <si>
    <t>AJOUTER.MENU</t>
  </si>
  <si>
    <t>AGREGAR.MENU</t>
  </si>
  <si>
    <t>ADD.OVERLAY</t>
  </si>
  <si>
    <t>OVERLAY.TOEVOEGEN</t>
  </si>
  <si>
    <t>ÜBERLAGERUNG.EINFÜGEN</t>
  </si>
  <si>
    <t>AJOUTER.SUPERPOSITION</t>
  </si>
  <si>
    <t>AGREGAR.GRAFICO.SUPERPUESTO</t>
  </si>
  <si>
    <t>ADD.TOOL</t>
  </si>
  <si>
    <t>KNOP.TOEVOEGEN</t>
  </si>
  <si>
    <t>SYMBOL.HINZUFÜGEN</t>
  </si>
  <si>
    <t>AJOUTER.OUTIL</t>
  </si>
  <si>
    <t>AGREGAR.HERRAMIENTA</t>
  </si>
  <si>
    <t>ADD.TOOLBAR</t>
  </si>
  <si>
    <t>WERKBALK.TOEVOEGEN</t>
  </si>
  <si>
    <t>SYMBOLLEISTE.EINFÜGEN</t>
  </si>
  <si>
    <t>AJOUTER.BARRE.OUTILS</t>
  </si>
  <si>
    <t>AGREGAR.BARRA.HERRAMIENTAS</t>
  </si>
  <si>
    <t>ADDIN.MANAGER</t>
  </si>
  <si>
    <t>INVOEGBEHEER</t>
  </si>
  <si>
    <t>GESTIONNAIRE.MACROS.COMPLEMENTAIRES</t>
  </si>
  <si>
    <t>ADMIN.MACROS.AUTOMATICAS</t>
  </si>
  <si>
    <t>ALERT</t>
  </si>
  <si>
    <t>SIGNAAL</t>
  </si>
  <si>
    <t>WARNUNG</t>
  </si>
  <si>
    <t>ALERTE</t>
  </si>
  <si>
    <t>ALERTA</t>
  </si>
  <si>
    <t>ALIGNMENT</t>
  </si>
  <si>
    <t>UITLIJNING</t>
  </si>
  <si>
    <t>AUSRICHTUNG</t>
  </si>
  <si>
    <t>POSITION</t>
  </si>
  <si>
    <t>ALINEACION</t>
  </si>
  <si>
    <t>ANOVA1</t>
  </si>
  <si>
    <t>VARIANTIEANALYSE.1</t>
  </si>
  <si>
    <t>ANALYSE.VARIANCE.1</t>
  </si>
  <si>
    <t>AN.VAR1</t>
  </si>
  <si>
    <t>ANOVA1?</t>
  </si>
  <si>
    <t>VARIANTIEANALYSE.1?</t>
  </si>
  <si>
    <t>ANALYSE.VARIANCE.1?</t>
  </si>
  <si>
    <t>AN.VAR1?</t>
  </si>
  <si>
    <t>ANOVA2</t>
  </si>
  <si>
    <t>VARIANTIEANALYSE.2</t>
  </si>
  <si>
    <t>ANALYSE.VARIANCE.2</t>
  </si>
  <si>
    <t>AN.VAR2</t>
  </si>
  <si>
    <t>ANOVA2?</t>
  </si>
  <si>
    <t>VARIANTIEANALYSE.2?</t>
  </si>
  <si>
    <t>ANALYSE.VARIANCE.2?</t>
  </si>
  <si>
    <t>AN.VAR2?</t>
  </si>
  <si>
    <t>ANOVA3</t>
  </si>
  <si>
    <t>VARIANTIEANALYSE.3</t>
  </si>
  <si>
    <t>ANALYSE.VARIANCE.3</t>
  </si>
  <si>
    <t>AN.VAR3</t>
  </si>
  <si>
    <t>ANOVA3?</t>
  </si>
  <si>
    <t>VARIANTIEANALYSE.3?</t>
  </si>
  <si>
    <t>ANALYSE.VARIANCE.3?</t>
  </si>
  <si>
    <t>AN.VAR3?</t>
  </si>
  <si>
    <t>APP.ACTIVATE</t>
  </si>
  <si>
    <t>TOEPASSING.ACTIVEREN</t>
  </si>
  <si>
    <t>ANW.AKTIVIEREN</t>
  </si>
  <si>
    <t>APP.ACTIVER</t>
  </si>
  <si>
    <t>APL.ACTIVAR</t>
  </si>
  <si>
    <t>APP.ACTIVATE.MICROSOFT</t>
  </si>
  <si>
    <t>MS.TOEPASSING.ACTIVEREN</t>
  </si>
  <si>
    <t>MICROSOFT.ANW.AKTIVIEREN</t>
  </si>
  <si>
    <t>APP.ACTIVER.MICROSOFT</t>
  </si>
  <si>
    <t>APL.ACTIVAR.MICROSOFT</t>
  </si>
  <si>
    <t>APP.MAXIMIZE</t>
  </si>
  <si>
    <t>TOEPASSING.MAXIMUMVENSTER</t>
  </si>
  <si>
    <t>ANW.VOLLBILD</t>
  </si>
  <si>
    <t>APP.AGRANDISSEMENT</t>
  </si>
  <si>
    <t>APL.MAXIMIZAR</t>
  </si>
  <si>
    <t>APP.MINIMIZE</t>
  </si>
  <si>
    <t>TOEPASSING.PICTOGRAM</t>
  </si>
  <si>
    <t>ANW.SINNBILD</t>
  </si>
  <si>
    <t>APP.REDUCTION</t>
  </si>
  <si>
    <t>APL.MINIMIZAR</t>
  </si>
  <si>
    <t>APP.MOVE</t>
  </si>
  <si>
    <t>TOEPASSING.VERPLAATSEN</t>
  </si>
  <si>
    <t>ANW.BEWEGEN</t>
  </si>
  <si>
    <t>APP.DEPLACEMENT</t>
  </si>
  <si>
    <t>APL.MOVER</t>
  </si>
  <si>
    <t>APP.RESTORE</t>
  </si>
  <si>
    <t>TOEPASSING.VORIG.FORMAAT</t>
  </si>
  <si>
    <t>ANW.WIEDERHERSTELLEN</t>
  </si>
  <si>
    <t>APP.RESTAURATION</t>
  </si>
  <si>
    <t>APL.RESTABLECER</t>
  </si>
  <si>
    <t>APP.SIZE</t>
  </si>
  <si>
    <t>TOEPASSING.FORMAAT.WIJZIGEN</t>
  </si>
  <si>
    <t>ANW.GRÖSSE</t>
  </si>
  <si>
    <t>APP.DIMENSIONNEMENT</t>
  </si>
  <si>
    <t>APL.TAMAÑO</t>
  </si>
  <si>
    <t>APP.TITLE</t>
  </si>
  <si>
    <t>TITEL.TOEPASSING</t>
  </si>
  <si>
    <t>ANW.TITEL</t>
  </si>
  <si>
    <t>APP.TITRE</t>
  </si>
  <si>
    <t>APL.TITULO</t>
  </si>
  <si>
    <t>APPLY.NAMES</t>
  </si>
  <si>
    <t>NAMEN.GEBRUIKEN</t>
  </si>
  <si>
    <t>NAMEN.ANWENDEN</t>
  </si>
  <si>
    <t>ATTRIBUER.NOM</t>
  </si>
  <si>
    <t>APLICAR.NOMBRES</t>
  </si>
  <si>
    <t>APPLY.STYLE</t>
  </si>
  <si>
    <t>OPMAAKPROFIEL.AANBRENGEN</t>
  </si>
  <si>
    <t>FORMATVORLAGE.ZUWEISEN</t>
  </si>
  <si>
    <t>APPLIQUER.STYLE</t>
  </si>
  <si>
    <t>APLICAR.MODELO</t>
  </si>
  <si>
    <t>ARGUMENT</t>
  </si>
  <si>
    <t>ARGUMENTO</t>
  </si>
  <si>
    <t>ARRANGE.ALL</t>
  </si>
  <si>
    <t>ALLE.VENSTERS</t>
  </si>
  <si>
    <t>ANORDNEN</t>
  </si>
  <si>
    <t>REORGANISER</t>
  </si>
  <si>
    <t>ORGANIZAR.TODO</t>
  </si>
  <si>
    <t>ASSIGN.TO.OBJECT</t>
  </si>
  <si>
    <t>TOEWIJZEN.AAN.OBJECT</t>
  </si>
  <si>
    <t>OBJEKT.ZUWEISEN</t>
  </si>
  <si>
    <t>AFFECTER.A.OBJET</t>
  </si>
  <si>
    <t>ASIGNAR.A.OBJETO</t>
  </si>
  <si>
    <t>ASSIGN.TO.TOOL</t>
  </si>
  <si>
    <t>TOEWIJZEN.AAN.KNOP</t>
  </si>
  <si>
    <t>SYMBOL.ZUWEISEN</t>
  </si>
  <si>
    <t>AFFECTER.A.OUTIL</t>
  </si>
  <si>
    <t>ASIGNAR.A.HERRAMIENTA</t>
  </si>
  <si>
    <t>ATTACH.TEXT</t>
  </si>
  <si>
    <t>TEKST.BIJVOEGEN</t>
  </si>
  <si>
    <t>TEXT.ZUORDNEN</t>
  </si>
  <si>
    <t>AJOUTER.TEXTE</t>
  </si>
  <si>
    <t>ADHERIR.TEXTO</t>
  </si>
  <si>
    <t>ATTACH.TOOLBARS</t>
  </si>
  <si>
    <t>WERKBALKEN.TOEVOEGEN</t>
  </si>
  <si>
    <t>SYMBOLLEISTE.ANBINDEN</t>
  </si>
  <si>
    <t>ATTACHER.BARRE.OUTILS</t>
  </si>
  <si>
    <t>ADJUNTAR.BARRA.HERRAMIENTAS</t>
  </si>
  <si>
    <t>ATTRIBUTES</t>
  </si>
  <si>
    <t>EIGENSCHAPPEN</t>
  </si>
  <si>
    <t>NEWWAVE.ATTRIBUTE</t>
  </si>
  <si>
    <t>NW.INFOS</t>
  </si>
  <si>
    <t>ATRIBUTOS</t>
  </si>
  <si>
    <t>AUTO.OUTLINE</t>
  </si>
  <si>
    <t>OVERZICHT.MAKEN</t>
  </si>
  <si>
    <t>GLIEDERUNG.ERSTELLEN</t>
  </si>
  <si>
    <t>CREER.PLAN</t>
  </si>
  <si>
    <t>CREAR.ESQUEMA</t>
  </si>
  <si>
    <t>AUTOCORRECT</t>
  </si>
  <si>
    <t>AUTOCORRECTIE</t>
  </si>
  <si>
    <t>AUTOKORREKTUR</t>
  </si>
  <si>
    <t>CORRECTION.AUTOMATIQUE</t>
  </si>
  <si>
    <t>AUTOCORRECCIÓN</t>
  </si>
  <si>
    <t>AXES</t>
  </si>
  <si>
    <t>ASSEN</t>
  </si>
  <si>
    <t>ACHSEN</t>
  </si>
  <si>
    <t>EJES</t>
  </si>
  <si>
    <t>BEEP</t>
  </si>
  <si>
    <t>PIEP</t>
  </si>
  <si>
    <t>SIGNAL</t>
  </si>
  <si>
    <t>BIP</t>
  </si>
  <si>
    <t>BORDER</t>
  </si>
  <si>
    <t>RAHMENART</t>
  </si>
  <si>
    <t>ENCADREMENT</t>
  </si>
  <si>
    <t>BORDES</t>
  </si>
  <si>
    <t>BREAK</t>
  </si>
  <si>
    <t>ONDERBREKEN</t>
  </si>
  <si>
    <t>ABBRECHEN</t>
  </si>
  <si>
    <t>SORTIR.BOUCLE</t>
  </si>
  <si>
    <t>INTERRUMPIR</t>
  </si>
  <si>
    <t>BRING.TO.FRONT</t>
  </si>
  <si>
    <t>NAAR.VOORGROND</t>
  </si>
  <si>
    <t>IN.DEN.VORDERGRUND</t>
  </si>
  <si>
    <t>PREMIER.PLAN</t>
  </si>
  <si>
    <t>HACIA.ADELANTE</t>
  </si>
  <si>
    <t>CALCULATE.DOCUMENT</t>
  </si>
  <si>
    <t>DOCUMENT.BEREKENEN</t>
  </si>
  <si>
    <t>DATEI.BERECHNEN</t>
  </si>
  <si>
    <t>CALCULER.DOCUMENT</t>
  </si>
  <si>
    <t>CALCULAR.DOCUMENTO</t>
  </si>
  <si>
    <t>CALCULATE.NOW</t>
  </si>
  <si>
    <t>NU.BEREKENEN</t>
  </si>
  <si>
    <t>NEUBERECHNEN</t>
  </si>
  <si>
    <t>CALCULER.MAINTENANT</t>
  </si>
  <si>
    <t>CALCULAR.AHORA</t>
  </si>
  <si>
    <t>CALCULATION</t>
  </si>
  <si>
    <t>BEREKENING</t>
  </si>
  <si>
    <t>BERECHNEN</t>
  </si>
  <si>
    <t>MODE.DE.CALCUL</t>
  </si>
  <si>
    <t>CALCULAR</t>
  </si>
  <si>
    <t>CALL</t>
  </si>
  <si>
    <t>ROEPEN</t>
  </si>
  <si>
    <t>AUFRUFEN</t>
  </si>
  <si>
    <t>FONCTION.APPELANTE</t>
  </si>
  <si>
    <t>LLAMAR</t>
  </si>
  <si>
    <t>CALLER</t>
  </si>
  <si>
    <t>ROEPER</t>
  </si>
  <si>
    <t>URSPRUNG</t>
  </si>
  <si>
    <t>CELLULE.APPELANTE</t>
  </si>
  <si>
    <t>LLAMADOR</t>
  </si>
  <si>
    <t>CANCEL.COPY</t>
  </si>
  <si>
    <t>KOPIE.ANNULEREN</t>
  </si>
  <si>
    <t>ABBRECHEN.KOPIEREN</t>
  </si>
  <si>
    <t>ANNULER.COPIE</t>
  </si>
  <si>
    <t>CANCELAR.COPIAR</t>
  </si>
  <si>
    <t>CANCEL.KEY</t>
  </si>
  <si>
    <t>TOETS.ANNULEREN</t>
  </si>
  <si>
    <t>ABBRECHEN.TASTE</t>
  </si>
  <si>
    <t>TOUCHE.ARRET</t>
  </si>
  <si>
    <t>CANCELAR.TECLA</t>
  </si>
  <si>
    <t>CELL.PROTECTION</t>
  </si>
  <si>
    <t>CELBESCHERMING</t>
  </si>
  <si>
    <t>ZELLSCHUTZ</t>
  </si>
  <si>
    <t>PROTECTION.CELLULE</t>
  </si>
  <si>
    <t>PROTEGER.CELDA</t>
  </si>
  <si>
    <t>CHANGE.LINK</t>
  </si>
  <si>
    <t>KOPPELING.WIJZIGEN</t>
  </si>
  <si>
    <t>VERKNÜPFUNG.WECHSELN</t>
  </si>
  <si>
    <t>MODIFIER.LIAISONS</t>
  </si>
  <si>
    <t>CAMBIAR.VINCULO</t>
  </si>
  <si>
    <t>CHART.ADD.DATA</t>
  </si>
  <si>
    <t>NIEUWE.GEGEVENS</t>
  </si>
  <si>
    <t>DIAGRM.DATEN.EINFÜGEN</t>
  </si>
  <si>
    <t>GRAPHIQUE.AJOUTER.DONNEES</t>
  </si>
  <si>
    <t>GRAFICO.AGREGAR.DATOS</t>
  </si>
  <si>
    <t>CHART.TREND</t>
  </si>
  <si>
    <t>TRENDLIJN</t>
  </si>
  <si>
    <t>DIAGRAMM.TRENDLINIEN</t>
  </si>
  <si>
    <t>GRAPHIQUE.TENDANCE</t>
  </si>
  <si>
    <t>GRAFICO.TENDENCIA</t>
  </si>
  <si>
    <t>CHART.WIZARD</t>
  </si>
  <si>
    <t>WIZARD.GRAFIEKEN</t>
  </si>
  <si>
    <t>DIAGRAMM.ASSISTENT</t>
  </si>
  <si>
    <t>ASSISTANT.GRAPHIQUE</t>
  </si>
  <si>
    <t>ASISTENTE.PARA.GRAFICOS</t>
  </si>
  <si>
    <t>CHECK.COMMAND</t>
  </si>
  <si>
    <t>OPDRACHT.VINKJE</t>
  </si>
  <si>
    <t>BEFEHL.WÄHLEN</t>
  </si>
  <si>
    <t>COMMANDE.COCHER</t>
  </si>
  <si>
    <t>MARCAR.COMANDO</t>
  </si>
  <si>
    <t>CHECKBOX.PROPERTIES</t>
  </si>
  <si>
    <t>SELECTIEVAK.EIGENSCHAPPEN</t>
  </si>
  <si>
    <t>KONTROLLKÄST.EIGENSCHAFTEN</t>
  </si>
  <si>
    <t>PROPRIETES.CASE.A.COCHER</t>
  </si>
  <si>
    <t>FORMATO.OBJETO.CASILLA.DE.VERIFICACION</t>
  </si>
  <si>
    <t>CLEAR</t>
  </si>
  <si>
    <t>WISSEN</t>
  </si>
  <si>
    <t>INHALTE.LÖSCHEN</t>
  </si>
  <si>
    <t>EFFACER</t>
  </si>
  <si>
    <t>BORRAR</t>
  </si>
  <si>
    <t>CLEAR.OUTLINE</t>
  </si>
  <si>
    <t>OVERZICHT.WISSEN</t>
  </si>
  <si>
    <t>GLIEDERUNG.ENTFERNEN</t>
  </si>
  <si>
    <t>EFFACER.PLAN</t>
  </si>
  <si>
    <t>BORRAR.ESQUEMA</t>
  </si>
  <si>
    <t>CLEAR.PRINT.AREA</t>
  </si>
  <si>
    <t>AFDRUKBEREIK.WISSEN</t>
  </si>
  <si>
    <t>DRUCKBEREICH.AUFHEBEN</t>
  </si>
  <si>
    <t>ANNULER.ZONE.IMPRESSION</t>
  </si>
  <si>
    <t>BORRAR.AREA.DE.IMPRESION</t>
  </si>
  <si>
    <t>CLEAR.ROUTING.SLIP</t>
  </si>
  <si>
    <t>CIRCULATIELIJST.WISSEN</t>
  </si>
  <si>
    <t>VERTEILER.LÖSCHEN</t>
  </si>
  <si>
    <t>EFFACER.BORDEREAU.ROUTAGE</t>
  </si>
  <si>
    <t>ANULAR.DISTRIBUIR</t>
  </si>
  <si>
    <t>CLOSE</t>
  </si>
  <si>
    <t>SLUITEN</t>
  </si>
  <si>
    <t>SCHLIESSEN</t>
  </si>
  <si>
    <t>FERMER</t>
  </si>
  <si>
    <t>CERRAR</t>
  </si>
  <si>
    <t>CLOSE.ALL</t>
  </si>
  <si>
    <t>ALLES.SLUITEN</t>
  </si>
  <si>
    <t>ALLES.SCHLIESSEN</t>
  </si>
  <si>
    <t>FERMER.TOUT</t>
  </si>
  <si>
    <t>CERRAR.TODO</t>
  </si>
  <si>
    <t>COLOR.PALETTE</t>
  </si>
  <si>
    <t>KLEURENPALET</t>
  </si>
  <si>
    <t>FARBPALETTE</t>
  </si>
  <si>
    <t>PALETTE.COULEURS</t>
  </si>
  <si>
    <t>PALETA.COLORES</t>
  </si>
  <si>
    <t>COLUMN.WIDTH</t>
  </si>
  <si>
    <t>KOLOMBREEDTE</t>
  </si>
  <si>
    <t>SPALTENBREITE</t>
  </si>
  <si>
    <t>LARGEUR.COLONNE</t>
  </si>
  <si>
    <t>ANCHO.COLUMNA</t>
  </si>
  <si>
    <t>COMBINATION</t>
  </si>
  <si>
    <t>COMBINATIE</t>
  </si>
  <si>
    <t>VERBUND</t>
  </si>
  <si>
    <t>COMBINAISONS</t>
  </si>
  <si>
    <t>COMBINADO</t>
  </si>
  <si>
    <t>CONSOLIDATE</t>
  </si>
  <si>
    <t>SAMENVOEGEN</t>
  </si>
  <si>
    <t>KONSOLIDIEREN</t>
  </si>
  <si>
    <t>CONSOLIDER</t>
  </si>
  <si>
    <t>CONSOLIDAR</t>
  </si>
  <si>
    <t>CONSTRAIN.NUMERIC</t>
  </si>
  <si>
    <t>BEPERK.TOT.NUM</t>
  </si>
  <si>
    <t>EINSCHRÄNKUNG.ZIFFERN</t>
  </si>
  <si>
    <t>CONTRAINTE.NUMERIQUE</t>
  </si>
  <si>
    <t>RESTRICCION.NUMERICA</t>
  </si>
  <si>
    <t>COPY</t>
  </si>
  <si>
    <t>KOPIEREN</t>
  </si>
  <si>
    <t>COPIER</t>
  </si>
  <si>
    <t>COPIAR</t>
  </si>
  <si>
    <t>COPY.CHART</t>
  </si>
  <si>
    <t>GRAFIEK.KOPIEREN</t>
  </si>
  <si>
    <t>DIAGRAMM.KOPIEREN</t>
  </si>
  <si>
    <t>COPIER.GRAPHIQUE</t>
  </si>
  <si>
    <t>COPIAR.GRAFICO</t>
  </si>
  <si>
    <t>COPY.PICTURE</t>
  </si>
  <si>
    <t>FIGUUR.KOPIEREN</t>
  </si>
  <si>
    <t>BILD.KOPIEREN</t>
  </si>
  <si>
    <t>COPIER.IMAGE</t>
  </si>
  <si>
    <t>COPIAR.IMAGEN</t>
  </si>
  <si>
    <t>COPY.TOOL</t>
  </si>
  <si>
    <t>KNOP.KOPIEREN</t>
  </si>
  <si>
    <t>SYMBOL.KOPIEREN</t>
  </si>
  <si>
    <t>COPIER.OUTIL</t>
  </si>
  <si>
    <t>COPIAR.HERRAMIENTA</t>
  </si>
  <si>
    <t>CREATE.NAMES</t>
  </si>
  <si>
    <t>NAMEN.MAKEN</t>
  </si>
  <si>
    <t>NAMEN.ÜBERNEHMEN</t>
  </si>
  <si>
    <t>NOMMER.LIGNES.COL</t>
  </si>
  <si>
    <t>CREAR.NOMBRES</t>
  </si>
  <si>
    <t>CREATE.OBJECT</t>
  </si>
  <si>
    <t>OBJECT.MAKEN</t>
  </si>
  <si>
    <t>OBJEKT.ERSTELLEN</t>
  </si>
  <si>
    <t>CREER.OBJET</t>
  </si>
  <si>
    <t>CREAR.OBJETO</t>
  </si>
  <si>
    <t>CREATE.PUBLISHER</t>
  </si>
  <si>
    <t>VERLEGER.NEU.ANLEGEN</t>
  </si>
  <si>
    <t>CREER.PUBLICATION</t>
  </si>
  <si>
    <t>CUSTOM.REPEAT</t>
  </si>
  <si>
    <t>HERHALEN.AANGEPAST</t>
  </si>
  <si>
    <t>BENUTZERDEFINIERT.WIEDERHOLEN</t>
  </si>
  <si>
    <t>REPETER.PERSONNALISE</t>
  </si>
  <si>
    <t>PERSONALIZAR.REPETIR</t>
  </si>
  <si>
    <t>CUSTOM.UNDO</t>
  </si>
  <si>
    <t>ONGEDAAN.MAKEN.AANGEPAST</t>
  </si>
  <si>
    <t>BENUTZERDEFINIERT.RÜCKGÄNGIG</t>
  </si>
  <si>
    <t>ANNULER.PERSONNALISE</t>
  </si>
  <si>
    <t>PERSONALIZAR.DESHACER</t>
  </si>
  <si>
    <t>CUSTOMIZE.TOOLBAR</t>
  </si>
  <si>
    <t>WERKBALK.AANPASSEN</t>
  </si>
  <si>
    <t>BENUTZERDEFINIERT.SYMBOLLEISTE</t>
  </si>
  <si>
    <t>PERSONNALISER.BARRE.OUTILS</t>
  </si>
  <si>
    <t>PERSONALIZAR.BARRA</t>
  </si>
  <si>
    <t>CUT</t>
  </si>
  <si>
    <t>KNIPPEN</t>
  </si>
  <si>
    <t>AUSSCHNEIDEN</t>
  </si>
  <si>
    <t>COUPER</t>
  </si>
  <si>
    <t>CORTAR</t>
  </si>
  <si>
    <t>DATA.DELETE</t>
  </si>
  <si>
    <t>DATA.VERWIJDEREN</t>
  </si>
  <si>
    <t>DATEN.LÖSCHEN</t>
  </si>
  <si>
    <t>DONNEES.SUPPRIMER</t>
  </si>
  <si>
    <t>DATOS.ELIMINAR</t>
  </si>
  <si>
    <t>DATA.FIND</t>
  </si>
  <si>
    <t>DATA.ZOEKEN</t>
  </si>
  <si>
    <t>DATEN.SUCHEN</t>
  </si>
  <si>
    <t>DONNEES.RECHERCHER</t>
  </si>
  <si>
    <t>DATOS.BUSCAR</t>
  </si>
  <si>
    <t>DATA.FIND.NEXT</t>
  </si>
  <si>
    <t>VOLGENDE.DATA.ZOEKEN</t>
  </si>
  <si>
    <t>DATEN.SUCHEN.WEITER</t>
  </si>
  <si>
    <t>RECHERCHER.SUIVANT.BD</t>
  </si>
  <si>
    <t>DATOS.BUSCAR.SIGUIENTE</t>
  </si>
  <si>
    <t>DATA.FIND.PREV</t>
  </si>
  <si>
    <t>VORIGE.DATA.ZOEKEN</t>
  </si>
  <si>
    <t>DATEN.SUCHEN.VORHER</t>
  </si>
  <si>
    <t>RECHERCHER.PRECEDENT.BD</t>
  </si>
  <si>
    <t>DATOS.BUSCAR.ANTERIOR</t>
  </si>
  <si>
    <t>DATA.FORM</t>
  </si>
  <si>
    <t>DATA.BEWERKEN</t>
  </si>
  <si>
    <t>MASKE</t>
  </si>
  <si>
    <t>GRILLE</t>
  </si>
  <si>
    <t>FICHA</t>
  </si>
  <si>
    <t>DATA.LABEL</t>
  </si>
  <si>
    <t>GEGEVENSLABEL</t>
  </si>
  <si>
    <t>DATENBESCHRIFTUNG</t>
  </si>
  <si>
    <t>ETIQUETTES.DONNEES</t>
  </si>
  <si>
    <t>ROTULOS.DATOS</t>
  </si>
  <si>
    <t>DATA.SERIES</t>
  </si>
  <si>
    <t>DATAREEKS</t>
  </si>
  <si>
    <t>DATENREIHE.BERECHNEN</t>
  </si>
  <si>
    <t>DONNEES.SERIE</t>
  </si>
  <si>
    <t>DATOS.SERIES</t>
  </si>
  <si>
    <t>DEFINE.NAME</t>
  </si>
  <si>
    <t>NAAM.BEPALEN</t>
  </si>
  <si>
    <t>NAMEN.FESTLEGEN</t>
  </si>
  <si>
    <t>DEFINIR.NOM</t>
  </si>
  <si>
    <t>DEFINIR.NOMBRE</t>
  </si>
  <si>
    <t>DEFINE.STYLE</t>
  </si>
  <si>
    <t>OPMAAKPROFIEL.BEPALEN</t>
  </si>
  <si>
    <t>FORMATVORLAGE.FESTLEGEN</t>
  </si>
  <si>
    <t>DEFINIR.STYLE</t>
  </si>
  <si>
    <t>DEFINIR.MODELO</t>
  </si>
  <si>
    <t>DELETE.ARROW</t>
  </si>
  <si>
    <t>PIJL.VERWIJDEREN</t>
  </si>
  <si>
    <t>PFEIL.LÖSCHEN</t>
  </si>
  <si>
    <t>SUPPRIMER.FLECHE</t>
  </si>
  <si>
    <t>ELIMINAR.FLECHA</t>
  </si>
  <si>
    <t>DELETE.BAR</t>
  </si>
  <si>
    <t>BALK.VERWIJDEREN</t>
  </si>
  <si>
    <t>MENÜLEISTE.LÖSCHEN</t>
  </si>
  <si>
    <t>SUPPRIMER.BARRE</t>
  </si>
  <si>
    <t>ELIMINAR.BARRA</t>
  </si>
  <si>
    <t>DELETE.CHART.AUTOFORMAT</t>
  </si>
  <si>
    <t>GRAFIEKSJABLOON.VERWIJDEREN</t>
  </si>
  <si>
    <t>DIAGRM.AUTOFORMAT.LÖSCHEN</t>
  </si>
  <si>
    <t>GRAPHIQUE.SUPPRIMER.FORMAT.AUTOMATIQUE</t>
  </si>
  <si>
    <t>ELIMINAR.AUTOFMTO.GRAF</t>
  </si>
  <si>
    <t>DELETE.COMMAND</t>
  </si>
  <si>
    <t>OPDRACHT.VERWIJDEREN</t>
  </si>
  <si>
    <t>BEFEHL.LÖSCHEN</t>
  </si>
  <si>
    <t>SUPPRIMER.COMMANDE</t>
  </si>
  <si>
    <t>ELIMINAR.COMANDO</t>
  </si>
  <si>
    <t>DELETE.FORMAT</t>
  </si>
  <si>
    <t>OPMAAK.GETAL.VERWIJDEREN</t>
  </si>
  <si>
    <t>FORMAT.LÖSCHEN</t>
  </si>
  <si>
    <t>SUPPRIMER.FORMAT</t>
  </si>
  <si>
    <t>ELIMINAR.FORMATO</t>
  </si>
  <si>
    <t>DELETE.MENU</t>
  </si>
  <si>
    <t>MENU.VERWIJDEREN</t>
  </si>
  <si>
    <t>MENÜ.LÖSCHEN</t>
  </si>
  <si>
    <t>SUPPRIMER.MENU</t>
  </si>
  <si>
    <t>ELIMINAR.MENU</t>
  </si>
  <si>
    <t>DELETE.NAME</t>
  </si>
  <si>
    <t>NAAM.VERWIJDEREN</t>
  </si>
  <si>
    <t>NAMEN.LÖSCHEN</t>
  </si>
  <si>
    <t>SUPPRIMER.NOM</t>
  </si>
  <si>
    <t>ELIMINAR.NOMBRE</t>
  </si>
  <si>
    <t>DELETE.OVERLAY</t>
  </si>
  <si>
    <t>OVERLAY.VERWIJDEREN</t>
  </si>
  <si>
    <t>ÜBERLAGERUNG.LÖSCHEN</t>
  </si>
  <si>
    <t>SUPPRIMER.SUPERPOSITION</t>
  </si>
  <si>
    <t>ELIMINAR.GRAFICO.SUPERPUESTO</t>
  </si>
  <si>
    <t>DELETE.STYLE</t>
  </si>
  <si>
    <t>OPMAAKPROFIEL.VERWIJDEREN</t>
  </si>
  <si>
    <t>FORMATVORLAGE.LÖSCHEN</t>
  </si>
  <si>
    <t>SUPPRIMER.STYLE</t>
  </si>
  <si>
    <t>ELIMINAR.MODELO</t>
  </si>
  <si>
    <t>DELETE.TOOL</t>
  </si>
  <si>
    <t>KNOP.VERWIJDEREN</t>
  </si>
  <si>
    <t>SYMBOL.LÖSCHEN</t>
  </si>
  <si>
    <t>SUPPRIMER.OUTIL</t>
  </si>
  <si>
    <t>ELIMINAR.HERRAMIENTA</t>
  </si>
  <si>
    <t>DELETE.TOOLBAR</t>
  </si>
  <si>
    <t>WERKBALK.VERWIJDEREN</t>
  </si>
  <si>
    <t>SYMBOLLEISTE.LÖSCHEN</t>
  </si>
  <si>
    <t>SUPPRIMER.BARRE.OUTILS</t>
  </si>
  <si>
    <t>ELIMINAR.BARRA.HERRAMIENTAS</t>
  </si>
  <si>
    <t>DEMOTE</t>
  </si>
  <si>
    <t>NIVEAU.VERLAGEN</t>
  </si>
  <si>
    <t>HERUNTERSTUFEN</t>
  </si>
  <si>
    <t>ABAISSER</t>
  </si>
  <si>
    <t>DISMINUIR.NIVEL</t>
  </si>
  <si>
    <t>DEREF</t>
  </si>
  <si>
    <t>WAARDE.VERWIJZING</t>
  </si>
  <si>
    <t>POSWERT</t>
  </si>
  <si>
    <t>VALREF</t>
  </si>
  <si>
    <t>DESCR</t>
  </si>
  <si>
    <t>BESCHRIJF</t>
  </si>
  <si>
    <t>STATISTIQUES.DESCRIPTIVES</t>
  </si>
  <si>
    <t>DESCRIPTIVA</t>
  </si>
  <si>
    <t>DESCR?</t>
  </si>
  <si>
    <t>BESCHRIJF?</t>
  </si>
  <si>
    <t>STATISTIQUES.DESCRIPTIVES?</t>
  </si>
  <si>
    <t>DESCRIPTIVA?</t>
  </si>
  <si>
    <t>DIALOG.BOX</t>
  </si>
  <si>
    <t>DIALOOGVENSTER</t>
  </si>
  <si>
    <t>DIALOGFELD</t>
  </si>
  <si>
    <t>ZONE.DE.DIALOGUE</t>
  </si>
  <si>
    <t>CUADRO.DE.DIALOGO</t>
  </si>
  <si>
    <t>DIRECTORY</t>
  </si>
  <si>
    <t>MAP</t>
  </si>
  <si>
    <t>VERZEICHNIS</t>
  </si>
  <si>
    <t>REPERTOIRE</t>
  </si>
  <si>
    <t>DIRECTORIO</t>
  </si>
  <si>
    <t>DISABLE.INPUT</t>
  </si>
  <si>
    <t>INVOER.DESACTIVEREN</t>
  </si>
  <si>
    <t>EINGABE.SPERREN</t>
  </si>
  <si>
    <t>INTERDIT.ENTRER</t>
  </si>
  <si>
    <t>INHABILITAR.ENTRADA</t>
  </si>
  <si>
    <t>DISPLAY</t>
  </si>
  <si>
    <t>WEERGAVE</t>
  </si>
  <si>
    <t>BILDSCHIRMANZEIGE</t>
  </si>
  <si>
    <t>AFFICHAGE</t>
  </si>
  <si>
    <t>PRESENTAR</t>
  </si>
  <si>
    <t>MOSTRAR</t>
  </si>
  <si>
    <t>DOCUMENTS</t>
  </si>
  <si>
    <t>DOCUMENTEN</t>
  </si>
  <si>
    <t>DOKUMENTE</t>
  </si>
  <si>
    <t>DOCUMENTOS</t>
  </si>
  <si>
    <t>DUPLICATE</t>
  </si>
  <si>
    <t>DUPLICEREN</t>
  </si>
  <si>
    <t>DUPLIZIEREN</t>
  </si>
  <si>
    <t>DUPLIQUER</t>
  </si>
  <si>
    <t>DUPLICAR</t>
  </si>
  <si>
    <t>ECHO</t>
  </si>
  <si>
    <t>ECRAN</t>
  </si>
  <si>
    <t>ECO</t>
  </si>
  <si>
    <t>EDIT.COLOR</t>
  </si>
  <si>
    <t>KLEUR.BEWERKEN</t>
  </si>
  <si>
    <t>FARBE.BEARBEITEN</t>
  </si>
  <si>
    <t>MODIFIER.COULEUR</t>
  </si>
  <si>
    <t>EDICION.COLOR</t>
  </si>
  <si>
    <t>EDIT.DELETE</t>
  </si>
  <si>
    <t>BEWERKEN.VERWIJDEREN</t>
  </si>
  <si>
    <t>BEARBEITEN.LÖSCHEN</t>
  </si>
  <si>
    <t>EDITION.SUPPRIMER</t>
  </si>
  <si>
    <t>EDICION.ELIMINAR</t>
  </si>
  <si>
    <t>EDIT.OBJECT</t>
  </si>
  <si>
    <t>OBJECT.BEWERKEN</t>
  </si>
  <si>
    <t>OBJEKT.BEARBEITEN</t>
  </si>
  <si>
    <t>MODIFIER.OBJET</t>
  </si>
  <si>
    <t>EDITAR.OBJETO</t>
  </si>
  <si>
    <t>EDIT.REPEAT</t>
  </si>
  <si>
    <t>BEWERKEN.HERHALEN</t>
  </si>
  <si>
    <t>BEARBEITEN.WIEDERHOLEN</t>
  </si>
  <si>
    <t>EDITION.REPETER</t>
  </si>
  <si>
    <t>EDICION.REPETIR</t>
  </si>
  <si>
    <t>EDIT.SERIES</t>
  </si>
  <si>
    <t>REEKS.BEWERKEN</t>
  </si>
  <si>
    <t>DATENREIHE.BEARBEITEN</t>
  </si>
  <si>
    <t>MODIFIER.SERIES</t>
  </si>
  <si>
    <t>EDICION.SERIES</t>
  </si>
  <si>
    <t>EDIT.TOOL</t>
  </si>
  <si>
    <t>KNOP.BEWERKEN</t>
  </si>
  <si>
    <t>SYMBOL.BEARBEITEN</t>
  </si>
  <si>
    <t>MODIFIER.OUTIL</t>
  </si>
  <si>
    <t>EDICION.HERRAMIENTA</t>
  </si>
  <si>
    <t>EDITBOX.PROPERTIES</t>
  </si>
  <si>
    <t>INVOERVAK.EIGENSCHAPPEN</t>
  </si>
  <si>
    <t>TEXTFELD.EIGENSCHAFTEN</t>
  </si>
  <si>
    <t>PROPRIETES.ZONE.MODIFICATION</t>
  </si>
  <si>
    <t>FORMATO.OBJETO.CUADRO.EDICION</t>
  </si>
  <si>
    <t>EDITION.OPTIONS</t>
  </si>
  <si>
    <t>EDITIES.OPTIES</t>
  </si>
  <si>
    <t>AUFLAGEN.OPTIONEN</t>
  </si>
  <si>
    <t>EDICION.OPCIONES</t>
  </si>
  <si>
    <t>ELSE</t>
  </si>
  <si>
    <t>ANDERS</t>
  </si>
  <si>
    <t>SONST</t>
  </si>
  <si>
    <t>SINON</t>
  </si>
  <si>
    <t>SI.NO</t>
  </si>
  <si>
    <t>ELSE.IF</t>
  </si>
  <si>
    <t>ANDERS.ALS</t>
  </si>
  <si>
    <t>SONST.WENN</t>
  </si>
  <si>
    <t>SINON.SI</t>
  </si>
  <si>
    <t>SI.NO.SI</t>
  </si>
  <si>
    <t>ENABLE.COMMAND</t>
  </si>
  <si>
    <t>OPDRACHT.ACTIVEREN</t>
  </si>
  <si>
    <t>BEFEHL.AKTIVIEREN</t>
  </si>
  <si>
    <t>COMMANDE.ACTIVER</t>
  </si>
  <si>
    <t>HABILITAR.COMANDO</t>
  </si>
  <si>
    <t>ENABLE.OBJECT</t>
  </si>
  <si>
    <t>OBJECT.ACTIVEREN</t>
  </si>
  <si>
    <t>OBJEKT.AKTIVIEREN</t>
  </si>
  <si>
    <t>ACTIVER.OBJET</t>
  </si>
  <si>
    <t>HABILITAR.OBJETO</t>
  </si>
  <si>
    <t>ENABLE.TIPWIZARD</t>
  </si>
  <si>
    <t>TIPS.ACTIVEREN</t>
  </si>
  <si>
    <t>TIP.ASSISTENT.AKTIVIEREN</t>
  </si>
  <si>
    <t>ACTIVER.ASSISTANT.CONSEIL</t>
  </si>
  <si>
    <t>HABILITAR.ASISTENTE.IDEAS</t>
  </si>
  <si>
    <t>ENABLE.TOOL</t>
  </si>
  <si>
    <t>KNOP.ACTIVEREN</t>
  </si>
  <si>
    <t>SYMBOL.AKTIVIEREN</t>
  </si>
  <si>
    <t>ACTIVER.OUTIL</t>
  </si>
  <si>
    <t>HABILITAR.HERRAMIENTA</t>
  </si>
  <si>
    <t>END.IF</t>
  </si>
  <si>
    <t>EINDE.ALS</t>
  </si>
  <si>
    <t>ENDE.WENN</t>
  </si>
  <si>
    <t>FIN.SI</t>
  </si>
  <si>
    <t>ENTER.DATA</t>
  </si>
  <si>
    <t>GEGEVENS.INVOEREN</t>
  </si>
  <si>
    <t>DATEN.EINGEBEN</t>
  </si>
  <si>
    <t>ENTRER.DONNEES</t>
  </si>
  <si>
    <t>INTRODUCIR.DATOS</t>
  </si>
  <si>
    <t>ERROR</t>
  </si>
  <si>
    <t>FOUT</t>
  </si>
  <si>
    <t>FEHLER</t>
  </si>
  <si>
    <t>ERREUR</t>
  </si>
  <si>
    <t>ERRORBAR.X</t>
  </si>
  <si>
    <t>FOUTBALK.X</t>
  </si>
  <si>
    <t>FEHLERINDIKATOR.X</t>
  </si>
  <si>
    <t>BARRES.ERREUR.X</t>
  </si>
  <si>
    <t>BARRA.ERROR.X</t>
  </si>
  <si>
    <t>ERRORBAR.Y</t>
  </si>
  <si>
    <t>FOUTBALK.Y</t>
  </si>
  <si>
    <t>FEHLERINDIKATOR.Y</t>
  </si>
  <si>
    <t>BARRES.ERREUR.Y</t>
  </si>
  <si>
    <t>BARRA.ERROR.Y</t>
  </si>
  <si>
    <t>EVALUATE</t>
  </si>
  <si>
    <t>EVALUEREN</t>
  </si>
  <si>
    <t>AUSWERTEN</t>
  </si>
  <si>
    <t>EVALUER</t>
  </si>
  <si>
    <t>EVALUAR</t>
  </si>
  <si>
    <t>EXEC</t>
  </si>
  <si>
    <t>BESTAND.STARTEN</t>
  </si>
  <si>
    <t>AUSF</t>
  </si>
  <si>
    <t>LANCER</t>
  </si>
  <si>
    <t>EJEC</t>
  </si>
  <si>
    <t>EXECUTE</t>
  </si>
  <si>
    <t>BESTAND.UITVOEREN</t>
  </si>
  <si>
    <t>AUSFÜHREN</t>
  </si>
  <si>
    <t>EJECUTA</t>
  </si>
  <si>
    <t>EXPON</t>
  </si>
  <si>
    <t>EXPONENTIEEL</t>
  </si>
  <si>
    <t>LISSAGE.EXPONENTIEL</t>
  </si>
  <si>
    <t>SUAVIZ.EXPON</t>
  </si>
  <si>
    <t>EXPON?</t>
  </si>
  <si>
    <t>EXPONENTIEEL?</t>
  </si>
  <si>
    <t>LISSAGE.EXPONENTIEL?</t>
  </si>
  <si>
    <t>SUAVIZ.EXPON?</t>
  </si>
  <si>
    <t>EXTEND.POLYGON</t>
  </si>
  <si>
    <t>VEELHOEK.UITBREIDEN</t>
  </si>
  <si>
    <t>ERWEITERN.POLYGON</t>
  </si>
  <si>
    <t>ETENDRE.POLYGONE</t>
  </si>
  <si>
    <t>EXTENDER.POLIGONO</t>
  </si>
  <si>
    <t>EXTRACT</t>
  </si>
  <si>
    <t>OPHALEN</t>
  </si>
  <si>
    <t>SUCHEN.KOPIEREN</t>
  </si>
  <si>
    <t>EXTRAIRE</t>
  </si>
  <si>
    <t>EXTRAER</t>
  </si>
  <si>
    <t>FCLOSE</t>
  </si>
  <si>
    <t>BSLUITEN</t>
  </si>
  <si>
    <t>DSCHLIESSEN</t>
  </si>
  <si>
    <t>F.FERMER</t>
  </si>
  <si>
    <t>CERRARA</t>
  </si>
  <si>
    <t>FILE.CLOSE</t>
  </si>
  <si>
    <t>BESTAND.SLUITEN</t>
  </si>
  <si>
    <t>DATEI.SCHLIESSEN</t>
  </si>
  <si>
    <t>FICHIER.FERMER</t>
  </si>
  <si>
    <t>ARCHIVO.CERRAR</t>
  </si>
  <si>
    <t>FILE.DELETE</t>
  </si>
  <si>
    <t>BESTAND.VERWIJDEREN</t>
  </si>
  <si>
    <t>DATEI.LÖSCHEN</t>
  </si>
  <si>
    <t>FICHIER.SUPPRIMER</t>
  </si>
  <si>
    <t>ARCHIVO.ELIMINAR</t>
  </si>
  <si>
    <t>FILES</t>
  </si>
  <si>
    <t>BESTANDEN</t>
  </si>
  <si>
    <t>DATEIEN</t>
  </si>
  <si>
    <t>FICHIERS</t>
  </si>
  <si>
    <t>ARCHIVOS</t>
  </si>
  <si>
    <t>FILL.AUTO</t>
  </si>
  <si>
    <t>AUTO.VULLEN</t>
  </si>
  <si>
    <t>AUTO.AUSFÜLLEN</t>
  </si>
  <si>
    <t>RECOPIE.INCREMENT</t>
  </si>
  <si>
    <t>AUTO.LLENAR</t>
  </si>
  <si>
    <t>FILL.DOWN</t>
  </si>
  <si>
    <t>OMLAAG.KOPIEREN</t>
  </si>
  <si>
    <t>UNTEN.AUSFÜLLEN</t>
  </si>
  <si>
    <t>RECOPIER.BAS</t>
  </si>
  <si>
    <t>LLENAR.HACIA.ABAJO</t>
  </si>
  <si>
    <t>FILL.GROUP</t>
  </si>
  <si>
    <t>NAAR.GROEP.DOORVOEREN</t>
  </si>
  <si>
    <t>GRUPPE.AUSFÜLLEN</t>
  </si>
  <si>
    <t>RECOPIER.GROUPE</t>
  </si>
  <si>
    <t>LLENAR.GRUPO</t>
  </si>
  <si>
    <t>FILL.LEFT</t>
  </si>
  <si>
    <t>LINKS.KOPIEREN</t>
  </si>
  <si>
    <t>LINKS.AUSFÜLLEN</t>
  </si>
  <si>
    <t>RECOPIER.GAUCHE</t>
  </si>
  <si>
    <t>LLENAR.HACIA.LA.IZQUIERDA</t>
  </si>
  <si>
    <t>FILL.RIGHT</t>
  </si>
  <si>
    <t>RECHTS.DOORVOEREN</t>
  </si>
  <si>
    <t>RECHTS.AUSFÜLLEN</t>
  </si>
  <si>
    <t>RECOPIER.DROITE</t>
  </si>
  <si>
    <t>LLENAR.HACIA.LA.DERECHA</t>
  </si>
  <si>
    <t>FILL.UP</t>
  </si>
  <si>
    <t>OMHOOG.DOORVOEREN</t>
  </si>
  <si>
    <t>OBEN.AUSFÜLLEN</t>
  </si>
  <si>
    <t>RECOPIER.HAUT</t>
  </si>
  <si>
    <t>LLENAR.HACIA.ARRIBA</t>
  </si>
  <si>
    <t>FILL.WORKGROUP</t>
  </si>
  <si>
    <t>NAAR.WERKGROEP.DOORVOEREN</t>
  </si>
  <si>
    <t>ARBEITSGRUPPE.AUSFÜLLEN</t>
  </si>
  <si>
    <t>RECOPIER.GROUPE.TRAVAIL</t>
  </si>
  <si>
    <t>LLENAR.GRUPO.DE.TRABAJO</t>
  </si>
  <si>
    <t>FILTER</t>
  </si>
  <si>
    <t>FILTRE</t>
  </si>
  <si>
    <t>FILTROS</t>
  </si>
  <si>
    <t>FILTER.ADVANCED</t>
  </si>
  <si>
    <t>UITGEBREIDE.FILTER</t>
  </si>
  <si>
    <t>SPEZIALFILTER</t>
  </si>
  <si>
    <t>FILTRE.ELABORE</t>
  </si>
  <si>
    <t>FILTRO.AVANZADO</t>
  </si>
  <si>
    <t>FILTER.SHOW.ALL</t>
  </si>
  <si>
    <t>FILTER.ALLES.WEERGEVEN</t>
  </si>
  <si>
    <t>FILTER.ALLE.ANZEIGEN</t>
  </si>
  <si>
    <t>FILTRE.AFFICHER.TOUS</t>
  </si>
  <si>
    <t>FILTROS.MOSTRAR.TODO</t>
  </si>
  <si>
    <t>FIND.FILE</t>
  </si>
  <si>
    <t>BESTAND.ZOEKEN</t>
  </si>
  <si>
    <t>DATEI.MANAGER</t>
  </si>
  <si>
    <t>FICHIER.CHERCHER</t>
  </si>
  <si>
    <t>BUSCAR.ARCHIVO</t>
  </si>
  <si>
    <t>FONT</t>
  </si>
  <si>
    <t>LETTERTYPE</t>
  </si>
  <si>
    <t>SCHRIFTART</t>
  </si>
  <si>
    <t>POLICE</t>
  </si>
  <si>
    <t>FUENTES</t>
  </si>
  <si>
    <t>FONT.PROPERTIES</t>
  </si>
  <si>
    <t>LETTERTYPE.EIGENSCHAPPEN</t>
  </si>
  <si>
    <t>SCHRIFTART.EIGENSCHAFTEN</t>
  </si>
  <si>
    <t>PROPRIETES.POLICE</t>
  </si>
  <si>
    <t>PROPIEDADES.FUENTE</t>
  </si>
  <si>
    <t>FOPEN</t>
  </si>
  <si>
    <t>BOPENEN</t>
  </si>
  <si>
    <t>DÖFFNEN</t>
  </si>
  <si>
    <t>F.OUVRIR</t>
  </si>
  <si>
    <t>ABRIRA</t>
  </si>
  <si>
    <t>FOR</t>
  </si>
  <si>
    <t>FÜR</t>
  </si>
  <si>
    <t>POUR</t>
  </si>
  <si>
    <t>PARA</t>
  </si>
  <si>
    <t>FOR.CELL</t>
  </si>
  <si>
    <t>VAN.CEL</t>
  </si>
  <si>
    <t>FÜR.ZELLE</t>
  </si>
  <si>
    <t>POUR.CELLULE</t>
  </si>
  <si>
    <t>PARA.CELDA</t>
  </si>
  <si>
    <t>FORMAT.AUTO</t>
  </si>
  <si>
    <t>AUTO.OPMAAK</t>
  </si>
  <si>
    <t>AUTO.FORMATIEREN</t>
  </si>
  <si>
    <t>AUTOFORMATO</t>
  </si>
  <si>
    <t>FORMAT.CHART</t>
  </si>
  <si>
    <t>OPMAAK.GRAFIEK</t>
  </si>
  <si>
    <t>DIAGRAMM.FORMATIEREN</t>
  </si>
  <si>
    <t>FORMAT.GRAPHIQUE</t>
  </si>
  <si>
    <t>FORMATO.GRAFICO</t>
  </si>
  <si>
    <t>FORMAT.CHARTTYPE</t>
  </si>
  <si>
    <t>OPMAAK.GRAFIEKTYPE</t>
  </si>
  <si>
    <t>DIAGRAMMTYP.FORMATIEREN</t>
  </si>
  <si>
    <t>FORMAT.TYPE.GRAPHIQUE</t>
  </si>
  <si>
    <t>FORMATO.TIPO.GRAFICO</t>
  </si>
  <si>
    <t>FORMAT.FONT</t>
  </si>
  <si>
    <t>OPMAAK.LETTERTYPE</t>
  </si>
  <si>
    <t>FORMAT.SCHRIFTART</t>
  </si>
  <si>
    <t>FORMAT.POLICE</t>
  </si>
  <si>
    <t>FORMATO.FUENTES</t>
  </si>
  <si>
    <t>FORMAT.LEGEND</t>
  </si>
  <si>
    <t>OPMAAK.LEGENDA</t>
  </si>
  <si>
    <t>FORMAT.LEGENDE</t>
  </si>
  <si>
    <t>FORMATO.LEYENDA</t>
  </si>
  <si>
    <t>FORMAT.MAIN</t>
  </si>
  <si>
    <t>OPMAAK.HOOFD</t>
  </si>
  <si>
    <t>FORMAT.HAUPTDIAGRAMM</t>
  </si>
  <si>
    <t>FORMAT.GRAPH.PRINC</t>
  </si>
  <si>
    <t>FORMATO.PRINCIPAL</t>
  </si>
  <si>
    <t>FORMAT.MOVE</t>
  </si>
  <si>
    <t>OPMAAK.VERPLAATSEN</t>
  </si>
  <si>
    <t>FORMAT.VERSCHIEBEN</t>
  </si>
  <si>
    <t>FORMAT.DEPLACEMENT</t>
  </si>
  <si>
    <t>FORMATO.MOVER</t>
  </si>
  <si>
    <t>FORMAT.NUMBER</t>
  </si>
  <si>
    <t>OPMAAK.GETAL</t>
  </si>
  <si>
    <t>FORMAT.ZAHLENFORMAT</t>
  </si>
  <si>
    <t>FORMAT.NOMBRE</t>
  </si>
  <si>
    <t>FORMATO.NUMERO</t>
  </si>
  <si>
    <t>FORMAT.OVERLAY</t>
  </si>
  <si>
    <t>OPMAAK.OVERLAY</t>
  </si>
  <si>
    <t>FORMAT.ÜBERLAGERUNG</t>
  </si>
  <si>
    <t>FORMAT.GRAPH.SUP</t>
  </si>
  <si>
    <t>FORMATO.SUPERPUESTO</t>
  </si>
  <si>
    <t>FORMAT.SHAPE</t>
  </si>
  <si>
    <t>VORM.WIJZIGEN</t>
  </si>
  <si>
    <t>FORMAT.FIGUR</t>
  </si>
  <si>
    <t>FORMAT.REMODELER</t>
  </si>
  <si>
    <t>FORMATO.FIGURA</t>
  </si>
  <si>
    <t>FORMAT.SIZE</t>
  </si>
  <si>
    <t>FORMAAT.WIJZIGEN</t>
  </si>
  <si>
    <t>FORMAT.GRÖSSE</t>
  </si>
  <si>
    <t>FORMAT.DIMENSION</t>
  </si>
  <si>
    <t>FORMATO.TAMAÑO</t>
  </si>
  <si>
    <t>FORMAT.TEXT</t>
  </si>
  <si>
    <t>OPMAAK.TEKST</t>
  </si>
  <si>
    <t>FORMAT.TEXTE</t>
  </si>
  <si>
    <t>FORMATO.TEXTO</t>
  </si>
  <si>
    <t>FORMULA</t>
  </si>
  <si>
    <t>FORMULE</t>
  </si>
  <si>
    <t>FORMEL</t>
  </si>
  <si>
    <t>FORMULA.ARRAY</t>
  </si>
  <si>
    <t>FORMULE.MATRIX</t>
  </si>
  <si>
    <t>FORMEL.MFORMEL</t>
  </si>
  <si>
    <t>FORMULE.MATRICIELLE</t>
  </si>
  <si>
    <t>FORMULA.MATRICIAL</t>
  </si>
  <si>
    <t>FORMULA.CONVERT</t>
  </si>
  <si>
    <t>FORMULE.CONVERTEREN</t>
  </si>
  <si>
    <t>FORMEL.UMWANDELN</t>
  </si>
  <si>
    <t>CONVERSION.FORMULE</t>
  </si>
  <si>
    <t>FORMULA.CONVERTIR</t>
  </si>
  <si>
    <t>FORMULA.FILL</t>
  </si>
  <si>
    <t>FORMULE.KOPIEREN</t>
  </si>
  <si>
    <t>FORMEL.AUSFÜLLEN</t>
  </si>
  <si>
    <t>COMPLETER.SELECTION</t>
  </si>
  <si>
    <t>FORMULA.LLENAR</t>
  </si>
  <si>
    <t>FORMULA.FIND</t>
  </si>
  <si>
    <t>FORMULE.ZOEKEN</t>
  </si>
  <si>
    <t>FORMEL.SUCHEN</t>
  </si>
  <si>
    <t>RECHERCHER.SELECTION</t>
  </si>
  <si>
    <t>FORMULA.BUSCAR</t>
  </si>
  <si>
    <t>FORMULA.FIND.NEXT</t>
  </si>
  <si>
    <t>VOLGENDE.FORMULE.ZOEKEN</t>
  </si>
  <si>
    <t>FORMEL.SUCHEN.WEITER</t>
  </si>
  <si>
    <t>RECHERCHER.SUIVANT.SEL</t>
  </si>
  <si>
    <t>FORMULA.BUSCAR.SIGUIENTE</t>
  </si>
  <si>
    <t>FORMULA.FIND.PREV</t>
  </si>
  <si>
    <t>VORIGE.FORMULE.ZOEKEN</t>
  </si>
  <si>
    <t>FORMEL.SUCHEN.VORHER</t>
  </si>
  <si>
    <t>RECHERCHER.PRECEDENT.SEL</t>
  </si>
  <si>
    <t>FORMULA.BUSCAR.ANTERIOR</t>
  </si>
  <si>
    <t>FORMULA.GOTO</t>
  </si>
  <si>
    <t>FORMULE.GA.NAAR</t>
  </si>
  <si>
    <t>FORMEL.GEHEZU</t>
  </si>
  <si>
    <t>SELECTION.ATTEINDRE</t>
  </si>
  <si>
    <t>FORMULA.IR.A</t>
  </si>
  <si>
    <t>FORMULA.REPLACE</t>
  </si>
  <si>
    <t>FORMULE.VERVANGEN</t>
  </si>
  <si>
    <t>FORMEL.SUCHEN.UND.ERSETZEN</t>
  </si>
  <si>
    <t>REMPLACER.CELLULE</t>
  </si>
  <si>
    <t>FORMULA.REEMPLAZAR</t>
  </si>
  <si>
    <t>FOURIER</t>
  </si>
  <si>
    <t>FOURIER?</t>
  </si>
  <si>
    <t>FPOS</t>
  </si>
  <si>
    <t>BPOS</t>
  </si>
  <si>
    <t>DPOS</t>
  </si>
  <si>
    <t>F.POSITION</t>
  </si>
  <si>
    <t>POSICIONA</t>
  </si>
  <si>
    <t>FREAD</t>
  </si>
  <si>
    <t>BLEZEN</t>
  </si>
  <si>
    <t>DLESEN</t>
  </si>
  <si>
    <t>F.LIRE</t>
  </si>
  <si>
    <t>LEERA</t>
  </si>
  <si>
    <t>FREADLN</t>
  </si>
  <si>
    <t>REGEL.BLEZEN</t>
  </si>
  <si>
    <t>DLESEN.ZEILE</t>
  </si>
  <si>
    <t>F.LIRE.LIGNE</t>
  </si>
  <si>
    <t>LEERALN</t>
  </si>
  <si>
    <t>FREEZE.PANES</t>
  </si>
  <si>
    <t>TITELS.BLOKKEREN</t>
  </si>
  <si>
    <t>FENSTER.FIXIEREN</t>
  </si>
  <si>
    <t>FIGER.VOLETS</t>
  </si>
  <si>
    <t>INMOVILIZAR.SECCIONES</t>
  </si>
  <si>
    <t>FSIZE</t>
  </si>
  <si>
    <t>BGROOTTE</t>
  </si>
  <si>
    <t>DGRÖSSE</t>
  </si>
  <si>
    <t>F.DIMENSION</t>
  </si>
  <si>
    <t>TAMAÑOA</t>
  </si>
  <si>
    <t>FTESTV</t>
  </si>
  <si>
    <t>F.TOETS.V</t>
  </si>
  <si>
    <t>TEST.F.VARIANCE</t>
  </si>
  <si>
    <t>PRUEBA.F.VAR</t>
  </si>
  <si>
    <t>FTESTV?</t>
  </si>
  <si>
    <t>F.TOETS.V?</t>
  </si>
  <si>
    <t>TEST.F.VARIANCE?</t>
  </si>
  <si>
    <t>PRUEBA.F.VAR?</t>
  </si>
  <si>
    <t>FULL</t>
  </si>
  <si>
    <t>VOLLEDIG</t>
  </si>
  <si>
    <t>VOLLBILD</t>
  </si>
  <si>
    <t>PLEIN.ECRAN</t>
  </si>
  <si>
    <t>PANTALLA.COMPLETA</t>
  </si>
  <si>
    <t>FULL.SCREEN</t>
  </si>
  <si>
    <t>VOLLEDIG.SCHERM</t>
  </si>
  <si>
    <t>GANZER.BILDSCHIRM</t>
  </si>
  <si>
    <t>AFFICHAGE.PLEIN.ECRAN</t>
  </si>
  <si>
    <t>VISTA.PANTALLA.COMPLETA</t>
  </si>
  <si>
    <t>FUNCTION.WIZARD</t>
  </si>
  <si>
    <t>WIZARD.FUNCTIES</t>
  </si>
  <si>
    <t>FUNKTION.ASSISTENT</t>
  </si>
  <si>
    <t>ASSISTANT.FONCTION</t>
  </si>
  <si>
    <t>ASISTENTE.PARA.FUNCIONES</t>
  </si>
  <si>
    <t>FWRITE</t>
  </si>
  <si>
    <t>BSCHRIJVEN</t>
  </si>
  <si>
    <t>DSCHREIBEN</t>
  </si>
  <si>
    <t>F.ECRIRE</t>
  </si>
  <si>
    <t>ESCRIBIRA</t>
  </si>
  <si>
    <t>FWRITELN</t>
  </si>
  <si>
    <t>REGEL.BSCHRIJVEN</t>
  </si>
  <si>
    <t>DSCHREIBEN.ZEILE</t>
  </si>
  <si>
    <t>F.ECRIRE.LIGNE</t>
  </si>
  <si>
    <t>ESCRIBIRALN</t>
  </si>
  <si>
    <t>GALLERY.3D.AREA</t>
  </si>
  <si>
    <t>DIAGRAM.3D.VLAK</t>
  </si>
  <si>
    <t>MUSTER.3D.FLÄCHEN</t>
  </si>
  <si>
    <t>AIRES.3D</t>
  </si>
  <si>
    <t>GALERIA.AREAS.3D</t>
  </si>
  <si>
    <t>GALLERY.3D.BAR</t>
  </si>
  <si>
    <t>DIAGRAM.3D.STAAF</t>
  </si>
  <si>
    <t>MUSTER.3D.BALKEN</t>
  </si>
  <si>
    <t>BARRES.3D</t>
  </si>
  <si>
    <t>GALERIA.BARRAS.3D</t>
  </si>
  <si>
    <t>GALLERY.3D.COLUMN</t>
  </si>
  <si>
    <t>DIAGRAM.3D.KOLOM</t>
  </si>
  <si>
    <t>MUSTER.3D.SÄULEN</t>
  </si>
  <si>
    <t>HISTOGRAMMES.3D</t>
  </si>
  <si>
    <t>GALERIA.COLUMNAS.3D</t>
  </si>
  <si>
    <t>GALLERY.3D.LINE</t>
  </si>
  <si>
    <t>DIAGRAM.3D.LIJN</t>
  </si>
  <si>
    <t>MUSTER.3D.LINIEN</t>
  </si>
  <si>
    <t>COURBES.3D</t>
  </si>
  <si>
    <t>GALERIA.LINEAS.3D</t>
  </si>
  <si>
    <t>GALLERY.3D.PIE</t>
  </si>
  <si>
    <t>DIAGRAM.3D.CIRKEL</t>
  </si>
  <si>
    <t>MUSTER.3D.KREIS</t>
  </si>
  <si>
    <t>SECTEURS.3D</t>
  </si>
  <si>
    <t>GALERIA.CIRCULAR.3D</t>
  </si>
  <si>
    <t>GALLERY.3D.SURFACE</t>
  </si>
  <si>
    <t>DIAGRAM.3D.OPPERVLAK</t>
  </si>
  <si>
    <t>MUSTER.3D.OBERFLÄCHE</t>
  </si>
  <si>
    <t>SURFACE.3D</t>
  </si>
  <si>
    <t>GALERIA.SUPERFICIE.3D</t>
  </si>
  <si>
    <t>GALLERY.AREA</t>
  </si>
  <si>
    <t>DIAGRAM.VLAK</t>
  </si>
  <si>
    <t>MUSTER.FLÄCHEN</t>
  </si>
  <si>
    <t>AIRES</t>
  </si>
  <si>
    <t>GALERIA.AREAS</t>
  </si>
  <si>
    <t>GALLERY.BAR</t>
  </si>
  <si>
    <t>DIAGRAM.STAAF</t>
  </si>
  <si>
    <t>MUSTER.BALKEN</t>
  </si>
  <si>
    <t>BARRES</t>
  </si>
  <si>
    <t>GALERIA.BARRAS</t>
  </si>
  <si>
    <t>GALLERY.COLUMN</t>
  </si>
  <si>
    <t>DIAGRAM.KOLOM</t>
  </si>
  <si>
    <t>MUSTER.SÄULEN</t>
  </si>
  <si>
    <t>HISTOGRAMMES</t>
  </si>
  <si>
    <t>GALERIA.COLUMNAS</t>
  </si>
  <si>
    <t>GALLERY.CUSTOM</t>
  </si>
  <si>
    <t>DIAGRAM.AANGEPAST</t>
  </si>
  <si>
    <t>MUSTER.BENUTZERDEFINIERT</t>
  </si>
  <si>
    <t>GRAPHIQUE.PERSONNALISE</t>
  </si>
  <si>
    <t>GALERIA.PERZONALIZADA</t>
  </si>
  <si>
    <t>GALLERY.DOUGHNUT</t>
  </si>
  <si>
    <t>DIAGRAM.RING</t>
  </si>
  <si>
    <t>MUSTER.RING</t>
  </si>
  <si>
    <t>GRAPHIQUE.ANNEAU</t>
  </si>
  <si>
    <t>GALERIA.ANILLOS</t>
  </si>
  <si>
    <t>GALLERY.LINE</t>
  </si>
  <si>
    <t>DIAGRAM.LIJN</t>
  </si>
  <si>
    <t>MUSTER.LINIEN</t>
  </si>
  <si>
    <t>COURBES</t>
  </si>
  <si>
    <t>GALERIA.LINEAS</t>
  </si>
  <si>
    <t>GALLERY.PIE</t>
  </si>
  <si>
    <t>DIAGRAM.CIRKEL</t>
  </si>
  <si>
    <t>MUSTER.KREIS</t>
  </si>
  <si>
    <t>SECTEURS</t>
  </si>
  <si>
    <t>GALERIA.CIRCULAR</t>
  </si>
  <si>
    <t>GALLERY.RADAR</t>
  </si>
  <si>
    <t>DIAGRAM.RADAR</t>
  </si>
  <si>
    <t>MUSTER.NETZ</t>
  </si>
  <si>
    <t>RADAR</t>
  </si>
  <si>
    <t>GALERIA.RADAR</t>
  </si>
  <si>
    <t>GALLERY.SCATTER</t>
  </si>
  <si>
    <t>DIAGRAM.SPREIDING</t>
  </si>
  <si>
    <t>MUSTER.PUNKT</t>
  </si>
  <si>
    <t>NUAGES.DE.POINTS</t>
  </si>
  <si>
    <t>GALERIA.DISPERSION</t>
  </si>
  <si>
    <t>GET.BAR</t>
  </si>
  <si>
    <t>BALK.LEZEN</t>
  </si>
  <si>
    <t>MENÜLEISTE.ZUORDNEN</t>
  </si>
  <si>
    <t>LIRE.BARRE</t>
  </si>
  <si>
    <t>INDICAR.BARRA</t>
  </si>
  <si>
    <t>GET.CELL</t>
  </si>
  <si>
    <t>CEL.LEZEN</t>
  </si>
  <si>
    <t>ZELLE.ZUORDNEN</t>
  </si>
  <si>
    <t>LIRE.CELLULE</t>
  </si>
  <si>
    <t>INDICAR.CELDA</t>
  </si>
  <si>
    <t>GET.CHART.ITEM</t>
  </si>
  <si>
    <t>GRAFIEKONDERDEEL.LEZEN</t>
  </si>
  <si>
    <t>DIAGRAMM.ELEMENT.ZUORDNEN</t>
  </si>
  <si>
    <t>LIRE.ELEMENT.GRAPHIQUE</t>
  </si>
  <si>
    <t>INDICAR.ELEMENTO.GRAFICO</t>
  </si>
  <si>
    <t>GET.DEF</t>
  </si>
  <si>
    <t>DEFINITIE.LEZEN</t>
  </si>
  <si>
    <t>DEF.ZUORDNEN</t>
  </si>
  <si>
    <t>LIRE.DEF</t>
  </si>
  <si>
    <t>INDICAR.DEF</t>
  </si>
  <si>
    <t>GET.DOCUMENT</t>
  </si>
  <si>
    <t>DOCUMENT.LEZEN</t>
  </si>
  <si>
    <t>DATEI.ZUORDNEN</t>
  </si>
  <si>
    <t>LIRE.DOCUMENT</t>
  </si>
  <si>
    <t>INDICAR.DOCUMENTO</t>
  </si>
  <si>
    <t>GET.FORMULA</t>
  </si>
  <si>
    <t>FORMULE.LEZEN</t>
  </si>
  <si>
    <t>FORMEL.ZUORDNEN</t>
  </si>
  <si>
    <t>LIRE.FORMULE</t>
  </si>
  <si>
    <t>INDICAR.FORMULA</t>
  </si>
  <si>
    <t>GET.LINK.INFO</t>
  </si>
  <si>
    <t>KOPPELINGINFO.LEZEN</t>
  </si>
  <si>
    <t>INFO.VERKNÜPFUNG.ZUORDNEN</t>
  </si>
  <si>
    <t>LIRE.INFO.LIAISON</t>
  </si>
  <si>
    <t>INDICAR.INFO.VINCULO</t>
  </si>
  <si>
    <t>GET.MOVIE</t>
  </si>
  <si>
    <t>FILM.LEZEN</t>
  </si>
  <si>
    <t>SEQUENZ.ZUORDNEN</t>
  </si>
  <si>
    <t>LIRE.ANIMATION</t>
  </si>
  <si>
    <t>GET.NAME</t>
  </si>
  <si>
    <t>NAAM.LEZEN</t>
  </si>
  <si>
    <t>NAMEN.ZUORDNEN</t>
  </si>
  <si>
    <t>LIRE.NOM</t>
  </si>
  <si>
    <t>INDICAR.NOMBRE</t>
  </si>
  <si>
    <t>GET.NOTE</t>
  </si>
  <si>
    <t>NOTITIE.LEZEN</t>
  </si>
  <si>
    <t>NOTIZ.ZUORDNEN</t>
  </si>
  <si>
    <t>LIRE.COMMENTAIRES</t>
  </si>
  <si>
    <t>INDICAR.NOTAS</t>
  </si>
  <si>
    <t>GET.OBJECT</t>
  </si>
  <si>
    <t>OBJECT.LEZEN</t>
  </si>
  <si>
    <t>OBJEKT.ZUORDNEN</t>
  </si>
  <si>
    <t>LIRE.OBJET</t>
  </si>
  <si>
    <t>INDICAR.OBJETO</t>
  </si>
  <si>
    <t>GET.PIVOT.FIELD</t>
  </si>
  <si>
    <t>VELD.LEZEN</t>
  </si>
  <si>
    <t>PIVOT.FELD.ZUORDNEN</t>
  </si>
  <si>
    <t>LIRE.CHAMP.DYNAMIQUE</t>
  </si>
  <si>
    <t>INDICAR.CAMPO.TABLA.DI</t>
  </si>
  <si>
    <t>GET.PIVOT.ITEM</t>
  </si>
  <si>
    <t>ONDERDEEL.LEZEN</t>
  </si>
  <si>
    <t>PIVOT.ELEMENT.ZUORDNEN</t>
  </si>
  <si>
    <t>LIRE.ELEMENT.TABCROIS.DYNAMIQUE</t>
  </si>
  <si>
    <t>INDICAR.ELEMENTO.TABLA.DI</t>
  </si>
  <si>
    <t>GET.PIVOT.TABLE</t>
  </si>
  <si>
    <t>DRAAITABEL.LEZEN</t>
  </si>
  <si>
    <t>PIVOT.TABELLE.ZUORDNEN</t>
  </si>
  <si>
    <t>LIRE.TABLEAU.CROISE.DYNAMIQUE</t>
  </si>
  <si>
    <t>INDICAR.TABLA.DINAMICA</t>
  </si>
  <si>
    <t>GET.TOOL</t>
  </si>
  <si>
    <t>KNOP.LEZEN</t>
  </si>
  <si>
    <t>SYMBOL.ZUORDNEN</t>
  </si>
  <si>
    <t>LIRE.OUTIL</t>
  </si>
  <si>
    <t>INDICAR.HERRAMIENTA</t>
  </si>
  <si>
    <t>GET.TOOLBAR</t>
  </si>
  <si>
    <t>WERKBALK.LEZEN</t>
  </si>
  <si>
    <t>SYMBOLLEISTE.ZUORDNEN</t>
  </si>
  <si>
    <t>LIRE.BARRE.OUTILS</t>
  </si>
  <si>
    <t>INDICAR.BARRA.HERRAMIENTAS</t>
  </si>
  <si>
    <t>GET.WINDOW</t>
  </si>
  <si>
    <t>VENSTER.LEZEN</t>
  </si>
  <si>
    <t>FENSTER.ZUORDNEN</t>
  </si>
  <si>
    <t>LIRE.FENETRE</t>
  </si>
  <si>
    <t>INDICAR.VENTANA</t>
  </si>
  <si>
    <t>GET.WORKBOOK</t>
  </si>
  <si>
    <t>WERKMAP.LEZEN</t>
  </si>
  <si>
    <t>ARBEITSMAPPE.ZUORDNEN</t>
  </si>
  <si>
    <t>LIRE.CLASSEUR</t>
  </si>
  <si>
    <t>INDICAR.LIBRO</t>
  </si>
  <si>
    <t>GET.WORKSPACE</t>
  </si>
  <si>
    <t>WERKRUIMTE.LEZEN</t>
  </si>
  <si>
    <t>ARBEITSBEREICH.ZUORDNEN</t>
  </si>
  <si>
    <t>LIRE.ENV</t>
  </si>
  <si>
    <t>INDICAR.AREA.DE.TRABAJO</t>
  </si>
  <si>
    <t>GOAL.SEEK</t>
  </si>
  <si>
    <t>DOELZOEKEN</t>
  </si>
  <si>
    <t>ZIELWERTSUCHE</t>
  </si>
  <si>
    <t>VALEUR.CIBLE</t>
  </si>
  <si>
    <t>BUSCAR.OBJETIVO</t>
  </si>
  <si>
    <t>GOTO</t>
  </si>
  <si>
    <t>GA.NAAR</t>
  </si>
  <si>
    <t>GEHEZU</t>
  </si>
  <si>
    <t>ATTEINDRE</t>
  </si>
  <si>
    <t>IR.A</t>
  </si>
  <si>
    <t>GRIDLINES</t>
  </si>
  <si>
    <t>RASTERLIJNEN</t>
  </si>
  <si>
    <t>GITTERNETZLINIEN</t>
  </si>
  <si>
    <t>QUADRILLAGE</t>
  </si>
  <si>
    <t>LINEAS.DE.DIVISION</t>
  </si>
  <si>
    <t>GROUP</t>
  </si>
  <si>
    <t>GROEPEREN</t>
  </si>
  <si>
    <t>GRUPPIEREN</t>
  </si>
  <si>
    <t>GROUPER</t>
  </si>
  <si>
    <t>AGRUPAR</t>
  </si>
  <si>
    <t>HALT</t>
  </si>
  <si>
    <t>STOPPEN</t>
  </si>
  <si>
    <t>STOP</t>
  </si>
  <si>
    <t>ARRETER</t>
  </si>
  <si>
    <t>DETENER</t>
  </si>
  <si>
    <t>HELP</t>
  </si>
  <si>
    <t>HILFE</t>
  </si>
  <si>
    <t>AIDE</t>
  </si>
  <si>
    <t>AYUDA</t>
  </si>
  <si>
    <t>HIDE</t>
  </si>
  <si>
    <t>VERBERGEN</t>
  </si>
  <si>
    <t>AUSBLENDEN</t>
  </si>
  <si>
    <t>MASQUER</t>
  </si>
  <si>
    <t>OCULTAR</t>
  </si>
  <si>
    <t>HIDE.DIALOG</t>
  </si>
  <si>
    <t>DIALOOG.VERBERGEN</t>
  </si>
  <si>
    <t>DIALOG.AUSBLENDEN</t>
  </si>
  <si>
    <t>CACHER.DIALOGUE</t>
  </si>
  <si>
    <t>OCULTAR.DIALOGO</t>
  </si>
  <si>
    <t>HIDE.OBJECT</t>
  </si>
  <si>
    <t>OBJECT.VERBERGEN</t>
  </si>
  <si>
    <t>OBJEKT.AUSBLENDEN</t>
  </si>
  <si>
    <t>MASQUER.OBJET</t>
  </si>
  <si>
    <t>OCULTAR.OBJETO</t>
  </si>
  <si>
    <t>HISTOGRAM</t>
  </si>
  <si>
    <t>HISTOGRAMM</t>
  </si>
  <si>
    <t>STAT.HISTOGRAMMES</t>
  </si>
  <si>
    <t>HISTOGRAMA</t>
  </si>
  <si>
    <t>HISTOGRAM?</t>
  </si>
  <si>
    <t>HISTOGRAMM?</t>
  </si>
  <si>
    <t>STAT.HISTOGRAMMES?</t>
  </si>
  <si>
    <t>HISTOGRAMA?</t>
  </si>
  <si>
    <t>HLINE</t>
  </si>
  <si>
    <t>HORIZ.REGEL</t>
  </si>
  <si>
    <t>WBILDLAUF.SPALTEN</t>
  </si>
  <si>
    <t>LIGNEH</t>
  </si>
  <si>
    <t>LINEAH</t>
  </si>
  <si>
    <t>HPAGE</t>
  </si>
  <si>
    <t>HORIZ.PAGINA</t>
  </si>
  <si>
    <t>WBILDLAUF.SEITEN</t>
  </si>
  <si>
    <t>PAGEH</t>
  </si>
  <si>
    <t>PAGINAH</t>
  </si>
  <si>
    <t>HSCROLL</t>
  </si>
  <si>
    <t>HORIZ.VERSCHUIVEN</t>
  </si>
  <si>
    <t>WBILDLAUF</t>
  </si>
  <si>
    <t>DEFILEMENTH</t>
  </si>
  <si>
    <t>DESPLAZARH</t>
  </si>
  <si>
    <t>INITIATE</t>
  </si>
  <si>
    <t>KANAAL.OPENEN</t>
  </si>
  <si>
    <t>KANAL.ÖFFNEN</t>
  </si>
  <si>
    <t>ACCEDER</t>
  </si>
  <si>
    <t>INICIAR</t>
  </si>
  <si>
    <t>INPUT</t>
  </si>
  <si>
    <t>INVOER</t>
  </si>
  <si>
    <t>EINGABE</t>
  </si>
  <si>
    <t>ENTRER</t>
  </si>
  <si>
    <t>INTRODUCIR</t>
  </si>
  <si>
    <t>INSERT</t>
  </si>
  <si>
    <t>INVOEGEN</t>
  </si>
  <si>
    <t>ZELLEN.EINFÜGEN</t>
  </si>
  <si>
    <t>INSERER</t>
  </si>
  <si>
    <t>INSERTAR</t>
  </si>
  <si>
    <t>INSERT.MAP.OBJECT</t>
  </si>
  <si>
    <t>INVOEGEN.KAART.OBJECT</t>
  </si>
  <si>
    <t>LANDKARTE.OBJEKT.EINFÜGEN</t>
  </si>
  <si>
    <t>INSERER.OBJET.CARTE</t>
  </si>
  <si>
    <t>INSERTAR.MAPA.OBJETO</t>
  </si>
  <si>
    <t>INSERT.OBJECT</t>
  </si>
  <si>
    <t>OBJECT.INVOEGEN</t>
  </si>
  <si>
    <t>OBJEKT.EINFÜGEN</t>
  </si>
  <si>
    <t>INSERER.OBJET</t>
  </si>
  <si>
    <t>INSERTAR.OBJETO</t>
  </si>
  <si>
    <t>INSERT.PICTURE</t>
  </si>
  <si>
    <t>FIGUUR.INVOEGEN</t>
  </si>
  <si>
    <t>GRAFIK.EINFÜGEN</t>
  </si>
  <si>
    <t>INSERER.IMAGE</t>
  </si>
  <si>
    <t>INSERTAR.IMAGEN</t>
  </si>
  <si>
    <t>INSERT.TITLE</t>
  </si>
  <si>
    <t>TITEL.INVOEGEN</t>
  </si>
  <si>
    <t>TITEL.EINFÜGEN</t>
  </si>
  <si>
    <t>INSERER.TITRE</t>
  </si>
  <si>
    <t>INSERTAR.TITULO</t>
  </si>
  <si>
    <t>JUSTIFY</t>
  </si>
  <si>
    <t>UITVULLEN</t>
  </si>
  <si>
    <t>BÜNDIG.ANORDNEN</t>
  </si>
  <si>
    <t>JUSTIFICATION</t>
  </si>
  <si>
    <t>JUSTIFICAR</t>
  </si>
  <si>
    <t>LABEL.PROPERTIES</t>
  </si>
  <si>
    <t>LABEL.EIGENSCHAPPEN</t>
  </si>
  <si>
    <t>BEZEICHNUNG.EIGENSCHAFTEN</t>
  </si>
  <si>
    <t>PROPRIETES.ETIQUETTE</t>
  </si>
  <si>
    <t>FORMATO.OBJ.ROTULO</t>
  </si>
  <si>
    <t>LAST.ERROR</t>
  </si>
  <si>
    <t>VORIGE.FOUT</t>
  </si>
  <si>
    <t>LETZTER.FEHLER</t>
  </si>
  <si>
    <t>DERNIERE.ERREUR</t>
  </si>
  <si>
    <t>ULTIMO.ERROR</t>
  </si>
  <si>
    <t>LEGEND</t>
  </si>
  <si>
    <t>LEGENDA</t>
  </si>
  <si>
    <t>LEGENDE</t>
  </si>
  <si>
    <t>LEYENDA</t>
  </si>
  <si>
    <t>LINE.PRINT</t>
  </si>
  <si>
    <t>REGEL.AFDRUKKEN</t>
  </si>
  <si>
    <t>ZEILEN.DRUCKEN</t>
  </si>
  <si>
    <t>IMPRIMER.LIGNE</t>
  </si>
  <si>
    <t>IMPRIMIR.EN.LINEA</t>
  </si>
  <si>
    <t>LINK.COMBO</t>
  </si>
  <si>
    <t>COMBINATIE.KOPPELEN</t>
  </si>
  <si>
    <t>VERKNÜPFTES.KOMBIN</t>
  </si>
  <si>
    <t>LIER.ZONE.COMBINEE</t>
  </si>
  <si>
    <t>VINCULAR.COMBINADO</t>
  </si>
  <si>
    <t>LINK.FORMAT</t>
  </si>
  <si>
    <t>NOTATIE.KOPPELEN</t>
  </si>
  <si>
    <t>VERKNÜPFUNGS.FORMAT</t>
  </si>
  <si>
    <t>FORMAT.LIER</t>
  </si>
  <si>
    <t>VINCULAR.FORMATO</t>
  </si>
  <si>
    <t>KOPPELINGEN</t>
  </si>
  <si>
    <t>VERKNÜPFTE.DATEIEN</t>
  </si>
  <si>
    <t>LIAISONS</t>
  </si>
  <si>
    <t>VINCULOS</t>
  </si>
  <si>
    <t>LIST.NAMES</t>
  </si>
  <si>
    <t>NAMENLIJST</t>
  </si>
  <si>
    <t>NAMEN.AUFLISTEN</t>
  </si>
  <si>
    <t>LISTE.NOMS</t>
  </si>
  <si>
    <t>LISTAR.NOMBRES</t>
  </si>
  <si>
    <t>LISTBOX.PROPERTIES</t>
  </si>
  <si>
    <t>KEUZELIJST.EIGENSCHAPPEN</t>
  </si>
  <si>
    <t>LISTENFELD.EIGENSCHAFTEN</t>
  </si>
  <si>
    <t>PROPRIETES.ZONE.LISTE</t>
  </si>
  <si>
    <t>FORMATO.OBJ.CUADRO.LISTA</t>
  </si>
  <si>
    <t>MACRO.OPTIONS</t>
  </si>
  <si>
    <t>MACRO.OPTIES</t>
  </si>
  <si>
    <t>MAKRO.OPTIONEN</t>
  </si>
  <si>
    <t>OPTIONS.MACRO</t>
  </si>
  <si>
    <t>OPCIONES.MACRO</t>
  </si>
  <si>
    <t>MAIL.ADD.MAILER</t>
  </si>
  <si>
    <t>POST.ADRESBAND.TOEVOEGEN</t>
  </si>
  <si>
    <t>MAIL.WURFSENDUNG.ERSTELLEN</t>
  </si>
  <si>
    <t>MESSAGERIE.AJOUTER.FENETRE.EXPEDITION</t>
  </si>
  <si>
    <t>CORREO.AGREGAR.FORMULARIO</t>
  </si>
  <si>
    <t>MAIL.DELETE.MAILER</t>
  </si>
  <si>
    <t>POST.ADRESBAND.VERWIJDEREN</t>
  </si>
  <si>
    <t>MAIL.WURFSENDUNG.LÖSCHEN</t>
  </si>
  <si>
    <t>MESSAGERIE.SUPPRIMER.FENETRE.EXPEDITION</t>
  </si>
  <si>
    <t>CORREO.ELIMINAR.FORMULARIO</t>
  </si>
  <si>
    <t>MAIL.EDIT.MAILER</t>
  </si>
  <si>
    <t>POST.ADRESBAND.BEWERKEN</t>
  </si>
  <si>
    <t>MAIL.WURFSENDUNG.BEARBEITEN</t>
  </si>
  <si>
    <t>MESSAGERIE.MODIFIER.FENETRE.EXPEDITION</t>
  </si>
  <si>
    <t>CORREO.EDICION.FORMULARIO</t>
  </si>
  <si>
    <t>MAIL.FORWARD</t>
  </si>
  <si>
    <t>POST.DOORSTUREN</t>
  </si>
  <si>
    <t>MAIL.NACHRICHT.WEITERLEITEN</t>
  </si>
  <si>
    <t>MESSAGERIE.TRANSFERER</t>
  </si>
  <si>
    <t>REENVIAR.CORREO</t>
  </si>
  <si>
    <t>MAIL.LOGOFF</t>
  </si>
  <si>
    <t>MAIL.AFMELDEN</t>
  </si>
  <si>
    <t>MAIL.ABMELDEN</t>
  </si>
  <si>
    <t>DECONNECTER.MESSAGERIE</t>
  </si>
  <si>
    <t>CERRAR.CORREO</t>
  </si>
  <si>
    <t>MAIL.LOGON</t>
  </si>
  <si>
    <t>MAIL.AANMELDEN</t>
  </si>
  <si>
    <t>MAIL.ANMELDEN</t>
  </si>
  <si>
    <t>CONNECTER.MESSAGERIE</t>
  </si>
  <si>
    <t>INICIAR.CORREO</t>
  </si>
  <si>
    <t>MAIL.NEXT.LETTER</t>
  </si>
  <si>
    <t>POST.VOLGENDE.BRIEF</t>
  </si>
  <si>
    <t>MAIL.NÄCHSTE.NACHRICHT</t>
  </si>
  <si>
    <t>MESSAGERIE.MESSAGE.SUIVANT</t>
  </si>
  <si>
    <t>CORREO.SIGUIENTE.MENSAJE</t>
  </si>
  <si>
    <t>MAIL.REPLY</t>
  </si>
  <si>
    <t>POST.BEANTWOORDEN</t>
  </si>
  <si>
    <t>MAIL.ANTWORTEN</t>
  </si>
  <si>
    <t>MESSAGERIE.REPONDRE</t>
  </si>
  <si>
    <t>CORREO.RESPONDER</t>
  </si>
  <si>
    <t>MAIL.REPLY.ALL</t>
  </si>
  <si>
    <t>POST.ALLEN.BEANTWOORDEN</t>
  </si>
  <si>
    <t>MAIL.ALLE.ANTWORTEN</t>
  </si>
  <si>
    <t>MESSAGERIE.REPONDRE.TOUS</t>
  </si>
  <si>
    <t>CORREO.REPONDER.A.TODOS</t>
  </si>
  <si>
    <t>MAIL.SEND.MAILER</t>
  </si>
  <si>
    <t>POST.ADRESBAND.VERZENDEN</t>
  </si>
  <si>
    <t>WURFSENDUNG.SENDEN</t>
  </si>
  <si>
    <t>ENVOYER.FENETRE.EXPEDITION</t>
  </si>
  <si>
    <t>ENVIAR.FORMULARIO</t>
  </si>
  <si>
    <t>MAIN.CHART</t>
  </si>
  <si>
    <t>HOOFDGRAFIEK</t>
  </si>
  <si>
    <t>HAUPTDIAGRAMM</t>
  </si>
  <si>
    <t>GRAPHIQUE.PRINCIPAL</t>
  </si>
  <si>
    <t>GRAFICO.PRINCIPAL</t>
  </si>
  <si>
    <t>MAIN.CHART.TYPE</t>
  </si>
  <si>
    <t>TYPE.HOOFDGRAFIEK</t>
  </si>
  <si>
    <t>HAUPTDIAGRAMM.ART</t>
  </si>
  <si>
    <t>TYPE.GRAPHIQUE.PRINCIPAL</t>
  </si>
  <si>
    <t>GRAFICO.PRINCIPAL.TIPO</t>
  </si>
  <si>
    <t>MCORREL</t>
  </si>
  <si>
    <t>MATRIX.CORREL</t>
  </si>
  <si>
    <t>MKORREL</t>
  </si>
  <si>
    <t>ANALYSE.CORRELATION</t>
  </si>
  <si>
    <t>MCORREL?</t>
  </si>
  <si>
    <t>MATRIX.CORREL?</t>
  </si>
  <si>
    <t>MKORREL?</t>
  </si>
  <si>
    <t>ANALYSE.CORRELATION?</t>
  </si>
  <si>
    <t>MCOVAR</t>
  </si>
  <si>
    <t>MATRIX.COVAR</t>
  </si>
  <si>
    <t>MKOVAR</t>
  </si>
  <si>
    <t>ANALYSE.COVARIANCE</t>
  </si>
  <si>
    <t>MCOVAR?</t>
  </si>
  <si>
    <t>MATRIX.COVAR?</t>
  </si>
  <si>
    <t>MKOVAR?</t>
  </si>
  <si>
    <t>ANALYSE.COVARIANCE?</t>
  </si>
  <si>
    <t>MENU.EDITOR</t>
  </si>
  <si>
    <t>MENÜ.EDITOR</t>
  </si>
  <si>
    <t>EDITEUR.MENU</t>
  </si>
  <si>
    <t>MERGE.STYLES</t>
  </si>
  <si>
    <t>OPMAAKPROFIELEN.SAMENVOEGEN</t>
  </si>
  <si>
    <t>FORMATVORLAGEN.ZUSAMMENFÜHREN</t>
  </si>
  <si>
    <t>FUSIONNER.STYLES</t>
  </si>
  <si>
    <t>COMBINAR.MODELOS</t>
  </si>
  <si>
    <t>MESSAGE</t>
  </si>
  <si>
    <t>BERICHT</t>
  </si>
  <si>
    <t>MELDUNG</t>
  </si>
  <si>
    <t>MENSAJE</t>
  </si>
  <si>
    <t>MOVE</t>
  </si>
  <si>
    <t>VERPLAATSEN</t>
  </si>
  <si>
    <t>BEWEGEN</t>
  </si>
  <si>
    <t>DEPLACEMENT</t>
  </si>
  <si>
    <t>MOVER</t>
  </si>
  <si>
    <t>MOVE.TOOL</t>
  </si>
  <si>
    <t>KNOP.VERPLAATSEN</t>
  </si>
  <si>
    <t>SYMBOL.VERSCHIEBEN</t>
  </si>
  <si>
    <t>OUTIL.DEPLACEMENT</t>
  </si>
  <si>
    <t>MOVER.HERRAMIENTA</t>
  </si>
  <si>
    <t>MOVEAVG</t>
  </si>
  <si>
    <t>ZWEVEND.GEM</t>
  </si>
  <si>
    <t>GLEITDURCH</t>
  </si>
  <si>
    <t>MOYENNES.MOBILES</t>
  </si>
  <si>
    <t>MEDIA.MOV</t>
  </si>
  <si>
    <t>MOVEAVG?</t>
  </si>
  <si>
    <t>ZWEVEND.GEM?</t>
  </si>
  <si>
    <t>GLEITDURCH?</t>
  </si>
  <si>
    <t>MOYENNES.MOBILES?</t>
  </si>
  <si>
    <t>MEDIA.MOV?</t>
  </si>
  <si>
    <t>MOVIE.COMMAND</t>
  </si>
  <si>
    <t>OPDRACHT.FILM</t>
  </si>
  <si>
    <t>SEQUENZ.BEFEHL</t>
  </si>
  <si>
    <t>COMMANDE.ANIMATION</t>
  </si>
  <si>
    <t>NAMES</t>
  </si>
  <si>
    <t>NAMEN</t>
  </si>
  <si>
    <t>NOMS</t>
  </si>
  <si>
    <t>NOMBRES</t>
  </si>
  <si>
    <t>NEW</t>
  </si>
  <si>
    <t>NIEUW</t>
  </si>
  <si>
    <t>NEU</t>
  </si>
  <si>
    <t>NOUVEAU.DOCUMENT</t>
  </si>
  <si>
    <t>NUEVO</t>
  </si>
  <si>
    <t>NEW.WINDOW</t>
  </si>
  <si>
    <t>NIEUW.VENSTER</t>
  </si>
  <si>
    <t>NEUES.FENSTER</t>
  </si>
  <si>
    <t>NOUVELLE.FENETRE</t>
  </si>
  <si>
    <t>NUEVA.VENTANA</t>
  </si>
  <si>
    <t>NEXT</t>
  </si>
  <si>
    <t>VOLGEND</t>
  </si>
  <si>
    <t>WEITER</t>
  </si>
  <si>
    <t>SUIVANT</t>
  </si>
  <si>
    <t>SALIR.BUCLE</t>
  </si>
  <si>
    <t>NOTE</t>
  </si>
  <si>
    <t>NOTITIE</t>
  </si>
  <si>
    <t>NOTIZ</t>
  </si>
  <si>
    <t>COMMENTAIRES</t>
  </si>
  <si>
    <t>NOTA</t>
  </si>
  <si>
    <t>OBJECT.PROPERTIES</t>
  </si>
  <si>
    <t>OBJECT.KENMERKEN</t>
  </si>
  <si>
    <t>OBJEKT.EIGENSCHAFTEN</t>
  </si>
  <si>
    <t>PROPRIETES.OBJET</t>
  </si>
  <si>
    <t>PROPIEDADES.OBJETO</t>
  </si>
  <si>
    <t>OBJECT.PROTECTION</t>
  </si>
  <si>
    <t>OBJECTBESCHERMING</t>
  </si>
  <si>
    <t>OBJEKT.SCHÜTZEN</t>
  </si>
  <si>
    <t>PROTECTION.OBJET</t>
  </si>
  <si>
    <t>PROTEGER.OBJETO</t>
  </si>
  <si>
    <t>ON.DATA</t>
  </si>
  <si>
    <t>ALS.DATA</t>
  </si>
  <si>
    <t>BEI.DATEN</t>
  </si>
  <si>
    <t>SELON.DONNEES</t>
  </si>
  <si>
    <t>LLAMAR.POR.DATOS</t>
  </si>
  <si>
    <t>ON.DOUBLECLICK</t>
  </si>
  <si>
    <t>ALS.DUBBELKLIKKEN</t>
  </si>
  <si>
    <t>BEI.DOPPELKLICK</t>
  </si>
  <si>
    <t>SELON.DOUBLECLIC</t>
  </si>
  <si>
    <t>LLAMAR.POR.DOBLE.CLIC</t>
  </si>
  <si>
    <t>ON.ENTRY</t>
  </si>
  <si>
    <t>ALS.INVOER</t>
  </si>
  <si>
    <t>BEI.EINGABE</t>
  </si>
  <si>
    <t>SELON.ENTREE</t>
  </si>
  <si>
    <t>LLAMAR.POR.ENTRADA</t>
  </si>
  <si>
    <t>ON.KEY</t>
  </si>
  <si>
    <t>ALS.TOETS</t>
  </si>
  <si>
    <t>BEI.TASTE</t>
  </si>
  <si>
    <t>SELON.TOUCHE</t>
  </si>
  <si>
    <t>LLAMAR.POR.TECLA</t>
  </si>
  <si>
    <t>ON.RECALC</t>
  </si>
  <si>
    <t>ALS.HERBEREKENEN</t>
  </si>
  <si>
    <t>BEI.BERECHNEN</t>
  </si>
  <si>
    <t>SELON.RECALC</t>
  </si>
  <si>
    <t>LLAMAR.POR.RECALCULO</t>
  </si>
  <si>
    <t>ON.SHEET</t>
  </si>
  <si>
    <t>ALS.BLAD</t>
  </si>
  <si>
    <t>BEI.BLATT</t>
  </si>
  <si>
    <t>SELON.FEUILLE</t>
  </si>
  <si>
    <t>LLAMAR.POR.HOJA</t>
  </si>
  <si>
    <t>ON.TIME</t>
  </si>
  <si>
    <t>ALS.TIJD</t>
  </si>
  <si>
    <t>BEI.ZEIT</t>
  </si>
  <si>
    <t>SELON.HEURE</t>
  </si>
  <si>
    <t>LLAMAR.POR.HORA</t>
  </si>
  <si>
    <t>ON.WINDOW</t>
  </si>
  <si>
    <t>ALS.VENSTER</t>
  </si>
  <si>
    <t>BEI.FENSTER</t>
  </si>
  <si>
    <t>SELON.FENETRE</t>
  </si>
  <si>
    <t>LLAMAR.POR.VENTANA</t>
  </si>
  <si>
    <t>OPEN</t>
  </si>
  <si>
    <t>OPENEN</t>
  </si>
  <si>
    <t>ÖFFNEN</t>
  </si>
  <si>
    <t>OUVRIR</t>
  </si>
  <si>
    <t>ABRIR</t>
  </si>
  <si>
    <t>OPEN.DIALOG</t>
  </si>
  <si>
    <t>DIALOOGVENSTER.OPENEN</t>
  </si>
  <si>
    <t>DATEI.ÖFFNEN</t>
  </si>
  <si>
    <t>OUVRIR.DIALOGUE</t>
  </si>
  <si>
    <t>ABRIR.ARCHIVO</t>
  </si>
  <si>
    <t>OPEN.LINKS</t>
  </si>
  <si>
    <t>KOPPELINGEN.OPENEN</t>
  </si>
  <si>
    <t>VERKNÜPFTE.DATEIEN.ÖFFNEN</t>
  </si>
  <si>
    <t>OUVRIR.LIAISONS</t>
  </si>
  <si>
    <t>ABRIR.VINCULOS</t>
  </si>
  <si>
    <t>OPEN.MAIL</t>
  </si>
  <si>
    <t>NACHRICHT.LESEN</t>
  </si>
  <si>
    <t>OUVRIR.MESSAGERIE</t>
  </si>
  <si>
    <t>OPEN.TEXT</t>
  </si>
  <si>
    <t>TEKST.OPENEN</t>
  </si>
  <si>
    <t>TEXTDATEI.ÖFFNEN</t>
  </si>
  <si>
    <t>OUVRIR.TEXTE</t>
  </si>
  <si>
    <t>ABRIR.ARCHIVO.TEXTO</t>
  </si>
  <si>
    <t>OPTIONS.CALCULATION</t>
  </si>
  <si>
    <t>OPTIES.BEREKENING</t>
  </si>
  <si>
    <t>OPTIONEN.BERECHNEN</t>
  </si>
  <si>
    <t>OPTIONS.CALCUL</t>
  </si>
  <si>
    <t>OPCIONES.CALCULAR</t>
  </si>
  <si>
    <t>OPTIONS.CHART</t>
  </si>
  <si>
    <t>OPTIES.GRAFIEK</t>
  </si>
  <si>
    <t>OPTIONEN.DIAGRAMM</t>
  </si>
  <si>
    <t>OPTIONS.GRAPHIQUE</t>
  </si>
  <si>
    <t>OPCIONES.GRAFICO</t>
  </si>
  <si>
    <t>OPTIONS.EDIT</t>
  </si>
  <si>
    <t>OPTIES.BEWERKEN</t>
  </si>
  <si>
    <t>OPTIONEN.BEARBEITEN</t>
  </si>
  <si>
    <t>OPTIONS.MODIFICATION</t>
  </si>
  <si>
    <t>OPCIONES.EDICION</t>
  </si>
  <si>
    <t>OPTIONS.GENERAL</t>
  </si>
  <si>
    <t>OPTIES.ALGEMEEN</t>
  </si>
  <si>
    <t>OPTIONEN.ALLGEMEIN</t>
  </si>
  <si>
    <t>OPCIONES.GENERAL</t>
  </si>
  <si>
    <t>OPTIONS.LISTS.ADD</t>
  </si>
  <si>
    <t>OPTIES.LIJST.TOEVOEGEN</t>
  </si>
  <si>
    <t>OPTIONEN.LISTE.EINFÜGEN</t>
  </si>
  <si>
    <t>OPTIONS.AJOUTER.LISTES</t>
  </si>
  <si>
    <t>AGREGAR.LISTA.PERS</t>
  </si>
  <si>
    <t>OPTIONS.LISTS.DELETE</t>
  </si>
  <si>
    <t>OPTIES.LIJST.VERWIJDEREN</t>
  </si>
  <si>
    <t>OPTIONEN.LISTE.LÖSCHEN</t>
  </si>
  <si>
    <t>OPTIONS.SUPPRIMER.LISTES</t>
  </si>
  <si>
    <t>ELIMINAR.LISTAS</t>
  </si>
  <si>
    <t>OPTIONS.LISTS.GET</t>
  </si>
  <si>
    <t>OPTIES.AANGEPASTE.LIJST.LEZEN</t>
  </si>
  <si>
    <t>OPTIONEN.LISTEN.ZUORDNEN</t>
  </si>
  <si>
    <t>LIRE.LISTES.PERSONNELLES</t>
  </si>
  <si>
    <t>OPCIONES.INDICAR.LISTAS</t>
  </si>
  <si>
    <t>OPTIONS.TRANSITION</t>
  </si>
  <si>
    <t>OPTIES.OVERSTAPPEN</t>
  </si>
  <si>
    <t>OPTIONEN.UMSTEIGEN</t>
  </si>
  <si>
    <t>OPCIONES.TRANSICION</t>
  </si>
  <si>
    <t>OPTIONS.VIEW</t>
  </si>
  <si>
    <t>OPTIES.WEERGAVE</t>
  </si>
  <si>
    <t>OPTIONEN.ANSICHT</t>
  </si>
  <si>
    <t>OPTIONS.AFFICHAGE</t>
  </si>
  <si>
    <t>OPCIONES.VER</t>
  </si>
  <si>
    <t>OUTLINE</t>
  </si>
  <si>
    <t>OVERZICHT</t>
  </si>
  <si>
    <t>GLIEDERUNG</t>
  </si>
  <si>
    <t>PLAN</t>
  </si>
  <si>
    <t>ESQUEMA</t>
  </si>
  <si>
    <t>OVERLAY</t>
  </si>
  <si>
    <t>ÜBERLAGERUNG</t>
  </si>
  <si>
    <t>GRAPHIQUE.SUPERPOSE</t>
  </si>
  <si>
    <t>SUPERPUESTO</t>
  </si>
  <si>
    <t>OVERLAY.CHART.TYPE</t>
  </si>
  <si>
    <t>OVERLAY.TYPE.GRAFIEK</t>
  </si>
  <si>
    <t>ÜBERLAGERUNG.DIAGRAMM.ART</t>
  </si>
  <si>
    <t>TYPE.GRAPHIQUE.SUPERPOSE</t>
  </si>
  <si>
    <t>TIPO.GRAFICO.SUPERPUESTO</t>
  </si>
  <si>
    <t>PAGE.SETUP</t>
  </si>
  <si>
    <t>PAGINA.INSTELLING</t>
  </si>
  <si>
    <t>LAYOUT</t>
  </si>
  <si>
    <t>MISE.EN.PAGE</t>
  </si>
  <si>
    <t>AJUSTAR.PAGINA</t>
  </si>
  <si>
    <t>PARSE</t>
  </si>
  <si>
    <t>VERDELEN</t>
  </si>
  <si>
    <t>ANALYSE</t>
  </si>
  <si>
    <t>REDISTRIBUER</t>
  </si>
  <si>
    <t>REDISTRIBUIR</t>
  </si>
  <si>
    <t>PASTE</t>
  </si>
  <si>
    <t>PLAKKEN</t>
  </si>
  <si>
    <t>EINFÜGEN</t>
  </si>
  <si>
    <t>COLLER</t>
  </si>
  <si>
    <t>PEGAR</t>
  </si>
  <si>
    <t>PASTE.LINK</t>
  </si>
  <si>
    <t>KOPPELING.PLAKKEN</t>
  </si>
  <si>
    <t>VERKNÜPFEN.UND.EINFÜGEN</t>
  </si>
  <si>
    <t>COLLER.AVEC.LIAISON</t>
  </si>
  <si>
    <t>PEGAR.VINCULOS</t>
  </si>
  <si>
    <t>PASTE.PICTURE</t>
  </si>
  <si>
    <t>FIGUUR.PLAKKEN</t>
  </si>
  <si>
    <t>BILD.EINFÜGEN</t>
  </si>
  <si>
    <t>COLLER.IMAGE</t>
  </si>
  <si>
    <t>PEGAR.IMAGEN</t>
  </si>
  <si>
    <t>PASTE.PICTURE.LINK</t>
  </si>
  <si>
    <t>FIGUUR.KOPPELING.PLAKKEN</t>
  </si>
  <si>
    <t>VERKNÜPFTES.BILD.EINFÜGEN</t>
  </si>
  <si>
    <t>COLLER.IMAGE.LIAISON</t>
  </si>
  <si>
    <t>PEGAR.VINCULOS.IMAGEN</t>
  </si>
  <si>
    <t>PASTE.SPECIAL</t>
  </si>
  <si>
    <t>PLAKKEN.SPECIAAL</t>
  </si>
  <si>
    <t>INHALTE.EINFÜGEN</t>
  </si>
  <si>
    <t>COLLAGE.SPECIAL</t>
  </si>
  <si>
    <t>PEGADO.ESPECIAL</t>
  </si>
  <si>
    <t>PASTE.TOOL</t>
  </si>
  <si>
    <t>KNOP.PLAKKEN</t>
  </si>
  <si>
    <t>SYMBOL.EINFÜGEN</t>
  </si>
  <si>
    <t>COLLER.OUTIL</t>
  </si>
  <si>
    <t>PEGAR.HERRAMIENTA</t>
  </si>
  <si>
    <t>PATTERNS</t>
  </si>
  <si>
    <t>PATRONEN</t>
  </si>
  <si>
    <t>MUSTER</t>
  </si>
  <si>
    <t>MOTIFS</t>
  </si>
  <si>
    <t>DISEÑO</t>
  </si>
  <si>
    <t>PAUSE</t>
  </si>
  <si>
    <t>PAUZE</t>
  </si>
  <si>
    <t>PAUSA</t>
  </si>
  <si>
    <t>PICKLIST</t>
  </si>
  <si>
    <t>SELECTIELIJST</t>
  </si>
  <si>
    <t>AUSWAHLLISTE</t>
  </si>
  <si>
    <t>LISTE.CHOIX</t>
  </si>
  <si>
    <t>LISTAELECCIÓN</t>
  </si>
  <si>
    <t>PIVOT.ADD.DATA</t>
  </si>
  <si>
    <t>DRAAITABEL.GEGEVENS.TOEV</t>
  </si>
  <si>
    <t>PIVOT.DATEN.HINZUFÜGEN</t>
  </si>
  <si>
    <t>AJOUTER.DONNEES.TABLEAU.CROISE</t>
  </si>
  <si>
    <t>TABLA.DI.ADICIONAR.DATOS</t>
  </si>
  <si>
    <t>PIVOT.ADD.FIELDS</t>
  </si>
  <si>
    <t>DRAAITABEL.VELDEN.TOEV</t>
  </si>
  <si>
    <t>PIVOT.FELD.HINZUFÜGEN</t>
  </si>
  <si>
    <t>AJOUTER.CHAMP.DYNAMIQUE</t>
  </si>
  <si>
    <t>TABLA.DI.AGREGAR.CAMPO</t>
  </si>
  <si>
    <t>PIVOT.FIELD</t>
  </si>
  <si>
    <t>DRAAITABELVELD</t>
  </si>
  <si>
    <t>PIVOT.FELD</t>
  </si>
  <si>
    <t>CHAMP.TABCROIS.DYNAMIQUE</t>
  </si>
  <si>
    <t>TABLA.DI.CAMPO</t>
  </si>
  <si>
    <t>PIVOT.FIELD.GROUP</t>
  </si>
  <si>
    <t>DRAAITABELVELD.GROEPEREN</t>
  </si>
  <si>
    <t>PIVOT.FELD.GRUPPIERUNG</t>
  </si>
  <si>
    <t>GROUPER.CHAMPS.DYNAMIQUES</t>
  </si>
  <si>
    <t>AGRUPAR.CAMPOS.DINAMICOS</t>
  </si>
  <si>
    <t>PIVOT.FIELD.PROPERTIES</t>
  </si>
  <si>
    <t>DRAAITABELVELD.EIGENSCHAPPEN</t>
  </si>
  <si>
    <t>PIVOT.FELD.EIGENSCHAFTEN</t>
  </si>
  <si>
    <t>PROPRIETES.CHAMP.DYNAMIQUE</t>
  </si>
  <si>
    <t>TABLA.DI.PROPIEDADES.CAMPO</t>
  </si>
  <si>
    <t>PIVOT.FIELD.UNGROUP</t>
  </si>
  <si>
    <t>DRAAITABELVELDGRP.OPHEFFEN</t>
  </si>
  <si>
    <t>PIVOT.FELD.GRP.AUFHEBEN</t>
  </si>
  <si>
    <t>DISSOCIER.CHAMPS.DYNAMIQUES</t>
  </si>
  <si>
    <t>DESAGRUPAR.CAMPOS.DINAMICOS</t>
  </si>
  <si>
    <t>PIVOT.ITEM</t>
  </si>
  <si>
    <t>DRAAITABEL.ONDERDEEL</t>
  </si>
  <si>
    <t>PIVOT.ELEMENT</t>
  </si>
  <si>
    <t>ELEMENT.TABCROIS.DYNAMIQUE</t>
  </si>
  <si>
    <t>TABLA.DI.ELEMENTO</t>
  </si>
  <si>
    <t>PIVOT.ITEM.PROPERTIES</t>
  </si>
  <si>
    <t>DRAAITABEL.KENM.ONDERDEEL</t>
  </si>
  <si>
    <t>PIVOT.ELEMENT.EIGENSCHAFTEN</t>
  </si>
  <si>
    <t>PROPRIETES.ELEMENT.TABCROIS.DYNAMIQUE</t>
  </si>
  <si>
    <t>TABLA.DI.PROPIEDADES.ELEMENTO</t>
  </si>
  <si>
    <t>PIVOT.REFRESH</t>
  </si>
  <si>
    <t>DRAAITABEL.VERNIEUWEN</t>
  </si>
  <si>
    <t>PIVOT.DATEN.AKTUALISIEREN</t>
  </si>
  <si>
    <t>ACTUALISER.TABCROIS.DYNAMIQUE</t>
  </si>
  <si>
    <t>TABLA.DI.RENOVAR</t>
  </si>
  <si>
    <t>PIVOT.SHOW.PAGES</t>
  </si>
  <si>
    <t>DRAAITABEL.PAGINAS.WEERGEVEN</t>
  </si>
  <si>
    <t>PIVOT.SEITEN.ANZEIGEN</t>
  </si>
  <si>
    <t>AFFICHER.PAGES.TABCROIS.DYNAMIQUE</t>
  </si>
  <si>
    <t>TABLA.DI.MOSTRAR.PAGINAS</t>
  </si>
  <si>
    <t>PIVOT.TABLE.WIZARD</t>
  </si>
  <si>
    <t>WIZARD.DRAAITABELLEN</t>
  </si>
  <si>
    <t>PIVOT.TABELLEN.ASSISTENT</t>
  </si>
  <si>
    <t>ASSISTANT.TABCROIS.DYNAMIQUE</t>
  </si>
  <si>
    <t>ASISTENTE.TABLAS.DINAMICAS</t>
  </si>
  <si>
    <t>PLACEMENT</t>
  </si>
  <si>
    <t>PLAATSING</t>
  </si>
  <si>
    <t>OBJEKTPOSITION</t>
  </si>
  <si>
    <t>DEPLACEMENT.OBJET</t>
  </si>
  <si>
    <t>COLOCAR</t>
  </si>
  <si>
    <t>POKE</t>
  </si>
  <si>
    <t>INZETTEN</t>
  </si>
  <si>
    <t>SENDEN</t>
  </si>
  <si>
    <t>POINT</t>
  </si>
  <si>
    <t>TRANSFERIR</t>
  </si>
  <si>
    <t>POST.DOCUMENT</t>
  </si>
  <si>
    <t>DOCUMENT.VERZENDEN</t>
  </si>
  <si>
    <t>DOKUMENT.ABLEGEN</t>
  </si>
  <si>
    <t>PUBLIER.DOCUMENT</t>
  </si>
  <si>
    <t>EXPEDIR.DOCUMENTO</t>
  </si>
  <si>
    <t>PRECISION</t>
  </si>
  <si>
    <t>PRECISIE</t>
  </si>
  <si>
    <t>GENAUIGKEIT</t>
  </si>
  <si>
    <t>PREFERRED</t>
  </si>
  <si>
    <t>VOORKEUR</t>
  </si>
  <si>
    <t>VORZUGSFORM</t>
  </si>
  <si>
    <t>GRAPHIQUE.STANDARD</t>
  </si>
  <si>
    <t>PREFERIDO</t>
  </si>
  <si>
    <t>PRESS.TOOL</t>
  </si>
  <si>
    <t>KNOP.INDRUKKEN</t>
  </si>
  <si>
    <t>SYMBOL.DRÜCKEN</t>
  </si>
  <si>
    <t>ENFONCER.OUTIL</t>
  </si>
  <si>
    <t>PRESIONAR.HERRAMIENTA</t>
  </si>
  <si>
    <t>PRINT</t>
  </si>
  <si>
    <t>AFDRUKKEN</t>
  </si>
  <si>
    <t>DRUCKEN</t>
  </si>
  <si>
    <t>IMPRIMER</t>
  </si>
  <si>
    <t>IMPRIMIR</t>
  </si>
  <si>
    <t>PRINT.PREVIEW</t>
  </si>
  <si>
    <t>AFDRUKVOORBEELD</t>
  </si>
  <si>
    <t>SEITENANSICHT</t>
  </si>
  <si>
    <t>APERCU.IMPRESSION</t>
  </si>
  <si>
    <t>PRESENTACION.PRELIMINAR</t>
  </si>
  <si>
    <t>PRINTER.SETUP</t>
  </si>
  <si>
    <t>PRINTERINSTELLING</t>
  </si>
  <si>
    <t>DRUCKER.EINRICHTUNG</t>
  </si>
  <si>
    <t>CONFIGURATION.IMPRIMANTE</t>
  </si>
  <si>
    <t>ESPECIFICAR.IMPRESORA</t>
  </si>
  <si>
    <t>PROMOTE</t>
  </si>
  <si>
    <t>NIVEAU.VERHOGEN</t>
  </si>
  <si>
    <t>HERAUFSTUFEN</t>
  </si>
  <si>
    <t>HAUSSER</t>
  </si>
  <si>
    <t>AUMENTAR.NIVEL</t>
  </si>
  <si>
    <t>PROTECT.DOCUMENT</t>
  </si>
  <si>
    <t>DOCUMENT.BEVEILIGEN</t>
  </si>
  <si>
    <t>DATEI.SCHÜTZEN</t>
  </si>
  <si>
    <t>PROTEGER.DOCUMENT</t>
  </si>
  <si>
    <t>PROTEGER.DOCUMENTO</t>
  </si>
  <si>
    <t>PTTESTM</t>
  </si>
  <si>
    <t>T.TOETS2.GEM</t>
  </si>
  <si>
    <t>TEST.T.PAIRE</t>
  </si>
  <si>
    <t>PRUEBA.T.EMPAREJADAS</t>
  </si>
  <si>
    <t>PTTESTM?</t>
  </si>
  <si>
    <t>T.TOETS2.GEM?</t>
  </si>
  <si>
    <t>TEST.T.PAIRE?</t>
  </si>
  <si>
    <t>PRUEBA.T.EMPAREJADAS?</t>
  </si>
  <si>
    <t>PTTESTV</t>
  </si>
  <si>
    <t>T.TOETS2.VAR</t>
  </si>
  <si>
    <t>TEST.T.DIF.VAR</t>
  </si>
  <si>
    <t>PRUEBA.T.DIF.VAR</t>
  </si>
  <si>
    <t>PTTESTV?</t>
  </si>
  <si>
    <t>T.TOETS2.VAR?</t>
  </si>
  <si>
    <t>TEST.T.DIF.VAR?</t>
  </si>
  <si>
    <t>PRUEBA.T.DIF.VAR?</t>
  </si>
  <si>
    <t>PUSHBUTTON.PROPERTIES</t>
  </si>
  <si>
    <t>OPDRACHTKNOP.INSTELLEN</t>
  </si>
  <si>
    <t>BEFEHLSSCHALT.EIGENSCHAFTEN</t>
  </si>
  <si>
    <t>PROPRIETES.BOUTON</t>
  </si>
  <si>
    <t>FORMATO.OBJ.BOTON</t>
  </si>
  <si>
    <t>QUIT</t>
  </si>
  <si>
    <t>AFSLUITEN</t>
  </si>
  <si>
    <t>BEENDEN</t>
  </si>
  <si>
    <t>QUITTER</t>
  </si>
  <si>
    <t>SALIR</t>
  </si>
  <si>
    <t>RANDOM</t>
  </si>
  <si>
    <t>ASELECT.VERD</t>
  </si>
  <si>
    <t>ZUFALLSVARIABLE</t>
  </si>
  <si>
    <t>RANDOMISATION</t>
  </si>
  <si>
    <t>ALEATORIO2</t>
  </si>
  <si>
    <t>RANDOM?</t>
  </si>
  <si>
    <t>ASELECT.VERD?</t>
  </si>
  <si>
    <t>ZUFALLSVARIABLE?</t>
  </si>
  <si>
    <t>RANDOMISATION?</t>
  </si>
  <si>
    <t>ALEATORIO2?</t>
  </si>
  <si>
    <t>RANKPERC</t>
  </si>
  <si>
    <t>RANG.PERCENTIEL</t>
  </si>
  <si>
    <t>PROZENTRANG</t>
  </si>
  <si>
    <t>RANG.CENTILE</t>
  </si>
  <si>
    <t>JERARQUIA.PERCENTIL</t>
  </si>
  <si>
    <t>RANKPERC?</t>
  </si>
  <si>
    <t>RANG.PERCENTIEL?</t>
  </si>
  <si>
    <t>PROZENTRANG?</t>
  </si>
  <si>
    <t>RANG.CENTILE?</t>
  </si>
  <si>
    <t>JERARQUIA.PERCENTIL?</t>
  </si>
  <si>
    <t>REFTEXT</t>
  </si>
  <si>
    <t>VERWIJZING.TEKST</t>
  </si>
  <si>
    <t>POSTEXT</t>
  </si>
  <si>
    <t>TEXTEREF</t>
  </si>
  <si>
    <t>REFTEXTO</t>
  </si>
  <si>
    <t>REGISTER</t>
  </si>
  <si>
    <t>REGISTRE</t>
  </si>
  <si>
    <t>REGISTRAR</t>
  </si>
  <si>
    <t>REGISTER.ID</t>
  </si>
  <si>
    <t>REGISTRATIE.ID</t>
  </si>
  <si>
    <t>REGISTER.KENNUMMER</t>
  </si>
  <si>
    <t>REGISTRE.NUMERO</t>
  </si>
  <si>
    <t>ID.REGISTRO</t>
  </si>
  <si>
    <t>REGRESS</t>
  </si>
  <si>
    <t>REGRESSIE</t>
  </si>
  <si>
    <t>REGRESSION</t>
  </si>
  <si>
    <t>REGRESION</t>
  </si>
  <si>
    <t>REGRESS?</t>
  </si>
  <si>
    <t>REGRESSIE?</t>
  </si>
  <si>
    <t>REGRESSION?</t>
  </si>
  <si>
    <t>REGRESION?</t>
  </si>
  <si>
    <t>RELREF</t>
  </si>
  <si>
    <t>RELATIEVE.VERWIJZING</t>
  </si>
  <si>
    <t>RELPOS</t>
  </si>
  <si>
    <t>REFREL</t>
  </si>
  <si>
    <t>REMOVE.LIST.ITEM</t>
  </si>
  <si>
    <t>LIJSTGEGEVEN.VERWIJDEREN</t>
  </si>
  <si>
    <t>LISTENEINTRAG.ENTFERNEN</t>
  </si>
  <si>
    <t>SUPPRIMER.ELEMENT.LISTE</t>
  </si>
  <si>
    <t>ELIMINAR.ELEMENTO.LISTA</t>
  </si>
  <si>
    <t>REMOVE.PAGE.BREAK</t>
  </si>
  <si>
    <t>PAGINA.EINDE.VERWIJDEREN</t>
  </si>
  <si>
    <t>SEITENWECHSEL.AUFHEBEN</t>
  </si>
  <si>
    <t>SUPPRIMER.SAUT.DE.PAGE</t>
  </si>
  <si>
    <t>ANULAR.SALTO.DE.PAGINA</t>
  </si>
  <si>
    <t>RENAME.COMMAND</t>
  </si>
  <si>
    <t>OPDRACHTNAAM.WIJZIGEN</t>
  </si>
  <si>
    <t>BEFEHL.UMBENENNEN</t>
  </si>
  <si>
    <t>COMMANDE.RENOMMER</t>
  </si>
  <si>
    <t>CAMBIAR.NOMBRE.COMANDO</t>
  </si>
  <si>
    <t>RENAME.OBJECT</t>
  </si>
  <si>
    <t>OBJECTNAAM.WIJZIGEN</t>
  </si>
  <si>
    <t>OBJEKT.UMBENENNEN</t>
  </si>
  <si>
    <t>OBJET.RENOMMER</t>
  </si>
  <si>
    <t>CAMBIAR.NOMBRE.OBJETO</t>
  </si>
  <si>
    <t>REPLACE.FONT</t>
  </si>
  <si>
    <t>LETTERTYPE.VERVANGEN</t>
  </si>
  <si>
    <t>SCHRIFTART.ERSETZEN</t>
  </si>
  <si>
    <t>REMPLACER.POLICE</t>
  </si>
  <si>
    <t>REEMPLAZAR.TIPO</t>
  </si>
  <si>
    <t>REQUEST</t>
  </si>
  <si>
    <t>VERZOEKEN</t>
  </si>
  <si>
    <t>ABFRAGEN</t>
  </si>
  <si>
    <t>REQUETE</t>
  </si>
  <si>
    <t>SOLICITAR</t>
  </si>
  <si>
    <t>RESET.TOOL</t>
  </si>
  <si>
    <t>KNOP.BEGINWAARDE.INST</t>
  </si>
  <si>
    <t>SYMBOL.ZURÜCKSETZEN</t>
  </si>
  <si>
    <t>RETABLIR.OUTIL</t>
  </si>
  <si>
    <t>RESTABLECER.HERRAMIENTA</t>
  </si>
  <si>
    <t>RESET.TOOLBAR</t>
  </si>
  <si>
    <t>WERKBALK.BEGINWAARDE.INST</t>
  </si>
  <si>
    <t>SYMBOLLEISTE.ZURÜCKSETZEN</t>
  </si>
  <si>
    <t>RETABLIR.BARRE.OUTILS</t>
  </si>
  <si>
    <t>RESTABLECER.BARRA</t>
  </si>
  <si>
    <t>RESTART</t>
  </si>
  <si>
    <t>OPNIEUW.STARTEN</t>
  </si>
  <si>
    <t>NEUSTART</t>
  </si>
  <si>
    <t>RECOMMENCER</t>
  </si>
  <si>
    <t>REINICIAR</t>
  </si>
  <si>
    <t>RESULT</t>
  </si>
  <si>
    <t>RESULTAAT</t>
  </si>
  <si>
    <t>ERGEBNIS</t>
  </si>
  <si>
    <t>RESULTAT</t>
  </si>
  <si>
    <t>RESULTADO</t>
  </si>
  <si>
    <t>RESUME</t>
  </si>
  <si>
    <t>HERVATTEN</t>
  </si>
  <si>
    <t>WEITER.AUSFÜHREN</t>
  </si>
  <si>
    <t>REPRISE</t>
  </si>
  <si>
    <t>REANUDAR</t>
  </si>
  <si>
    <t>RETURN</t>
  </si>
  <si>
    <t>TERUG</t>
  </si>
  <si>
    <t>RÜCKSPRUNG</t>
  </si>
  <si>
    <t>RETOUR</t>
  </si>
  <si>
    <t>VOLVER</t>
  </si>
  <si>
    <t>ROUTE.DOCUMENT</t>
  </si>
  <si>
    <t>DOCUMENT.RONDSTUREN</t>
  </si>
  <si>
    <t>DOKUMENT.WEITERLEITEN</t>
  </si>
  <si>
    <t>DISTRIBUER.DOCUMENT</t>
  </si>
  <si>
    <t>RUTA.DOCUMENTO</t>
  </si>
  <si>
    <t>ROUTING.SLIP</t>
  </si>
  <si>
    <t>CIRCULATIELIJST</t>
  </si>
  <si>
    <t>VERTEILER</t>
  </si>
  <si>
    <t>BORDEREAU.ROUTAGE</t>
  </si>
  <si>
    <t>LISTA.DE.DISTRIBUCION</t>
  </si>
  <si>
    <t>ROW.HEIGHT</t>
  </si>
  <si>
    <t>RIJHOOGTE</t>
  </si>
  <si>
    <t>ZEILENHÖHE</t>
  </si>
  <si>
    <t>HAUTEUR.LIGNE</t>
  </si>
  <si>
    <t>ALTO.FILA</t>
  </si>
  <si>
    <t>RUN</t>
  </si>
  <si>
    <t>STARTEN</t>
  </si>
  <si>
    <t>MAKRO.AUSFÜHREN</t>
  </si>
  <si>
    <t>EXECUTER</t>
  </si>
  <si>
    <t>EJECUTAR</t>
  </si>
  <si>
    <t>SAMPLE</t>
  </si>
  <si>
    <t>STEEKPROEF</t>
  </si>
  <si>
    <t>STICHPROBE</t>
  </si>
  <si>
    <t>ECHANTILLONNAGE</t>
  </si>
  <si>
    <t>MUESTRA</t>
  </si>
  <si>
    <t>SAMPLE?</t>
  </si>
  <si>
    <t>STEEKPROEF?</t>
  </si>
  <si>
    <t>STICHPROBE?</t>
  </si>
  <si>
    <t>ECHANTILLONNAGE?</t>
  </si>
  <si>
    <t>MUESTRA?</t>
  </si>
  <si>
    <t>SAVE</t>
  </si>
  <si>
    <t>OPSLAAN</t>
  </si>
  <si>
    <t>SPEICHERN</t>
  </si>
  <si>
    <t>ENREGISTRER</t>
  </si>
  <si>
    <t>GUARDAR</t>
  </si>
  <si>
    <t>SAVE.AS</t>
  </si>
  <si>
    <t>OPSLAAN.ALS</t>
  </si>
  <si>
    <t>SPEICHERN.UNTER</t>
  </si>
  <si>
    <t>ENREGISTRER.SOUS</t>
  </si>
  <si>
    <t>GUARDAR.COMO</t>
  </si>
  <si>
    <t>SAVE.COPY.AS</t>
  </si>
  <si>
    <t>KOPIE.OPSLAAN.ALS</t>
  </si>
  <si>
    <t>KOPIE.SPEICHERN.UNTER</t>
  </si>
  <si>
    <t>ENREGISTRER.COPIE.SOUS</t>
  </si>
  <si>
    <t>GUARDAR.COPIA.COMO</t>
  </si>
  <si>
    <t>SAVE.DIALOG</t>
  </si>
  <si>
    <t>DIALOOGVENSTER.OPSLAAN</t>
  </si>
  <si>
    <t>DATEI.SPEICHERN.UNTER</t>
  </si>
  <si>
    <t>ENREGISTRER.DIALOGUE</t>
  </si>
  <si>
    <t>GUARDAR.ARCHIVO</t>
  </si>
  <si>
    <t>SAVE.NEW.OBJECT</t>
  </si>
  <si>
    <t>NIEUW.OBJECT.OPSLAAN</t>
  </si>
  <si>
    <t>NEWWAVE.NEUES.OBJEKT.SPEICHERN</t>
  </si>
  <si>
    <t>NW.ENREGISTRER.NOUVEL.OBJET</t>
  </si>
  <si>
    <t>GUARDAR.NUEVO.OBJETO</t>
  </si>
  <si>
    <t>SAVE.TOOLBAR</t>
  </si>
  <si>
    <t>WERKBALK.OPSLAAN</t>
  </si>
  <si>
    <t>SYMBOLLEISTE.SPEICHERN</t>
  </si>
  <si>
    <t>ENREGISTRER.BARRE.OUTILS</t>
  </si>
  <si>
    <t>GUARDAR.BARRA.HERRAMIENTAS</t>
  </si>
  <si>
    <t>SAVE.WORKBOOK</t>
  </si>
  <si>
    <t>WERKMAP.OPSLAAN</t>
  </si>
  <si>
    <t>ARBEITSMAPPE.SPEICHERN</t>
  </si>
  <si>
    <t>ENREGISTRER.CLASSEUR</t>
  </si>
  <si>
    <t>GUARDAR.LIBRO</t>
  </si>
  <si>
    <t>SAVE.WORKSPACE</t>
  </si>
  <si>
    <t>WERKRUIMTE.OPSLAAN</t>
  </si>
  <si>
    <t>ARBEITSBEREICH.SPEICHERN</t>
  </si>
  <si>
    <t>ENREGISTRER.ENV</t>
  </si>
  <si>
    <t>GUARDAR.AREA.DE.TRABAJO</t>
  </si>
  <si>
    <t>SCALE</t>
  </si>
  <si>
    <t>SCHAAL</t>
  </si>
  <si>
    <t>SKALIERUNG</t>
  </si>
  <si>
    <t>ECHELLE</t>
  </si>
  <si>
    <t>ESCALA</t>
  </si>
  <si>
    <t>SCENARIO.ADD</t>
  </si>
  <si>
    <t>SCENARIO.TOEVOEGEN</t>
  </si>
  <si>
    <t>SZENARIO.HINZUFÜGEN</t>
  </si>
  <si>
    <t>SCENARIO.AJOUTER</t>
  </si>
  <si>
    <t>AGREGAR.ESCENARIO</t>
  </si>
  <si>
    <t>SCENARIO.CELLS</t>
  </si>
  <si>
    <t>SCENARIO.CELLEN</t>
  </si>
  <si>
    <t>SZENARIO.ZELLEN</t>
  </si>
  <si>
    <t>SCENARIO.CELLULES</t>
  </si>
  <si>
    <t>ESCENARIO.CELDAS</t>
  </si>
  <si>
    <t>SCENARIO.DELETE</t>
  </si>
  <si>
    <t>SCENARIO.VERWIJDEREN</t>
  </si>
  <si>
    <t>SZENARIO.LÖSCHEN</t>
  </si>
  <si>
    <t>SCENARIO.SUPPRIMER</t>
  </si>
  <si>
    <t>ESCENARIO.ELIMINAR</t>
  </si>
  <si>
    <t>SCENARIO.EDIT</t>
  </si>
  <si>
    <t>SCENARIO.BEWERKEN</t>
  </si>
  <si>
    <t>SZENARIO.BEARBEITEN</t>
  </si>
  <si>
    <t>SCENARIO.MODIFIER</t>
  </si>
  <si>
    <t>ESCENARIO.EDITAR</t>
  </si>
  <si>
    <t>SCENARIO.GET</t>
  </si>
  <si>
    <t>SCENARIO.LEZEN</t>
  </si>
  <si>
    <t>SZENARIO.INFO</t>
  </si>
  <si>
    <t>LIRE.SCENARIO</t>
  </si>
  <si>
    <t>ESCENARIO.INDICAR</t>
  </si>
  <si>
    <t>SCENARIO.MERGE</t>
  </si>
  <si>
    <t>SCENARIO.SAMENVOEGEN</t>
  </si>
  <si>
    <t>SZENARIO.ZUSAMMENFÜHREN</t>
  </si>
  <si>
    <t>SCENARIO.FUSIONNER</t>
  </si>
  <si>
    <t>ESCENARIO.COMBINAR</t>
  </si>
  <si>
    <t>SCENARIO.SHOW</t>
  </si>
  <si>
    <t>SCENARIO.WEERGEVEN</t>
  </si>
  <si>
    <t>SZENARIO.ZEIGEN</t>
  </si>
  <si>
    <t>SCENARIO.AFFICHER</t>
  </si>
  <si>
    <t>ESCENARIO.MOSTRAR</t>
  </si>
  <si>
    <t>SCENARIO.SHOW.NEXT</t>
  </si>
  <si>
    <t>VOLGEND.SCENARIO.WEERGEVEN</t>
  </si>
  <si>
    <t>SZENARIO.NÄCHSTES.ZEIGEN</t>
  </si>
  <si>
    <t>SCENARIO.AFFICHER.SUIVANT</t>
  </si>
  <si>
    <t>ESCENARIO.MOSTRAR.PROXIMO</t>
  </si>
  <si>
    <t>SCENARIO.SUMMARY</t>
  </si>
  <si>
    <t>SCENARIO.SAMENVATTING</t>
  </si>
  <si>
    <t>SZENARIO.ÜBERSICHT</t>
  </si>
  <si>
    <t>SCENARIO.SYNTHESE</t>
  </si>
  <si>
    <t>ESCENARIO.RESUMEN</t>
  </si>
  <si>
    <t>SCROLLBAR.PROPERTIES</t>
  </si>
  <si>
    <t>SCHUIFBALK.EIGENSCHAPPEN</t>
  </si>
  <si>
    <t>BILDLAUF.EIGENSCHAFTEN</t>
  </si>
  <si>
    <t>PROPRIETES.BARRE.DEFILEMENT</t>
  </si>
  <si>
    <t>FORMATO.OBJ.BARRA.DESPLAZ</t>
  </si>
  <si>
    <t>SELECT</t>
  </si>
  <si>
    <t>SELECTEREN</t>
  </si>
  <si>
    <t>AUSWÄHLEN</t>
  </si>
  <si>
    <t>SELECTIONNER</t>
  </si>
  <si>
    <t>SELECT.ALL</t>
  </si>
  <si>
    <t>ALLES.SELECTEREN</t>
  </si>
  <si>
    <t>ALLE.AUSWÄHLEN</t>
  </si>
  <si>
    <t>TOUT.SELECTIONNER</t>
  </si>
  <si>
    <t>SELECCIONAR.TODO</t>
  </si>
  <si>
    <t>SELECT.CHART</t>
  </si>
  <si>
    <t>GRAFIEK.SELECTEREN</t>
  </si>
  <si>
    <t>DIAGRAMM.AUSWÄHLEN</t>
  </si>
  <si>
    <t>SEL.GRAPHIQUE</t>
  </si>
  <si>
    <t>SELECCIONAR.GRAFICO</t>
  </si>
  <si>
    <t>SELECT.END</t>
  </si>
  <si>
    <t>SELECTEREN.UITBREIDEN</t>
  </si>
  <si>
    <t>ENDE.AUSWÄHLEN</t>
  </si>
  <si>
    <t>MODIFIER.SELECTION</t>
  </si>
  <si>
    <t>SELECCIONAR.FIN</t>
  </si>
  <si>
    <t>SELECT.LAST.CELL</t>
  </si>
  <si>
    <t>LAATSTE.CEL.SELECTEREN</t>
  </si>
  <si>
    <t>LETZTE.ZELLE.AUSWÄHLEN</t>
  </si>
  <si>
    <t>SEL.DERNIERE.CELLULE</t>
  </si>
  <si>
    <t>SELECCIONAR.ULTIMA.CELDA</t>
  </si>
  <si>
    <t>SELECT.LIST.ITEM</t>
  </si>
  <si>
    <t>LIJSTGEGEVEN.SELECTEREN</t>
  </si>
  <si>
    <t>LISTENEINTRAG.AUSWÄHLEN</t>
  </si>
  <si>
    <t>SELECTIONNER.ELEMENT.LISTE</t>
  </si>
  <si>
    <t>SELECCIONAR.ELEMENTO.LISTA</t>
  </si>
  <si>
    <t>SELECT.PLOT.AREA</t>
  </si>
  <si>
    <t>TEKENGEBIED.SELECTEREN</t>
  </si>
  <si>
    <t>DIAGRAMMFLÄCHE.AUSWÄHLEN</t>
  </si>
  <si>
    <t>SEL.ZONE.TRACAGE</t>
  </si>
  <si>
    <t>SELECCIONAR.AREA.DE.TRAZADO</t>
  </si>
  <si>
    <t>SELECT.SPECIAL</t>
  </si>
  <si>
    <t>SELECTEREN.SPECIAAL</t>
  </si>
  <si>
    <t>INHALTE.AUSWÄHLEN</t>
  </si>
  <si>
    <t>SELECTION.CELLULES</t>
  </si>
  <si>
    <t>SELECCION.ESPECIAL</t>
  </si>
  <si>
    <t>SELECTION</t>
  </si>
  <si>
    <t>SELECTIE</t>
  </si>
  <si>
    <t>AUSWAHL</t>
  </si>
  <si>
    <t>SELECCION</t>
  </si>
  <si>
    <t>SEND.KEYS</t>
  </si>
  <si>
    <t>TOETSEN.VERZENDEN</t>
  </si>
  <si>
    <t>TASTENF.SENDEN</t>
  </si>
  <si>
    <t>TOUCHES</t>
  </si>
  <si>
    <t>ENVIAR.TECLAS</t>
  </si>
  <si>
    <t>SEND.MAIL</t>
  </si>
  <si>
    <t>BERICHT.ZENDEN</t>
  </si>
  <si>
    <t>NACHRICHT.SENDEN</t>
  </si>
  <si>
    <t>ENVOYER.MESSAGE</t>
  </si>
  <si>
    <t>ENVIAR.DOCUMENTO.POR.MAIL</t>
  </si>
  <si>
    <t>SEND.TO.BACK</t>
  </si>
  <si>
    <t>NAAR.ACHTERGROND</t>
  </si>
  <si>
    <t>IN.DEN.HINTERGRUND</t>
  </si>
  <si>
    <t>ARRIERE.PLAN</t>
  </si>
  <si>
    <t>HACIA.ATRAS</t>
  </si>
  <si>
    <t>SERIES</t>
  </si>
  <si>
    <t>REEKS</t>
  </si>
  <si>
    <t>DATENREIHE</t>
  </si>
  <si>
    <t>SERIE</t>
  </si>
  <si>
    <t>SERIES.AXES</t>
  </si>
  <si>
    <t>REEKSASSEN</t>
  </si>
  <si>
    <t>DATENREIHE.ACHSEN</t>
  </si>
  <si>
    <t>AXES.SERIE</t>
  </si>
  <si>
    <t>EJES.SERIES</t>
  </si>
  <si>
    <t>SERIES.ORDER</t>
  </si>
  <si>
    <t>REEKSVOLGORDE</t>
  </si>
  <si>
    <t>DATENREIHE.FOLGE</t>
  </si>
  <si>
    <t>ORDRE.SERIE</t>
  </si>
  <si>
    <t>ORDEN.SERIES</t>
  </si>
  <si>
    <t>SERIES.X</t>
  </si>
  <si>
    <t>X.AS</t>
  </si>
  <si>
    <t>DATENREIHE.X</t>
  </si>
  <si>
    <t>SERIE.X</t>
  </si>
  <si>
    <t>SERIES.Y</t>
  </si>
  <si>
    <t>Y.AS</t>
  </si>
  <si>
    <t>DATENREIHE.Y</t>
  </si>
  <si>
    <t>SERIE.Y</t>
  </si>
  <si>
    <t>SET.CONTROL.VALUE</t>
  </si>
  <si>
    <t>BESTURINGSELEMENT.INST</t>
  </si>
  <si>
    <t>STEUERUNGSWERT.FESTLEGEN</t>
  </si>
  <si>
    <t>DEFINIR.VALEUR.CONTROLE</t>
  </si>
  <si>
    <t>ESTABLECER.VALOR.DE.CONTROL</t>
  </si>
  <si>
    <t>SET.CRITERIA</t>
  </si>
  <si>
    <t>CRITERIA.BEPALEN</t>
  </si>
  <si>
    <t>SUCHKRITERIEN.FESTLEGEN</t>
  </si>
  <si>
    <t>CRITERES</t>
  </si>
  <si>
    <t>ESTABLECER.CRITERIOS</t>
  </si>
  <si>
    <t>SET.DATABASE</t>
  </si>
  <si>
    <t>DATABASE.BEPALEN</t>
  </si>
  <si>
    <t>DATENBANK.FESTLEGEN</t>
  </si>
  <si>
    <t>BASE.DE.DONNEES</t>
  </si>
  <si>
    <t>ESTABLECER.BASE.DE.DATOS</t>
  </si>
  <si>
    <t>SET.DIALOG.DEFAULT</t>
  </si>
  <si>
    <t>STANDAARDKNOP.DIALOOG.INST</t>
  </si>
  <si>
    <t>DIALOGSTANDARD.FESTLEGEN</t>
  </si>
  <si>
    <t>DETERMINER.DEFAUT.DIALOGUE</t>
  </si>
  <si>
    <t>ESTABLECER.DIALOGO.ESTANDAR</t>
  </si>
  <si>
    <t>SET.DIALOG.FOCUS</t>
  </si>
  <si>
    <t>ACTIEF.ELEMENT.DIALOOG.INST</t>
  </si>
  <si>
    <t>DIALOGFOKUS.FESTLEGEN</t>
  </si>
  <si>
    <t>DETERMINER.FOCUS.DIALOGUE</t>
  </si>
  <si>
    <t>ESTABLECER.ENFOQUE.DIALOGO</t>
  </si>
  <si>
    <t>SET.EXTRACT</t>
  </si>
  <si>
    <t>OPHALEN.BEPALEN</t>
  </si>
  <si>
    <t>ZIELBEREICH.FESTLEGEN</t>
  </si>
  <si>
    <t>EXTRACTION</t>
  </si>
  <si>
    <t>ESTABLECER.EXTRACCION</t>
  </si>
  <si>
    <t>SET.LIST.ITEM</t>
  </si>
  <si>
    <t>LIJSTGEGEVEN.OPGEVEN</t>
  </si>
  <si>
    <t>LISTENEINTRAG.FESTLEGEN</t>
  </si>
  <si>
    <t>DEFINIR.ELEMENT.LISTE</t>
  </si>
  <si>
    <t>ESTABLECER.ELEMENTO.LISTA</t>
  </si>
  <si>
    <t>SET.NAME</t>
  </si>
  <si>
    <t>NAAM.GEVEN</t>
  </si>
  <si>
    <t>NAMEN.ZUWEISEN</t>
  </si>
  <si>
    <t>POSER.NOM</t>
  </si>
  <si>
    <t>ESTABLECER.NOMBRE</t>
  </si>
  <si>
    <t>SET.PAGE.BREAK</t>
  </si>
  <si>
    <t>PAGINA.EINDE.BEPALEN</t>
  </si>
  <si>
    <t>SEITENWECHSEL.FESTLEGEN</t>
  </si>
  <si>
    <t>SAUT.DE.PAGE</t>
  </si>
  <si>
    <t>ESTABLECER.SALTO.DE.PAGINA</t>
  </si>
  <si>
    <t>SET.PREFERRED</t>
  </si>
  <si>
    <t>VOORKEUR.BEPALEN</t>
  </si>
  <si>
    <t>VORZUGSFORM.FESTLEGEN</t>
  </si>
  <si>
    <t>DEFINIR.GRAPHIQUE.STANDARD</t>
  </si>
  <si>
    <t>ESTABLECER.GRAFICO.PREFERIDO</t>
  </si>
  <si>
    <t>SET.PRINT.AREA</t>
  </si>
  <si>
    <t>AFDRUKBEREIK.BEPALEN</t>
  </si>
  <si>
    <t>DRUCKBEREICH.FESTLEGEN</t>
  </si>
  <si>
    <t>ZONE.IMPRESSION</t>
  </si>
  <si>
    <t>ESTABLECER.AREA.DE.IMPRESION</t>
  </si>
  <si>
    <t>SET.PRINT.TITLES</t>
  </si>
  <si>
    <t>AFDRUKTITELS.BEPALEN</t>
  </si>
  <si>
    <t>DRUCKTITEL.FESTLEGEN</t>
  </si>
  <si>
    <t>IMPRESSION.TITRES</t>
  </si>
  <si>
    <t>ESTABLECER.TITULOS.A.IMPRIMIR</t>
  </si>
  <si>
    <t>SET.UPDATE.STATUS</t>
  </si>
  <si>
    <t>HERZIENINGSSTATUS.BEPALEN</t>
  </si>
  <si>
    <t>AKTUALISIERUNGSSTATUS</t>
  </si>
  <si>
    <t>ETAT.MISE.A.JOUR</t>
  </si>
  <si>
    <t>ESTADO.ACTUALIZACION</t>
  </si>
  <si>
    <t>SET.VALUE</t>
  </si>
  <si>
    <t>WAARDE.BEPALEN</t>
  </si>
  <si>
    <t>WERT.FESTLEGEN</t>
  </si>
  <si>
    <t>POSER.VALEUR</t>
  </si>
  <si>
    <t>ESTABLECER.VALOR</t>
  </si>
  <si>
    <t>SHARE</t>
  </si>
  <si>
    <t>VERBINDING</t>
  </si>
  <si>
    <t>NEWWAVE.MEHRFACH.NUTZEN</t>
  </si>
  <si>
    <t>NW.CREER.VUE</t>
  </si>
  <si>
    <t>COMPARTIR</t>
  </si>
  <si>
    <t>SHARE.NAME</t>
  </si>
  <si>
    <t>NAAM.VERBINDING</t>
  </si>
  <si>
    <t>NEWWAVE.MEHRFACH.NUTZEN.NAME</t>
  </si>
  <si>
    <t>NW.CREER.VUE.NOM</t>
  </si>
  <si>
    <t>COMPARTIR.NOMBRE</t>
  </si>
  <si>
    <t>SHEET.BACKGROUND</t>
  </si>
  <si>
    <t>BLAD.ACHTERGROND</t>
  </si>
  <si>
    <t>BLATTHINTERGRUND</t>
  </si>
  <si>
    <t>FEUILLE.FOND</t>
  </si>
  <si>
    <t>HOJA.FONDO</t>
  </si>
  <si>
    <t>SHORT.MENUS</t>
  </si>
  <si>
    <t>BEKNOPTE.MENUS</t>
  </si>
  <si>
    <t>KURZE.MENÜS</t>
  </si>
  <si>
    <t>MENUS.COURTS</t>
  </si>
  <si>
    <t>MENUS.CORTOS</t>
  </si>
  <si>
    <t>SHOW.ACTIVE.CELL</t>
  </si>
  <si>
    <t>ACTIEVE.CEL.TONEN</t>
  </si>
  <si>
    <t>AKTIVE.ZELLE.ZEIGEN</t>
  </si>
  <si>
    <t>AFFICHER.CELLULE.ACTIVE</t>
  </si>
  <si>
    <t>MOSTRAR.CELDA.ACTIVA</t>
  </si>
  <si>
    <t>SHOW.BAR</t>
  </si>
  <si>
    <t>BALK.TONEN</t>
  </si>
  <si>
    <t>MENÜLEISTE.ZEIGEN</t>
  </si>
  <si>
    <t>AFFICHER.BARRE</t>
  </si>
  <si>
    <t>MOSTRAR.BARRA</t>
  </si>
  <si>
    <t>SHOW.CLIPBOARD</t>
  </si>
  <si>
    <t>KLEMBORD.TONEN</t>
  </si>
  <si>
    <t>ZWISCHENABLAGE.EINBLENDEN</t>
  </si>
  <si>
    <t>AFFICHER.PRESSE.PAPIERS</t>
  </si>
  <si>
    <t>MOSTRAR.PORTAPAPELES</t>
  </si>
  <si>
    <t>SHOW.DETAIL</t>
  </si>
  <si>
    <t>DETAIL.TONEN</t>
  </si>
  <si>
    <t>DETAIL.EINBLENDEN</t>
  </si>
  <si>
    <t>AFFICHER.DETAIL</t>
  </si>
  <si>
    <t>MOSTRAR.DETALLE</t>
  </si>
  <si>
    <t>SHOW.DIALOG</t>
  </si>
  <si>
    <t>DIALOOG.WEERGEVEN</t>
  </si>
  <si>
    <t>DIALOG.ANZEIGEN</t>
  </si>
  <si>
    <t>AFFICHER.DIALOGUE</t>
  </si>
  <si>
    <t>MOSTRAR.DIALOGO</t>
  </si>
  <si>
    <t>SHOW.INFO</t>
  </si>
  <si>
    <t>INFORMATIE.TONEN</t>
  </si>
  <si>
    <t>INFO.ZEIGEN</t>
  </si>
  <si>
    <t>AFFICHAGE.INFO</t>
  </si>
  <si>
    <t>MOSTRAR.INFORMACION</t>
  </si>
  <si>
    <t>SHOW.LEVELS</t>
  </si>
  <si>
    <t>NIVEAUS.TONEN</t>
  </si>
  <si>
    <t>GLIEDERUNGSEBENEN.ZEIGEN</t>
  </si>
  <si>
    <t>AFFICHER.NIVEAUX</t>
  </si>
  <si>
    <t>MOSTRAR.NIVELES</t>
  </si>
  <si>
    <t>SHOW.TOOLBAR</t>
  </si>
  <si>
    <t>WERKBALK.TONEN</t>
  </si>
  <si>
    <t>SYMBOLLEISTE.ZEIGEN</t>
  </si>
  <si>
    <t>AFFICHER.BARRE.OUTILS</t>
  </si>
  <si>
    <t>MOSTRAR.BARRA.DE.HERRAMIENTAS</t>
  </si>
  <si>
    <t>SIZE</t>
  </si>
  <si>
    <t>FORMAAT</t>
  </si>
  <si>
    <t>GRÖSSE</t>
  </si>
  <si>
    <t>DIMENSION</t>
  </si>
  <si>
    <t>TAMAÑO</t>
  </si>
  <si>
    <t>SORT</t>
  </si>
  <si>
    <t>SORTEREN</t>
  </si>
  <si>
    <t>ORDNEN</t>
  </si>
  <si>
    <t>TRIER</t>
  </si>
  <si>
    <t>ORDENAR</t>
  </si>
  <si>
    <t>SORT.SPECIAL</t>
  </si>
  <si>
    <t>SORTEREN.SPECIAAL</t>
  </si>
  <si>
    <t>TRI.SPECIAL</t>
  </si>
  <si>
    <t>SOUND.NOTE</t>
  </si>
  <si>
    <t>GELUIDSNOTITIE</t>
  </si>
  <si>
    <t>TONNOTIZ</t>
  </si>
  <si>
    <t>COMMENTAIRES.AUDIO</t>
  </si>
  <si>
    <t>NOTA.SONORA</t>
  </si>
  <si>
    <t>SOUND.PLAY</t>
  </si>
  <si>
    <t>GELUID.AFSPELEN</t>
  </si>
  <si>
    <t>TON.ABSPIELEN</t>
  </si>
  <si>
    <t>REPRODUIRE.SON</t>
  </si>
  <si>
    <t>REPRODUCIR.SONIDO</t>
  </si>
  <si>
    <t>SPELLING</t>
  </si>
  <si>
    <t>RECHTSCHREIBUNG</t>
  </si>
  <si>
    <t>ORTHOGRAPHE</t>
  </si>
  <si>
    <t>ORTOGRAFIA</t>
  </si>
  <si>
    <t>SPELLING.CHECK</t>
  </si>
  <si>
    <t>SPELLINGCONTROLE</t>
  </si>
  <si>
    <t>RECHTSCHREIBUNG.ÜBERPRÜFEN</t>
  </si>
  <si>
    <t>VERIFIER.ORTHOGRAPHE</t>
  </si>
  <si>
    <t>REVISION.ORTOGRAFICA</t>
  </si>
  <si>
    <t>SPLIT</t>
  </si>
  <si>
    <t>SPLITSEN</t>
  </si>
  <si>
    <t>TEILEN</t>
  </si>
  <si>
    <t>PARTAGER</t>
  </si>
  <si>
    <t>DIVIDIR</t>
  </si>
  <si>
    <t>STANDARD.FONT</t>
  </si>
  <si>
    <t>STANDAARDLETTERTYPE</t>
  </si>
  <si>
    <t>STANDARDSCHRIFT</t>
  </si>
  <si>
    <t>POLICE.STANDARD</t>
  </si>
  <si>
    <t>TIPO.ESTANDAR</t>
  </si>
  <si>
    <t>STANDARD.WIDTH</t>
  </si>
  <si>
    <t>STANDAARDBREEDTE</t>
  </si>
  <si>
    <t>STANDARDBREITE</t>
  </si>
  <si>
    <t>LARGEUR.STANDARD</t>
  </si>
  <si>
    <t>ANCHO.ESTANDAR</t>
  </si>
  <si>
    <t>START</t>
  </si>
  <si>
    <t>BEGIN</t>
  </si>
  <si>
    <t>VBA.DEMARRER</t>
  </si>
  <si>
    <t>COMENZAR</t>
  </si>
  <si>
    <t>STEP</t>
  </si>
  <si>
    <t>STAP</t>
  </si>
  <si>
    <t>EINZELSCHRITT</t>
  </si>
  <si>
    <t>PAS.A.PAS</t>
  </si>
  <si>
    <t>PASO.A.PASO</t>
  </si>
  <si>
    <t>STYLE</t>
  </si>
  <si>
    <t>STIJL</t>
  </si>
  <si>
    <t>AUSZEICHNUNG</t>
  </si>
  <si>
    <t>ESTILO</t>
  </si>
  <si>
    <t>SUBSCRIBE.TO</t>
  </si>
  <si>
    <t>ABONNIEREN</t>
  </si>
  <si>
    <t>ABONNER.A</t>
  </si>
  <si>
    <t>SUBTOTAL.CREATE</t>
  </si>
  <si>
    <t>SUBTOTAAL.MAKEN</t>
  </si>
  <si>
    <t>TEILERGEBNIS.ERSTELLEN</t>
  </si>
  <si>
    <t>CREER.SOUS.TOTAL</t>
  </si>
  <si>
    <t>CREAR.SUBTOTAL</t>
  </si>
  <si>
    <t>SUBTOTAL.REMOVE</t>
  </si>
  <si>
    <t>SUBTOTAAL.VERWIJDEREN</t>
  </si>
  <si>
    <t>TEILERGEBNIS.LÖSCHEN</t>
  </si>
  <si>
    <t>SUPPRIMER.SOUS.TOTAL</t>
  </si>
  <si>
    <t>ELIMINAR.SUBTOTAL</t>
  </si>
  <si>
    <t>SUMMARY.INFO</t>
  </si>
  <si>
    <t>SAMENVATTINGSINFO</t>
  </si>
  <si>
    <t>DATEI.INFO</t>
  </si>
  <si>
    <t>RESUMEN</t>
  </si>
  <si>
    <t>TAB.ORDER</t>
  </si>
  <si>
    <t>TABVOLGORDE</t>
  </si>
  <si>
    <t>AKTIVIERFOLGE</t>
  </si>
  <si>
    <t>ORDRE.TABULATION</t>
  </si>
  <si>
    <t>ORDEN.DE.TAB</t>
  </si>
  <si>
    <t>TABLE</t>
  </si>
  <si>
    <t>TABEL</t>
  </si>
  <si>
    <t>MEHRFACHOPERATION</t>
  </si>
  <si>
    <t>TABLA</t>
  </si>
  <si>
    <t>TERMINATE</t>
  </si>
  <si>
    <t>KANAAL.SLUITEN</t>
  </si>
  <si>
    <t>KANAL.SCHLIESSEN</t>
  </si>
  <si>
    <t>TERMINER</t>
  </si>
  <si>
    <t>TERMINAR</t>
  </si>
  <si>
    <t>TEXT.BOX</t>
  </si>
  <si>
    <t>TEKSTVAK</t>
  </si>
  <si>
    <t>TEXTFELD</t>
  </si>
  <si>
    <t>ZONE.TEXTE</t>
  </si>
  <si>
    <t>CUADRO.DE.TEXTO</t>
  </si>
  <si>
    <t>TEXT.TO.COLUMNS</t>
  </si>
  <si>
    <t>TEKST.NAAR.KOLOMMEN</t>
  </si>
  <si>
    <t>TEXT.IN.SPALTEN</t>
  </si>
  <si>
    <t>TEXTE.EN.COLONNES</t>
  </si>
  <si>
    <t>TEXTO.EN.COLUMNAS</t>
  </si>
  <si>
    <t>TEXTREF</t>
  </si>
  <si>
    <t>TEKST.VERWIJZING</t>
  </si>
  <si>
    <t>TEXTPOS</t>
  </si>
  <si>
    <t>REFTEXTE</t>
  </si>
  <si>
    <t>TEXTOREF</t>
  </si>
  <si>
    <t>TRACER.CLEAR</t>
  </si>
  <si>
    <t>CONTROLEPIJLEN.WISSEN</t>
  </si>
  <si>
    <t>DETEKTIV.ENTFERNEN</t>
  </si>
  <si>
    <t>AUDIT.SUPPRIMER.FLECHES</t>
  </si>
  <si>
    <t>QUITAR.RASTREADOR</t>
  </si>
  <si>
    <t>TRACER.DISPLAY</t>
  </si>
  <si>
    <t>CONTROLEPIJLEN.WEERGEVEN</t>
  </si>
  <si>
    <t>DETEKTIV.ANZEIGEN</t>
  </si>
  <si>
    <t>AUDIT.REPERER</t>
  </si>
  <si>
    <t>MOSTRAR.RASTREADOR</t>
  </si>
  <si>
    <t>TRACER.ERROR</t>
  </si>
  <si>
    <t>CONTROLEPIJLEN.NAAR.FOUT</t>
  </si>
  <si>
    <t>DETEKTIV.FEHLER</t>
  </si>
  <si>
    <t>AUDIT.REPERER.ERREUR</t>
  </si>
  <si>
    <t>RASTREAR.ERROR</t>
  </si>
  <si>
    <t>TRACER.NAVIGATE</t>
  </si>
  <si>
    <t>CONTROLEPIJL.RICHTING</t>
  </si>
  <si>
    <t>DETEKTIV.FOLGEN</t>
  </si>
  <si>
    <t>AUDIT.DEPLACER</t>
  </si>
  <si>
    <t>DESPLAZAR.PTOS.RASTREO</t>
  </si>
  <si>
    <t>TTESTM</t>
  </si>
  <si>
    <t>T.TOETS.GEM</t>
  </si>
  <si>
    <t>TEST.T.MEME.VAR</t>
  </si>
  <si>
    <t>PRUEBA.T.VAR.IGUAL</t>
  </si>
  <si>
    <t>TTESTM?</t>
  </si>
  <si>
    <t>T.TOETS.GEM?</t>
  </si>
  <si>
    <t>TEST.T.MEME.VAR?</t>
  </si>
  <si>
    <t>PRUEBA.T.VAR.IGUAL?</t>
  </si>
  <si>
    <t>UNDO</t>
  </si>
  <si>
    <t>ONGEDAAN.MAKEN</t>
  </si>
  <si>
    <t>WIDERRUFEN</t>
  </si>
  <si>
    <t>ANNULER</t>
  </si>
  <si>
    <t>DESHACER</t>
  </si>
  <si>
    <t>UNGROUP</t>
  </si>
  <si>
    <t>GROEP.OPHEFFEN</t>
  </si>
  <si>
    <t>GRUPPIERUNG.AUFHEBEN</t>
  </si>
  <si>
    <t>DISSOCIER.GROUPE</t>
  </si>
  <si>
    <t>DESAGRUPAR</t>
  </si>
  <si>
    <t>UNGROUP.SHEETS</t>
  </si>
  <si>
    <t>BLADGROEP.OPHEFFEN</t>
  </si>
  <si>
    <t>BLATTGRP.AUFHEBEN</t>
  </si>
  <si>
    <t>DISSOCIER.FEUILLES</t>
  </si>
  <si>
    <t>DESAGRUPAR.HOJAS</t>
  </si>
  <si>
    <t>UNHIDE</t>
  </si>
  <si>
    <t>ZICHTBAAR.MAKEN</t>
  </si>
  <si>
    <t>EINBLENDEN</t>
  </si>
  <si>
    <t>AFFICHER</t>
  </si>
  <si>
    <t>UNLOCKED.NEXT</t>
  </si>
  <si>
    <t>VOLGENDE.NIET.GEBLOKKEERDE</t>
  </si>
  <si>
    <t>EINGABEFELD.WEITER</t>
  </si>
  <si>
    <t>SUPPRIMER.PROTECTION.SUIV</t>
  </si>
  <si>
    <t>DESBLOQUEADA.SIGUIENTE</t>
  </si>
  <si>
    <t>UNLOCKED.PREV</t>
  </si>
  <si>
    <t>VORIGE.NIET.GEBLOKKEERDE</t>
  </si>
  <si>
    <t>EINGABEFELD.VORHER</t>
  </si>
  <si>
    <t>SUPPRIMER.PROTECTION.PREC</t>
  </si>
  <si>
    <t>DESBLOQUEADA.ANTERIOR</t>
  </si>
  <si>
    <t>UNREGISTER</t>
  </si>
  <si>
    <t>REGISTRATIE.OPHEFFEN</t>
  </si>
  <si>
    <t>KREGISTER</t>
  </si>
  <si>
    <t>SUPPRIMER.REGISTRE</t>
  </si>
  <si>
    <t>DESREGISTRAR</t>
  </si>
  <si>
    <t>UPDATE.LINK</t>
  </si>
  <si>
    <t>KOPPELING.HERZIEN</t>
  </si>
  <si>
    <t>VERKNÜPFUNG.AKTUALISIEREN</t>
  </si>
  <si>
    <t>MISE.A.JOUR.LIAISON</t>
  </si>
  <si>
    <t>ACTUALIZAR.VINCULO</t>
  </si>
  <si>
    <t>VBA.ADD.WATCH</t>
  </si>
  <si>
    <t>VBA.CONTROLE.TOEVOEGEN</t>
  </si>
  <si>
    <t>VBA.ÜBERWACHUNG.HINZUFÜGEN</t>
  </si>
  <si>
    <t>VBA.AJOUTER.ESPION</t>
  </si>
  <si>
    <t>VBA.AGREGAR.INSPECCION</t>
  </si>
  <si>
    <t>VBA.CLEAR.BREAKPOINTS</t>
  </si>
  <si>
    <t>VBA.ALLE.ONDERBREKINGSPUNTEN.WISSEN</t>
  </si>
  <si>
    <t>VBA.HALTEPUNKTE.LÖSCHEN</t>
  </si>
  <si>
    <t>VBA.RETIRER.POINTS.ARRET</t>
  </si>
  <si>
    <t>VBA.BORRAR.PTOS.INTERRUPCION</t>
  </si>
  <si>
    <t>VBA.DEBUG.WINDOW</t>
  </si>
  <si>
    <t>VBA.VENSTER.FOUTOPSPORING</t>
  </si>
  <si>
    <t>VBA.TESTFENSTER</t>
  </si>
  <si>
    <t>VBA.FENETRE.DEBOGAGE</t>
  </si>
  <si>
    <t>VBA.VENTANA.DE.DEPURACION</t>
  </si>
  <si>
    <t>VBA.EDIT.WATCH</t>
  </si>
  <si>
    <t>VBA.CONTROLE.BEWERKEN</t>
  </si>
  <si>
    <t>VBA.ÜBERWACHUNG.BEARBEITEN</t>
  </si>
  <si>
    <t>VBA.MODIFIER.ESPION</t>
  </si>
  <si>
    <t>VBA.EDICION.INSPECCION</t>
  </si>
  <si>
    <t>VBA.END</t>
  </si>
  <si>
    <t>VBA.EINDE</t>
  </si>
  <si>
    <t>VBA.BEENDEN</t>
  </si>
  <si>
    <t>VBA.ARRET</t>
  </si>
  <si>
    <t>VBA.FINALIZAR</t>
  </si>
  <si>
    <t>VBA.INSERT.FILE</t>
  </si>
  <si>
    <t>VBA.TEKST.INVOEGEN</t>
  </si>
  <si>
    <t>VBA.DATEI.EINFÜGEN</t>
  </si>
  <si>
    <t>VBA.INSERER.FICHIER</t>
  </si>
  <si>
    <t>VBA.INSERTAR.ARCHIVO</t>
  </si>
  <si>
    <t>VBA.INSTANT.WATCH</t>
  </si>
  <si>
    <t>VBA.DIRECTE.CONTROLE</t>
  </si>
  <si>
    <t>VBA.AKTU.WERT.ANZEIGEN</t>
  </si>
  <si>
    <t>INFORMATION.IMMEDIATE</t>
  </si>
  <si>
    <t>VBA.INSPECCION.INSTANTANEA</t>
  </si>
  <si>
    <t>VBA.MAKE.ADDIN</t>
  </si>
  <si>
    <t>VBA.INVOEGMACRO.MAKEN</t>
  </si>
  <si>
    <t>VBA.ADDIN.ERSTELLEN</t>
  </si>
  <si>
    <t>VBA.ENREG.MACRO.COMP</t>
  </si>
  <si>
    <t>VBA.CREAR.MACRO.AUTOM</t>
  </si>
  <si>
    <t>VBA.OBJECT.BROWSER</t>
  </si>
  <si>
    <t>VBA.OBJECTENOVERZICHT</t>
  </si>
  <si>
    <t>VBA.OBJEKTKATALOG</t>
  </si>
  <si>
    <t>EXPLORATEUR.OBJET</t>
  </si>
  <si>
    <t>VBA.EXAMINAR.OBJETO</t>
  </si>
  <si>
    <t>VBA.PROCEDURE.DEFINITION</t>
  </si>
  <si>
    <t>VBA.PROCEDURE.DEFINITIE</t>
  </si>
  <si>
    <t>VBA.PROZEDURDEFINITION</t>
  </si>
  <si>
    <t>VBA.DEFINITION.PROCEDURE</t>
  </si>
  <si>
    <t>VBA.DEFINIR.PROCEDIMIENTO</t>
  </si>
  <si>
    <t>VBA.REFERENCES</t>
  </si>
  <si>
    <t>VBA.VERWIJZINGEN</t>
  </si>
  <si>
    <t>VBA.VERWEISE</t>
  </si>
  <si>
    <t>OB.REFERENCIAS</t>
  </si>
  <si>
    <t>VBA.RESET</t>
  </si>
  <si>
    <t>VBA.HERSTELLEN</t>
  </si>
  <si>
    <t>VBA.ZURÜCKSETZEN</t>
  </si>
  <si>
    <t>VBA.RETABLIR</t>
  </si>
  <si>
    <t>VBA.RESTABLECER</t>
  </si>
  <si>
    <t>VBA.STEP.INTO</t>
  </si>
  <si>
    <t>VBA.STAP.IN</t>
  </si>
  <si>
    <t>VBA.EINZELSCHRITT</t>
  </si>
  <si>
    <t>VBA.PAS.DETAILLE</t>
  </si>
  <si>
    <t>VBA.RECORRER.TODO</t>
  </si>
  <si>
    <t>VBA.STEP.OVER</t>
  </si>
  <si>
    <t>VBA.STAP.OVER</t>
  </si>
  <si>
    <t>VBA.PROZEDURSCHRITT</t>
  </si>
  <si>
    <t>VBA.PAS.PRINCIPAL</t>
  </si>
  <si>
    <t>VBA.RECORRER.PRINCIPAL</t>
  </si>
  <si>
    <t>VBA.TOGGLE.BREAKPOINT</t>
  </si>
  <si>
    <t>VBA.ONDERBREKINGSPUNT</t>
  </si>
  <si>
    <t>VBA.HALTEPUNKT.EINAUS</t>
  </si>
  <si>
    <t>VBA.BASCULER.POINT.ARRET</t>
  </si>
  <si>
    <t>VBA.ALTERNAR.PTO.DE.INTERRUPCION</t>
  </si>
  <si>
    <t>VIEW.3D</t>
  </si>
  <si>
    <t>WEERGAVE.3D</t>
  </si>
  <si>
    <t>ANSICHT.3D</t>
  </si>
  <si>
    <t>VUE.3D</t>
  </si>
  <si>
    <t>PRESENTACION.3D</t>
  </si>
  <si>
    <t>VLINE</t>
  </si>
  <si>
    <t>VERT.REGEL</t>
  </si>
  <si>
    <t>SBILDLAUF.ZEILEN</t>
  </si>
  <si>
    <t>LIGNEV</t>
  </si>
  <si>
    <t>LINEAV</t>
  </si>
  <si>
    <t>VOLATILE</t>
  </si>
  <si>
    <t>ALTIJD.HERBEREKENEN</t>
  </si>
  <si>
    <t>IMMER.BERECHNEN</t>
  </si>
  <si>
    <t>VOLATIL</t>
  </si>
  <si>
    <t>VPAGE</t>
  </si>
  <si>
    <t>VERT.PAGINA</t>
  </si>
  <si>
    <t>SBILDLAUF.SEITEN</t>
  </si>
  <si>
    <t>PAGEV</t>
  </si>
  <si>
    <t>PAGINAV</t>
  </si>
  <si>
    <t>VSCROLL</t>
  </si>
  <si>
    <t>VERT.VERSCHUIVEN</t>
  </si>
  <si>
    <t>SBILDLAUF</t>
  </si>
  <si>
    <t>DEFILEMENTV</t>
  </si>
  <si>
    <t>DESPLAZARV</t>
  </si>
  <si>
    <t>WAIT</t>
  </si>
  <si>
    <t>WACHTEN</t>
  </si>
  <si>
    <t>WARTEN</t>
  </si>
  <si>
    <t>ATTENDRE</t>
  </si>
  <si>
    <t>ESPERAR</t>
  </si>
  <si>
    <t>WHILE</t>
  </si>
  <si>
    <t>TERWIJL</t>
  </si>
  <si>
    <t>SOLANGE</t>
  </si>
  <si>
    <t>TANT.QUE</t>
  </si>
  <si>
    <t>MIENTRAS</t>
  </si>
  <si>
    <t>WINDOW.MAXIMIZE</t>
  </si>
  <si>
    <t>MAXIMUMVENSTER</t>
  </si>
  <si>
    <t>FENSTER.VOLLBILD</t>
  </si>
  <si>
    <t>FENETRE.AGRANDISSEMENT</t>
  </si>
  <si>
    <t>VENTANA.MAXIMIZAR</t>
  </si>
  <si>
    <t>WINDOW.MINIMIZE</t>
  </si>
  <si>
    <t>PICTOGRAM</t>
  </si>
  <si>
    <t>FENSTER.SYMBOL</t>
  </si>
  <si>
    <t>FENETRE.REDUCTION</t>
  </si>
  <si>
    <t>VENTANA.MINIMIZAR</t>
  </si>
  <si>
    <t>WINDOW.MOVE</t>
  </si>
  <si>
    <t>VENSTER.VERPLAATSEN</t>
  </si>
  <si>
    <t>FENSTER.VERSCHIEBEN</t>
  </si>
  <si>
    <t>FENETRE.DEPLACEMENT</t>
  </si>
  <si>
    <t>VENTANA.MOVER</t>
  </si>
  <si>
    <t>WINDOW.RESTORE</t>
  </si>
  <si>
    <t>VENSTER.VORIG.FORMAAT</t>
  </si>
  <si>
    <t>FENSTER.WIEDERHERSTELLEN</t>
  </si>
  <si>
    <t>FENETRE.RESTAURATION</t>
  </si>
  <si>
    <t>VENTANA.RESTAURAR</t>
  </si>
  <si>
    <t>WINDOW.SIZE</t>
  </si>
  <si>
    <t>VENSTER.FORMAAT.WIJZIGEN</t>
  </si>
  <si>
    <t>FENSTER.GRÖSSE</t>
  </si>
  <si>
    <t>FENETRE.DIMENSIONNEMENT</t>
  </si>
  <si>
    <t>VENTANA.TAMAÑO</t>
  </si>
  <si>
    <t>WINDOW.TITLE</t>
  </si>
  <si>
    <t>VENSTERTITEL</t>
  </si>
  <si>
    <t>FENSTER.TITEL</t>
  </si>
  <si>
    <t>TITRE.FENETRE</t>
  </si>
  <si>
    <t>VENTANA.TITULO</t>
  </si>
  <si>
    <t>WINDOWS</t>
  </si>
  <si>
    <t>VENSTERS</t>
  </si>
  <si>
    <t>FENSTER</t>
  </si>
  <si>
    <t>FENETRES</t>
  </si>
  <si>
    <t>VENTANAS</t>
  </si>
  <si>
    <t>WORKBOOK.ACTIVATE</t>
  </si>
  <si>
    <t>WERKMAP.ACTIVEREN</t>
  </si>
  <si>
    <t>ARBEITSMAPPE.AKTIVIEREN</t>
  </si>
  <si>
    <t>ACTIVER.CLASSEUR</t>
  </si>
  <si>
    <t>LIBRO.ACTIVAR</t>
  </si>
  <si>
    <t>WORKBOOK.ADD</t>
  </si>
  <si>
    <t>TOEVOEGEN.WERKMAP</t>
  </si>
  <si>
    <t>ARBEITSMAPPE.ERWEITERN</t>
  </si>
  <si>
    <t>AJOUTER.CLASSEUR</t>
  </si>
  <si>
    <t>LIBRO.AGREGAR</t>
  </si>
  <si>
    <t>WORKBOOK.COPY</t>
  </si>
  <si>
    <t>KOPIEREN.WERKMAP</t>
  </si>
  <si>
    <t>ARBEITSMAPPE.KOPIEREN</t>
  </si>
  <si>
    <t>COPIE.CLASSEUR</t>
  </si>
  <si>
    <t>LIBRO.COPIAR</t>
  </si>
  <si>
    <t>WORKBOOK.DELETE</t>
  </si>
  <si>
    <t>WERKMAP.VERWIJDEREN</t>
  </si>
  <si>
    <t>ARBEITSMAPPE.LÖSCHEN</t>
  </si>
  <si>
    <t>SUPPRIMER.CLASSEUR</t>
  </si>
  <si>
    <t>ELIMINAR.LIBRO</t>
  </si>
  <si>
    <t>WORKBOOK.HIDE</t>
  </si>
  <si>
    <t>WERKMAP.VERBERGEN</t>
  </si>
  <si>
    <t>ARBEITSMAPPE.AUSBLENDEN</t>
  </si>
  <si>
    <t>MASQUER.CLASSEUR</t>
  </si>
  <si>
    <t>OCULTAR.LIBRO</t>
  </si>
  <si>
    <t>WORKBOOK.INSERT</t>
  </si>
  <si>
    <t>WERKMAP.INVOEGEN</t>
  </si>
  <si>
    <t>ARBEITSMAPPE.EINFÜGEN</t>
  </si>
  <si>
    <t>INSERER.CLASSEUR</t>
  </si>
  <si>
    <t>INSERTAR.LIBRO</t>
  </si>
  <si>
    <t>WORKBOOK.MOVE</t>
  </si>
  <si>
    <t>WERKMAP.VERPLAATSEN</t>
  </si>
  <si>
    <t>ARBEITSMAPPE.VERSCHIEBEN</t>
  </si>
  <si>
    <t>DEPLACEMENT.CLASSEUR</t>
  </si>
  <si>
    <t>LIBRO.MOVER</t>
  </si>
  <si>
    <t>WORKBOOK.NAME</t>
  </si>
  <si>
    <t>WERKMAP.NAAM</t>
  </si>
  <si>
    <t>ARBEITSMAPPE.NAMEN</t>
  </si>
  <si>
    <t>NOMMER.CLASSEUR</t>
  </si>
  <si>
    <t>NOMBRE.LIBRO</t>
  </si>
  <si>
    <t>WORKBOOK.NEW</t>
  </si>
  <si>
    <t>WERKMAP.NIEUW</t>
  </si>
  <si>
    <t>ARBEITSMAPPE.NEU</t>
  </si>
  <si>
    <t>NOUVEAU.CLASSEUR</t>
  </si>
  <si>
    <t>LIBRO.DE.TRABAJO.NUEVO</t>
  </si>
  <si>
    <t>WORKBOOK.NEXT</t>
  </si>
  <si>
    <t>WERKMAP.VOLGENDE</t>
  </si>
  <si>
    <t>ARBEITSMAPPE.NÄCHSTES</t>
  </si>
  <si>
    <t>CLASSEUR.SUIVANT</t>
  </si>
  <si>
    <t>LIBRO.SIGUIENTE</t>
  </si>
  <si>
    <t>WORKBOOK.OPTIONS</t>
  </si>
  <si>
    <t>WERKMAP.OPTIES</t>
  </si>
  <si>
    <t>ARBEITSMAPPE.OPTIONEN</t>
  </si>
  <si>
    <t>CLASSEUR.OPTIONS</t>
  </si>
  <si>
    <t>LIBRO.OPCIONES</t>
  </si>
  <si>
    <t>WORKBOOK.PREV</t>
  </si>
  <si>
    <t>WERKMAP.VORIGE</t>
  </si>
  <si>
    <t>ARBEITSMAPPE.VORHERIGES</t>
  </si>
  <si>
    <t>CLASSEUR.PRECEDENT</t>
  </si>
  <si>
    <t>LIBRO.ANTERIOR</t>
  </si>
  <si>
    <t>WORKBOOK.PROTECT</t>
  </si>
  <si>
    <t>WERKMAP.BEVEILIGEN</t>
  </si>
  <si>
    <t>ARBEITSMAPPE.SCHÜTZEN</t>
  </si>
  <si>
    <t>PROTECTION.CLASSEUR</t>
  </si>
  <si>
    <t>PROTEGER.LIBRO</t>
  </si>
  <si>
    <t>WORKBOOK.SCROLL</t>
  </si>
  <si>
    <t>WERKMAP.BLADEREN</t>
  </si>
  <si>
    <t>ARBEITSMAPPE.BLÄTTERN</t>
  </si>
  <si>
    <t>DEFILER.CLASSEUR</t>
  </si>
  <si>
    <t>LIBRO.PASAR.A.HOJA</t>
  </si>
  <si>
    <t>WORKBOOK.SELECT</t>
  </si>
  <si>
    <t>WERKMAP.SELECTEREN</t>
  </si>
  <si>
    <t>ARBEITSMAPPE.AUSWÄHLEN</t>
  </si>
  <si>
    <t>SEL.CLASSEUR</t>
  </si>
  <si>
    <t>LIBRO.SELECCIONAR</t>
  </si>
  <si>
    <t>WORKBOOK.TAB.SPLIT</t>
  </si>
  <si>
    <t>WERKMAP.TAB.SPLITSEN</t>
  </si>
  <si>
    <t>ARBEITSMAPPE.REG.TEILEN</t>
  </si>
  <si>
    <t>CLASSEUR.FRACTIONNER.ONGLETS</t>
  </si>
  <si>
    <t>LIBRO.BAR.DE.DIV.HORIZONTAL</t>
  </si>
  <si>
    <t>WORKBOOK.UNHIDE</t>
  </si>
  <si>
    <t>WERKMAP.ZICHTBAAR.MAKEN</t>
  </si>
  <si>
    <t>ARBEITSMAPPE.EINBLENDEN</t>
  </si>
  <si>
    <t>AFFICHER.CLASSEUR</t>
  </si>
  <si>
    <t>MOSTRAR.LIBRO</t>
  </si>
  <si>
    <t>WORKGROUP</t>
  </si>
  <si>
    <t>WERKGROEP</t>
  </si>
  <si>
    <t>ARBEITSGRUPPE</t>
  </si>
  <si>
    <t>GROUPE.TRAVAIL</t>
  </si>
  <si>
    <t>GRUPO.DE.TRABAJO</t>
  </si>
  <si>
    <t>WORKGROUP.OPTIONS</t>
  </si>
  <si>
    <t>WERKGROEP.OPTIES</t>
  </si>
  <si>
    <t>WORKGROUP.OPTIONEN</t>
  </si>
  <si>
    <t>PARTAGER.FICHIER</t>
  </si>
  <si>
    <t>GRUPOTRABAJO.OPCIONES</t>
  </si>
  <si>
    <t>WORKSPACE</t>
  </si>
  <si>
    <t>WERKRUIMTE</t>
  </si>
  <si>
    <t>ARBEITSBEREICH</t>
  </si>
  <si>
    <t>ENVIRONNEMENT</t>
  </si>
  <si>
    <t>AREA.DE.TRABAJO</t>
  </si>
  <si>
    <t>ZOOM</t>
  </si>
  <si>
    <t>ZOOMEN</t>
  </si>
  <si>
    <t>ZTESTM</t>
  </si>
  <si>
    <t>Z.TOETS.GEM</t>
  </si>
  <si>
    <t>GTESTM</t>
  </si>
  <si>
    <t>TEST.Z.M</t>
  </si>
  <si>
    <t>PRUEBA.Z.MEDIAS</t>
  </si>
  <si>
    <t>ZTESTM?</t>
  </si>
  <si>
    <t>Z.TOETS.GEM?</t>
  </si>
  <si>
    <t>GTESTM?</t>
  </si>
  <si>
    <t>TEST.Z.M?</t>
  </si>
  <si>
    <t>PRUEBA.Z.MEDIAS?</t>
  </si>
  <si>
    <t>IP address</t>
  </si>
  <si>
    <t>Workstation</t>
  </si>
  <si>
    <t>172.24.161.9</t>
  </si>
  <si>
    <t>172.24.161.8</t>
  </si>
  <si>
    <t>172.24.161.84</t>
  </si>
  <si>
    <t>172.24.161.200</t>
  </si>
  <si>
    <t>172.24.160.85</t>
  </si>
  <si>
    <t>172.24.159.27</t>
  </si>
  <si>
    <t>Building X</t>
  </si>
  <si>
    <t>Building Y</t>
  </si>
  <si>
    <t>Building Z</t>
  </si>
  <si>
    <t>224.0.0.0</t>
  </si>
  <si>
    <t>240.0.0.0</t>
  </si>
  <si>
    <t>255.224.0.0</t>
  </si>
  <si>
    <t>255.240.0.0</t>
  </si>
  <si>
    <t>255.255.224.0</t>
  </si>
  <si>
    <t>255.255.240.0</t>
  </si>
  <si>
    <t>255.255.255.240</t>
  </si>
  <si>
    <t>255.255.255.248</t>
  </si>
  <si>
    <t>Parts</t>
  </si>
  <si>
    <t>Stock</t>
  </si>
  <si>
    <t>Used</t>
  </si>
  <si>
    <t>PartNr1</t>
  </si>
  <si>
    <t>PartNr2</t>
  </si>
  <si>
    <t>PartNr3</t>
  </si>
  <si>
    <t>PartNr4</t>
  </si>
  <si>
    <t>PartNr5</t>
  </si>
  <si>
    <t>GSM1</t>
  </si>
  <si>
    <t>GSM2</t>
  </si>
  <si>
    <t>GSM3</t>
  </si>
  <si>
    <t>Nr of items produced</t>
  </si>
  <si>
    <t>Profit</t>
  </si>
  <si>
    <t>GSM production</t>
  </si>
  <si>
    <t>Total Profit</t>
  </si>
  <si>
    <t>D:\Data\Projects\Danny\Exceldata.xls</t>
  </si>
  <si>
    <t>Solution Type</t>
  </si>
  <si>
    <t>Solution</t>
  </si>
  <si>
    <t>Formula</t>
  </si>
  <si>
    <t>Find</t>
  </si>
  <si>
    <t>=FIND("\",A1,FIND("\",A1,FIND("\",A1,FIND("\",A1)+1)+1)+1)</t>
  </si>
  <si>
    <t>Search</t>
  </si>
  <si>
    <t>=SEARCH("\",A1,FIND("\",A1,FIND("\",A1,FIND("\",A1)+1)+1)+1)</t>
  </si>
  <si>
    <t>Find/Substitute</t>
  </si>
  <si>
    <t>=FIND(CHAR(135),SUBSTITUTE(A1,"\",CHAR(135),4))</t>
  </si>
  <si>
    <t>Start time</t>
  </si>
  <si>
    <t>#</t>
  </si>
  <si>
    <t>Activity Detail</t>
  </si>
  <si>
    <t>Start Time</t>
  </si>
  <si>
    <t>Duration (minutes)</t>
  </si>
  <si>
    <t>End Time</t>
  </si>
  <si>
    <t>Presentation 1</t>
  </si>
  <si>
    <t>Presentation 2</t>
  </si>
  <si>
    <t>Presentation 3</t>
  </si>
  <si>
    <t>Break</t>
  </si>
  <si>
    <t>Presentation 4</t>
  </si>
  <si>
    <t>Presentation 5</t>
  </si>
  <si>
    <t>Presentation 6</t>
  </si>
  <si>
    <t>Presentation 7</t>
  </si>
  <si>
    <t>Presentation 8</t>
  </si>
  <si>
    <t>Presentation 9</t>
  </si>
  <si>
    <t>Presentation 10</t>
  </si>
  <si>
    <t>Conference</t>
  </si>
  <si>
    <t>Resource Description</t>
  </si>
  <si>
    <t>Billing Rate</t>
  </si>
  <si>
    <t>ID</t>
  </si>
  <si>
    <t>Resource Type</t>
  </si>
  <si>
    <t>Billing rate</t>
  </si>
  <si>
    <t>Nothing CM xxxx4607</t>
  </si>
  <si>
    <t>AM</t>
  </si>
  <si>
    <t>Few things CXO xxxx5633</t>
  </si>
  <si>
    <t>PM</t>
  </si>
  <si>
    <t>Lots of things RM xxxxxx6378</t>
  </si>
  <si>
    <t>FM</t>
  </si>
  <si>
    <t>Something AM xxxx9132</t>
  </si>
  <si>
    <t>CM</t>
  </si>
  <si>
    <t>One thing AM xxx5299</t>
  </si>
  <si>
    <t>RM</t>
  </si>
  <si>
    <t>Few things PM xxxxx5502</t>
  </si>
  <si>
    <t>CXO</t>
  </si>
  <si>
    <t>Nothing AM xxxx6096</t>
  </si>
  <si>
    <t>Another thing RM xxx7837</t>
  </si>
  <si>
    <t>Something AM xxxxx6719</t>
  </si>
  <si>
    <t>One thing FM xxx1817</t>
  </si>
  <si>
    <t>One thing CXO xxxxx2823</t>
  </si>
  <si>
    <t>Nothing AM xxx5155</t>
  </si>
  <si>
    <t>Another thing FM xxxx3012</t>
  </si>
  <si>
    <t>Something AM xxx2124</t>
  </si>
  <si>
    <t>Nothing CM xxxx9363</t>
  </si>
  <si>
    <t>One thing CM xxxx2104</t>
  </si>
  <si>
    <t>Nothing FM xxxxx1386</t>
  </si>
  <si>
    <t>Another thing PM xxx9637</t>
  </si>
  <si>
    <t>Few things PM xxxx8157</t>
  </si>
  <si>
    <t>One thing PM xxxxxx9699</t>
  </si>
  <si>
    <t>Few things RM xxxxxx8637</t>
  </si>
  <si>
    <t>Lots of things RM xxxxxx3863</t>
  </si>
  <si>
    <t>One thing CXO xxxx2450</t>
  </si>
  <si>
    <t>Nothing PM xxxx1759</t>
  </si>
  <si>
    <t>Something RM xxxx8382</t>
  </si>
  <si>
    <t>Something PM xxxxxx8054</t>
  </si>
  <si>
    <t>Another thing CXO xxxx1293</t>
  </si>
  <si>
    <t>Something RM xxx4545</t>
  </si>
  <si>
    <t>Something RM xxxxxx7317</t>
  </si>
  <si>
    <t>Start date</t>
  </si>
  <si>
    <t>Years of Service</t>
  </si>
  <si>
    <t>Level</t>
  </si>
  <si>
    <t>Salary</t>
  </si>
  <si>
    <t>Levels</t>
  </si>
  <si>
    <t>Mueller</t>
  </si>
  <si>
    <t>Selznick</t>
  </si>
  <si>
    <t>Anna</t>
  </si>
  <si>
    <t>McGuire</t>
  </si>
  <si>
    <t>Ellen</t>
  </si>
  <si>
    <t>Robbins</t>
  </si>
  <si>
    <t>Phillip</t>
  </si>
  <si>
    <t>Wells</t>
  </si>
  <si>
    <t>Rose</t>
  </si>
  <si>
    <t>Franklin</t>
  </si>
  <si>
    <t>Larry</t>
  </si>
  <si>
    <t>Gorton</t>
  </si>
  <si>
    <t>Hazel</t>
  </si>
  <si>
    <t>Boughton</t>
  </si>
  <si>
    <t>Frank</t>
  </si>
  <si>
    <t>Bell</t>
  </si>
  <si>
    <t>Tom</t>
  </si>
  <si>
    <t>Henders</t>
  </si>
  <si>
    <t>Mark</t>
  </si>
  <si>
    <t>Bates</t>
  </si>
  <si>
    <t>Lisa</t>
  </si>
  <si>
    <t>Jason</t>
  </si>
  <si>
    <t>Able</t>
  </si>
  <si>
    <t>Aaron</t>
  </si>
  <si>
    <t>Cooper</t>
  </si>
  <si>
    <t>Wu</t>
  </si>
  <si>
    <t>Tammy</t>
  </si>
  <si>
    <t>Constance</t>
  </si>
  <si>
    <t>Burt</t>
  </si>
  <si>
    <t>Price</t>
  </si>
  <si>
    <t>Stewart</t>
  </si>
  <si>
    <t>Iain</t>
  </si>
  <si>
    <t>Dixon-Waite</t>
  </si>
  <si>
    <t>Sherrie</t>
  </si>
  <si>
    <t>Kegler</t>
  </si>
  <si>
    <t>Pam</t>
  </si>
  <si>
    <t>Kellerman</t>
  </si>
  <si>
    <t>Tommie</t>
  </si>
  <si>
    <t>Kourios</t>
  </si>
  <si>
    <t>Theo</t>
  </si>
  <si>
    <t>Sindole</t>
  </si>
  <si>
    <t>Randy</t>
  </si>
  <si>
    <t>Bankler</t>
  </si>
  <si>
    <t>Rowena</t>
  </si>
  <si>
    <t>Hapsbuch</t>
  </si>
  <si>
    <t>Kendrick</t>
  </si>
  <si>
    <t>Barth</t>
  </si>
  <si>
    <t>Bill</t>
  </si>
  <si>
    <t>Howard</t>
  </si>
  <si>
    <t>Corwick</t>
  </si>
  <si>
    <t>Rob</t>
  </si>
  <si>
    <t>Kane</t>
  </si>
  <si>
    <t>Sheryl</t>
  </si>
  <si>
    <t>Barton</t>
  </si>
  <si>
    <t>Eileen</t>
  </si>
  <si>
    <t>Maguire</t>
  </si>
  <si>
    <t>Mollie</t>
  </si>
  <si>
    <t>Nelson</t>
  </si>
  <si>
    <t>Ed</t>
  </si>
  <si>
    <t>Scote</t>
  </si>
  <si>
    <t>Gail</t>
  </si>
  <si>
    <t>Brwyne</t>
  </si>
  <si>
    <t>Melia</t>
  </si>
  <si>
    <t>Fein</t>
  </si>
  <si>
    <t>Berg</t>
  </si>
  <si>
    <t>Bobby</t>
  </si>
  <si>
    <t>Quan</t>
  </si>
  <si>
    <t>Karen</t>
  </si>
  <si>
    <t>Melendez</t>
  </si>
  <si>
    <t>Jaime</t>
  </si>
  <si>
    <t>Plant</t>
  </si>
  <si>
    <t>Allen</t>
  </si>
  <si>
    <t>Raye</t>
  </si>
  <si>
    <t>Asonte</t>
  </si>
  <si>
    <t>Petry</t>
  </si>
  <si>
    <t>Maxine</t>
  </si>
  <si>
    <t>Chu</t>
  </si>
  <si>
    <t>Steven</t>
  </si>
  <si>
    <t>Homes</t>
  </si>
  <si>
    <t>Megan</t>
  </si>
  <si>
    <t>Cummins</t>
  </si>
  <si>
    <t>Dave</t>
  </si>
  <si>
    <t>Kaneko</t>
  </si>
  <si>
    <t>Midori</t>
  </si>
  <si>
    <t>Tercan</t>
  </si>
  <si>
    <t>Farley</t>
  </si>
  <si>
    <t>Rich</t>
  </si>
  <si>
    <t>Taylor</t>
  </si>
  <si>
    <t>Ralph</t>
  </si>
  <si>
    <t>McKormick</t>
  </si>
  <si>
    <t>Brad</t>
  </si>
  <si>
    <t>Silverberg</t>
  </si>
  <si>
    <t>Jay</t>
  </si>
  <si>
    <t>Alexi</t>
  </si>
  <si>
    <t>Stephanie</t>
  </si>
  <si>
    <t>Abdul</t>
  </si>
  <si>
    <t>Cathy</t>
  </si>
  <si>
    <t>White</t>
  </si>
  <si>
    <t>North</t>
  </si>
  <si>
    <t>Mann</t>
  </si>
  <si>
    <t>Alyssa</t>
  </si>
  <si>
    <t>Preston</t>
  </si>
  <si>
    <t>Liza</t>
  </si>
  <si>
    <t>Larssen</t>
  </si>
  <si>
    <t>Erika</t>
  </si>
  <si>
    <t>Martinez</t>
  </si>
  <si>
    <t>Sara</t>
  </si>
  <si>
    <t>Sampson</t>
  </si>
  <si>
    <t>Sargent</t>
  </si>
  <si>
    <t>Evelyn</t>
  </si>
  <si>
    <t>Barber</t>
  </si>
  <si>
    <t>Bellwood</t>
  </si>
  <si>
    <t>Malcolm</t>
  </si>
  <si>
    <t>Cane</t>
  </si>
  <si>
    <t>Nate</t>
  </si>
  <si>
    <t>Morton</t>
  </si>
  <si>
    <t>Sammler</t>
  </si>
  <si>
    <t>Lempert</t>
  </si>
  <si>
    <t>Levine</t>
  </si>
  <si>
    <t>Foss</t>
  </si>
  <si>
    <t>Felix</t>
  </si>
  <si>
    <t>Townes</t>
  </si>
  <si>
    <t>Everett</t>
  </si>
  <si>
    <t>Berwick</t>
  </si>
  <si>
    <t>Cortlandt</t>
  </si>
  <si>
    <t>Charles</t>
  </si>
  <si>
    <t>Miller</t>
  </si>
  <si>
    <t>Janet</t>
  </si>
  <si>
    <t>Lampstone</t>
  </si>
  <si>
    <t>Pete</t>
  </si>
  <si>
    <t>Seidel</t>
  </si>
  <si>
    <t>Matt</t>
  </si>
  <si>
    <t>West</t>
  </si>
  <si>
    <t>Cara</t>
  </si>
  <si>
    <t>Hilda</t>
  </si>
  <si>
    <t>Beech</t>
  </si>
  <si>
    <t>Susan</t>
  </si>
  <si>
    <t>Miguel</t>
  </si>
  <si>
    <t>Weston</t>
  </si>
  <si>
    <t>Ferngood</t>
  </si>
  <si>
    <t>Jules</t>
  </si>
  <si>
    <t>Sofer</t>
  </si>
  <si>
    <t>Ariel</t>
  </si>
  <si>
    <t>Coyne</t>
  </si>
  <si>
    <t>Dennis</t>
  </si>
  <si>
    <t>Dorfberg</t>
  </si>
  <si>
    <t>Jeremy</t>
  </si>
  <si>
    <t>Solomon</t>
  </si>
  <si>
    <t>Ari</t>
  </si>
  <si>
    <t>Gladstone</t>
  </si>
  <si>
    <t>Wes</t>
  </si>
  <si>
    <t>Lin</t>
  </si>
  <si>
    <t>Cash</t>
  </si>
  <si>
    <t>Mary</t>
  </si>
  <si>
    <t>Lark</t>
  </si>
  <si>
    <t>Donald</t>
  </si>
  <si>
    <t>Smythe</t>
  </si>
  <si>
    <t>Leslie</t>
  </si>
  <si>
    <t>Szcznyck</t>
  </si>
  <si>
    <t>Tadeuz</t>
  </si>
  <si>
    <t>Alstain</t>
  </si>
  <si>
    <t>Isolde</t>
  </si>
  <si>
    <t>Cronwith</t>
  </si>
  <si>
    <t>Brent</t>
  </si>
  <si>
    <t>Davison</t>
  </si>
  <si>
    <t>Tuppman</t>
  </si>
  <si>
    <t>Lise-Anne</t>
  </si>
  <si>
    <t>Vuanuo</t>
  </si>
  <si>
    <t>Tuome</t>
  </si>
  <si>
    <t>Stone</t>
  </si>
  <si>
    <t>Cindy</t>
  </si>
  <si>
    <t>Simpson</t>
  </si>
  <si>
    <t>Sandrae</t>
  </si>
  <si>
    <t>Al-Sabah</t>
  </si>
  <si>
    <t>Daoud</t>
  </si>
  <si>
    <t>Ygarre</t>
  </si>
  <si>
    <t>Gonzales</t>
  </si>
  <si>
    <t>Joe</t>
  </si>
  <si>
    <t>Zostoc</t>
  </si>
  <si>
    <t>Melissa</t>
  </si>
  <si>
    <t>Hodge</t>
  </si>
  <si>
    <t>Services</t>
  </si>
  <si>
    <t>Belgacom</t>
  </si>
  <si>
    <t>Telenet</t>
  </si>
  <si>
    <t>VOO</t>
  </si>
  <si>
    <t>Dommel</t>
  </si>
  <si>
    <t>Scarlet</t>
  </si>
  <si>
    <t>EDPnet</t>
  </si>
  <si>
    <t>Internet + TV</t>
  </si>
  <si>
    <t>Internet + Telefonie</t>
  </si>
  <si>
    <t>Internet + TV + GSM</t>
  </si>
  <si>
    <t>Internet + Telefonie + TV</t>
  </si>
  <si>
    <t>Internet + Telefonie + TV + GSM</t>
  </si>
  <si>
    <t>Internet</t>
  </si>
  <si>
    <t>Provider</t>
  </si>
  <si>
    <t>Lowest</t>
  </si>
  <si>
    <t>Fernand Arnisi</t>
  </si>
  <si>
    <t>Felice Arton</t>
  </si>
  <si>
    <t>Jean Aruda</t>
  </si>
  <si>
    <t>Pierre Bartin</t>
  </si>
  <si>
    <t>Susane Bllllavier</t>
  </si>
  <si>
    <t>Caroline Flair</t>
  </si>
  <si>
    <t>Caroline Fourneaux</t>
  </si>
  <si>
    <t>Gert Johanus</t>
  </si>
  <si>
    <t>Patrick Richards</t>
  </si>
  <si>
    <t>Phillipe Senna</t>
  </si>
  <si>
    <t>Joseph Van Steen</t>
  </si>
  <si>
    <t>Jean Wiels</t>
  </si>
  <si>
    <t>Eric Wolf</t>
  </si>
  <si>
    <t>Michèle Alesi</t>
  </si>
  <si>
    <t>Catherine Coenen</t>
  </si>
  <si>
    <t>Jeannette Wilde</t>
  </si>
  <si>
    <t>Jessica Weert</t>
  </si>
  <si>
    <t>Jessica Boutsen</t>
  </si>
  <si>
    <t>Sarah Bergen</t>
  </si>
  <si>
    <t>Albert Demon</t>
  </si>
  <si>
    <t>Alice Delvoye</t>
  </si>
  <si>
    <t>David Delvaux</t>
  </si>
  <si>
    <t>Marie Bloemendi</t>
  </si>
  <si>
    <t>Aline Bastin</t>
  </si>
  <si>
    <t>Iomo Suzuki</t>
  </si>
  <si>
    <t>Birthday</t>
  </si>
  <si>
    <t>Check if a list has duplicate numbers</t>
  </si>
  <si>
    <t>List</t>
  </si>
  <si>
    <t>Fried Forks</t>
  </si>
  <si>
    <t>Flying Torpedos</t>
  </si>
  <si>
    <t>Fatigue Pills</t>
  </si>
  <si>
    <t>Flower Bombs</t>
  </si>
  <si>
    <t>Fruit Punches</t>
  </si>
  <si>
    <t>Flawed Bones</t>
  </si>
  <si>
    <t>Folding Cars</t>
  </si>
  <si>
    <t>Faulty Lines</t>
  </si>
  <si>
    <t>Fungus Khus Khus</t>
  </si>
  <si>
    <t>Flamabble Bubble Gums</t>
  </si>
  <si>
    <t>Finger Shoes</t>
  </si>
  <si>
    <t>Products</t>
  </si>
  <si>
    <t>Sales Person</t>
  </si>
  <si>
    <t>Purchase Qty</t>
  </si>
  <si>
    <t>Mr. John</t>
  </si>
  <si>
    <t>ABC</t>
  </si>
  <si>
    <t>XYZ</t>
  </si>
  <si>
    <t>HML</t>
  </si>
  <si>
    <t>NKY</t>
  </si>
  <si>
    <t>Unique Products</t>
  </si>
  <si>
    <t>Original Number</t>
  </si>
  <si>
    <t>Function</t>
  </si>
  <si>
    <t>Example Custom Format</t>
  </si>
  <si>
    <t>Result</t>
  </si>
  <si>
    <t>Number</t>
  </si>
  <si>
    <t>* 1,000,000</t>
  </si>
  <si>
    <t>* 100,000</t>
  </si>
  <si>
    <t>* 10,000</t>
  </si>
  <si>
    <t>* 1,000</t>
  </si>
  <si>
    <t>* 100</t>
  </si>
  <si>
    <t>* 10</t>
  </si>
  <si>
    <t>* 1</t>
  </si>
  <si>
    <t>/ 10</t>
  </si>
  <si>
    <t>/ 100</t>
  </si>
  <si>
    <t>/ 1,000</t>
  </si>
  <si>
    <t>/ 10,000</t>
  </si>
  <si>
    <t>/ 100,000</t>
  </si>
  <si>
    <t>/ 1,000,000</t>
  </si>
  <si>
    <t>Excel Workbook name</t>
  </si>
  <si>
    <t>Dynamic Hyperlink</t>
  </si>
  <si>
    <t>12:00</t>
  </si>
  <si>
    <t>SL4</t>
  </si>
  <si>
    <t>08:00</t>
  </si>
  <si>
    <t>SL3</t>
  </si>
  <si>
    <t>04:00</t>
  </si>
  <si>
    <t>SL2</t>
  </si>
  <si>
    <t>02:00</t>
  </si>
  <si>
    <t>SL1</t>
  </si>
  <si>
    <t>RESOLVED Time</t>
  </si>
  <si>
    <t>SLA</t>
  </si>
  <si>
    <t>Time Resolved HH: MM</t>
  </si>
  <si>
    <t>Date Closed</t>
  </si>
  <si>
    <t>Severity</t>
  </si>
  <si>
    <t>Date Reported</t>
  </si>
  <si>
    <t>Urgencies</t>
  </si>
  <si>
    <t>Hightlight this column:</t>
  </si>
  <si>
    <t>Last date of an activity</t>
  </si>
  <si>
    <t>Latest Date</t>
  </si>
  <si>
    <t>x</t>
  </si>
  <si>
    <t>Region</t>
  </si>
  <si>
    <t>Anderson</t>
  </si>
  <si>
    <t>Bonus</t>
  </si>
  <si>
    <t>Fruit (quantities in 000s of tonnes)</t>
  </si>
  <si>
    <t>Bananas</t>
  </si>
  <si>
    <t>Peaches</t>
  </si>
  <si>
    <t>Apples</t>
  </si>
  <si>
    <t>Cherries</t>
  </si>
  <si>
    <t>Oranges</t>
  </si>
  <si>
    <t>Grapes</t>
  </si>
  <si>
    <t>Others</t>
  </si>
  <si>
    <t>Europe</t>
  </si>
  <si>
    <t>Asia</t>
  </si>
  <si>
    <t>Australia</t>
  </si>
  <si>
    <t>Row</t>
  </si>
  <si>
    <t>Fruit</t>
  </si>
  <si>
    <t>Region (quantities in 000s of tonnes)</t>
  </si>
  <si>
    <t>RoW</t>
  </si>
  <si>
    <t>Transposer</t>
  </si>
  <si>
    <t>Transposing</t>
  </si>
  <si>
    <t>Transponeren</t>
  </si>
  <si>
    <t>Text Strings</t>
  </si>
  <si>
    <t>Hours</t>
  </si>
  <si>
    <t>Minutes</t>
  </si>
  <si>
    <t>HH:MM:SS</t>
  </si>
  <si>
    <t>Date reformatted</t>
  </si>
  <si>
    <t>Matching Transactions using formulas</t>
  </si>
  <si>
    <t>Vendor Reference</t>
  </si>
  <si>
    <t>VENDOR-0107</t>
  </si>
  <si>
    <t>VENDOR-0106</t>
  </si>
  <si>
    <t>VENDOR-0105</t>
  </si>
  <si>
    <t>VENDOR-0104</t>
  </si>
  <si>
    <t>VENDOR-0103</t>
  </si>
  <si>
    <t>VENDOR-0102</t>
  </si>
  <si>
    <t>VENDOR-0101</t>
  </si>
  <si>
    <t>VENDOR-0100</t>
  </si>
  <si>
    <t>VENDOR-0099</t>
  </si>
  <si>
    <t>VENDOR-0098</t>
  </si>
  <si>
    <t>VENDOR-0097</t>
  </si>
  <si>
    <t>VENDOR-0096</t>
  </si>
  <si>
    <t>VENDOR-0095</t>
  </si>
  <si>
    <t>VENDOR-0094</t>
  </si>
  <si>
    <t>VENDOR-0093</t>
  </si>
  <si>
    <t>VENDOR-0092</t>
  </si>
  <si>
    <t>VENDOR-0091</t>
  </si>
  <si>
    <t>VENDOR-0090</t>
  </si>
  <si>
    <t>VENDOR-0089</t>
  </si>
  <si>
    <t>VENDOR-0088</t>
  </si>
  <si>
    <t>VENDOR-0087</t>
  </si>
  <si>
    <t>VENDOR-0086</t>
  </si>
  <si>
    <t>VENDOR-0085</t>
  </si>
  <si>
    <t>VENDOR-0084</t>
  </si>
  <si>
    <t>VENDOR-0083</t>
  </si>
  <si>
    <t>VENDOR-0082</t>
  </si>
  <si>
    <t>VENDOR-0081</t>
  </si>
  <si>
    <t>VENDOR-0080</t>
  </si>
  <si>
    <t>VENDOR-0079</t>
  </si>
  <si>
    <t>VENDOR-0078</t>
  </si>
  <si>
    <t>VENDOR-0077</t>
  </si>
  <si>
    <t>VENDOR-0076</t>
  </si>
  <si>
    <t>VENDOR-0075</t>
  </si>
  <si>
    <t>VENDOR-0074</t>
  </si>
  <si>
    <t>VENDOR-0073</t>
  </si>
  <si>
    <t>VENDOR-0072</t>
  </si>
  <si>
    <t>VENDOR-0071</t>
  </si>
  <si>
    <t>VENDOR-0070</t>
  </si>
  <si>
    <t>VENDOR-0069</t>
  </si>
  <si>
    <t>VENDOR-0068</t>
  </si>
  <si>
    <t>VENDOR-0067</t>
  </si>
  <si>
    <t>VENDOR-0066</t>
  </si>
  <si>
    <t>VENDOR-0065</t>
  </si>
  <si>
    <t>VENDOR-0064</t>
  </si>
  <si>
    <t>VENDOR-0063</t>
  </si>
  <si>
    <t>VENDOR-0062</t>
  </si>
  <si>
    <t>VENDOR-0061</t>
  </si>
  <si>
    <t>VENDOR-0060</t>
  </si>
  <si>
    <t>VENDOR-0059</t>
  </si>
  <si>
    <t>VENDOR-0058</t>
  </si>
  <si>
    <t>VENDOR-0057</t>
  </si>
  <si>
    <t>VENDOR-0056</t>
  </si>
  <si>
    <t>VENDOR-0055</t>
  </si>
  <si>
    <t>VENDOR-0054</t>
  </si>
  <si>
    <t>VENDOR-0053</t>
  </si>
  <si>
    <t>VENDOR-0052</t>
  </si>
  <si>
    <t>VENDOR-0051</t>
  </si>
  <si>
    <t>VENDOR-0050</t>
  </si>
  <si>
    <t>VENDOR-0049</t>
  </si>
  <si>
    <t>VENDOR-0048</t>
  </si>
  <si>
    <t>VENDOR-0047</t>
  </si>
  <si>
    <t>VENDOR-0046</t>
  </si>
  <si>
    <t>VENDOR-0045</t>
  </si>
  <si>
    <t>VENDOR-0044</t>
  </si>
  <si>
    <t>VENDOR-0043</t>
  </si>
  <si>
    <t>VENDOR-0042</t>
  </si>
  <si>
    <t>VENDOR-0041</t>
  </si>
  <si>
    <t>VENDOR-0040</t>
  </si>
  <si>
    <t>VENDOR-0039</t>
  </si>
  <si>
    <t>VENDOR-0038</t>
  </si>
  <si>
    <t>VENDOR-0037</t>
  </si>
  <si>
    <t>VENDOR-0036</t>
  </si>
  <si>
    <t>VENDOR-0035</t>
  </si>
  <si>
    <t>VENDOR-0034</t>
  </si>
  <si>
    <t>VENDOR-0033</t>
  </si>
  <si>
    <t>VENDOR-0032</t>
  </si>
  <si>
    <t>VENDOR-0031</t>
  </si>
  <si>
    <t>VENDOR-0030</t>
  </si>
  <si>
    <t>VENDOR-0029</t>
  </si>
  <si>
    <t>VENDOR-0028</t>
  </si>
  <si>
    <t>VENDOR-0027</t>
  </si>
  <si>
    <t>VENDOR-0026</t>
  </si>
  <si>
    <t>VENDOR-0025</t>
  </si>
  <si>
    <t>VENDOR-0024</t>
  </si>
  <si>
    <t>VENDOR-0023</t>
  </si>
  <si>
    <t>VENDOR-0022</t>
  </si>
  <si>
    <t>VENDOR-0021</t>
  </si>
  <si>
    <t>VENDOR-0020</t>
  </si>
  <si>
    <t>VENDOR-0019</t>
  </si>
  <si>
    <t>VENDOR-0018</t>
  </si>
  <si>
    <t>VENDOR-0017</t>
  </si>
  <si>
    <t>VENDOR-0016</t>
  </si>
  <si>
    <t>VENDOR-0015</t>
  </si>
  <si>
    <t>VENDOR-0014</t>
  </si>
  <si>
    <t>VENDOR-0013</t>
  </si>
  <si>
    <t>VENDOR-0012</t>
  </si>
  <si>
    <t>VENDOR-0011</t>
  </si>
  <si>
    <t>VENDOR-0010</t>
  </si>
  <si>
    <t>VENDOR-0009</t>
  </si>
  <si>
    <t>VENDOR-0008</t>
  </si>
  <si>
    <t>VENDOR-0007</t>
  </si>
  <si>
    <t>VENDOR-0006</t>
  </si>
  <si>
    <t>VENDOR-0005</t>
  </si>
  <si>
    <t>VENDOR-0004</t>
  </si>
  <si>
    <t>VENDOR-0003</t>
  </si>
  <si>
    <t>VENDOR-0002</t>
  </si>
  <si>
    <t>VENDOR-0001</t>
  </si>
  <si>
    <t>With Formula</t>
  </si>
  <si>
    <t>With Pivot table</t>
  </si>
  <si>
    <t>Invoices and Transactions</t>
  </si>
  <si>
    <t>Factures et Transactions</t>
  </si>
  <si>
    <t>Fakturen &amp; Transacties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</si>
  <si>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</si>
  <si>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</si>
  <si>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</si>
  <si>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</si>
  <si>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</si>
  <si>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</si>
  <si>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</si>
  <si>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</si>
  <si>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</si>
  <si>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</si>
  <si>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</si>
  <si>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</si>
  <si>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</si>
  <si>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</si>
  <si>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</si>
  <si>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</si>
  <si>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</si>
  <si>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</si>
  <si>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</si>
  <si>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</si>
  <si>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</si>
  <si>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</si>
  <si>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</si>
  <si>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</si>
  <si>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</si>
  <si>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</si>
  <si>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</si>
  <si>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</si>
  <si>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</si>
  <si>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</si>
  <si>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</si>
  <si>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</si>
  <si>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</si>
  <si>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</si>
  <si>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</si>
  <si>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</si>
  <si>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</si>
  <si>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</si>
  <si>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</si>
  <si>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</si>
  <si>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98618002</t>
  </si>
  <si>
    <t>15217002</t>
  </si>
  <si>
    <t>63718006</t>
  </si>
  <si>
    <t>10617001</t>
  </si>
  <si>
    <t>36518002</t>
  </si>
  <si>
    <t>13718005</t>
  </si>
  <si>
    <t>37218003</t>
  </si>
  <si>
    <t>36318003</t>
  </si>
  <si>
    <t>76317010</t>
  </si>
  <si>
    <t>51418006</t>
  </si>
  <si>
    <t>11018007</t>
  </si>
  <si>
    <t>97618007</t>
  </si>
  <si>
    <t>35118002</t>
  </si>
  <si>
    <t>13918000</t>
  </si>
  <si>
    <t>62118001</t>
  </si>
  <si>
    <t>44418001</t>
  </si>
  <si>
    <t>63518007</t>
  </si>
  <si>
    <t>31118004</t>
  </si>
  <si>
    <t>81317004</t>
  </si>
  <si>
    <t>48518003</t>
  </si>
  <si>
    <t>01918004</t>
  </si>
  <si>
    <t>10118005</t>
  </si>
  <si>
    <t>90817005</t>
  </si>
  <si>
    <t>03016005</t>
  </si>
  <si>
    <t>83318002</t>
  </si>
  <si>
    <t>10718006</t>
  </si>
  <si>
    <t>20118007</t>
  </si>
  <si>
    <t>15817005</t>
  </si>
  <si>
    <t>72818001</t>
  </si>
  <si>
    <t>43518001</t>
  </si>
  <si>
    <t>49918003</t>
  </si>
  <si>
    <t>49717003</t>
  </si>
  <si>
    <t>38117000</t>
  </si>
  <si>
    <t>68518002</t>
  </si>
  <si>
    <t>87218007</t>
  </si>
  <si>
    <t>35718001</t>
  </si>
  <si>
    <t>16918001</t>
  </si>
  <si>
    <t>11618005</t>
  </si>
  <si>
    <t>71418008</t>
  </si>
  <si>
    <t>98118007</t>
  </si>
  <si>
    <t>50517004</t>
  </si>
  <si>
    <t>92118004</t>
  </si>
  <si>
    <t>22218004</t>
  </si>
  <si>
    <t>25417003</t>
  </si>
  <si>
    <t>07318002</t>
  </si>
  <si>
    <t>19617002</t>
  </si>
  <si>
    <t>05418005</t>
  </si>
  <si>
    <t>83718000</t>
  </si>
  <si>
    <t>38618000</t>
  </si>
  <si>
    <t>97918001</t>
  </si>
  <si>
    <t>01218002</t>
  </si>
  <si>
    <t>17018002</t>
  </si>
  <si>
    <t>51918001</t>
  </si>
  <si>
    <t>22217003</t>
  </si>
  <si>
    <t>74318002</t>
  </si>
  <si>
    <t>28417001</t>
  </si>
  <si>
    <t>65018007</t>
  </si>
  <si>
    <t>58017000</t>
  </si>
  <si>
    <t>29318004</t>
  </si>
  <si>
    <t>13118002</t>
  </si>
  <si>
    <t>36517003</t>
  </si>
  <si>
    <t>85217002</t>
  </si>
  <si>
    <t>10618004</t>
  </si>
  <si>
    <t>43318001</t>
  </si>
  <si>
    <t>02618002</t>
  </si>
  <si>
    <t>94816002</t>
  </si>
  <si>
    <t>43916003</t>
  </si>
  <si>
    <t>40917000</t>
  </si>
  <si>
    <t>25417007</t>
  </si>
  <si>
    <t>61917004</t>
  </si>
  <si>
    <t>64117003</t>
  </si>
  <si>
    <t>27718001</t>
  </si>
  <si>
    <t>40816008</t>
  </si>
  <si>
    <t>51018007</t>
  </si>
  <si>
    <t>91417004</t>
  </si>
  <si>
    <t>96618000</t>
  </si>
  <si>
    <t>37218002</t>
  </si>
  <si>
    <t>96718003</t>
  </si>
  <si>
    <t>40818003</t>
  </si>
  <si>
    <t>10018002</t>
  </si>
  <si>
    <t>08418002</t>
  </si>
  <si>
    <t>21618004</t>
  </si>
  <si>
    <t>74218006</t>
  </si>
  <si>
    <t>82618002</t>
  </si>
  <si>
    <t>85718001</t>
  </si>
  <si>
    <t>26418003</t>
  </si>
  <si>
    <t>52117003</t>
  </si>
  <si>
    <t>32918002</t>
  </si>
  <si>
    <t>95518004</t>
  </si>
  <si>
    <t>47918002</t>
  </si>
  <si>
    <t>32917004</t>
  </si>
  <si>
    <t>18917001</t>
  </si>
  <si>
    <t>14317004</t>
  </si>
  <si>
    <t>10917002</t>
  </si>
  <si>
    <t>00817001</t>
  </si>
  <si>
    <t>12018004</t>
  </si>
  <si>
    <t>87817006</t>
  </si>
  <si>
    <t>94618005</t>
  </si>
  <si>
    <t>68917004</t>
  </si>
  <si>
    <t>57417005</t>
  </si>
  <si>
    <t>94418003</t>
  </si>
  <si>
    <t>79917001</t>
  </si>
  <si>
    <t>30817001</t>
  </si>
  <si>
    <t>78118003</t>
  </si>
  <si>
    <t>99818005</t>
  </si>
  <si>
    <t>30718004</t>
  </si>
  <si>
    <t>69717001</t>
  </si>
  <si>
    <t>46918001</t>
  </si>
  <si>
    <t>64317005</t>
  </si>
  <si>
    <t>87016003</t>
  </si>
  <si>
    <t>30918004</t>
  </si>
  <si>
    <t>08718007</t>
  </si>
  <si>
    <t>38618003</t>
  </si>
  <si>
    <t>49818001</t>
  </si>
  <si>
    <t>78018001</t>
  </si>
  <si>
    <t>74517001</t>
  </si>
  <si>
    <t>13617001</t>
  </si>
  <si>
    <t>30518004</t>
  </si>
  <si>
    <t>01118002</t>
  </si>
  <si>
    <t>26617005</t>
  </si>
  <si>
    <t>88318005</t>
  </si>
  <si>
    <t>34018004</t>
  </si>
  <si>
    <t>54215000</t>
  </si>
  <si>
    <t>11817000</t>
  </si>
  <si>
    <t>84018005</t>
  </si>
  <si>
    <t>14218003</t>
  </si>
  <si>
    <t>03318002</t>
  </si>
  <si>
    <t>05818009</t>
  </si>
  <si>
    <t>83918003</t>
  </si>
  <si>
    <t>85918007</t>
  </si>
  <si>
    <t>80818001</t>
  </si>
  <si>
    <t>14218005</t>
  </si>
  <si>
    <t>16518002</t>
  </si>
  <si>
    <t>75717006</t>
  </si>
  <si>
    <t>92018002</t>
  </si>
  <si>
    <t>00817004</t>
  </si>
  <si>
    <t>13118004</t>
  </si>
  <si>
    <t>55918001</t>
  </si>
  <si>
    <t>52718003</t>
  </si>
  <si>
    <t>24817005</t>
  </si>
  <si>
    <t>60118004</t>
  </si>
  <si>
    <t>06018003</t>
  </si>
  <si>
    <t>63917009</t>
  </si>
  <si>
    <t>59618001</t>
  </si>
  <si>
    <t>95717003</t>
  </si>
  <si>
    <t>28218006</t>
  </si>
  <si>
    <t>11717005</t>
  </si>
  <si>
    <t>94818000</t>
  </si>
  <si>
    <t>41718002</t>
  </si>
  <si>
    <t>51018002</t>
  </si>
  <si>
    <t>09918004</t>
  </si>
  <si>
    <t>31318002</t>
  </si>
  <si>
    <t>41616003</t>
  </si>
  <si>
    <t>89618008</t>
  </si>
  <si>
    <t>27918001</t>
  </si>
  <si>
    <t>28016006</t>
  </si>
  <si>
    <t>00018009</t>
  </si>
  <si>
    <t>60318007</t>
  </si>
  <si>
    <t>69117001</t>
  </si>
  <si>
    <t>68916008</t>
  </si>
  <si>
    <t>49397005</t>
  </si>
  <si>
    <t>04818003</t>
  </si>
  <si>
    <t>53517000</t>
  </si>
  <si>
    <t>24818004</t>
  </si>
  <si>
    <t>31918004</t>
  </si>
  <si>
    <t>96818002</t>
  </si>
  <si>
    <t>70318004</t>
  </si>
  <si>
    <t>38117002</t>
  </si>
  <si>
    <t>03417008</t>
  </si>
  <si>
    <t>64318002</t>
  </si>
  <si>
    <t>32518004</t>
  </si>
  <si>
    <t>60118006</t>
  </si>
  <si>
    <t>58218000</t>
  </si>
  <si>
    <t>10318004</t>
  </si>
  <si>
    <t>91318005</t>
  </si>
  <si>
    <t>65517007</t>
  </si>
  <si>
    <t>31718005</t>
  </si>
  <si>
    <t>14018003</t>
  </si>
  <si>
    <t>33018004</t>
  </si>
  <si>
    <t>74818005</t>
  </si>
  <si>
    <t>69017007</t>
  </si>
  <si>
    <t>15018001</t>
  </si>
  <si>
    <t>34718004</t>
  </si>
  <si>
    <t>45618001</t>
  </si>
  <si>
    <t>54618002</t>
  </si>
  <si>
    <t>24817007</t>
  </si>
  <si>
    <t>15618001</t>
  </si>
  <si>
    <t>92218004</t>
  </si>
  <si>
    <t>21518002</t>
  </si>
  <si>
    <t>46418008</t>
  </si>
  <si>
    <t>41817003</t>
  </si>
  <si>
    <t>02218002</t>
  </si>
  <si>
    <t>65718005</t>
  </si>
  <si>
    <t>45518004</t>
  </si>
  <si>
    <t>51918003</t>
  </si>
  <si>
    <t>35118006</t>
  </si>
  <si>
    <t>25318005</t>
  </si>
  <si>
    <t>61217000</t>
  </si>
  <si>
    <t>17817002</t>
  </si>
  <si>
    <t>44716003</t>
  </si>
  <si>
    <t>28317004</t>
  </si>
  <si>
    <t>85918002</t>
  </si>
  <si>
    <t>57718000</t>
  </si>
  <si>
    <t>73118001</t>
  </si>
  <si>
    <t>93918002</t>
  </si>
  <si>
    <t>84718005</t>
  </si>
  <si>
    <t>33818004</t>
  </si>
  <si>
    <t>39118007</t>
  </si>
  <si>
    <t>85118008</t>
  </si>
  <si>
    <t>48613007</t>
  </si>
  <si>
    <t>46117001</t>
  </si>
  <si>
    <t>76918004</t>
  </si>
  <si>
    <t>09218002</t>
  </si>
  <si>
    <t>71818005</t>
  </si>
  <si>
    <t>51416001</t>
  </si>
  <si>
    <t>80116005</t>
  </si>
  <si>
    <t>59117002</t>
  </si>
  <si>
    <t>33018002</t>
  </si>
  <si>
    <t>05518006</t>
  </si>
  <si>
    <t>24118001</t>
  </si>
  <si>
    <t>22518001</t>
  </si>
  <si>
    <t>05118002</t>
  </si>
  <si>
    <t>02718002</t>
  </si>
  <si>
    <t>56717005</t>
  </si>
  <si>
    <t>50617003</t>
  </si>
  <si>
    <t>30717002</t>
  </si>
  <si>
    <t>32718008</t>
  </si>
  <si>
    <t>13817000</t>
  </si>
  <si>
    <t>83318000</t>
  </si>
  <si>
    <t>16518003</t>
  </si>
  <si>
    <t>41418003</t>
  </si>
  <si>
    <t>29618001</t>
  </si>
  <si>
    <t>40718001</t>
  </si>
  <si>
    <t>81418001</t>
  </si>
  <si>
    <t>66818005</t>
  </si>
  <si>
    <t>89718004</t>
  </si>
  <si>
    <t>71518007</t>
  </si>
  <si>
    <t>91717008</t>
  </si>
  <si>
    <t>28017000</t>
  </si>
  <si>
    <t>13217004</t>
  </si>
  <si>
    <t>94517003</t>
  </si>
  <si>
    <t>56418000</t>
  </si>
  <si>
    <t>49018005</t>
  </si>
  <si>
    <t>82217002</t>
  </si>
  <si>
    <t>90318005</t>
  </si>
  <si>
    <t>07218003</t>
  </si>
  <si>
    <t>58118000</t>
  </si>
  <si>
    <t>04918003</t>
  </si>
  <si>
    <t>37918004</t>
  </si>
  <si>
    <t>11518003</t>
  </si>
  <si>
    <t>10218003</t>
  </si>
  <si>
    <t>31118003</t>
  </si>
  <si>
    <t>97417002</t>
  </si>
  <si>
    <t>63618000</t>
  </si>
  <si>
    <t>22418006</t>
  </si>
  <si>
    <t>83118000</t>
  </si>
  <si>
    <t>41218002</t>
  </si>
  <si>
    <t>29418000</t>
  </si>
  <si>
    <t>85717002</t>
  </si>
  <si>
    <t>34518004</t>
  </si>
  <si>
    <t>49018001</t>
  </si>
  <si>
    <t>24218006</t>
  </si>
  <si>
    <t>11318001</t>
  </si>
  <si>
    <t>30918005</t>
  </si>
  <si>
    <t>85218004</t>
  </si>
  <si>
    <t>76817008</t>
  </si>
  <si>
    <t>36718002</t>
  </si>
  <si>
    <t>31517006</t>
  </si>
  <si>
    <t>62018002</t>
  </si>
  <si>
    <t>51318003</t>
  </si>
  <si>
    <t>31017005</t>
  </si>
  <si>
    <t>27818003</t>
  </si>
  <si>
    <t>40017002</t>
  </si>
  <si>
    <t>35518003</t>
  </si>
  <si>
    <t>31718008</t>
  </si>
  <si>
    <t>16218003</t>
  </si>
  <si>
    <t>97117002</t>
  </si>
  <si>
    <t>41217004</t>
  </si>
  <si>
    <t>29818004</t>
  </si>
  <si>
    <t>02818004</t>
  </si>
  <si>
    <t>12318007</t>
  </si>
  <si>
    <t>58118008</t>
  </si>
  <si>
    <t>56214001</t>
  </si>
  <si>
    <t>57417002</t>
  </si>
  <si>
    <t>08218008</t>
  </si>
  <si>
    <t>77418007</t>
  </si>
  <si>
    <t>95918000</t>
  </si>
  <si>
    <t>59918002</t>
  </si>
  <si>
    <t>52118003</t>
  </si>
  <si>
    <t>97318001</t>
  </si>
  <si>
    <t>87018007</t>
  </si>
  <si>
    <t>63418002</t>
  </si>
  <si>
    <t>70818002</t>
  </si>
  <si>
    <t>70017010</t>
  </si>
  <si>
    <t>00918008</t>
  </si>
  <si>
    <t>36817005</t>
  </si>
  <si>
    <t>17018004</t>
  </si>
  <si>
    <t>13818004</t>
  </si>
  <si>
    <t>50313009</t>
  </si>
  <si>
    <t>32018004</t>
  </si>
  <si>
    <t>91918004</t>
  </si>
  <si>
    <t>85618002</t>
  </si>
  <si>
    <t>34618004</t>
  </si>
  <si>
    <t>03018006</t>
  </si>
  <si>
    <t>92418000</t>
  </si>
  <si>
    <t>95118001</t>
  </si>
  <si>
    <t>79017002</t>
  </si>
  <si>
    <t>37618004</t>
  </si>
  <si>
    <t>73418006</t>
  </si>
  <si>
    <t>22618004</t>
  </si>
  <si>
    <t>92517002</t>
  </si>
  <si>
    <t>80118001</t>
  </si>
  <si>
    <t>61518004</t>
  </si>
  <si>
    <t>15818001</t>
  </si>
  <si>
    <t>49818007</t>
  </si>
  <si>
    <t>50518003</t>
  </si>
  <si>
    <t>01218003</t>
  </si>
  <si>
    <t>75718002</t>
  </si>
  <si>
    <t>58018004</t>
  </si>
  <si>
    <t>18118002</t>
  </si>
  <si>
    <t>16918003</t>
  </si>
  <si>
    <t>29018002</t>
  </si>
  <si>
    <t>64018002</t>
  </si>
  <si>
    <t>47518007</t>
  </si>
  <si>
    <t>37118004</t>
  </si>
  <si>
    <t>09618003</t>
  </si>
  <si>
    <t>18018005</t>
  </si>
  <si>
    <t>09117000</t>
  </si>
  <si>
    <t>94118000</t>
  </si>
  <si>
    <t>35918004</t>
  </si>
  <si>
    <t>13418004</t>
  </si>
  <si>
    <t>69817004</t>
  </si>
  <si>
    <t>48417003</t>
  </si>
  <si>
    <t>24318001</t>
  </si>
  <si>
    <t>14217008</t>
  </si>
  <si>
    <t>42418001</t>
  </si>
  <si>
    <t>58116004</t>
  </si>
  <si>
    <t>29718005</t>
  </si>
  <si>
    <t>71118001</t>
  </si>
  <si>
    <t>18017006</t>
  </si>
  <si>
    <t>67718005</t>
  </si>
  <si>
    <t>13718002</t>
  </si>
  <si>
    <t>42518001</t>
  </si>
  <si>
    <t>42517005</t>
  </si>
  <si>
    <t>35118001</t>
  </si>
  <si>
    <t>11518008</t>
  </si>
  <si>
    <t>33518004</t>
  </si>
  <si>
    <t>32318003</t>
  </si>
  <si>
    <t>66914007</t>
  </si>
  <si>
    <t>07717000</t>
  </si>
  <si>
    <t>56718000</t>
  </si>
  <si>
    <t>61416002</t>
  </si>
  <si>
    <t>95018003</t>
  </si>
  <si>
    <t>25418006</t>
  </si>
  <si>
    <t>70218005</t>
  </si>
  <si>
    <t>38118002</t>
  </si>
  <si>
    <t>03216003</t>
  </si>
  <si>
    <t>18617005</t>
  </si>
  <si>
    <t>19218005</t>
  </si>
  <si>
    <t>15918002</t>
  </si>
  <si>
    <t>04118001</t>
  </si>
  <si>
    <t>20018005</t>
  </si>
  <si>
    <t>51818003</t>
  </si>
  <si>
    <t>26818005</t>
  </si>
  <si>
    <t>81218006</t>
  </si>
  <si>
    <t>70318003</t>
  </si>
  <si>
    <t>44918007</t>
  </si>
  <si>
    <t>96218004</t>
  </si>
  <si>
    <t>19718004</t>
  </si>
  <si>
    <t>92917002</t>
  </si>
  <si>
    <t>14717009</t>
  </si>
  <si>
    <t>96318004</t>
  </si>
  <si>
    <t>90018001</t>
  </si>
  <si>
    <t>04118002</t>
  </si>
  <si>
    <t>86118002</t>
  </si>
  <si>
    <t>92018000</t>
  </si>
  <si>
    <t>29318003</t>
  </si>
  <si>
    <t>71417002</t>
  </si>
  <si>
    <t>07018001</t>
  </si>
  <si>
    <t>35518004</t>
  </si>
  <si>
    <t>85918004</t>
  </si>
  <si>
    <t>88218000</t>
  </si>
  <si>
    <t>37918002</t>
  </si>
  <si>
    <t>84018002</t>
  </si>
  <si>
    <t>27418006</t>
  </si>
  <si>
    <t>07017002</t>
  </si>
  <si>
    <t>17718004</t>
  </si>
  <si>
    <t>31618008</t>
  </si>
  <si>
    <t>76618001</t>
  </si>
  <si>
    <t>20217003</t>
  </si>
  <si>
    <t>22818007</t>
  </si>
  <si>
    <t>40315008</t>
  </si>
  <si>
    <t>11218006</t>
  </si>
  <si>
    <t>54918001</t>
  </si>
  <si>
    <t>35618004</t>
  </si>
  <si>
    <t>31518004</t>
  </si>
  <si>
    <t>40818001</t>
  </si>
  <si>
    <t>56518005</t>
  </si>
  <si>
    <t>13117003</t>
  </si>
  <si>
    <t>89318002</t>
  </si>
  <si>
    <t>54917007</t>
  </si>
  <si>
    <t>98318003</t>
  </si>
  <si>
    <t>94918003</t>
  </si>
  <si>
    <t>22518004</t>
  </si>
  <si>
    <t>47917004</t>
  </si>
  <si>
    <t>05118003</t>
  </si>
  <si>
    <t>14117002</t>
  </si>
  <si>
    <t>89417002</t>
  </si>
  <si>
    <t>11118001</t>
  </si>
  <si>
    <t>42618001</t>
  </si>
  <si>
    <t>69918000</t>
  </si>
  <si>
    <t>05617001</t>
  </si>
  <si>
    <t>10418001</t>
  </si>
  <si>
    <t>98717000</t>
  </si>
  <si>
    <t>37217000</t>
  </si>
  <si>
    <t>01218005</t>
  </si>
  <si>
    <t>61817007</t>
  </si>
  <si>
    <t>28318004</t>
  </si>
  <si>
    <t>43117001</t>
  </si>
  <si>
    <t>49218001</t>
  </si>
  <si>
    <t>84618003</t>
  </si>
  <si>
    <t>91818004</t>
  </si>
  <si>
    <t>98517000</t>
  </si>
  <si>
    <t>27717005</t>
  </si>
  <si>
    <t>84818003</t>
  </si>
  <si>
    <t>10318005</t>
  </si>
  <si>
    <t>00415004</t>
  </si>
  <si>
    <t>07317002</t>
  </si>
  <si>
    <t>13617000</t>
  </si>
  <si>
    <t>28018001</t>
  </si>
  <si>
    <t>79718001</t>
  </si>
  <si>
    <t>32018005</t>
  </si>
  <si>
    <t>97718002</t>
  </si>
  <si>
    <t>94718001</t>
  </si>
  <si>
    <t>85617004</t>
  </si>
  <si>
    <t>26818001</t>
  </si>
  <si>
    <t>41017001</t>
  </si>
  <si>
    <t>74018002</t>
  </si>
  <si>
    <t>04518009</t>
  </si>
  <si>
    <t>44917005</t>
  </si>
  <si>
    <t>25818001</t>
  </si>
  <si>
    <t>08618002</t>
  </si>
  <si>
    <t>06318007</t>
  </si>
  <si>
    <t>04317008</t>
  </si>
  <si>
    <t>79318005</t>
  </si>
  <si>
    <t>08318007</t>
  </si>
  <si>
    <t>07517002</t>
  </si>
  <si>
    <t>71018000</t>
  </si>
  <si>
    <t>43518002</t>
  </si>
  <si>
    <t>64318004</t>
  </si>
  <si>
    <t>79417010</t>
  </si>
  <si>
    <t>24718001</t>
  </si>
  <si>
    <t>81318001</t>
  </si>
  <si>
    <t>42118002</t>
  </si>
  <si>
    <t>24318008</t>
  </si>
  <si>
    <t>50818004</t>
  </si>
  <si>
    <t>51917003</t>
  </si>
  <si>
    <t>74318004</t>
  </si>
  <si>
    <t>03217004</t>
  </si>
  <si>
    <t>35118003</t>
  </si>
  <si>
    <t>39116004</t>
  </si>
  <si>
    <t>66418000</t>
  </si>
  <si>
    <t>38018001</t>
  </si>
  <si>
    <t>71717001</t>
  </si>
  <si>
    <t>94717002</t>
  </si>
  <si>
    <t>79417002</t>
  </si>
  <si>
    <t>44718008</t>
  </si>
  <si>
    <t>35017006</t>
  </si>
  <si>
    <t>65616007</t>
  </si>
  <si>
    <t>21918005</t>
  </si>
  <si>
    <t>04518003</t>
  </si>
  <si>
    <t>80518002</t>
  </si>
  <si>
    <t>45518006</t>
  </si>
  <si>
    <t>37203004</t>
  </si>
  <si>
    <t>11018001</t>
  </si>
  <si>
    <t>47218005</t>
  </si>
  <si>
    <t>33318004</t>
  </si>
  <si>
    <t>16218005</t>
  </si>
  <si>
    <t>04718001</t>
  </si>
  <si>
    <t>71717000</t>
  </si>
  <si>
    <t>79415001</t>
  </si>
  <si>
    <t>13318001</t>
  </si>
  <si>
    <t>26717001</t>
  </si>
  <si>
    <t>02718000</t>
  </si>
  <si>
    <t>32918004</t>
  </si>
  <si>
    <t>70618004</t>
  </si>
  <si>
    <t>50418002</t>
  </si>
  <si>
    <t>53018001</t>
  </si>
  <si>
    <t>77817004</t>
  </si>
  <si>
    <t>06218003</t>
  </si>
  <si>
    <t>25418007</t>
  </si>
  <si>
    <t>27018007</t>
  </si>
  <si>
    <t>81718000</t>
  </si>
  <si>
    <t>51218005</t>
  </si>
  <si>
    <t>51618001</t>
  </si>
  <si>
    <t>43817004</t>
  </si>
  <si>
    <t>18418002</t>
  </si>
  <si>
    <t>47818005</t>
  </si>
  <si>
    <t>57818004</t>
  </si>
  <si>
    <t>90218001</t>
  </si>
  <si>
    <t>66418003</t>
  </si>
  <si>
    <t>51318001</t>
  </si>
  <si>
    <t>72518005</t>
  </si>
  <si>
    <t>76018007</t>
  </si>
  <si>
    <t>59818000</t>
  </si>
  <si>
    <t>62318007</t>
  </si>
  <si>
    <t>56518001</t>
  </si>
  <si>
    <t>36317004</t>
  </si>
  <si>
    <t>49418005</t>
  </si>
  <si>
    <t>01317001</t>
  </si>
  <si>
    <t>36418004</t>
  </si>
  <si>
    <t>64518000</t>
  </si>
  <si>
    <t>71118003</t>
  </si>
  <si>
    <t>31217002</t>
  </si>
  <si>
    <t>75518004</t>
  </si>
  <si>
    <t>47618001</t>
  </si>
  <si>
    <t>80916006</t>
  </si>
  <si>
    <t>67818007</t>
  </si>
  <si>
    <t>59518000</t>
  </si>
  <si>
    <t>79018003</t>
  </si>
  <si>
    <t>83418001</t>
  </si>
  <si>
    <t>60517002</t>
  </si>
  <si>
    <t>90618005</t>
  </si>
  <si>
    <t>43418006</t>
  </si>
  <si>
    <t>01618001</t>
  </si>
  <si>
    <t>71717007</t>
  </si>
  <si>
    <t>67918001</t>
  </si>
  <si>
    <t>49018003</t>
  </si>
  <si>
    <t>36318001</t>
  </si>
  <si>
    <t>19918003</t>
  </si>
  <si>
    <t>96317003</t>
  </si>
  <si>
    <t>75217004</t>
  </si>
  <si>
    <t>76818005</t>
  </si>
  <si>
    <t>04218003</t>
  </si>
  <si>
    <t>24118005</t>
  </si>
  <si>
    <t>82418004</t>
  </si>
  <si>
    <t>41318002</t>
  </si>
  <si>
    <t>28516001</t>
  </si>
  <si>
    <t>42717000</t>
  </si>
  <si>
    <t>84316004</t>
  </si>
  <si>
    <t>17016004</t>
  </si>
  <si>
    <t>12417008</t>
  </si>
  <si>
    <t>13918004</t>
  </si>
  <si>
    <t>02818003</t>
  </si>
  <si>
    <t>29817008</t>
  </si>
  <si>
    <t>60116000</t>
  </si>
  <si>
    <t>07918004</t>
  </si>
  <si>
    <t>25018007</t>
  </si>
  <si>
    <t>69318000</t>
  </si>
  <si>
    <t>77118000</t>
  </si>
  <si>
    <t>45818005</t>
  </si>
  <si>
    <t>01018003</t>
  </si>
  <si>
    <t>79518008</t>
  </si>
  <si>
    <t>71017003</t>
  </si>
  <si>
    <t>64318003</t>
  </si>
  <si>
    <t>37816004</t>
  </si>
  <si>
    <t>14118003</t>
  </si>
  <si>
    <t>17518004</t>
  </si>
  <si>
    <t>62418000</t>
  </si>
  <si>
    <t>89418002</t>
  </si>
  <si>
    <t>70917004</t>
  </si>
  <si>
    <t>05518001</t>
  </si>
  <si>
    <t>08218002</t>
  </si>
  <si>
    <t>79617004</t>
  </si>
  <si>
    <t>28517001</t>
  </si>
  <si>
    <t>17818002</t>
  </si>
  <si>
    <t>16017004</t>
  </si>
  <si>
    <t>03317003</t>
  </si>
  <si>
    <t>01018006</t>
  </si>
  <si>
    <t>29718003</t>
  </si>
  <si>
    <t>68918000</t>
  </si>
  <si>
    <t>05918006</t>
  </si>
  <si>
    <t>00418006</t>
  </si>
  <si>
    <t>91016008</t>
  </si>
  <si>
    <t>57318000</t>
  </si>
  <si>
    <t>10918000</t>
  </si>
  <si>
    <t>60018004</t>
  </si>
  <si>
    <t>58518000</t>
  </si>
  <si>
    <t>23116005</t>
  </si>
  <si>
    <t>69718004</t>
  </si>
  <si>
    <t>53617001</t>
  </si>
  <si>
    <t>91118000</t>
  </si>
  <si>
    <t>89018004</t>
  </si>
  <si>
    <t>32618002</t>
  </si>
  <si>
    <t>08018008</t>
  </si>
  <si>
    <t>59114000</t>
  </si>
  <si>
    <t>55218001</t>
  </si>
  <si>
    <t>54818000</t>
  </si>
  <si>
    <t>73616000</t>
  </si>
  <si>
    <t>41918003</t>
  </si>
  <si>
    <t>40918005</t>
  </si>
  <si>
    <t>76318001</t>
  </si>
  <si>
    <t>36318004</t>
  </si>
  <si>
    <t>80117005</t>
  </si>
  <si>
    <t>75118000</t>
  </si>
  <si>
    <t>48818003</t>
  </si>
  <si>
    <t>25118007</t>
  </si>
  <si>
    <t>03816011</t>
  </si>
  <si>
    <t>40918002</t>
  </si>
  <si>
    <t>71417006</t>
  </si>
  <si>
    <t>28918006</t>
  </si>
  <si>
    <t>46718001</t>
  </si>
  <si>
    <t>55618005</t>
  </si>
  <si>
    <t>70218002</t>
  </si>
  <si>
    <t>99118006</t>
  </si>
  <si>
    <t>93518001</t>
  </si>
  <si>
    <t>21117006</t>
  </si>
  <si>
    <t>38818001</t>
  </si>
  <si>
    <t>28118003</t>
  </si>
  <si>
    <t>97717000</t>
  </si>
  <si>
    <t>29617007</t>
  </si>
  <si>
    <t>19618007</t>
  </si>
  <si>
    <t>20017006</t>
  </si>
  <si>
    <t>90318001</t>
  </si>
  <si>
    <t>92918003</t>
  </si>
  <si>
    <t>37918000</t>
  </si>
  <si>
    <t>65117003</t>
  </si>
  <si>
    <t>04318004</t>
  </si>
  <si>
    <t>59717002</t>
  </si>
  <si>
    <t>28917005</t>
  </si>
  <si>
    <t>96617004</t>
  </si>
  <si>
    <t>29318002</t>
  </si>
  <si>
    <t>63617001</t>
  </si>
  <si>
    <t>40817000</t>
  </si>
  <si>
    <t>77917000</t>
  </si>
  <si>
    <t>39317000</t>
  </si>
  <si>
    <t>98717002</t>
  </si>
  <si>
    <t>34818004</t>
  </si>
  <si>
    <t>32418002</t>
  </si>
  <si>
    <t>01516007</t>
  </si>
  <si>
    <t>32818000</t>
  </si>
  <si>
    <t>91517002</t>
  </si>
  <si>
    <t>29917002</t>
  </si>
  <si>
    <t>86718007</t>
  </si>
  <si>
    <t>37718000</t>
  </si>
  <si>
    <t>06518001</t>
  </si>
  <si>
    <t>23717005</t>
  </si>
  <si>
    <t>51417000</t>
  </si>
  <si>
    <t>57818001</t>
  </si>
  <si>
    <t>84017001</t>
  </si>
  <si>
    <t>86917001</t>
  </si>
  <si>
    <t>26117004</t>
  </si>
  <si>
    <t>89518000</t>
  </si>
  <si>
    <t>72218008</t>
  </si>
  <si>
    <t>38818003</t>
  </si>
  <si>
    <t>93918001</t>
  </si>
  <si>
    <t>22118002</t>
  </si>
  <si>
    <t>50017000</t>
  </si>
  <si>
    <t>89818002</t>
  </si>
  <si>
    <t>26616009</t>
  </si>
  <si>
    <t>88118007</t>
  </si>
  <si>
    <t>57617002</t>
  </si>
  <si>
    <t>41316001</t>
  </si>
  <si>
    <t>52116000</t>
  </si>
  <si>
    <t>30618006</t>
  </si>
  <si>
    <t>18318004</t>
  </si>
  <si>
    <t>61318001</t>
  </si>
  <si>
    <t>03218002</t>
  </si>
  <si>
    <t>52817000</t>
  </si>
  <si>
    <t>34417007</t>
  </si>
  <si>
    <t>19618003</t>
  </si>
  <si>
    <t>56718001</t>
  </si>
  <si>
    <t>87518000</t>
  </si>
  <si>
    <t>09618007</t>
  </si>
  <si>
    <t>44917001</t>
  </si>
  <si>
    <t>46116000</t>
  </si>
  <si>
    <t>27618001</t>
  </si>
  <si>
    <t>79617000</t>
  </si>
  <si>
    <t>94018002</t>
  </si>
  <si>
    <t>77518001</t>
  </si>
  <si>
    <t>93915003</t>
  </si>
  <si>
    <t>34318004</t>
  </si>
  <si>
    <t>43918001</t>
  </si>
  <si>
    <t>86118008</t>
  </si>
  <si>
    <t>43617003</t>
  </si>
  <si>
    <t>35116001</t>
  </si>
  <si>
    <t>87018000</t>
  </si>
  <si>
    <t>91618000</t>
  </si>
  <si>
    <t>68818005</t>
  </si>
  <si>
    <t>92118000</t>
  </si>
  <si>
    <t>58518001</t>
  </si>
  <si>
    <t>65518000</t>
  </si>
  <si>
    <t>42418006</t>
  </si>
  <si>
    <t>96017000</t>
  </si>
  <si>
    <t>10218002</t>
  </si>
  <si>
    <t>58318000</t>
  </si>
  <si>
    <t>11918004</t>
  </si>
  <si>
    <t>76718003</t>
  </si>
  <si>
    <t>60118002</t>
  </si>
  <si>
    <t>47918003</t>
  </si>
  <si>
    <t>29618006</t>
  </si>
  <si>
    <t>74318009</t>
  </si>
  <si>
    <t>59617008</t>
  </si>
  <si>
    <t>27218005</t>
  </si>
  <si>
    <t>07218002</t>
  </si>
  <si>
    <t>40817006</t>
  </si>
  <si>
    <t>37318008</t>
  </si>
  <si>
    <t>93618005</t>
  </si>
  <si>
    <t>77018005</t>
  </si>
  <si>
    <t>51916003</t>
  </si>
  <si>
    <t>20217005</t>
  </si>
  <si>
    <t>29118000</t>
  </si>
  <si>
    <t>84918004</t>
  </si>
  <si>
    <t>59318003</t>
  </si>
  <si>
    <t>86218000</t>
  </si>
  <si>
    <t>86318000</t>
  </si>
  <si>
    <t>Questions</t>
  </si>
  <si>
    <t>AVG</t>
  </si>
  <si>
    <t>MED</t>
  </si>
  <si>
    <t>NR</t>
  </si>
  <si>
    <t>OK</t>
  </si>
  <si>
    <t>Student Results</t>
  </si>
  <si>
    <t>Student - Resultaten</t>
  </si>
  <si>
    <t>Resultats Etudients</t>
  </si>
  <si>
    <t>Students</t>
  </si>
  <si>
    <t>Title + Timings</t>
  </si>
  <si>
    <t>Title</t>
  </si>
  <si>
    <t>Timings</t>
  </si>
  <si>
    <t xml:space="preserve">   1. Crosby, Stills &amp; Nash - Suite - Judy Blue Eyes          [07:25]</t>
  </si>
  <si>
    <t xml:space="preserve">   3. Crosby, Stills &amp; Nash - Just a Song Before I Go         [02:14]</t>
  </si>
  <si>
    <t xml:space="preserve">   4. Crosby, Stills &amp; Nash - Southern Cross                  [04:41]</t>
  </si>
  <si>
    <t xml:space="preserve">   5. Crosby, Stills &amp; Nash - Marrakesh Express               [02:36]</t>
  </si>
  <si>
    <t xml:space="preserve">   6. Crosby, Stills &amp; Nash - Shadow Captain                  [04:33]</t>
  </si>
  <si>
    <t xml:space="preserve">   7. Crosby, Stills &amp; Nash - See the Changes                 [02:59]</t>
  </si>
  <si>
    <t xml:space="preserve">   8. Crosby, Stills &amp; Nash - Delta                           [04:13]</t>
  </si>
  <si>
    <t xml:space="preserve">   9. Crosby, Stills &amp; Nash - 49 Bye-Byes                     [05:05]</t>
  </si>
  <si>
    <t xml:space="preserve">  10. Crosby, Stills &amp; Nash - Wasted on the Way               [02:52]</t>
  </si>
  <si>
    <t xml:space="preserve">  11. Crosby, Stills &amp; Nash - Carry On--Questions             [04:27]</t>
  </si>
  <si>
    <t xml:space="preserve">  12. Crosby, Stills &amp; Nash - In My Dreams                    [05:13]</t>
  </si>
  <si>
    <t xml:space="preserve">  13. Crosby, Stills &amp; Nash - Cathedral                       [05:16]</t>
  </si>
  <si>
    <t xml:space="preserve">  14. Crosby, Stills &amp; Nash - Daylight Again                  [02:29]</t>
  </si>
  <si>
    <t xml:space="preserve">  15. Crosby, Stills, Nash &amp; Young - Deja Vu                  [04:14]</t>
  </si>
  <si>
    <t xml:space="preserve">  16. Crosby, Stills, Nash &amp; Young - Helplessly Hoping        [02:41]</t>
  </si>
  <si>
    <t xml:space="preserve">  17. Crosby, Stills, Nash &amp; Young - Wooden Ships             [05:30]</t>
  </si>
  <si>
    <t xml:space="preserve">  18. Crosby, Stills, Nash &amp; Young - Teach Your Children      [02:59]</t>
  </si>
  <si>
    <t xml:space="preserve">  19. Crosby, Stills, Nash &amp; Young - Ohio                     [03:05]</t>
  </si>
  <si>
    <t xml:space="preserve">  20. Crosby, Stills, Nash &amp; Young - Find The Cost Of Freedom [02:01]</t>
  </si>
  <si>
    <t xml:space="preserve">  21. Crosby, Stills, Nash &amp; Young - Woodstock                [03:56]</t>
  </si>
  <si>
    <t xml:space="preserve">  22. Crosby, Stills, Nash &amp; Young - Our House                [03:02]</t>
  </si>
  <si>
    <t xml:space="preserve">  23. Crosby, Stills, Nash &amp; Young - Helpless                 [03:40]</t>
  </si>
  <si>
    <t xml:space="preserve">  24. Crosby, Stills, Nash &amp; Young - Guinnevere               [04:42]</t>
  </si>
  <si>
    <t xml:space="preserve">  25. Crosby, Stills, Nash &amp; Young - No Tears Left            [05:06]</t>
  </si>
  <si>
    <t xml:space="preserve">  26. Crosby, Stills &amp; Nash - Live It Up                      [03:56]</t>
  </si>
  <si>
    <t xml:space="preserve">  27. Crosby, Stills, Nash &amp; Young - That Girl                [03:30]</t>
  </si>
  <si>
    <t xml:space="preserve">  28. Crosby, Stills, Nash &amp; Young - Nighttime for Generals   [04:09]</t>
  </si>
  <si>
    <t xml:space="preserve">  29. Crosby, Stills, Nash &amp; Young - This Old House           [04:49]</t>
  </si>
  <si>
    <t xml:space="preserve">  30. Crosby, Stills, Nash &amp; Young - Got It Made              [04:56]</t>
  </si>
  <si>
    <t xml:space="preserve">  31. Crosby, Stills, Nash &amp; Young - American Dream           [03:18]</t>
  </si>
  <si>
    <t>Years</t>
  </si>
  <si>
    <t>Actif</t>
  </si>
  <si>
    <t>yes</t>
  </si>
  <si>
    <t>no</t>
  </si>
  <si>
    <t>Listnr</t>
  </si>
  <si>
    <t>Number of Sales People</t>
  </si>
  <si>
    <t>Revenue per Salesperson</t>
  </si>
  <si>
    <t>Diminishing Return</t>
  </si>
  <si>
    <t>Cost per Salesperson</t>
  </si>
  <si>
    <t>Salaries</t>
  </si>
  <si>
    <t>Sales People</t>
  </si>
  <si>
    <t>Prod1</t>
  </si>
  <si>
    <t>Prod2</t>
  </si>
  <si>
    <t>Planned Expenses</t>
  </si>
  <si>
    <t>Employee Costs</t>
  </si>
  <si>
    <t>Wages</t>
  </si>
  <si>
    <t>Benefits</t>
  </si>
  <si>
    <t>Subtotal</t>
  </si>
  <si>
    <t>Office Costs</t>
  </si>
  <si>
    <t>Office lease</t>
  </si>
  <si>
    <t>Gas</t>
  </si>
  <si>
    <t>Electric</t>
  </si>
  <si>
    <t>Water</t>
  </si>
  <si>
    <t>Telephone</t>
  </si>
  <si>
    <t>Internet access</t>
  </si>
  <si>
    <t>Office supplies</t>
  </si>
  <si>
    <t>Security</t>
  </si>
  <si>
    <t>Marketing Costs</t>
  </si>
  <si>
    <t>Web site hosting</t>
  </si>
  <si>
    <t>Web site updates</t>
  </si>
  <si>
    <t>Collateral preparation</t>
  </si>
  <si>
    <t>Collateral printing</t>
  </si>
  <si>
    <t>Marketing events</t>
  </si>
  <si>
    <t>Miscellaneous expenses</t>
  </si>
  <si>
    <t>Training/Travel</t>
  </si>
  <si>
    <t>Training classes</t>
  </si>
  <si>
    <t>Training-related travel costs</t>
  </si>
  <si>
    <t>TOTALS</t>
  </si>
  <si>
    <t>Monthly Planned Expenses</t>
  </si>
  <si>
    <t>TOTAL Planned Expenses</t>
  </si>
  <si>
    <t>Smith, Mary</t>
  </si>
  <si>
    <t>Reverse last/first name</t>
  </si>
  <si>
    <t>Nr de Femmes +170 pas Néerl</t>
  </si>
  <si>
    <t>Nr de Femmes Néerl</t>
  </si>
  <si>
    <t>Nr Candidats</t>
  </si>
  <si>
    <t>Ratio Femmes/Total</t>
  </si>
  <si>
    <t>Nr de dames</t>
  </si>
  <si>
    <t>Nr de personnes</t>
  </si>
  <si>
    <t>Age moyenne</t>
  </si>
  <si>
    <t>Stats</t>
  </si>
  <si>
    <t>Date référence</t>
  </si>
  <si>
    <t>Age Max</t>
  </si>
  <si>
    <t>Var Taille min</t>
  </si>
  <si>
    <t>Var Sexe</t>
  </si>
  <si>
    <t>Var Langue</t>
  </si>
  <si>
    <t>Variables</t>
  </si>
  <si>
    <t>Height visually</t>
  </si>
  <si>
    <t>Diploma</t>
  </si>
  <si>
    <t>Bachelor</t>
  </si>
  <si>
    <t>Master</t>
  </si>
  <si>
    <t>Doctorate</t>
  </si>
  <si>
    <t>Secondary Education (ASO, TSO, BSO)</t>
  </si>
  <si>
    <t>No diplome or primary only</t>
  </si>
  <si>
    <t>Diplomas</t>
  </si>
  <si>
    <t>Liam</t>
  </si>
  <si>
    <t>Olivia</t>
  </si>
  <si>
    <t>Noah</t>
  </si>
  <si>
    <t>Brown</t>
  </si>
  <si>
    <t>Emma</t>
  </si>
  <si>
    <t>Davis</t>
  </si>
  <si>
    <t>Ethan</t>
  </si>
  <si>
    <t>Sophia</t>
  </si>
  <si>
    <t>Wilson</t>
  </si>
  <si>
    <t>Oliver</t>
  </si>
  <si>
    <t>Isabella</t>
  </si>
  <si>
    <t>Aiden</t>
  </si>
  <si>
    <t>Mia</t>
  </si>
  <si>
    <t>Hernandez</t>
  </si>
  <si>
    <t>Muhammad</t>
  </si>
  <si>
    <t>Gonzalez</t>
  </si>
  <si>
    <t>Ava</t>
  </si>
  <si>
    <t>Lewis</t>
  </si>
  <si>
    <t>Lucas</t>
  </si>
  <si>
    <t>Hall</t>
  </si>
  <si>
    <t>Harper</t>
  </si>
  <si>
    <t>Lee</t>
  </si>
  <si>
    <t>Alexander</t>
  </si>
  <si>
    <t>Wright</t>
  </si>
  <si>
    <t>Charlotte</t>
  </si>
  <si>
    <t>Young</t>
  </si>
  <si>
    <t>King</t>
  </si>
  <si>
    <t>Amelia</t>
  </si>
  <si>
    <t>William</t>
  </si>
  <si>
    <t>Moore</t>
  </si>
  <si>
    <t>Turner</t>
  </si>
  <si>
    <t>James</t>
  </si>
  <si>
    <t>Abigail</t>
  </si>
  <si>
    <t>Clark</t>
  </si>
  <si>
    <t>Benjamin</t>
  </si>
  <si>
    <t>Elizabeth</t>
  </si>
  <si>
    <t>Green</t>
  </si>
  <si>
    <t>Baker</t>
  </si>
  <si>
    <t>Sofia</t>
  </si>
  <si>
    <t>Mitchell</t>
  </si>
  <si>
    <t>Scarlett</t>
  </si>
  <si>
    <t>Perez</t>
  </si>
  <si>
    <t>Matthew</t>
  </si>
  <si>
    <t>Roberts</t>
  </si>
  <si>
    <t>Avery</t>
  </si>
  <si>
    <t>Sanchez</t>
  </si>
  <si>
    <t>Jackson</t>
  </si>
  <si>
    <t>Grace</t>
  </si>
  <si>
    <t>Victoria</t>
  </si>
  <si>
    <t>Samuel</t>
  </si>
  <si>
    <t>Aria</t>
  </si>
  <si>
    <t>Jack</t>
  </si>
  <si>
    <t>Lily</t>
  </si>
  <si>
    <t>Dylan</t>
  </si>
  <si>
    <t>Zoey</t>
  </si>
  <si>
    <t>Leo</t>
  </si>
  <si>
    <t>Lillian</t>
  </si>
  <si>
    <t>Ryan</t>
  </si>
  <si>
    <t>Hannah</t>
  </si>
  <si>
    <t>Gabriel</t>
  </si>
  <si>
    <t>Camila</t>
  </si>
  <si>
    <t>Caleb</t>
  </si>
  <si>
    <t>Addison</t>
  </si>
  <si>
    <t>Aurora</t>
  </si>
  <si>
    <t>Emily</t>
  </si>
  <si>
    <t>Personnel</t>
  </si>
  <si>
    <t>Personeel</t>
  </si>
  <si>
    <t>Vacature</t>
  </si>
  <si>
    <t>Department</t>
  </si>
  <si>
    <t>Startdate</t>
  </si>
  <si>
    <t>Bruxelles</t>
  </si>
  <si>
    <r>
      <t xml:space="preserve">Expiry date
</t>
    </r>
    <r>
      <rPr>
        <b/>
        <sz val="8"/>
        <rFont val="Verdana"/>
        <family val="2"/>
      </rPr>
      <t>(3 months)</t>
    </r>
  </si>
  <si>
    <t>Beyond expiry</t>
  </si>
  <si>
    <t>Products  list 1</t>
  </si>
  <si>
    <t>Products list 2</t>
  </si>
  <si>
    <t>In the other list?</t>
  </si>
  <si>
    <t>With unique()</t>
  </si>
  <si>
    <t>Doublons et comparaisons</t>
  </si>
  <si>
    <t>Doubles and comparisons</t>
  </si>
  <si>
    <t>Dubbels en vergelijken</t>
  </si>
  <si>
    <t>Points</t>
  </si>
  <si>
    <t>%</t>
  </si>
  <si>
    <t>ABS() Delta</t>
  </si>
  <si>
    <t>Rank.EQ()</t>
  </si>
  <si>
    <t>Rank.AVG()</t>
  </si>
  <si>
    <t>OrderID</t>
  </si>
  <si>
    <t>ProductName</t>
  </si>
  <si>
    <t>CategoryName</t>
  </si>
  <si>
    <t>UnitPrice</t>
  </si>
  <si>
    <t>Quantity</t>
  </si>
  <si>
    <t>Discount</t>
  </si>
  <si>
    <t>CustomerID</t>
  </si>
  <si>
    <t>CompanyName</t>
  </si>
  <si>
    <t>OrderDate</t>
  </si>
  <si>
    <t>ShippedDate</t>
  </si>
  <si>
    <t>ShippingCie</t>
  </si>
  <si>
    <t>LastName</t>
  </si>
  <si>
    <t>FirstName</t>
  </si>
  <si>
    <t>Full name</t>
  </si>
  <si>
    <t>Sales year</t>
  </si>
  <si>
    <t>Weeknr</t>
  </si>
  <si>
    <t>Delivery</t>
  </si>
  <si>
    <t>Short Product name</t>
  </si>
  <si>
    <t>Mozzarella di Giovanni</t>
  </si>
  <si>
    <t>France</t>
  </si>
  <si>
    <t>Dairy Products</t>
  </si>
  <si>
    <t>VINET</t>
  </si>
  <si>
    <t>Vins et alcools Chevalier</t>
  </si>
  <si>
    <t>Federal Shipping</t>
  </si>
  <si>
    <t>Buchanan</t>
  </si>
  <si>
    <t>Queso Cabrales</t>
  </si>
  <si>
    <t>Singaporean Hokkien Fried Mee</t>
  </si>
  <si>
    <t>Grains/Cereals</t>
  </si>
  <si>
    <t>Manjimup Dried Apples</t>
  </si>
  <si>
    <t>Germany</t>
  </si>
  <si>
    <t>Produce</t>
  </si>
  <si>
    <t>TOMSP</t>
  </si>
  <si>
    <t>Toms Spezialitäten</t>
  </si>
  <si>
    <t>Speedy Express</t>
  </si>
  <si>
    <t>Suyama</t>
  </si>
  <si>
    <t>Tofu</t>
  </si>
  <si>
    <t>Louisiana Fiery Hot Pepper Sauce</t>
  </si>
  <si>
    <t>Condiments</t>
  </si>
  <si>
    <t>VICTE</t>
  </si>
  <si>
    <t>Victuailles en stock</t>
  </si>
  <si>
    <t>Leverling</t>
  </si>
  <si>
    <t>Ravioli Angelo</t>
  </si>
  <si>
    <t>Gustaf's Knäckebröd</t>
  </si>
  <si>
    <t>Sir Rodney's Marmalade</t>
  </si>
  <si>
    <t>Belgium</t>
  </si>
  <si>
    <t>Confections</t>
  </si>
  <si>
    <t>SUPRD</t>
  </si>
  <si>
    <t>Suprêmes délices</t>
  </si>
  <si>
    <t>United Package</t>
  </si>
  <si>
    <t>Peacock</t>
  </si>
  <si>
    <t>Margaret</t>
  </si>
  <si>
    <t>Camembert Pierrot</t>
  </si>
  <si>
    <t>Geitost</t>
  </si>
  <si>
    <t>Guaraná Fantástica</t>
  </si>
  <si>
    <t>Switzerland</t>
  </si>
  <si>
    <t>Beverages</t>
  </si>
  <si>
    <t>CHOPS</t>
  </si>
  <si>
    <t>Chop-suey Chinese</t>
  </si>
  <si>
    <t>Longlife Tofu</t>
  </si>
  <si>
    <t>Chang</t>
  </si>
  <si>
    <t>RICSU</t>
  </si>
  <si>
    <t>Richter Supermarkt</t>
  </si>
  <si>
    <t>Dodsworth</t>
  </si>
  <si>
    <t>Pavlova</t>
  </si>
  <si>
    <t>Raclette Courdavault</t>
  </si>
  <si>
    <t>Austria</t>
  </si>
  <si>
    <t>ERNSH</t>
  </si>
  <si>
    <t>Ernst Handel</t>
  </si>
  <si>
    <t>Davolio</t>
  </si>
  <si>
    <t>Chef Anton's Gumbo Mix</t>
  </si>
  <si>
    <t>Mascarpone Fabioli</t>
  </si>
  <si>
    <t>Outback Lager</t>
  </si>
  <si>
    <t>OTTIK</t>
  </si>
  <si>
    <t>Ottilies Käseladen</t>
  </si>
  <si>
    <t>Tarte au sucre</t>
  </si>
  <si>
    <t>Sweden</t>
  </si>
  <si>
    <t>FOLKO</t>
  </si>
  <si>
    <t>Folk och fä HB</t>
  </si>
  <si>
    <t>BLONP</t>
  </si>
  <si>
    <t>Blondel père et fils</t>
  </si>
  <si>
    <t>Fuller</t>
  </si>
  <si>
    <t>Andrew</t>
  </si>
  <si>
    <t>Queso Manchego La Pastora</t>
  </si>
  <si>
    <t>Finland</t>
  </si>
  <si>
    <t>WARTH</t>
  </si>
  <si>
    <t>Wartian Herkku</t>
  </si>
  <si>
    <t>Lakkalikööri</t>
  </si>
  <si>
    <t>FRANK</t>
  </si>
  <si>
    <t>Frankenversand</t>
  </si>
  <si>
    <t>Ipoh Coffee</t>
  </si>
  <si>
    <t>QUICK</t>
  </si>
  <si>
    <t>QUICK-Stop</t>
  </si>
  <si>
    <t>Gorgonzola Telino</t>
  </si>
  <si>
    <t>Fløtemysost</t>
  </si>
  <si>
    <t>Italy</t>
  </si>
  <si>
    <t>MAGAA</t>
  </si>
  <si>
    <t>Magazzini Alimentari Riuniti</t>
  </si>
  <si>
    <t>MORGK</t>
  </si>
  <si>
    <t>Morgenstern Gesundkost</t>
  </si>
  <si>
    <t>Rössle Sauerkraut</t>
  </si>
  <si>
    <t>Vegie-spread</t>
  </si>
  <si>
    <t>BERGS</t>
  </si>
  <si>
    <t>Berglunds snabbköp</t>
  </si>
  <si>
    <t>Callahan</t>
  </si>
  <si>
    <t>Laura</t>
  </si>
  <si>
    <t>Gula Malacca</t>
  </si>
  <si>
    <t>Steeleye Stout</t>
  </si>
  <si>
    <t>Spain</t>
  </si>
  <si>
    <t>ROMEY</t>
  </si>
  <si>
    <t>Romero y tomillo</t>
  </si>
  <si>
    <t>Teatime Chocolate Biscuits</t>
  </si>
  <si>
    <t>Rhönbräu Klosterbier</t>
  </si>
  <si>
    <t>Laughing Lumberjack Lager</t>
  </si>
  <si>
    <t>LEHMS</t>
  </si>
  <si>
    <t>Lehmanns Marktstand</t>
  </si>
  <si>
    <t>Schoggi Schokolade</t>
  </si>
  <si>
    <t>Chai</t>
  </si>
  <si>
    <t>Scottish Longbreads</t>
  </si>
  <si>
    <t>REGGC</t>
  </si>
  <si>
    <t>Reggiani Caseifici</t>
  </si>
  <si>
    <t>Aniseed Syrup</t>
  </si>
  <si>
    <t>BSBEV</t>
  </si>
  <si>
    <t>B's Beverages</t>
  </si>
  <si>
    <t>Wimmers gute Semmelknödel</t>
  </si>
  <si>
    <t>Gnocchi di nonna Alice</t>
  </si>
  <si>
    <t>Chartreuse verte</t>
  </si>
  <si>
    <t>Ireland</t>
  </si>
  <si>
    <t>HUNGO</t>
  </si>
  <si>
    <t>Hungry Owl All-Night Grocers</t>
  </si>
  <si>
    <t>WANDK</t>
  </si>
  <si>
    <t>Die Wandernde Kuh</t>
  </si>
  <si>
    <t>Louisiana Hot Spiced Okra</t>
  </si>
  <si>
    <t>GODOS</t>
  </si>
  <si>
    <t>Godos Cocina Típica</t>
  </si>
  <si>
    <t>Grandma's Boysenberry Spread</t>
  </si>
  <si>
    <t>Chef Anton's Cajun Seasoning</t>
  </si>
  <si>
    <t>Gudbrandsdalsost</t>
  </si>
  <si>
    <t>DUMON</t>
  </si>
  <si>
    <t>Du monde entier</t>
  </si>
  <si>
    <t>ISLAT</t>
  </si>
  <si>
    <t>Island Trading</t>
  </si>
  <si>
    <t>Sasquatch Ale</t>
  </si>
  <si>
    <t>KOENE</t>
  </si>
  <si>
    <t>Königlich Essen</t>
  </si>
  <si>
    <t>Genen Shouyu</t>
  </si>
  <si>
    <t>NuNuCa Nuß-Nougat-Creme</t>
  </si>
  <si>
    <t>BOLID</t>
  </si>
  <si>
    <t>Bólido Comidas preparadas</t>
  </si>
  <si>
    <t>Portugal</t>
  </si>
  <si>
    <t>FURIB</t>
  </si>
  <si>
    <t>Furia Bacalhau e Frutos do Mar</t>
  </si>
  <si>
    <t>Sir Rodney's Scones</t>
  </si>
  <si>
    <t>Filo Mix</t>
  </si>
  <si>
    <t>PRINI</t>
  </si>
  <si>
    <t>Princesa Isabel Vinhos</t>
  </si>
  <si>
    <t>Gumbär Gummibärchen</t>
  </si>
  <si>
    <t>Tunnbröd</t>
  </si>
  <si>
    <t>Denmark</t>
  </si>
  <si>
    <t>SIMOB</t>
  </si>
  <si>
    <t>Simons bistro</t>
  </si>
  <si>
    <t>BONAP</t>
  </si>
  <si>
    <t>Bon app'</t>
  </si>
  <si>
    <t>Northwoods Cranberry Sauce</t>
  </si>
  <si>
    <t>Côte de Blaye</t>
  </si>
  <si>
    <t>Valkoinen suklaa</t>
  </si>
  <si>
    <t>LAMAI</t>
  </si>
  <si>
    <t>La maison d'Asie</t>
  </si>
  <si>
    <t>PICCO</t>
  </si>
  <si>
    <t>Piccolo und mehr</t>
  </si>
  <si>
    <t>AROUT</t>
  </si>
  <si>
    <t>Around the Horn</t>
  </si>
  <si>
    <t>SEVES</t>
  </si>
  <si>
    <t>Seven Seas Imports</t>
  </si>
  <si>
    <t>Maxilaku</t>
  </si>
  <si>
    <t>DRACD</t>
  </si>
  <si>
    <t>Drachenblut Delikatessen</t>
  </si>
  <si>
    <t>EASTC</t>
  </si>
  <si>
    <t>Eastern Connection</t>
  </si>
  <si>
    <t>VAFFE</t>
  </si>
  <si>
    <t>Vaffeljernet</t>
  </si>
  <si>
    <t>Original Frankfurter grüne Soße</t>
  </si>
  <si>
    <t>GALED</t>
  </si>
  <si>
    <t>Galería del gastrónomo</t>
  </si>
  <si>
    <t>Poland</t>
  </si>
  <si>
    <t>WOLZA</t>
  </si>
  <si>
    <t>Wolski  Zajazd</t>
  </si>
  <si>
    <t>Norway</t>
  </si>
  <si>
    <t>SANTG</t>
  </si>
  <si>
    <t>Santé Gourmet</t>
  </si>
  <si>
    <t>Chocolade</t>
  </si>
  <si>
    <t>FOLIG</t>
  </si>
  <si>
    <t>Folies gourmandes</t>
  </si>
  <si>
    <t>Sirop d'érable</t>
  </si>
  <si>
    <t>Zaanse koeken</t>
  </si>
  <si>
    <t>FRANS</t>
  </si>
  <si>
    <t>Franchi S.p.A.</t>
  </si>
  <si>
    <t>CONSH</t>
  </si>
  <si>
    <t>Consolidated Holdings</t>
  </si>
  <si>
    <t>Uncle Bob's Organic Dried Pears</t>
  </si>
  <si>
    <t>BLAUS</t>
  </si>
  <si>
    <t>Blauer See Delikatessen</t>
  </si>
  <si>
    <t>NORTS</t>
  </si>
  <si>
    <t>North/South</t>
  </si>
  <si>
    <t>MAISD</t>
  </si>
  <si>
    <t>Maison Dewey</t>
  </si>
  <si>
    <t>ALFKI</t>
  </si>
  <si>
    <t>Alfreds Futterkiste</t>
  </si>
  <si>
    <t>FRANR</t>
  </si>
  <si>
    <t>France restauration</t>
  </si>
  <si>
    <t>WILMK</t>
  </si>
  <si>
    <t>Wilman Kala</t>
  </si>
  <si>
    <t>SPECD</t>
  </si>
  <si>
    <t>Spécialités du monde</t>
  </si>
  <si>
    <t>LACOR</t>
  </si>
  <si>
    <t>La corne d'abondance</t>
  </si>
  <si>
    <t>Function translator : Office Add-in</t>
  </si>
  <si>
    <t>https://support.microsoft.com/en-gb/office/excel-functions-translator-f262d0c0-991c-485b-89b6-32cc8d326889</t>
  </si>
  <si>
    <t>FILE / Get Add-ins</t>
  </si>
  <si>
    <t>https://support.microsoft.com/en-us/office/excel-functions-alphabetical-b3944572-255d-4efb-bb96-c6d90033e188</t>
  </si>
  <si>
    <t>https://exceljet.net/functions</t>
  </si>
  <si>
    <t>Functions overview</t>
  </si>
  <si>
    <t>Guide de fonctions</t>
  </si>
  <si>
    <t>Functions Guides</t>
  </si>
  <si>
    <t>Functies gidsen</t>
  </si>
  <si>
    <t>Input</t>
  </si>
  <si>
    <t>Comment</t>
  </si>
  <si>
    <t>Custom Formatting Codes</t>
  </si>
  <si>
    <t>https://support.microsoft.com/en-au/office/number-format-codes-5026bbd6-04bc-48cd-bf33-80f18b4eae68</t>
  </si>
  <si>
    <t>https://exceljet.net/articles/custom-number-formats</t>
  </si>
  <si>
    <t>Input Formatted</t>
  </si>
  <si>
    <t>Simple general format</t>
  </si>
  <si>
    <t>4 arguments : positive;negative;zero;tekst</t>
  </si>
  <si>
    <t>Whatever</t>
  </si>
  <si>
    <t>Cell always empty</t>
  </si>
  <si>
    <t>Only numbers above 100</t>
  </si>
  <si>
    <t>Only tekst in white</t>
  </si>
  <si>
    <t>Text or numbers</t>
  </si>
  <si>
    <t>my tekst</t>
  </si>
  <si>
    <t>Different figures: 108, -21 , 0, 95</t>
  </si>
  <si>
    <t>28 (hours)</t>
  </si>
  <si>
    <t>repeat a character with *</t>
  </si>
  <si>
    <t>colours between []</t>
  </si>
  <si>
    <t>+24h hour code between []</t>
  </si>
  <si>
    <t>=LEFT(A1;FIND(" ";A1;1))</t>
  </si>
  <si>
    <r>
      <t xml:space="preserve">We can extend these ideas to the following.  Suppose </t>
    </r>
    <r>
      <rPr>
        <sz val="10"/>
        <rFont val="Verdana"/>
        <family val="2"/>
      </rPr>
      <t>A1 contains the</t>
    </r>
  </si>
  <si>
    <r>
      <t>string  "</t>
    </r>
    <r>
      <rPr>
        <sz val="10"/>
        <rFont val="Verdana"/>
        <family val="2"/>
      </rPr>
      <t>First   Second  Third Last".</t>
    </r>
  </si>
  <si>
    <r>
      <t>This will return the word "</t>
    </r>
    <r>
      <rPr>
        <sz val="10"/>
        <rFont val="Verdana"/>
        <family val="2"/>
      </rPr>
      <t>First".</t>
    </r>
  </si>
  <si>
    <r>
      <t>(This formula comes from Laurent Longre). This will return the word "</t>
    </r>
    <r>
      <rPr>
        <sz val="10"/>
        <rFont val="Verdana"/>
        <family val="2"/>
      </rPr>
      <t>Last"</t>
    </r>
  </si>
  <si>
    <r>
      <t>This will return the words  "</t>
    </r>
    <r>
      <rPr>
        <sz val="10"/>
        <rFont val="Verdana"/>
        <family val="2"/>
      </rPr>
      <t>Second  Third Last"</t>
    </r>
  </si>
  <si>
    <t>Nr of char
0,o</t>
  </si>
  <si>
    <t>=RIGHT(A1;LEN(A1)-MAX(ROW(INDIRECT("1:"&amp;LEN(A1))) *(MID(A1;ROW(INDIRECT("1:"&amp;LEN(A1)));1)=" ")))</t>
  </si>
  <si>
    <t>=RIGHT(A1;LEN(A1)-FIND(" ";A1;1))</t>
  </si>
  <si>
    <t>Find slashes etc.</t>
  </si>
  <si>
    <t>Textbefore()</t>
  </si>
  <si>
    <t>Textafter()</t>
  </si>
  <si>
    <t>TextSplit()</t>
  </si>
  <si>
    <t>Andrew, Fuller</t>
  </si>
  <si>
    <t>Janet, Leverling</t>
  </si>
  <si>
    <t>Margaret, Peacock</t>
  </si>
  <si>
    <t>Anne, Dodsworth</t>
  </si>
  <si>
    <t>Steven, Buchanan</t>
  </si>
  <si>
    <t>Nancy, Davolio</t>
  </si>
  <si>
    <t>Laura, Callahan</t>
  </si>
  <si>
    <t>Michael, Suyama</t>
  </si>
  <si>
    <t>Robert, King</t>
  </si>
  <si>
    <t>New text functions from 365 onwards</t>
  </si>
  <si>
    <t>Dans la marge</t>
  </si>
  <si>
    <t>In the margin</t>
  </si>
  <si>
    <t>In de marge</t>
  </si>
  <si>
    <t>ReDo / Dollars symbols</t>
  </si>
  <si>
    <t>https://www.myonlinetraininghub.com/excel-shortcuts</t>
  </si>
  <si>
    <t xml:space="preserve">See also: </t>
  </si>
  <si>
    <t>https://www.vertex42.com/ExcelTips/excel-keyboard-shortcuts.html</t>
  </si>
  <si>
    <t>https://www.excelcampus.com/shortcuts</t>
  </si>
  <si>
    <t>https://www.myexcelonline.com/blog/333-excel-shortcuts-for-windows-and-mac/</t>
  </si>
  <si>
    <r>
      <t>#.#,0</t>
    </r>
    <r>
      <rPr>
        <sz val="10"/>
        <color indexed="10"/>
        <rFont val="Calibri"/>
        <family val="2"/>
      </rPr>
      <t>&lt;Ctrl J&gt;</t>
    </r>
    <r>
      <rPr>
        <sz val="10"/>
        <color theme="1"/>
        <rFont val="Rockwell"/>
        <family val="2"/>
        <scheme val="minor"/>
      </rPr>
      <t>%%%</t>
    </r>
  </si>
  <si>
    <r>
      <t>#.#,#.</t>
    </r>
    <r>
      <rPr>
        <sz val="10"/>
        <color indexed="10"/>
        <rFont val="Calibri"/>
        <family val="2"/>
      </rPr>
      <t>&lt;Ctrl J&gt;</t>
    </r>
    <r>
      <rPr>
        <sz val="10"/>
        <color theme="1"/>
        <rFont val="Rockwell"/>
        <family val="2"/>
        <scheme val="minor"/>
      </rPr>
      <t>%%%%</t>
    </r>
  </si>
  <si>
    <r>
      <t>#.#,#</t>
    </r>
    <r>
      <rPr>
        <sz val="10"/>
        <color indexed="10"/>
        <rFont val="Calibri"/>
        <family val="2"/>
      </rPr>
      <t>&lt;Ctrl J&gt;</t>
    </r>
    <r>
      <rPr>
        <sz val="10"/>
        <color theme="1"/>
        <rFont val="Rockwell"/>
        <family val="2"/>
        <scheme val="minor"/>
      </rPr>
      <t>%%</t>
    </r>
  </si>
  <si>
    <r>
      <t>#.#,#.</t>
    </r>
    <r>
      <rPr>
        <sz val="10"/>
        <color indexed="10"/>
        <rFont val="Calibri"/>
        <family val="2"/>
      </rPr>
      <t>&lt;Ctrl J&gt;</t>
    </r>
    <r>
      <rPr>
        <sz val="10"/>
        <color theme="1"/>
        <rFont val="Rockwell"/>
        <family val="2"/>
        <scheme val="minor"/>
      </rPr>
      <t>%%%</t>
    </r>
  </si>
  <si>
    <r>
      <t>#.#,#</t>
    </r>
    <r>
      <rPr>
        <sz val="10"/>
        <color indexed="10"/>
        <rFont val="Calibri"/>
        <family val="2"/>
      </rPr>
      <t>&lt;Ctrl J&gt;</t>
    </r>
    <r>
      <rPr>
        <sz val="10"/>
        <color theme="1"/>
        <rFont val="Rockwell"/>
        <family val="2"/>
        <scheme val="minor"/>
      </rPr>
      <t>%</t>
    </r>
  </si>
  <si>
    <r>
      <t>#.#,#.</t>
    </r>
    <r>
      <rPr>
        <sz val="10"/>
        <color indexed="10"/>
        <rFont val="Calibri"/>
        <family val="2"/>
      </rPr>
      <t>&lt;Ctrl J&gt;</t>
    </r>
    <r>
      <rPr>
        <sz val="10"/>
        <color theme="1"/>
        <rFont val="Rockwell"/>
        <family val="2"/>
        <scheme val="minor"/>
      </rPr>
      <t>%%</t>
    </r>
  </si>
  <si>
    <t>#.#,#</t>
  </si>
  <si>
    <r>
      <t>#,00#.</t>
    </r>
    <r>
      <rPr>
        <sz val="10"/>
        <color indexed="10"/>
        <rFont val="Calibri"/>
        <family val="2"/>
      </rPr>
      <t>&lt;Ctrl J&gt;</t>
    </r>
    <r>
      <rPr>
        <sz val="10"/>
        <color theme="1"/>
        <rFont val="Rockwell"/>
        <family val="2"/>
        <scheme val="minor"/>
      </rPr>
      <t>%</t>
    </r>
  </si>
  <si>
    <r>
      <t>#,00#..</t>
    </r>
    <r>
      <rPr>
        <sz val="10"/>
        <color indexed="10"/>
        <rFont val="Calibri"/>
        <family val="2"/>
      </rPr>
      <t>&lt;Ctrl J&gt;</t>
    </r>
    <r>
      <rPr>
        <sz val="10"/>
        <color theme="1"/>
        <rFont val="Rockwell"/>
        <family val="2"/>
        <scheme val="minor"/>
      </rPr>
      <t>%%</t>
    </r>
  </si>
  <si>
    <t>0,00#.</t>
  </si>
  <si>
    <r>
      <t>0,###..</t>
    </r>
    <r>
      <rPr>
        <sz val="10"/>
        <color indexed="10"/>
        <rFont val="Calibri"/>
        <family val="2"/>
      </rPr>
      <t>&lt;Ctrl J&gt;</t>
    </r>
    <r>
      <rPr>
        <sz val="10"/>
        <color theme="1"/>
        <rFont val="Rockwell"/>
        <family val="2"/>
        <scheme val="minor"/>
      </rPr>
      <t>%</t>
    </r>
  </si>
  <si>
    <r>
      <t>0,######...</t>
    </r>
    <r>
      <rPr>
        <sz val="10"/>
        <color indexed="10"/>
        <rFont val="Calibri"/>
        <family val="2"/>
      </rPr>
      <t>&lt;Ctrl J&gt;</t>
    </r>
    <r>
      <rPr>
        <sz val="10"/>
        <color theme="1"/>
        <rFont val="Rockwell"/>
        <family val="2"/>
        <scheme val="minor"/>
      </rPr>
      <t>%%</t>
    </r>
  </si>
  <si>
    <r>
      <t>0,######....</t>
    </r>
    <r>
      <rPr>
        <sz val="10"/>
        <color indexed="10"/>
        <rFont val="Calibri"/>
        <family val="2"/>
      </rPr>
      <t>&lt;Ctrl J&gt;</t>
    </r>
    <r>
      <rPr>
        <sz val="10"/>
        <color theme="1"/>
        <rFont val="Rockwell"/>
        <family val="2"/>
        <scheme val="minor"/>
      </rPr>
      <t>%%%</t>
    </r>
  </si>
  <si>
    <r>
      <t>#.#,#."mA"</t>
    </r>
    <r>
      <rPr>
        <sz val="10"/>
        <color indexed="10"/>
        <rFont val="Calibri"/>
        <family val="2"/>
      </rPr>
      <t>&lt;Ctrl J&gt;</t>
    </r>
    <r>
      <rPr>
        <sz val="10"/>
        <color theme="1"/>
        <rFont val="Rockwell"/>
        <family val="2"/>
        <scheme val="minor"/>
      </rPr>
      <t>%%%</t>
    </r>
  </si>
  <si>
    <t>Boni et Salaires</t>
  </si>
  <si>
    <t>Boni and Salaries</t>
  </si>
  <si>
    <t>Boni en Salarissen</t>
  </si>
  <si>
    <t>Sales</t>
  </si>
  <si>
    <t>Salesresults</t>
  </si>
  <si>
    <t>Incentives</t>
  </si>
  <si>
    <t>Incentive 1</t>
  </si>
  <si>
    <t>Incentive 2</t>
  </si>
  <si>
    <t>Incentive 3</t>
  </si>
  <si>
    <t>Class</t>
  </si>
  <si>
    <t>Dépenses</t>
  </si>
  <si>
    <t>Expenses</t>
  </si>
  <si>
    <t>Uitgaven</t>
  </si>
  <si>
    <t>Problem solving</t>
  </si>
  <si>
    <t>Trier</t>
  </si>
  <si>
    <t>Sorting</t>
  </si>
  <si>
    <t>Sorteren</t>
  </si>
  <si>
    <t>Anwser1</t>
  </si>
  <si>
    <t>Answer2</t>
  </si>
  <si>
    <t>Patterns</t>
  </si>
  <si>
    <t>Patronen</t>
  </si>
  <si>
    <t>Afbetalingen</t>
  </si>
  <si>
    <t>Answer3</t>
  </si>
  <si>
    <t>Songs</t>
  </si>
  <si>
    <t>Xlookup</t>
  </si>
  <si>
    <t>Tabel verkoopdata</t>
  </si>
  <si>
    <t>Table sales data</t>
  </si>
  <si>
    <t>Tableau données vente</t>
  </si>
  <si>
    <t>https://www.wps.com/academy/how-to-check-if-excel-cells-contain-partial-text-quick-tutorials-1864506/</t>
  </si>
  <si>
    <t>In list?</t>
  </si>
  <si>
    <t>Something XX xxxxx4671</t>
  </si>
  <si>
    <t>Boston Crab Meat</t>
  </si>
  <si>
    <t>Ikura</t>
  </si>
  <si>
    <t>Carnarvon Tigers</t>
  </si>
  <si>
    <t>Perth Pasties</t>
  </si>
  <si>
    <t>Alice Mutton</t>
  </si>
  <si>
    <t>Thüringer Rostbratwurst</t>
  </si>
  <si>
    <t>SWITCH</t>
  </si>
  <si>
    <t>IFS</t>
  </si>
  <si>
    <t>Turnover</t>
  </si>
  <si>
    <t>Product</t>
  </si>
  <si>
    <t>IFS, MAXIFS, MINIFS, SWITCH</t>
  </si>
  <si>
    <t>Seafood</t>
  </si>
  <si>
    <t>XMATCH</t>
  </si>
  <si>
    <t>Meat/Poultry</t>
  </si>
  <si>
    <t>Search array or copy / paste</t>
  </si>
  <si>
    <t>Category</t>
  </si>
  <si>
    <t>Closest match 1</t>
  </si>
  <si>
    <t>Closest match -1</t>
  </si>
  <si>
    <t>Boni</t>
  </si>
  <si>
    <t>Wildcard inversed searching</t>
  </si>
  <si>
    <t>di</t>
  </si>
  <si>
    <t>Wildcard</t>
  </si>
  <si>
    <t>Error</t>
  </si>
  <si>
    <t>Ipoh</t>
  </si>
  <si>
    <t>Return array with multiple columns</t>
  </si>
  <si>
    <t>Simple return</t>
  </si>
  <si>
    <t>Xlookup()</t>
  </si>
  <si>
    <t>Avg. Rating</t>
  </si>
  <si>
    <t>Avg Discount</t>
  </si>
  <si>
    <t>Category Name</t>
  </si>
  <si>
    <t>XLOOKUP</t>
  </si>
  <si>
    <t>Data</t>
  </si>
  <si>
    <t>Cherches-le</t>
  </si>
  <si>
    <t>Look it up</t>
  </si>
  <si>
    <t>Zoek het op</t>
  </si>
  <si>
    <t>Conditions</t>
  </si>
  <si>
    <t>Condities</t>
  </si>
  <si>
    <t>Cat B &gt;=50000</t>
  </si>
  <si>
    <t>Cat A &gt;=100000</t>
  </si>
  <si>
    <t>Cat C &gt;=0</t>
  </si>
  <si>
    <t>Meat/Poultry/Fish</t>
  </si>
  <si>
    <t>Maxifs</t>
  </si>
  <si>
    <t>no meat</t>
  </si>
  <si>
    <t>no beverages</t>
  </si>
  <si>
    <t>Minifs</t>
  </si>
  <si>
    <t>Lambda</t>
  </si>
  <si>
    <t>Values</t>
  </si>
  <si>
    <t>If()</t>
  </si>
  <si>
    <t>lambda()</t>
  </si>
  <si>
    <t>Ifblank()</t>
  </si>
  <si>
    <t>Message</t>
  </si>
  <si>
    <t>Fx()</t>
  </si>
  <si>
    <t>Countwords()</t>
  </si>
  <si>
    <t>Not found</t>
  </si>
  <si>
    <t xml:space="preserve">This example uses a LAMBDA function to count words. </t>
  </si>
  <si>
    <t>5457</t>
  </si>
  <si>
    <t>= 4/3*PI()*radius^3 // volume of sphere</t>
  </si>
  <si>
    <t>People</t>
  </si>
  <si>
    <t>Avg. Salary</t>
  </si>
  <si>
    <t>Radius</t>
  </si>
  <si>
    <t>VolumSphere()</t>
  </si>
  <si>
    <t>HR</t>
  </si>
  <si>
    <t>Managers</t>
  </si>
  <si>
    <t xml:space="preserve"> average()</t>
  </si>
  <si>
    <t>Weighed avg</t>
  </si>
  <si>
    <t>Lambda()</t>
  </si>
  <si>
    <t>wAverage()</t>
  </si>
  <si>
    <t>SEQUENCE</t>
  </si>
  <si>
    <t>RANDARRAY</t>
  </si>
  <si>
    <t>Randomly</t>
  </si>
  <si>
    <t>Aléatoire</t>
  </si>
  <si>
    <t>Random</t>
  </si>
  <si>
    <t>Liens Internet</t>
  </si>
  <si>
    <t>Internet links</t>
  </si>
  <si>
    <t>Interesting sites</t>
  </si>
  <si>
    <t>Computer Gaga</t>
  </si>
  <si>
    <t>Contextures</t>
  </si>
  <si>
    <t>Chandoo</t>
  </si>
  <si>
    <t>Excel off the Grid</t>
  </si>
  <si>
    <t>Excel Hero</t>
  </si>
  <si>
    <t>Excel Is Fun</t>
  </si>
  <si>
    <t>Excel User</t>
  </si>
  <si>
    <t>Mr Excel</t>
  </si>
  <si>
    <t>My Excel Online</t>
  </si>
  <si>
    <t>My Online Training Hub</t>
  </si>
  <si>
    <t>Unique()</t>
  </si>
  <si>
    <t>Lists 3 better ways</t>
  </si>
  <si>
    <t>3 steps: Filter()</t>
  </si>
  <si>
    <t xml:space="preserve">Filter() + Unique() </t>
  </si>
  <si>
    <t>Filter() + Unique() + Sort()</t>
  </si>
  <si>
    <t>Next level : Choose fields - 2 ways</t>
  </si>
  <si>
    <t>Next level: Nested Filter()</t>
  </si>
  <si>
    <t>Complex expressions</t>
  </si>
  <si>
    <t>Searchable Drop-Down List </t>
  </si>
  <si>
    <t>Subtotals</t>
  </si>
  <si>
    <t>Cats</t>
  </si>
  <si>
    <t>CatsNr</t>
  </si>
  <si>
    <t>Sort()</t>
  </si>
  <si>
    <t>Sortby()</t>
  </si>
  <si>
    <t>Nr unique cats</t>
  </si>
  <si>
    <t>Dynamic Arrays</t>
  </si>
  <si>
    <t>Product ID</t>
  </si>
  <si>
    <t>Product Name</t>
  </si>
  <si>
    <t>Units</t>
  </si>
  <si>
    <t>Register date</t>
  </si>
  <si>
    <t>Quick search</t>
  </si>
  <si>
    <t>Camembert</t>
  </si>
  <si>
    <t>Mozarella</t>
  </si>
  <si>
    <t>Pepper</t>
  </si>
  <si>
    <t>Membership</t>
  </si>
  <si>
    <t>Location</t>
  </si>
  <si>
    <t>Patricio Simpson</t>
  </si>
  <si>
    <t>Silver</t>
  </si>
  <si>
    <t>Edinburgh</t>
  </si>
  <si>
    <t>Executive</t>
  </si>
  <si>
    <t>Dublin</t>
  </si>
  <si>
    <t>Francisco Chang</t>
  </si>
  <si>
    <t>Bronze</t>
  </si>
  <si>
    <t>Gold</t>
  </si>
  <si>
    <t>Yang Wang</t>
  </si>
  <si>
    <t>Pedro Afonso</t>
  </si>
  <si>
    <t>Elizabeth Brown</t>
  </si>
  <si>
    <t>Sven Ottlieb</t>
  </si>
  <si>
    <t>Janine Labrune</t>
  </si>
  <si>
    <t>Some exercices from Computer Gaga</t>
  </si>
  <si>
    <t>https://www.computergaga.com/blog/</t>
  </si>
  <si>
    <t>Accommodation</t>
  </si>
  <si>
    <t>Norfolk</t>
  </si>
  <si>
    <t>Cumbria</t>
  </si>
  <si>
    <t>Suffolk</t>
  </si>
  <si>
    <t>Derbyshire</t>
  </si>
  <si>
    <t>Woodland</t>
  </si>
  <si>
    <t>Spa Suite</t>
  </si>
  <si>
    <t>Waterside</t>
  </si>
  <si>
    <t>Treehouse</t>
  </si>
  <si>
    <t>Exclusive</t>
  </si>
  <si>
    <t>Eggs</t>
  </si>
  <si>
    <t>Coffee</t>
  </si>
  <si>
    <t>Toast</t>
  </si>
  <si>
    <t>Muffins</t>
  </si>
  <si>
    <t>Waffles</t>
  </si>
  <si>
    <t>https://www.myonlinetraininghub.com</t>
  </si>
  <si>
    <t>https://www.myexcelonline.com</t>
  </si>
  <si>
    <t>https://www.computergaga.com</t>
  </si>
  <si>
    <t>https://www.contextures.com/</t>
  </si>
  <si>
    <t>https://chandoo.org</t>
  </si>
  <si>
    <t>https://exceloffthegrid.com</t>
  </si>
  <si>
    <t>http://www.excelhero.com</t>
  </si>
  <si>
    <t>https://excelisfun.net</t>
  </si>
  <si>
    <t>https://exceluser.com</t>
  </si>
  <si>
    <t>https://www.mrexcel.com</t>
  </si>
  <si>
    <t>Orange Juice</t>
  </si>
  <si>
    <t>Beer</t>
  </si>
  <si>
    <t>Wine</t>
  </si>
  <si>
    <t>Sandwich</t>
  </si>
  <si>
    <t>Food</t>
  </si>
  <si>
    <t>Samosa</t>
  </si>
  <si>
    <t>Baguette</t>
  </si>
  <si>
    <t>Soup</t>
  </si>
  <si>
    <t>Blueberry Muffin</t>
  </si>
  <si>
    <t>Cakes</t>
  </si>
  <si>
    <t>Flapjack</t>
  </si>
  <si>
    <t>Shortbread</t>
  </si>
  <si>
    <r>
      <rPr>
        <sz val="8"/>
        <color theme="1"/>
        <rFont val="Calibri"/>
        <family val="2"/>
      </rPr>
      <t xml:space="preserve">© </t>
    </r>
    <r>
      <rPr>
        <sz val="8"/>
        <color theme="1"/>
        <rFont val="Verdana"/>
        <family val="2"/>
      </rPr>
      <t>Danny Puype - Trainer/Developer</t>
    </r>
  </si>
  <si>
    <t>USA</t>
  </si>
  <si>
    <t>Rattlesnake Canyon Grocery</t>
  </si>
  <si>
    <t>RATTC</t>
  </si>
  <si>
    <t>Mexico</t>
  </si>
  <si>
    <t>Pericles Comidas clásicas</t>
  </si>
  <si>
    <t>PERIC</t>
  </si>
  <si>
    <t>Venezuela</t>
  </si>
  <si>
    <t>LILA-Supermercado</t>
  </si>
  <si>
    <t>LILAS</t>
  </si>
  <si>
    <t>Brazil</t>
  </si>
  <si>
    <t>Queen Cozinha</t>
  </si>
  <si>
    <t>QUEEN</t>
  </si>
  <si>
    <t>Great Lakes Food Market</t>
  </si>
  <si>
    <t>GREAL</t>
  </si>
  <si>
    <t>Ricardo Adocicados</t>
  </si>
  <si>
    <t>RICAR</t>
  </si>
  <si>
    <t>Argentina</t>
  </si>
  <si>
    <t>Cactus Comidas para llevar</t>
  </si>
  <si>
    <t>CACTU</t>
  </si>
  <si>
    <t>Canada</t>
  </si>
  <si>
    <t>Bottom-Dollar Markets</t>
  </si>
  <si>
    <t>BOTTM</t>
  </si>
  <si>
    <t>LINO-Delicateses</t>
  </si>
  <si>
    <t>LINOD</t>
  </si>
  <si>
    <t>Rancho grande</t>
  </si>
  <si>
    <t>RANCH</t>
  </si>
  <si>
    <t>Hanari Carnes</t>
  </si>
  <si>
    <t>HANAR</t>
  </si>
  <si>
    <t>Wellington Importadora</t>
  </si>
  <si>
    <t>WELLI</t>
  </si>
  <si>
    <t>HILARIÓN-Abastos</t>
  </si>
  <si>
    <t>HILAA</t>
  </si>
  <si>
    <t>Centro comercial Moctezuma</t>
  </si>
  <si>
    <t>CENTC</t>
  </si>
  <si>
    <t>Que Delícia</t>
  </si>
  <si>
    <t>QUEDE</t>
  </si>
  <si>
    <t>GROSELLA-Restaurante</t>
  </si>
  <si>
    <t>GROSR</t>
  </si>
  <si>
    <t>White Clover Markets</t>
  </si>
  <si>
    <t>WHITC</t>
  </si>
  <si>
    <t>Tortuga Restaurante</t>
  </si>
  <si>
    <t>TORTU</t>
  </si>
  <si>
    <t>Split Rail Beer &amp; Ale</t>
  </si>
  <si>
    <t>SPLIR</t>
  </si>
  <si>
    <t>Tradição Hipermercados</t>
  </si>
  <si>
    <t>TRADH</t>
  </si>
  <si>
    <t>Comércio Mineiro</t>
  </si>
  <si>
    <t>COMMI</t>
  </si>
  <si>
    <t>Ana Trujillo Emparedados y helados</t>
  </si>
  <si>
    <t>ANATR</t>
  </si>
  <si>
    <t>Lonesome Pine Restaurant</t>
  </si>
  <si>
    <t>LONEP</t>
  </si>
  <si>
    <t>The Big Cheese</t>
  </si>
  <si>
    <t>THEBI</t>
  </si>
  <si>
    <t>Old World Delicatessen</t>
  </si>
  <si>
    <t>OLDWO</t>
  </si>
  <si>
    <t>Save-a-lot Markets</t>
  </si>
  <si>
    <t>SAVEA</t>
  </si>
  <si>
    <t>Mère Paillarde</t>
  </si>
  <si>
    <t>MEREP</t>
  </si>
  <si>
    <t>Familia Arquibaldo</t>
  </si>
  <si>
    <t>FAMIA</t>
  </si>
  <si>
    <t>Antonio Moreno Taquería</t>
  </si>
  <si>
    <t>ANTON</t>
  </si>
  <si>
    <t>Hungry Coyote Import Store</t>
  </si>
  <si>
    <t>HUNGC</t>
  </si>
  <si>
    <t>Océano Atlántico Ltda.</t>
  </si>
  <si>
    <t>OCEAN</t>
  </si>
  <si>
    <t>Gourmet Lanchonetes</t>
  </si>
  <si>
    <t>GOURL</t>
  </si>
  <si>
    <t>Lazy K Kountry Store</t>
  </si>
  <si>
    <t>LAZYK</t>
  </si>
  <si>
    <t>Laughing Bacchus Wine Cellars</t>
  </si>
  <si>
    <t>LAUGB</t>
  </si>
  <si>
    <t>Trail's Head Gourmet Provisioners</t>
  </si>
  <si>
    <t>TRAIH</t>
  </si>
  <si>
    <t>Let's Stop N Shop</t>
  </si>
  <si>
    <t>LETSS</t>
  </si>
  <si>
    <t>The Cracker Box</t>
  </si>
  <si>
    <t>THECR</t>
  </si>
  <si>
    <t>Order year</t>
  </si>
  <si>
    <t>Unique Companies</t>
  </si>
  <si>
    <t>with helper col</t>
  </si>
  <si>
    <t>1 col</t>
  </si>
  <si>
    <t>sumproduct</t>
  </si>
  <si>
    <t>Additionner avec conditions</t>
  </si>
  <si>
    <t>Conditionnal summing</t>
  </si>
  <si>
    <t>Voorwaardelijk optellen</t>
  </si>
  <si>
    <t>Store</t>
  </si>
  <si>
    <t>Units Sold</t>
  </si>
  <si>
    <t>Hot Chocolate</t>
  </si>
  <si>
    <t>South</t>
  </si>
  <si>
    <t>Tea</t>
  </si>
  <si>
    <t>East</t>
  </si>
  <si>
    <t>Ventes boissons</t>
  </si>
  <si>
    <t>Sales beverages</t>
  </si>
  <si>
    <t>Drank verkoop</t>
  </si>
  <si>
    <t>Excercice extracted from the book : Advanced Excel Formulas - A. Murray</t>
  </si>
  <si>
    <t>Lists</t>
  </si>
  <si>
    <t>Date 1</t>
  </si>
  <si>
    <t>Date 2</t>
  </si>
  <si>
    <t>Sumifs()</t>
  </si>
  <si>
    <t>Sumproducts()</t>
  </si>
  <si>
    <t>Count</t>
  </si>
  <si>
    <t>C Distinct</t>
  </si>
  <si>
    <t>2 criteria</t>
  </si>
  <si>
    <t>1 condition</t>
  </si>
  <si>
    <t>2 conditions</t>
  </si>
  <si>
    <t>And conditions</t>
  </si>
  <si>
    <t>Or conditions</t>
  </si>
  <si>
    <t>And/or conditions</t>
  </si>
  <si>
    <t>Count + conditions</t>
  </si>
  <si>
    <t>use of array</t>
  </si>
  <si>
    <t>Distinct count</t>
  </si>
  <si>
    <t>Expiry Date</t>
  </si>
  <si>
    <t>Sofia Brown</t>
  </si>
  <si>
    <t>Flair Caroline</t>
  </si>
  <si>
    <t>Coenen Catherine</t>
  </si>
  <si>
    <t>Alexander Clark</t>
  </si>
  <si>
    <t>Benjamin Davis</t>
  </si>
  <si>
    <t>Collaert Denis</t>
  </si>
  <si>
    <t>Conrad Eric</t>
  </si>
  <si>
    <t>Arton Felice</t>
  </si>
  <si>
    <t>Johanus Gert</t>
  </si>
  <si>
    <t>Matthew Hernandez</t>
  </si>
  <si>
    <t>Formatter avec condtions</t>
  </si>
  <si>
    <t>Formatting conditions</t>
  </si>
  <si>
    <t>Voorwaardelijk formatteren</t>
  </si>
  <si>
    <t>Type</t>
  </si>
  <si>
    <t>Last Week</t>
  </si>
  <si>
    <t>This Week</t>
  </si>
  <si>
    <t>Variance</t>
  </si>
  <si>
    <t>Conditional formatting</t>
  </si>
  <si>
    <t>Full row - 1 condition</t>
  </si>
  <si>
    <t>Full row - 2 conditions</t>
  </si>
  <si>
    <t>Membercard</t>
  </si>
  <si>
    <t>&gt;5 y</t>
  </si>
  <si>
    <t>Dates expiring</t>
  </si>
  <si>
    <t>Within 20d</t>
  </si>
  <si>
    <t>Expiry date not on weekday</t>
  </si>
  <si>
    <t>Compare</t>
  </si>
  <si>
    <t>Cat Benson</t>
  </si>
  <si>
    <t>Steven Matthews</t>
  </si>
  <si>
    <t>Jan Johannson</t>
  </si>
  <si>
    <t>Compare names in other list</t>
  </si>
  <si>
    <t>Icons to show week progress</t>
  </si>
  <si>
    <t>up 20% = green</t>
  </si>
  <si>
    <t>Bars to show progress</t>
  </si>
  <si>
    <t>Bars</t>
  </si>
  <si>
    <t>Numbers as text</t>
  </si>
  <si>
    <t>Last Name</t>
  </si>
  <si>
    <t>Zone1</t>
  </si>
  <si>
    <t>Zone2</t>
  </si>
  <si>
    <t>Zone3</t>
  </si>
  <si>
    <t>Zone4</t>
  </si>
  <si>
    <t>60</t>
  </si>
  <si>
    <t>452</t>
  </si>
  <si>
    <t>13,91</t>
  </si>
  <si>
    <t>5782,08</t>
  </si>
  <si>
    <t>30,1</t>
  </si>
  <si>
    <t>Numbers with text</t>
  </si>
  <si>
    <t>56-</t>
  </si>
  <si>
    <t>Names</t>
  </si>
  <si>
    <t>259-</t>
  </si>
  <si>
    <t>Oliver Miller</t>
  </si>
  <si>
    <t>14-</t>
  </si>
  <si>
    <t>Isabella Martinez</t>
  </si>
  <si>
    <t>206-</t>
  </si>
  <si>
    <t>Aiden Taylor</t>
  </si>
  <si>
    <t>578-</t>
  </si>
  <si>
    <t>Mia Hernandez</t>
  </si>
  <si>
    <t>Muhammad Gonzalez</t>
  </si>
  <si>
    <t>Ava Lewis</t>
  </si>
  <si>
    <t>Numbers in code</t>
  </si>
  <si>
    <t>Lucas Hall</t>
  </si>
  <si>
    <t>23-Jh-829</t>
  </si>
  <si>
    <t>5-MXP-217</t>
  </si>
  <si>
    <t>Amount Inv</t>
  </si>
  <si>
    <t>Amount Paid</t>
  </si>
  <si>
    <t>23-YGE-04</t>
  </si>
  <si>
    <t>**Oliver Miller**</t>
  </si>
  <si>
    <t>44-Pac-115</t>
  </si>
  <si>
    <t>**Isabella Martinez**</t>
  </si>
  <si>
    <t>6-XXF-84</t>
  </si>
  <si>
    <t>**Aiden Taylor**</t>
  </si>
  <si>
    <t>**Mia Hernandez**</t>
  </si>
  <si>
    <t>**Muhammad Gonzalez**</t>
  </si>
  <si>
    <t>**Ava Lewis**</t>
  </si>
  <si>
    <t>**Lucas Hall**</t>
  </si>
  <si>
    <t>Dummy data</t>
  </si>
  <si>
    <t>Données interactives</t>
  </si>
  <si>
    <t>Interactive Data</t>
  </si>
  <si>
    <t>Interactieve data</t>
  </si>
  <si>
    <t>Chart</t>
  </si>
  <si>
    <t>Choose Zone</t>
  </si>
  <si>
    <t>Computer 10</t>
  </si>
  <si>
    <t>Computer 9</t>
  </si>
  <si>
    <t>Computer 8</t>
  </si>
  <si>
    <t>Computer 7</t>
  </si>
  <si>
    <t>Computer 6</t>
  </si>
  <si>
    <t>Computer 5</t>
  </si>
  <si>
    <t>Computer 4</t>
  </si>
  <si>
    <t>Computer 3</t>
  </si>
  <si>
    <t>Computer 2</t>
  </si>
  <si>
    <t>Computer 1</t>
  </si>
  <si>
    <t>Memory</t>
  </si>
  <si>
    <t>HD</t>
  </si>
  <si>
    <t>XOR</t>
  </si>
  <si>
    <t>Computers</t>
  </si>
  <si>
    <t>Pineapple</t>
  </si>
  <si>
    <t>excluding 1st col</t>
  </si>
  <si>
    <t>last 6 months</t>
  </si>
  <si>
    <t>JAN</t>
  </si>
  <si>
    <t>FEB</t>
  </si>
  <si>
    <t>MAR</t>
  </si>
  <si>
    <t>APR</t>
  </si>
  <si>
    <t>MAY</t>
  </si>
  <si>
    <t>JUN</t>
  </si>
  <si>
    <t>JUL</t>
  </si>
  <si>
    <t>AUG</t>
  </si>
  <si>
    <t>SEP</t>
  </si>
  <si>
    <t>OCT</t>
  </si>
  <si>
    <t>NOV</t>
  </si>
  <si>
    <t>DEC</t>
  </si>
  <si>
    <t>Chips</t>
  </si>
  <si>
    <t>Crisps</t>
  </si>
  <si>
    <t>Burrito</t>
  </si>
  <si>
    <t>Cookies</t>
  </si>
  <si>
    <t>Melon</t>
  </si>
  <si>
    <t>Hot Dog</t>
  </si>
  <si>
    <t>Haddock</t>
  </si>
  <si>
    <t>Pizza</t>
  </si>
  <si>
    <t>Apple Juice</t>
  </si>
  <si>
    <t>for this month based on date</t>
  </si>
  <si>
    <t>Spill EOMONTH with SEQUENCE</t>
  </si>
  <si>
    <t>startdate</t>
  </si>
  <si>
    <t>months</t>
  </si>
  <si>
    <t>nr</t>
  </si>
  <si>
    <t>result</t>
  </si>
  <si>
    <t>Eomonth</t>
  </si>
  <si>
    <t>Excel-lent, Excel-ing, Excellence</t>
  </si>
  <si>
    <t>Column1</t>
  </si>
  <si>
    <t>With Powerquery</t>
  </si>
  <si>
    <t>Index</t>
  </si>
  <si>
    <t>Avg</t>
  </si>
  <si>
    <t>Min</t>
  </si>
  <si>
    <t>Max</t>
  </si>
  <si>
    <t>Median</t>
  </si>
  <si>
    <t>Nr</t>
  </si>
  <si>
    <t>Student</t>
  </si>
  <si>
    <t>StudentID</t>
  </si>
  <si>
    <t>Total Points</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</si>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</sst>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3" formatCode="_ * #,##0.00_ ;_ * \-#,##0.00_ ;_ * &quot;-&quot;??_ ;_ @_ "/>
    <numFmt numFmtId="164" formatCode="#,##0.00\ &quot;€&quot;;[Red]\-#,##0.00\ &quot;€&quot;"/>
    <numFmt numFmtId="165" formatCode="d/mm/yyyy;@"/>
    <numFmt numFmtId="166" formatCode="[$€-2]\ #,##0"/>
    <numFmt numFmtId="167" formatCode="&quot;Total:&quot;*.&quot;€&quot;\ #,##0.00"/>
    <numFmt numFmtId="168" formatCode="_-* #,##0\ &quot;€&quot;_-;\-* #,##0\ &quot;€&quot;_-;_-* &quot;-&quot;??\ &quot;€&quot;_-;_-@_-"/>
    <numFmt numFmtId="169" formatCode="#&quot; &quot;??/100"/>
    <numFmt numFmtId="170" formatCode="#,##0;#,##0;#,##0;[White]\ @"/>
    <numFmt numFmtId="171" formatCode="[&gt;100]#,000;;;"/>
    <numFmt numFmtId="172" formatCode=";;;"/>
    <numFmt numFmtId="173" formatCode="&quot;positief&quot;;&quot;negatief&quot;;&quot;Zero&quot;;"/>
    <numFmt numFmtId="174" formatCode="&quot;het is &quot;dddd"/>
    <numFmt numFmtId="175" formatCode="dddd"/>
    <numFmt numFmtId="176" formatCode="#,##0&quot; Euro&quot;"/>
    <numFmt numFmtId="177" formatCode="&quot;BEF&quot;\ #,##0.00_);[Red]\(&quot;BEF&quot;\ #,##0.00\)"/>
    <numFmt numFmtId="178" formatCode="_-* #,##0.00\ [$€-1]_-;\-* #,##0.00\ [$€-1]_-;_-* &quot;-&quot;??\ [$€-1]_-"/>
    <numFmt numFmtId="179" formatCode="General\ &quot;mins&quot;"/>
    <numFmt numFmtId="180" formatCode="d/m/yyyy\ hh:mm"/>
    <numFmt numFmtId="181" formatCode="_(&quot;$&quot;* #,##0.00_);_(&quot;$&quot;* \(#,##0.00\);_(&quot;$&quot;* &quot;-&quot;??_);_(@_)"/>
    <numFmt numFmtId="182" formatCode="_(&quot;$&quot;* #,##0_);_(&quot;$&quot;* \(#,##0\);_(&quot;$&quot;* &quot;-&quot;??_);_(@_)"/>
    <numFmt numFmtId="183" formatCode="[$€-2]\ #,##0.00"/>
    <numFmt numFmtId="184" formatCode="[$€-2]\ #,##0;\-[$€-2]\ #,##0"/>
    <numFmt numFmtId="185" formatCode="_-* #,##0.00000_-;\-* #,##0.00000_-;_-* &quot;-&quot;??_-;_-@_-"/>
    <numFmt numFmtId="186" formatCode="#,###.0\_x000a_%%%"/>
    <numFmt numFmtId="187" formatCode="#,###.#\_x000a_%%"/>
    <numFmt numFmtId="188" formatCode="#,###.#\_x000a_%"/>
    <numFmt numFmtId="189" formatCode="#,###.#"/>
    <numFmt numFmtId="190" formatCode="0.######,,\_x000a_\%\%\%"/>
    <numFmt numFmtId="191" formatCode="[h]:mm"/>
    <numFmt numFmtId="192" formatCode="[$-409]d\-mmm;@"/>
    <numFmt numFmtId="193" formatCode="dd\-mm"/>
    <numFmt numFmtId="194" formatCode="0.0"/>
    <numFmt numFmtId="195" formatCode="h:mm;@"/>
    <numFmt numFmtId="196" formatCode="_(* #,##0_);_(* \(#,##0\);_(* &quot;-&quot;??_);_(@_)"/>
    <numFmt numFmtId="197" formatCode="&quot;$&quot;#,##0_);[Red]\(&quot;$&quot;#,##0\)"/>
    <numFmt numFmtId="198" formatCode="0.0%"/>
    <numFmt numFmtId="199" formatCode="&quot;€&quot;\ #,##0.00"/>
    <numFmt numFmtId="200" formatCode="d\ mmm\ yyyy"/>
    <numFmt numFmtId="201" formatCode="[$$-409]#,##0.00"/>
    <numFmt numFmtId="202" formatCode="[h]:mm\ \h"/>
    <numFmt numFmtId="203" formatCode="#;[Red]#"/>
    <numFmt numFmtId="204" formatCode="#,,&quot; Millions&quot;"/>
    <numFmt numFmtId="205" formatCode="*.\ #"/>
    <numFmt numFmtId="206" formatCode="#,###\_x000a_%%%%"/>
    <numFmt numFmtId="207" formatCode="#,###.#\_x000a_%%%"/>
    <numFmt numFmtId="208" formatCode="#.00#,\_x000a_%"/>
    <numFmt numFmtId="209" formatCode="#.00#\_x000a_%%"/>
    <numFmt numFmtId="210" formatCode="0.00#,"/>
    <numFmt numFmtId="211" formatCode="0.###,,\_x000a_%"/>
    <numFmt numFmtId="212" formatCode="0.######\_x000a_%%"/>
    <numFmt numFmtId="213" formatCode="#,###.#&quot;mA&quot;\_x000a_%%%"/>
    <numFmt numFmtId="214" formatCode="0.0&quot; years&quot;"/>
    <numFmt numFmtId="215" formatCode="&quot;€&quot;\ #,##0"/>
    <numFmt numFmtId="216" formatCode="yyyy\-mm\-dd;@"/>
    <numFmt numFmtId="217" formatCode="[$-F400]h:mm:ss\ AM/PM"/>
    <numFmt numFmtId="218" formatCode="_-* #,##0.00_-;\-* #,##0.00_-;_-* &quot;-&quot;??_-;_-@_-"/>
    <numFmt numFmtId="219" formatCode="_-* #,##0_-;\-* #,##0_-;_-* &quot;-&quot;??_-;_-@_-"/>
    <numFmt numFmtId="220" formatCode="_ [$€-413]\ * #,##0.00_ ;_ [$€-413]\ * \-#,##0.00_ ;_ [$€-413]\ * &quot;-&quot;??_ ;_ @_ "/>
    <numFmt numFmtId="221" formatCode="#.00&quot; cm&quot;"/>
    <numFmt numFmtId="222" formatCode="0.00&quot; cm³&quot;"/>
    <numFmt numFmtId="223" formatCode="_-* #,##0.0_-;\-* #,##0.0_-;_-* &quot;-&quot;??_-;_-@_-"/>
    <numFmt numFmtId="224" formatCode="0&quot; yr&quot;"/>
    <numFmt numFmtId="225" formatCode="#;;;"/>
    <numFmt numFmtId="226" formatCode="#&quot; GB&quot;"/>
  </numFmts>
  <fonts count="96" x14ac:knownFonts="1">
    <font>
      <sz val="11"/>
      <color theme="1"/>
      <name val="Rockwell"/>
      <family val="2"/>
      <scheme val="minor"/>
    </font>
    <font>
      <sz val="10"/>
      <name val="Comic Sans MS"/>
      <family val="4"/>
    </font>
    <font>
      <b/>
      <sz val="8"/>
      <color indexed="81"/>
      <name val="Tahoma"/>
      <family val="2"/>
    </font>
    <font>
      <sz val="8"/>
      <color indexed="81"/>
      <name val="Tahoma"/>
      <family val="2"/>
    </font>
    <font>
      <u/>
      <sz val="10"/>
      <color indexed="12"/>
      <name val="Arial"/>
      <family val="2"/>
    </font>
    <font>
      <b/>
      <sz val="14"/>
      <name val="Verdana"/>
      <family val="2"/>
    </font>
    <font>
      <b/>
      <sz val="10"/>
      <name val="Verdana"/>
      <family val="2"/>
    </font>
    <font>
      <sz val="10"/>
      <name val="Verdana"/>
      <family val="2"/>
    </font>
    <font>
      <b/>
      <sz val="8"/>
      <name val="Verdana"/>
      <family val="2"/>
    </font>
    <font>
      <sz val="8"/>
      <name val="Verdana"/>
      <family val="2"/>
    </font>
    <font>
      <sz val="10"/>
      <color indexed="8"/>
      <name val="Verdana"/>
      <family val="2"/>
    </font>
    <font>
      <b/>
      <sz val="12"/>
      <color indexed="9"/>
      <name val="Verdana"/>
      <family val="2"/>
    </font>
    <font>
      <sz val="12"/>
      <color indexed="8"/>
      <name val="Verdana"/>
      <family val="2"/>
    </font>
    <font>
      <sz val="11"/>
      <name val="Verdana"/>
      <family val="2"/>
    </font>
    <font>
      <sz val="10"/>
      <color indexed="16"/>
      <name val="Arial"/>
      <family val="2"/>
    </font>
    <font>
      <sz val="11"/>
      <color theme="1"/>
      <name val="Rockwell"/>
      <family val="2"/>
      <scheme val="minor"/>
    </font>
    <font>
      <sz val="11"/>
      <color theme="0"/>
      <name val="Rockwell"/>
      <family val="2"/>
      <scheme val="minor"/>
    </font>
    <font>
      <sz val="11"/>
      <color rgb="FF006100"/>
      <name val="Rockwell"/>
      <family val="2"/>
      <scheme val="minor"/>
    </font>
    <font>
      <sz val="11"/>
      <color theme="1"/>
      <name val="Verdana"/>
      <family val="2"/>
    </font>
    <font>
      <sz val="11"/>
      <color theme="0"/>
      <name val="Verdana"/>
      <family val="2"/>
    </font>
    <font>
      <sz val="11"/>
      <color rgb="FF006100"/>
      <name val="Verdana"/>
      <family val="2"/>
    </font>
    <font>
      <b/>
      <sz val="10"/>
      <color theme="3"/>
      <name val="Verdana"/>
      <family val="2"/>
    </font>
    <font>
      <sz val="10"/>
      <color theme="1" tint="-0.249977111117893"/>
      <name val="Verdana"/>
      <family val="2"/>
    </font>
    <font>
      <b/>
      <sz val="11"/>
      <color theme="1" tint="-0.249977111117893"/>
      <name val="Verdana"/>
      <family val="2"/>
    </font>
    <font>
      <b/>
      <sz val="10"/>
      <color theme="5" tint="-0.499984740745262"/>
      <name val="Arial"/>
      <family val="2"/>
    </font>
    <font>
      <b/>
      <sz val="13"/>
      <color theme="3"/>
      <name val="Verdana"/>
      <family val="2"/>
    </font>
    <font>
      <sz val="10"/>
      <color theme="1"/>
      <name val="Verdana"/>
      <family val="2"/>
    </font>
    <font>
      <sz val="8"/>
      <name val="Arial"/>
      <family val="2"/>
    </font>
    <font>
      <b/>
      <sz val="9"/>
      <color indexed="9"/>
      <name val="Tahoma"/>
      <family val="2"/>
    </font>
    <font>
      <sz val="9"/>
      <color indexed="9"/>
      <name val="Tahoma"/>
      <family val="2"/>
    </font>
    <font>
      <b/>
      <sz val="18"/>
      <color theme="3"/>
      <name val="Rockwell"/>
      <family val="2"/>
      <scheme val="major"/>
    </font>
    <font>
      <b/>
      <sz val="11"/>
      <color theme="0"/>
      <name val="Rockwell"/>
      <family val="2"/>
      <scheme val="minor"/>
    </font>
    <font>
      <b/>
      <sz val="11"/>
      <color theme="1"/>
      <name val="Rockwell"/>
      <family val="2"/>
      <scheme val="minor"/>
    </font>
    <font>
      <sz val="11"/>
      <color theme="1"/>
      <name val="Rockwell"/>
      <family val="1"/>
      <scheme val="minor"/>
    </font>
    <font>
      <b/>
      <sz val="16"/>
      <color indexed="9"/>
      <name val="Rockwell"/>
      <family val="1"/>
      <scheme val="major"/>
    </font>
    <font>
      <b/>
      <sz val="11"/>
      <color theme="1"/>
      <name val="Rockwell"/>
      <family val="1"/>
      <scheme val="minor"/>
    </font>
    <font>
      <b/>
      <sz val="11"/>
      <color theme="9" tint="-0.749992370372631"/>
      <name val="Rockwell"/>
      <family val="2"/>
      <scheme val="minor"/>
    </font>
    <font>
      <b/>
      <sz val="10"/>
      <name val="Arial"/>
      <family val="2"/>
    </font>
    <font>
      <sz val="11"/>
      <name val="Rockwell"/>
      <family val="2"/>
      <scheme val="minor"/>
    </font>
    <font>
      <sz val="9"/>
      <color indexed="81"/>
      <name val="Tahoma"/>
      <family val="2"/>
    </font>
    <font>
      <sz val="16"/>
      <color rgb="FFC00000"/>
      <name val="Rockwell"/>
      <family val="2"/>
      <scheme val="minor"/>
    </font>
    <font>
      <u/>
      <sz val="11"/>
      <color theme="10"/>
      <name val="Rockwell"/>
      <family val="2"/>
      <scheme val="minor"/>
    </font>
    <font>
      <b/>
      <sz val="13"/>
      <color theme="3"/>
      <name val="Rockwell"/>
      <family val="2"/>
      <scheme val="minor"/>
    </font>
    <font>
      <b/>
      <sz val="11"/>
      <color theme="3"/>
      <name val="Rockwell"/>
      <family val="2"/>
      <scheme val="minor"/>
    </font>
    <font>
      <sz val="10"/>
      <name val="MS Sans Serif"/>
      <family val="2"/>
    </font>
    <font>
      <sz val="10"/>
      <name val="Arial"/>
      <family val="2"/>
    </font>
    <font>
      <b/>
      <sz val="11"/>
      <name val="Rockwell"/>
      <family val="2"/>
      <scheme val="minor"/>
    </font>
    <font>
      <sz val="11"/>
      <color theme="1" tint="0.499984740745262"/>
      <name val="Rockwell"/>
      <family val="2"/>
      <scheme val="minor"/>
    </font>
    <font>
      <sz val="8"/>
      <color theme="1"/>
      <name val="Verdana"/>
      <family val="2"/>
    </font>
    <font>
      <b/>
      <sz val="10"/>
      <color theme="1"/>
      <name val="Rockwell"/>
      <family val="2"/>
      <scheme val="minor"/>
    </font>
    <font>
      <sz val="11"/>
      <color rgb="FF0000FF"/>
      <name val="Rockwell"/>
      <family val="2"/>
      <scheme val="minor"/>
    </font>
    <font>
      <sz val="10"/>
      <color rgb="FFFF0000"/>
      <name val="Arial Unicode MS"/>
      <family val="2"/>
    </font>
    <font>
      <b/>
      <sz val="11"/>
      <color theme="6" tint="-0.499984740745262"/>
      <name val="Rockwell"/>
      <family val="2"/>
      <scheme val="minor"/>
    </font>
    <font>
      <b/>
      <sz val="11"/>
      <color theme="6" tint="-0.499984740745262"/>
      <name val="Calibri"/>
      <family val="2"/>
    </font>
    <font>
      <b/>
      <sz val="9"/>
      <color indexed="81"/>
      <name val="Tahoma"/>
      <family val="2"/>
    </font>
    <font>
      <sz val="20"/>
      <color theme="0"/>
      <name val="Rockwell"/>
      <family val="2"/>
      <scheme val="minor"/>
    </font>
    <font>
      <b/>
      <sz val="9"/>
      <color theme="0"/>
      <name val="Rockwell"/>
      <family val="1"/>
      <scheme val="minor"/>
    </font>
    <font>
      <b/>
      <sz val="11"/>
      <color rgb="FF006100"/>
      <name val="Rockwell"/>
      <family val="2"/>
      <scheme val="minor"/>
    </font>
    <font>
      <b/>
      <sz val="9"/>
      <color rgb="FF006100"/>
      <name val="Rockwell"/>
      <family val="2"/>
      <scheme val="minor"/>
    </font>
    <font>
      <sz val="9"/>
      <name val="Rockwell"/>
      <family val="1"/>
      <scheme val="minor"/>
    </font>
    <font>
      <b/>
      <sz val="9"/>
      <name val="Rockwell"/>
      <family val="1"/>
      <scheme val="minor"/>
    </font>
    <font>
      <b/>
      <sz val="11"/>
      <color theme="1"/>
      <name val="Arial Narrow"/>
      <family val="2"/>
    </font>
    <font>
      <b/>
      <sz val="10"/>
      <color theme="2"/>
      <name val="Rockwell"/>
      <family val="2"/>
      <scheme val="major"/>
    </font>
    <font>
      <b/>
      <sz val="12"/>
      <color theme="2"/>
      <name val="Rockwell"/>
      <family val="2"/>
      <scheme val="major"/>
    </font>
    <font>
      <sz val="9"/>
      <color theme="1" tint="0.24994659260841701"/>
      <name val="Rockwell"/>
      <family val="2"/>
      <scheme val="minor"/>
    </font>
    <font>
      <sz val="14"/>
      <color theme="1"/>
      <name val="Rockwell"/>
      <family val="2"/>
      <scheme val="minor"/>
    </font>
    <font>
      <sz val="11"/>
      <color theme="1" tint="0.24994659260841701"/>
      <name val="Rockwell"/>
      <family val="2"/>
      <scheme val="major"/>
    </font>
    <font>
      <sz val="11"/>
      <color theme="1" tint="0.24994659260841701"/>
      <name val="Rockwell"/>
      <family val="2"/>
      <scheme val="minor"/>
    </font>
    <font>
      <sz val="11"/>
      <color theme="3" tint="0.89999084444715716"/>
      <name val="Rockwell"/>
      <family val="2"/>
      <scheme val="minor"/>
    </font>
    <font>
      <b/>
      <sz val="11"/>
      <color theme="1" tint="0.24994659260841701"/>
      <name val="Rockwell"/>
      <family val="2"/>
      <scheme val="minor"/>
    </font>
    <font>
      <b/>
      <i/>
      <sz val="11"/>
      <color theme="1"/>
      <name val="Rockwell"/>
      <family val="2"/>
      <scheme val="minor"/>
    </font>
    <font>
      <sz val="11"/>
      <color theme="3" tint="0.89996032593768116"/>
      <name val="Rockwell"/>
      <family val="2"/>
      <scheme val="major"/>
    </font>
    <font>
      <sz val="10"/>
      <color theme="1"/>
      <name val="Rockwell"/>
      <family val="1"/>
      <scheme val="minor"/>
    </font>
    <font>
      <b/>
      <sz val="15"/>
      <color theme="3"/>
      <name val="Rockwell"/>
      <family val="2"/>
      <scheme val="minor"/>
    </font>
    <font>
      <b/>
      <sz val="10"/>
      <color theme="1"/>
      <name val="Arial Narrow"/>
      <family val="2"/>
    </font>
    <font>
      <b/>
      <sz val="9"/>
      <name val="Verdana"/>
      <family val="2"/>
    </font>
    <font>
      <b/>
      <sz val="9"/>
      <color rgb="FF006100"/>
      <name val="Rockwell"/>
      <family val="1"/>
      <scheme val="minor"/>
    </font>
    <font>
      <b/>
      <sz val="8"/>
      <name val="Rockwell"/>
      <family val="1"/>
      <scheme val="major"/>
    </font>
    <font>
      <sz val="8"/>
      <name val="Rockwell"/>
      <family val="1"/>
      <scheme val="major"/>
    </font>
    <font>
      <sz val="11"/>
      <name val="Rockwell"/>
      <family val="1"/>
      <scheme val="major"/>
    </font>
    <font>
      <sz val="10"/>
      <color theme="1"/>
      <name val="Rockwell"/>
      <family val="2"/>
      <scheme val="minor"/>
    </font>
    <font>
      <sz val="10"/>
      <name val="Rockwell"/>
      <family val="2"/>
      <scheme val="minor"/>
    </font>
    <font>
      <sz val="10"/>
      <color indexed="10"/>
      <name val="Calibri"/>
      <family val="2"/>
    </font>
    <font>
      <b/>
      <u/>
      <sz val="10"/>
      <color theme="1"/>
      <name val="Rockwell"/>
      <family val="2"/>
      <scheme val="minor"/>
    </font>
    <font>
      <b/>
      <sz val="10"/>
      <color theme="0"/>
      <name val="Arial"/>
      <family val="2"/>
    </font>
    <font>
      <b/>
      <sz val="11"/>
      <color theme="0"/>
      <name val="Verdana"/>
      <family val="2"/>
    </font>
    <font>
      <b/>
      <sz val="11"/>
      <color theme="1"/>
      <name val="Verdana"/>
      <family val="2"/>
    </font>
    <font>
      <b/>
      <sz val="11"/>
      <color theme="9" tint="-0.249977111117893"/>
      <name val="Rockwell"/>
      <family val="2"/>
      <scheme val="minor"/>
    </font>
    <font>
      <b/>
      <sz val="11"/>
      <color indexed="9"/>
      <name val="Rockwell"/>
      <family val="1"/>
      <scheme val="major"/>
    </font>
    <font>
      <sz val="8"/>
      <color theme="1"/>
      <name val="Calibri"/>
      <family val="2"/>
    </font>
    <font>
      <sz val="12"/>
      <name val="Rockwell"/>
      <family val="2"/>
      <scheme val="minor"/>
    </font>
    <font>
      <b/>
      <sz val="12"/>
      <name val="Rockwell"/>
      <family val="2"/>
      <scheme val="minor"/>
    </font>
    <font>
      <u/>
      <sz val="11"/>
      <color indexed="12"/>
      <name val="Arial"/>
      <family val="2"/>
    </font>
    <font>
      <b/>
      <sz val="12"/>
      <color theme="1"/>
      <name val="Rockwell"/>
      <family val="2"/>
      <scheme val="minor"/>
    </font>
    <font>
      <sz val="8"/>
      <color rgb="FF000000"/>
      <name val="Segoe UI"/>
      <family val="2"/>
    </font>
    <font>
      <sz val="10"/>
      <name val="Rockwell"/>
      <family val="1"/>
      <scheme val="minor"/>
    </font>
  </fonts>
  <fills count="49">
    <fill>
      <patternFill patternType="none"/>
    </fill>
    <fill>
      <patternFill patternType="gray125"/>
    </fill>
    <fill>
      <patternFill patternType="solid">
        <fgColor indexed="51"/>
        <bgColor indexed="64"/>
      </patternFill>
    </fill>
    <fill>
      <patternFill patternType="solid">
        <fgColor indexed="16"/>
        <bgColor indexed="24"/>
      </patternFill>
    </fill>
    <fill>
      <patternFill patternType="solid">
        <fgColor indexed="52"/>
        <bgColor indexed="64"/>
      </patternFill>
    </fill>
    <fill>
      <patternFill patternType="solid">
        <fgColor theme="8" tint="0.59999389629810485"/>
        <bgColor indexed="65"/>
      </patternFill>
    </fill>
    <fill>
      <patternFill patternType="solid">
        <fgColor theme="7"/>
      </patternFill>
    </fill>
    <fill>
      <patternFill patternType="solid">
        <fgColor rgb="FFC6EFCE"/>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9"/>
      </patternFill>
    </fill>
    <fill>
      <patternFill patternType="solid">
        <fgColor theme="7" tint="0.79998168889431442"/>
        <bgColor indexed="64"/>
      </patternFill>
    </fill>
    <fill>
      <patternFill patternType="solid">
        <fgColor theme="5" tint="0.79998168889431442"/>
        <bgColor indexed="9"/>
      </patternFill>
    </fill>
    <fill>
      <patternFill patternType="solid">
        <fgColor theme="5" tint="0.79998168889431442"/>
        <bgColor indexed="64"/>
      </patternFill>
    </fill>
    <fill>
      <patternFill patternType="solid">
        <fgColor theme="7" tint="0.39997558519241921"/>
        <bgColor indexed="64"/>
      </patternFill>
    </fill>
    <fill>
      <patternFill patternType="solid">
        <fgColor theme="9"/>
        <bgColor indexed="64"/>
      </patternFill>
    </fill>
    <fill>
      <patternFill patternType="solid">
        <fgColor theme="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79998168889431442"/>
        <bgColor indexed="65"/>
      </patternFill>
    </fill>
    <fill>
      <patternFill patternType="solid">
        <fgColor theme="6" tint="-0.249977111117893"/>
        <bgColor indexed="24"/>
      </patternFill>
    </fill>
    <fill>
      <patternFill patternType="solid">
        <fgColor theme="8" tint="-0.249977111117893"/>
        <bgColor indexed="24"/>
      </patternFill>
    </fill>
    <fill>
      <patternFill patternType="solid">
        <fgColor theme="5" tint="0.39997558519241921"/>
        <bgColor indexed="64"/>
      </patternFill>
    </fill>
    <fill>
      <patternFill patternType="solid">
        <fgColor theme="2"/>
        <bgColor indexed="64"/>
      </patternFill>
    </fill>
    <fill>
      <patternFill patternType="solid">
        <fgColor theme="0" tint="-4.9989318521683403E-2"/>
        <bgColor indexed="64"/>
      </patternFill>
    </fill>
    <fill>
      <patternFill patternType="solid">
        <fgColor theme="4"/>
        <bgColor theme="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7" tint="0.59999389629810485"/>
        <bgColor indexed="65"/>
      </patternFill>
    </fill>
    <fill>
      <patternFill patternType="solid">
        <fgColor theme="5"/>
        <bgColor indexed="64"/>
      </patternFill>
    </fill>
    <fill>
      <patternFill patternType="solid">
        <fgColor theme="4"/>
        <bgColor indexed="64"/>
      </patternFill>
    </fill>
    <fill>
      <patternFill patternType="solid">
        <fgColor theme="9" tint="0.59999389629810485"/>
        <bgColor indexed="65"/>
      </patternFill>
    </fill>
    <fill>
      <patternFill patternType="solid">
        <fgColor theme="6" tint="0.39997558519241921"/>
        <bgColor indexed="64"/>
      </patternFill>
    </fill>
    <fill>
      <patternFill patternType="solid">
        <fgColor theme="5" tint="-0.499984740745262"/>
        <bgColor indexed="64"/>
      </patternFill>
    </fill>
    <fill>
      <patternFill patternType="solid">
        <fgColor theme="3" tint="0.89996032593768116"/>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6" tint="0.39997558519241921"/>
        <bgColor indexed="65"/>
      </patternFill>
    </fill>
    <fill>
      <patternFill patternType="solid">
        <fgColor theme="4" tint="0.79998168889431442"/>
        <bgColor indexed="65"/>
      </patternFill>
    </fill>
    <fill>
      <patternFill patternType="solid">
        <fgColor theme="6" tint="0.79998168889431442"/>
        <bgColor indexed="65"/>
      </patternFill>
    </fill>
    <fill>
      <patternFill patternType="solid">
        <fgColor theme="5" tint="0.59999389629810485"/>
        <bgColor indexed="64"/>
      </patternFill>
    </fill>
    <fill>
      <patternFill patternType="solid">
        <fgColor theme="5"/>
        <bgColor theme="5"/>
      </patternFill>
    </fill>
    <fill>
      <patternFill patternType="solid">
        <fgColor theme="2" tint="-9.9978637043366805E-2"/>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79998168889431442"/>
        <bgColor indexed="65"/>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thick">
        <color theme="7" tint="-0.24994659260841701"/>
      </top>
      <bottom/>
      <diagonal/>
    </border>
    <border>
      <left/>
      <right/>
      <top style="thin">
        <color theme="4"/>
      </top>
      <bottom style="double">
        <color theme="4"/>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ck">
        <color theme="4" tint="0.499984740745262"/>
      </bottom>
      <diagonal/>
    </border>
    <border>
      <left/>
      <right/>
      <top/>
      <bottom style="medium">
        <color theme="4" tint="0.399975585192419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diagonal/>
    </border>
    <border>
      <left style="thin">
        <color theme="0" tint="-0.14999847407452621"/>
      </left>
      <right/>
      <top/>
      <bottom/>
      <diagonal/>
    </border>
    <border>
      <left/>
      <right/>
      <top/>
      <bottom style="thin">
        <color theme="4" tint="-0.24994659260841701"/>
      </bottom>
      <diagonal/>
    </border>
    <border>
      <left/>
      <right/>
      <top style="thin">
        <color theme="4" tint="-0.24994659260841701"/>
      </top>
      <bottom style="thin">
        <color theme="4" tint="-0.24994659260841701"/>
      </bottom>
      <diagonal/>
    </border>
    <border>
      <left/>
      <right/>
      <top/>
      <bottom style="thin">
        <color indexed="22"/>
      </bottom>
      <diagonal/>
    </border>
    <border>
      <left/>
      <right style="thin">
        <color indexed="22"/>
      </right>
      <top/>
      <bottom/>
      <diagonal/>
    </border>
    <border>
      <left/>
      <right/>
      <top style="thin">
        <color indexed="64"/>
      </top>
      <bottom style="double">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3" tint="0.24994659260841701"/>
      </left>
      <right/>
      <top style="thin">
        <color theme="3" tint="0.24994659260841701"/>
      </top>
      <bottom/>
      <diagonal/>
    </border>
    <border>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style="thin">
        <color theme="1"/>
      </top>
      <bottom/>
      <diagonal/>
    </border>
    <border>
      <left style="thin">
        <color theme="3" tint="0.24994659260841701"/>
      </left>
      <right style="thin">
        <color theme="3" tint="0.24994659260841701"/>
      </right>
      <top style="thin">
        <color theme="1"/>
      </top>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top style="thin">
        <color theme="1"/>
      </top>
      <bottom style="thin">
        <color theme="3" tint="0.24994659260841701"/>
      </bottom>
      <diagonal/>
    </border>
    <border>
      <left style="thin">
        <color theme="3" tint="0.24994659260841701"/>
      </left>
      <right style="thin">
        <color theme="3" tint="0.24994659260841701"/>
      </right>
      <top style="thin">
        <color theme="1"/>
      </top>
      <bottom style="thin">
        <color theme="3" tint="0.24994659260841701"/>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3" tint="0.24994659260841701"/>
      </left>
      <right/>
      <top style="thin">
        <color theme="5" tint="-0.499984740745262"/>
      </top>
      <bottom/>
      <diagonal/>
    </border>
    <border>
      <left style="thin">
        <color theme="3" tint="0.24994659260841701"/>
      </left>
      <right style="thin">
        <color theme="3" tint="0.24994659260841701"/>
      </right>
      <top style="thin">
        <color theme="5" tint="-0.499984740745262"/>
      </top>
      <bottom/>
      <diagonal/>
    </border>
    <border>
      <left style="thin">
        <color theme="3" tint="0.24994659260841701"/>
      </left>
      <right/>
      <top style="thin">
        <color theme="1"/>
      </top>
      <bottom style="medium">
        <color theme="3" tint="0.24994659260841701"/>
      </bottom>
      <diagonal/>
    </border>
    <border>
      <left style="thin">
        <color theme="3" tint="0.24994659260841701"/>
      </left>
      <right/>
      <top style="thin">
        <color theme="3" tint="0.24994659260841701"/>
      </top>
      <bottom style="medium">
        <color theme="3" tint="0.24994659260841701"/>
      </bottom>
      <diagonal/>
    </border>
    <border>
      <left style="thin">
        <color theme="3" tint="0.24994659260841701"/>
      </left>
      <right style="thin">
        <color theme="3" tint="0.24994659260841701"/>
      </right>
      <top style="thin">
        <color theme="3" tint="0.24994659260841701"/>
      </top>
      <bottom style="medium">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ck">
        <color theme="4"/>
      </bottom>
      <diagonal/>
    </border>
    <border>
      <left/>
      <right/>
      <top style="medium">
        <color theme="4" tint="0.39994506668294322"/>
      </top>
      <bottom style="medium">
        <color theme="4" tint="0.39994506668294322"/>
      </bottom>
      <diagonal/>
    </border>
    <border>
      <left/>
      <right/>
      <top/>
      <bottom style="thin">
        <color auto="1"/>
      </bottom>
      <diagonal/>
    </border>
    <border>
      <left/>
      <right/>
      <top style="thin">
        <color theme="9"/>
      </top>
      <bottom style="thin">
        <color theme="9"/>
      </bottom>
      <diagonal/>
    </border>
    <border>
      <left/>
      <right style="thin">
        <color theme="5" tint="0.39997558519241921"/>
      </right>
      <top style="thin">
        <color theme="5" tint="0.39997558519241921"/>
      </top>
      <bottom style="thin">
        <color theme="5" tint="0.39997558519241921"/>
      </bottom>
      <diagonal/>
    </border>
  </borders>
  <cellStyleXfs count="36">
    <xf numFmtId="0" fontId="0" fillId="0" borderId="0"/>
    <xf numFmtId="0" fontId="15" fillId="5" borderId="0" applyNumberFormat="0" applyBorder="0" applyAlignment="0" applyProtection="0"/>
    <xf numFmtId="0" fontId="16" fillId="6" borderId="0" applyNumberFormat="0" applyBorder="0" applyAlignment="0" applyProtection="0"/>
    <xf numFmtId="0" fontId="17" fillId="7" borderId="0" applyNumberFormat="0" applyBorder="0" applyAlignment="0" applyProtection="0"/>
    <xf numFmtId="0" fontId="4" fillId="0" borderId="0" applyNumberFormat="0" applyFill="0" applyBorder="0" applyAlignment="0" applyProtection="0">
      <alignment vertical="top"/>
      <protection locked="0"/>
    </xf>
    <xf numFmtId="0" fontId="30" fillId="0" borderId="0" applyNumberFormat="0" applyFill="0" applyBorder="0" applyAlignment="0" applyProtection="0"/>
    <xf numFmtId="0" fontId="32" fillId="0" borderId="15" applyNumberFormat="0" applyFill="0" applyAlignment="0" applyProtection="0"/>
    <xf numFmtId="0" fontId="16" fillId="16" borderId="0" applyNumberFormat="0" applyBorder="0" applyAlignment="0" applyProtection="0"/>
    <xf numFmtId="0" fontId="15" fillId="17"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8" borderId="0" applyNumberFormat="0" applyBorder="0" applyAlignment="0" applyProtection="0"/>
    <xf numFmtId="181" fontId="15" fillId="0" borderId="0" applyFont="0" applyFill="0" applyBorder="0" applyAlignment="0" applyProtection="0"/>
    <xf numFmtId="0" fontId="41"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0"/>
    <xf numFmtId="0" fontId="45" fillId="0" borderId="0"/>
    <xf numFmtId="43" fontId="15" fillId="0" borderId="0" applyFont="0" applyFill="0" applyBorder="0" applyAlignment="0" applyProtection="0"/>
    <xf numFmtId="0" fontId="15" fillId="30" borderId="0" applyNumberFormat="0" applyBorder="0" applyAlignment="0" applyProtection="0"/>
    <xf numFmtId="0" fontId="48" fillId="0" borderId="0"/>
    <xf numFmtId="0" fontId="15" fillId="33" borderId="0" applyNumberFormat="0" applyBorder="0" applyAlignment="0" applyProtection="0"/>
    <xf numFmtId="0" fontId="45" fillId="0" borderId="0">
      <alignment wrapText="1"/>
    </xf>
    <xf numFmtId="0" fontId="15" fillId="0" borderId="0"/>
    <xf numFmtId="9" fontId="15" fillId="0" borderId="0" applyFont="0" applyFill="0" applyBorder="0" applyAlignment="0" applyProtection="0"/>
    <xf numFmtId="0" fontId="62" fillId="35" borderId="0" applyNumberFormat="0" applyProtection="0">
      <alignment vertical="center"/>
    </xf>
    <xf numFmtId="0" fontId="64" fillId="0" borderId="0"/>
    <xf numFmtId="0" fontId="66" fillId="36" borderId="36" applyNumberFormat="0" applyProtection="0">
      <alignment horizontal="left" vertical="center" indent="1"/>
    </xf>
    <xf numFmtId="0" fontId="73" fillId="0" borderId="54" applyNumberFormat="0" applyFill="0" applyAlignment="0" applyProtection="0"/>
    <xf numFmtId="0" fontId="15" fillId="40" borderId="0" applyNumberFormat="0" applyBorder="0" applyAlignment="0" applyProtection="0"/>
    <xf numFmtId="0" fontId="15" fillId="41" borderId="0" applyNumberFormat="0" applyBorder="0" applyAlignment="0" applyProtection="0"/>
    <xf numFmtId="218" fontId="15" fillId="0" borderId="0" applyFont="0" applyFill="0" applyBorder="0" applyAlignment="0" applyProtection="0"/>
    <xf numFmtId="0" fontId="15" fillId="42" borderId="0" applyNumberFormat="0" applyBorder="0" applyAlignment="0" applyProtection="0"/>
    <xf numFmtId="0" fontId="65" fillId="0" borderId="0"/>
    <xf numFmtId="218" fontId="65" fillId="0" borderId="0" applyFont="0" applyFill="0" applyBorder="0" applyAlignment="0" applyProtection="0"/>
    <xf numFmtId="0" fontId="15" fillId="48" borderId="0" applyNumberFormat="0" applyBorder="0" applyAlignment="0" applyProtection="0"/>
  </cellStyleXfs>
  <cellXfs count="438">
    <xf numFmtId="0" fontId="0" fillId="0" borderId="0" xfId="0"/>
    <xf numFmtId="0" fontId="18" fillId="8" borderId="0" xfId="0" applyFont="1" applyFill="1"/>
    <xf numFmtId="0" fontId="5" fillId="8" borderId="0" xfId="0" applyFont="1" applyFill="1" applyAlignment="1">
      <alignment horizontal="center" vertical="center" wrapText="1"/>
    </xf>
    <xf numFmtId="0" fontId="6" fillId="8" borderId="0" xfId="0" applyFont="1" applyFill="1"/>
    <xf numFmtId="0" fontId="7" fillId="0" borderId="0" xfId="0" applyFont="1"/>
    <xf numFmtId="0" fontId="7" fillId="0" borderId="0" xfId="0" applyFont="1" applyAlignment="1">
      <alignment horizontal="center"/>
    </xf>
    <xf numFmtId="0" fontId="18" fillId="0" borderId="0" xfId="0" applyFont="1"/>
    <xf numFmtId="1" fontId="18" fillId="0" borderId="0" xfId="0" applyNumberFormat="1" applyFont="1"/>
    <xf numFmtId="0" fontId="11" fillId="3" borderId="10" xfId="0" applyFont="1" applyFill="1" applyBorder="1" applyAlignment="1">
      <alignment horizontal="center"/>
    </xf>
    <xf numFmtId="0" fontId="11" fillId="3" borderId="11" xfId="0" applyFont="1" applyFill="1" applyBorder="1" applyAlignment="1">
      <alignment horizontal="center"/>
    </xf>
    <xf numFmtId="0" fontId="11" fillId="3" borderId="0" xfId="0" applyFont="1" applyFill="1" applyAlignment="1">
      <alignment horizontal="center"/>
    </xf>
    <xf numFmtId="0" fontId="12" fillId="10" borderId="0" xfId="0" applyFont="1" applyFill="1"/>
    <xf numFmtId="0" fontId="12" fillId="10" borderId="0" xfId="0" applyFont="1" applyFill="1" applyAlignment="1">
      <alignment horizontal="center"/>
    </xf>
    <xf numFmtId="0" fontId="19" fillId="6" borderId="0" xfId="2" applyFont="1"/>
    <xf numFmtId="0" fontId="20" fillId="7" borderId="0" xfId="3" applyFont="1"/>
    <xf numFmtId="168" fontId="18" fillId="0" borderId="0" xfId="0" applyNumberFormat="1" applyFont="1"/>
    <xf numFmtId="0" fontId="18" fillId="5" borderId="0" xfId="1" applyFont="1"/>
    <xf numFmtId="0" fontId="18" fillId="0" borderId="1" xfId="0" applyFont="1" applyBorder="1"/>
    <xf numFmtId="0" fontId="18" fillId="0" borderId="0" xfId="0" applyFont="1" applyAlignment="1">
      <alignment horizontal="center"/>
    </xf>
    <xf numFmtId="49" fontId="18" fillId="0" borderId="0" xfId="0" applyNumberFormat="1" applyFont="1"/>
    <xf numFmtId="0" fontId="18" fillId="0" borderId="0" xfId="0" applyFont="1" applyAlignment="1">
      <alignment horizontal="right"/>
    </xf>
    <xf numFmtId="9" fontId="18" fillId="0" borderId="0" xfId="0" applyNumberFormat="1" applyFont="1" applyAlignment="1">
      <alignment horizontal="right"/>
    </xf>
    <xf numFmtId="0" fontId="18" fillId="13" borderId="0" xfId="0" applyFont="1" applyFill="1"/>
    <xf numFmtId="0" fontId="5" fillId="14" borderId="0" xfId="0" applyFont="1" applyFill="1" applyAlignment="1">
      <alignment horizontal="center" vertical="center" wrapText="1"/>
    </xf>
    <xf numFmtId="0" fontId="5" fillId="14" borderId="0" xfId="0" applyFont="1" applyFill="1" applyAlignment="1">
      <alignment horizontal="left" vertical="center" wrapText="1"/>
    </xf>
    <xf numFmtId="0" fontId="23" fillId="13" borderId="0" xfId="0" applyFont="1" applyFill="1" applyAlignment="1">
      <alignment horizontal="center" vertical="center"/>
    </xf>
    <xf numFmtId="0" fontId="4" fillId="2" borderId="0" xfId="4" applyFill="1" applyAlignment="1" applyProtection="1">
      <alignment horizontal="center" vertical="center"/>
    </xf>
    <xf numFmtId="0" fontId="1" fillId="0" borderId="0" xfId="0" applyFont="1"/>
    <xf numFmtId="177" fontId="0" fillId="0" borderId="0" xfId="0" applyNumberFormat="1"/>
    <xf numFmtId="0" fontId="14" fillId="4" borderId="4" xfId="0" applyFont="1" applyFill="1" applyBorder="1"/>
    <xf numFmtId="10" fontId="14" fillId="4" borderId="4" xfId="0" applyNumberFormat="1" applyFont="1" applyFill="1" applyBorder="1"/>
    <xf numFmtId="0" fontId="1" fillId="4" borderId="0" xfId="0" applyFont="1" applyFill="1"/>
    <xf numFmtId="0" fontId="14" fillId="4" borderId="6" xfId="0" applyFont="1" applyFill="1" applyBorder="1"/>
    <xf numFmtId="164" fontId="0" fillId="4" borderId="0" xfId="0" applyNumberFormat="1" applyFill="1"/>
    <xf numFmtId="178" fontId="14" fillId="4" borderId="6" xfId="0" applyNumberFormat="1" applyFont="1" applyFill="1" applyBorder="1"/>
    <xf numFmtId="0" fontId="14" fillId="4" borderId="7" xfId="0" applyFont="1" applyFill="1" applyBorder="1"/>
    <xf numFmtId="178" fontId="14" fillId="4" borderId="7" xfId="0" applyNumberFormat="1" applyFont="1" applyFill="1" applyBorder="1"/>
    <xf numFmtId="178" fontId="0" fillId="0" borderId="0" xfId="0" applyNumberFormat="1"/>
    <xf numFmtId="0" fontId="1" fillId="0" borderId="1" xfId="0" applyFont="1" applyBorder="1"/>
    <xf numFmtId="178" fontId="14" fillId="4" borderId="3" xfId="0" applyNumberFormat="1" applyFont="1" applyFill="1" applyBorder="1"/>
    <xf numFmtId="0" fontId="0" fillId="0" borderId="1" xfId="0" applyBorder="1"/>
    <xf numFmtId="178" fontId="0" fillId="0" borderId="6" xfId="0" applyNumberFormat="1" applyBorder="1"/>
    <xf numFmtId="0" fontId="0" fillId="0" borderId="5" xfId="0" applyBorder="1"/>
    <xf numFmtId="0" fontId="0" fillId="0" borderId="6" xfId="0" applyBorder="1"/>
    <xf numFmtId="178" fontId="0" fillId="0" borderId="7" xfId="0" applyNumberFormat="1" applyBorder="1"/>
    <xf numFmtId="0" fontId="0" fillId="0" borderId="8" xfId="0" applyBorder="1"/>
    <xf numFmtId="0" fontId="0" fillId="0" borderId="7" xfId="0" applyBorder="1"/>
    <xf numFmtId="178" fontId="14" fillId="4" borderId="10" xfId="0" applyNumberFormat="1" applyFont="1" applyFill="1" applyBorder="1"/>
    <xf numFmtId="0" fontId="0" fillId="0" borderId="12" xfId="0" applyBorder="1"/>
    <xf numFmtId="0" fontId="0" fillId="0" borderId="2" xfId="0" applyBorder="1"/>
    <xf numFmtId="0" fontId="0" fillId="0" borderId="3" xfId="0" applyBorder="1"/>
    <xf numFmtId="178" fontId="0" fillId="0" borderId="4" xfId="0" applyNumberFormat="1" applyBorder="1"/>
    <xf numFmtId="178" fontId="0" fillId="0" borderId="5" xfId="0" applyNumberFormat="1" applyBorder="1"/>
    <xf numFmtId="178" fontId="0" fillId="0" borderId="13" xfId="0" applyNumberFormat="1" applyBorder="1"/>
    <xf numFmtId="178" fontId="0" fillId="0" borderId="8" xfId="0" applyNumberFormat="1" applyBorder="1"/>
    <xf numFmtId="0" fontId="24" fillId="11" borderId="4" xfId="0" applyFont="1" applyFill="1" applyBorder="1"/>
    <xf numFmtId="10" fontId="24" fillId="11" borderId="4" xfId="0" applyNumberFormat="1" applyFont="1" applyFill="1" applyBorder="1"/>
    <xf numFmtId="0" fontId="24" fillId="11" borderId="6" xfId="0" applyFont="1" applyFill="1" applyBorder="1"/>
    <xf numFmtId="0" fontId="24" fillId="11" borderId="7" xfId="0" applyFont="1" applyFill="1" applyBorder="1"/>
    <xf numFmtId="178" fontId="24" fillId="11" borderId="7" xfId="0" applyNumberFormat="1" applyFont="1" applyFill="1" applyBorder="1"/>
    <xf numFmtId="0" fontId="24" fillId="15" borderId="6" xfId="0" applyFont="1" applyFill="1" applyBorder="1"/>
    <xf numFmtId="178" fontId="24" fillId="15" borderId="6" xfId="0" applyNumberFormat="1" applyFont="1" applyFill="1" applyBorder="1"/>
    <xf numFmtId="0" fontId="26" fillId="0" borderId="0" xfId="0" applyFont="1"/>
    <xf numFmtId="0" fontId="27" fillId="0" borderId="0" xfId="0" applyFont="1" applyAlignment="1">
      <alignment horizontal="center"/>
    </xf>
    <xf numFmtId="0" fontId="15" fillId="17" borderId="0" xfId="8"/>
    <xf numFmtId="0" fontId="11" fillId="21" borderId="0" xfId="0" applyFont="1" applyFill="1" applyAlignment="1">
      <alignment horizontal="center" vertical="center"/>
    </xf>
    <xf numFmtId="0" fontId="33" fillId="0" borderId="0" xfId="0" applyFont="1"/>
    <xf numFmtId="0" fontId="16" fillId="16" borderId="0" xfId="7"/>
    <xf numFmtId="0" fontId="0" fillId="0" borderId="0" xfId="0" applyAlignment="1">
      <alignment horizontal="right"/>
    </xf>
    <xf numFmtId="0" fontId="0" fillId="0" borderId="0" xfId="0" applyAlignment="1">
      <alignment horizontal="center"/>
    </xf>
    <xf numFmtId="0" fontId="0" fillId="0" borderId="17" xfId="0" applyBorder="1"/>
    <xf numFmtId="0" fontId="0" fillId="0" borderId="18" xfId="0" applyBorder="1"/>
    <xf numFmtId="0" fontId="36" fillId="23" borderId="15" xfId="6" applyFont="1" applyFill="1"/>
    <xf numFmtId="0" fontId="35" fillId="19" borderId="0" xfId="9" applyFont="1" applyAlignment="1">
      <alignment horizontal="center" vertical="center"/>
    </xf>
    <xf numFmtId="0" fontId="35" fillId="20" borderId="0" xfId="10" applyFont="1"/>
    <xf numFmtId="0" fontId="37" fillId="0" borderId="16" xfId="0" applyFont="1" applyBorder="1"/>
    <xf numFmtId="0" fontId="0" fillId="0" borderId="0" xfId="0" applyAlignment="1">
      <alignment horizontal="center" vertical="center"/>
    </xf>
    <xf numFmtId="22" fontId="0" fillId="0" borderId="0" xfId="0" applyNumberFormat="1"/>
    <xf numFmtId="0" fontId="0" fillId="0" borderId="19" xfId="0" applyBorder="1"/>
    <xf numFmtId="0" fontId="0" fillId="0" borderId="20" xfId="0" applyBorder="1"/>
    <xf numFmtId="0" fontId="0" fillId="0" borderId="0" xfId="0" applyAlignment="1">
      <alignment horizontal="right" indent="1"/>
    </xf>
    <xf numFmtId="179" fontId="0" fillId="0" borderId="0" xfId="0" applyNumberFormat="1" applyAlignment="1">
      <alignment horizontal="center"/>
    </xf>
    <xf numFmtId="20" fontId="0" fillId="0" borderId="0" xfId="0" applyNumberFormat="1" applyAlignment="1">
      <alignment horizontal="left"/>
    </xf>
    <xf numFmtId="0" fontId="40" fillId="0" borderId="0" xfId="0" applyFont="1"/>
    <xf numFmtId="0" fontId="32" fillId="24" borderId="22" xfId="0" applyFont="1" applyFill="1" applyBorder="1"/>
    <xf numFmtId="0" fontId="32" fillId="24" borderId="22" xfId="0" applyFont="1" applyFill="1" applyBorder="1" applyAlignment="1">
      <alignment horizontal="center"/>
    </xf>
    <xf numFmtId="0" fontId="0" fillId="0" borderId="22" xfId="0" applyBorder="1" applyAlignment="1">
      <alignment horizontal="center"/>
    </xf>
    <xf numFmtId="0" fontId="0" fillId="0" borderId="22" xfId="0" applyBorder="1"/>
    <xf numFmtId="0" fontId="32" fillId="27" borderId="22" xfId="0" applyFont="1" applyFill="1" applyBorder="1"/>
    <xf numFmtId="0" fontId="32" fillId="27" borderId="22" xfId="0" applyFont="1" applyFill="1" applyBorder="1" applyAlignment="1">
      <alignment horizontal="center"/>
    </xf>
    <xf numFmtId="0" fontId="0" fillId="25" borderId="22" xfId="0" applyFill="1" applyBorder="1"/>
    <xf numFmtId="0" fontId="37" fillId="27" borderId="0" xfId="16" applyFont="1" applyFill="1" applyAlignment="1">
      <alignment horizontal="center" vertical="center"/>
    </xf>
    <xf numFmtId="15" fontId="37" fillId="27" borderId="0" xfId="16" applyNumberFormat="1" applyFont="1" applyFill="1" applyAlignment="1">
      <alignment horizontal="center" vertical="center"/>
    </xf>
    <xf numFmtId="0" fontId="45" fillId="0" borderId="0" xfId="17"/>
    <xf numFmtId="0" fontId="45" fillId="0" borderId="0" xfId="16" applyFont="1"/>
    <xf numFmtId="0" fontId="45" fillId="0" borderId="0" xfId="16" applyFont="1" applyAlignment="1">
      <alignment horizontal="center"/>
    </xf>
    <xf numFmtId="0" fontId="37" fillId="29" borderId="0" xfId="17" applyFont="1" applyFill="1"/>
    <xf numFmtId="184" fontId="45" fillId="0" borderId="0" xfId="17" applyNumberFormat="1"/>
    <xf numFmtId="0" fontId="21" fillId="11" borderId="0" xfId="0" applyFont="1" applyFill="1"/>
    <xf numFmtId="14" fontId="0" fillId="0" borderId="0" xfId="0" applyNumberFormat="1"/>
    <xf numFmtId="0" fontId="46" fillId="0" borderId="22" xfId="0" applyFont="1" applyBorder="1" applyAlignment="1">
      <alignment horizontal="center"/>
    </xf>
    <xf numFmtId="0" fontId="31" fillId="31" borderId="22" xfId="0" applyFont="1" applyFill="1" applyBorder="1"/>
    <xf numFmtId="0" fontId="0" fillId="0" borderId="0" xfId="0" applyAlignment="1">
      <alignment horizontal="left"/>
    </xf>
    <xf numFmtId="0" fontId="0" fillId="0" borderId="13" xfId="0" applyBorder="1"/>
    <xf numFmtId="0" fontId="0" fillId="0" borderId="13" xfId="0" applyBorder="1" applyAlignment="1">
      <alignment horizontal="center"/>
    </xf>
    <xf numFmtId="0" fontId="32" fillId="0" borderId="2" xfId="0" applyFont="1" applyBorder="1"/>
    <xf numFmtId="0" fontId="32" fillId="0" borderId="2" xfId="0" applyFont="1" applyBorder="1" applyAlignment="1">
      <alignment horizontal="center"/>
    </xf>
    <xf numFmtId="0" fontId="47" fillId="24" borderId="25" xfId="0" applyFont="1" applyFill="1" applyBorder="1" applyAlignment="1">
      <alignment horizontal="center"/>
    </xf>
    <xf numFmtId="0" fontId="47" fillId="0" borderId="26" xfId="0" applyFont="1" applyBorder="1" applyAlignment="1">
      <alignment horizontal="center"/>
    </xf>
    <xf numFmtId="0" fontId="4" fillId="0" borderId="0" xfId="4" applyAlignment="1" applyProtection="1">
      <alignment horizontal="center"/>
    </xf>
    <xf numFmtId="191" fontId="0" fillId="0" borderId="0" xfId="0" applyNumberFormat="1"/>
    <xf numFmtId="49" fontId="0" fillId="0" borderId="0" xfId="0" applyNumberFormat="1" applyAlignment="1">
      <alignment horizontal="center"/>
    </xf>
    <xf numFmtId="0" fontId="35" fillId="30" borderId="0" xfId="19" applyFont="1" applyAlignment="1">
      <alignment horizontal="center"/>
    </xf>
    <xf numFmtId="0" fontId="35" fillId="30" borderId="0" xfId="19" applyFont="1"/>
    <xf numFmtId="0" fontId="15" fillId="33" borderId="0" xfId="21"/>
    <xf numFmtId="0" fontId="42" fillId="0" borderId="23" xfId="14"/>
    <xf numFmtId="192" fontId="0" fillId="0" borderId="22" xfId="0" applyNumberFormat="1" applyBorder="1" applyAlignment="1">
      <alignment horizontal="center"/>
    </xf>
    <xf numFmtId="193" fontId="32" fillId="24" borderId="22" xfId="0" applyNumberFormat="1" applyFont="1" applyFill="1" applyBorder="1" applyAlignment="1">
      <alignment horizontal="center"/>
    </xf>
    <xf numFmtId="165" fontId="0" fillId="0" borderId="0" xfId="0" applyNumberFormat="1"/>
    <xf numFmtId="0" fontId="0" fillId="24" borderId="28" xfId="0" applyFill="1" applyBorder="1" applyAlignment="1">
      <alignment horizontal="right"/>
    </xf>
    <xf numFmtId="0" fontId="0" fillId="24" borderId="28" xfId="0" applyFill="1" applyBorder="1"/>
    <xf numFmtId="0" fontId="0" fillId="0" borderId="28" xfId="0" applyBorder="1"/>
    <xf numFmtId="0" fontId="0" fillId="24" borderId="22" xfId="0" applyFill="1" applyBorder="1" applyAlignment="1">
      <alignment horizontal="right"/>
    </xf>
    <xf numFmtId="0" fontId="0" fillId="24" borderId="22" xfId="0" applyFill="1" applyBorder="1" applyAlignment="1">
      <alignment horizontal="left"/>
    </xf>
    <xf numFmtId="0" fontId="32" fillId="24" borderId="27" xfId="0" applyFont="1" applyFill="1" applyBorder="1"/>
    <xf numFmtId="0" fontId="32" fillId="24" borderId="25" xfId="0" applyFont="1" applyFill="1" applyBorder="1" applyAlignment="1">
      <alignment wrapText="1"/>
    </xf>
    <xf numFmtId="0" fontId="50" fillId="0" borderId="0" xfId="0" quotePrefix="1" applyFont="1" applyAlignment="1">
      <alignment horizontal="left"/>
    </xf>
    <xf numFmtId="21" fontId="0" fillId="0" borderId="0" xfId="0" applyNumberFormat="1"/>
    <xf numFmtId="0" fontId="51" fillId="0" borderId="0" xfId="0" applyFont="1"/>
    <xf numFmtId="0" fontId="50" fillId="0" borderId="0" xfId="0" applyFont="1" applyAlignment="1">
      <alignment horizontal="left"/>
    </xf>
    <xf numFmtId="0" fontId="52" fillId="9" borderId="0" xfId="0" applyFont="1" applyFill="1" applyAlignment="1">
      <alignment horizontal="center"/>
    </xf>
    <xf numFmtId="0" fontId="53" fillId="9" borderId="0" xfId="0" applyFont="1" applyFill="1" applyAlignment="1">
      <alignment horizontal="center" wrapText="1"/>
    </xf>
    <xf numFmtId="0" fontId="18" fillId="0" borderId="1" xfId="0" applyFont="1" applyBorder="1" applyAlignment="1">
      <alignment horizontal="center"/>
    </xf>
    <xf numFmtId="0" fontId="55" fillId="32" borderId="0" xfId="0" applyFont="1" applyFill="1" applyAlignment="1">
      <alignment vertical="center"/>
    </xf>
    <xf numFmtId="0" fontId="16" fillId="32" borderId="0" xfId="0" applyFont="1" applyFill="1" applyAlignment="1">
      <alignment vertical="center"/>
    </xf>
    <xf numFmtId="181" fontId="16" fillId="32" borderId="0" xfId="12" applyFont="1" applyFill="1" applyAlignment="1">
      <alignment vertical="center"/>
    </xf>
    <xf numFmtId="181" fontId="0" fillId="0" borderId="0" xfId="12" applyFont="1" applyAlignment="1">
      <alignment horizontal="right"/>
    </xf>
    <xf numFmtId="181" fontId="0" fillId="0" borderId="0" xfId="12" applyFont="1"/>
    <xf numFmtId="0" fontId="16" fillId="16" borderId="31" xfId="7" applyBorder="1"/>
    <xf numFmtId="0" fontId="7" fillId="0" borderId="32" xfId="0" applyFont="1" applyBorder="1"/>
    <xf numFmtId="38" fontId="7" fillId="0" borderId="32" xfId="0" applyNumberFormat="1" applyFont="1" applyBorder="1"/>
    <xf numFmtId="165" fontId="7" fillId="0" borderId="32" xfId="0" applyNumberFormat="1" applyFont="1" applyBorder="1"/>
    <xf numFmtId="0" fontId="45" fillId="0" borderId="0" xfId="22">
      <alignment wrapText="1"/>
    </xf>
    <xf numFmtId="0" fontId="56" fillId="16" borderId="0" xfId="7" applyFont="1" applyAlignment="1">
      <alignment horizontal="center" vertical="center" wrapText="1"/>
    </xf>
    <xf numFmtId="194" fontId="56" fillId="16" borderId="0" xfId="7" applyNumberFormat="1" applyFont="1" applyAlignment="1">
      <alignment horizontal="center" vertical="center"/>
    </xf>
    <xf numFmtId="0" fontId="56" fillId="16" borderId="0" xfId="7" applyFont="1" applyAlignment="1">
      <alignment horizontal="center" vertical="center"/>
    </xf>
    <xf numFmtId="0" fontId="57" fillId="7" borderId="0" xfId="3" applyFont="1" applyAlignment="1">
      <alignment wrapText="1"/>
    </xf>
    <xf numFmtId="0" fontId="58" fillId="7" borderId="0" xfId="3" applyFont="1" applyAlignment="1">
      <alignment horizontal="center" vertical="center" wrapText="1"/>
    </xf>
    <xf numFmtId="0" fontId="59" fillId="0" borderId="0" xfId="0" applyFont="1"/>
    <xf numFmtId="0" fontId="60" fillId="34" borderId="33" xfId="22" applyFont="1" applyFill="1" applyBorder="1" applyAlignment="1">
      <alignment horizontal="right" vertical="top" wrapText="1" readingOrder="1"/>
    </xf>
    <xf numFmtId="0" fontId="60" fillId="34" borderId="0" xfId="22" applyFont="1" applyFill="1" applyAlignment="1">
      <alignment horizontal="right" vertical="top" wrapText="1" readingOrder="1"/>
    </xf>
    <xf numFmtId="0" fontId="59" fillId="29" borderId="0" xfId="22" applyFont="1" applyFill="1" applyAlignment="1">
      <alignment horizontal="right" vertical="top" wrapText="1" readingOrder="1"/>
    </xf>
    <xf numFmtId="0" fontId="59" fillId="29" borderId="34" xfId="22" applyFont="1" applyFill="1" applyBorder="1" applyAlignment="1">
      <alignment horizontal="right" vertical="top" wrapText="1" readingOrder="1"/>
    </xf>
    <xf numFmtId="0" fontId="0" fillId="0" borderId="0" xfId="23" applyFont="1"/>
    <xf numFmtId="0" fontId="15" fillId="0" borderId="0" xfId="23"/>
    <xf numFmtId="191" fontId="15" fillId="0" borderId="0" xfId="23" applyNumberFormat="1"/>
    <xf numFmtId="196" fontId="0" fillId="0" borderId="0" xfId="18" applyNumberFormat="1" applyFont="1"/>
    <xf numFmtId="0" fontId="61" fillId="0" borderId="35" xfId="0" applyFont="1" applyBorder="1"/>
    <xf numFmtId="196" fontId="61" fillId="0" borderId="35" xfId="0" applyNumberFormat="1" applyFont="1" applyBorder="1"/>
    <xf numFmtId="9" fontId="0" fillId="0" borderId="0" xfId="24" applyFont="1"/>
    <xf numFmtId="0" fontId="63" fillId="35" borderId="0" xfId="25" applyNumberFormat="1" applyFont="1" applyAlignment="1">
      <alignment horizontal="left" vertical="center" indent="1"/>
    </xf>
    <xf numFmtId="0" fontId="63" fillId="35" borderId="0" xfId="25" applyNumberFormat="1" applyFont="1" applyAlignment="1">
      <alignment horizontal="center" vertical="center"/>
    </xf>
    <xf numFmtId="182" fontId="63" fillId="35" borderId="0" xfId="25" applyNumberFormat="1" applyFont="1" applyAlignment="1">
      <alignment horizontal="center" vertical="center"/>
    </xf>
    <xf numFmtId="0" fontId="65" fillId="0" borderId="0" xfId="26" applyFont="1"/>
    <xf numFmtId="0" fontId="67" fillId="36" borderId="37" xfId="27" applyNumberFormat="1" applyFont="1" applyBorder="1">
      <alignment horizontal="left" vertical="center" indent="1"/>
    </xf>
    <xf numFmtId="0" fontId="68" fillId="36" borderId="38" xfId="27" applyNumberFormat="1" applyFont="1" applyBorder="1">
      <alignment horizontal="left" vertical="center" indent="1"/>
    </xf>
    <xf numFmtId="182" fontId="68" fillId="36" borderId="38" xfId="27" applyNumberFormat="1" applyFont="1" applyBorder="1">
      <alignment horizontal="left" vertical="center" indent="1"/>
    </xf>
    <xf numFmtId="0" fontId="68" fillId="36" borderId="39" xfId="27" applyNumberFormat="1" applyFont="1" applyBorder="1">
      <alignment horizontal="left" vertical="center" indent="1"/>
    </xf>
    <xf numFmtId="0" fontId="67" fillId="0" borderId="40" xfId="26" applyFont="1" applyBorder="1" applyAlignment="1">
      <alignment horizontal="left" indent="2"/>
    </xf>
    <xf numFmtId="0" fontId="67" fillId="0" borderId="37" xfId="26" applyFont="1" applyBorder="1" applyAlignment="1">
      <alignment horizontal="left" indent="2"/>
    </xf>
    <xf numFmtId="0" fontId="69" fillId="37" borderId="43" xfId="26" applyFont="1" applyFill="1" applyBorder="1" applyAlignment="1">
      <alignment horizontal="left" indent="2"/>
    </xf>
    <xf numFmtId="37" fontId="15" fillId="0" borderId="0" xfId="26" applyNumberFormat="1" applyFont="1" applyAlignment="1">
      <alignment horizontal="right"/>
    </xf>
    <xf numFmtId="37" fontId="32" fillId="0" borderId="0" xfId="26" applyNumberFormat="1" applyFont="1" applyAlignment="1">
      <alignment horizontal="right"/>
    </xf>
    <xf numFmtId="197" fontId="67" fillId="0" borderId="40" xfId="26" applyNumberFormat="1" applyFont="1" applyBorder="1" applyAlignment="1">
      <alignment horizontal="left" indent="2"/>
    </xf>
    <xf numFmtId="197" fontId="67" fillId="0" borderId="37" xfId="26" applyNumberFormat="1" applyFont="1" applyBorder="1" applyAlignment="1">
      <alignment horizontal="left" indent="2"/>
    </xf>
    <xf numFmtId="197" fontId="69" fillId="37" borderId="43" xfId="26" applyNumberFormat="1" applyFont="1" applyFill="1" applyBorder="1" applyAlignment="1">
      <alignment horizontal="left" indent="2"/>
    </xf>
    <xf numFmtId="37" fontId="70" fillId="0" borderId="0" xfId="26" applyNumberFormat="1" applyFont="1" applyAlignment="1">
      <alignment horizontal="right"/>
    </xf>
    <xf numFmtId="0" fontId="66" fillId="36" borderId="45" xfId="27" applyNumberFormat="1" applyBorder="1">
      <alignment horizontal="left" vertical="center" indent="1"/>
    </xf>
    <xf numFmtId="0" fontId="71" fillId="36" borderId="46" xfId="27" applyNumberFormat="1" applyFont="1" applyBorder="1">
      <alignment horizontal="left" vertical="center" indent="1"/>
    </xf>
    <xf numFmtId="182" fontId="71" fillId="36" borderId="46" xfId="27" applyNumberFormat="1" applyFont="1" applyBorder="1">
      <alignment horizontal="left" vertical="center" indent="1"/>
    </xf>
    <xf numFmtId="0" fontId="71" fillId="36" borderId="47" xfId="27" applyNumberFormat="1" applyFont="1" applyBorder="1">
      <alignment horizontal="left" vertical="center" indent="1"/>
    </xf>
    <xf numFmtId="0" fontId="67" fillId="0" borderId="48" xfId="26" applyFont="1" applyBorder="1" applyAlignment="1">
      <alignment horizontal="left" indent="2"/>
    </xf>
    <xf numFmtId="0" fontId="69" fillId="37" borderId="50" xfId="26" applyFont="1" applyFill="1" applyBorder="1" applyAlignment="1">
      <alignment horizontal="left" indent="2"/>
    </xf>
    <xf numFmtId="37" fontId="49" fillId="0" borderId="0" xfId="26" applyNumberFormat="1" applyFont="1" applyAlignment="1">
      <alignment horizontal="right"/>
    </xf>
    <xf numFmtId="0" fontId="62" fillId="35" borderId="0" xfId="25" applyNumberFormat="1">
      <alignment vertical="center"/>
    </xf>
    <xf numFmtId="182" fontId="62" fillId="35" borderId="0" xfId="25" applyNumberFormat="1" applyAlignment="1">
      <alignment horizontal="right" vertical="center"/>
    </xf>
    <xf numFmtId="0" fontId="69" fillId="0" borderId="53" xfId="26" applyFont="1" applyBorder="1" applyAlignment="1">
      <alignment horizontal="left" indent="1"/>
    </xf>
    <xf numFmtId="0" fontId="32" fillId="27" borderId="22" xfId="0" applyFont="1" applyFill="1" applyBorder="1" applyAlignment="1">
      <alignment horizontal="center" vertical="center"/>
    </xf>
    <xf numFmtId="0" fontId="32" fillId="27" borderId="22" xfId="0" applyFont="1" applyFill="1" applyBorder="1" applyAlignment="1">
      <alignment vertical="center"/>
    </xf>
    <xf numFmtId="0" fontId="72" fillId="0" borderId="0" xfId="0" applyFont="1"/>
    <xf numFmtId="0" fontId="4" fillId="0" borderId="0" xfId="4" applyAlignment="1" applyProtection="1">
      <alignment horizontal="left"/>
    </xf>
    <xf numFmtId="198" fontId="0" fillId="0" borderId="0" xfId="24" applyNumberFormat="1" applyFont="1" applyAlignment="1">
      <alignment horizontal="center"/>
    </xf>
    <xf numFmtId="194" fontId="0" fillId="0" borderId="0" xfId="0" applyNumberFormat="1" applyAlignment="1">
      <alignment horizontal="center"/>
    </xf>
    <xf numFmtId="180" fontId="0" fillId="25" borderId="20" xfId="0" applyNumberFormat="1" applyFill="1" applyBorder="1" applyAlignment="1">
      <alignment horizontal="right"/>
    </xf>
    <xf numFmtId="180" fontId="0" fillId="25" borderId="21" xfId="0" applyNumberFormat="1" applyFill="1" applyBorder="1" applyAlignment="1">
      <alignment horizontal="right"/>
    </xf>
    <xf numFmtId="0" fontId="12" fillId="12" borderId="0" xfId="0" applyFont="1" applyFill="1"/>
    <xf numFmtId="0" fontId="12" fillId="12" borderId="0" xfId="0" applyFont="1" applyFill="1" applyAlignment="1">
      <alignment horizontal="center"/>
    </xf>
    <xf numFmtId="165" fontId="12" fillId="12" borderId="0" xfId="0" applyNumberFormat="1" applyFont="1" applyFill="1" applyAlignment="1">
      <alignment horizontal="center"/>
    </xf>
    <xf numFmtId="1" fontId="12" fillId="12" borderId="0" xfId="0" applyNumberFormat="1" applyFont="1" applyFill="1" applyAlignment="1">
      <alignment horizontal="center"/>
    </xf>
    <xf numFmtId="0" fontId="25" fillId="11" borderId="17" xfId="0" applyFont="1" applyFill="1" applyBorder="1" applyAlignment="1">
      <alignment horizontal="center" vertical="center"/>
    </xf>
    <xf numFmtId="0" fontId="25" fillId="11" borderId="17" xfId="0" applyFont="1" applyFill="1" applyBorder="1" applyAlignment="1">
      <alignment horizontal="left" vertical="center"/>
    </xf>
    <xf numFmtId="0" fontId="74" fillId="0" borderId="0" xfId="0" applyFont="1"/>
    <xf numFmtId="14" fontId="12" fillId="12" borderId="0" xfId="0" applyNumberFormat="1" applyFont="1" applyFill="1" applyAlignment="1">
      <alignment horizontal="center"/>
    </xf>
    <xf numFmtId="0" fontId="18" fillId="0" borderId="3" xfId="0" applyFont="1" applyBorder="1" applyAlignment="1">
      <alignment horizontal="center"/>
    </xf>
    <xf numFmtId="0" fontId="18" fillId="0" borderId="12" xfId="0" applyFont="1" applyBorder="1"/>
    <xf numFmtId="0" fontId="16" fillId="16" borderId="31" xfId="7" applyBorder="1" applyAlignment="1">
      <alignment horizontal="center"/>
    </xf>
    <xf numFmtId="0" fontId="7" fillId="0" borderId="32" xfId="0" applyFont="1" applyBorder="1" applyAlignment="1">
      <alignment horizontal="center"/>
    </xf>
    <xf numFmtId="199" fontId="45" fillId="0" borderId="0" xfId="17" applyNumberFormat="1"/>
    <xf numFmtId="14" fontId="45" fillId="0" borderId="0" xfId="17" applyNumberFormat="1"/>
    <xf numFmtId="200" fontId="0" fillId="0" borderId="0" xfId="0" applyNumberFormat="1" applyAlignment="1">
      <alignment horizontal="left"/>
    </xf>
    <xf numFmtId="14" fontId="18" fillId="0" borderId="0" xfId="0" applyNumberFormat="1" applyFont="1"/>
    <xf numFmtId="14" fontId="18" fillId="25" borderId="0" xfId="0" applyNumberFormat="1" applyFont="1" applyFill="1"/>
    <xf numFmtId="0" fontId="18" fillId="25" borderId="0" xfId="0" applyFont="1" applyFill="1"/>
    <xf numFmtId="166" fontId="18" fillId="0" borderId="0" xfId="0" applyNumberFormat="1" applyFont="1"/>
    <xf numFmtId="0" fontId="6" fillId="13" borderId="55" xfId="0" applyFont="1" applyFill="1" applyBorder="1" applyAlignment="1">
      <alignment horizontal="center" vertical="center" wrapText="1"/>
    </xf>
    <xf numFmtId="49" fontId="6" fillId="13" borderId="55" xfId="0" quotePrefix="1" applyNumberFormat="1" applyFont="1" applyFill="1" applyBorder="1" applyAlignment="1">
      <alignment horizontal="center" vertical="center"/>
    </xf>
    <xf numFmtId="49" fontId="6" fillId="13" borderId="55" xfId="0" applyNumberFormat="1" applyFont="1" applyFill="1" applyBorder="1" applyAlignment="1">
      <alignment horizontal="center" vertical="center"/>
    </xf>
    <xf numFmtId="0" fontId="76" fillId="7" borderId="0" xfId="3" applyFont="1" applyAlignment="1">
      <alignment horizontal="center" vertical="center" wrapText="1"/>
    </xf>
    <xf numFmtId="9" fontId="76" fillId="7" borderId="0" xfId="24" applyFont="1" applyFill="1" applyAlignment="1">
      <alignment horizontal="center" vertical="center" wrapText="1"/>
    </xf>
    <xf numFmtId="0" fontId="76" fillId="7" borderId="0" xfId="3" applyFont="1" applyAlignment="1">
      <alignment vertical="center" wrapText="1"/>
    </xf>
    <xf numFmtId="0" fontId="76" fillId="7" borderId="0" xfId="24" applyNumberFormat="1" applyFont="1" applyFill="1" applyAlignment="1">
      <alignment horizontal="center" vertical="center" wrapText="1"/>
    </xf>
    <xf numFmtId="0" fontId="0" fillId="0" borderId="0" xfId="0" applyAlignment="1">
      <alignment horizontal="center" wrapText="1"/>
    </xf>
    <xf numFmtId="183" fontId="0" fillId="0" borderId="0" xfId="0" applyNumberFormat="1"/>
    <xf numFmtId="9" fontId="0" fillId="0" borderId="0" xfId="24" applyFont="1" applyFill="1" applyBorder="1"/>
    <xf numFmtId="9" fontId="33" fillId="0" borderId="0" xfId="24" applyFont="1" applyFill="1" applyBorder="1"/>
    <xf numFmtId="201" fontId="0" fillId="0" borderId="0" xfId="0" applyNumberFormat="1"/>
    <xf numFmtId="9" fontId="33" fillId="0" borderId="0" xfId="0" applyNumberFormat="1" applyFont="1"/>
    <xf numFmtId="201" fontId="0" fillId="0" borderId="0" xfId="24" applyNumberFormat="1" applyFont="1" applyFill="1" applyBorder="1"/>
    <xf numFmtId="165" fontId="0" fillId="0" borderId="0" xfId="0" applyNumberFormat="1" applyAlignment="1">
      <alignment vertical="center"/>
    </xf>
    <xf numFmtId="14" fontId="0" fillId="0" borderId="0" xfId="0" applyNumberFormat="1" applyAlignment="1">
      <alignment vertical="center"/>
    </xf>
    <xf numFmtId="0" fontId="77" fillId="0" borderId="0" xfId="0" applyFont="1" applyAlignment="1">
      <alignment horizontal="center" vertical="top"/>
    </xf>
    <xf numFmtId="0" fontId="77" fillId="0" borderId="0" xfId="0" applyFont="1" applyAlignment="1">
      <alignment horizontal="right" vertical="top"/>
    </xf>
    <xf numFmtId="0" fontId="78" fillId="0" borderId="0" xfId="0" applyFont="1" applyAlignment="1">
      <alignment horizontal="center"/>
    </xf>
    <xf numFmtId="49" fontId="79" fillId="0" borderId="0" xfId="0" applyNumberFormat="1" applyFont="1"/>
    <xf numFmtId="0" fontId="78" fillId="0" borderId="0" xfId="0" applyFont="1" applyAlignment="1">
      <alignment horizontal="right"/>
    </xf>
    <xf numFmtId="49" fontId="79" fillId="0" borderId="0" xfId="0" quotePrefix="1" applyNumberFormat="1" applyFont="1"/>
    <xf numFmtId="0" fontId="79" fillId="0" borderId="0" xfId="0" applyFont="1"/>
    <xf numFmtId="49" fontId="78" fillId="0" borderId="0" xfId="0" applyNumberFormat="1" applyFont="1"/>
    <xf numFmtId="0" fontId="4" fillId="0" borderId="0" xfId="4" applyAlignment="1" applyProtection="1"/>
    <xf numFmtId="0" fontId="10" fillId="0" borderId="56" xfId="0" applyFont="1" applyBorder="1" applyAlignment="1">
      <alignment horizontal="left"/>
    </xf>
    <xf numFmtId="0" fontId="10" fillId="0" borderId="2" xfId="0" applyFont="1" applyBorder="1" applyAlignment="1">
      <alignment horizontal="left"/>
    </xf>
    <xf numFmtId="175" fontId="7" fillId="0" borderId="2" xfId="0" applyNumberFormat="1" applyFont="1" applyBorder="1" applyAlignment="1">
      <alignment horizontal="center"/>
    </xf>
    <xf numFmtId="174" fontId="7" fillId="0" borderId="2" xfId="0" applyNumberFormat="1" applyFont="1" applyBorder="1" applyAlignment="1">
      <alignment horizontal="center"/>
    </xf>
    <xf numFmtId="0" fontId="7" fillId="0" borderId="2" xfId="0" applyFont="1" applyBorder="1" applyAlignment="1">
      <alignment horizontal="center"/>
    </xf>
    <xf numFmtId="173" fontId="10" fillId="0" borderId="2" xfId="0" applyNumberFormat="1" applyFont="1" applyBorder="1" applyAlignment="1">
      <alignment horizontal="center" vertical="center"/>
    </xf>
    <xf numFmtId="0" fontId="10" fillId="0" borderId="2" xfId="0" applyFont="1" applyBorder="1" applyAlignment="1">
      <alignment horizontal="left" vertical="center"/>
    </xf>
    <xf numFmtId="172" fontId="10" fillId="0" borderId="2" xfId="0" applyNumberFormat="1" applyFont="1" applyBorder="1" applyAlignment="1">
      <alignment horizontal="center"/>
    </xf>
    <xf numFmtId="0" fontId="10" fillId="0" borderId="2" xfId="0" applyFont="1" applyBorder="1" applyAlignment="1">
      <alignment horizontal="left" wrapText="1"/>
    </xf>
    <xf numFmtId="171" fontId="10" fillId="0" borderId="2" xfId="0" applyNumberFormat="1" applyFont="1" applyBorder="1" applyAlignment="1">
      <alignment horizontal="center"/>
    </xf>
    <xf numFmtId="170" fontId="10" fillId="0" borderId="2" xfId="0" applyNumberFormat="1" applyFont="1" applyBorder="1" applyAlignment="1">
      <alignment horizontal="center"/>
    </xf>
    <xf numFmtId="169" fontId="10" fillId="0" borderId="2" xfId="0" applyNumberFormat="1" applyFont="1" applyBorder="1" applyAlignment="1">
      <alignment horizontal="center"/>
    </xf>
    <xf numFmtId="176" fontId="7" fillId="0" borderId="56" xfId="0" applyNumberFormat="1" applyFont="1" applyBorder="1" applyAlignment="1">
      <alignment horizontal="center"/>
    </xf>
    <xf numFmtId="0" fontId="6" fillId="6" borderId="0" xfId="2" applyFont="1" applyBorder="1" applyAlignment="1">
      <alignment vertical="center"/>
    </xf>
    <xf numFmtId="0" fontId="6" fillId="6" borderId="0" xfId="2" applyFont="1" applyBorder="1" applyAlignment="1">
      <alignment horizontal="center" vertical="center"/>
    </xf>
    <xf numFmtId="0" fontId="7" fillId="0" borderId="0" xfId="0" applyFont="1" applyAlignment="1">
      <alignment horizontal="left"/>
    </xf>
    <xf numFmtId="0" fontId="7" fillId="0" borderId="56" xfId="2" applyFont="1" applyFill="1" applyBorder="1" applyAlignment="1"/>
    <xf numFmtId="14" fontId="7" fillId="0" borderId="2" xfId="2" applyNumberFormat="1" applyFont="1" applyFill="1" applyBorder="1" applyAlignment="1"/>
    <xf numFmtId="0" fontId="7" fillId="0" borderId="2" xfId="2" applyFont="1" applyFill="1" applyBorder="1" applyAlignment="1">
      <alignment vertical="top" wrapText="1"/>
    </xf>
    <xf numFmtId="0" fontId="7" fillId="0" borderId="2" xfId="2" applyFont="1" applyFill="1" applyBorder="1" applyAlignment="1"/>
    <xf numFmtId="0" fontId="7" fillId="0" borderId="2" xfId="0" applyFont="1" applyBorder="1"/>
    <xf numFmtId="202" fontId="7" fillId="0" borderId="2" xfId="0" applyNumberFormat="1" applyFont="1" applyBorder="1" applyAlignment="1">
      <alignment horizontal="center"/>
    </xf>
    <xf numFmtId="203" fontId="7" fillId="0" borderId="2" xfId="0" applyNumberFormat="1" applyFont="1" applyBorder="1"/>
    <xf numFmtId="204" fontId="7" fillId="0" borderId="2" xfId="0" applyNumberFormat="1" applyFont="1" applyBorder="1"/>
    <xf numFmtId="205" fontId="7" fillId="0" borderId="2" xfId="0" applyNumberFormat="1" applyFont="1" applyBorder="1" applyAlignment="1">
      <alignment horizontal="center"/>
    </xf>
    <xf numFmtId="0" fontId="7" fillId="0" borderId="2" xfId="0" quotePrefix="1" applyFont="1" applyBorder="1" applyAlignment="1">
      <alignment horizontal="center"/>
    </xf>
    <xf numFmtId="0" fontId="13" fillId="0" borderId="0" xfId="2" applyFont="1" applyFill="1" applyBorder="1" applyAlignment="1">
      <alignment horizontal="left"/>
    </xf>
    <xf numFmtId="0" fontId="6" fillId="38" borderId="0" xfId="0" applyFont="1" applyFill="1" applyAlignment="1">
      <alignment vertical="center"/>
    </xf>
    <xf numFmtId="0" fontId="6" fillId="38" borderId="0" xfId="2" applyFont="1" applyFill="1" applyBorder="1" applyAlignment="1">
      <alignment horizontal="left" vertical="center"/>
    </xf>
    <xf numFmtId="0" fontId="6" fillId="38" borderId="0" xfId="2" applyFont="1" applyFill="1" applyBorder="1" applyAlignment="1">
      <alignment vertical="center"/>
    </xf>
    <xf numFmtId="0" fontId="7" fillId="38" borderId="2" xfId="2" applyFont="1" applyFill="1" applyBorder="1" applyAlignment="1">
      <alignment horizontal="left"/>
    </xf>
    <xf numFmtId="0" fontId="26" fillId="0" borderId="0" xfId="0" quotePrefix="1" applyFont="1"/>
    <xf numFmtId="0" fontId="80" fillId="0" borderId="0" xfId="0" applyFont="1"/>
    <xf numFmtId="0" fontId="75" fillId="38" borderId="0" xfId="2" applyFont="1" applyFill="1" applyBorder="1" applyAlignment="1">
      <alignment horizontal="left" vertical="center" wrapText="1"/>
    </xf>
    <xf numFmtId="0" fontId="38" fillId="0" borderId="0" xfId="0" applyFont="1"/>
    <xf numFmtId="0" fontId="7" fillId="0" borderId="56" xfId="0" applyFont="1" applyBorder="1"/>
    <xf numFmtId="0" fontId="81" fillId="0" borderId="0" xfId="0" applyFont="1"/>
    <xf numFmtId="0" fontId="6" fillId="0" borderId="0" xfId="0" applyFont="1" applyAlignment="1">
      <alignment horizontal="center"/>
    </xf>
    <xf numFmtId="0" fontId="6" fillId="0" borderId="0" xfId="0" applyFont="1"/>
    <xf numFmtId="0" fontId="6" fillId="0" borderId="0" xfId="0" applyFont="1" applyAlignment="1">
      <alignment vertical="center"/>
    </xf>
    <xf numFmtId="0" fontId="8" fillId="0" borderId="0" xfId="0" applyFont="1"/>
    <xf numFmtId="0" fontId="9" fillId="0" borderId="0" xfId="0" applyFont="1" applyAlignment="1">
      <alignment wrapText="1"/>
    </xf>
    <xf numFmtId="186" fontId="80" fillId="0" borderId="0" xfId="0" applyNumberFormat="1" applyFont="1" applyAlignment="1">
      <alignment vertical="top" wrapText="1"/>
    </xf>
    <xf numFmtId="0" fontId="80" fillId="0" borderId="0" xfId="0" applyFont="1" applyAlignment="1">
      <alignment vertical="center" wrapText="1"/>
    </xf>
    <xf numFmtId="206" fontId="80" fillId="0" borderId="0" xfId="0" applyNumberFormat="1" applyFont="1" applyAlignment="1">
      <alignment vertical="top" wrapText="1"/>
    </xf>
    <xf numFmtId="187" fontId="80" fillId="0" borderId="0" xfId="0" applyNumberFormat="1" applyFont="1" applyAlignment="1">
      <alignment vertical="top" wrapText="1"/>
    </xf>
    <xf numFmtId="188" fontId="80" fillId="0" borderId="0" xfId="0" applyNumberFormat="1" applyFont="1" applyAlignment="1">
      <alignment vertical="top" wrapText="1"/>
    </xf>
    <xf numFmtId="189" fontId="80" fillId="0" borderId="0" xfId="0" applyNumberFormat="1" applyFont="1" applyAlignment="1">
      <alignment vertical="top" wrapText="1"/>
    </xf>
    <xf numFmtId="0" fontId="80" fillId="0" borderId="0" xfId="0" quotePrefix="1" applyFont="1"/>
    <xf numFmtId="190" fontId="80" fillId="0" borderId="0" xfId="0" applyNumberFormat="1" applyFont="1" applyAlignment="1">
      <alignment vertical="top" wrapText="1"/>
    </xf>
    <xf numFmtId="207" fontId="80" fillId="0" borderId="0" xfId="0" applyNumberFormat="1" applyFont="1" applyAlignment="1">
      <alignment vertical="top" wrapText="1"/>
    </xf>
    <xf numFmtId="208" fontId="80" fillId="0" borderId="0" xfId="0" applyNumberFormat="1" applyFont="1" applyAlignment="1">
      <alignment vertical="top" wrapText="1"/>
    </xf>
    <xf numFmtId="209" fontId="80" fillId="0" borderId="0" xfId="0" applyNumberFormat="1" applyFont="1" applyAlignment="1">
      <alignment vertical="top" wrapText="1"/>
    </xf>
    <xf numFmtId="210" fontId="80" fillId="0" borderId="0" xfId="0" applyNumberFormat="1" applyFont="1" applyAlignment="1">
      <alignment vertical="top" wrapText="1"/>
    </xf>
    <xf numFmtId="211" fontId="80" fillId="0" borderId="0" xfId="0" applyNumberFormat="1" applyFont="1" applyAlignment="1">
      <alignment vertical="top" wrapText="1"/>
    </xf>
    <xf numFmtId="212" fontId="80" fillId="0" borderId="0" xfId="0" applyNumberFormat="1" applyFont="1" applyAlignment="1">
      <alignment vertical="top" wrapText="1"/>
    </xf>
    <xf numFmtId="0" fontId="83" fillId="0" borderId="0" xfId="0" applyFont="1" applyAlignment="1">
      <alignment horizontal="center" wrapText="1"/>
    </xf>
    <xf numFmtId="0" fontId="83" fillId="0" borderId="0" xfId="0" applyFont="1" applyAlignment="1">
      <alignment horizontal="left"/>
    </xf>
    <xf numFmtId="0" fontId="83" fillId="0" borderId="0" xfId="0" applyFont="1" applyAlignment="1">
      <alignment horizontal="left" wrapText="1"/>
    </xf>
    <xf numFmtId="0" fontId="83" fillId="0" borderId="0" xfId="0" applyFont="1" applyAlignment="1">
      <alignment horizontal="right"/>
    </xf>
    <xf numFmtId="213" fontId="80" fillId="0" borderId="0" xfId="0" applyNumberFormat="1" applyFont="1" applyAlignment="1">
      <alignment vertical="top" wrapText="1"/>
    </xf>
    <xf numFmtId="185" fontId="80" fillId="0" borderId="0" xfId="18" applyNumberFormat="1" applyFont="1" applyAlignment="1">
      <alignment horizontal="center"/>
    </xf>
    <xf numFmtId="214" fontId="45" fillId="0" borderId="0" xfId="16" applyNumberFormat="1" applyFont="1"/>
    <xf numFmtId="0" fontId="84" fillId="6" borderId="0" xfId="2" applyFont="1" applyAlignment="1">
      <alignment horizontal="center" vertical="center"/>
    </xf>
    <xf numFmtId="184" fontId="0" fillId="0" borderId="0" xfId="0" applyNumberFormat="1"/>
    <xf numFmtId="0" fontId="45" fillId="0" borderId="0" xfId="0" applyFont="1"/>
    <xf numFmtId="0" fontId="45" fillId="0" borderId="0" xfId="0" applyFont="1" applyAlignment="1">
      <alignment horizontal="center"/>
    </xf>
    <xf numFmtId="0" fontId="16" fillId="16" borderId="0" xfId="7" applyAlignment="1">
      <alignment horizontal="center"/>
    </xf>
    <xf numFmtId="10" fontId="0" fillId="0" borderId="0" xfId="24" applyNumberFormat="1" applyFont="1"/>
    <xf numFmtId="215" fontId="67" fillId="0" borderId="40" xfId="26" applyNumberFormat="1" applyFont="1" applyBorder="1" applyAlignment="1">
      <alignment horizontal="right"/>
    </xf>
    <xf numFmtId="215" fontId="67" fillId="37" borderId="41" xfId="26" applyNumberFormat="1" applyFont="1" applyFill="1" applyBorder="1" applyAlignment="1">
      <alignment horizontal="right"/>
    </xf>
    <xf numFmtId="215" fontId="67" fillId="37" borderId="42" xfId="26" applyNumberFormat="1" applyFont="1" applyFill="1" applyBorder="1" applyAlignment="1">
      <alignment horizontal="right"/>
    </xf>
    <xf numFmtId="215" fontId="69" fillId="37" borderId="43" xfId="26" applyNumberFormat="1" applyFont="1" applyFill="1" applyBorder="1"/>
    <xf numFmtId="215" fontId="69" fillId="37" borderId="44" xfId="26" applyNumberFormat="1" applyFont="1" applyFill="1" applyBorder="1"/>
    <xf numFmtId="215" fontId="67" fillId="0" borderId="37" xfId="26" applyNumberFormat="1" applyFont="1" applyBorder="1" applyAlignment="1">
      <alignment horizontal="right"/>
    </xf>
    <xf numFmtId="215" fontId="69" fillId="37" borderId="43" xfId="26" applyNumberFormat="1" applyFont="1" applyFill="1" applyBorder="1" applyAlignment="1">
      <alignment horizontal="right"/>
    </xf>
    <xf numFmtId="215" fontId="69" fillId="37" borderId="44" xfId="26" applyNumberFormat="1" applyFont="1" applyFill="1" applyBorder="1" applyAlignment="1">
      <alignment horizontal="right"/>
    </xf>
    <xf numFmtId="215" fontId="67" fillId="0" borderId="48" xfId="26" applyNumberFormat="1" applyFont="1" applyBorder="1" applyAlignment="1">
      <alignment horizontal="right"/>
    </xf>
    <xf numFmtId="215" fontId="67" fillId="37" borderId="49" xfId="26" applyNumberFormat="1" applyFont="1" applyFill="1" applyBorder="1" applyAlignment="1">
      <alignment horizontal="right"/>
    </xf>
    <xf numFmtId="215" fontId="69" fillId="37" borderId="51" xfId="26" applyNumberFormat="1" applyFont="1" applyFill="1" applyBorder="1" applyAlignment="1">
      <alignment horizontal="right"/>
    </xf>
    <xf numFmtId="215" fontId="69" fillId="37" borderId="52" xfId="26" applyNumberFormat="1" applyFont="1" applyFill="1" applyBorder="1" applyAlignment="1">
      <alignment horizontal="right"/>
    </xf>
    <xf numFmtId="215" fontId="69" fillId="37" borderId="53" xfId="26" applyNumberFormat="1" applyFont="1" applyFill="1" applyBorder="1" applyAlignment="1">
      <alignment horizontal="right"/>
    </xf>
    <xf numFmtId="215" fontId="69" fillId="0" borderId="53" xfId="26" applyNumberFormat="1" applyFont="1" applyBorder="1" applyAlignment="1">
      <alignment horizontal="right"/>
    </xf>
    <xf numFmtId="216" fontId="0" fillId="0" borderId="0" xfId="0" applyNumberFormat="1"/>
    <xf numFmtId="195" fontId="15" fillId="15" borderId="0" xfId="23" applyNumberFormat="1" applyFill="1"/>
    <xf numFmtId="217" fontId="15" fillId="0" borderId="0" xfId="23" applyNumberFormat="1"/>
    <xf numFmtId="0" fontId="33" fillId="0" borderId="0" xfId="17" applyFont="1"/>
    <xf numFmtId="0" fontId="15" fillId="0" borderId="0" xfId="23" applyAlignment="1">
      <alignment horizontal="center"/>
    </xf>
    <xf numFmtId="0" fontId="73" fillId="0" borderId="54" xfId="28"/>
    <xf numFmtId="0" fontId="73" fillId="0" borderId="54" xfId="28" applyFill="1" applyAlignment="1">
      <alignment horizontal="left" vertical="center"/>
    </xf>
    <xf numFmtId="0" fontId="34" fillId="39" borderId="0" xfId="0" applyFont="1" applyFill="1" applyAlignment="1">
      <alignment horizontal="center" vertical="center" wrapText="1"/>
    </xf>
    <xf numFmtId="0" fontId="15" fillId="40" borderId="9" xfId="29" applyBorder="1" applyAlignment="1">
      <alignment horizontal="center" vertical="center" wrapText="1"/>
    </xf>
    <xf numFmtId="165" fontId="15" fillId="40" borderId="9" xfId="29" applyNumberFormat="1" applyBorder="1" applyAlignment="1">
      <alignment horizontal="center" vertical="center" wrapText="1"/>
    </xf>
    <xf numFmtId="219" fontId="0" fillId="0" borderId="0" xfId="31" applyNumberFormat="1" applyFont="1"/>
    <xf numFmtId="9" fontId="0" fillId="0" borderId="0" xfId="24" applyFont="1" applyAlignment="1">
      <alignment horizontal="center"/>
    </xf>
    <xf numFmtId="219" fontId="0" fillId="0" borderId="0" xfId="31" applyNumberFormat="1" applyFont="1" applyAlignment="1">
      <alignment horizontal="center"/>
    </xf>
    <xf numFmtId="183" fontId="0" fillId="0" borderId="0" xfId="31" applyNumberFormat="1" applyFont="1"/>
    <xf numFmtId="0" fontId="35" fillId="30" borderId="0" xfId="19" applyNumberFormat="1" applyFont="1"/>
    <xf numFmtId="0" fontId="42" fillId="0" borderId="23" xfId="14" applyNumberFormat="1" applyFill="1"/>
    <xf numFmtId="219" fontId="42" fillId="0" borderId="23" xfId="14" applyNumberFormat="1"/>
    <xf numFmtId="1" fontId="0" fillId="0" borderId="0" xfId="0" applyNumberFormat="1"/>
    <xf numFmtId="0" fontId="32" fillId="0" borderId="56" xfId="0" applyFont="1" applyBorder="1"/>
    <xf numFmtId="10" fontId="0" fillId="0" borderId="0" xfId="0" applyNumberFormat="1"/>
    <xf numFmtId="198" fontId="0" fillId="0" borderId="0" xfId="24" applyNumberFormat="1" applyFont="1"/>
    <xf numFmtId="0" fontId="85" fillId="6" borderId="0" xfId="2" applyFont="1"/>
    <xf numFmtId="0" fontId="22" fillId="13" borderId="0" xfId="0" applyFont="1" applyFill="1"/>
    <xf numFmtId="0" fontId="6" fillId="15" borderId="0" xfId="0" applyFont="1" applyFill="1"/>
    <xf numFmtId="0" fontId="86" fillId="15" borderId="0" xfId="0" applyFont="1" applyFill="1" applyAlignment="1">
      <alignment horizontal="center"/>
    </xf>
    <xf numFmtId="0" fontId="22" fillId="13" borderId="0" xfId="0" applyFont="1" applyFill="1" applyAlignment="1">
      <alignment horizontal="center"/>
    </xf>
    <xf numFmtId="0" fontId="15" fillId="41" borderId="0" xfId="30"/>
    <xf numFmtId="0" fontId="35" fillId="30" borderId="0" xfId="19" applyNumberFormat="1" applyFont="1" applyAlignment="1">
      <alignment horizontal="center"/>
    </xf>
    <xf numFmtId="0" fontId="35" fillId="43" borderId="0" xfId="0" applyFont="1" applyFill="1" applyAlignment="1">
      <alignment horizontal="center"/>
    </xf>
    <xf numFmtId="0" fontId="0" fillId="0" borderId="0" xfId="0" quotePrefix="1"/>
    <xf numFmtId="0" fontId="15" fillId="42" borderId="0" xfId="32"/>
    <xf numFmtId="0" fontId="15" fillId="42" borderId="0" xfId="32" quotePrefix="1"/>
    <xf numFmtId="220" fontId="0" fillId="0" borderId="0" xfId="0" applyNumberFormat="1"/>
    <xf numFmtId="221" fontId="0" fillId="0" borderId="0" xfId="0" applyNumberFormat="1"/>
    <xf numFmtId="222" fontId="0" fillId="0" borderId="0" xfId="0" applyNumberFormat="1"/>
    <xf numFmtId="0" fontId="35" fillId="43" borderId="0" xfId="0" applyFont="1" applyFill="1" applyAlignment="1">
      <alignment horizontal="right"/>
    </xf>
    <xf numFmtId="0" fontId="73" fillId="0" borderId="54" xfId="28" applyAlignment="1">
      <alignment horizontal="centerContinuous"/>
    </xf>
    <xf numFmtId="0" fontId="73" fillId="0" borderId="54" xfId="28" applyAlignment="1">
      <alignment horizontal="left"/>
    </xf>
    <xf numFmtId="0" fontId="43" fillId="0" borderId="24" xfId="15"/>
    <xf numFmtId="0" fontId="87" fillId="0" borderId="57" xfId="0" applyFont="1" applyBorder="1"/>
    <xf numFmtId="0" fontId="31" fillId="44" borderId="58" xfId="0" applyFont="1" applyFill="1" applyBorder="1"/>
    <xf numFmtId="0" fontId="35" fillId="45" borderId="0" xfId="0" applyFont="1" applyFill="1"/>
    <xf numFmtId="0" fontId="0" fillId="11" borderId="0" xfId="0" applyFill="1"/>
    <xf numFmtId="0" fontId="0" fillId="11" borderId="0" xfId="0" applyFill="1" applyAlignment="1">
      <alignment horizontal="center"/>
    </xf>
    <xf numFmtId="183" fontId="0" fillId="11" borderId="0" xfId="31" applyNumberFormat="1" applyFont="1" applyFill="1"/>
    <xf numFmtId="10" fontId="0" fillId="11" borderId="0" xfId="24" applyNumberFormat="1" applyFont="1" applyFill="1"/>
    <xf numFmtId="0" fontId="0" fillId="29" borderId="0" xfId="0" applyFill="1"/>
    <xf numFmtId="0" fontId="35" fillId="45" borderId="0" xfId="0" applyFont="1" applyFill="1" applyAlignment="1">
      <alignment horizontal="center"/>
    </xf>
    <xf numFmtId="0" fontId="43" fillId="0" borderId="24" xfId="15" applyAlignment="1">
      <alignment horizontal="right"/>
    </xf>
    <xf numFmtId="219" fontId="43" fillId="0" borderId="24" xfId="15" applyNumberFormat="1" applyAlignment="1">
      <alignment horizontal="right"/>
    </xf>
    <xf numFmtId="9" fontId="43" fillId="0" borderId="24" xfId="15" applyNumberFormat="1" applyAlignment="1">
      <alignment horizontal="right"/>
    </xf>
    <xf numFmtId="219" fontId="0" fillId="29" borderId="0" xfId="31" applyNumberFormat="1" applyFont="1" applyFill="1"/>
    <xf numFmtId="0" fontId="88" fillId="22" borderId="4" xfId="0" applyFont="1" applyFill="1" applyBorder="1"/>
    <xf numFmtId="49" fontId="88" fillId="22" borderId="4" xfId="0" applyNumberFormat="1" applyFont="1" applyFill="1" applyBorder="1"/>
    <xf numFmtId="0" fontId="10" fillId="0" borderId="0" xfId="0" applyFont="1" applyAlignment="1">
      <alignment horizontal="right"/>
    </xf>
    <xf numFmtId="0" fontId="10" fillId="0" borderId="0" xfId="0" applyFont="1" applyAlignment="1">
      <alignment horizontal="left"/>
    </xf>
    <xf numFmtId="9" fontId="10" fillId="0" borderId="0" xfId="0" applyNumberFormat="1" applyFont="1" applyAlignment="1">
      <alignment horizontal="right"/>
    </xf>
    <xf numFmtId="183" fontId="0" fillId="29" borderId="0" xfId="31" applyNumberFormat="1" applyFont="1" applyFill="1"/>
    <xf numFmtId="0" fontId="43" fillId="0" borderId="24" xfId="15" applyAlignment="1">
      <alignment horizontal="center"/>
    </xf>
    <xf numFmtId="0" fontId="0" fillId="46" borderId="0" xfId="0" applyFill="1"/>
    <xf numFmtId="0" fontId="0" fillId="47" borderId="0" xfId="0" applyFill="1"/>
    <xf numFmtId="0" fontId="65" fillId="0" borderId="0" xfId="33"/>
    <xf numFmtId="0" fontId="90" fillId="0" borderId="0" xfId="33" applyFont="1"/>
    <xf numFmtId="14" fontId="90" fillId="0" borderId="0" xfId="33" applyNumberFormat="1" applyFont="1"/>
    <xf numFmtId="218" fontId="90" fillId="0" borderId="0" xfId="34" applyFont="1" applyFill="1"/>
    <xf numFmtId="0" fontId="91" fillId="0" borderId="7" xfId="33" applyFont="1" applyBorder="1"/>
    <xf numFmtId="0" fontId="48" fillId="13" borderId="0" xfId="0" applyFont="1" applyFill="1" applyAlignment="1">
      <alignment horizontal="center" vertical="center"/>
    </xf>
    <xf numFmtId="0" fontId="15" fillId="0" borderId="0" xfId="33" applyFont="1"/>
    <xf numFmtId="0" fontId="92" fillId="0" borderId="0" xfId="4" applyFont="1" applyAlignment="1" applyProtection="1">
      <alignment vertical="center"/>
    </xf>
    <xf numFmtId="218" fontId="0" fillId="0" borderId="1" xfId="34" applyFont="1" applyBorder="1"/>
    <xf numFmtId="14" fontId="0" fillId="0" borderId="1" xfId="0" applyNumberFormat="1" applyBorder="1"/>
    <xf numFmtId="219" fontId="0" fillId="0" borderId="1" xfId="34" applyNumberFormat="1" applyFont="1" applyBorder="1"/>
    <xf numFmtId="0" fontId="0" fillId="0" borderId="1" xfId="0" applyBorder="1" applyAlignment="1">
      <alignment horizontal="center"/>
    </xf>
    <xf numFmtId="0" fontId="65" fillId="0" borderId="0" xfId="33" applyAlignment="1">
      <alignment horizontal="center"/>
    </xf>
    <xf numFmtId="0" fontId="93" fillId="47" borderId="1" xfId="0" applyFont="1" applyFill="1" applyBorder="1"/>
    <xf numFmtId="0" fontId="93" fillId="11" borderId="1" xfId="0" applyFont="1" applyFill="1" applyBorder="1"/>
    <xf numFmtId="223" fontId="0" fillId="0" borderId="0" xfId="0" applyNumberFormat="1"/>
    <xf numFmtId="0" fontId="15" fillId="47" borderId="0" xfId="33" applyFont="1" applyFill="1"/>
    <xf numFmtId="0" fontId="65" fillId="47" borderId="0" xfId="33" applyFill="1"/>
    <xf numFmtId="0" fontId="32" fillId="0" borderId="0" xfId="0" applyFont="1"/>
    <xf numFmtId="224" fontId="0" fillId="0" borderId="0" xfId="0" applyNumberFormat="1"/>
    <xf numFmtId="0" fontId="35" fillId="27" borderId="0" xfId="0" applyFont="1" applyFill="1"/>
    <xf numFmtId="9" fontId="0" fillId="0" borderId="0" xfId="0" applyNumberFormat="1"/>
    <xf numFmtId="4" fontId="0" fillId="0" borderId="0" xfId="0" quotePrefix="1" applyNumberFormat="1"/>
    <xf numFmtId="225" fontId="0" fillId="0" borderId="0" xfId="0" applyNumberFormat="1"/>
    <xf numFmtId="226" fontId="0" fillId="0" borderId="0" xfId="0" applyNumberFormat="1"/>
    <xf numFmtId="0" fontId="15" fillId="48" borderId="0" xfId="35" applyAlignment="1">
      <alignment horizontal="center"/>
    </xf>
    <xf numFmtId="0" fontId="35" fillId="48" borderId="0" xfId="35" applyFont="1" applyAlignment="1">
      <alignment horizontal="center"/>
    </xf>
    <xf numFmtId="0" fontId="35" fillId="45" borderId="13" xfId="0" applyFont="1" applyFill="1" applyBorder="1" applyAlignment="1">
      <alignment horizontal="center"/>
    </xf>
    <xf numFmtId="0" fontId="25" fillId="11" borderId="14" xfId="0" applyFont="1" applyFill="1" applyBorder="1" applyAlignment="1">
      <alignment horizontal="center" vertical="center"/>
    </xf>
    <xf numFmtId="0" fontId="31" fillId="26" borderId="0" xfId="0" applyFont="1" applyFill="1" applyAlignment="1">
      <alignment horizontal="center"/>
    </xf>
    <xf numFmtId="167" fontId="18" fillId="0" borderId="0" xfId="0" applyNumberFormat="1" applyFont="1" applyAlignment="1">
      <alignment horizontal="center"/>
    </xf>
    <xf numFmtId="0" fontId="37" fillId="29" borderId="0" xfId="17" applyFont="1" applyFill="1"/>
    <xf numFmtId="0" fontId="43" fillId="0" borderId="24" xfId="15" applyAlignment="1">
      <alignment horizontal="center"/>
    </xf>
    <xf numFmtId="0" fontId="42" fillId="0" borderId="23" xfId="14"/>
    <xf numFmtId="0" fontId="60" fillId="34" borderId="0" xfId="22" applyFont="1" applyFill="1" applyAlignment="1">
      <alignment horizontal="left" vertical="top" wrapText="1" readingOrder="1"/>
    </xf>
    <xf numFmtId="0" fontId="42" fillId="28" borderId="23" xfId="14" applyFill="1" applyAlignment="1">
      <alignment horizontal="center"/>
    </xf>
    <xf numFmtId="0" fontId="32" fillId="0" borderId="38" xfId="26" applyFont="1" applyBorder="1" applyAlignment="1">
      <alignment horizontal="center"/>
    </xf>
    <xf numFmtId="0" fontId="15" fillId="0" borderId="38" xfId="26" applyFont="1" applyBorder="1" applyAlignment="1">
      <alignment horizontal="center"/>
    </xf>
    <xf numFmtId="0" fontId="49" fillId="0" borderId="38" xfId="26" applyFont="1" applyBorder="1" applyAlignment="1">
      <alignment horizontal="center"/>
    </xf>
    <xf numFmtId="0" fontId="15" fillId="5" borderId="0" xfId="1" applyAlignment="1">
      <alignment horizontal="center"/>
    </xf>
    <xf numFmtId="0" fontId="35" fillId="30" borderId="0" xfId="19" applyFont="1" applyAlignment="1">
      <alignment horizontal="center"/>
    </xf>
    <xf numFmtId="0" fontId="30" fillId="0" borderId="0" xfId="5"/>
    <xf numFmtId="0" fontId="32" fillId="24" borderId="0" xfId="0" applyFont="1" applyFill="1" applyAlignment="1">
      <alignment horizontal="left"/>
    </xf>
    <xf numFmtId="0" fontId="32" fillId="24" borderId="29" xfId="0" applyFont="1" applyFill="1" applyBorder="1" applyAlignment="1">
      <alignment horizontal="left"/>
    </xf>
    <xf numFmtId="0" fontId="32" fillId="24" borderId="30" xfId="0" applyFont="1" applyFill="1" applyBorder="1" applyAlignment="1">
      <alignment horizontal="left"/>
    </xf>
    <xf numFmtId="0" fontId="6" fillId="9" borderId="0" xfId="0" applyFont="1" applyFill="1" applyAlignment="1">
      <alignment horizontal="left"/>
    </xf>
    <xf numFmtId="0" fontId="7" fillId="0" borderId="0" xfId="0" quotePrefix="1" applyFont="1" applyAlignment="1">
      <alignment horizontal="left" wrapText="1"/>
    </xf>
    <xf numFmtId="14" fontId="0" fillId="46" borderId="0" xfId="0" applyNumberFormat="1" applyFill="1"/>
    <xf numFmtId="0" fontId="60" fillId="0" borderId="0" xfId="7" applyFont="1" applyFill="1" applyAlignment="1">
      <alignment horizontal="center" vertical="center" wrapText="1"/>
    </xf>
    <xf numFmtId="194" fontId="60" fillId="0" borderId="0" xfId="7" applyNumberFormat="1" applyFont="1" applyFill="1" applyAlignment="1">
      <alignment horizontal="center" vertical="center"/>
    </xf>
    <xf numFmtId="0" fontId="60" fillId="0" borderId="0" xfId="7" applyFont="1" applyFill="1" applyAlignment="1">
      <alignment horizontal="center" vertical="center"/>
    </xf>
    <xf numFmtId="0" fontId="15" fillId="33" borderId="0" xfId="21" applyAlignment="1">
      <alignment horizontal="centerContinuous" wrapText="1"/>
    </xf>
    <xf numFmtId="0" fontId="45" fillId="0" borderId="0" xfId="22" applyFill="1">
      <alignment wrapText="1"/>
    </xf>
    <xf numFmtId="0" fontId="95" fillId="0" borderId="0" xfId="22" applyFont="1" applyFill="1">
      <alignment wrapText="1"/>
    </xf>
    <xf numFmtId="0" fontId="95" fillId="0" borderId="0" xfId="0" applyFont="1"/>
  </cellXfs>
  <cellStyles count="36">
    <cellStyle name="20% - Accent1" xfId="30" builtinId="30"/>
    <cellStyle name="20% - Accent2" xfId="11" builtinId="34" hidden="1"/>
    <cellStyle name="20% - Accent3" xfId="32" builtinId="38"/>
    <cellStyle name="20% - Accent4" xfId="10" builtinId="42"/>
    <cellStyle name="20% - Accent6" xfId="35" builtinId="50"/>
    <cellStyle name="40% - Accent1" xfId="8" builtinId="31"/>
    <cellStyle name="40% - Accent2" xfId="9" builtinId="35"/>
    <cellStyle name="40% - Accent4" xfId="19" builtinId="43"/>
    <cellStyle name="40% - Accent5" xfId="1" builtinId="47"/>
    <cellStyle name="40% - Accent6" xfId="21" builtinId="51"/>
    <cellStyle name="60% - Accent3" xfId="29" builtinId="40"/>
    <cellStyle name="Accent1" xfId="7" builtinId="29"/>
    <cellStyle name="Accent4" xfId="2" builtinId="41"/>
    <cellStyle name="Comma" xfId="18" builtinId="3"/>
    <cellStyle name="Comma 2" xfId="31" xr:uid="{D504A1B8-922B-4694-9EE8-EB1143A009A2}"/>
    <cellStyle name="Comma 3" xfId="34" xr:uid="{5C332D22-C86E-49B7-9E8D-10804B48D677}"/>
    <cellStyle name="Currency 2" xfId="12" xr:uid="{00000000-0005-0000-0000-00000B000000}"/>
    <cellStyle name="Good" xfId="3" builtinId="26"/>
    <cellStyle name="Heading 1" xfId="28" builtinId="16"/>
    <cellStyle name="Heading 2" xfId="14" builtinId="17"/>
    <cellStyle name="Heading 3" xfId="15" builtinId="18"/>
    <cellStyle name="Heading 3 2" xfId="25" xr:uid="{00000000-0005-0000-0000-00000F000000}"/>
    <cellStyle name="Heading 4 2" xfId="27" xr:uid="{00000000-0005-0000-0000-000010000000}"/>
    <cellStyle name="Hyperlink" xfId="4" builtinId="8"/>
    <cellStyle name="Hyperlink 2" xfId="13" xr:uid="{00000000-0005-0000-0000-000012000000}"/>
    <cellStyle name="Normal" xfId="0" builtinId="0"/>
    <cellStyle name="Normal 2" xfId="17" xr:uid="{00000000-0005-0000-0000-000015000000}"/>
    <cellStyle name="Normal 2 2" xfId="23" xr:uid="{00000000-0005-0000-0000-000016000000}"/>
    <cellStyle name="Normal 3" xfId="20" xr:uid="{00000000-0005-0000-0000-000017000000}"/>
    <cellStyle name="Normal 4" xfId="22" xr:uid="{00000000-0005-0000-0000-000018000000}"/>
    <cellStyle name="Normal 5" xfId="26" xr:uid="{00000000-0005-0000-0000-000019000000}"/>
    <cellStyle name="Normal 6" xfId="33" xr:uid="{01A59F6F-E5DB-4756-8463-BE6B422ED15D}"/>
    <cellStyle name="Normal_DBREV" xfId="16" xr:uid="{00000000-0005-0000-0000-00001A000000}"/>
    <cellStyle name="Percent" xfId="24" builtinId="5"/>
    <cellStyle name="Title" xfId="5" builtinId="15"/>
    <cellStyle name="Total" xfId="6" builtinId="25"/>
  </cellStyles>
  <dxfs count="147">
    <dxf>
      <font>
        <strike val="0"/>
        <outline val="0"/>
        <shadow val="0"/>
        <u val="none"/>
        <vertAlign val="baseline"/>
        <sz val="10"/>
        <color auto="1"/>
        <name val="Rockwell"/>
        <family val="1"/>
        <scheme val="minor"/>
      </font>
    </dxf>
    <dxf>
      <font>
        <strike val="0"/>
        <outline val="0"/>
        <shadow val="0"/>
        <u val="none"/>
        <vertAlign val="baseline"/>
        <sz val="10"/>
        <color auto="1"/>
        <name val="Rockwell"/>
        <family val="1"/>
        <scheme val="minor"/>
      </font>
    </dxf>
    <dxf>
      <font>
        <strike val="0"/>
        <outline val="0"/>
        <shadow val="0"/>
        <u val="none"/>
        <vertAlign val="baseline"/>
        <sz val="10"/>
        <color auto="1"/>
        <name val="Rockwell"/>
        <family val="1"/>
        <scheme val="minor"/>
      </font>
      <numFmt numFmtId="0" formatCode="General"/>
      <fill>
        <patternFill patternType="none">
          <fgColor indexed="64"/>
          <bgColor indexed="65"/>
        </patternFill>
      </fill>
    </dxf>
    <dxf>
      <font>
        <strike val="0"/>
        <outline val="0"/>
        <shadow val="0"/>
        <u val="none"/>
        <vertAlign val="baseline"/>
        <sz val="10"/>
        <color auto="1"/>
        <name val="Rockwell"/>
        <family val="1"/>
        <scheme val="minor"/>
      </font>
    </dxf>
    <dxf>
      <font>
        <strike val="0"/>
        <outline val="0"/>
        <shadow val="0"/>
        <u val="none"/>
        <vertAlign val="baseline"/>
        <sz val="10"/>
        <color auto="1"/>
        <name val="Rockwell"/>
        <family val="1"/>
        <scheme val="minor"/>
      </font>
    </dxf>
    <dxf>
      <font>
        <b/>
        <i val="0"/>
        <strike val="0"/>
        <condense val="0"/>
        <extend val="0"/>
        <outline val="0"/>
        <shadow val="0"/>
        <u val="none"/>
        <vertAlign val="baseline"/>
        <sz val="9"/>
        <color auto="1"/>
        <name val="Rockwell"/>
        <family val="1"/>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auto="1"/>
        <name val="Rockwell"/>
        <family val="1"/>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Rockwell"/>
        <family val="1"/>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auto="1"/>
        <name val="Rockwell"/>
        <family val="1"/>
        <scheme val="minor"/>
      </font>
      <numFmt numFmtId="194"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auto="1"/>
        <name val="Rockwell"/>
        <family val="1"/>
        <scheme val="minor"/>
      </font>
      <numFmt numFmtId="194"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auto="1"/>
        <name val="Rockwell"/>
        <family val="1"/>
        <scheme val="minor"/>
      </font>
      <numFmt numFmtId="194"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auto="1"/>
        <name val="Rockwell"/>
        <family val="1"/>
        <scheme val="minor"/>
      </font>
      <numFmt numFmtId="194" formatCode="0.0"/>
      <fill>
        <patternFill patternType="none">
          <fgColor indexed="64"/>
          <bgColor auto="1"/>
        </patternFill>
      </fill>
      <alignment horizontal="center" vertical="center" textRotation="0" wrapText="0" indent="0" justifyLastLine="0" shrinkToFit="0" readingOrder="0"/>
    </dxf>
    <dxf>
      <fill>
        <patternFill patternType="lightUp">
          <fgColor theme="2"/>
        </patternFill>
      </fill>
    </dxf>
    <dxf>
      <fill>
        <patternFill>
          <bgColor theme="4" tint="0.79998168889431442"/>
        </patternFill>
      </fill>
    </dxf>
    <dxf>
      <font>
        <b/>
        <i val="0"/>
        <color auto="1"/>
      </font>
    </dxf>
    <dxf>
      <font>
        <b val="0"/>
        <i/>
      </font>
    </dxf>
    <dxf>
      <fill>
        <patternFill>
          <bgColor theme="9" tint="0.59996337778862885"/>
        </patternFill>
      </fill>
    </dxf>
    <dxf>
      <fill>
        <patternFill>
          <bgColor theme="4" tint="0.79998168889431442"/>
        </patternFill>
      </fill>
    </dxf>
    <dxf>
      <fill>
        <patternFill>
          <bgColor theme="5" tint="0.79998168889431442"/>
        </patternFill>
      </fill>
    </dxf>
    <dxf>
      <font>
        <b/>
        <i val="0"/>
        <color auto="1"/>
      </font>
      <fill>
        <patternFill>
          <bgColor theme="6" tint="0.39994506668294322"/>
        </patternFill>
      </fill>
    </dxf>
    <dxf>
      <fill>
        <patternFill>
          <bgColor theme="6" tint="0.59996337778862885"/>
        </patternFill>
      </fill>
    </dxf>
    <dxf>
      <fill>
        <patternFill>
          <bgColor theme="6" tint="0.39994506668294322"/>
        </patternFill>
      </fill>
    </dxf>
    <dxf>
      <fill>
        <patternFill>
          <bgColor theme="6" tint="0.79998168889431442"/>
        </patternFill>
      </fill>
    </dxf>
    <dxf>
      <font>
        <b val="0"/>
        <i val="0"/>
      </font>
      <fill>
        <patternFill>
          <bgColor theme="7" tint="0.79998168889431442"/>
        </patternFill>
      </fill>
    </dxf>
    <dxf>
      <font>
        <b/>
        <i/>
        <color theme="4" tint="-0.24994659260841701"/>
      </font>
    </dxf>
    <dxf>
      <font>
        <color auto="1"/>
      </font>
      <fill>
        <patternFill>
          <bgColor theme="7" tint="0.59996337778862885"/>
        </patternFill>
      </fill>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8"/>
        <color auto="1"/>
        <name val="Rockwell"/>
        <family val="1"/>
        <scheme val="maj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Rockwell"/>
        <family val="1"/>
        <scheme val="major"/>
      </font>
      <numFmt numFmtId="30" formatCode="@"/>
      <fill>
        <patternFill patternType="none">
          <fgColor indexed="64"/>
          <bgColor auto="1"/>
        </patternFill>
      </fill>
    </dxf>
    <dxf>
      <font>
        <b val="0"/>
        <i val="0"/>
        <strike val="0"/>
        <condense val="0"/>
        <extend val="0"/>
        <outline val="0"/>
        <shadow val="0"/>
        <u val="none"/>
        <vertAlign val="baseline"/>
        <sz val="8"/>
        <color auto="1"/>
        <name val="Rockwell"/>
        <family val="1"/>
        <scheme val="major"/>
      </font>
      <numFmt numFmtId="30" formatCode="@"/>
      <fill>
        <patternFill patternType="none">
          <fgColor indexed="64"/>
          <bgColor auto="1"/>
        </patternFill>
      </fill>
    </dxf>
    <dxf>
      <font>
        <strike val="0"/>
        <outline val="0"/>
        <shadow val="0"/>
        <u val="none"/>
        <vertAlign val="baseline"/>
        <color auto="1"/>
        <name val="Rockwell"/>
        <family val="1"/>
        <scheme val="major"/>
      </font>
      <numFmt numFmtId="30" formatCode="@"/>
      <fill>
        <patternFill patternType="none">
          <fgColor indexed="64"/>
          <bgColor auto="1"/>
        </patternFill>
      </fill>
    </dxf>
    <dxf>
      <font>
        <strike val="0"/>
        <outline val="0"/>
        <shadow val="0"/>
        <u val="none"/>
        <vertAlign val="baseline"/>
        <color auto="1"/>
        <name val="Rockwell"/>
        <family val="1"/>
        <scheme val="major"/>
      </font>
      <numFmt numFmtId="30" formatCode="@"/>
      <fill>
        <patternFill patternType="none">
          <fgColor indexed="64"/>
          <bgColor auto="1"/>
        </patternFill>
      </fill>
    </dxf>
    <dxf>
      <font>
        <strike val="0"/>
        <outline val="0"/>
        <shadow val="0"/>
        <u val="none"/>
        <vertAlign val="baseline"/>
        <color auto="1"/>
        <name val="Rockwell"/>
        <family val="1"/>
        <scheme val="major"/>
      </font>
      <numFmt numFmtId="30" formatCode="@"/>
      <fill>
        <patternFill patternType="none">
          <fgColor indexed="64"/>
          <bgColor auto="1"/>
        </patternFill>
      </fill>
    </dxf>
    <dxf>
      <font>
        <b val="0"/>
        <i val="0"/>
        <strike val="0"/>
        <condense val="0"/>
        <extend val="0"/>
        <outline val="0"/>
        <shadow val="0"/>
        <u val="none"/>
        <vertAlign val="baseline"/>
        <sz val="8"/>
        <color auto="1"/>
        <name val="Rockwell"/>
        <family val="1"/>
        <scheme val="major"/>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color auto="1"/>
        <name val="Rockwell"/>
        <family val="1"/>
        <scheme val="major"/>
      </font>
      <fill>
        <patternFill patternType="none">
          <fgColor indexed="64"/>
          <bgColor auto="1"/>
        </patternFill>
      </fill>
    </dxf>
    <dxf>
      <font>
        <b/>
        <i val="0"/>
        <strike val="0"/>
        <condense val="0"/>
        <extend val="0"/>
        <outline val="0"/>
        <shadow val="0"/>
        <u val="none"/>
        <vertAlign val="baseline"/>
        <sz val="8"/>
        <color auto="1"/>
        <name val="Rockwell"/>
        <family val="1"/>
        <scheme val="major"/>
      </font>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8"/>
        <color auto="1"/>
        <name val="Verdana"/>
        <family val="2"/>
        <scheme val="none"/>
      </font>
      <fill>
        <patternFill patternType="none">
          <fgColor indexed="64"/>
          <bgColor auto="1"/>
        </patternFill>
      </fill>
    </dxf>
    <dxf>
      <font>
        <b val="0"/>
        <i val="0"/>
        <strike val="0"/>
        <condense val="0"/>
        <extend val="0"/>
        <outline val="0"/>
        <shadow val="0"/>
        <u val="none"/>
        <vertAlign val="baseline"/>
        <sz val="8"/>
        <color auto="1"/>
        <name val="Verdana"/>
        <family val="2"/>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Verdana"/>
        <family val="2"/>
        <scheme val="none"/>
      </font>
      <fill>
        <patternFill patternType="none">
          <fgColor indexed="64"/>
          <bgColor auto="1"/>
        </patternFill>
      </fill>
      <alignment horizontal="general" vertical="center" textRotation="0" wrapText="0" indent="0" justifyLastLine="0" shrinkToFit="0" readingOrder="0"/>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alignment horizontal="general" vertical="center" textRotation="0" wrapText="0" indent="0" justifyLastLine="0" shrinkToFit="0" readingOrder="0"/>
      <protection locked="1" hidden="0"/>
    </dxf>
    <dxf>
      <numFmt numFmtId="227" formatCode="dd/mm/yyyy"/>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indexed="65"/>
        </patternFill>
      </fill>
      <alignment horizontal="general" vertical="center" textRotation="0" wrapText="0" indent="0" justifyLastLine="0" shrinkToFit="0" readingOrder="0"/>
      <protection locked="1" hidden="0"/>
    </dxf>
    <dxf>
      <numFmt numFmtId="165" formatCode="d/mm/yyyy;@"/>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numFmt numFmtId="201" formatCode="[$$-409]#,##0.00"/>
      <fill>
        <patternFill patternType="none">
          <fgColor indexed="64"/>
          <bgColor indexed="65"/>
        </patternFill>
      </fill>
    </dxf>
    <dxf>
      <numFmt numFmtId="201" formatCode="[$$-409]#,##0.00"/>
      <fill>
        <patternFill patternType="none">
          <fgColor indexed="64"/>
          <bgColor auto="1"/>
        </patternFill>
      </fill>
    </dxf>
    <dxf>
      <font>
        <b val="0"/>
        <i val="0"/>
        <strike val="0"/>
        <condense val="0"/>
        <extend val="0"/>
        <outline val="0"/>
        <shadow val="0"/>
        <u val="none"/>
        <vertAlign val="baseline"/>
        <sz val="11"/>
        <color theme="1"/>
        <name val="Rockwell"/>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Rockwell"/>
        <scheme val="minor"/>
      </font>
      <fill>
        <patternFill patternType="none">
          <fgColor indexed="64"/>
          <bgColor auto="1"/>
        </patternFill>
      </fill>
    </dxf>
    <dxf>
      <fill>
        <patternFill patternType="none">
          <fgColor indexed="64"/>
          <bgColor indexed="65"/>
        </patternFill>
      </fill>
    </dxf>
    <dxf>
      <fill>
        <patternFill patternType="none">
          <fgColor indexed="64"/>
          <bgColor auto="1"/>
        </patternFill>
      </fill>
    </dxf>
    <dxf>
      <numFmt numFmtId="201" formatCode="[$$-409]#,##0.00"/>
      <fill>
        <patternFill patternType="none">
          <fgColor indexed="64"/>
          <bgColor indexed="65"/>
        </patternFill>
      </fill>
    </dxf>
    <dxf>
      <numFmt numFmtId="183" formatCode="[$€-2]\ #,##0.00"/>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3" formatCode="0%"/>
    </dxf>
    <dxf>
      <numFmt numFmtId="1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24" formatCode="0&quot; yr&quot;"/>
      <fill>
        <patternFill patternType="none">
          <fgColor indexed="64"/>
          <bgColor indexed="65"/>
        </patternFill>
      </fill>
    </dxf>
    <dxf>
      <fill>
        <patternFill patternType="none">
          <fgColor indexed="64"/>
          <bgColor auto="1"/>
        </patternFill>
      </fill>
    </dxf>
    <dxf>
      <numFmt numFmtId="227"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rgb="FF000000"/>
          <bgColor auto="1"/>
        </patternFill>
      </fill>
    </dxf>
    <dxf>
      <font>
        <b/>
        <i val="0"/>
        <strike val="0"/>
        <condense val="0"/>
        <extend val="0"/>
        <outline val="0"/>
        <shadow val="0"/>
        <u val="none"/>
        <vertAlign val="baseline"/>
        <sz val="11"/>
        <color theme="1"/>
        <name val="Rockwell"/>
        <family val="2"/>
        <scheme val="minor"/>
      </font>
      <fill>
        <patternFill patternType="none">
          <fgColor indexed="64"/>
          <bgColor auto="1"/>
        </patternFill>
      </fill>
      <border diagonalUp="0" diagonalDown="0" outline="0">
        <left style="thin">
          <color indexed="64"/>
        </left>
        <right style="thin">
          <color indexed="64"/>
        </right>
        <top/>
        <bottom/>
      </border>
    </dxf>
    <dxf>
      <numFmt numFmtId="13" formatCode="0%"/>
    </dxf>
    <dxf>
      <numFmt numFmtId="1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24" formatCode="0&quot; yr&quot;"/>
      <fill>
        <patternFill patternType="none">
          <fgColor indexed="64"/>
          <bgColor indexed="65"/>
        </patternFill>
      </fill>
    </dxf>
    <dxf>
      <fill>
        <patternFill patternType="none">
          <fgColor indexed="64"/>
          <bgColor auto="1"/>
        </patternFill>
      </fill>
    </dxf>
    <dxf>
      <numFmt numFmtId="227"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Rockwell"/>
        <family val="2"/>
        <scheme val="minor"/>
      </font>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Rockwell"/>
        <family val="2"/>
        <scheme val="minor"/>
      </font>
      <fill>
        <patternFill patternType="none">
          <fgColor indexed="64"/>
          <bgColor auto="1"/>
        </patternFill>
      </fill>
    </dxf>
    <dxf>
      <font>
        <strike val="0"/>
        <outline val="0"/>
        <shadow val="0"/>
        <u val="none"/>
        <vertAlign val="baseline"/>
        <sz val="12"/>
        <color auto="1"/>
        <name val="Rockwell"/>
        <family val="2"/>
        <scheme val="minor"/>
      </font>
      <fill>
        <patternFill patternType="none">
          <fgColor indexed="64"/>
          <bgColor auto="1"/>
        </patternFill>
      </fill>
    </dxf>
    <dxf>
      <font>
        <strike val="0"/>
        <outline val="0"/>
        <shadow val="0"/>
        <u val="none"/>
        <vertAlign val="baseline"/>
        <sz val="12"/>
        <color auto="1"/>
        <name val="Rockwell"/>
        <family val="2"/>
        <scheme val="minor"/>
      </font>
      <numFmt numFmtId="227" formatCode="dd/mm/yyyy"/>
      <fill>
        <patternFill patternType="none">
          <fgColor indexed="64"/>
          <bgColor auto="1"/>
        </patternFill>
      </fill>
    </dxf>
    <dxf>
      <font>
        <strike val="0"/>
        <outline val="0"/>
        <shadow val="0"/>
        <u val="none"/>
        <vertAlign val="baseline"/>
        <sz val="12"/>
        <color auto="1"/>
        <name val="Rockwell"/>
        <family val="2"/>
        <scheme val="minor"/>
      </font>
      <numFmt numFmtId="227" formatCode="dd/mm/yyyy"/>
      <fill>
        <patternFill patternType="none">
          <fgColor indexed="64"/>
          <bgColor auto="1"/>
        </patternFill>
      </fill>
    </dxf>
    <dxf>
      <font>
        <strike val="0"/>
        <outline val="0"/>
        <shadow val="0"/>
        <u val="none"/>
        <vertAlign val="baseline"/>
        <sz val="12"/>
        <color auto="1"/>
        <name val="Rockwell"/>
        <family val="2"/>
        <scheme val="minor"/>
      </font>
      <numFmt numFmtId="227" formatCode="dd/mm/yyyy"/>
      <fill>
        <patternFill patternType="none">
          <fgColor indexed="64"/>
          <bgColor auto="1"/>
        </patternFill>
      </fill>
    </dxf>
    <dxf>
      <font>
        <strike val="0"/>
        <outline val="0"/>
        <shadow val="0"/>
        <u val="none"/>
        <vertAlign val="baseline"/>
        <sz val="12"/>
        <color auto="1"/>
        <name val="Rockwell"/>
        <family val="2"/>
        <scheme val="minor"/>
      </font>
      <fill>
        <patternFill patternType="none">
          <fgColor indexed="64"/>
          <bgColor auto="1"/>
        </patternFill>
      </fill>
    </dxf>
    <dxf>
      <border outline="0">
        <top style="thin">
          <color indexed="64"/>
        </top>
      </border>
    </dxf>
    <dxf>
      <font>
        <strike val="0"/>
        <outline val="0"/>
        <shadow val="0"/>
        <u val="none"/>
        <vertAlign val="baseline"/>
        <sz val="12"/>
        <color auto="1"/>
        <name val="Rockwell"/>
        <family val="2"/>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Rockwell"/>
        <family val="2"/>
        <scheme val="minor"/>
      </font>
      <fill>
        <patternFill patternType="none">
          <fgColor indexed="64"/>
          <bgColor auto="1"/>
        </patternFill>
      </fill>
      <border diagonalUp="0" diagonalDown="0" outline="0">
        <left style="thin">
          <color indexed="64"/>
        </left>
        <right style="thin">
          <color indexed="64"/>
        </right>
        <top/>
        <bottom/>
      </border>
    </dxf>
    <dxf>
      <numFmt numFmtId="228" formatCode="hh:mm"/>
      <alignment horizontal="left" vertical="bottom" textRotation="0" wrapText="0" indent="0" justifyLastLine="0" shrinkToFit="0" readingOrder="0"/>
    </dxf>
    <dxf>
      <numFmt numFmtId="179" formatCode="General\ &quot;mins&quot;"/>
      <alignment horizontal="center" vertical="bottom" textRotation="0" wrapText="0" indent="0" justifyLastLine="0" shrinkToFit="0" readingOrder="0"/>
    </dxf>
    <dxf>
      <numFmt numFmtId="228" formatCode="hh:mm"/>
      <alignment horizontal="left" vertical="bottom" textRotation="0" wrapText="0" indent="0" justifyLastLine="0" shrinkToFit="0" readingOrder="0"/>
    </dxf>
    <dxf>
      <alignment horizontal="right" vertical="bottom" textRotation="0" wrapText="0" indent="1" justifyLastLine="0" shrinkToFit="0" readingOrder="0"/>
    </dxf>
    <dxf>
      <numFmt numFmtId="0" formatCode="General"/>
      <alignment horizontal="center" vertical="bottom" textRotation="0" wrapText="0" indent="0" justifyLastLine="0" shrinkToFit="0" readingOrder="0"/>
    </dxf>
    <dxf>
      <numFmt numFmtId="217" formatCode="[$-F400]h:mm:ss\ AM/PM"/>
    </dxf>
    <dxf>
      <font>
        <b val="0"/>
        <i val="0"/>
        <strike val="0"/>
        <condense val="0"/>
        <extend val="0"/>
        <outline val="0"/>
        <shadow val="0"/>
        <u val="none"/>
        <vertAlign val="baseline"/>
        <sz val="11"/>
        <color theme="1"/>
        <name val="Rockwell"/>
        <scheme val="minor"/>
      </font>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Rockwell"/>
        <family val="1"/>
        <scheme val="minor"/>
      </font>
      <fill>
        <patternFill patternType="solid">
          <fgColor indexed="64"/>
          <bgColor theme="2" tint="-9.9978637043366805E-2"/>
        </patternFill>
      </fill>
      <alignment horizontal="center" vertical="bottom" textRotation="0" wrapText="0" indent="0" justifyLastLine="0" shrinkToFit="0" readingOrder="0"/>
    </dxf>
    <dxf>
      <numFmt numFmtId="0" formatCode="General"/>
    </dxf>
    <dxf>
      <numFmt numFmtId="0" formatCode="General"/>
    </dxf>
    <dxf>
      <numFmt numFmtId="0" formatCode="General"/>
    </dxf>
    <dxf>
      <numFmt numFmtId="226" formatCode="#&quot; GB&quot;"/>
    </dxf>
    <dxf>
      <numFmt numFmtId="226" formatCode="#&quot; GB&quot;"/>
    </dxf>
    <dxf>
      <numFmt numFmtId="0" formatCode="General"/>
    </dxf>
    <dxf>
      <numFmt numFmtId="229" formatCode="d\-mmm\-yy"/>
      <alignment horizontal="left"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connections" Target="connections.xml"/><Relationship Id="rId55" Type="http://schemas.microsoft.com/office/2017/06/relationships/rdRichValue" Target="richData/rdrichvalue.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eetMetadata" Target="metadata.xml"/><Relationship Id="rId58" Type="http://schemas.microsoft.com/office/2017/06/relationships/richStyles" Target="richData/richStyles.xml"/><Relationship Id="rId5" Type="http://schemas.openxmlformats.org/officeDocument/2006/relationships/worksheet" Target="worksheets/sheet5.xml"/><Relationship Id="rId61" Type="http://schemas.microsoft.com/office/2017/06/relationships/rdRichValueTypes" Target="richData/rdRichValueTyp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1.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microsoft.com/office/2017/06/relationships/rdSupportingPropertyBagStructure" Target="richData/rdsupportingpropertybag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20/07/relationships/rdRichValueWebImage" Target="richData/rdRichValueWebImage.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microsoft.com/office/2017/06/relationships/rdArray" Target="richData/rdarray.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60" Type="http://schemas.microsoft.com/office/2017/06/relationships/rdSupportingPropertyBag" Target="richData/rdsupportingpropertybag.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'Interactive data Solution'!$H$3</c:f>
              <c:strCache>
                <c:ptCount val="1"/>
                <c:pt idx="0">
                  <c:v>Chart</c:v>
                </c:pt>
              </c:strCache>
            </c:strRef>
          </c:tx>
          <c:spPr>
            <a:solidFill>
              <a:schemeClr val="accent1"/>
            </a:solidFill>
            <a:ln>
              <a:noFill/>
            </a:ln>
            <a:effectLst/>
          </c:spPr>
          <c:invertIfNegative val="0"/>
          <c:cat>
            <c:strRef>
              <c:f>'Interactive data Solution'!$G$4:$G$20</c:f>
              <c:strCache>
                <c:ptCount val="17"/>
                <c:pt idx="0">
                  <c:v>Longlife Tofu</c:v>
                </c:pt>
                <c:pt idx="1">
                  <c:v>Chang</c:v>
                </c:pt>
                <c:pt idx="2">
                  <c:v>Pavlova</c:v>
                </c:pt>
                <c:pt idx="3">
                  <c:v>Raclette Courdavault</c:v>
                </c:pt>
                <c:pt idx="4">
                  <c:v>Chef Anton's Gumbo Mix</c:v>
                </c:pt>
                <c:pt idx="5">
                  <c:v>Mascarpone Fabioli</c:v>
                </c:pt>
                <c:pt idx="6">
                  <c:v>Outback Lager</c:v>
                </c:pt>
                <c:pt idx="8">
                  <c:v>Ravioli Angelo</c:v>
                </c:pt>
                <c:pt idx="9">
                  <c:v>Guaraná Fantástica</c:v>
                </c:pt>
                <c:pt idx="10">
                  <c:v>Queso Manchego La Pastora</c:v>
                </c:pt>
                <c:pt idx="12">
                  <c:v>Ipoh Coffee</c:v>
                </c:pt>
                <c:pt idx="13">
                  <c:v>Gorgonzola Telino</c:v>
                </c:pt>
                <c:pt idx="14">
                  <c:v>Geitost</c:v>
                </c:pt>
                <c:pt idx="15">
                  <c:v>Fløtemysost</c:v>
                </c:pt>
                <c:pt idx="16">
                  <c:v>Mozzarella di Giovanni</c:v>
                </c:pt>
              </c:strCache>
            </c:strRef>
          </c:cat>
          <c:val>
            <c:numRef>
              <c:f>'Interactive data Solution'!$H$4:$H$20</c:f>
              <c:numCache>
                <c:formatCode>#;;;</c:formatCode>
                <c:ptCount val="17"/>
                <c:pt idx="0">
                  <c:v>1703</c:v>
                </c:pt>
                <c:pt idx="1">
                  <c:v>1590</c:v>
                </c:pt>
                <c:pt idx="2">
                  <c:v>1799</c:v>
                </c:pt>
                <c:pt idx="3">
                  <c:v>1892</c:v>
                </c:pt>
                <c:pt idx="4">
                  <c:v>1434</c:v>
                </c:pt>
                <c:pt idx="5">
                  <c:v>1501</c:v>
                </c:pt>
                <c:pt idx="6">
                  <c:v>1746</c:v>
                </c:pt>
                <c:pt idx="7">
                  <c:v>0</c:v>
                </c:pt>
                <c:pt idx="8">
                  <c:v>1714</c:v>
                </c:pt>
                <c:pt idx="9">
                  <c:v>1873</c:v>
                </c:pt>
                <c:pt idx="10">
                  <c:v>1466</c:v>
                </c:pt>
                <c:pt idx="11">
                  <c:v>0</c:v>
                </c:pt>
                <c:pt idx="12">
                  <c:v>1602</c:v>
                </c:pt>
                <c:pt idx="13">
                  <c:v>1345</c:v>
                </c:pt>
                <c:pt idx="14">
                  <c:v>1493</c:v>
                </c:pt>
                <c:pt idx="15">
                  <c:v>1907</c:v>
                </c:pt>
                <c:pt idx="16">
                  <c:v>1666</c:v>
                </c:pt>
              </c:numCache>
            </c:numRef>
          </c:val>
          <c:extLst>
            <c:ext xmlns:c16="http://schemas.microsoft.com/office/drawing/2014/chart" uri="{C3380CC4-5D6E-409C-BE32-E72D297353CC}">
              <c16:uniqueId val="{00000000-7E3D-4736-BC59-4BF878108E14}"/>
            </c:ext>
          </c:extLst>
        </c:ser>
        <c:dLbls>
          <c:showLegendKey val="0"/>
          <c:showVal val="0"/>
          <c:showCatName val="0"/>
          <c:showSerName val="0"/>
          <c:showPercent val="0"/>
          <c:showBubbleSize val="0"/>
        </c:dLbls>
        <c:gapWidth val="73"/>
        <c:axId val="1703287295"/>
        <c:axId val="1695957183"/>
      </c:barChart>
      <c:catAx>
        <c:axId val="170328729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695957183"/>
        <c:crosses val="autoZero"/>
        <c:auto val="1"/>
        <c:lblAlgn val="ctr"/>
        <c:lblOffset val="100"/>
        <c:noMultiLvlLbl val="0"/>
      </c:catAx>
      <c:valAx>
        <c:axId val="1695957183"/>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3287295"/>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'Interactive data Solution'!$K$23</c:f>
              <c:strCache>
                <c:ptCount val="1"/>
                <c:pt idx="0">
                  <c:v>Products</c:v>
                </c:pt>
              </c:strCache>
            </c:strRef>
          </c:tx>
          <c:spPr>
            <a:solidFill>
              <a:schemeClr val="accent1"/>
            </a:solidFill>
            <a:ln>
              <a:noFill/>
            </a:ln>
            <a:effectLst/>
          </c:spPr>
          <c:invertIfNegative val="0"/>
          <c:cat>
            <c:numRef>
              <c:f>'Interactive data Solution'!$J$24:$J$38</c:f>
              <c:numCache>
                <c:formatCode>General</c:formatCode>
                <c:ptCount val="15"/>
              </c:numCache>
            </c:numRef>
          </c:cat>
          <c:val>
            <c:numRef>
              <c:f>'Interactive data Solution'!$K$24:$K$38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234-4F35-9C0B-E90C223BDC29}"/>
            </c:ext>
          </c:extLst>
        </c:ser>
        <c:ser>
          <c:idx val="1"/>
          <c:order val="1"/>
          <c:tx>
            <c:strRef>
              <c:f>'Interactive data Solution'!$L$23</c:f>
              <c:strCache>
                <c:ptCount val="1"/>
                <c:pt idx="0">
                  <c:v>Chart</c:v>
                </c:pt>
              </c:strCache>
            </c:strRef>
          </c:tx>
          <c:spPr>
            <a:solidFill>
              <a:schemeClr val="accent2"/>
            </a:solidFill>
            <a:ln>
              <a:noFill/>
            </a:ln>
            <a:effectLst/>
          </c:spPr>
          <c:invertIfNegative val="0"/>
          <c:cat>
            <c:numRef>
              <c:f>'Interactive data Solution'!$J$24:$J$38</c:f>
              <c:numCache>
                <c:formatCode>General</c:formatCode>
                <c:ptCount val="15"/>
              </c:numCache>
            </c:numRef>
          </c:cat>
          <c:val>
            <c:numRef>
              <c:f>'Interactive data Solution'!$L$24:$L$38</c:f>
              <c:numCache>
                <c:formatCode>General</c:formatCode>
                <c:ptCount val="15"/>
                <c:pt idx="0">
                  <c:v>1703</c:v>
                </c:pt>
                <c:pt idx="1">
                  <c:v>1590</c:v>
                </c:pt>
                <c:pt idx="2">
                  <c:v>1799</c:v>
                </c:pt>
                <c:pt idx="3">
                  <c:v>1892</c:v>
                </c:pt>
                <c:pt idx="4">
                  <c:v>1434</c:v>
                </c:pt>
                <c:pt idx="5">
                  <c:v>1501</c:v>
                </c:pt>
                <c:pt idx="6">
                  <c:v>1746</c:v>
                </c:pt>
                <c:pt idx="7">
                  <c:v>1714</c:v>
                </c:pt>
                <c:pt idx="8">
                  <c:v>1873</c:v>
                </c:pt>
                <c:pt idx="9">
                  <c:v>1466</c:v>
                </c:pt>
                <c:pt idx="10">
                  <c:v>1602</c:v>
                </c:pt>
                <c:pt idx="11">
                  <c:v>1345</c:v>
                </c:pt>
                <c:pt idx="12">
                  <c:v>1493</c:v>
                </c:pt>
                <c:pt idx="13">
                  <c:v>1907</c:v>
                </c:pt>
                <c:pt idx="14">
                  <c:v>1666</c:v>
                </c:pt>
              </c:numCache>
            </c:numRef>
          </c:val>
          <c:extLst>
            <c:ext xmlns:c16="http://schemas.microsoft.com/office/drawing/2014/chart" uri="{C3380CC4-5D6E-409C-BE32-E72D297353CC}">
              <c16:uniqueId val="{00000001-5234-4F35-9C0B-E90C223BDC29}"/>
            </c:ext>
          </c:extLst>
        </c:ser>
        <c:dLbls>
          <c:showLegendKey val="0"/>
          <c:showVal val="0"/>
          <c:showCatName val="0"/>
          <c:showSerName val="0"/>
          <c:showPercent val="0"/>
          <c:showBubbleSize val="0"/>
        </c:dLbls>
        <c:gapWidth val="73"/>
        <c:axId val="1703287295"/>
        <c:axId val="1695957183"/>
      </c:barChart>
      <c:catAx>
        <c:axId val="170328729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695957183"/>
        <c:crosses val="autoZero"/>
        <c:auto val="1"/>
        <c:lblAlgn val="ctr"/>
        <c:lblOffset val="100"/>
        <c:noMultiLvlLbl val="0"/>
      </c:catAx>
      <c:valAx>
        <c:axId val="1695957183"/>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3287295"/>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3" dropStyle="combo" dx="16" fmlaLink="TableLangues!$A$1" fmlaRange="TableLangues!$I$3:$I$5" sel="2"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fmlaLink="$J$4"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J$4"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3" Type="http://schemas.openxmlformats.org/officeDocument/2006/relationships/hyperlink" Target="#Patterns!A1"/><Relationship Id="rId18" Type="http://schemas.openxmlformats.org/officeDocument/2006/relationships/hyperlink" Target="#Shortcuts!A1"/><Relationship Id="rId26" Type="http://schemas.openxmlformats.org/officeDocument/2006/relationships/hyperlink" Target="#'Conditional summing'!A1"/><Relationship Id="rId3" Type="http://schemas.openxmlformats.org/officeDocument/2006/relationships/hyperlink" Target="#Garages!A1"/><Relationship Id="rId21" Type="http://schemas.openxmlformats.org/officeDocument/2006/relationships/hyperlink" Target="#Transposing!A1"/><Relationship Id="rId34" Type="http://schemas.openxmlformats.org/officeDocument/2006/relationships/hyperlink" Target="#'Sales Data'!A1"/><Relationship Id="rId7" Type="http://schemas.openxmlformats.org/officeDocument/2006/relationships/hyperlink" Target="#Sorting!A1"/><Relationship Id="rId12" Type="http://schemas.openxmlformats.org/officeDocument/2006/relationships/hyperlink" Target="#'Look it up'!A1"/><Relationship Id="rId17" Type="http://schemas.openxmlformats.org/officeDocument/2006/relationships/hyperlink" Target="#'Complex Text Functions'!A1"/><Relationship Id="rId25" Type="http://schemas.openxmlformats.org/officeDocument/2006/relationships/hyperlink" Target="#Timings!A1"/><Relationship Id="rId33" Type="http://schemas.openxmlformats.org/officeDocument/2006/relationships/image" Target="../media/image3.svg"/><Relationship Id="rId2" Type="http://schemas.openxmlformats.org/officeDocument/2006/relationships/hyperlink" Target="#Personnel!A1"/><Relationship Id="rId16" Type="http://schemas.openxmlformats.org/officeDocument/2006/relationships/hyperlink" Target="#'Custom formats'!A1"/><Relationship Id="rId20" Type="http://schemas.openxmlformats.org/officeDocument/2006/relationships/hyperlink" Target="#Randomly!A1"/><Relationship Id="rId29" Type="http://schemas.openxmlformats.org/officeDocument/2006/relationships/hyperlink" Target="#'Dummy Data'!A1"/><Relationship Id="rId1" Type="http://schemas.openxmlformats.org/officeDocument/2006/relationships/hyperlink" Target="#Vacature!A1"/><Relationship Id="rId6" Type="http://schemas.openxmlformats.org/officeDocument/2006/relationships/hyperlink" Target="#Expenses!A1"/><Relationship Id="rId11" Type="http://schemas.openxmlformats.org/officeDocument/2006/relationships/hyperlink" Target="#'Student Results'!A1"/><Relationship Id="rId24" Type="http://schemas.openxmlformats.org/officeDocument/2006/relationships/hyperlink" Target="#Payments!A1"/><Relationship Id="rId32" Type="http://schemas.openxmlformats.org/officeDocument/2006/relationships/image" Target="../media/image2.png"/><Relationship Id="rId5" Type="http://schemas.openxmlformats.org/officeDocument/2006/relationships/hyperlink" Target="#Salaries!A1"/><Relationship Id="rId15" Type="http://schemas.openxmlformats.org/officeDocument/2006/relationships/hyperlink" Target="#Functions!A1"/><Relationship Id="rId23" Type="http://schemas.openxmlformats.org/officeDocument/2006/relationships/hyperlink" Target="#Simulation!A1"/><Relationship Id="rId28" Type="http://schemas.openxmlformats.org/officeDocument/2006/relationships/hyperlink" Target="#'Client Status'!A1"/><Relationship Id="rId10" Type="http://schemas.openxmlformats.org/officeDocument/2006/relationships/hyperlink" Target="#'Cumulated Results'!A1"/><Relationship Id="rId19" Type="http://schemas.openxmlformats.org/officeDocument/2006/relationships/hyperlink" Target="#Conditions!A1"/><Relationship Id="rId31" Type="http://schemas.openxmlformats.org/officeDocument/2006/relationships/hyperlink" Target="mailto:danny@puype.com?subject=Feedback%20Excel%20Course" TargetMode="External"/><Relationship Id="rId4" Type="http://schemas.openxmlformats.org/officeDocument/2006/relationships/hyperlink" Target="#Ranking!A1"/><Relationship Id="rId9" Type="http://schemas.openxmlformats.org/officeDocument/2006/relationships/hyperlink" Target="#Doubles!A1"/><Relationship Id="rId14" Type="http://schemas.openxmlformats.org/officeDocument/2006/relationships/hyperlink" Target="#Lambda!A1"/><Relationship Id="rId22" Type="http://schemas.openxmlformats.org/officeDocument/2006/relationships/hyperlink" Target="#'Dynamic Arrays'!A1"/><Relationship Id="rId27" Type="http://schemas.openxmlformats.org/officeDocument/2006/relationships/hyperlink" Target="#'Beverages Sales'!A1"/><Relationship Id="rId30" Type="http://schemas.openxmlformats.org/officeDocument/2006/relationships/hyperlink" Target="#'Interactive data'!A1"/><Relationship Id="rId35" Type="http://schemas.openxmlformats.org/officeDocument/2006/relationships/hyperlink" Target="#Links!A1"/><Relationship Id="rId8" Type="http://schemas.openxmlformats.org/officeDocument/2006/relationships/hyperlink" Target="#Invoices!A1"/></Relationships>
</file>

<file path=xl/drawings/_rels/drawing1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Main menu'!A1"/><Relationship Id="rId1" Type="http://schemas.openxmlformats.org/officeDocument/2006/relationships/chart" Target="../charts/chart1.xml"/></Relationships>
</file>

<file path=xl/drawings/_rels/drawing3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ain 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ain menu'!A1"/></Relationships>
</file>

<file path=xl/drawings/_rels/drawing38.xml.rels><?xml version="1.0" encoding="UTF-8" standalone="yes"?>
<Relationships xmlns="http://schemas.openxmlformats.org/package/2006/relationships"><Relationship Id="rId3" Type="http://schemas.openxmlformats.org/officeDocument/2006/relationships/hyperlink" Target="https://www.excelcampus.com/keyboard-shortcuts/number-formats/" TargetMode="External"/><Relationship Id="rId2" Type="http://schemas.openxmlformats.org/officeDocument/2006/relationships/image" Target="../media/image5.png"/><Relationship Id="rId1" Type="http://schemas.openxmlformats.org/officeDocument/2006/relationships/hyperlink" Target="#'Main 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ain menu'!A1"/></Relationships>
</file>

<file path=xl/drawings/_rels/drawing4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oneCellAnchor>
    <xdr:from>
      <xdr:col>0</xdr:col>
      <xdr:colOff>1771650</xdr:colOff>
      <xdr:row>10</xdr:row>
      <xdr:rowOff>76200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771650" y="300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a:p>
      </xdr:txBody>
    </xdr:sp>
    <xdr:clientData/>
  </xdr:oneCellAnchor>
  <mc:AlternateContent xmlns:mc="http://schemas.openxmlformats.org/markup-compatibility/2006">
    <mc:Choice xmlns:a14="http://schemas.microsoft.com/office/drawing/2010/main" Requires="a14">
      <xdr:twoCellAnchor editAs="oneCell">
        <xdr:from>
          <xdr:col>1</xdr:col>
          <xdr:colOff>1257300</xdr:colOff>
          <xdr:row>0</xdr:row>
          <xdr:rowOff>114300</xdr:rowOff>
        </xdr:from>
        <xdr:to>
          <xdr:col>1</xdr:col>
          <xdr:colOff>1952625</xdr:colOff>
          <xdr:row>0</xdr:row>
          <xdr:rowOff>342900</xdr:rowOff>
        </xdr:to>
        <xdr:sp macro="" textlink="">
          <xdr:nvSpPr>
            <xdr:cNvPr id="1034" name="DropDown"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0</xdr:col>
      <xdr:colOff>123825</xdr:colOff>
      <xdr:row>1</xdr:row>
      <xdr:rowOff>47625</xdr:rowOff>
    </xdr:from>
    <xdr:to>
      <xdr:col>0</xdr:col>
      <xdr:colOff>3003825</xdr:colOff>
      <xdr:row>2</xdr:row>
      <xdr:rowOff>179025</xdr:rowOff>
    </xdr:to>
    <xdr:sp macro="[0]!GotoSheet" textlink="TableLangues!G4">
      <xdr:nvSpPr>
        <xdr:cNvPr id="3" name="Rounded Rectangle 2" descr="Vacature">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123825" y="504825"/>
          <a:ext cx="2880000" cy="3504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EBE27431-9C88-446C-BA15-7911AA1DADA8}" type="TxLink">
            <a:rPr lang="en-GB" sz="1100" b="1"/>
            <a:pPr algn="ctr"/>
            <a:t>1 - Vacature</a:t>
          </a:fld>
          <a:endParaRPr lang="en-GB" sz="1100" b="1"/>
        </a:p>
      </xdr:txBody>
    </xdr:sp>
    <xdr:clientData/>
  </xdr:twoCellAnchor>
  <xdr:twoCellAnchor>
    <xdr:from>
      <xdr:col>0</xdr:col>
      <xdr:colOff>3257550</xdr:colOff>
      <xdr:row>1</xdr:row>
      <xdr:rowOff>47625</xdr:rowOff>
    </xdr:from>
    <xdr:to>
      <xdr:col>0</xdr:col>
      <xdr:colOff>6137550</xdr:colOff>
      <xdr:row>2</xdr:row>
      <xdr:rowOff>188550</xdr:rowOff>
    </xdr:to>
    <xdr:sp macro="[0]!GotoSheet" textlink="TableLangues!G5">
      <xdr:nvSpPr>
        <xdr:cNvPr id="22" name="Rounded Rectangle 21" descr="Personeelsbestand">
          <a:hlinkClick xmlns:r="http://schemas.openxmlformats.org/officeDocument/2006/relationships" r:id="rId2"/>
          <a:extLst>
            <a:ext uri="{FF2B5EF4-FFF2-40B4-BE49-F238E27FC236}">
              <a16:creationId xmlns:a16="http://schemas.microsoft.com/office/drawing/2014/main" id="{00000000-0008-0000-0100-000016000000}"/>
            </a:ext>
          </a:extLst>
        </xdr:cNvPr>
        <xdr:cNvSpPr/>
      </xdr:nvSpPr>
      <xdr:spPr>
        <a:xfrm>
          <a:off x="3257550" y="504825"/>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4D5F10F4-5A68-4623-A783-9A67953CA72A}" type="TxLink">
            <a:rPr lang="en-GB" sz="1100" b="1"/>
            <a:pPr algn="ctr"/>
            <a:t>2 - Personnel</a:t>
          </a:fld>
          <a:endParaRPr lang="en-GB" sz="1100" b="1"/>
        </a:p>
      </xdr:txBody>
    </xdr:sp>
    <xdr:clientData/>
  </xdr:twoCellAnchor>
  <xdr:twoCellAnchor>
    <xdr:from>
      <xdr:col>0</xdr:col>
      <xdr:colOff>123825</xdr:colOff>
      <xdr:row>3</xdr:row>
      <xdr:rowOff>29369</xdr:rowOff>
    </xdr:from>
    <xdr:to>
      <xdr:col>0</xdr:col>
      <xdr:colOff>3003825</xdr:colOff>
      <xdr:row>4</xdr:row>
      <xdr:rowOff>160769</xdr:rowOff>
    </xdr:to>
    <xdr:sp macro="[0]!GotoSheet" textlink="TableLangues!G6">
      <xdr:nvSpPr>
        <xdr:cNvPr id="23" name="Rounded Rectangle 22" descr="Garages">
          <a:hlinkClick xmlns:r="http://schemas.openxmlformats.org/officeDocument/2006/relationships" r:id="rId3"/>
          <a:extLst>
            <a:ext uri="{FF2B5EF4-FFF2-40B4-BE49-F238E27FC236}">
              <a16:creationId xmlns:a16="http://schemas.microsoft.com/office/drawing/2014/main" id="{00000000-0008-0000-0100-000017000000}"/>
            </a:ext>
          </a:extLst>
        </xdr:cNvPr>
        <xdr:cNvSpPr/>
      </xdr:nvSpPr>
      <xdr:spPr>
        <a:xfrm>
          <a:off x="123825" y="934244"/>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2B9D7CE0-52B1-4F23-B8AF-DC2E70C4E9F5}" type="TxLink">
            <a:rPr lang="en-US" sz="1100" b="1">
              <a:solidFill>
                <a:schemeClr val="dk1"/>
              </a:solidFill>
              <a:latin typeface="+mn-lt"/>
              <a:ea typeface="+mn-ea"/>
              <a:cs typeface="+mn-cs"/>
            </a:rPr>
            <a:pPr marL="0" indent="0" algn="ctr"/>
            <a:t>3 - Garages</a:t>
          </a:fld>
          <a:endParaRPr lang="en-US" sz="1100" b="1">
            <a:solidFill>
              <a:schemeClr val="dk1"/>
            </a:solidFill>
            <a:latin typeface="+mn-lt"/>
            <a:ea typeface="+mn-ea"/>
            <a:cs typeface="+mn-cs"/>
          </a:endParaRPr>
        </a:p>
      </xdr:txBody>
    </xdr:sp>
    <xdr:clientData/>
  </xdr:twoCellAnchor>
  <xdr:twoCellAnchor>
    <xdr:from>
      <xdr:col>0</xdr:col>
      <xdr:colOff>123825</xdr:colOff>
      <xdr:row>8</xdr:row>
      <xdr:rowOff>203201</xdr:rowOff>
    </xdr:from>
    <xdr:to>
      <xdr:col>0</xdr:col>
      <xdr:colOff>3003825</xdr:colOff>
      <xdr:row>10</xdr:row>
      <xdr:rowOff>106001</xdr:rowOff>
    </xdr:to>
    <xdr:sp macro="[0]!GotoSheet" textlink="TableLangues!G12">
      <xdr:nvSpPr>
        <xdr:cNvPr id="24" name="Rounded Rectangle 23" descr="Ranking">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123825" y="2251076"/>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EDDF396C-1042-46A3-B959-75EFBFFD12BE}" type="TxLink">
            <a:rPr lang="en-US" sz="1100" b="1">
              <a:solidFill>
                <a:schemeClr val="dk1"/>
              </a:solidFill>
              <a:latin typeface="+mn-lt"/>
              <a:ea typeface="+mn-ea"/>
              <a:cs typeface="+mn-cs"/>
            </a:rPr>
            <a:pPr marL="0" indent="0" algn="ctr"/>
            <a:t>9 - Ranking</a:t>
          </a:fld>
          <a:endParaRPr lang="en-US" sz="1100" b="1">
            <a:solidFill>
              <a:schemeClr val="dk1"/>
            </a:solidFill>
            <a:latin typeface="+mn-lt"/>
            <a:ea typeface="+mn-ea"/>
            <a:cs typeface="+mn-cs"/>
          </a:endParaRPr>
        </a:p>
      </xdr:txBody>
    </xdr:sp>
    <xdr:clientData/>
  </xdr:twoCellAnchor>
  <xdr:twoCellAnchor>
    <xdr:from>
      <xdr:col>0</xdr:col>
      <xdr:colOff>3257550</xdr:colOff>
      <xdr:row>8</xdr:row>
      <xdr:rowOff>203201</xdr:rowOff>
    </xdr:from>
    <xdr:to>
      <xdr:col>0</xdr:col>
      <xdr:colOff>6137550</xdr:colOff>
      <xdr:row>10</xdr:row>
      <xdr:rowOff>106001</xdr:rowOff>
    </xdr:to>
    <xdr:sp macro="" textlink="TableLangues!G13">
      <xdr:nvSpPr>
        <xdr:cNvPr id="25" name="Rounded Rectangle 24" descr="Cinema">
          <a:hlinkClick xmlns:r="http://schemas.openxmlformats.org/officeDocument/2006/relationships" r:id="rId5"/>
          <a:extLst>
            <a:ext uri="{FF2B5EF4-FFF2-40B4-BE49-F238E27FC236}">
              <a16:creationId xmlns:a16="http://schemas.microsoft.com/office/drawing/2014/main" id="{00000000-0008-0000-0100-000019000000}"/>
            </a:ext>
          </a:extLst>
        </xdr:cNvPr>
        <xdr:cNvSpPr/>
      </xdr:nvSpPr>
      <xdr:spPr>
        <a:xfrm>
          <a:off x="3257550" y="2251076"/>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C1CEF1D0-BB95-4E76-8D25-9C540AEB78E8}" type="TxLink">
            <a:rPr lang="en-US" sz="1100" b="1">
              <a:solidFill>
                <a:schemeClr val="dk1"/>
              </a:solidFill>
              <a:latin typeface="+mn-lt"/>
              <a:ea typeface="+mn-ea"/>
              <a:cs typeface="+mn-cs"/>
            </a:rPr>
            <a:pPr marL="0" indent="0" algn="ctr"/>
            <a:t>10 - Boni and Salaries</a:t>
          </a:fld>
          <a:endParaRPr lang="en-US" sz="1100" b="1">
            <a:solidFill>
              <a:schemeClr val="dk1"/>
            </a:solidFill>
            <a:latin typeface="+mn-lt"/>
            <a:ea typeface="+mn-ea"/>
            <a:cs typeface="+mn-cs"/>
          </a:endParaRPr>
        </a:p>
      </xdr:txBody>
    </xdr:sp>
    <xdr:clientData/>
  </xdr:twoCellAnchor>
  <xdr:twoCellAnchor>
    <xdr:from>
      <xdr:col>0</xdr:col>
      <xdr:colOff>3257550</xdr:colOff>
      <xdr:row>10</xdr:row>
      <xdr:rowOff>184945</xdr:rowOff>
    </xdr:from>
    <xdr:to>
      <xdr:col>0</xdr:col>
      <xdr:colOff>6137550</xdr:colOff>
      <xdr:row>12</xdr:row>
      <xdr:rowOff>2020</xdr:rowOff>
    </xdr:to>
    <xdr:sp macro="" textlink="TableLangues!G15">
      <xdr:nvSpPr>
        <xdr:cNvPr id="26" name="Rounded Rectangle 25" descr="Namen Noemen">
          <a:hlinkClick xmlns:r="http://schemas.openxmlformats.org/officeDocument/2006/relationships" r:id="rId6"/>
          <a:extLst>
            <a:ext uri="{FF2B5EF4-FFF2-40B4-BE49-F238E27FC236}">
              <a16:creationId xmlns:a16="http://schemas.microsoft.com/office/drawing/2014/main" id="{00000000-0008-0000-0100-00001A000000}"/>
            </a:ext>
          </a:extLst>
        </xdr:cNvPr>
        <xdr:cNvSpPr/>
      </xdr:nvSpPr>
      <xdr:spPr>
        <a:xfrm>
          <a:off x="3257550" y="2690020"/>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9DB84B27-3CFB-4B93-A79D-04F97587349B}" type="TxLink">
            <a:rPr lang="en-US" sz="1100" b="1">
              <a:solidFill>
                <a:schemeClr val="dk1"/>
              </a:solidFill>
              <a:latin typeface="+mn-lt"/>
              <a:ea typeface="+mn-ea"/>
              <a:cs typeface="+mn-cs"/>
            </a:rPr>
            <a:pPr marL="0" indent="0" algn="ctr"/>
            <a:t>12 - Expenses</a:t>
          </a:fld>
          <a:endParaRPr lang="en-US" sz="1100" b="1">
            <a:solidFill>
              <a:schemeClr val="dk1"/>
            </a:solidFill>
            <a:latin typeface="+mn-lt"/>
            <a:ea typeface="+mn-ea"/>
            <a:cs typeface="+mn-cs"/>
          </a:endParaRPr>
        </a:p>
      </xdr:txBody>
    </xdr:sp>
    <xdr:clientData/>
  </xdr:twoCellAnchor>
  <xdr:twoCellAnchor>
    <xdr:from>
      <xdr:col>0</xdr:col>
      <xdr:colOff>123825</xdr:colOff>
      <xdr:row>12</xdr:row>
      <xdr:rowOff>80964</xdr:rowOff>
    </xdr:from>
    <xdr:to>
      <xdr:col>0</xdr:col>
      <xdr:colOff>3003825</xdr:colOff>
      <xdr:row>13</xdr:row>
      <xdr:rowOff>212364</xdr:rowOff>
    </xdr:to>
    <xdr:sp macro="" textlink="TableLangues!G16">
      <xdr:nvSpPr>
        <xdr:cNvPr id="27" name="Rounded Rectangle 26" descr="IP adressen">
          <a:hlinkClick xmlns:r="http://schemas.openxmlformats.org/officeDocument/2006/relationships" r:id="rId7"/>
          <a:extLst>
            <a:ext uri="{FF2B5EF4-FFF2-40B4-BE49-F238E27FC236}">
              <a16:creationId xmlns:a16="http://schemas.microsoft.com/office/drawing/2014/main" id="{00000000-0008-0000-0100-00001B000000}"/>
            </a:ext>
          </a:extLst>
        </xdr:cNvPr>
        <xdr:cNvSpPr/>
      </xdr:nvSpPr>
      <xdr:spPr>
        <a:xfrm>
          <a:off x="123825" y="3128964"/>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20560627-FB24-4757-ADE2-18F5B01FD974}" type="TxLink">
            <a:rPr lang="en-US" sz="1100" b="1">
              <a:solidFill>
                <a:schemeClr val="dk1"/>
              </a:solidFill>
              <a:latin typeface="+mn-lt"/>
              <a:ea typeface="+mn-ea"/>
              <a:cs typeface="+mn-cs"/>
            </a:rPr>
            <a:pPr marL="0" indent="0" algn="ctr"/>
            <a:t>13 - Sorting</a:t>
          </a:fld>
          <a:endParaRPr lang="en-US" sz="1100" b="1">
            <a:solidFill>
              <a:schemeClr val="dk1"/>
            </a:solidFill>
            <a:latin typeface="+mn-lt"/>
            <a:ea typeface="+mn-ea"/>
            <a:cs typeface="+mn-cs"/>
          </a:endParaRPr>
        </a:p>
      </xdr:txBody>
    </xdr:sp>
    <xdr:clientData/>
  </xdr:twoCellAnchor>
  <xdr:twoCellAnchor>
    <xdr:from>
      <xdr:col>0</xdr:col>
      <xdr:colOff>3257550</xdr:colOff>
      <xdr:row>3</xdr:row>
      <xdr:rowOff>38894</xdr:rowOff>
    </xdr:from>
    <xdr:to>
      <xdr:col>0</xdr:col>
      <xdr:colOff>6137550</xdr:colOff>
      <xdr:row>4</xdr:row>
      <xdr:rowOff>160769</xdr:rowOff>
    </xdr:to>
    <xdr:sp macro="[0]!GotoSheet" textlink="TableLangues!G7">
      <xdr:nvSpPr>
        <xdr:cNvPr id="28" name="Rounded Rectangle 27" descr="Faktuuroverzicht">
          <a:hlinkClick xmlns:r="http://schemas.openxmlformats.org/officeDocument/2006/relationships" r:id="rId8"/>
          <a:extLst>
            <a:ext uri="{FF2B5EF4-FFF2-40B4-BE49-F238E27FC236}">
              <a16:creationId xmlns:a16="http://schemas.microsoft.com/office/drawing/2014/main" id="{00000000-0008-0000-0100-00001C000000}"/>
            </a:ext>
          </a:extLst>
        </xdr:cNvPr>
        <xdr:cNvSpPr/>
      </xdr:nvSpPr>
      <xdr:spPr>
        <a:xfrm>
          <a:off x="3257550" y="943769"/>
          <a:ext cx="2880000" cy="3504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74A49460-3298-46F0-A210-93223AAE3D5D}" type="TxLink">
            <a:rPr lang="en-GB" sz="1100" b="1"/>
            <a:pPr algn="ctr"/>
            <a:t>4 - Invoices and Transactions</a:t>
          </a:fld>
          <a:endParaRPr lang="en-GB" sz="1100" b="1"/>
        </a:p>
      </xdr:txBody>
    </xdr:sp>
    <xdr:clientData/>
  </xdr:twoCellAnchor>
  <xdr:twoCellAnchor>
    <xdr:from>
      <xdr:col>0</xdr:col>
      <xdr:colOff>123825</xdr:colOff>
      <xdr:row>6</xdr:row>
      <xdr:rowOff>221457</xdr:rowOff>
    </xdr:from>
    <xdr:to>
      <xdr:col>0</xdr:col>
      <xdr:colOff>3003825</xdr:colOff>
      <xdr:row>8</xdr:row>
      <xdr:rowOff>124257</xdr:rowOff>
    </xdr:to>
    <xdr:sp macro="[0]!GotoSheet" textlink="TableLangues!G10">
      <xdr:nvSpPr>
        <xdr:cNvPr id="29" name="Rounded Rectangle 28" descr="Doubles">
          <a:hlinkClick xmlns:r="http://schemas.openxmlformats.org/officeDocument/2006/relationships" r:id="rId9"/>
          <a:extLst>
            <a:ext uri="{FF2B5EF4-FFF2-40B4-BE49-F238E27FC236}">
              <a16:creationId xmlns:a16="http://schemas.microsoft.com/office/drawing/2014/main" id="{00000000-0008-0000-0100-00001D000000}"/>
            </a:ext>
          </a:extLst>
        </xdr:cNvPr>
        <xdr:cNvSpPr/>
      </xdr:nvSpPr>
      <xdr:spPr>
        <a:xfrm>
          <a:off x="123825" y="1812132"/>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B26AFAA8-60B5-440F-9FA0-72F5B892CEFA}" type="TxLink">
            <a:rPr lang="en-GB" sz="1100" b="1"/>
            <a:pPr algn="ctr"/>
            <a:t>7 - Doubles and comparisons</a:t>
          </a:fld>
          <a:endParaRPr lang="en-GB" sz="1100" b="1"/>
        </a:p>
      </xdr:txBody>
    </xdr:sp>
    <xdr:clientData/>
  </xdr:twoCellAnchor>
  <xdr:twoCellAnchor>
    <xdr:from>
      <xdr:col>0</xdr:col>
      <xdr:colOff>3257550</xdr:colOff>
      <xdr:row>6</xdr:row>
      <xdr:rowOff>221457</xdr:rowOff>
    </xdr:from>
    <xdr:to>
      <xdr:col>0</xdr:col>
      <xdr:colOff>6137550</xdr:colOff>
      <xdr:row>8</xdr:row>
      <xdr:rowOff>124257</xdr:rowOff>
    </xdr:to>
    <xdr:sp macro="[0]!GotoSheet" textlink="TableLangues!G11">
      <xdr:nvSpPr>
        <xdr:cNvPr id="30" name="Rounded Rectangle 29" descr="Cumulated Results">
          <a:hlinkClick xmlns:r="http://schemas.openxmlformats.org/officeDocument/2006/relationships" r:id="rId10"/>
          <a:extLst>
            <a:ext uri="{FF2B5EF4-FFF2-40B4-BE49-F238E27FC236}">
              <a16:creationId xmlns:a16="http://schemas.microsoft.com/office/drawing/2014/main" id="{00000000-0008-0000-0100-00001E000000}"/>
            </a:ext>
          </a:extLst>
        </xdr:cNvPr>
        <xdr:cNvSpPr/>
      </xdr:nvSpPr>
      <xdr:spPr>
        <a:xfrm>
          <a:off x="3257550" y="1812132"/>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A305A6C3-A834-404F-B63F-5086925D4B89}" type="TxLink">
            <a:rPr lang="en-US" sz="1100" b="1">
              <a:solidFill>
                <a:schemeClr val="dk1"/>
              </a:solidFill>
              <a:latin typeface="+mn-lt"/>
              <a:ea typeface="+mn-ea"/>
              <a:cs typeface="+mn-cs"/>
            </a:rPr>
            <a:pPr marL="0" indent="0" algn="ctr"/>
            <a:t>8 - Cumulated Results</a:t>
          </a:fld>
          <a:endParaRPr lang="en-US" sz="1100" b="1">
            <a:solidFill>
              <a:schemeClr val="dk1"/>
            </a:solidFill>
            <a:latin typeface="+mn-lt"/>
            <a:ea typeface="+mn-ea"/>
            <a:cs typeface="+mn-cs"/>
          </a:endParaRPr>
        </a:p>
      </xdr:txBody>
    </xdr:sp>
    <xdr:clientData/>
  </xdr:twoCellAnchor>
  <xdr:twoCellAnchor>
    <xdr:from>
      <xdr:col>0</xdr:col>
      <xdr:colOff>3257550</xdr:colOff>
      <xdr:row>5</xdr:row>
      <xdr:rowOff>11113</xdr:rowOff>
    </xdr:from>
    <xdr:to>
      <xdr:col>0</xdr:col>
      <xdr:colOff>6137550</xdr:colOff>
      <xdr:row>6</xdr:row>
      <xdr:rowOff>142513</xdr:rowOff>
    </xdr:to>
    <xdr:sp macro="[0]!GotoSheet" textlink="TableLangues!G9">
      <xdr:nvSpPr>
        <xdr:cNvPr id="31" name="Rounded Rectangle 30" descr="Student Results">
          <a:hlinkClick xmlns:r="http://schemas.openxmlformats.org/officeDocument/2006/relationships" r:id="rId11"/>
          <a:extLst>
            <a:ext uri="{FF2B5EF4-FFF2-40B4-BE49-F238E27FC236}">
              <a16:creationId xmlns:a16="http://schemas.microsoft.com/office/drawing/2014/main" id="{00000000-0008-0000-0100-00001F000000}"/>
            </a:ext>
          </a:extLst>
        </xdr:cNvPr>
        <xdr:cNvSpPr/>
      </xdr:nvSpPr>
      <xdr:spPr>
        <a:xfrm>
          <a:off x="3257550" y="1373188"/>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2591D7D0-4D57-4F3E-BF11-7B7102699D8B}" type="TxLink">
            <a:rPr lang="en-US" sz="1100" b="1">
              <a:solidFill>
                <a:schemeClr val="dk1"/>
              </a:solidFill>
              <a:latin typeface="+mn-lt"/>
              <a:ea typeface="+mn-ea"/>
              <a:cs typeface="+mn-cs"/>
            </a:rPr>
            <a:pPr marL="0" indent="0" algn="ctr"/>
            <a:t>6 - Student Results</a:t>
          </a:fld>
          <a:endParaRPr lang="en-US" sz="1100" b="1">
            <a:solidFill>
              <a:schemeClr val="dk1"/>
            </a:solidFill>
            <a:latin typeface="+mn-lt"/>
            <a:ea typeface="+mn-ea"/>
            <a:cs typeface="+mn-cs"/>
          </a:endParaRPr>
        </a:p>
      </xdr:txBody>
    </xdr:sp>
    <xdr:clientData/>
  </xdr:twoCellAnchor>
  <xdr:twoCellAnchor>
    <xdr:from>
      <xdr:col>0</xdr:col>
      <xdr:colOff>123825</xdr:colOff>
      <xdr:row>5</xdr:row>
      <xdr:rowOff>11113</xdr:rowOff>
    </xdr:from>
    <xdr:to>
      <xdr:col>0</xdr:col>
      <xdr:colOff>3003825</xdr:colOff>
      <xdr:row>6</xdr:row>
      <xdr:rowOff>142513</xdr:rowOff>
    </xdr:to>
    <xdr:sp macro="" textlink="TableLangues!G8">
      <xdr:nvSpPr>
        <xdr:cNvPr id="32" name="Rounded Rectangle 31" descr="Opmaak">
          <a:hlinkClick xmlns:r="http://schemas.openxmlformats.org/officeDocument/2006/relationships" r:id="rId12"/>
          <a:extLst>
            <a:ext uri="{FF2B5EF4-FFF2-40B4-BE49-F238E27FC236}">
              <a16:creationId xmlns:a16="http://schemas.microsoft.com/office/drawing/2014/main" id="{00000000-0008-0000-0100-000020000000}"/>
            </a:ext>
          </a:extLst>
        </xdr:cNvPr>
        <xdr:cNvSpPr/>
      </xdr:nvSpPr>
      <xdr:spPr>
        <a:xfrm>
          <a:off x="123825" y="1373188"/>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9F116715-5C68-4466-BE72-873DC0E92D49}" type="TxLink">
            <a:rPr lang="en-US" sz="1100" b="1">
              <a:solidFill>
                <a:schemeClr val="dk1"/>
              </a:solidFill>
              <a:latin typeface="+mn-lt"/>
              <a:ea typeface="+mn-ea"/>
              <a:cs typeface="+mn-cs"/>
            </a:rPr>
            <a:pPr marL="0" indent="0" algn="ctr"/>
            <a:t>5 - Look it up</a:t>
          </a:fld>
          <a:endParaRPr lang="en-US" sz="1100" b="1">
            <a:solidFill>
              <a:schemeClr val="dk1"/>
            </a:solidFill>
            <a:latin typeface="+mn-lt"/>
            <a:ea typeface="+mn-ea"/>
            <a:cs typeface="+mn-cs"/>
          </a:endParaRPr>
        </a:p>
      </xdr:txBody>
    </xdr:sp>
    <xdr:clientData/>
  </xdr:twoCellAnchor>
  <xdr:twoCellAnchor>
    <xdr:from>
      <xdr:col>0</xdr:col>
      <xdr:colOff>123825</xdr:colOff>
      <xdr:row>10</xdr:row>
      <xdr:rowOff>184945</xdr:rowOff>
    </xdr:from>
    <xdr:to>
      <xdr:col>0</xdr:col>
      <xdr:colOff>3003825</xdr:colOff>
      <xdr:row>12</xdr:row>
      <xdr:rowOff>2020</xdr:rowOff>
    </xdr:to>
    <xdr:sp macro="" textlink="TableLangues!G14">
      <xdr:nvSpPr>
        <xdr:cNvPr id="33" name="Rounded Rectangle 32" descr="Payments">
          <a:hlinkClick xmlns:r="http://schemas.openxmlformats.org/officeDocument/2006/relationships" r:id="rId13"/>
          <a:extLst>
            <a:ext uri="{FF2B5EF4-FFF2-40B4-BE49-F238E27FC236}">
              <a16:creationId xmlns:a16="http://schemas.microsoft.com/office/drawing/2014/main" id="{00000000-0008-0000-0100-000021000000}"/>
            </a:ext>
          </a:extLst>
        </xdr:cNvPr>
        <xdr:cNvSpPr/>
      </xdr:nvSpPr>
      <xdr:spPr>
        <a:xfrm>
          <a:off x="123825" y="2690020"/>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2AE894AA-223E-44C0-BC01-22F065189C43}" type="TxLink">
            <a:rPr lang="en-US" sz="1100" b="1">
              <a:solidFill>
                <a:schemeClr val="dk1"/>
              </a:solidFill>
              <a:latin typeface="+mn-lt"/>
              <a:ea typeface="+mn-ea"/>
              <a:cs typeface="+mn-cs"/>
            </a:rPr>
            <a:pPr marL="0" indent="0" algn="ctr"/>
            <a:t>11 - Patterns</a:t>
          </a:fld>
          <a:endParaRPr lang="en-US" sz="1100" b="1">
            <a:solidFill>
              <a:schemeClr val="dk1"/>
            </a:solidFill>
            <a:latin typeface="+mn-lt"/>
            <a:ea typeface="+mn-ea"/>
            <a:cs typeface="+mn-cs"/>
          </a:endParaRPr>
        </a:p>
      </xdr:txBody>
    </xdr:sp>
    <xdr:clientData/>
  </xdr:twoCellAnchor>
  <xdr:twoCellAnchor>
    <xdr:from>
      <xdr:col>0</xdr:col>
      <xdr:colOff>123825</xdr:colOff>
      <xdr:row>14</xdr:row>
      <xdr:rowOff>62708</xdr:rowOff>
    </xdr:from>
    <xdr:to>
      <xdr:col>0</xdr:col>
      <xdr:colOff>3003825</xdr:colOff>
      <xdr:row>15</xdr:row>
      <xdr:rowOff>194108</xdr:rowOff>
    </xdr:to>
    <xdr:sp macro="" textlink="TableLangues!G18">
      <xdr:nvSpPr>
        <xdr:cNvPr id="34" name="Rounded Rectangle 33" descr="Doc Distributie">
          <a:hlinkClick xmlns:r="http://schemas.openxmlformats.org/officeDocument/2006/relationships" r:id="rId14"/>
          <a:extLst>
            <a:ext uri="{FF2B5EF4-FFF2-40B4-BE49-F238E27FC236}">
              <a16:creationId xmlns:a16="http://schemas.microsoft.com/office/drawing/2014/main" id="{00000000-0008-0000-0100-000022000000}"/>
            </a:ext>
          </a:extLst>
        </xdr:cNvPr>
        <xdr:cNvSpPr/>
      </xdr:nvSpPr>
      <xdr:spPr>
        <a:xfrm>
          <a:off x="123825" y="3567908"/>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ECCCF1C4-F564-4EBB-8776-34A7D91F0CF7}" type="TxLink">
            <a:rPr lang="en-US" sz="1100" b="1">
              <a:solidFill>
                <a:schemeClr val="dk1"/>
              </a:solidFill>
              <a:latin typeface="+mn-lt"/>
              <a:ea typeface="+mn-ea"/>
              <a:cs typeface="+mn-cs"/>
            </a:rPr>
            <a:pPr marL="0" indent="0" algn="ctr"/>
            <a:t>15 - Lambda</a:t>
          </a:fld>
          <a:endParaRPr lang="en-US" sz="1100" b="1">
            <a:solidFill>
              <a:schemeClr val="dk1"/>
            </a:solidFill>
            <a:latin typeface="+mn-lt"/>
            <a:ea typeface="+mn-ea"/>
            <a:cs typeface="+mn-cs"/>
          </a:endParaRPr>
        </a:p>
      </xdr:txBody>
    </xdr:sp>
    <xdr:clientData/>
  </xdr:twoCellAnchor>
  <xdr:twoCellAnchor>
    <xdr:from>
      <xdr:col>1</xdr:col>
      <xdr:colOff>152400</xdr:colOff>
      <xdr:row>5</xdr:row>
      <xdr:rowOff>66675</xdr:rowOff>
    </xdr:from>
    <xdr:to>
      <xdr:col>1</xdr:col>
      <xdr:colOff>1952400</xdr:colOff>
      <xdr:row>6</xdr:row>
      <xdr:rowOff>198075</xdr:rowOff>
    </xdr:to>
    <xdr:sp macro="" textlink="TableLangues!G32">
      <xdr:nvSpPr>
        <xdr:cNvPr id="36" name="Rounded Rectangle 35" descr="Functions">
          <a:hlinkClick xmlns:r="http://schemas.openxmlformats.org/officeDocument/2006/relationships" r:id="rId15"/>
          <a:extLst>
            <a:ext uri="{FF2B5EF4-FFF2-40B4-BE49-F238E27FC236}">
              <a16:creationId xmlns:a16="http://schemas.microsoft.com/office/drawing/2014/main" id="{00000000-0008-0000-0100-000024000000}"/>
            </a:ext>
          </a:extLst>
        </xdr:cNvPr>
        <xdr:cNvSpPr/>
      </xdr:nvSpPr>
      <xdr:spPr>
        <a:xfrm>
          <a:off x="6896100" y="1428750"/>
          <a:ext cx="1800000" cy="3600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fld id="{25829802-E1CB-4718-B7AD-CFE2115BE957}" type="TxLink">
            <a:rPr lang="en-US" sz="1100" b="1">
              <a:solidFill>
                <a:schemeClr val="dk1"/>
              </a:solidFill>
              <a:latin typeface="+mn-lt"/>
              <a:ea typeface="+mn-ea"/>
              <a:cs typeface="+mn-cs"/>
            </a:rPr>
            <a:pPr marL="0" indent="0" algn="ctr"/>
            <a:t>Functions Guides</a:t>
          </a:fld>
          <a:endParaRPr lang="en-US" sz="1100" b="1">
            <a:solidFill>
              <a:schemeClr val="dk1"/>
            </a:solidFill>
            <a:latin typeface="+mn-lt"/>
            <a:ea typeface="+mn-ea"/>
            <a:cs typeface="+mn-cs"/>
          </a:endParaRPr>
        </a:p>
      </xdr:txBody>
    </xdr:sp>
    <xdr:clientData/>
  </xdr:twoCellAnchor>
  <xdr:twoCellAnchor>
    <xdr:from>
      <xdr:col>1</xdr:col>
      <xdr:colOff>152400</xdr:colOff>
      <xdr:row>7</xdr:row>
      <xdr:rowOff>73819</xdr:rowOff>
    </xdr:from>
    <xdr:to>
      <xdr:col>1</xdr:col>
      <xdr:colOff>1952400</xdr:colOff>
      <xdr:row>8</xdr:row>
      <xdr:rowOff>205219</xdr:rowOff>
    </xdr:to>
    <xdr:sp macro="" textlink="TableLangues!G33">
      <xdr:nvSpPr>
        <xdr:cNvPr id="37" name="Rounded Rectangle 36" descr="Opmaak info">
          <a:hlinkClick xmlns:r="http://schemas.openxmlformats.org/officeDocument/2006/relationships" r:id="rId16"/>
          <a:extLst>
            <a:ext uri="{FF2B5EF4-FFF2-40B4-BE49-F238E27FC236}">
              <a16:creationId xmlns:a16="http://schemas.microsoft.com/office/drawing/2014/main" id="{00000000-0008-0000-0100-000025000000}"/>
            </a:ext>
          </a:extLst>
        </xdr:cNvPr>
        <xdr:cNvSpPr/>
      </xdr:nvSpPr>
      <xdr:spPr>
        <a:xfrm>
          <a:off x="6896100" y="1893094"/>
          <a:ext cx="1800000" cy="3600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fld id="{F8682B53-6A0D-48C2-A7DC-EB366C0BC7B8}" type="TxLink">
            <a:rPr lang="en-US" sz="1100" b="1">
              <a:solidFill>
                <a:schemeClr val="dk1"/>
              </a:solidFill>
              <a:latin typeface="+mn-lt"/>
              <a:ea typeface="+mn-ea"/>
              <a:cs typeface="+mn-cs"/>
            </a:rPr>
            <a:pPr marL="0" indent="0" algn="ctr"/>
            <a:t>Codes Formatting</a:t>
          </a:fld>
          <a:endParaRPr lang="en-US" sz="1100" b="1">
            <a:solidFill>
              <a:schemeClr val="dk1"/>
            </a:solidFill>
            <a:latin typeface="+mn-lt"/>
            <a:ea typeface="+mn-ea"/>
            <a:cs typeface="+mn-cs"/>
          </a:endParaRPr>
        </a:p>
      </xdr:txBody>
    </xdr:sp>
    <xdr:clientData/>
  </xdr:twoCellAnchor>
  <xdr:twoCellAnchor>
    <xdr:from>
      <xdr:col>1</xdr:col>
      <xdr:colOff>152400</xdr:colOff>
      <xdr:row>9</xdr:row>
      <xdr:rowOff>80963</xdr:rowOff>
    </xdr:from>
    <xdr:to>
      <xdr:col>1</xdr:col>
      <xdr:colOff>1952400</xdr:colOff>
      <xdr:row>10</xdr:row>
      <xdr:rowOff>212363</xdr:rowOff>
    </xdr:to>
    <xdr:sp macro="" textlink="TableLangues!G34">
      <xdr:nvSpPr>
        <xdr:cNvPr id="38" name="Rounded Rectangle 37" descr="Complex Text Functions">
          <a:hlinkClick xmlns:r="http://schemas.openxmlformats.org/officeDocument/2006/relationships" r:id="rId17"/>
          <a:extLst>
            <a:ext uri="{FF2B5EF4-FFF2-40B4-BE49-F238E27FC236}">
              <a16:creationId xmlns:a16="http://schemas.microsoft.com/office/drawing/2014/main" id="{00000000-0008-0000-0100-000026000000}"/>
            </a:ext>
          </a:extLst>
        </xdr:cNvPr>
        <xdr:cNvSpPr/>
      </xdr:nvSpPr>
      <xdr:spPr>
        <a:xfrm>
          <a:off x="6896100" y="2357438"/>
          <a:ext cx="1800000" cy="3600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fld id="{8B6B5780-0329-4687-9890-94351A741924}" type="TxLink">
            <a:rPr lang="en-US" sz="1100" b="1">
              <a:solidFill>
                <a:schemeClr val="dk1"/>
              </a:solidFill>
              <a:latin typeface="+mn-lt"/>
              <a:ea typeface="+mn-ea"/>
              <a:cs typeface="+mn-cs"/>
            </a:rPr>
            <a:pPr marL="0" indent="0" algn="ctr"/>
            <a:t>Complex Text Functions</a:t>
          </a:fld>
          <a:endParaRPr lang="en-US" sz="1100" b="1">
            <a:solidFill>
              <a:schemeClr val="dk1"/>
            </a:solidFill>
            <a:latin typeface="+mn-lt"/>
            <a:ea typeface="+mn-ea"/>
            <a:cs typeface="+mn-cs"/>
          </a:endParaRPr>
        </a:p>
      </xdr:txBody>
    </xdr:sp>
    <xdr:clientData/>
  </xdr:twoCellAnchor>
  <xdr:twoCellAnchor>
    <xdr:from>
      <xdr:col>1</xdr:col>
      <xdr:colOff>152400</xdr:colOff>
      <xdr:row>11</xdr:row>
      <xdr:rowOff>2382</xdr:rowOff>
    </xdr:from>
    <xdr:to>
      <xdr:col>1</xdr:col>
      <xdr:colOff>1952400</xdr:colOff>
      <xdr:row>12</xdr:row>
      <xdr:rowOff>133782</xdr:rowOff>
    </xdr:to>
    <xdr:sp macro="" textlink="TableLangues!G30">
      <xdr:nvSpPr>
        <xdr:cNvPr id="39" name="Rounded Rectangle 38" descr="Shortcut keys">
          <a:hlinkClick xmlns:r="http://schemas.openxmlformats.org/officeDocument/2006/relationships" r:id="rId18"/>
          <a:extLst>
            <a:ext uri="{FF2B5EF4-FFF2-40B4-BE49-F238E27FC236}">
              <a16:creationId xmlns:a16="http://schemas.microsoft.com/office/drawing/2014/main" id="{00000000-0008-0000-0100-000027000000}"/>
            </a:ext>
          </a:extLst>
        </xdr:cNvPr>
        <xdr:cNvSpPr/>
      </xdr:nvSpPr>
      <xdr:spPr>
        <a:xfrm>
          <a:off x="6896100" y="2821782"/>
          <a:ext cx="1800000" cy="3600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fld id="{E90554A0-0F2F-4FB0-B821-A13E1DF7CDCE}" type="TxLink">
            <a:rPr lang="en-US" sz="1100" b="1">
              <a:solidFill>
                <a:schemeClr val="dk1"/>
              </a:solidFill>
              <a:latin typeface="+mn-lt"/>
              <a:ea typeface="+mn-ea"/>
              <a:cs typeface="+mn-cs"/>
            </a:rPr>
            <a:pPr marL="0" indent="0" algn="ctr"/>
            <a:t>Shortcut keys</a:t>
          </a:fld>
          <a:endParaRPr lang="en-US" sz="1100" b="1">
            <a:solidFill>
              <a:schemeClr val="dk1"/>
            </a:solidFill>
            <a:latin typeface="+mn-lt"/>
            <a:ea typeface="+mn-ea"/>
            <a:cs typeface="+mn-cs"/>
          </a:endParaRPr>
        </a:p>
      </xdr:txBody>
    </xdr:sp>
    <xdr:clientData/>
  </xdr:twoCellAnchor>
  <xdr:twoCellAnchor>
    <xdr:from>
      <xdr:col>0</xdr:col>
      <xdr:colOff>3257550</xdr:colOff>
      <xdr:row>12</xdr:row>
      <xdr:rowOff>80964</xdr:rowOff>
    </xdr:from>
    <xdr:to>
      <xdr:col>0</xdr:col>
      <xdr:colOff>6137550</xdr:colOff>
      <xdr:row>13</xdr:row>
      <xdr:rowOff>212364</xdr:rowOff>
    </xdr:to>
    <xdr:sp macro="" textlink="TableLangues!G17">
      <xdr:nvSpPr>
        <xdr:cNvPr id="40" name="Rounded Rectangle 39" descr="GSM productie">
          <a:hlinkClick xmlns:r="http://schemas.openxmlformats.org/officeDocument/2006/relationships" r:id="rId19"/>
          <a:extLst>
            <a:ext uri="{FF2B5EF4-FFF2-40B4-BE49-F238E27FC236}">
              <a16:creationId xmlns:a16="http://schemas.microsoft.com/office/drawing/2014/main" id="{00000000-0008-0000-0100-000028000000}"/>
            </a:ext>
          </a:extLst>
        </xdr:cNvPr>
        <xdr:cNvSpPr/>
      </xdr:nvSpPr>
      <xdr:spPr>
        <a:xfrm>
          <a:off x="3257550" y="3128964"/>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7E66936C-D370-4AAA-AF60-7DB70E80A362}" type="TxLink">
            <a:rPr lang="en-US" sz="1100" b="1">
              <a:solidFill>
                <a:schemeClr val="dk1"/>
              </a:solidFill>
              <a:latin typeface="+mn-lt"/>
              <a:ea typeface="+mn-ea"/>
              <a:cs typeface="+mn-cs"/>
            </a:rPr>
            <a:pPr marL="0" indent="0" algn="ctr"/>
            <a:t>14 - Conditions</a:t>
          </a:fld>
          <a:endParaRPr lang="en-US" sz="1100" b="1">
            <a:solidFill>
              <a:schemeClr val="dk1"/>
            </a:solidFill>
            <a:latin typeface="+mn-lt"/>
            <a:ea typeface="+mn-ea"/>
            <a:cs typeface="+mn-cs"/>
          </a:endParaRPr>
        </a:p>
      </xdr:txBody>
    </xdr:sp>
    <xdr:clientData/>
  </xdr:twoCellAnchor>
  <xdr:twoCellAnchor>
    <xdr:from>
      <xdr:col>0</xdr:col>
      <xdr:colOff>3257550</xdr:colOff>
      <xdr:row>14</xdr:row>
      <xdr:rowOff>62708</xdr:rowOff>
    </xdr:from>
    <xdr:to>
      <xdr:col>0</xdr:col>
      <xdr:colOff>6137550</xdr:colOff>
      <xdr:row>15</xdr:row>
      <xdr:rowOff>194108</xdr:rowOff>
    </xdr:to>
    <xdr:sp macro="" textlink="TableLangues!G19">
      <xdr:nvSpPr>
        <xdr:cNvPr id="42" name="Rounded Rectangle 41" descr="Power Sales">
          <a:hlinkClick xmlns:r="http://schemas.openxmlformats.org/officeDocument/2006/relationships" r:id="rId20"/>
          <a:extLst>
            <a:ext uri="{FF2B5EF4-FFF2-40B4-BE49-F238E27FC236}">
              <a16:creationId xmlns:a16="http://schemas.microsoft.com/office/drawing/2014/main" id="{00000000-0008-0000-0100-00002A000000}"/>
            </a:ext>
          </a:extLst>
        </xdr:cNvPr>
        <xdr:cNvSpPr/>
      </xdr:nvSpPr>
      <xdr:spPr>
        <a:xfrm>
          <a:off x="3257550" y="3567908"/>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D589627C-CBEC-4C5E-94BF-520E97F49984}" type="TxLink">
            <a:rPr lang="en-US" sz="1100" b="1">
              <a:solidFill>
                <a:schemeClr val="dk1"/>
              </a:solidFill>
              <a:latin typeface="+mn-lt"/>
              <a:ea typeface="+mn-ea"/>
              <a:cs typeface="+mn-cs"/>
            </a:rPr>
            <a:pPr marL="0" indent="0" algn="ctr"/>
            <a:t>16 - Randomly</a:t>
          </a:fld>
          <a:endParaRPr lang="en-US" sz="1100" b="1">
            <a:solidFill>
              <a:schemeClr val="dk1"/>
            </a:solidFill>
            <a:latin typeface="+mn-lt"/>
            <a:ea typeface="+mn-ea"/>
            <a:cs typeface="+mn-cs"/>
          </a:endParaRPr>
        </a:p>
      </xdr:txBody>
    </xdr:sp>
    <xdr:clientData/>
  </xdr:twoCellAnchor>
  <xdr:twoCellAnchor>
    <xdr:from>
      <xdr:col>0</xdr:col>
      <xdr:colOff>123825</xdr:colOff>
      <xdr:row>16</xdr:row>
      <xdr:rowOff>44452</xdr:rowOff>
    </xdr:from>
    <xdr:to>
      <xdr:col>0</xdr:col>
      <xdr:colOff>3003825</xdr:colOff>
      <xdr:row>17</xdr:row>
      <xdr:rowOff>175852</xdr:rowOff>
    </xdr:to>
    <xdr:sp macro="" textlink="TableLangues!G20">
      <xdr:nvSpPr>
        <xdr:cNvPr id="35" name="Rounded Rectangle 34" descr="Mini Calendar">
          <a:hlinkClick xmlns:r="http://schemas.openxmlformats.org/officeDocument/2006/relationships" r:id="rId21"/>
          <a:extLst>
            <a:ext uri="{FF2B5EF4-FFF2-40B4-BE49-F238E27FC236}">
              <a16:creationId xmlns:a16="http://schemas.microsoft.com/office/drawing/2014/main" id="{00000000-0008-0000-0100-000023000000}"/>
            </a:ext>
          </a:extLst>
        </xdr:cNvPr>
        <xdr:cNvSpPr/>
      </xdr:nvSpPr>
      <xdr:spPr>
        <a:xfrm>
          <a:off x="123825" y="4006852"/>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A658B6BD-8476-4B50-828C-5C6274A0152A}" type="TxLink">
            <a:rPr lang="en-US" sz="1100" b="1">
              <a:solidFill>
                <a:schemeClr val="dk1"/>
              </a:solidFill>
              <a:latin typeface="+mn-lt"/>
              <a:ea typeface="+mn-ea"/>
              <a:cs typeface="+mn-cs"/>
            </a:rPr>
            <a:pPr marL="0" indent="0" algn="ctr"/>
            <a:t>17 - Transposing</a:t>
          </a:fld>
          <a:endParaRPr lang="en-US" sz="1100" b="1">
            <a:solidFill>
              <a:schemeClr val="dk1"/>
            </a:solidFill>
            <a:latin typeface="+mn-lt"/>
            <a:ea typeface="+mn-ea"/>
            <a:cs typeface="+mn-cs"/>
          </a:endParaRPr>
        </a:p>
      </xdr:txBody>
    </xdr:sp>
    <xdr:clientData/>
  </xdr:twoCellAnchor>
  <xdr:oneCellAnchor>
    <xdr:from>
      <xdr:col>0</xdr:col>
      <xdr:colOff>4314825</xdr:colOff>
      <xdr:row>16</xdr:row>
      <xdr:rowOff>161925</xdr:rowOff>
    </xdr:from>
    <xdr:ext cx="184731" cy="254557"/>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4314825" y="4543425"/>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3257550</xdr:colOff>
      <xdr:row>16</xdr:row>
      <xdr:rowOff>44452</xdr:rowOff>
    </xdr:from>
    <xdr:to>
      <xdr:col>0</xdr:col>
      <xdr:colOff>6137550</xdr:colOff>
      <xdr:row>17</xdr:row>
      <xdr:rowOff>175852</xdr:rowOff>
    </xdr:to>
    <xdr:sp macro="" textlink="TableLangues!G21">
      <xdr:nvSpPr>
        <xdr:cNvPr id="50" name="Rounded Rectangle 49" descr="Agenda Conference">
          <a:hlinkClick xmlns:r="http://schemas.openxmlformats.org/officeDocument/2006/relationships" r:id="rId22"/>
          <a:extLst>
            <a:ext uri="{FF2B5EF4-FFF2-40B4-BE49-F238E27FC236}">
              <a16:creationId xmlns:a16="http://schemas.microsoft.com/office/drawing/2014/main" id="{00000000-0008-0000-0100-000032000000}"/>
            </a:ext>
          </a:extLst>
        </xdr:cNvPr>
        <xdr:cNvSpPr/>
      </xdr:nvSpPr>
      <xdr:spPr>
        <a:xfrm>
          <a:off x="3257550" y="4006852"/>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79CFED74-608A-4577-B9CF-BA194BD41B33}" type="TxLink">
            <a:rPr lang="en-US" sz="1100" b="1">
              <a:solidFill>
                <a:schemeClr val="dk1"/>
              </a:solidFill>
              <a:latin typeface="+mn-lt"/>
              <a:ea typeface="+mn-ea"/>
              <a:cs typeface="+mn-cs"/>
            </a:rPr>
            <a:pPr marL="0" indent="0" algn="ctr"/>
            <a:t>18 - Dynamic Arrays</a:t>
          </a:fld>
          <a:endParaRPr lang="en-US" sz="1100" b="1">
            <a:solidFill>
              <a:schemeClr val="dk1"/>
            </a:solidFill>
            <a:latin typeface="+mn-lt"/>
            <a:ea typeface="+mn-ea"/>
            <a:cs typeface="+mn-cs"/>
          </a:endParaRPr>
        </a:p>
      </xdr:txBody>
    </xdr:sp>
    <xdr:clientData/>
  </xdr:twoCellAnchor>
  <xdr:twoCellAnchor>
    <xdr:from>
      <xdr:col>0</xdr:col>
      <xdr:colOff>123825</xdr:colOff>
      <xdr:row>18</xdr:row>
      <xdr:rowOff>26196</xdr:rowOff>
    </xdr:from>
    <xdr:to>
      <xdr:col>0</xdr:col>
      <xdr:colOff>3003825</xdr:colOff>
      <xdr:row>19</xdr:row>
      <xdr:rowOff>157596</xdr:rowOff>
    </xdr:to>
    <xdr:sp macro="" textlink="TableLangues!G22">
      <xdr:nvSpPr>
        <xdr:cNvPr id="41" name="Rounded Rectangle 40" descr="US Salaries">
          <a:hlinkClick xmlns:r="http://schemas.openxmlformats.org/officeDocument/2006/relationships" r:id="rId23"/>
          <a:extLst>
            <a:ext uri="{FF2B5EF4-FFF2-40B4-BE49-F238E27FC236}">
              <a16:creationId xmlns:a16="http://schemas.microsoft.com/office/drawing/2014/main" id="{00000000-0008-0000-0100-000029000000}"/>
            </a:ext>
          </a:extLst>
        </xdr:cNvPr>
        <xdr:cNvSpPr/>
      </xdr:nvSpPr>
      <xdr:spPr>
        <a:xfrm>
          <a:off x="123825" y="4445796"/>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C709EE16-C22F-4D39-B40D-DB635448A76B}" type="TxLink">
            <a:rPr lang="en-US" sz="1100" b="1">
              <a:solidFill>
                <a:schemeClr val="dk1"/>
              </a:solidFill>
              <a:latin typeface="+mn-lt"/>
              <a:ea typeface="+mn-ea"/>
              <a:cs typeface="+mn-cs"/>
            </a:rPr>
            <a:pPr marL="0" indent="0" algn="ctr"/>
            <a:t>19 - Problem solving</a:t>
          </a:fld>
          <a:endParaRPr lang="en-US" sz="1100" b="1">
            <a:solidFill>
              <a:schemeClr val="dk1"/>
            </a:solidFill>
            <a:latin typeface="+mn-lt"/>
            <a:ea typeface="+mn-ea"/>
            <a:cs typeface="+mn-cs"/>
          </a:endParaRPr>
        </a:p>
      </xdr:txBody>
    </xdr:sp>
    <xdr:clientData/>
  </xdr:twoCellAnchor>
  <xdr:twoCellAnchor>
    <xdr:from>
      <xdr:col>0</xdr:col>
      <xdr:colOff>3257550</xdr:colOff>
      <xdr:row>18</xdr:row>
      <xdr:rowOff>26196</xdr:rowOff>
    </xdr:from>
    <xdr:to>
      <xdr:col>0</xdr:col>
      <xdr:colOff>6137550</xdr:colOff>
      <xdr:row>19</xdr:row>
      <xdr:rowOff>157596</xdr:rowOff>
    </xdr:to>
    <xdr:sp macro="" textlink="TableLangues!G23">
      <xdr:nvSpPr>
        <xdr:cNvPr id="43" name="Rounded Rectangle 42" descr="Patterns and Ranks">
          <a:hlinkClick xmlns:r="http://schemas.openxmlformats.org/officeDocument/2006/relationships" r:id="rId24"/>
          <a:extLst>
            <a:ext uri="{FF2B5EF4-FFF2-40B4-BE49-F238E27FC236}">
              <a16:creationId xmlns:a16="http://schemas.microsoft.com/office/drawing/2014/main" id="{00000000-0008-0000-0100-00002B000000}"/>
            </a:ext>
          </a:extLst>
        </xdr:cNvPr>
        <xdr:cNvSpPr/>
      </xdr:nvSpPr>
      <xdr:spPr>
        <a:xfrm>
          <a:off x="3257550" y="4445796"/>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B7BAFA38-ECC5-4A30-8968-F42CEED0CBA2}" type="TxLink">
            <a:rPr lang="en-US" sz="1100" b="1">
              <a:solidFill>
                <a:schemeClr val="dk1"/>
              </a:solidFill>
              <a:latin typeface="+mn-lt"/>
              <a:ea typeface="+mn-ea"/>
              <a:cs typeface="+mn-cs"/>
            </a:rPr>
            <a:pPr marL="0" indent="0" algn="ctr"/>
            <a:t>20 - Payments</a:t>
          </a:fld>
          <a:endParaRPr lang="en-US" sz="1100" b="1">
            <a:solidFill>
              <a:schemeClr val="dk1"/>
            </a:solidFill>
            <a:latin typeface="+mn-lt"/>
            <a:ea typeface="+mn-ea"/>
            <a:cs typeface="+mn-cs"/>
          </a:endParaRPr>
        </a:p>
      </xdr:txBody>
    </xdr:sp>
    <xdr:clientData/>
  </xdr:twoCellAnchor>
  <xdr:twoCellAnchor>
    <xdr:from>
      <xdr:col>0</xdr:col>
      <xdr:colOff>123825</xdr:colOff>
      <xdr:row>20</xdr:row>
      <xdr:rowOff>7940</xdr:rowOff>
    </xdr:from>
    <xdr:to>
      <xdr:col>0</xdr:col>
      <xdr:colOff>3003825</xdr:colOff>
      <xdr:row>21</xdr:row>
      <xdr:rowOff>139340</xdr:rowOff>
    </xdr:to>
    <xdr:sp macro="" textlink="TableLangues!G24">
      <xdr:nvSpPr>
        <xdr:cNvPr id="44" name="Rounded Rectangle 43" descr="Salaries &amp; Services" title="Salaries &amp; Services">
          <a:hlinkClick xmlns:r="http://schemas.openxmlformats.org/officeDocument/2006/relationships" r:id="rId25"/>
          <a:extLst>
            <a:ext uri="{FF2B5EF4-FFF2-40B4-BE49-F238E27FC236}">
              <a16:creationId xmlns:a16="http://schemas.microsoft.com/office/drawing/2014/main" id="{00000000-0008-0000-0100-00002C000000}"/>
            </a:ext>
          </a:extLst>
        </xdr:cNvPr>
        <xdr:cNvSpPr/>
      </xdr:nvSpPr>
      <xdr:spPr>
        <a:xfrm>
          <a:off x="123825" y="4884740"/>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D90BB356-4D83-4A97-93A9-7BC0FF9E7969}" type="TxLink">
            <a:rPr lang="en-US" sz="1100" b="1">
              <a:solidFill>
                <a:schemeClr val="dk1"/>
              </a:solidFill>
              <a:latin typeface="+mn-lt"/>
              <a:ea typeface="+mn-ea"/>
              <a:cs typeface="+mn-cs"/>
            </a:rPr>
            <a:pPr marL="0" indent="0" algn="ctr"/>
            <a:t>21 - Timings</a:t>
          </a:fld>
          <a:endParaRPr lang="en-US" sz="1100" b="1">
            <a:solidFill>
              <a:schemeClr val="dk1"/>
            </a:solidFill>
            <a:latin typeface="+mn-lt"/>
            <a:ea typeface="+mn-ea"/>
            <a:cs typeface="+mn-cs"/>
          </a:endParaRPr>
        </a:p>
      </xdr:txBody>
    </xdr:sp>
    <xdr:clientData/>
  </xdr:twoCellAnchor>
  <xdr:twoCellAnchor>
    <xdr:from>
      <xdr:col>0</xdr:col>
      <xdr:colOff>3257550</xdr:colOff>
      <xdr:row>20</xdr:row>
      <xdr:rowOff>7940</xdr:rowOff>
    </xdr:from>
    <xdr:to>
      <xdr:col>0</xdr:col>
      <xdr:colOff>6137550</xdr:colOff>
      <xdr:row>21</xdr:row>
      <xdr:rowOff>139340</xdr:rowOff>
    </xdr:to>
    <xdr:sp macro="" textlink="TableLangues!G25">
      <xdr:nvSpPr>
        <xdr:cNvPr id="45" name="Rounded Rectangle 44" descr="World Time Zones">
          <a:hlinkClick xmlns:r="http://schemas.openxmlformats.org/officeDocument/2006/relationships" r:id="rId26"/>
          <a:extLst>
            <a:ext uri="{FF2B5EF4-FFF2-40B4-BE49-F238E27FC236}">
              <a16:creationId xmlns:a16="http://schemas.microsoft.com/office/drawing/2014/main" id="{00000000-0008-0000-0100-00002D000000}"/>
            </a:ext>
          </a:extLst>
        </xdr:cNvPr>
        <xdr:cNvSpPr/>
      </xdr:nvSpPr>
      <xdr:spPr>
        <a:xfrm>
          <a:off x="3257550" y="4884740"/>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48235853-04A9-4D6C-9487-22270592EFEC}" type="TxLink">
            <a:rPr lang="en-US" sz="1100" b="1">
              <a:solidFill>
                <a:schemeClr val="dk1"/>
              </a:solidFill>
              <a:latin typeface="+mn-lt"/>
              <a:ea typeface="+mn-ea"/>
              <a:cs typeface="+mn-cs"/>
            </a:rPr>
            <a:pPr marL="0" indent="0" algn="ctr"/>
            <a:t>22 - Conditionnal summing</a:t>
          </a:fld>
          <a:endParaRPr lang="en-US" sz="1100" b="1">
            <a:solidFill>
              <a:schemeClr val="dk1"/>
            </a:solidFill>
            <a:latin typeface="+mn-lt"/>
            <a:ea typeface="+mn-ea"/>
            <a:cs typeface="+mn-cs"/>
          </a:endParaRPr>
        </a:p>
      </xdr:txBody>
    </xdr:sp>
    <xdr:clientData/>
  </xdr:twoCellAnchor>
  <xdr:twoCellAnchor>
    <xdr:from>
      <xdr:col>0</xdr:col>
      <xdr:colOff>123825</xdr:colOff>
      <xdr:row>21</xdr:row>
      <xdr:rowOff>218284</xdr:rowOff>
    </xdr:from>
    <xdr:to>
      <xdr:col>0</xdr:col>
      <xdr:colOff>3003825</xdr:colOff>
      <xdr:row>23</xdr:row>
      <xdr:rowOff>121084</xdr:rowOff>
    </xdr:to>
    <xdr:sp macro="" textlink="TableLangues!G26">
      <xdr:nvSpPr>
        <xdr:cNvPr id="46" name="Rounded Rectangle 45" descr="Timings and Urgencies">
          <a:hlinkClick xmlns:r="http://schemas.openxmlformats.org/officeDocument/2006/relationships" r:id="rId27"/>
          <a:extLst>
            <a:ext uri="{FF2B5EF4-FFF2-40B4-BE49-F238E27FC236}">
              <a16:creationId xmlns:a16="http://schemas.microsoft.com/office/drawing/2014/main" id="{00000000-0008-0000-0100-00002E000000}"/>
            </a:ext>
          </a:extLst>
        </xdr:cNvPr>
        <xdr:cNvSpPr/>
      </xdr:nvSpPr>
      <xdr:spPr>
        <a:xfrm>
          <a:off x="123825" y="5323684"/>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3409EFC1-A425-46DD-A514-7BDA73A88923}" type="TxLink">
            <a:rPr lang="en-US" sz="1100" b="1">
              <a:solidFill>
                <a:schemeClr val="dk1"/>
              </a:solidFill>
              <a:latin typeface="+mn-lt"/>
              <a:ea typeface="+mn-ea"/>
              <a:cs typeface="+mn-cs"/>
            </a:rPr>
            <a:pPr marL="0" indent="0" algn="ctr"/>
            <a:t>23 - Sales beverages</a:t>
          </a:fld>
          <a:endParaRPr lang="en-US" sz="1100" b="1">
            <a:solidFill>
              <a:schemeClr val="dk1"/>
            </a:solidFill>
            <a:latin typeface="+mn-lt"/>
            <a:ea typeface="+mn-ea"/>
            <a:cs typeface="+mn-cs"/>
          </a:endParaRPr>
        </a:p>
      </xdr:txBody>
    </xdr:sp>
    <xdr:clientData/>
  </xdr:twoCellAnchor>
  <xdr:twoCellAnchor>
    <xdr:from>
      <xdr:col>0</xdr:col>
      <xdr:colOff>3257550</xdr:colOff>
      <xdr:row>21</xdr:row>
      <xdr:rowOff>218284</xdr:rowOff>
    </xdr:from>
    <xdr:to>
      <xdr:col>0</xdr:col>
      <xdr:colOff>6137550</xdr:colOff>
      <xdr:row>23</xdr:row>
      <xdr:rowOff>121084</xdr:rowOff>
    </xdr:to>
    <xdr:sp macro="" textlink="TableLangues!G27">
      <xdr:nvSpPr>
        <xdr:cNvPr id="48" name="Rounded Rectangle 47" descr="Issue log">
          <a:hlinkClick xmlns:r="http://schemas.openxmlformats.org/officeDocument/2006/relationships" r:id="rId28"/>
          <a:extLst>
            <a:ext uri="{FF2B5EF4-FFF2-40B4-BE49-F238E27FC236}">
              <a16:creationId xmlns:a16="http://schemas.microsoft.com/office/drawing/2014/main" id="{00000000-0008-0000-0100-000030000000}"/>
            </a:ext>
          </a:extLst>
        </xdr:cNvPr>
        <xdr:cNvSpPr/>
      </xdr:nvSpPr>
      <xdr:spPr>
        <a:xfrm>
          <a:off x="3257550" y="5323684"/>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12022929-9076-4577-8ED7-48DB7C252335}" type="TxLink">
            <a:rPr lang="en-US" sz="1100" b="1">
              <a:solidFill>
                <a:schemeClr val="dk1"/>
              </a:solidFill>
              <a:latin typeface="+mn-lt"/>
              <a:ea typeface="+mn-ea"/>
              <a:cs typeface="+mn-cs"/>
            </a:rPr>
            <a:pPr marL="0" indent="0" algn="ctr"/>
            <a:t>24 - Formatting conditions</a:t>
          </a:fld>
          <a:endParaRPr lang="en-US" sz="1100" b="1">
            <a:solidFill>
              <a:schemeClr val="dk1"/>
            </a:solidFill>
            <a:latin typeface="+mn-lt"/>
            <a:ea typeface="+mn-ea"/>
            <a:cs typeface="+mn-cs"/>
          </a:endParaRPr>
        </a:p>
      </xdr:txBody>
    </xdr:sp>
    <xdr:clientData/>
  </xdr:twoCellAnchor>
  <xdr:twoCellAnchor>
    <xdr:from>
      <xdr:col>0</xdr:col>
      <xdr:colOff>123825</xdr:colOff>
      <xdr:row>23</xdr:row>
      <xdr:rowOff>200025</xdr:rowOff>
    </xdr:from>
    <xdr:to>
      <xdr:col>0</xdr:col>
      <xdr:colOff>3003825</xdr:colOff>
      <xdr:row>25</xdr:row>
      <xdr:rowOff>102825</xdr:rowOff>
    </xdr:to>
    <xdr:sp macro="" textlink="TableLangues!G28">
      <xdr:nvSpPr>
        <xdr:cNvPr id="47" name="Rounded Rectangle 46" descr="Last Sales Date">
          <a:hlinkClick xmlns:r="http://schemas.openxmlformats.org/officeDocument/2006/relationships" r:id="rId29"/>
          <a:extLst>
            <a:ext uri="{FF2B5EF4-FFF2-40B4-BE49-F238E27FC236}">
              <a16:creationId xmlns:a16="http://schemas.microsoft.com/office/drawing/2014/main" id="{00000000-0008-0000-0100-00002F000000}"/>
            </a:ext>
          </a:extLst>
        </xdr:cNvPr>
        <xdr:cNvSpPr/>
      </xdr:nvSpPr>
      <xdr:spPr>
        <a:xfrm>
          <a:off x="123825" y="5762625"/>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BE1C1DD8-45FB-4DEC-9817-D892D3CDED0E}" type="TxLink">
            <a:rPr lang="en-US" sz="1100" b="1">
              <a:solidFill>
                <a:schemeClr val="dk1"/>
              </a:solidFill>
              <a:latin typeface="+mn-lt"/>
              <a:ea typeface="+mn-ea"/>
              <a:cs typeface="+mn-cs"/>
            </a:rPr>
            <a:pPr marL="0" indent="0" algn="ctr"/>
            <a:t>25 - Dummy data</a:t>
          </a:fld>
          <a:endParaRPr lang="en-US" sz="1100" b="1">
            <a:solidFill>
              <a:schemeClr val="dk1"/>
            </a:solidFill>
            <a:latin typeface="+mn-lt"/>
            <a:ea typeface="+mn-ea"/>
            <a:cs typeface="+mn-cs"/>
          </a:endParaRPr>
        </a:p>
      </xdr:txBody>
    </xdr:sp>
    <xdr:clientData/>
  </xdr:twoCellAnchor>
  <xdr:twoCellAnchor>
    <xdr:from>
      <xdr:col>0</xdr:col>
      <xdr:colOff>3257550</xdr:colOff>
      <xdr:row>23</xdr:row>
      <xdr:rowOff>200025</xdr:rowOff>
    </xdr:from>
    <xdr:to>
      <xdr:col>0</xdr:col>
      <xdr:colOff>6137550</xdr:colOff>
      <xdr:row>25</xdr:row>
      <xdr:rowOff>102825</xdr:rowOff>
    </xdr:to>
    <xdr:sp macro="" textlink="TableLangues!G29">
      <xdr:nvSpPr>
        <xdr:cNvPr id="49" name="Rounded Rectangle 48" descr="Transposing">
          <a:hlinkClick xmlns:r="http://schemas.openxmlformats.org/officeDocument/2006/relationships" r:id="rId30"/>
          <a:extLst>
            <a:ext uri="{FF2B5EF4-FFF2-40B4-BE49-F238E27FC236}">
              <a16:creationId xmlns:a16="http://schemas.microsoft.com/office/drawing/2014/main" id="{00000000-0008-0000-0100-000031000000}"/>
            </a:ext>
          </a:extLst>
        </xdr:cNvPr>
        <xdr:cNvSpPr/>
      </xdr:nvSpPr>
      <xdr:spPr>
        <a:xfrm>
          <a:off x="3257550" y="5762625"/>
          <a:ext cx="2880000" cy="36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fld id="{33590B97-000C-44F1-8B98-0D76F0256A12}" type="TxLink">
            <a:rPr lang="en-US" sz="1100" b="1">
              <a:solidFill>
                <a:schemeClr val="dk1"/>
              </a:solidFill>
              <a:latin typeface="+mn-lt"/>
              <a:ea typeface="+mn-ea"/>
              <a:cs typeface="+mn-cs"/>
            </a:rPr>
            <a:pPr marL="0" indent="0" algn="ctr"/>
            <a:t>26 - Interactive Data</a:t>
          </a:fld>
          <a:endParaRPr lang="en-US" sz="1100" b="1">
            <a:solidFill>
              <a:schemeClr val="dk1"/>
            </a:solidFill>
            <a:latin typeface="+mn-lt"/>
            <a:ea typeface="+mn-ea"/>
            <a:cs typeface="+mn-cs"/>
          </a:endParaRPr>
        </a:p>
      </xdr:txBody>
    </xdr:sp>
    <xdr:clientData/>
  </xdr:twoCellAnchor>
  <xdr:twoCellAnchor>
    <xdr:from>
      <xdr:col>1</xdr:col>
      <xdr:colOff>557100</xdr:colOff>
      <xdr:row>21</xdr:row>
      <xdr:rowOff>28575</xdr:rowOff>
    </xdr:from>
    <xdr:to>
      <xdr:col>1</xdr:col>
      <xdr:colOff>1566750</xdr:colOff>
      <xdr:row>22</xdr:row>
      <xdr:rowOff>50526</xdr:rowOff>
    </xdr:to>
    <xdr:sp macro="" textlink="">
      <xdr:nvSpPr>
        <xdr:cNvPr id="7" name="Snip Diagonal Corner Rectangle 18">
          <a:hlinkClick xmlns:r="http://schemas.openxmlformats.org/officeDocument/2006/relationships" r:id="rId31"/>
          <a:extLst>
            <a:ext uri="{FF2B5EF4-FFF2-40B4-BE49-F238E27FC236}">
              <a16:creationId xmlns:a16="http://schemas.microsoft.com/office/drawing/2014/main" id="{00000000-0008-0000-0100-000007000000}"/>
            </a:ext>
          </a:extLst>
        </xdr:cNvPr>
        <xdr:cNvSpPr/>
      </xdr:nvSpPr>
      <xdr:spPr>
        <a:xfrm>
          <a:off x="6843600" y="5133975"/>
          <a:ext cx="1009650" cy="250551"/>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US" sz="1000" b="1" i="0" u="none" strike="noStrike">
              <a:solidFill>
                <a:srgbClr val="000000"/>
              </a:solidFill>
              <a:latin typeface="Rockwell"/>
              <a:ea typeface="+mn-ea"/>
              <a:cs typeface="+mn-cs"/>
            </a:rPr>
            <a:t>Email</a:t>
          </a:r>
        </a:p>
      </xdr:txBody>
    </xdr:sp>
    <xdr:clientData/>
  </xdr:twoCellAnchor>
  <xdr:twoCellAnchor>
    <xdr:from>
      <xdr:col>1</xdr:col>
      <xdr:colOff>816225</xdr:colOff>
      <xdr:row>22</xdr:row>
      <xdr:rowOff>102694</xdr:rowOff>
    </xdr:from>
    <xdr:to>
      <xdr:col>1</xdr:col>
      <xdr:colOff>1307625</xdr:colOff>
      <xdr:row>24</xdr:row>
      <xdr:rowOff>134069</xdr:rowOff>
    </xdr:to>
    <xdr:pic>
      <xdr:nvPicPr>
        <xdr:cNvPr id="8" name="Graphic 7" descr="Email outline">
          <a:hlinkClick xmlns:r="http://schemas.openxmlformats.org/officeDocument/2006/relationships" r:id="rId3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7102725" y="5436694"/>
          <a:ext cx="491400" cy="488575"/>
        </a:xfrm>
        <a:prstGeom prst="rect">
          <a:avLst/>
        </a:prstGeom>
      </xdr:spPr>
    </xdr:pic>
    <xdr:clientData/>
  </xdr:twoCellAnchor>
  <xdr:twoCellAnchor>
    <xdr:from>
      <xdr:col>1</xdr:col>
      <xdr:colOff>152400</xdr:colOff>
      <xdr:row>13</xdr:row>
      <xdr:rowOff>9525</xdr:rowOff>
    </xdr:from>
    <xdr:to>
      <xdr:col>1</xdr:col>
      <xdr:colOff>1952400</xdr:colOff>
      <xdr:row>14</xdr:row>
      <xdr:rowOff>140925</xdr:rowOff>
    </xdr:to>
    <xdr:sp macro="" textlink="TableLangues!G31">
      <xdr:nvSpPr>
        <xdr:cNvPr id="9" name="Rounded Rectangle 38" descr="Shortcut keys">
          <a:hlinkClick xmlns:r="http://schemas.openxmlformats.org/officeDocument/2006/relationships" r:id="rId34"/>
          <a:extLst>
            <a:ext uri="{FF2B5EF4-FFF2-40B4-BE49-F238E27FC236}">
              <a16:creationId xmlns:a16="http://schemas.microsoft.com/office/drawing/2014/main" id="{00000000-0008-0000-0100-000009000000}"/>
            </a:ext>
          </a:extLst>
        </xdr:cNvPr>
        <xdr:cNvSpPr/>
      </xdr:nvSpPr>
      <xdr:spPr>
        <a:xfrm>
          <a:off x="6896100" y="3286125"/>
          <a:ext cx="1800000" cy="3600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fld id="{E6157BEC-F480-4371-A77D-46B8C82A9383}" type="TxLink">
            <a:rPr lang="en-US" sz="1100" b="1">
              <a:solidFill>
                <a:schemeClr val="dk1"/>
              </a:solidFill>
              <a:latin typeface="+mn-lt"/>
              <a:ea typeface="+mn-ea"/>
              <a:cs typeface="+mn-cs"/>
            </a:rPr>
            <a:pPr marL="0" indent="0" algn="ctr"/>
            <a:t>Table sales data</a:t>
          </a:fld>
          <a:endParaRPr lang="en-US" sz="1100" b="1">
            <a:solidFill>
              <a:schemeClr val="dk1"/>
            </a:solidFill>
            <a:latin typeface="+mn-lt"/>
            <a:ea typeface="+mn-ea"/>
            <a:cs typeface="+mn-cs"/>
          </a:endParaRPr>
        </a:p>
      </xdr:txBody>
    </xdr:sp>
    <xdr:clientData/>
  </xdr:twoCellAnchor>
  <xdr:twoCellAnchor>
    <xdr:from>
      <xdr:col>1</xdr:col>
      <xdr:colOff>152400</xdr:colOff>
      <xdr:row>1</xdr:row>
      <xdr:rowOff>76199</xdr:rowOff>
    </xdr:from>
    <xdr:to>
      <xdr:col>1</xdr:col>
      <xdr:colOff>1952400</xdr:colOff>
      <xdr:row>4</xdr:row>
      <xdr:rowOff>38100</xdr:rowOff>
    </xdr:to>
    <xdr:sp macro="" textlink="TableLangues!G35">
      <xdr:nvSpPr>
        <xdr:cNvPr id="13" name="Rounded Rectangle 35" descr="Functions">
          <a:extLst>
            <a:ext uri="{FF2B5EF4-FFF2-40B4-BE49-F238E27FC236}">
              <a16:creationId xmlns:a16="http://schemas.microsoft.com/office/drawing/2014/main" id="{00000000-0008-0000-0100-00000D000000}"/>
            </a:ext>
          </a:extLst>
        </xdr:cNvPr>
        <xdr:cNvSpPr/>
      </xdr:nvSpPr>
      <xdr:spPr>
        <a:xfrm>
          <a:off x="6896100" y="533399"/>
          <a:ext cx="1800000" cy="638176"/>
        </a:xfrm>
        <a:prstGeom prst="wedgeEllipseCallout">
          <a:avLst>
            <a:gd name="adj1" fmla="val -3371"/>
            <a:gd name="adj2" fmla="val 72948"/>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fld id="{23AA2D6E-713D-4A39-BAD4-4D8F92D3637C}" type="TxLink">
            <a:rPr lang="en-US" sz="1100" b="1" i="0" u="none" strike="noStrike">
              <a:solidFill>
                <a:srgbClr val="000000"/>
              </a:solidFill>
              <a:latin typeface="Verdana"/>
              <a:ea typeface="Verdana"/>
              <a:cs typeface="+mn-cs"/>
            </a:rPr>
            <a:pPr marL="0" indent="0" algn="ctr"/>
            <a:t>In the margin</a:t>
          </a:fld>
          <a:endParaRPr lang="en-US" sz="1400" b="1">
            <a:solidFill>
              <a:schemeClr val="dk1"/>
            </a:solidFill>
            <a:latin typeface="+mn-lt"/>
            <a:ea typeface="+mn-ea"/>
            <a:cs typeface="+mn-cs"/>
          </a:endParaRPr>
        </a:p>
      </xdr:txBody>
    </xdr:sp>
    <xdr:clientData/>
  </xdr:twoCellAnchor>
  <xdr:twoCellAnchor>
    <xdr:from>
      <xdr:col>1</xdr:col>
      <xdr:colOff>161925</xdr:colOff>
      <xdr:row>15</xdr:row>
      <xdr:rowOff>38100</xdr:rowOff>
    </xdr:from>
    <xdr:to>
      <xdr:col>1</xdr:col>
      <xdr:colOff>1961925</xdr:colOff>
      <xdr:row>16</xdr:row>
      <xdr:rowOff>169500</xdr:rowOff>
    </xdr:to>
    <xdr:sp macro="" textlink="TableLangues!G36">
      <xdr:nvSpPr>
        <xdr:cNvPr id="4" name="Rounded Rectangle 38" descr="Shortcut keys">
          <a:hlinkClick xmlns:r="http://schemas.openxmlformats.org/officeDocument/2006/relationships" r:id="rId35"/>
          <a:extLst>
            <a:ext uri="{FF2B5EF4-FFF2-40B4-BE49-F238E27FC236}">
              <a16:creationId xmlns:a16="http://schemas.microsoft.com/office/drawing/2014/main" id="{00000000-0008-0000-0100-000004000000}"/>
            </a:ext>
          </a:extLst>
        </xdr:cNvPr>
        <xdr:cNvSpPr/>
      </xdr:nvSpPr>
      <xdr:spPr>
        <a:xfrm>
          <a:off x="6448425" y="3771900"/>
          <a:ext cx="1800000" cy="3600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fld id="{D818B3E1-B6C9-4E5B-8533-F73B3A29DFED}" type="TxLink">
            <a:rPr lang="en-US" sz="1100" b="1">
              <a:solidFill>
                <a:schemeClr val="dk1"/>
              </a:solidFill>
              <a:latin typeface="+mn-lt"/>
              <a:ea typeface="+mn-ea"/>
              <a:cs typeface="+mn-cs"/>
            </a:rPr>
            <a:pPr marL="0" indent="0" algn="ctr"/>
            <a:t>Internet links</a:t>
          </a:fld>
          <a:endParaRPr lang="en-US" sz="1100" b="1">
            <a:solidFill>
              <a:schemeClr val="dk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0</xdr:row>
      <xdr:rowOff>95250</xdr:rowOff>
    </xdr:from>
    <xdr:to>
      <xdr:col>0</xdr:col>
      <xdr:colOff>984538</xdr:colOff>
      <xdr:row>2</xdr:row>
      <xdr:rowOff>177079</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95250" y="95250"/>
          <a:ext cx="889288"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76201</xdr:colOff>
      <xdr:row>0</xdr:row>
      <xdr:rowOff>66675</xdr:rowOff>
    </xdr:from>
    <xdr:to>
      <xdr:col>0</xdr:col>
      <xdr:colOff>914401</xdr:colOff>
      <xdr:row>2</xdr:row>
      <xdr:rowOff>107897</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6201" y="66675"/>
          <a:ext cx="838200" cy="44127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76201</xdr:colOff>
      <xdr:row>0</xdr:row>
      <xdr:rowOff>66675</xdr:rowOff>
    </xdr:from>
    <xdr:to>
      <xdr:col>0</xdr:col>
      <xdr:colOff>914401</xdr:colOff>
      <xdr:row>2</xdr:row>
      <xdr:rowOff>107897</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01" y="66675"/>
          <a:ext cx="838200" cy="44127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123825</xdr:colOff>
      <xdr:row>0</xdr:row>
      <xdr:rowOff>85725</xdr:rowOff>
    </xdr:from>
    <xdr:to>
      <xdr:col>0</xdr:col>
      <xdr:colOff>962025</xdr:colOff>
      <xdr:row>2</xdr:row>
      <xdr:rowOff>165047</xdr:rowOff>
    </xdr:to>
    <xdr:sp macro="[0]!GotoSheet" textlink="TableLangues!G3">
      <xdr:nvSpPr>
        <xdr:cNvPr id="3" name="Rounded Rectangle 27" descr="Faktuuroverzicht">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123825" y="85725"/>
          <a:ext cx="838200" cy="44127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114300</xdr:colOff>
      <xdr:row>0</xdr:row>
      <xdr:rowOff>95250</xdr:rowOff>
    </xdr:from>
    <xdr:to>
      <xdr:col>1</xdr:col>
      <xdr:colOff>603538</xdr:colOff>
      <xdr:row>3</xdr:row>
      <xdr:rowOff>53254</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4300" y="95250"/>
          <a:ext cx="889288"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114300</xdr:colOff>
      <xdr:row>0</xdr:row>
      <xdr:rowOff>66675</xdr:rowOff>
    </xdr:from>
    <xdr:to>
      <xdr:col>0</xdr:col>
      <xdr:colOff>1003588</xdr:colOff>
      <xdr:row>2</xdr:row>
      <xdr:rowOff>148504</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14300" y="66675"/>
          <a:ext cx="889288"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133350</xdr:colOff>
      <xdr:row>0</xdr:row>
      <xdr:rowOff>76200</xdr:rowOff>
    </xdr:from>
    <xdr:to>
      <xdr:col>0</xdr:col>
      <xdr:colOff>889350</xdr:colOff>
      <xdr:row>1</xdr:row>
      <xdr:rowOff>241500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33350" y="76200"/>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104775</xdr:colOff>
      <xdr:row>0</xdr:row>
      <xdr:rowOff>114300</xdr:rowOff>
    </xdr:from>
    <xdr:to>
      <xdr:col>0</xdr:col>
      <xdr:colOff>860775</xdr:colOff>
      <xdr:row>3</xdr:row>
      <xdr:rowOff>3375</xdr:rowOff>
    </xdr:to>
    <xdr:sp macro="[0]!GotoSheet" textlink="TableLangues!G3">
      <xdr:nvSpPr>
        <xdr:cNvPr id="4" name="Rounded Rectangle 27" descr="Faktuuroverzicht">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104775" y="114300"/>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228600</xdr:colOff>
      <xdr:row>0</xdr:row>
      <xdr:rowOff>66675</xdr:rowOff>
    </xdr:from>
    <xdr:to>
      <xdr:col>1</xdr:col>
      <xdr:colOff>432088</xdr:colOff>
      <xdr:row>2</xdr:row>
      <xdr:rowOff>148504</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228600" y="66675"/>
          <a:ext cx="889288"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756000</xdr:colOff>
      <xdr:row>1</xdr:row>
      <xdr:rowOff>12900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0"/>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108239</xdr:colOff>
      <xdr:row>0</xdr:row>
      <xdr:rowOff>119062</xdr:rowOff>
    </xdr:from>
    <xdr:to>
      <xdr:col>0</xdr:col>
      <xdr:colOff>864239</xdr:colOff>
      <xdr:row>1</xdr:row>
      <xdr:rowOff>128931</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08239" y="119062"/>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104775</xdr:colOff>
      <xdr:row>0</xdr:row>
      <xdr:rowOff>114300</xdr:rowOff>
    </xdr:from>
    <xdr:to>
      <xdr:col>0</xdr:col>
      <xdr:colOff>860775</xdr:colOff>
      <xdr:row>3</xdr:row>
      <xdr:rowOff>3375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4775" y="114300"/>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1</xdr:col>
      <xdr:colOff>180975</xdr:colOff>
      <xdr:row>2</xdr:row>
      <xdr:rowOff>142875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04775" y="76200"/>
          <a:ext cx="704850" cy="4381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981075</xdr:colOff>
      <xdr:row>1</xdr:row>
      <xdr:rowOff>161925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5725" y="95250"/>
          <a:ext cx="895350" cy="3619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161925</xdr:colOff>
      <xdr:row>0</xdr:row>
      <xdr:rowOff>142875</xdr:rowOff>
    </xdr:from>
    <xdr:to>
      <xdr:col>0</xdr:col>
      <xdr:colOff>800100</xdr:colOff>
      <xdr:row>1</xdr:row>
      <xdr:rowOff>146250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61925" y="142875"/>
          <a:ext cx="638175"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104775</xdr:colOff>
      <xdr:row>0</xdr:row>
      <xdr:rowOff>133350</xdr:rowOff>
    </xdr:from>
    <xdr:to>
      <xdr:col>0</xdr:col>
      <xdr:colOff>847725</xdr:colOff>
      <xdr:row>3</xdr:row>
      <xdr:rowOff>3375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04775" y="133350"/>
          <a:ext cx="74295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133350</xdr:colOff>
      <xdr:row>0</xdr:row>
      <xdr:rowOff>66675</xdr:rowOff>
    </xdr:from>
    <xdr:to>
      <xdr:col>1</xdr:col>
      <xdr:colOff>165450</xdr:colOff>
      <xdr:row>1</xdr:row>
      <xdr:rowOff>60525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33350" y="66675"/>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0</xdr:row>
      <xdr:rowOff>66675</xdr:rowOff>
    </xdr:from>
    <xdr:to>
      <xdr:col>0</xdr:col>
      <xdr:colOff>714375</xdr:colOff>
      <xdr:row>2</xdr:row>
      <xdr:rowOff>142875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6200" y="66675"/>
          <a:ext cx="638175" cy="4381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0</xdr:row>
      <xdr:rowOff>38100</xdr:rowOff>
    </xdr:from>
    <xdr:to>
      <xdr:col>0</xdr:col>
      <xdr:colOff>762000</xdr:colOff>
      <xdr:row>3</xdr:row>
      <xdr:rowOff>95250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6200" y="38100"/>
          <a:ext cx="685800" cy="6286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xdr:colOff>
      <xdr:row>0</xdr:row>
      <xdr:rowOff>38100</xdr:rowOff>
    </xdr:from>
    <xdr:to>
      <xdr:col>0</xdr:col>
      <xdr:colOff>762000</xdr:colOff>
      <xdr:row>3</xdr:row>
      <xdr:rowOff>95250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6200" y="38100"/>
          <a:ext cx="685800" cy="6286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247650</xdr:colOff>
      <xdr:row>0</xdr:row>
      <xdr:rowOff>85725</xdr:rowOff>
    </xdr:from>
    <xdr:to>
      <xdr:col>0</xdr:col>
      <xdr:colOff>1285875</xdr:colOff>
      <xdr:row>2</xdr:row>
      <xdr:rowOff>152400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247650" y="85725"/>
          <a:ext cx="1038225" cy="523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756000</xdr:colOff>
      <xdr:row>1</xdr:row>
      <xdr:rowOff>12900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0" y="0"/>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485775</xdr:colOff>
      <xdr:row>6</xdr:row>
      <xdr:rowOff>28575</xdr:rowOff>
    </xdr:from>
    <xdr:to>
      <xdr:col>10</xdr:col>
      <xdr:colOff>85725</xdr:colOff>
      <xdr:row>7</xdr:row>
      <xdr:rowOff>95250</xdr:rowOff>
    </xdr:to>
    <xdr:sp macro="" textlink="">
      <xdr:nvSpPr>
        <xdr:cNvPr id="3" name="Right Arrow 2">
          <a:extLst>
            <a:ext uri="{FF2B5EF4-FFF2-40B4-BE49-F238E27FC236}">
              <a16:creationId xmlns:a16="http://schemas.microsoft.com/office/drawing/2014/main" id="{00000000-0008-0000-1E00-000003000000}"/>
            </a:ext>
          </a:extLst>
        </xdr:cNvPr>
        <xdr:cNvSpPr/>
      </xdr:nvSpPr>
      <xdr:spPr>
        <a:xfrm>
          <a:off x="6657975" y="1381125"/>
          <a:ext cx="285750" cy="247650"/>
        </a:xfrm>
        <a:prstGeom prst="rightArrow">
          <a:avLst/>
        </a:prstGeom>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533400</xdr:colOff>
      <xdr:row>17</xdr:row>
      <xdr:rowOff>76200</xdr:rowOff>
    </xdr:from>
    <xdr:to>
      <xdr:col>10</xdr:col>
      <xdr:colOff>133350</xdr:colOff>
      <xdr:row>18</xdr:row>
      <xdr:rowOff>142875</xdr:rowOff>
    </xdr:to>
    <xdr:sp macro="" textlink="">
      <xdr:nvSpPr>
        <xdr:cNvPr id="4" name="Right Arrow 3">
          <a:extLst>
            <a:ext uri="{FF2B5EF4-FFF2-40B4-BE49-F238E27FC236}">
              <a16:creationId xmlns:a16="http://schemas.microsoft.com/office/drawing/2014/main" id="{00000000-0008-0000-1E00-000004000000}"/>
            </a:ext>
          </a:extLst>
        </xdr:cNvPr>
        <xdr:cNvSpPr/>
      </xdr:nvSpPr>
      <xdr:spPr>
        <a:xfrm>
          <a:off x="6705600" y="3419475"/>
          <a:ext cx="285750" cy="247650"/>
        </a:xfrm>
        <a:prstGeom prst="rightArrow">
          <a:avLst/>
        </a:prstGeom>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123825</xdr:colOff>
      <xdr:row>0</xdr:row>
      <xdr:rowOff>66675</xdr:rowOff>
    </xdr:from>
    <xdr:to>
      <xdr:col>1</xdr:col>
      <xdr:colOff>200025</xdr:colOff>
      <xdr:row>1</xdr:row>
      <xdr:rowOff>28575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23825" y="66675"/>
          <a:ext cx="762000" cy="4000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121227</xdr:colOff>
      <xdr:row>0</xdr:row>
      <xdr:rowOff>77933</xdr:rowOff>
    </xdr:from>
    <xdr:to>
      <xdr:col>1</xdr:col>
      <xdr:colOff>164523</xdr:colOff>
      <xdr:row>2</xdr:row>
      <xdr:rowOff>155865</xdr:rowOff>
    </xdr:to>
    <xdr:sp macro="[0]!GotoSheet" textlink="TableLangues!G3">
      <xdr:nvSpPr>
        <xdr:cNvPr id="3" name="Rounded Rectangle 27" descr="Faktuuroverzicht">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121227" y="77933"/>
          <a:ext cx="831273" cy="44161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121227</xdr:colOff>
      <xdr:row>0</xdr:row>
      <xdr:rowOff>77933</xdr:rowOff>
    </xdr:from>
    <xdr:to>
      <xdr:col>1</xdr:col>
      <xdr:colOff>164523</xdr:colOff>
      <xdr:row>2</xdr:row>
      <xdr:rowOff>155865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21227" y="77933"/>
          <a:ext cx="833871" cy="43988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809625</xdr:colOff>
      <xdr:row>2</xdr:row>
      <xdr:rowOff>152400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04775" y="76200"/>
          <a:ext cx="704850" cy="4381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66675</xdr:colOff>
          <xdr:row>5</xdr:row>
          <xdr:rowOff>74295</xdr:rowOff>
        </xdr:from>
        <xdr:to>
          <xdr:col>10</xdr:col>
          <xdr:colOff>158115</xdr:colOff>
          <xdr:row>11</xdr:row>
          <xdr:rowOff>108585</xdr:rowOff>
        </xdr:to>
        <xdr:grpSp>
          <xdr:nvGrpSpPr>
            <xdr:cNvPr id="7" name="Group 6">
              <a:extLst>
                <a:ext uri="{FF2B5EF4-FFF2-40B4-BE49-F238E27FC236}">
                  <a16:creationId xmlns:a16="http://schemas.microsoft.com/office/drawing/2014/main" id="{00000000-0008-0000-2200-000007000000}"/>
                </a:ext>
              </a:extLst>
            </xdr:cNvPr>
            <xdr:cNvGrpSpPr/>
          </xdr:nvGrpSpPr>
          <xdr:grpSpPr>
            <a:xfrm>
              <a:off x="9077325" y="998220"/>
              <a:ext cx="977265" cy="1120140"/>
              <a:chOff x="9250680" y="358140"/>
              <a:chExt cx="777240" cy="1120140"/>
            </a:xfrm>
          </xdr:grpSpPr>
          <xdr:sp macro="" textlink="">
            <xdr:nvSpPr>
              <xdr:cNvPr id="494593" name="Group Box 1" hidden="1">
                <a:extLst>
                  <a:ext uri="{63B3BB69-23CF-44E3-9099-C40C66FF867C}">
                    <a14:compatExt spid="_x0000_s494593"/>
                  </a:ext>
                  <a:ext uri="{FF2B5EF4-FFF2-40B4-BE49-F238E27FC236}">
                    <a16:creationId xmlns:a16="http://schemas.microsoft.com/office/drawing/2014/main" id="{00000000-0008-0000-2200-0000018C0700}"/>
                  </a:ext>
                </a:extLst>
              </xdr:cNvPr>
              <xdr:cNvSpPr/>
            </xdr:nvSpPr>
            <xdr:spPr bwMode="auto">
              <a:xfrm>
                <a:off x="9250680" y="358140"/>
                <a:ext cx="777240" cy="1120140"/>
              </a:xfrm>
              <a:prstGeom prst="rect">
                <a:avLst/>
              </a:prstGeom>
              <a:noFill/>
              <a:ln w="9525">
                <a:miter lim="800000"/>
                <a:headEnd/>
                <a:tailEnd/>
              </a:ln>
              <a:extLst>
                <a:ext uri="{909E8E84-426E-40DD-AFC4-6F175D3DCCD1}">
                  <a14:hiddenFill>
                    <a:noFill/>
                  </a14:hiddenFill>
                </a:ext>
              </a:extLst>
            </xdr:spPr>
          </xdr:sp>
          <xdr:grpSp>
            <xdr:nvGrpSpPr>
              <xdr:cNvPr id="6" name="Group 5">
                <a:extLst>
                  <a:ext uri="{FF2B5EF4-FFF2-40B4-BE49-F238E27FC236}">
                    <a16:creationId xmlns:a16="http://schemas.microsoft.com/office/drawing/2014/main" id="{00000000-0008-0000-2200-000006000000}"/>
                  </a:ext>
                </a:extLst>
              </xdr:cNvPr>
              <xdr:cNvGrpSpPr/>
            </xdr:nvGrpSpPr>
            <xdr:grpSpPr>
              <a:xfrm>
                <a:off x="9288780" y="403860"/>
                <a:ext cx="720000" cy="980100"/>
                <a:chOff x="9288780" y="419100"/>
                <a:chExt cx="720000" cy="980100"/>
              </a:xfrm>
            </xdr:grpSpPr>
            <xdr:sp macro="" textlink="">
              <xdr:nvSpPr>
                <xdr:cNvPr id="494594" name="Option Button 2" hidden="1">
                  <a:extLst>
                    <a:ext uri="{63B3BB69-23CF-44E3-9099-C40C66FF867C}">
                      <a14:compatExt spid="_x0000_s494594"/>
                    </a:ext>
                    <a:ext uri="{FF2B5EF4-FFF2-40B4-BE49-F238E27FC236}">
                      <a16:creationId xmlns:a16="http://schemas.microsoft.com/office/drawing/2014/main" id="{00000000-0008-0000-2200-0000028C0700}"/>
                    </a:ext>
                  </a:extLst>
                </xdr:cNvPr>
                <xdr:cNvSpPr/>
              </xdr:nvSpPr>
              <xdr:spPr bwMode="auto">
                <a:xfrm>
                  <a:off x="9288780" y="419100"/>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1</a:t>
                  </a:r>
                </a:p>
              </xdr:txBody>
            </xdr:sp>
            <xdr:sp macro="" textlink="">
              <xdr:nvSpPr>
                <xdr:cNvPr id="494595" name="Option Button 3" hidden="1">
                  <a:extLst>
                    <a:ext uri="{63B3BB69-23CF-44E3-9099-C40C66FF867C}">
                      <a14:compatExt spid="_x0000_s494595"/>
                    </a:ext>
                    <a:ext uri="{FF2B5EF4-FFF2-40B4-BE49-F238E27FC236}">
                      <a16:creationId xmlns:a16="http://schemas.microsoft.com/office/drawing/2014/main" id="{00000000-0008-0000-2200-0000038C0700}"/>
                    </a:ext>
                  </a:extLst>
                </xdr:cNvPr>
                <xdr:cNvSpPr/>
              </xdr:nvSpPr>
              <xdr:spPr bwMode="auto">
                <a:xfrm>
                  <a:off x="9288780" y="684852"/>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2</a:t>
                  </a:r>
                </a:p>
              </xdr:txBody>
            </xdr:sp>
            <xdr:sp macro="" textlink="">
              <xdr:nvSpPr>
                <xdr:cNvPr id="494596" name="Option Button 4" hidden="1">
                  <a:extLst>
                    <a:ext uri="{63B3BB69-23CF-44E3-9099-C40C66FF867C}">
                      <a14:compatExt spid="_x0000_s494596"/>
                    </a:ext>
                    <a:ext uri="{FF2B5EF4-FFF2-40B4-BE49-F238E27FC236}">
                      <a16:creationId xmlns:a16="http://schemas.microsoft.com/office/drawing/2014/main" id="{00000000-0008-0000-2200-0000048C0700}"/>
                    </a:ext>
                  </a:extLst>
                </xdr:cNvPr>
                <xdr:cNvSpPr/>
              </xdr:nvSpPr>
              <xdr:spPr bwMode="auto">
                <a:xfrm>
                  <a:off x="9288780" y="950605"/>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3</a:t>
                  </a:r>
                </a:p>
              </xdr:txBody>
            </xdr:sp>
            <xdr:sp macro="" textlink="">
              <xdr:nvSpPr>
                <xdr:cNvPr id="494597" name="Option Button 5" hidden="1">
                  <a:extLst>
                    <a:ext uri="{63B3BB69-23CF-44E3-9099-C40C66FF867C}">
                      <a14:compatExt spid="_x0000_s494597"/>
                    </a:ext>
                    <a:ext uri="{FF2B5EF4-FFF2-40B4-BE49-F238E27FC236}">
                      <a16:creationId xmlns:a16="http://schemas.microsoft.com/office/drawing/2014/main" id="{00000000-0008-0000-2200-0000058C0700}"/>
                    </a:ext>
                  </a:extLst>
                </xdr:cNvPr>
                <xdr:cNvSpPr/>
              </xdr:nvSpPr>
              <xdr:spPr bwMode="auto">
                <a:xfrm>
                  <a:off x="9288780" y="1216357"/>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4</a:t>
                  </a:r>
                </a:p>
              </xdr:txBody>
            </xdr:sp>
          </xdr:grpSp>
        </xdr:grpSp>
        <xdr:clientData/>
      </xdr:twoCellAnchor>
    </mc:Choice>
    <mc:Fallback/>
  </mc:AlternateContent>
  <xdr:twoCellAnchor>
    <xdr:from>
      <xdr:col>10</xdr:col>
      <xdr:colOff>756285</xdr:colOff>
      <xdr:row>2</xdr:row>
      <xdr:rowOff>62865</xdr:rowOff>
    </xdr:from>
    <xdr:to>
      <xdr:col>16</xdr:col>
      <xdr:colOff>163830</xdr:colOff>
      <xdr:row>17</xdr:row>
      <xdr:rowOff>163830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0</xdr:row>
      <xdr:rowOff>76200</xdr:rowOff>
    </xdr:from>
    <xdr:to>
      <xdr:col>0</xdr:col>
      <xdr:colOff>990600</xdr:colOff>
      <xdr:row>2</xdr:row>
      <xdr:rowOff>152400</xdr:rowOff>
    </xdr:to>
    <xdr:sp macro="[0]!GotoSheet" textlink="TableLangues!G3">
      <xdr:nvSpPr>
        <xdr:cNvPr id="5" name="Rounded Rectangle 27" descr="Faktuuroverzicht">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83820" y="76200"/>
          <a:ext cx="906780" cy="4267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twoCellAnchor>
    <xdr:from>
      <xdr:col>12</xdr:col>
      <xdr:colOff>876300</xdr:colOff>
      <xdr:row>21</xdr:row>
      <xdr:rowOff>152400</xdr:rowOff>
    </xdr:from>
    <xdr:to>
      <xdr:col>19</xdr:col>
      <xdr:colOff>521970</xdr:colOff>
      <xdr:row>37</xdr:row>
      <xdr:rowOff>72390</xdr:rowOff>
    </xdr:to>
    <xdr:graphicFrame macro="">
      <xdr:nvGraphicFramePr>
        <xdr:cNvPr id="2" name="Chart 1">
          <a:extLst>
            <a:ext uri="{FF2B5EF4-FFF2-40B4-BE49-F238E27FC236}">
              <a16:creationId xmlns:a16="http://schemas.microsoft.com/office/drawing/2014/main" id="{BDAD7E11-FE80-426A-9AE4-D5EC985EC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144780</xdr:colOff>
      <xdr:row>2</xdr:row>
      <xdr:rowOff>38100</xdr:rowOff>
    </xdr:from>
    <xdr:to>
      <xdr:col>11</xdr:col>
      <xdr:colOff>251460</xdr:colOff>
      <xdr:row>8</xdr:row>
      <xdr:rowOff>91440</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9726930" y="400050"/>
          <a:ext cx="935355" cy="1158240"/>
          <a:chOff x="9250680" y="358140"/>
          <a:chExt cx="777240" cy="1120140"/>
        </a:xfrm>
      </xdr:grpSpPr>
      <xdr:sp macro="" textlink="">
        <xdr:nvSpPr>
          <xdr:cNvPr id="495617" name="Group Box 1" hidden="1">
            <a:extLst>
              <a:ext uri="{63B3BB69-23CF-44E3-9099-C40C66FF867C}">
                <a14:compatExt xmlns:a14="http://schemas.microsoft.com/office/drawing/2010/main" spid="_x0000_s495617"/>
              </a:ext>
              <a:ext uri="{FF2B5EF4-FFF2-40B4-BE49-F238E27FC236}">
                <a16:creationId xmlns:a16="http://schemas.microsoft.com/office/drawing/2014/main" id="{00000000-0008-0000-2300-000001900700}"/>
              </a:ext>
            </a:extLst>
          </xdr:cNvPr>
          <xdr:cNvSpPr/>
        </xdr:nvSpPr>
        <xdr:spPr bwMode="auto">
          <a:xfrm>
            <a:off x="9250680" y="358140"/>
            <a:ext cx="777240" cy="1120140"/>
          </a:xfrm>
          <a:prstGeom prst="rect">
            <a:avLst/>
          </a:prstGeom>
          <a:noFill/>
          <a:ln w="9525">
            <a:miter lim="800000"/>
            <a:headEnd/>
            <a:tailEnd/>
          </a:ln>
          <a:extLst>
            <a:ext uri="{909E8E84-426E-40DD-AFC4-6F175D3DCCD1}">
              <a14:hiddenFill xmlns:a14="http://schemas.microsoft.com/office/drawing/2010/main">
                <a:noFill/>
              </a14:hiddenFill>
            </a:ext>
          </a:extLst>
        </xdr:spPr>
      </xdr:sp>
      <xdr:grpSp>
        <xdr:nvGrpSpPr>
          <xdr:cNvPr id="3" name="Group 2">
            <a:extLst>
              <a:ext uri="{FF2B5EF4-FFF2-40B4-BE49-F238E27FC236}">
                <a16:creationId xmlns:a16="http://schemas.microsoft.com/office/drawing/2014/main" id="{00000000-0008-0000-2300-000003000000}"/>
              </a:ext>
            </a:extLst>
          </xdr:cNvPr>
          <xdr:cNvGrpSpPr/>
        </xdr:nvGrpSpPr>
        <xdr:grpSpPr>
          <a:xfrm>
            <a:off x="9288780" y="403860"/>
            <a:ext cx="720000" cy="980100"/>
            <a:chOff x="9288780" y="419100"/>
            <a:chExt cx="720000" cy="980100"/>
          </a:xfrm>
        </xdr:grpSpPr>
        <xdr:sp macro="" textlink="">
          <xdr:nvSpPr>
            <xdr:cNvPr id="495618" name="Option Button 2" hidden="1">
              <a:extLst>
                <a:ext uri="{63B3BB69-23CF-44E3-9099-C40C66FF867C}">
                  <a14:compatExt xmlns:a14="http://schemas.microsoft.com/office/drawing/2010/main" spid="_x0000_s495618"/>
                </a:ext>
                <a:ext uri="{FF2B5EF4-FFF2-40B4-BE49-F238E27FC236}">
                  <a16:creationId xmlns:a16="http://schemas.microsoft.com/office/drawing/2014/main" id="{00000000-0008-0000-2300-000002900700}"/>
                </a:ext>
              </a:extLst>
            </xdr:cNvPr>
            <xdr:cNvSpPr/>
          </xdr:nvSpPr>
          <xdr:spPr bwMode="auto">
            <a:xfrm>
              <a:off x="9288780" y="419100"/>
              <a:ext cx="720000" cy="182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Zone 1</a:t>
              </a:r>
            </a:p>
          </xdr:txBody>
        </xdr:sp>
        <xdr:sp macro="" textlink="">
          <xdr:nvSpPr>
            <xdr:cNvPr id="495619" name="Option Button 3" hidden="1">
              <a:extLst>
                <a:ext uri="{63B3BB69-23CF-44E3-9099-C40C66FF867C}">
                  <a14:compatExt xmlns:a14="http://schemas.microsoft.com/office/drawing/2010/main" spid="_x0000_s495619"/>
                </a:ext>
                <a:ext uri="{FF2B5EF4-FFF2-40B4-BE49-F238E27FC236}">
                  <a16:creationId xmlns:a16="http://schemas.microsoft.com/office/drawing/2014/main" id="{00000000-0008-0000-2300-000003900700}"/>
                </a:ext>
              </a:extLst>
            </xdr:cNvPr>
            <xdr:cNvSpPr/>
          </xdr:nvSpPr>
          <xdr:spPr bwMode="auto">
            <a:xfrm>
              <a:off x="9288780" y="684852"/>
              <a:ext cx="720000" cy="182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Zone 2</a:t>
              </a:r>
            </a:p>
          </xdr:txBody>
        </xdr:sp>
        <xdr:sp macro="" textlink="">
          <xdr:nvSpPr>
            <xdr:cNvPr id="495620" name="Option Button 4" hidden="1">
              <a:extLst>
                <a:ext uri="{63B3BB69-23CF-44E3-9099-C40C66FF867C}">
                  <a14:compatExt xmlns:a14="http://schemas.microsoft.com/office/drawing/2010/main" spid="_x0000_s495620"/>
                </a:ext>
                <a:ext uri="{FF2B5EF4-FFF2-40B4-BE49-F238E27FC236}">
                  <a16:creationId xmlns:a16="http://schemas.microsoft.com/office/drawing/2014/main" id="{00000000-0008-0000-2300-000004900700}"/>
                </a:ext>
              </a:extLst>
            </xdr:cNvPr>
            <xdr:cNvSpPr/>
          </xdr:nvSpPr>
          <xdr:spPr bwMode="auto">
            <a:xfrm>
              <a:off x="9288780" y="950605"/>
              <a:ext cx="720000" cy="182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Zone 3</a:t>
              </a:r>
            </a:p>
          </xdr:txBody>
        </xdr:sp>
        <xdr:sp macro="" textlink="">
          <xdr:nvSpPr>
            <xdr:cNvPr id="495621" name="Option Button 5" hidden="1">
              <a:extLst>
                <a:ext uri="{63B3BB69-23CF-44E3-9099-C40C66FF867C}">
                  <a14:compatExt xmlns:a14="http://schemas.microsoft.com/office/drawing/2010/main" spid="_x0000_s495621"/>
                </a:ext>
                <a:ext uri="{FF2B5EF4-FFF2-40B4-BE49-F238E27FC236}">
                  <a16:creationId xmlns:a16="http://schemas.microsoft.com/office/drawing/2014/main" id="{00000000-0008-0000-2300-000005900700}"/>
                </a:ext>
              </a:extLst>
            </xdr:cNvPr>
            <xdr:cNvSpPr/>
          </xdr:nvSpPr>
          <xdr:spPr bwMode="auto">
            <a:xfrm>
              <a:off x="9288780" y="1216357"/>
              <a:ext cx="720000" cy="182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Zone 4</a:t>
              </a:r>
            </a:p>
          </xdr:txBody>
        </xdr:sp>
      </xdr:grpSp>
    </xdr:grpSp>
    <xdr:clientData/>
  </xdr:twoCellAnchor>
  <xdr:twoCellAnchor>
    <xdr:from>
      <xdr:col>0</xdr:col>
      <xdr:colOff>83820</xdr:colOff>
      <xdr:row>0</xdr:row>
      <xdr:rowOff>76200</xdr:rowOff>
    </xdr:from>
    <xdr:to>
      <xdr:col>0</xdr:col>
      <xdr:colOff>990600</xdr:colOff>
      <xdr:row>2</xdr:row>
      <xdr:rowOff>152400</xdr:rowOff>
    </xdr:to>
    <xdr:sp macro="[0]!GotoSheet" textlink="TableLangues!G3">
      <xdr:nvSpPr>
        <xdr:cNvPr id="5" name="Rounded Rectangle 27" descr="Faktuuroverzicht">
          <a:hlinkClick xmlns:r="http://schemas.openxmlformats.org/officeDocument/2006/relationships" r:id="rId1"/>
          <a:extLst>
            <a:ext uri="{FF2B5EF4-FFF2-40B4-BE49-F238E27FC236}">
              <a16:creationId xmlns:a16="http://schemas.microsoft.com/office/drawing/2014/main" id="{00000000-0008-0000-2300-000005000000}"/>
            </a:ext>
          </a:extLst>
        </xdr:cNvPr>
        <xdr:cNvSpPr/>
      </xdr:nvSpPr>
      <xdr:spPr>
        <a:xfrm>
          <a:off x="83820" y="76200"/>
          <a:ext cx="906780" cy="4267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mc:AlternateContent xmlns:mc="http://schemas.openxmlformats.org/markup-compatibility/2006">
    <mc:Choice xmlns:a14="http://schemas.microsoft.com/office/drawing/2010/main" Requires="a14">
      <xdr:twoCellAnchor>
        <xdr:from>
          <xdr:col>9</xdr:col>
          <xdr:colOff>66675</xdr:colOff>
          <xdr:row>5</xdr:row>
          <xdr:rowOff>0</xdr:rowOff>
        </xdr:from>
        <xdr:to>
          <xdr:col>10</xdr:col>
          <xdr:colOff>158115</xdr:colOff>
          <xdr:row>11</xdr:row>
          <xdr:rowOff>34290</xdr:rowOff>
        </xdr:to>
        <xdr:grpSp>
          <xdr:nvGrpSpPr>
            <xdr:cNvPr id="4" name="Group 3">
              <a:extLst>
                <a:ext uri="{FF2B5EF4-FFF2-40B4-BE49-F238E27FC236}">
                  <a16:creationId xmlns:a16="http://schemas.microsoft.com/office/drawing/2014/main" id="{5F59FD5B-B2FE-44C2-B460-AFC616072C51}"/>
                </a:ext>
              </a:extLst>
            </xdr:cNvPr>
            <xdr:cNvGrpSpPr/>
          </xdr:nvGrpSpPr>
          <xdr:grpSpPr>
            <a:xfrm>
              <a:off x="8820150" y="923925"/>
              <a:ext cx="920115" cy="1120140"/>
              <a:chOff x="9250680" y="358140"/>
              <a:chExt cx="777240" cy="1120140"/>
            </a:xfrm>
          </xdr:grpSpPr>
          <xdr:sp macro="" textlink="">
            <xdr:nvSpPr>
              <xdr:cNvPr id="6" name="Group Box 1" hidden="1">
                <a:extLst>
                  <a:ext uri="{63B3BB69-23CF-44E3-9099-C40C66FF867C}">
                    <a14:compatExt spid="_x0000_s495617"/>
                  </a:ext>
                  <a:ext uri="{FF2B5EF4-FFF2-40B4-BE49-F238E27FC236}">
                    <a16:creationId xmlns:a16="http://schemas.microsoft.com/office/drawing/2014/main" id="{00000000-0008-0000-2200-0000018C0700}"/>
                  </a:ext>
                </a:extLst>
              </xdr:cNvPr>
              <xdr:cNvSpPr/>
            </xdr:nvSpPr>
            <xdr:spPr bwMode="auto">
              <a:xfrm>
                <a:off x="9250680" y="358140"/>
                <a:ext cx="777240" cy="1120140"/>
              </a:xfrm>
              <a:prstGeom prst="rect">
                <a:avLst/>
              </a:prstGeom>
              <a:noFill/>
              <a:ln w="9525">
                <a:miter lim="800000"/>
                <a:headEnd/>
                <a:tailEnd/>
              </a:ln>
              <a:extLst>
                <a:ext uri="{909E8E84-426E-40DD-AFC4-6F175D3DCCD1}">
                  <a14:hiddenFill>
                    <a:noFill/>
                  </a14:hiddenFill>
                </a:ext>
              </a:extLst>
            </xdr:spPr>
          </xdr:sp>
          <xdr:grpSp>
            <xdr:nvGrpSpPr>
              <xdr:cNvPr id="7" name="Group 6">
                <a:extLst>
                  <a:ext uri="{FF2B5EF4-FFF2-40B4-BE49-F238E27FC236}">
                    <a16:creationId xmlns:a16="http://schemas.microsoft.com/office/drawing/2014/main" id="{5BEC0342-B907-0471-77CA-3FDBC7F42A73}"/>
                  </a:ext>
                </a:extLst>
              </xdr:cNvPr>
              <xdr:cNvGrpSpPr/>
            </xdr:nvGrpSpPr>
            <xdr:grpSpPr>
              <a:xfrm>
                <a:off x="9288780" y="403860"/>
                <a:ext cx="720000" cy="980100"/>
                <a:chOff x="9288780" y="419100"/>
                <a:chExt cx="720000" cy="980100"/>
              </a:xfrm>
            </xdr:grpSpPr>
            <xdr:sp macro="" textlink="">
              <xdr:nvSpPr>
                <xdr:cNvPr id="8" name="Option Button 2" hidden="1">
                  <a:extLst>
                    <a:ext uri="{63B3BB69-23CF-44E3-9099-C40C66FF867C}">
                      <a14:compatExt spid="_x0000_s495618"/>
                    </a:ext>
                    <a:ext uri="{FF2B5EF4-FFF2-40B4-BE49-F238E27FC236}">
                      <a16:creationId xmlns:a16="http://schemas.microsoft.com/office/drawing/2014/main" id="{00000000-0008-0000-2200-0000028C0700}"/>
                    </a:ext>
                  </a:extLst>
                </xdr:cNvPr>
                <xdr:cNvSpPr/>
              </xdr:nvSpPr>
              <xdr:spPr bwMode="auto">
                <a:xfrm>
                  <a:off x="9288780" y="419100"/>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1</a:t>
                  </a:r>
                </a:p>
              </xdr:txBody>
            </xdr:sp>
            <xdr:sp macro="" textlink="">
              <xdr:nvSpPr>
                <xdr:cNvPr id="9" name="Option Button 3" hidden="1">
                  <a:extLst>
                    <a:ext uri="{63B3BB69-23CF-44E3-9099-C40C66FF867C}">
                      <a14:compatExt spid="_x0000_s495619"/>
                    </a:ext>
                    <a:ext uri="{FF2B5EF4-FFF2-40B4-BE49-F238E27FC236}">
                      <a16:creationId xmlns:a16="http://schemas.microsoft.com/office/drawing/2014/main" id="{00000000-0008-0000-2200-0000038C0700}"/>
                    </a:ext>
                  </a:extLst>
                </xdr:cNvPr>
                <xdr:cNvSpPr/>
              </xdr:nvSpPr>
              <xdr:spPr bwMode="auto">
                <a:xfrm>
                  <a:off x="9288780" y="684852"/>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2</a:t>
                  </a:r>
                </a:p>
              </xdr:txBody>
            </xdr:sp>
            <xdr:sp macro="" textlink="">
              <xdr:nvSpPr>
                <xdr:cNvPr id="10" name="Option Button 4" hidden="1">
                  <a:extLst>
                    <a:ext uri="{63B3BB69-23CF-44E3-9099-C40C66FF867C}">
                      <a14:compatExt spid="_x0000_s495620"/>
                    </a:ext>
                    <a:ext uri="{FF2B5EF4-FFF2-40B4-BE49-F238E27FC236}">
                      <a16:creationId xmlns:a16="http://schemas.microsoft.com/office/drawing/2014/main" id="{00000000-0008-0000-2200-0000048C0700}"/>
                    </a:ext>
                  </a:extLst>
                </xdr:cNvPr>
                <xdr:cNvSpPr/>
              </xdr:nvSpPr>
              <xdr:spPr bwMode="auto">
                <a:xfrm>
                  <a:off x="9288780" y="950605"/>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3</a:t>
                  </a:r>
                </a:p>
              </xdr:txBody>
            </xdr:sp>
            <xdr:sp macro="" textlink="">
              <xdr:nvSpPr>
                <xdr:cNvPr id="11" name="Option Button 5" hidden="1">
                  <a:extLst>
                    <a:ext uri="{63B3BB69-23CF-44E3-9099-C40C66FF867C}">
                      <a14:compatExt spid="_x0000_s495621"/>
                    </a:ext>
                    <a:ext uri="{FF2B5EF4-FFF2-40B4-BE49-F238E27FC236}">
                      <a16:creationId xmlns:a16="http://schemas.microsoft.com/office/drawing/2014/main" id="{00000000-0008-0000-2200-0000058C0700}"/>
                    </a:ext>
                  </a:extLst>
                </xdr:cNvPr>
                <xdr:cNvSpPr/>
              </xdr:nvSpPr>
              <xdr:spPr bwMode="auto">
                <a:xfrm>
                  <a:off x="9288780" y="1216357"/>
                  <a:ext cx="720000" cy="1828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Zone 4</a:t>
                  </a:r>
                </a:p>
              </xdr:txBody>
            </xdr:sp>
          </xdr:grp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0</xdr:col>
      <xdr:colOff>121920</xdr:colOff>
      <xdr:row>0</xdr:row>
      <xdr:rowOff>106680</xdr:rowOff>
    </xdr:from>
    <xdr:to>
      <xdr:col>1</xdr:col>
      <xdr:colOff>441836</xdr:colOff>
      <xdr:row>3</xdr:row>
      <xdr:rowOff>24704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21920" y="106680"/>
          <a:ext cx="990476" cy="45904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238125</xdr:colOff>
      <xdr:row>0</xdr:row>
      <xdr:rowOff>114300</xdr:rowOff>
    </xdr:from>
    <xdr:to>
      <xdr:col>0</xdr:col>
      <xdr:colOff>1228601</xdr:colOff>
      <xdr:row>3</xdr:row>
      <xdr:rowOff>47564</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238125" y="114300"/>
          <a:ext cx="990476" cy="4857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1021315</xdr:colOff>
      <xdr:row>23</xdr:row>
      <xdr:rowOff>123825</xdr:rowOff>
    </xdr:from>
    <xdr:to>
      <xdr:col>4</xdr:col>
      <xdr:colOff>45630</xdr:colOff>
      <xdr:row>97</xdr:row>
      <xdr:rowOff>17203</xdr:rowOff>
    </xdr:to>
    <xdr:sp macro="" textlink="">
      <xdr:nvSpPr>
        <xdr:cNvPr id="2" name="Text Box 2">
          <a:extLst>
            <a:ext uri="{FF2B5EF4-FFF2-40B4-BE49-F238E27FC236}">
              <a16:creationId xmlns:a16="http://schemas.microsoft.com/office/drawing/2014/main" id="{00000000-0008-0000-2600-000002000000}"/>
            </a:ext>
          </a:extLst>
        </xdr:cNvPr>
        <xdr:cNvSpPr txBox="1">
          <a:spLocks noChangeArrowheads="1"/>
        </xdr:cNvSpPr>
      </xdr:nvSpPr>
      <xdr:spPr bwMode="auto">
        <a:xfrm>
          <a:off x="1021315" y="4657725"/>
          <a:ext cx="8482640" cy="11898053"/>
        </a:xfrm>
        <a:prstGeom prst="rect">
          <a:avLst/>
        </a:prstGeom>
        <a:solidFill>
          <a:srgbClr val="FFCC99"/>
        </a:solidFill>
        <a:ln w="9525">
          <a:noFill/>
          <a:miter lim="800000"/>
          <a:headEnd/>
          <a:tailEnd/>
        </a:ln>
        <a:effectLst/>
      </xdr:spPr>
      <xdr:txBody>
        <a:bodyPr vertOverflow="clip" wrap="square" lIns="36576" tIns="27432" rIns="0" bIns="0" anchor="t" upright="1"/>
        <a:lstStyle/>
        <a:p>
          <a:pPr algn="l" rtl="0">
            <a:defRPr sz="1000"/>
          </a:pPr>
          <a:r>
            <a:rPr lang="en-GB" sz="1200" b="1" i="0" strike="noStrike">
              <a:solidFill>
                <a:srgbClr val="003366"/>
              </a:solidFill>
              <a:latin typeface="Arial"/>
              <a:cs typeface="Arial"/>
            </a:rPr>
            <a:t>About number format codes for text and spacing</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Adding characters: To display both text and numbers in a cell, enclose the text characters in double quotation marks (" ") or precede a single character with a backslash (\). Include the characters in the appropriate section of the format codes. For example, type the format $0.00" Surplus";$-0.00" Shortage" to display a negative amount as "$-125.74 Shortage." A space character and the following characters are displayed without the use of quotation marks: $ - + / ( ) : ! ^ &amp; ' (left single quotation mark) ' (right single quotation mark) ~ { } = &lt; &gt;</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Including a section for text:   If included, a text section is always the last section in the number format. Include an at sign (@) in the section where you want to display any text entered in the cell. If the @ character is omitted from the text section, text you enter will not be displayed. If you want to always display specific text characters with the entered text, enclose the additional text in double quotation marks (" ") — for example, "gross receipts for "@</a:t>
          </a:r>
        </a:p>
        <a:p>
          <a:pPr algn="l" rtl="0">
            <a:defRPr sz="1000"/>
          </a:pPr>
          <a:r>
            <a:rPr lang="en-GB" sz="1000" b="0" i="0" strike="noStrike">
              <a:solidFill>
                <a:srgbClr val="003366"/>
              </a:solidFill>
              <a:latin typeface="Arial"/>
              <a:cs typeface="Arial"/>
            </a:rPr>
            <a:t>If the format does not include a text section, text you enter is not affected by the format.</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Adding space :  To create a space the width of a character in a number format, include an underscore (_) followed by the character. For example, when you follow an underscore with a closing parenthesis (_)), positive numbers line up correctly with negative numbers that are enclosed in parentheses.</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Repeating characters :  To repeat the next character in the format to fill the column width, include an asterisk (*) in the number format. For example, type 0*- to include enough dashes after a number to fill the cell.</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r>
            <a:rPr lang="en-GB" sz="1200" b="1" i="0" strike="noStrike">
              <a:solidFill>
                <a:srgbClr val="003366"/>
              </a:solidFill>
              <a:latin typeface="Arial"/>
              <a:cs typeface="Arial"/>
            </a:rPr>
            <a:t>About number format codes for decimal places, spaces, colors, and conditions</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Use number format codes to create a custom number format.</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Decimal points and significant digits   To format fractions or numbers with decimal points, include the following digit placeholders in a section. If a number has more digits to the right of the decimal point than there are placeholders in the format, the number rounds to as many decimal places as there are placeholders. If there are more digits to the left of the decimal point than there are placeholders, the extra digits are displayed. If the format contains only number signs (#) to the left of the decimal point, numbers less than 1 begin with a decimal point. </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 displays only significant digits and does not display insignificant zeros.</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0 (zero) displays insignificant zeros if a number has fewer digits than there are zeros in the format.</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 adds spaces for insignificant zeros on either side of the decimal point so that decimal points align when formatted with a fixed-width font, such as Courier New. You can also use ? for fractions that have varying numbers of digits. </a:t>
          </a:r>
        </a:p>
        <a:p>
          <a:pPr algn="l" rtl="0">
            <a:defRPr sz="1000"/>
          </a:pPr>
          <a:r>
            <a:rPr lang="en-GB" sz="1000" b="0" i="0" strike="noStrike">
              <a:solidFill>
                <a:srgbClr val="003366"/>
              </a:solidFill>
              <a:latin typeface="Arial"/>
              <a:cs typeface="Arial"/>
            </a:rPr>
            <a:t>To display Use this code </a:t>
          </a:r>
        </a:p>
        <a:p>
          <a:pPr algn="l" rtl="0">
            <a:defRPr sz="1000"/>
          </a:pPr>
          <a:r>
            <a:rPr lang="en-GB" sz="1000" b="0" i="0" strike="noStrike">
              <a:solidFill>
                <a:srgbClr val="003366"/>
              </a:solidFill>
              <a:latin typeface="Arial"/>
              <a:cs typeface="Arial"/>
            </a:rPr>
            <a:t>1234.59 as 1234.6 ####.# </a:t>
          </a:r>
        </a:p>
        <a:p>
          <a:pPr algn="l" rtl="0">
            <a:defRPr sz="1000"/>
          </a:pPr>
          <a:r>
            <a:rPr lang="en-GB" sz="1000" b="0" i="0" strike="noStrike">
              <a:solidFill>
                <a:srgbClr val="003366"/>
              </a:solidFill>
              <a:latin typeface="Arial"/>
              <a:cs typeface="Arial"/>
            </a:rPr>
            <a:t>8.9 as 8.900 #.000 </a:t>
          </a:r>
        </a:p>
        <a:p>
          <a:pPr algn="l" rtl="0">
            <a:defRPr sz="1000"/>
          </a:pPr>
          <a:r>
            <a:rPr lang="en-GB" sz="1000" b="0" i="0" strike="noStrike">
              <a:solidFill>
                <a:srgbClr val="003366"/>
              </a:solidFill>
              <a:latin typeface="Arial"/>
              <a:cs typeface="Arial"/>
            </a:rPr>
            <a:t>.631 as 0.6 0.# </a:t>
          </a:r>
        </a:p>
        <a:p>
          <a:pPr algn="l" rtl="0">
            <a:defRPr sz="1000"/>
          </a:pPr>
          <a:r>
            <a:rPr lang="en-GB" sz="1000" b="0" i="0" strike="noStrike">
              <a:solidFill>
                <a:srgbClr val="003366"/>
              </a:solidFill>
              <a:latin typeface="Arial"/>
              <a:cs typeface="Arial"/>
            </a:rPr>
            <a:t>12 as 12.0 and 1234.568 as 1234.57 #.0# </a:t>
          </a:r>
        </a:p>
        <a:p>
          <a:pPr algn="l" rtl="0">
            <a:defRPr sz="1000"/>
          </a:pPr>
          <a:r>
            <a:rPr lang="en-GB" sz="1000" b="0" i="0" strike="noStrike">
              <a:solidFill>
                <a:srgbClr val="003366"/>
              </a:solidFill>
              <a:latin typeface="Arial"/>
              <a:cs typeface="Arial"/>
            </a:rPr>
            <a:t>44.398, 102.65, and 2.8 with aligned decimals ???.??? </a:t>
          </a:r>
        </a:p>
        <a:p>
          <a:pPr algn="l" rtl="0">
            <a:defRPr sz="1000"/>
          </a:pPr>
          <a:r>
            <a:rPr lang="en-GB" sz="1000" b="0" i="0" strike="noStrike">
              <a:solidFill>
                <a:srgbClr val="003366"/>
              </a:solidFill>
              <a:latin typeface="Arial"/>
              <a:cs typeface="Arial"/>
            </a:rPr>
            <a:t>5.25 as 5 1/4 and 5.3 as 5 3/10, with aligned division symbols </a:t>
          </a:r>
        </a:p>
        <a:p>
          <a:pPr algn="l" rtl="0">
            <a:defRPr sz="1000"/>
          </a:pPr>
          <a:r>
            <a:rPr lang="en-GB" sz="1000" b="0" i="0" strike="noStrike">
              <a:solidFill>
                <a:srgbClr val="003366"/>
              </a:solidFill>
              <a:latin typeface="Arial"/>
              <a:cs typeface="Arial"/>
            </a:rPr>
            <a:t># ???/??? </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Thousands separator   To display a comma as a thousands separator or to scale a number by a multiple of one thousand, include a comma in the number format.</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To display Use this code </a:t>
          </a:r>
        </a:p>
        <a:p>
          <a:pPr algn="l" rtl="0">
            <a:defRPr sz="1000"/>
          </a:pPr>
          <a:r>
            <a:rPr lang="en-GB" sz="1000" b="0" i="0" strike="noStrike">
              <a:solidFill>
                <a:srgbClr val="003366"/>
              </a:solidFill>
              <a:latin typeface="Arial"/>
              <a:cs typeface="Arial"/>
            </a:rPr>
            <a:t>12000 as 12,000 #,### </a:t>
          </a:r>
        </a:p>
        <a:p>
          <a:pPr algn="l" rtl="0">
            <a:defRPr sz="1000"/>
          </a:pPr>
          <a:r>
            <a:rPr lang="en-GB" sz="1000" b="0" i="0" strike="noStrike">
              <a:solidFill>
                <a:srgbClr val="003366"/>
              </a:solidFill>
              <a:latin typeface="Arial"/>
              <a:cs typeface="Arial"/>
            </a:rPr>
            <a:t>12000 as 12 #, </a:t>
          </a:r>
        </a:p>
        <a:p>
          <a:pPr algn="l" rtl="0">
            <a:defRPr sz="1000"/>
          </a:pPr>
          <a:r>
            <a:rPr lang="en-GB" sz="1000" b="0" i="0" strike="noStrike">
              <a:solidFill>
                <a:srgbClr val="003366"/>
              </a:solidFill>
              <a:latin typeface="Arial"/>
              <a:cs typeface="Arial"/>
            </a:rPr>
            <a:t>12200000 as 12.2 0.0,, </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Color   To set the color for a section of the format, type the name of one of the following eight colors in square brackets in the section. The color code must be the first item in the section. </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[Black] [Blue] </a:t>
          </a:r>
        </a:p>
        <a:p>
          <a:pPr algn="l" rtl="0">
            <a:defRPr sz="1000"/>
          </a:pPr>
          <a:r>
            <a:rPr lang="en-GB" sz="1000" b="0" i="0" strike="noStrike">
              <a:solidFill>
                <a:srgbClr val="003366"/>
              </a:solidFill>
              <a:latin typeface="Arial"/>
              <a:cs typeface="Arial"/>
            </a:rPr>
            <a:t>[Cyan] [Green] </a:t>
          </a:r>
        </a:p>
        <a:p>
          <a:pPr algn="l" rtl="0">
            <a:defRPr sz="1000"/>
          </a:pPr>
          <a:r>
            <a:rPr lang="en-GB" sz="1000" b="0" i="0" strike="noStrike">
              <a:solidFill>
                <a:srgbClr val="003366"/>
              </a:solidFill>
              <a:latin typeface="Arial"/>
              <a:cs typeface="Arial"/>
            </a:rPr>
            <a:t>[Magenta] [Red] </a:t>
          </a:r>
        </a:p>
        <a:p>
          <a:pPr algn="l" rtl="0">
            <a:defRPr sz="1000"/>
          </a:pPr>
          <a:r>
            <a:rPr lang="en-GB" sz="1000" b="0" i="0" strike="noStrike">
              <a:solidFill>
                <a:srgbClr val="003366"/>
              </a:solidFill>
              <a:latin typeface="Arial"/>
              <a:cs typeface="Arial"/>
            </a:rPr>
            <a:t>[White] [Yellow] </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Conditions   To set number formats that will be applied only if a number meets a condition you specify, enclose the condition in square brackets. The condition consists of a comparison operator and a value. For example, the following format displays numbers less than or equal to 100 in a red font and numbers greater than 100 in a blue font.</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[Red][&lt;=100];[Blue][&gt;100]</a:t>
          </a:r>
        </a:p>
        <a:p>
          <a:pPr algn="l" rtl="0">
            <a:defRPr sz="1000"/>
          </a:pPr>
          <a:endParaRPr lang="en-GB" sz="1000" b="0" i="0" strike="noStrike">
            <a:solidFill>
              <a:srgbClr val="003366"/>
            </a:solidFill>
            <a:latin typeface="Arial"/>
            <a:cs typeface="Arial"/>
          </a:endParaRPr>
        </a:p>
        <a:p>
          <a:pPr algn="l" rtl="0">
            <a:defRPr sz="1000"/>
          </a:pPr>
          <a:r>
            <a:rPr lang="en-GB" sz="1000" b="0" i="0" strike="noStrike">
              <a:solidFill>
                <a:srgbClr val="003366"/>
              </a:solidFill>
              <a:latin typeface="Arial"/>
              <a:cs typeface="Arial"/>
            </a:rPr>
            <a:t>To apply conditional formats to cells — for example, color shading that depends on the value of a cell — use the Conditional Formatting command on the Format menu.</a:t>
          </a: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a:p>
          <a:pPr algn="l" rtl="0">
            <a:defRPr sz="1000"/>
          </a:pPr>
          <a:endParaRPr lang="en-GB" sz="1000" b="0" i="0" strike="noStrike">
            <a:solidFill>
              <a:srgbClr val="003366"/>
            </a:solidFill>
            <a:latin typeface="Arial"/>
            <a:cs typeface="Arial"/>
          </a:endParaRPr>
        </a:p>
      </xdr:txBody>
    </xdr:sp>
    <xdr:clientData/>
  </xdr:twoCellAnchor>
  <xdr:twoCellAnchor editAs="absolute">
    <xdr:from>
      <xdr:col>0</xdr:col>
      <xdr:colOff>85725</xdr:colOff>
      <xdr:row>0</xdr:row>
      <xdr:rowOff>95251</xdr:rowOff>
    </xdr:from>
    <xdr:to>
      <xdr:col>0</xdr:col>
      <xdr:colOff>952500</xdr:colOff>
      <xdr:row>1</xdr:row>
      <xdr:rowOff>76200</xdr:rowOff>
    </xdr:to>
    <xdr:sp macro="[0]!GotoSheet" textlink="TableLangues!G3">
      <xdr:nvSpPr>
        <xdr:cNvPr id="3" name="Rounded Rectangle 27" descr="Faktuuroverzicht">
          <a:hlinkClick xmlns:r="http://schemas.openxmlformats.org/officeDocument/2006/relationships" r:id="rId1"/>
          <a:extLst>
            <a:ext uri="{FF2B5EF4-FFF2-40B4-BE49-F238E27FC236}">
              <a16:creationId xmlns:a16="http://schemas.microsoft.com/office/drawing/2014/main" id="{00000000-0008-0000-2600-000003000000}"/>
            </a:ext>
          </a:extLst>
        </xdr:cNvPr>
        <xdr:cNvSpPr/>
      </xdr:nvSpPr>
      <xdr:spPr>
        <a:xfrm>
          <a:off x="85725" y="95251"/>
          <a:ext cx="866775" cy="36194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twoCellAnchor editAs="oneCell">
    <xdr:from>
      <xdr:col>3</xdr:col>
      <xdr:colOff>95249</xdr:colOff>
      <xdr:row>0</xdr:row>
      <xdr:rowOff>62031</xdr:rowOff>
    </xdr:from>
    <xdr:to>
      <xdr:col>3</xdr:col>
      <xdr:colOff>3590924</xdr:colOff>
      <xdr:row>2</xdr:row>
      <xdr:rowOff>190500</xdr:rowOff>
    </xdr:to>
    <xdr:pic>
      <xdr:nvPicPr>
        <xdr:cNvPr id="5" name="Picture 4" descr="Custom number format structure">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34074" y="62031"/>
          <a:ext cx="3495675" cy="690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704850</xdr:colOff>
      <xdr:row>0</xdr:row>
      <xdr:rowOff>228600</xdr:rowOff>
    </xdr:from>
    <xdr:ext cx="1069652" cy="258019"/>
    <xdr:sp macro="" textlink="">
      <xdr:nvSpPr>
        <xdr:cNvPr id="6" name="TextBox 5">
          <a:hlinkClick xmlns:r="http://schemas.openxmlformats.org/officeDocument/2006/relationships" r:id="rId3"/>
          <a:extLst>
            <a:ext uri="{FF2B5EF4-FFF2-40B4-BE49-F238E27FC236}">
              <a16:creationId xmlns:a16="http://schemas.microsoft.com/office/drawing/2014/main" id="{00000000-0008-0000-2600-000006000000}"/>
            </a:ext>
          </a:extLst>
        </xdr:cNvPr>
        <xdr:cNvSpPr txBox="1"/>
      </xdr:nvSpPr>
      <xdr:spPr>
        <a:xfrm>
          <a:off x="4057650" y="228600"/>
          <a:ext cx="1069652" cy="25801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r>
            <a:rPr lang="en-GB" sz="1100" b="1" i="0">
              <a:solidFill>
                <a:schemeClr val="tx1"/>
              </a:solidFill>
              <a:effectLst/>
              <a:latin typeface="+mn-lt"/>
              <a:ea typeface="+mn-ea"/>
              <a:cs typeface="+mn-cs"/>
            </a:rPr>
            <a:t>Ctrl+Shift+1 </a:t>
          </a:r>
          <a:endParaRPr lang="en-GB" sz="1100" b="1"/>
        </a:p>
      </xdr:txBody>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114300</xdr:colOff>
      <xdr:row>0</xdr:row>
      <xdr:rowOff>57150</xdr:rowOff>
    </xdr:from>
    <xdr:to>
      <xdr:col>0</xdr:col>
      <xdr:colOff>1104776</xdr:colOff>
      <xdr:row>1</xdr:row>
      <xdr:rowOff>57089</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14300" y="57150"/>
          <a:ext cx="990476" cy="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85726</xdr:rowOff>
    </xdr:from>
    <xdr:to>
      <xdr:col>1</xdr:col>
      <xdr:colOff>66675</xdr:colOff>
      <xdr:row>1</xdr:row>
      <xdr:rowOff>47626</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6675" y="85726"/>
          <a:ext cx="762000" cy="4000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1471455</xdr:colOff>
      <xdr:row>41</xdr:row>
      <xdr:rowOff>0</xdr:rowOff>
    </xdr:from>
    <xdr:to>
      <xdr:col>2</xdr:col>
      <xdr:colOff>1740652</xdr:colOff>
      <xdr:row>42</xdr:row>
      <xdr:rowOff>39982</xdr:rowOff>
    </xdr:to>
    <xdr:sp macro="" textlink="">
      <xdr:nvSpPr>
        <xdr:cNvPr id="2" name="Oval 1">
          <a:extLst>
            <a:ext uri="{FF2B5EF4-FFF2-40B4-BE49-F238E27FC236}">
              <a16:creationId xmlns:a16="http://schemas.microsoft.com/office/drawing/2014/main" id="{00000000-0008-0000-2800-000002000000}"/>
            </a:ext>
          </a:extLst>
        </xdr:cNvPr>
        <xdr:cNvSpPr/>
      </xdr:nvSpPr>
      <xdr:spPr>
        <a:xfrm>
          <a:off x="3947955" y="7048500"/>
          <a:ext cx="269197" cy="22095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0</xdr:col>
      <xdr:colOff>333375</xdr:colOff>
      <xdr:row>5</xdr:row>
      <xdr:rowOff>28575</xdr:rowOff>
    </xdr:from>
    <xdr:to>
      <xdr:col>1</xdr:col>
      <xdr:colOff>1543050</xdr:colOff>
      <xdr:row>12</xdr:row>
      <xdr:rowOff>38100</xdr:rowOff>
    </xdr:to>
    <xdr:sp macro="" textlink="">
      <xdr:nvSpPr>
        <xdr:cNvPr id="5" name="Thought Bubble: Cloud 4">
          <a:extLst>
            <a:ext uri="{FF2B5EF4-FFF2-40B4-BE49-F238E27FC236}">
              <a16:creationId xmlns:a16="http://schemas.microsoft.com/office/drawing/2014/main" id="{00000000-0008-0000-2800-000005000000}"/>
            </a:ext>
          </a:extLst>
        </xdr:cNvPr>
        <xdr:cNvSpPr/>
      </xdr:nvSpPr>
      <xdr:spPr>
        <a:xfrm>
          <a:off x="333375" y="1228725"/>
          <a:ext cx="1990725" cy="1143000"/>
        </a:xfrm>
        <a:prstGeom prst="cloudCallout">
          <a:avLst>
            <a:gd name="adj1" fmla="val 22229"/>
            <a:gd name="adj2" fmla="val 165700"/>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400">
              <a:solidFill>
                <a:schemeClr val="lt1"/>
              </a:solidFill>
              <a:effectLst/>
              <a:latin typeface="+mn-lt"/>
              <a:ea typeface="+mn-ea"/>
              <a:cs typeface="+mn-cs"/>
            </a:rPr>
            <a:t>Consider using Power Query !</a:t>
          </a:r>
          <a:endParaRPr lang="en-GB" sz="1400">
            <a:effectLst/>
          </a:endParaRPr>
        </a:p>
        <a:p>
          <a:pPr algn="ctr"/>
          <a:endParaRPr lang="en-GB" sz="1400"/>
        </a:p>
      </xdr:txBody>
    </xdr:sp>
    <xdr:clientData/>
  </xdr:twoCellAnchor>
  <xdr:twoCellAnchor editAs="oneCell">
    <xdr:from>
      <xdr:col>0</xdr:col>
      <xdr:colOff>66675</xdr:colOff>
      <xdr:row>0</xdr:row>
      <xdr:rowOff>85725</xdr:rowOff>
    </xdr:from>
    <xdr:to>
      <xdr:col>1</xdr:col>
      <xdr:colOff>276101</xdr:colOff>
      <xdr:row>1</xdr:row>
      <xdr:rowOff>161864</xdr:rowOff>
    </xdr:to>
    <xdr:pic>
      <xdr:nvPicPr>
        <xdr:cNvPr id="6" name="Picture 5">
          <a:hlinkClick xmlns:r="http://schemas.openxmlformats.org/officeDocument/2006/relationships" r:id="rId1"/>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2"/>
        <a:stretch>
          <a:fillRect/>
        </a:stretch>
      </xdr:blipFill>
      <xdr:spPr>
        <a:xfrm>
          <a:off x="66675" y="85725"/>
          <a:ext cx="990476" cy="48571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5</xdr:col>
      <xdr:colOff>28575</xdr:colOff>
      <xdr:row>7</xdr:row>
      <xdr:rowOff>152400</xdr:rowOff>
    </xdr:from>
    <xdr:to>
      <xdr:col>6</xdr:col>
      <xdr:colOff>142875</xdr:colOff>
      <xdr:row>11</xdr:row>
      <xdr:rowOff>30975</xdr:rowOff>
    </xdr:to>
    <mc:AlternateContent xmlns:mc="http://schemas.openxmlformats.org/markup-compatibility/2006" xmlns:sle15="http://schemas.microsoft.com/office/drawing/2012/slicer">
      <mc:Choice Requires="sle15">
        <xdr:graphicFrame macro="">
          <xdr:nvGraphicFramePr>
            <xdr:cNvPr id="2" name="fType">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microsoft.com/office/drawing/2010/slicer">
              <sle:slicer xmlns:sle="http://schemas.microsoft.com/office/drawing/2010/slicer" name="fType"/>
            </a:graphicData>
          </a:graphic>
        </xdr:graphicFrame>
      </mc:Choice>
      <mc:Fallback xmlns="">
        <xdr:sp macro="" textlink="">
          <xdr:nvSpPr>
            <xdr:cNvPr id="0" name=""/>
            <xdr:cNvSpPr>
              <a:spLocks noTextEdit="1"/>
            </xdr:cNvSpPr>
          </xdr:nvSpPr>
          <xdr:spPr>
            <a:xfrm>
              <a:off x="9048750" y="1504950"/>
              <a:ext cx="3562350" cy="6120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0</xdr:col>
      <xdr:colOff>57150</xdr:colOff>
      <xdr:row>0</xdr:row>
      <xdr:rowOff>76200</xdr:rowOff>
    </xdr:from>
    <xdr:to>
      <xdr:col>1</xdr:col>
      <xdr:colOff>432088</xdr:colOff>
      <xdr:row>2</xdr:row>
      <xdr:rowOff>152400</xdr:rowOff>
    </xdr:to>
    <xdr:sp macro="[0]!GotoSheet" textlink="TableLangues!G3">
      <xdr:nvSpPr>
        <xdr:cNvPr id="4" name="Rounded Rectangle 27" descr="Faktuuroverzicht">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57150" y="76200"/>
          <a:ext cx="889288" cy="4381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809625</xdr:colOff>
      <xdr:row>2</xdr:row>
      <xdr:rowOff>152400</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04775" y="76200"/>
          <a:ext cx="704850" cy="4381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166687</xdr:colOff>
      <xdr:row>0</xdr:row>
      <xdr:rowOff>59532</xdr:rowOff>
    </xdr:from>
    <xdr:to>
      <xdr:col>1</xdr:col>
      <xdr:colOff>922687</xdr:colOff>
      <xdr:row>0</xdr:row>
      <xdr:rowOff>491532</xdr:rowOff>
    </xdr:to>
    <xdr:sp macro="[0]!GotoSheet" textlink="TableLangues!G3">
      <xdr:nvSpPr>
        <xdr:cNvPr id="4" name="Rounded Rectangle 27" descr="Faktuuroverzicht">
          <a:hlinkClick xmlns:r="http://schemas.openxmlformats.org/officeDocument/2006/relationships" r:id="rId1"/>
          <a:extLst>
            <a:ext uri="{FF2B5EF4-FFF2-40B4-BE49-F238E27FC236}">
              <a16:creationId xmlns:a16="http://schemas.microsoft.com/office/drawing/2014/main" id="{00000000-0008-0000-2B00-000004000000}"/>
            </a:ext>
          </a:extLst>
        </xdr:cNvPr>
        <xdr:cNvSpPr/>
      </xdr:nvSpPr>
      <xdr:spPr>
        <a:xfrm>
          <a:off x="892968" y="59532"/>
          <a:ext cx="756000" cy="432000"/>
        </a:xfrm>
        <a:prstGeom prst="roundRect">
          <a:avLst/>
        </a:prstGeom>
        <a:gradFill rotWithShape="1">
          <a:gsLst>
            <a:gs pos="0">
              <a:srgbClr val="B0CCB0">
                <a:tint val="70000"/>
                <a:satMod val="180000"/>
              </a:srgbClr>
            </a:gs>
            <a:gs pos="62000">
              <a:srgbClr val="B0CCB0">
                <a:tint val="30000"/>
                <a:satMod val="180000"/>
              </a:srgbClr>
            </a:gs>
            <a:gs pos="100000">
              <a:srgbClr val="B0CCB0">
                <a:tint val="22000"/>
                <a:satMod val="180000"/>
              </a:srgbClr>
            </a:gs>
          </a:gsLst>
          <a:lin ang="16200000" scaled="0"/>
        </a:gradFill>
        <a:ln w="9525" cap="flat" cmpd="sng" algn="ctr">
          <a:solidFill>
            <a:srgbClr val="B0CCB0">
              <a:shade val="80000"/>
            </a:srgbClr>
          </a:solidFill>
          <a:prstDash val="solid"/>
        </a:ln>
        <a:effectLst>
          <a:outerShdw blurRad="50800" dist="38100" dir="5400000" rotWithShape="0">
            <a:srgbClr val="000000">
              <a:alpha val="43137"/>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2CC0454-CE16-452B-B028-CE34C2FA609D}" type="TxLink">
            <a:rPr kumimoji="0" lang="en-US" sz="1000" b="1" i="0" u="none" strike="noStrike" kern="0" cap="none" spc="0" normalizeH="0" baseline="0" noProof="0">
              <a:ln>
                <a:noFill/>
              </a:ln>
              <a:solidFill>
                <a:srgbClr val="000000"/>
              </a:solidFill>
              <a:effectLst/>
              <a:uLnTx/>
              <a:uFillTx/>
              <a:latin typeface="Verdana"/>
              <a:ea typeface="Verdana"/>
              <a:cs typeface="+mn-cs"/>
            </a:rPr>
            <a:pPr marL="0" marR="0" lvl="0" indent="0" algn="ctr" defTabSz="914400" eaLnBrk="1" fontAlgn="auto" latinLnBrk="0" hangingPunct="1">
              <a:lnSpc>
                <a:spcPct val="100000"/>
              </a:lnSpc>
              <a:spcBef>
                <a:spcPts val="0"/>
              </a:spcBef>
              <a:spcAft>
                <a:spcPts val="0"/>
              </a:spcAft>
              <a:buClrTx/>
              <a:buSzTx/>
              <a:buFontTx/>
              <a:buNone/>
              <a:tabLst/>
              <a:defRPr/>
            </a:pPr>
            <a:t>Home</a:t>
          </a:fld>
          <a:endParaRPr kumimoji="0" lang="en-GB" sz="1100" b="1" i="0" u="none" strike="noStrike" kern="0" cap="none" spc="0" normalizeH="0" baseline="0" noProof="0">
            <a:ln>
              <a:noFill/>
            </a:ln>
            <a:solidFill>
              <a:sysClr val="windowText" lastClr="000000"/>
            </a:solidFill>
            <a:effectLst/>
            <a:uLnTx/>
            <a:uFillTx/>
            <a:latin typeface="Rockwell"/>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60158</xdr:colOff>
      <xdr:row>0</xdr:row>
      <xdr:rowOff>90237</xdr:rowOff>
    </xdr:from>
    <xdr:to>
      <xdr:col>0</xdr:col>
      <xdr:colOff>822158</xdr:colOff>
      <xdr:row>1</xdr:row>
      <xdr:rowOff>102884</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0158" y="90237"/>
          <a:ext cx="762000"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104670</xdr:colOff>
      <xdr:row>0</xdr:row>
      <xdr:rowOff>83737</xdr:rowOff>
    </xdr:from>
    <xdr:to>
      <xdr:col>1</xdr:col>
      <xdr:colOff>292667</xdr:colOff>
      <xdr:row>2</xdr:row>
      <xdr:rowOff>108835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4670" y="83737"/>
          <a:ext cx="889288"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85726</xdr:colOff>
      <xdr:row>0</xdr:row>
      <xdr:rowOff>57151</xdr:rowOff>
    </xdr:from>
    <xdr:to>
      <xdr:col>0</xdr:col>
      <xdr:colOff>981076</xdr:colOff>
      <xdr:row>2</xdr:row>
      <xdr:rowOff>57151</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85726" y="57151"/>
          <a:ext cx="895350" cy="3619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190500</xdr:colOff>
      <xdr:row>0</xdr:row>
      <xdr:rowOff>66675</xdr:rowOff>
    </xdr:from>
    <xdr:to>
      <xdr:col>1</xdr:col>
      <xdr:colOff>393988</xdr:colOff>
      <xdr:row>2</xdr:row>
      <xdr:rowOff>148504</xdr:rowOff>
    </xdr:to>
    <xdr:sp macro="[0]!GotoSheet" textlink="TableLangues!G3">
      <xdr:nvSpPr>
        <xdr:cNvPr id="4" name="Rounded Rectangle 27" descr="Faktuuroverzicht">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90500" y="66675"/>
          <a:ext cx="889288" cy="44377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142875</xdr:colOff>
      <xdr:row>0</xdr:row>
      <xdr:rowOff>66675</xdr:rowOff>
    </xdr:from>
    <xdr:to>
      <xdr:col>1</xdr:col>
      <xdr:colOff>117825</xdr:colOff>
      <xdr:row>1</xdr:row>
      <xdr:rowOff>79575</xdr:rowOff>
    </xdr:to>
    <xdr:sp macro="[0]!GotoSheet" textlink="TableLangues!G3">
      <xdr:nvSpPr>
        <xdr:cNvPr id="2" name="Rounded Rectangle 27" descr="Faktuuroverzicht">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2875" y="66675"/>
          <a:ext cx="756000" cy="432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32CC0454-CE16-452B-B028-CE34C2FA609D}" type="TxLink">
            <a:rPr lang="en-US" sz="1000" b="1" i="0" u="none" strike="noStrike">
              <a:solidFill>
                <a:srgbClr val="000000"/>
              </a:solidFill>
              <a:latin typeface="Verdana"/>
              <a:ea typeface="Verdana"/>
            </a:rPr>
            <a:pPr algn="ctr"/>
            <a:t>Home</a:t>
          </a:fld>
          <a:endParaRPr lang="en-GB"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courses/Excel/Charts/MyChartsCourse/SimpleSpecialCha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pas/Excel%20Advanced%20FR/Excellent2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ourses/Excel/Computer%20Gaga%20Alan%20Murray/Advanced%20Functions%20book/ch-9/sumprodu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tacked Bars"/>
      <sheetName val="Logarithmique"/>
      <sheetName val="Pareto"/>
      <sheetName val="Age pyramid"/>
      <sheetName val="Doughnut"/>
      <sheetName val="histogram"/>
      <sheetName val="Data Pie - Mini"/>
      <sheetName val="Data Dougnut"/>
      <sheetName val="Compare - Radar"/>
      <sheetName val="Histo and more"/>
      <sheetName val="XY Scatter"/>
      <sheetName val="Ladder"/>
      <sheetName val="new charts 365"/>
      <sheetName val="Cascades 2013"/>
      <sheetName val="cascades"/>
      <sheetName val="Bubble vb"/>
      <sheetName val="Doc Distributie"/>
      <sheetName val="Tornado Final "/>
      <sheetName val="KPI Chart"/>
      <sheetName val="WaffleChart"/>
      <sheetName val="Waffle Chart source"/>
      <sheetName val="Error bars"/>
      <sheetName val="Todays date"/>
      <sheetName val="Stock"/>
      <sheetName val="Power Sales"/>
      <sheetName val="US Salaries"/>
      <sheetName val="World Time Zones"/>
      <sheetName val="Issu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1">
          <cell r="Y11" t="str">
            <v>Line1</v>
          </cell>
        </row>
      </sheetData>
      <sheetData sheetId="26">
        <row r="4">
          <cell r="I4">
            <v>0.25</v>
          </cell>
        </row>
        <row r="5">
          <cell r="F5" t="str">
            <v>Analyst</v>
          </cell>
        </row>
        <row r="6">
          <cell r="F6" t="str">
            <v>Engineer</v>
          </cell>
        </row>
        <row r="7">
          <cell r="F7" t="str">
            <v>CXO or Top Mgmt.</v>
          </cell>
        </row>
        <row r="8">
          <cell r="F8" t="str">
            <v>Manager</v>
          </cell>
        </row>
        <row r="9">
          <cell r="F9" t="str">
            <v>Consultant</v>
          </cell>
        </row>
        <row r="10">
          <cell r="F10" t="str">
            <v>Accountant</v>
          </cell>
        </row>
        <row r="11">
          <cell r="F11" t="str">
            <v>Specialist</v>
          </cell>
        </row>
        <row r="12">
          <cell r="F12" t="str">
            <v>Controller</v>
          </cell>
        </row>
      </sheetData>
      <sheetData sheetId="27">
        <row r="9">
          <cell r="O9" t="str">
            <v>Dummy</v>
          </cell>
        </row>
      </sheetData>
      <sheetData sheetId="28">
        <row r="5">
          <cell r="C5" t="str">
            <v>#</v>
          </cell>
        </row>
        <row r="6">
          <cell r="E6" t="str">
            <v>Low</v>
          </cell>
          <cell r="F6">
            <v>43252</v>
          </cell>
          <cell r="G6">
            <v>43255</v>
          </cell>
        </row>
        <row r="7">
          <cell r="E7" t="str">
            <v>Medium</v>
          </cell>
          <cell r="F7">
            <v>43252</v>
          </cell>
          <cell r="G7">
            <v>43253</v>
          </cell>
        </row>
        <row r="8">
          <cell r="E8" t="str">
            <v>High</v>
          </cell>
          <cell r="F8">
            <v>43254</v>
          </cell>
          <cell r="G8">
            <v>43259</v>
          </cell>
        </row>
        <row r="9">
          <cell r="E9" t="str">
            <v>Low</v>
          </cell>
          <cell r="F9">
            <v>43255</v>
          </cell>
          <cell r="G9">
            <v>43256</v>
          </cell>
        </row>
        <row r="10">
          <cell r="E10" t="str">
            <v>Medium</v>
          </cell>
          <cell r="F10">
            <v>43255</v>
          </cell>
          <cell r="G10">
            <v>43258</v>
          </cell>
        </row>
        <row r="11">
          <cell r="E11" t="str">
            <v>Medium</v>
          </cell>
          <cell r="F11">
            <v>43255</v>
          </cell>
          <cell r="G11">
            <v>43260</v>
          </cell>
        </row>
        <row r="12">
          <cell r="E12" t="str">
            <v>Low</v>
          </cell>
          <cell r="F12">
            <v>43255</v>
          </cell>
          <cell r="G12">
            <v>43262</v>
          </cell>
        </row>
        <row r="13">
          <cell r="E13" t="str">
            <v>High</v>
          </cell>
          <cell r="F13">
            <v>43256</v>
          </cell>
          <cell r="G13">
            <v>43260</v>
          </cell>
        </row>
        <row r="14">
          <cell r="E14" t="str">
            <v>Low</v>
          </cell>
          <cell r="F14">
            <v>43256</v>
          </cell>
          <cell r="G14">
            <v>43257</v>
          </cell>
        </row>
        <row r="15">
          <cell r="E15" t="str">
            <v>Medium</v>
          </cell>
          <cell r="F15">
            <v>43258</v>
          </cell>
          <cell r="G15">
            <v>43265</v>
          </cell>
        </row>
        <row r="16">
          <cell r="E16" t="str">
            <v>High</v>
          </cell>
          <cell r="F16">
            <v>43258</v>
          </cell>
          <cell r="G16">
            <v>43264</v>
          </cell>
        </row>
        <row r="17">
          <cell r="E17" t="str">
            <v>Low</v>
          </cell>
          <cell r="F17">
            <v>43258</v>
          </cell>
          <cell r="G17">
            <v>43265</v>
          </cell>
        </row>
        <row r="18">
          <cell r="E18" t="str">
            <v>Medium</v>
          </cell>
          <cell r="F18">
            <v>43262</v>
          </cell>
          <cell r="G18">
            <v>43264</v>
          </cell>
        </row>
        <row r="19">
          <cell r="E19" t="str">
            <v>Medium</v>
          </cell>
          <cell r="F19">
            <v>43263</v>
          </cell>
          <cell r="G19">
            <v>43268</v>
          </cell>
        </row>
        <row r="20">
          <cell r="E20" t="str">
            <v>Low</v>
          </cell>
          <cell r="F20">
            <v>43263</v>
          </cell>
          <cell r="G20">
            <v>43267</v>
          </cell>
        </row>
        <row r="21">
          <cell r="E21" t="str">
            <v>High</v>
          </cell>
          <cell r="F21">
            <v>43263</v>
          </cell>
          <cell r="G21">
            <v>43270</v>
          </cell>
        </row>
        <row r="22">
          <cell r="E22" t="str">
            <v>Medium</v>
          </cell>
          <cell r="F22">
            <v>43263</v>
          </cell>
          <cell r="G22">
            <v>43265</v>
          </cell>
        </row>
        <row r="23">
          <cell r="E23" t="str">
            <v>High</v>
          </cell>
          <cell r="F23">
            <v>43263</v>
          </cell>
          <cell r="G23">
            <v>43268</v>
          </cell>
        </row>
        <row r="24">
          <cell r="E24" t="str">
            <v>Low</v>
          </cell>
          <cell r="F24">
            <v>43264</v>
          </cell>
          <cell r="G24">
            <v>43271</v>
          </cell>
        </row>
        <row r="25">
          <cell r="E25" t="str">
            <v>Medium</v>
          </cell>
          <cell r="F25">
            <v>43264</v>
          </cell>
          <cell r="G25">
            <v>43270</v>
          </cell>
        </row>
        <row r="26">
          <cell r="E26" t="str">
            <v>Medium</v>
          </cell>
          <cell r="F26">
            <v>43264</v>
          </cell>
          <cell r="G26">
            <v>43270</v>
          </cell>
        </row>
        <row r="27">
          <cell r="E27" t="str">
            <v>Low</v>
          </cell>
          <cell r="F27">
            <v>43267</v>
          </cell>
          <cell r="G27">
            <v>43273</v>
          </cell>
        </row>
        <row r="28">
          <cell r="E28" t="str">
            <v>High</v>
          </cell>
          <cell r="F28">
            <v>43268</v>
          </cell>
          <cell r="G28">
            <v>43269</v>
          </cell>
        </row>
        <row r="29">
          <cell r="E29" t="str">
            <v>Low</v>
          </cell>
          <cell r="F29">
            <v>43269</v>
          </cell>
          <cell r="G29">
            <v>43273</v>
          </cell>
        </row>
        <row r="30">
          <cell r="E30" t="str">
            <v>Medium</v>
          </cell>
          <cell r="F30">
            <v>43271</v>
          </cell>
          <cell r="G30">
            <v>43278</v>
          </cell>
        </row>
        <row r="31">
          <cell r="E31" t="str">
            <v>High</v>
          </cell>
          <cell r="F31">
            <v>43272</v>
          </cell>
          <cell r="G31">
            <v>43275</v>
          </cell>
        </row>
        <row r="32">
          <cell r="E32" t="str">
            <v>Low</v>
          </cell>
          <cell r="F32">
            <v>43272</v>
          </cell>
          <cell r="G32">
            <v>43276</v>
          </cell>
        </row>
        <row r="33">
          <cell r="E33" t="str">
            <v>Medium</v>
          </cell>
          <cell r="F33">
            <v>43273</v>
          </cell>
          <cell r="G33">
            <v>43280</v>
          </cell>
        </row>
        <row r="34">
          <cell r="E34" t="str">
            <v>Medium</v>
          </cell>
          <cell r="F34">
            <v>43275</v>
          </cell>
          <cell r="G34">
            <v>43276</v>
          </cell>
        </row>
        <row r="35">
          <cell r="E35" t="str">
            <v>Medium</v>
          </cell>
          <cell r="F35">
            <v>43276</v>
          </cell>
          <cell r="G35">
            <v>43283</v>
          </cell>
        </row>
        <row r="36">
          <cell r="E36" t="str">
            <v>High</v>
          </cell>
          <cell r="F36">
            <v>43276</v>
          </cell>
          <cell r="G36">
            <v>43278</v>
          </cell>
        </row>
        <row r="37">
          <cell r="E37" t="str">
            <v>Low</v>
          </cell>
          <cell r="F37">
            <v>43277</v>
          </cell>
          <cell r="G37">
            <v>43280</v>
          </cell>
        </row>
        <row r="38">
          <cell r="E38" t="str">
            <v>Medium</v>
          </cell>
          <cell r="F38">
            <v>43278</v>
          </cell>
          <cell r="G38">
            <v>43280</v>
          </cell>
        </row>
        <row r="39">
          <cell r="E39" t="str">
            <v>Medium</v>
          </cell>
          <cell r="F39">
            <v>43278</v>
          </cell>
          <cell r="G39">
            <v>43279</v>
          </cell>
        </row>
        <row r="40">
          <cell r="E40" t="str">
            <v>Low</v>
          </cell>
          <cell r="F40">
            <v>43281</v>
          </cell>
          <cell r="G40">
            <v>43287</v>
          </cell>
        </row>
        <row r="41">
          <cell r="E41" t="str">
            <v>High</v>
          </cell>
          <cell r="F41">
            <v>43283</v>
          </cell>
          <cell r="G41">
            <v>43290</v>
          </cell>
        </row>
        <row r="42">
          <cell r="E42" t="str">
            <v>Low</v>
          </cell>
          <cell r="F42">
            <v>43285</v>
          </cell>
          <cell r="G42">
            <v>43288</v>
          </cell>
        </row>
        <row r="43">
          <cell r="E43" t="str">
            <v>Medium</v>
          </cell>
          <cell r="F43">
            <v>43286</v>
          </cell>
          <cell r="G43">
            <v>43292</v>
          </cell>
        </row>
        <row r="44">
          <cell r="E44" t="str">
            <v>High</v>
          </cell>
          <cell r="F44">
            <v>43288</v>
          </cell>
          <cell r="G44">
            <v>43295</v>
          </cell>
        </row>
        <row r="45">
          <cell r="E45" t="str">
            <v>Low</v>
          </cell>
          <cell r="F45">
            <v>43289</v>
          </cell>
          <cell r="G45">
            <v>43296</v>
          </cell>
        </row>
        <row r="46">
          <cell r="E46" t="str">
            <v>Medium</v>
          </cell>
          <cell r="F46">
            <v>43292</v>
          </cell>
          <cell r="G46">
            <v>43296</v>
          </cell>
        </row>
        <row r="47">
          <cell r="E47" t="str">
            <v>Medium</v>
          </cell>
          <cell r="F47">
            <v>43293</v>
          </cell>
          <cell r="G47">
            <v>43298</v>
          </cell>
        </row>
        <row r="48">
          <cell r="E48" t="str">
            <v>High</v>
          </cell>
          <cell r="F48">
            <v>43293</v>
          </cell>
          <cell r="G48">
            <v>43296</v>
          </cell>
        </row>
        <row r="49">
          <cell r="E49" t="str">
            <v>Low</v>
          </cell>
          <cell r="F49">
            <v>43293</v>
          </cell>
          <cell r="G49">
            <v>43299</v>
          </cell>
        </row>
        <row r="50">
          <cell r="E50" t="str">
            <v>Medium</v>
          </cell>
          <cell r="F50">
            <v>43293</v>
          </cell>
          <cell r="G50">
            <v>43295</v>
          </cell>
        </row>
        <row r="51">
          <cell r="E51" t="str">
            <v>High</v>
          </cell>
          <cell r="F51">
            <v>43295</v>
          </cell>
          <cell r="G51">
            <v>43301</v>
          </cell>
        </row>
        <row r="52">
          <cell r="E52" t="str">
            <v>Low</v>
          </cell>
          <cell r="F52">
            <v>43295</v>
          </cell>
          <cell r="G52">
            <v>43298</v>
          </cell>
        </row>
        <row r="53">
          <cell r="E53" t="str">
            <v>Medium</v>
          </cell>
          <cell r="F53">
            <v>43298</v>
          </cell>
        </row>
        <row r="54">
          <cell r="E54" t="str">
            <v>Medium</v>
          </cell>
          <cell r="F54">
            <v>43298</v>
          </cell>
        </row>
        <row r="55">
          <cell r="E55" t="str">
            <v>Medium</v>
          </cell>
          <cell r="F55">
            <v>43300</v>
          </cell>
        </row>
        <row r="56">
          <cell r="E56" t="str">
            <v>High</v>
          </cell>
          <cell r="F56">
            <v>43300</v>
          </cell>
        </row>
        <row r="57">
          <cell r="E57" t="str">
            <v>Low</v>
          </cell>
          <cell r="F57">
            <v>43300</v>
          </cell>
        </row>
        <row r="58">
          <cell r="E58" t="str">
            <v>Medium</v>
          </cell>
          <cell r="F58">
            <v>43302</v>
          </cell>
        </row>
        <row r="59">
          <cell r="E59" t="str">
            <v>Medium</v>
          </cell>
          <cell r="F59">
            <v>43303</v>
          </cell>
        </row>
        <row r="60">
          <cell r="E60" t="str">
            <v>Low</v>
          </cell>
          <cell r="F60">
            <v>43305</v>
          </cell>
        </row>
        <row r="61">
          <cell r="E61" t="str">
            <v>High</v>
          </cell>
          <cell r="F61">
            <v>43306</v>
          </cell>
        </row>
        <row r="62">
          <cell r="E62" t="str">
            <v>Low</v>
          </cell>
          <cell r="F62">
            <v>43307</v>
          </cell>
        </row>
        <row r="63">
          <cell r="E63" t="str">
            <v>Medium</v>
          </cell>
          <cell r="F63">
            <v>43308</v>
          </cell>
        </row>
        <row r="64">
          <cell r="E64" t="str">
            <v>High</v>
          </cell>
          <cell r="F64">
            <v>43309</v>
          </cell>
        </row>
        <row r="65">
          <cell r="E65" t="str">
            <v>Low</v>
          </cell>
          <cell r="F65">
            <v>43309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drachten"/>
      <sheetName val="TableLangues"/>
      <sheetName val="Vacature"/>
      <sheetName val="Salaries &amp; Services"/>
      <sheetName val="Personeelsbestand"/>
      <sheetName val="Garages"/>
      <sheetName val="Faktuuroverzicht"/>
      <sheetName val="Doubles"/>
      <sheetName val="Student Results"/>
      <sheetName val="IP adressen"/>
      <sheetName val="Opmaak"/>
      <sheetName val="Cumulated Results"/>
      <sheetName val="Ranking"/>
      <sheetName val="Cinema"/>
      <sheetName val="Namen Noemen"/>
      <sheetName val="Power Sales"/>
      <sheetName val="Doc Distributie"/>
      <sheetName val="GSM productie"/>
      <sheetName val="Mini Calendar"/>
      <sheetName val="Agenda Conference"/>
      <sheetName val="US Salaries"/>
      <sheetName val="Finding Patterns"/>
      <sheetName val="World Time Zones"/>
      <sheetName val="Songs"/>
      <sheetName val="Timings and Urgencies"/>
      <sheetName val="Issue Log"/>
      <sheetName val="Last Sales Date"/>
      <sheetName val="Payments"/>
      <sheetName val="Transposing"/>
      <sheetName val="Functions"/>
      <sheetName val="Opmaak Info"/>
      <sheetName val="Shortcut Keys"/>
      <sheetName val="Functions Multilingual"/>
      <sheetName val="Complex Text Functions"/>
      <sheetName val="Vacature_oplossing"/>
      <sheetName val="Faktuuroverzicht_oplossing"/>
      <sheetName val="Portefeuille_oplossing"/>
      <sheetName val="Doublons_oplossing"/>
      <sheetName val="Cumulated Results oplossing"/>
      <sheetName val="Ranking_oplossing"/>
      <sheetName val="Cinema_oplossing"/>
      <sheetName val="Afbetalingstabel_oplossing"/>
      <sheetName val="Excellent2019"/>
    </sheetNames>
    <sheetDataSet>
      <sheetData sheetId="0"/>
      <sheetData sheetId="1">
        <row r="1">
          <cell r="A1">
            <v>1</v>
          </cell>
        </row>
      </sheetData>
      <sheetData sheetId="2"/>
      <sheetData sheetId="3">
        <row r="6">
          <cell r="I6">
            <v>0</v>
          </cell>
        </row>
      </sheetData>
      <sheetData sheetId="4"/>
      <sheetData sheetId="5">
        <row r="15">
          <cell r="A15" t="str">
            <v>Ref</v>
          </cell>
        </row>
      </sheetData>
      <sheetData sheetId="6"/>
      <sheetData sheetId="7"/>
      <sheetData sheetId="8"/>
      <sheetData sheetId="9"/>
      <sheetData sheetId="10"/>
      <sheetData sheetId="11">
        <row r="6">
          <cell r="C6">
            <v>7212</v>
          </cell>
        </row>
      </sheetData>
      <sheetData sheetId="12"/>
      <sheetData sheetId="13"/>
      <sheetData sheetId="14"/>
      <sheetData sheetId="15"/>
      <sheetData sheetId="16"/>
      <sheetData sheetId="17"/>
      <sheetData sheetId="18">
        <row r="5">
          <cell r="B5">
            <v>43466</v>
          </cell>
        </row>
      </sheetData>
      <sheetData sheetId="19"/>
      <sheetData sheetId="20">
        <row r="7">
          <cell r="F7" t="str">
            <v>Analyst</v>
          </cell>
        </row>
      </sheetData>
      <sheetData sheetId="21">
        <row r="6">
          <cell r="H6">
            <v>1</v>
          </cell>
          <cell r="I6" t="str">
            <v>AM</v>
          </cell>
          <cell r="J6">
            <v>50</v>
          </cell>
        </row>
        <row r="7">
          <cell r="H7">
            <v>2</v>
          </cell>
          <cell r="I7" t="str">
            <v>PM</v>
          </cell>
          <cell r="J7">
            <v>60</v>
          </cell>
        </row>
        <row r="8">
          <cell r="H8">
            <v>3</v>
          </cell>
          <cell r="I8" t="str">
            <v>FM</v>
          </cell>
          <cell r="J8">
            <v>75</v>
          </cell>
        </row>
        <row r="9">
          <cell r="H9">
            <v>4</v>
          </cell>
          <cell r="I9" t="str">
            <v>CM</v>
          </cell>
          <cell r="J9">
            <v>120</v>
          </cell>
        </row>
        <row r="10">
          <cell r="H10">
            <v>5</v>
          </cell>
          <cell r="I10" t="str">
            <v>RM</v>
          </cell>
          <cell r="J10">
            <v>150</v>
          </cell>
        </row>
        <row r="11">
          <cell r="H11">
            <v>6</v>
          </cell>
          <cell r="I11" t="str">
            <v>CXO</v>
          </cell>
          <cell r="J11">
            <v>250</v>
          </cell>
        </row>
      </sheetData>
      <sheetData sheetId="22"/>
      <sheetData sheetId="23"/>
      <sheetData sheetId="24"/>
      <sheetData sheetId="25">
        <row r="6">
          <cell r="D6" t="str">
            <v>Low</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C6" t="str">
            <v>F</v>
          </cell>
        </row>
      </sheetData>
      <sheetData sheetId="40"/>
      <sheetData sheetId="4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ssic"/>
      <sheetName val="Data"/>
      <sheetName val="Single Criteria Sum"/>
      <sheetName val="Multiple Criteria Sum 1"/>
      <sheetName val="Multiple Criteria Sum 2"/>
      <sheetName val="Multiple Criteria Sum 3"/>
      <sheetName val="Multiple Criteria Count 1"/>
      <sheetName val="Lists"/>
      <sheetName val="Multiple Criteria Count 2"/>
      <sheetName val="Multiple Columns"/>
      <sheetName val="Distinct Count"/>
      <sheetName val="Weighted Average"/>
      <sheetName val="Sum Every Nth Row"/>
      <sheetName val="Sum WEEKDAY Values"/>
      <sheetName val="Sum Top N Values"/>
      <sheetName val="sumproduc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B2" t="str">
            <v>Kate</v>
          </cell>
        </row>
      </sheetData>
      <sheetData sheetId="10"/>
      <sheetData sheetId="11"/>
      <sheetData sheetId="12" refreshError="1"/>
      <sheetData sheetId="13" refreshError="1"/>
      <sheetData sheetId="14" refreshError="1"/>
      <sheetData sheetId="15"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23C54271-544C-44B6-8B5C-0735B15983B1}" autoFormatId="16" applyNumberFormats="0" applyBorderFormats="0" applyFontFormats="0" applyPatternFormats="0" applyAlignmentFormats="0" applyWidthHeightFormats="0">
  <queryTableRefresh nextId="7">
    <queryTableFields count="6">
      <queryTableField id="1" name="Index" tableColumnId="1"/>
      <queryTableField id="2" name="Avg" tableColumnId="2"/>
      <queryTableField id="3" name="Min" tableColumnId="3"/>
      <queryTableField id="4" name="Max" tableColumnId="4"/>
      <queryTableField id="5" name="Median" tableColumnId="5"/>
      <queryTableField id="6" name="Nr" tableColumnId="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1" xr16:uid="{CFDE4B83-621A-4947-86F3-4BE3560529BC}" autoFormatId="16" applyNumberFormats="0" applyBorderFormats="0" applyFontFormats="0" applyPatternFormats="0" applyAlignmentFormats="0" applyWidthHeightFormats="0">
  <queryTableRefresh nextId="4" unboundColumnsRight="1">
    <queryTableFields count="3">
      <queryTableField id="1" name="StudentID" tableColumnId="1"/>
      <queryTableField id="2" name="Total Points" tableColumnId="2"/>
      <queryTableField id="3" dataBound="0" tableColumnId="3"/>
    </queryTableFields>
  </queryTableRefresh>
</queryTable>
</file>

<file path=xl/richData/_rels/rdRichValueWebImage.xml.rels><?xml version="1.0" encoding="UTF-8" standalone="yes"?>
<Relationships xmlns="http://schemas.openxmlformats.org/package/2006/relationships"><Relationship Id="rId8" Type="http://schemas.openxmlformats.org/officeDocument/2006/relationships/hyperlink" Target="https://www.bing.com/images/search?form=xlimg&amp;q=Finland" TargetMode="External"/><Relationship Id="rId13" Type="http://schemas.openxmlformats.org/officeDocument/2006/relationships/hyperlink" Target="https://www.bing.com/th?id=OSK.EaGKENylPymKR2vxwyKFWGRGtGNcLXtM8meCLdtsfYI&amp;qlt=95" TargetMode="External"/><Relationship Id="rId18" Type="http://schemas.openxmlformats.org/officeDocument/2006/relationships/hyperlink" Target="https://www.bing.com/images/search?form=xlimg&amp;q=Norway" TargetMode="External"/><Relationship Id="rId26" Type="http://schemas.openxmlformats.org/officeDocument/2006/relationships/hyperlink" Target="https://www.bing.com/images/search?form=xlimg&amp;q=Sweden" TargetMode="External"/><Relationship Id="rId3" Type="http://schemas.openxmlformats.org/officeDocument/2006/relationships/hyperlink" Target="https://www.bing.com/th?id=OSK.dQRnOlTKTXrhKm9OaxUUVBGNjKK1hL9mKy8jDit9INI&amp;qlt=95" TargetMode="External"/><Relationship Id="rId21" Type="http://schemas.openxmlformats.org/officeDocument/2006/relationships/hyperlink" Target="https://www.bing.com/th?id=OSK.2d7b7af86f9a55648a4aec7fbe3969e6&amp;qlt=95" TargetMode="External"/><Relationship Id="rId7" Type="http://schemas.openxmlformats.org/officeDocument/2006/relationships/hyperlink" Target="https://www.bing.com/th?id=OSK.ea703288926093d94f3ee0ae48dc323c&amp;qlt=95" TargetMode="External"/><Relationship Id="rId12" Type="http://schemas.openxmlformats.org/officeDocument/2006/relationships/hyperlink" Target="https://www.bing.com/images/search?form=xlimg&amp;q=Germany" TargetMode="External"/><Relationship Id="rId17" Type="http://schemas.openxmlformats.org/officeDocument/2006/relationships/hyperlink" Target="https://www.bing.com/th?id=OSK.25df30c19d33bb8b6b2e0396595bbfd6&amp;qlt=95" TargetMode="External"/><Relationship Id="rId25" Type="http://schemas.openxmlformats.org/officeDocument/2006/relationships/hyperlink" Target="https://www.bing.com/th?id=OSK.66c2ebf9a8cace2226269d70b1d3b0fc&amp;qlt=95" TargetMode="External"/><Relationship Id="rId2" Type="http://schemas.openxmlformats.org/officeDocument/2006/relationships/hyperlink" Target="https://www.bing.com/images/search?form=xlimg&amp;q=Austria" TargetMode="External"/><Relationship Id="rId16" Type="http://schemas.openxmlformats.org/officeDocument/2006/relationships/hyperlink" Target="https://www.bing.com/images/search?form=xlimg&amp;q=Italy" TargetMode="External"/><Relationship Id="rId20" Type="http://schemas.openxmlformats.org/officeDocument/2006/relationships/hyperlink" Target="https://www.bing.com/images/search?form=xlimg&amp;q=Poland" TargetMode="External"/><Relationship Id="rId29" Type="http://schemas.openxmlformats.org/officeDocument/2006/relationships/hyperlink" Target="https://www.bing.com/th?id=OSK.1a33b5115bfc290abc8869de29ebd567&amp;qlt=95" TargetMode="External"/><Relationship Id="rId1" Type="http://schemas.openxmlformats.org/officeDocument/2006/relationships/hyperlink" Target="https://www.bing.com/th?id=OSK.K6cXOoQ3uq-EC3cRugPlGaZZFMyWOrULs9oxwlrZw8A&amp;qlt=95" TargetMode="External"/><Relationship Id="rId6" Type="http://schemas.openxmlformats.org/officeDocument/2006/relationships/hyperlink" Target="https://www.bing.com/images/search?form=xlimg&amp;q=Denmark" TargetMode="External"/><Relationship Id="rId11" Type="http://schemas.openxmlformats.org/officeDocument/2006/relationships/hyperlink" Target="https://www.bing.com/th?id=OSK.7_iYqjXftHmThTCYlh51zbqPoNnoe4Qk7UaH59Ba1Z0&amp;qlt=95" TargetMode="External"/><Relationship Id="rId24" Type="http://schemas.openxmlformats.org/officeDocument/2006/relationships/hyperlink" Target="https://www.bing.com/images/search?form=xlimg&amp;q=Spain" TargetMode="External"/><Relationship Id="rId32" Type="http://schemas.openxmlformats.org/officeDocument/2006/relationships/hyperlink" Target="https://www.bing.com/images/search?form=xlimg&amp;q=India" TargetMode="External"/><Relationship Id="rId5" Type="http://schemas.openxmlformats.org/officeDocument/2006/relationships/hyperlink" Target="https://www.bing.com/th?id=OSK.9131f9cc50427b26d6b4964a5feb9d7e&amp;qlt=95" TargetMode="External"/><Relationship Id="rId15" Type="http://schemas.openxmlformats.org/officeDocument/2006/relationships/hyperlink" Target="https://www.bing.com/th?id=OSK.YyStd3n6FeCyDWZVKn54i8IqezKRsFpq7XThd1PUiDk&amp;qlt=95" TargetMode="External"/><Relationship Id="rId23" Type="http://schemas.openxmlformats.org/officeDocument/2006/relationships/hyperlink" Target="https://www.bing.com/th?id=OSK.2e5ae37a1125e977eb781fe1567bce8a&amp;qlt=95" TargetMode="External"/><Relationship Id="rId28" Type="http://schemas.openxmlformats.org/officeDocument/2006/relationships/hyperlink" Target="https://www.bing.com/images/search?form=xlimg&amp;q=Switzerland" TargetMode="External"/><Relationship Id="rId10" Type="http://schemas.openxmlformats.org/officeDocument/2006/relationships/hyperlink" Target="https://www.bing.com/images/search?form=xlimg&amp;q=France" TargetMode="External"/><Relationship Id="rId19" Type="http://schemas.openxmlformats.org/officeDocument/2006/relationships/hyperlink" Target="https://www.bing.com/th?id=OSK.wh-UTEFTEh6yXROAExnHHJuw4N-wHkAAkwvLwczJijw&amp;qlt=95" TargetMode="External"/><Relationship Id="rId31" Type="http://schemas.openxmlformats.org/officeDocument/2006/relationships/hyperlink" Target="https://www.bing.com/th?id=OSK.3386bc8d96f35351f9956787a1c677c6&amp;qlt=95" TargetMode="External"/><Relationship Id="rId4" Type="http://schemas.openxmlformats.org/officeDocument/2006/relationships/hyperlink" Target="https://www.bing.com/images/search?form=xlimg&amp;q=Belgium" TargetMode="External"/><Relationship Id="rId9" Type="http://schemas.openxmlformats.org/officeDocument/2006/relationships/hyperlink" Target="https://www.bing.com/th?id=OSK.IJoB2IAflCzjheZJfaz5mfzEWw5jRcoWEgDQz1yU2Yk&amp;qlt=95" TargetMode="External"/><Relationship Id="rId14" Type="http://schemas.openxmlformats.org/officeDocument/2006/relationships/hyperlink" Target="https://www.bing.com/images/search?form=xlimg&amp;q=Republic%20of%20Ireland" TargetMode="External"/><Relationship Id="rId22" Type="http://schemas.openxmlformats.org/officeDocument/2006/relationships/hyperlink" Target="https://www.bing.com/images/search?form=xlimg&amp;q=Portugal" TargetMode="External"/><Relationship Id="rId27" Type="http://schemas.openxmlformats.org/officeDocument/2006/relationships/hyperlink" Target="https://www.bing.com/th?id=OSK.f7fdc0797674edd230ee73aba17b77d2&amp;qlt=95" TargetMode="External"/><Relationship Id="rId30" Type="http://schemas.openxmlformats.org/officeDocument/2006/relationships/hyperlink" Target="https://www.bing.com/images/search?form=xlimg&amp;q=United%20Kingdom"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Srd>
</file>

<file path=xl/richData/rdarray.xml><?xml version="1.0" encoding="utf-8"?>
<arrayData xmlns="http://schemas.microsoft.com/office/spreadsheetml/2017/richdata2" count="51">
  <a r="2">
    <v t="r">20</v>
    <v t="r">21</v>
  </a>
  <a r="4">
    <v t="s">Burgenland Croatian</v>
    <v t="s">Hungarian language</v>
    <v t="s">Slovene language</v>
    <v t="s">German language</v>
  </a>
  <a r="9">
    <v t="r">39</v>
    <v t="r">40</v>
    <v t="r">41</v>
    <v t="r">42</v>
    <v t="r">43</v>
    <v t="r">44</v>
    <v t="r">45</v>
    <v t="r">46</v>
    <v t="r">6</v>
  </a>
  <a r="1">
    <v t="s">Central European Time</v>
  </a>
  <a r="2">
    <v t="r">73</v>
    <v t="r">74</v>
  </a>
  <a r="3">
    <v t="s">Dutch language</v>
    <v t="s">German language</v>
    <v t="s">French language</v>
  </a>
  <a r="3">
    <v t="r">92</v>
    <v t="r">93</v>
    <v t="r">94</v>
  </a>
  <a r="2">
    <v t="r">121</v>
    <v t="r">122</v>
  </a>
  <a r="1">
    <v t="s">Danish language</v>
  </a>
  <a r="5">
    <v t="r">139</v>
    <v t="r">140</v>
    <v t="r">141</v>
    <v t="r">142</v>
    <v t="r">143</v>
  </a>
  <a r="2">
    <v t="r">170</v>
    <v t="r">171</v>
  </a>
  <a r="2">
    <v t="s">Swedish language</v>
    <v t="s">Finnish language</v>
  </a>
  <a r="19">
    <v t="r">189</v>
    <v t="r">190</v>
    <v t="r">191</v>
    <v t="r">192</v>
    <v t="r">193</v>
    <v t="r">194</v>
    <v t="r">195</v>
    <v t="r">196</v>
    <v t="r">197</v>
    <v t="r">198</v>
    <v t="r">199</v>
    <v t="r">200</v>
    <v t="r">201</v>
    <v t="r">202</v>
    <v t="r">203</v>
    <v t="r">204</v>
    <v t="r">205</v>
    <v t="r">206</v>
    <v t="r">207</v>
  </a>
  <a r="2">
    <v t="r">234</v>
    <v t="r">235</v>
  </a>
  <a r="1">
    <v t="s">French language</v>
  </a>
  <a r="25">
    <v t="r">253</v>
    <v t="r">254</v>
    <v t="r">255</v>
    <v t="r">256</v>
    <v t="r">257</v>
    <v t="r">258</v>
    <v t="r">259</v>
    <v t="r">260</v>
    <v t="r">261</v>
    <v t="r">262</v>
    <v t="r">263</v>
    <v t="r">264</v>
    <v t="r">265</v>
    <v t="r">266</v>
    <v t="r">267</v>
    <v t="r">268</v>
    <v t="r">269</v>
    <v t="r">270</v>
    <v t="r">271</v>
    <v t="r">272</v>
    <v t="r">273</v>
    <v t="r">274</v>
    <v t="r">275</v>
    <v t="r">276</v>
    <v t="r">277</v>
  </a>
  <a r="2">
    <v t="r">303</v>
    <v t="r">304</v>
  </a>
  <a r="1">
    <v t="s">German language</v>
  </a>
  <a r="15">
    <v t="r">323</v>
    <v t="r">324</v>
    <v t="r">290</v>
    <v t="r">325</v>
    <v t="r">326</v>
    <v t="r">327</v>
    <v t="r">328</v>
    <v t="r">329</v>
    <v t="r">330</v>
    <v t="r">331</v>
    <v t="r">332</v>
    <v t="r">333</v>
    <v t="r">334</v>
    <v t="r">335</v>
    <v t="r">336</v>
  </a>
  <a r="4">
    <v t="r">362</v>
    <v t="r">363</v>
    <v t="r">364</v>
    <v t="r">364</v>
  </a>
  <a r="2">
    <v t="s">English language</v>
    <v t="s">Irish language</v>
  </a>
  <a r="26">
    <v t="r">382</v>
    <v t="r">383</v>
    <v t="r">384</v>
    <v t="r">385</v>
    <v t="r">386</v>
    <v t="r">387</v>
    <v t="r">388</v>
    <v t="r">389</v>
    <v t="r">390</v>
    <v t="r">391</v>
    <v t="r">392</v>
    <v t="r">393</v>
    <v t="r">394</v>
    <v t="r">395</v>
    <v t="r">396</v>
    <v t="r">397</v>
    <v t="r">398</v>
    <v t="r">399</v>
    <v t="r">400</v>
    <v t="r">401</v>
    <v t="r">402</v>
    <v t="r">403</v>
    <v t="r">404</v>
    <v t="r">405</v>
    <v t="r">406</v>
    <v t="r">407</v>
  </a>
  <a r="2">
    <v t="r">434</v>
    <v t="r">435</v>
  </a>
  <a r="1">
    <v t="s">Italian language</v>
  </a>
  <a r="20">
    <v t="r">451</v>
    <v t="r">452</v>
    <v t="r">453</v>
    <v t="r">454</v>
    <v t="r">455</v>
    <v t="r">456</v>
    <v t="r">457</v>
    <v t="r">458</v>
    <v t="r">459</v>
    <v t="r">460</v>
    <v t="r">461</v>
    <v t="r">462</v>
    <v t="r">463</v>
    <v t="r">464</v>
    <v t="r">465</v>
    <v t="r">466</v>
    <v t="r">467</v>
    <v t="r">468</v>
    <v t="r">469</v>
    <v t="r">470</v>
  </a>
  <a r="4">
    <v t="r">496</v>
    <v t="r">497</v>
    <v t="r">498</v>
    <v t="r">498</v>
  </a>
  <a r="1">
    <v t="s">Norwegian language</v>
  </a>
  <a r="7">
    <v t="r">483</v>
    <v t="r">513</v>
    <v t="r">514</v>
    <v t="r">515</v>
    <v t="r">516</v>
    <v t="r">517</v>
    <v t="r">518</v>
  </a>
  <a r="2">
    <v t="r">545</v>
    <v t="r">546</v>
  </a>
  <a r="1">
    <v t="s">Polish language</v>
  </a>
  <a r="16">
    <v t="r">562</v>
    <v t="r">563</v>
    <v t="r">564</v>
    <v t="r">565</v>
    <v t="r">566</v>
    <v t="r">567</v>
    <v t="r">568</v>
    <v t="r">569</v>
    <v t="r">570</v>
    <v t="r">571</v>
    <v t="r">572</v>
    <v t="r">573</v>
    <v t="r">574</v>
    <v t="r">575</v>
    <v t="r">576</v>
    <v t="r">577</v>
  </a>
  <a r="2">
    <v t="r">603</v>
    <v t="r">604</v>
  </a>
  <a r="1">
    <v t="s">Portuguese language</v>
  </a>
  <a r="20">
    <v t="r">621</v>
    <v t="r">622</v>
    <v t="r">623</v>
    <v t="r">624</v>
    <v t="r">625</v>
    <v t="r">626</v>
    <v t="r">627</v>
    <v t="r">628</v>
    <v t="r">629</v>
    <v t="r">630</v>
    <v t="r">631</v>
    <v t="r">632</v>
    <v t="r">633</v>
    <v t="r">634</v>
    <v t="r">635</v>
    <v t="r">636</v>
    <v t="r">637</v>
    <v t="r">638</v>
    <v t="r">639</v>
    <v t="r">640</v>
  </a>
  <a r="2">
    <v t="r">667</v>
    <v t="r">668</v>
  </a>
  <a r="1">
    <v t="s">Spanish language</v>
  </a>
  <a r="18">
    <v t="r">685</v>
    <v t="r">686</v>
    <v t="r">687</v>
    <v t="r">688</v>
    <v t="r">689</v>
    <v t="r">690</v>
    <v t="r">691</v>
    <v t="r">692</v>
    <v t="r">693</v>
    <v t="r">694</v>
    <v t="r">695</v>
    <v t="r">696</v>
    <v t="r">697</v>
    <v t="r">698</v>
    <v t="r">699</v>
    <v t="r">700</v>
    <v t="r">701</v>
    <v t="r">702</v>
  </a>
  <a r="2">
    <v t="r">729</v>
    <v t="r">730</v>
  </a>
  <a r="1">
    <v t="s">Swedish language</v>
  </a>
  <a r="21">
    <v t="r">743</v>
    <v t="r">744</v>
    <v t="r">745</v>
    <v t="r">746</v>
    <v t="r">747</v>
    <v t="r">748</v>
    <v t="r">749</v>
    <v t="r">750</v>
    <v t="r">751</v>
    <v t="r">752</v>
    <v t="r">753</v>
    <v t="r">754</v>
    <v t="r">755</v>
    <v t="r">756</v>
    <v t="r">757</v>
    <v t="r">758</v>
    <v t="r">759</v>
    <v t="r">760</v>
    <v t="r">761</v>
    <v t="r">762</v>
    <v t="r">763</v>
  </a>
  <a r="7">
    <v t="r">789</v>
    <v t="r">790</v>
    <v t="r">791</v>
    <v t="r">792</v>
    <v t="r">793</v>
    <v t="r">794</v>
    <v t="r">795</v>
  </a>
  <a r="4">
    <v t="s">Italian language</v>
    <v t="s">Romansh language</v>
    <v t="s">German language</v>
    <v t="s">French language</v>
  </a>
  <a r="25">
    <v t="r">811</v>
    <v t="r">812</v>
    <v t="r">813</v>
    <v t="r">814</v>
    <v t="r">815</v>
    <v t="r">816</v>
    <v t="r">817</v>
    <v t="r">818</v>
    <v t="r">819</v>
    <v t="r">820</v>
    <v t="r">821</v>
    <v t="r">822</v>
    <v t="r">823</v>
    <v t="r">824</v>
    <v t="r">825</v>
    <v t="r">826</v>
    <v t="r">827</v>
    <v t="r">828</v>
    <v t="r">829</v>
    <v t="r">830</v>
    <v t="r">831</v>
    <v t="r">832</v>
    <v t="r">833</v>
    <v t="r">834</v>
    <v t="r">835</v>
  </a>
  <a r="2">
    <v t="r">861</v>
    <v t="r">862</v>
  </a>
  <a r="1">
    <v t="s">English language</v>
  </a>
  <a r="4">
    <v t="r">879</v>
    <v t="r">880</v>
    <v t="r">881</v>
    <v t="r">882</v>
  </a>
  <a r="2">
    <v t="s">Greenwich Mean Time</v>
    <v t="s">Western European Time</v>
  </a>
  <a r="5">
    <v t="r">911</v>
    <v t="r">912</v>
    <v t="r">913</v>
    <v t="r">914</v>
    <v t="r">914</v>
  </a>
  <a r="2">
    <v t="s">Indian English</v>
    <v t="s">Hindi</v>
  </a>
  <a r="34">
    <v t="r">931</v>
    <v t="r">932</v>
    <v t="r">933</v>
    <v t="r">934</v>
    <v t="r">935</v>
    <v t="r">936</v>
    <v t="r">937</v>
    <v t="r">938</v>
    <v t="r">939</v>
    <v t="r">940</v>
    <v t="r">941</v>
    <v t="r">942</v>
    <v t="r">943</v>
    <v t="r">944</v>
    <v t="r">945</v>
    <v t="r">946</v>
    <v t="r">947</v>
    <v t="r">948</v>
    <v t="r">949</v>
    <v t="r">950</v>
    <v t="r">951</v>
    <v t="r">952</v>
    <v t="r">953</v>
    <v t="r">954</v>
    <v t="r">955</v>
    <v t="r">956</v>
    <v t="r">957</v>
    <v t="r">958</v>
    <v t="r">959</v>
    <v t="r">960</v>
    <v t="r">961</v>
    <v t="r">962</v>
    <v t="r">963</v>
    <v t="r">964</v>
  </a>
  <a r="1">
    <v t="s">Indian Standard Time</v>
  </a>
</arrayData>
</file>

<file path=xl/richData/rdrichvalue.xml><?xml version="1.0" encoding="utf-8"?>
<rvData xmlns="http://schemas.microsoft.com/office/spreadsheetml/2017/richdata" count="972">
  <rv s="0">
    <v>536870912</v>
    <v>Austria</v>
    <v>c3f78b59-5e8d-133a-d0e2-ff2e71c4a5d5</v>
    <v>en-GB</v>
    <v>Map</v>
  </rv>
  <rv s="1">
    <fb>0.32356676139641499</fb>
    <v>23</v>
  </rv>
  <rv s="1">
    <fb>83878.990000000005</fb>
    <v>24</v>
  </rv>
  <rv s="1">
    <fb>21000</fb>
    <v>24</v>
  </rv>
  <rv s="1">
    <fb>9.6999999999999993</fb>
    <v>25</v>
  </rv>
  <rv s="1">
    <fb>43</fb>
    <v>26</v>
  </rv>
  <rv s="0">
    <v>536870912</v>
    <v>Vienna</v>
    <v>a844b6d2-ff6e-902b-d359-8f7db08f7bb9</v>
    <v>en-GB</v>
    <v>Map</v>
  </rv>
  <rv s="1">
    <fb>61447.919000000002</fb>
    <v>24</v>
  </rv>
  <rv s="1">
    <fb>118.057979804947</fb>
    <v>27</v>
  </rv>
  <rv s="1">
    <fb>1.5308955342270201E-2</fb>
    <v>23</v>
  </rv>
  <rv s="1">
    <fb>8355.8419518213395</fb>
    <v>24</v>
  </rv>
  <rv s="1">
    <fb>1.47</fb>
    <v>25</v>
  </rv>
  <rv s="1">
    <fb>0.46905712836916402</fb>
    <v>23</v>
  </rv>
  <rv s="1">
    <fb>65.661821989472699</fb>
    <v>28</v>
  </rv>
  <rv s="1">
    <fb>1.2</fb>
    <v>29</v>
  </rv>
  <rv s="1">
    <fb>446314739528.46997</fb>
    <v>30</v>
  </rv>
  <rv s="1">
    <fb>1.0311315000000001</fb>
    <v>23</v>
  </rv>
  <rv s="1">
    <fb>0.85057140000000009</fb>
    <v>23</v>
  </rv>
  <rv s="2">
    <v>0</v>
    <v>21</v>
    <v>2</v>
    <v>7</v>
    <v>0</v>
    <v>Image of Austria</v>
  </rv>
  <rv s="1">
    <fb>2.9</fb>
    <v>28</v>
  </rv>
  <rv s="0">
    <v>805306368</v>
    <v>Alexander Van der Bellen (President)</v>
    <v>09a88c4e-ba78-3b88-7539-fedb6d48b4a2</v>
    <v>en-GB</v>
    <v>Generic</v>
  </rv>
  <rv s="0">
    <v>805306368</v>
    <v>Karl Nehammer (Chancellor)</v>
    <v>de01442c-8ba7-ec2b-75d7-e647bde7e0ea</v>
    <v>en-GB</v>
    <v>Generic</v>
  </rv>
  <rv s="3">
    <v>0</v>
  </rv>
  <rv s="4">
    <v>https://www.bing.com/search?q=austria&amp;form=skydnc</v>
    <v>Learn more on Bing</v>
  </rv>
  <rv s="1">
    <fb>81.643902439024401</fb>
    <v>28</v>
  </rv>
  <rv s="1">
    <fb>133098220000</fb>
    <v>30</v>
  </rv>
  <rv s="1">
    <fb>5</fb>
    <v>28</v>
  </rv>
  <rv s="3">
    <v>1</v>
  </rv>
  <rv s="1">
    <fb>0.179240277</fb>
    <v>23</v>
  </rv>
  <rv s="1">
    <fb>5.1696999999999997</fb>
    <v>25</v>
  </rv>
  <rv s="1">
    <fb>9042528</fb>
    <v>24</v>
  </rv>
  <rv s="1">
    <fb>0.23100000000000001</fb>
    <v>23</v>
  </rv>
  <rv s="1">
    <fb>0.23</fb>
    <v>23</v>
  </rv>
  <rv s="1">
    <fb>0.37799999999999995</fb>
    <v>23</v>
  </rv>
  <rv s="1">
    <fb>0.03</fb>
    <v>23</v>
  </rv>
  <rv s="1">
    <fb>0.08</fb>
    <v>23</v>
  </rv>
  <rv s="1">
    <fb>0.13300000000000001</fb>
    <v>23</v>
  </rv>
  <rv s="1">
    <fb>0.17800000000000002</fb>
    <v>23</v>
  </rv>
  <rv s="1">
    <fb>0.60683998107910198</fb>
    <v>23</v>
  </rv>
  <rv s="0">
    <v>536870912</v>
    <v>Burgenland</v>
    <v>20b1c17e-6204-a0df-6047-2725dec16761</v>
    <v>en-GB</v>
    <v>Map</v>
  </rv>
  <rv s="0">
    <v>536870912</v>
    <v>Carinthia</v>
    <v>5e37573b-7455-bff5-b6e2-1efd0b0d6059</v>
    <v>en-GB</v>
    <v>Map</v>
  </rv>
  <rv s="0">
    <v>536870912</v>
    <v>Lower Austria</v>
    <v>4dcd6132-5fe3-19ce-a37c-ff75732178e2</v>
    <v>en-GB</v>
    <v>Map</v>
  </rv>
  <rv s="0">
    <v>536870912</v>
    <v>Upper Austria</v>
    <v>5eda3d8d-2623-8c5c-71b9-98e76b245f37</v>
    <v>en-GB</v>
    <v>Map</v>
  </rv>
  <rv s="0">
    <v>536870912</v>
    <v>Salzburg</v>
    <v>f1e6feb1-ca38-e293-2657-06a535e7d8ed</v>
    <v>en-GB</v>
    <v>Map</v>
  </rv>
  <rv s="0">
    <v>536870912</v>
    <v>Styria</v>
    <v>27e5c768-8121-a58a-3641-f4576289d790</v>
    <v>en-GB</v>
    <v>Map</v>
  </rv>
  <rv s="0">
    <v>536870912</v>
    <v>Tyrol</v>
    <v>bbfb1e8f-7c58-8f12-9249-9ff4d210f1d6</v>
    <v>en-GB</v>
    <v>Map</v>
  </rv>
  <rv s="0">
    <v>536870912</v>
    <v>Vorarlberg</v>
    <v>515e6b8f-2ef0-2ac9-184c-2834f6770193</v>
    <v>en-GB</v>
    <v>Map</v>
  </rv>
  <rv s="3">
    <v>2</v>
  </rv>
  <rv s="1">
    <fb>0.25405547466329398</fb>
    <v>23</v>
  </rv>
  <rv s="3">
    <v>3</v>
  </rv>
  <rv s="1">
    <fb>0.51400000000000001</fb>
    <v>23</v>
  </rv>
  <rv s="1">
    <fb>4.6739997863769499E-2</fb>
    <v>31</v>
  </rv>
  <rv s="1">
    <fb>5194416</fb>
    <v>24</v>
  </rv>
  <rv s="5">
    <v>#VALUE!</v>
    <v>en-GB</v>
    <v>c3f78b59-5e8d-133a-d0e2-ff2e71c4a5d5</v>
    <v>536870912</v>
    <v>1</v>
    <v>16</v>
    <v>17</v>
    <v>Austria</v>
    <v>19</v>
    <v>20</v>
    <v>Map</v>
    <v>21</v>
    <v>22</v>
    <v>AT</v>
    <v>1</v>
    <v>2</v>
    <v>3</v>
    <v>4</v>
    <v>5</v>
    <v>6</v>
    <v>7</v>
    <v>8</v>
    <v>9</v>
    <v>EUR</v>
    <v>Austria, formally the Republic of Austria, is a landlocked country in Central Europe, lying in the Eastern Alps. It is a federation of nine federal states, one of which is the capital, Vienna, the most populous city and federal state. Austria is ...</v>
    <v>10</v>
    <v>11</v>
    <v>12</v>
    <v>13</v>
    <v>14</v>
    <v>15</v>
    <v>16</v>
    <v>17</v>
    <v>18</v>
    <v>19</v>
    <v>6</v>
    <v>22</v>
    <v>23</v>
    <v>24</v>
    <v>25</v>
    <v>26</v>
    <v>Austria</v>
    <v>Land der Berge, Land am Strome</v>
    <v>27</v>
    <v>Österreich</v>
    <v>28</v>
    <v>29</v>
    <v>30</v>
    <v>31</v>
    <v>32</v>
    <v>33</v>
    <v>34</v>
    <v>35</v>
    <v>36</v>
    <v>37</v>
    <v>38</v>
    <v>47</v>
    <v>48</v>
    <v>49</v>
    <v>50</v>
    <v>51</v>
    <v>Austria</v>
    <v>52</v>
    <v>mdp/vdpid/14</v>
  </rv>
  <rv s="0">
    <v>536870912</v>
    <v>Belgium</v>
    <v>ac5bcc34-e1cd-2e76-9d31-fb1be1159a5e</v>
    <v>en-GB</v>
    <v>Map</v>
  </rv>
  <rv s="1">
    <fb>0.44610305443465298</fb>
    <v>23</v>
  </rv>
  <rv s="1">
    <fb>30688</fb>
    <v>24</v>
  </rv>
  <rv s="1">
    <fb>32000</fb>
    <v>24</v>
  </rv>
  <rv s="1">
    <fb>10.3</fb>
    <v>25</v>
  </rv>
  <rv s="1">
    <fb>32</fb>
    <v>26</v>
  </rv>
  <rv s="0">
    <v>536870912</v>
    <v>Brussels</v>
    <v>95e13b04-adba-5f35-d2c5-f828990ca1fd</v>
    <v>en-GB</v>
    <v>Map</v>
  </rv>
  <rv s="1">
    <fb>96889.474000000002</fb>
    <v>24</v>
  </rv>
  <rv s="1">
    <fb>117.11045718797099</fb>
    <v>27</v>
  </rv>
  <rv s="1">
    <fb>1.43681956996435E-2</fb>
    <v>23</v>
  </rv>
  <rv s="1">
    <fb>7709.1230778824702</fb>
    <v>24</v>
  </rv>
  <rv s="1">
    <fb>1.62</fb>
    <v>25</v>
  </rv>
  <rv s="1">
    <fb>0.22583884638555801</fb>
    <v>23</v>
  </rv>
  <rv s="1">
    <fb>75.870784353682396</fb>
    <v>28</v>
  </rv>
  <rv s="1">
    <fb>1.43</fb>
    <v>29</v>
  </rv>
  <rv s="1">
    <fb>529606710418.03802</fb>
    <v>30</v>
  </rv>
  <rv s="1">
    <fb>1.0390557</fb>
    <v>23</v>
  </rv>
  <rv s="1">
    <fb>0.79661730000000008</fb>
    <v>23</v>
  </rv>
  <rv s="2">
    <v>1</v>
    <v>21</v>
    <v>33</v>
    <v>7</v>
    <v>0</v>
    <v>Image of Belgium</v>
  </rv>
  <rv s="0">
    <v>805306368</v>
    <v>Philippe of Belgium (Monarch)</v>
    <v>a665fab7-fb7f-7057-7ae8-bfd895ec6e4d</v>
    <v>en-GB</v>
    <v>Generic</v>
  </rv>
  <rv s="0">
    <v>805306368</v>
    <v>Alexander De Croo (Prime minister)</v>
    <v>c1428e90-a850-b761-4372-6e7c0b893486</v>
    <v>en-GB</v>
    <v>Generic</v>
  </rv>
  <rv s="3">
    <v>4</v>
  </rv>
  <rv s="4">
    <v>https://www.bing.com/search?q=belgium&amp;form=skydnc</v>
    <v>Learn more on Bing</v>
  </rv>
  <rv s="1">
    <fb>81.595121951219497</fb>
    <v>28</v>
  </rv>
  <rv s="1">
    <fb>321093542983.70203</fb>
    <v>30</v>
  </rv>
  <rv s="1">
    <fb>10.31</fb>
    <v>29</v>
  </rv>
  <rv s="3">
    <v>5</v>
  </rv>
  <rv s="1">
    <fb>0.17567192210000002</fb>
    <v>23</v>
  </rv>
  <rv s="1">
    <fb>3.0709</fb>
    <v>25</v>
  </rv>
  <rv s="1">
    <fb>11669446</fb>
    <v>24</v>
  </rv>
  <rv s="1">
    <fb>0.22699999999999998</fb>
    <v>23</v>
  </rv>
  <rv s="1">
    <fb>0.21899999999999997</fb>
    <v>23</v>
  </rv>
  <rv s="1">
    <fb>0.36299999999999999</fb>
    <v>23</v>
  </rv>
  <rv s="1">
    <fb>3.3000000000000002E-2</fb>
    <v>23</v>
  </rv>
  <rv s="1">
    <fb>8.6999999999999994E-2</fb>
    <v>23</v>
  </rv>
  <rv s="1">
    <fb>0.14199999999999999</fb>
    <v>23</v>
  </rv>
  <rv s="1">
    <fb>0.18100000000000002</fb>
    <v>23</v>
  </rv>
  <rv s="1">
    <fb>0.53562000274658206</fb>
    <v>23</v>
  </rv>
  <rv s="0">
    <v>536870912</v>
    <v>Flemish Region</v>
    <v>f250b992-acb5-d7d5-db4f-47fb684176fd</v>
    <v>en-GB</v>
    <v>Map</v>
  </rv>
  <rv s="0">
    <v>536870912</v>
    <v>Brussels</v>
    <v>f77206fd-fe4f-6c8e-5588-1d0651b151ea</v>
    <v>en-GB</v>
    <v>Map</v>
  </rv>
  <rv s="0">
    <v>536870912</v>
    <v>Wallonia</v>
    <v>077dc74d-75df-1a0d-c05f-5dc9a9747925</v>
    <v>en-GB</v>
    <v>Map</v>
  </rv>
  <rv s="3">
    <v>6</v>
  </rv>
  <rv s="1">
    <fb>0.23994106172459101</fb>
    <v>23</v>
  </rv>
  <rv s="1">
    <fb>0.55399999999999994</fb>
    <v>23</v>
  </rv>
  <rv s="1">
    <fb>5.5890002250671394E-2</fb>
    <v>31</v>
  </rv>
  <rv s="1">
    <fb>11259082</fb>
    <v>24</v>
  </rv>
  <rv s="6">
    <v>#VALUE!</v>
    <v>en-GB</v>
    <v>ac5bcc34-e1cd-2e76-9d31-fb1be1159a5e</v>
    <v>536870912</v>
    <v>1</v>
    <v>36</v>
    <v>37</v>
    <v>Belgium</v>
    <v>19</v>
    <v>20</v>
    <v>Map</v>
    <v>21</v>
    <v>38</v>
    <v>BE</v>
    <v>55</v>
    <v>56</v>
    <v>57</v>
    <v>58</v>
    <v>59</v>
    <v>60</v>
    <v>61</v>
    <v>62</v>
    <v>63</v>
    <v>EUR</v>
    <v>Belgium, officially the Kingdom of Belgium, is a country in Northwestern Europe. The country is bordered by the Netherlands to the north, Germany to the east, Luxembourg to the southeast, France to the southwest, and the North Sea to the ...</v>
    <v>64</v>
    <v>65</v>
    <v>66</v>
    <v>67</v>
    <v>68</v>
    <v>69</v>
    <v>70</v>
    <v>71</v>
    <v>72</v>
    <v>19</v>
    <v>60</v>
    <v>75</v>
    <v>76</v>
    <v>77</v>
    <v>78</v>
    <v>26</v>
    <v>79</v>
    <v>Belgium</v>
    <v>La Brabançonne</v>
    <v>80</v>
    <v>Königreich Belgien</v>
    <v>81</v>
    <v>82</v>
    <v>83</v>
    <v>84</v>
    <v>85</v>
    <v>86</v>
    <v>87</v>
    <v>88</v>
    <v>89</v>
    <v>90</v>
    <v>91</v>
    <v>95</v>
    <v>96</v>
    <v>97</v>
    <v>98</v>
    <v>Belgium</v>
    <v>99</v>
    <v>mdp/vdpid/21</v>
  </rv>
  <rv s="0">
    <v>536870912</v>
    <v>Denmark</v>
    <v>95710a2f-c32d-4c03-bec0-7ff079db158d</v>
    <v>en-GB</v>
    <v>Map</v>
  </rv>
  <rv s="1">
    <fb>0.62014765420338203</fb>
    <v>23</v>
  </rv>
  <rv s="1">
    <fb>42925.46</fb>
    <v>24</v>
  </rv>
  <rv s="1">
    <fb>15000</fb>
    <v>24</v>
  </rv>
  <rv s="1">
    <fb>10.6</fb>
    <v>25</v>
  </rv>
  <rv s="1">
    <fb>45</fb>
    <v>26</v>
  </rv>
  <rv s="0">
    <v>536870912</v>
    <v>Copenhagen</v>
    <v>8052664d-a70c-e1fa-c761-489d8c924b80</v>
    <v>en-GB</v>
    <v>Map</v>
  </rv>
  <rv s="1">
    <fb>31785.556</fb>
    <v>24</v>
  </rv>
  <rv s="1">
    <fb>110.347290420498</fb>
    <v>27</v>
  </rv>
  <rv s="1">
    <fb>7.5813157251161901E-3</fb>
    <v>23</v>
  </rv>
  <rv s="1">
    <fb>5858.8015362874803</fb>
    <v>24</v>
  </rv>
  <rv s="1">
    <fb>1.73</fb>
    <v>25</v>
  </rv>
  <rv s="1">
    <fb>0.14699213400884101</fb>
    <v>23</v>
  </rv>
  <rv s="1">
    <fb>64.927089467566603</fb>
    <v>28</v>
  </rv>
  <rv s="1">
    <fb>1.55</fb>
    <v>29</v>
  </rv>
  <rv s="1">
    <fb>348078018463.90503</fb>
    <v>30</v>
  </rv>
  <rv s="1">
    <fb>1.0126809000000001</fb>
    <v>23</v>
  </rv>
  <rv s="1">
    <fb>0.8061602000000001</fb>
    <v>23</v>
  </rv>
  <rv s="2">
    <v>2</v>
    <v>21</v>
    <v>40</v>
    <v>7</v>
    <v>0</v>
    <v>Image of Denmark</v>
  </rv>
  <rv s="1">
    <fb>3.6</fb>
    <v>28</v>
  </rv>
  <rv s="0">
    <v>805306368</v>
    <v>Margrethe II (Monarch)</v>
    <v>28da0d92-465c-eb67-fcae-9e51e9cf0f91</v>
    <v>en-GB</v>
    <v>Generic</v>
  </rv>
  <rv s="0">
    <v>805306368</v>
    <v>Mette Frederiksen (Prime minister)</v>
    <v>080235cf-4453-82c5-a952-a9e6000ac49b</v>
    <v>en-GB</v>
    <v>Generic</v>
  </rv>
  <rv s="3">
    <v>7</v>
  </rv>
  <rv s="4">
    <v>https://www.bing.com/search?q=denmark&amp;form=skydnc</v>
    <v>Learn more on Bing</v>
  </rv>
  <rv s="1">
    <fb>80.953658536585394</fb>
    <v>28</v>
  </rv>
  <rv s="1">
    <fb>151349870000</fb>
    <v>30</v>
  </rv>
  <rv s="1">
    <fb>4</fb>
    <v>28</v>
  </rv>
  <rv s="3">
    <v>8</v>
  </rv>
  <rv s="1">
    <fb>0.13722792379999998</fb>
    <v>23</v>
  </rv>
  <rv s="1">
    <fb>4.0099</fb>
    <v>25</v>
  </rv>
  <rv s="1">
    <fb>5903037</fb>
    <v>24</v>
  </rv>
  <rv s="1">
    <fb>0.24</fb>
    <v>23</v>
  </rv>
  <rv s="1">
    <fb>0.38100000000000001</fb>
    <v>23</v>
  </rv>
  <rv s="1">
    <fb>3.7000000000000005E-2</fb>
    <v>23</v>
  </rv>
  <rv s="1">
    <fb>9.0999999999999998E-2</fb>
    <v>23</v>
  </rv>
  <rv s="1">
    <fb>0.13699999999999998</fb>
    <v>23</v>
  </rv>
  <rv s="1">
    <fb>0.17199999999999999</fb>
    <v>23</v>
  </rv>
  <rv s="1">
    <fb>0.62217998504638705</fb>
    <v>23</v>
  </rv>
  <rv s="0">
    <v>536870912</v>
    <v>Region of Southern Denmark</v>
    <v>2a8f2729-c9c7-0675-b9cf-c866bd52068a</v>
    <v>en-GB</v>
    <v>Map</v>
  </rv>
  <rv s="0">
    <v>536870912</v>
    <v>Region Zealand</v>
    <v>34915c7b-bd4a-9bf2-32b8-e8dc2f40e373</v>
    <v>en-GB</v>
    <v>Map</v>
  </rv>
  <rv s="0">
    <v>536870912</v>
    <v>North Denmark Region</v>
    <v>051568b1-127e-3d0e-1591-07491f1ab5a5</v>
    <v>en-GB</v>
    <v>Map</v>
  </rv>
  <rv s="0">
    <v>536870912</v>
    <v>Central Denmark Region</v>
    <v>78bf590e-ce59-f821-ede9-ae2f548d476b</v>
    <v>en-GB</v>
    <v>Map</v>
  </rv>
  <rv s="0">
    <v>536870912</v>
    <v>Capital Region of Denmark</v>
    <v>d04715be-1fef-ff73-393d-f12a6f24b6b4</v>
    <v>en-GB</v>
    <v>Map</v>
  </rv>
  <rv s="3">
    <v>9</v>
  </rv>
  <rv s="1">
    <fb>0.32382317837334801</fb>
    <v>23</v>
  </rv>
  <rv s="1">
    <fb>0.23800000000000002</fb>
    <v>23</v>
  </rv>
  <rv s="1">
    <fb>4.9130001068115201E-2</fb>
    <v>31</v>
  </rv>
  <rv s="1">
    <fb>5119978</fb>
    <v>24</v>
  </rv>
  <rv s="5">
    <v>#VALUE!</v>
    <v>en-GB</v>
    <v>95710a2f-c32d-4c03-bec0-7ff079db158d</v>
    <v>536870912</v>
    <v>1</v>
    <v>43</v>
    <v>17</v>
    <v>Denmark</v>
    <v>19</v>
    <v>20</v>
    <v>Map</v>
    <v>21</v>
    <v>44</v>
    <v>DK</v>
    <v>102</v>
    <v>103</v>
    <v>104</v>
    <v>105</v>
    <v>106</v>
    <v>107</v>
    <v>108</v>
    <v>109</v>
    <v>110</v>
    <v>DKK</v>
    <v>Denmark is a Nordic country in Northern Europe. It is the metropolitan part of and the most populous constituent of the Kingdom of Denmark, a constitutionally unitary state that includes the autonomous territories of the Faroe Islands and ...</v>
    <v>111</v>
    <v>112</v>
    <v>113</v>
    <v>114</v>
    <v>115</v>
    <v>116</v>
    <v>117</v>
    <v>118</v>
    <v>119</v>
    <v>120</v>
    <v>107</v>
    <v>123</v>
    <v>124</v>
    <v>125</v>
    <v>126</v>
    <v>127</v>
    <v>Denmark</v>
    <v>Der er et yndigt land</v>
    <v>128</v>
    <v>Kongeriget Danmark</v>
    <v>129</v>
    <v>130</v>
    <v>131</v>
    <v>85</v>
    <v>132</v>
    <v>133</v>
    <v>134</v>
    <v>135</v>
    <v>136</v>
    <v>137</v>
    <v>138</v>
    <v>144</v>
    <v>145</v>
    <v>49</v>
    <v>146</v>
    <v>147</v>
    <v>Denmark</v>
    <v>148</v>
    <v>mdp/vdpid/61</v>
  </rv>
  <rv s="0">
    <v>536870912</v>
    <v>Finland</v>
    <v>ceea53a9-734c-46c7-a9f7-185e7cf6826e</v>
    <v>en-GB</v>
    <v>Map</v>
  </rv>
  <rv s="1">
    <fb>7.4857688131354697E-2</fb>
    <v>23</v>
  </rv>
  <rv s="1">
    <fb>338145</fb>
    <v>24</v>
  </rv>
  <rv s="1">
    <fb>25000</fb>
    <v>24</v>
  </rv>
  <rv s="1">
    <fb>8.6</fb>
    <v>25</v>
  </rv>
  <rv s="1">
    <fb>358</fb>
    <v>26</v>
  </rv>
  <rv s="0">
    <v>536870912</v>
    <v>Helsinki</v>
    <v>0aeca411-32eb-87fa-e67f-5c3dacc3532c</v>
    <v>en-GB</v>
    <v>Map</v>
  </rv>
  <rv s="1">
    <fb>45870.502999999997</fb>
    <v>24</v>
  </rv>
  <rv s="1">
    <fb>112.331712088838</fb>
    <v>27</v>
  </rv>
  <rv s="1">
    <fb>1.0240939296342899E-2</fb>
    <v>23</v>
  </rv>
  <rv s="1">
    <fb>15249.989380230199</fb>
    <v>24</v>
  </rv>
  <rv s="1">
    <fb>1.41</fb>
    <v>25</v>
  </rv>
  <rv s="1">
    <fb>0.7310716988582151</fb>
    <v>23</v>
  </rv>
  <rv s="1">
    <fb>40.207982989952903</fb>
    <v>28</v>
  </rv>
  <rv s="1">
    <fb>1.45</fb>
    <v>29</v>
  </rv>
  <rv s="1">
    <fb>268761201364.70499</fb>
    <v>30</v>
  </rv>
  <rv s="1">
    <fb>1.0015464000000001</fb>
    <v>23</v>
  </rv>
  <rv s="1">
    <fb>0.88197829999999999</fb>
    <v>23</v>
  </rv>
  <rv s="2">
    <v>3</v>
    <v>21</v>
    <v>46</v>
    <v>7</v>
    <v>0</v>
    <v>Image of Finland</v>
  </rv>
  <rv s="1">
    <fb>1.4</fb>
    <v>28</v>
  </rv>
  <rv s="0">
    <v>805306368</v>
    <v>Sauli Niinistö (President)</v>
    <v>dfa3cf27-7df7-88a9-8b9c-02e10c3ab58a</v>
    <v>en-GB</v>
    <v>Generic</v>
  </rv>
  <rv s="0">
    <v>805306368</v>
    <v>Petteri Orpo (Prime minister)</v>
    <v>f89fd370-e67c-1205-35bf-ef0bc79a5a2e</v>
    <v>en-GB</v>
    <v>Generic</v>
  </rv>
  <rv s="3">
    <v>10</v>
  </rv>
  <rv s="4">
    <v>https://www.bing.com/search?q=finland&amp;form=skydnc</v>
    <v>Learn more on Bing</v>
  </rv>
  <rv s="1">
    <fb>81.734146341463401</fb>
    <v>28</v>
  </rv>
  <rv s="1">
    <fb>183765380000</fb>
    <v>30</v>
  </rv>
  <rv s="1">
    <fb>3</fb>
    <v>28</v>
  </rv>
  <rv s="3">
    <v>11</v>
  </rv>
  <rv s="1">
    <fb>0.19890897120000001</fb>
    <v>23</v>
  </rv>
  <rv s="1">
    <fb>3.8079999999999998</fb>
    <v>25</v>
  </rv>
  <rv s="1">
    <fb>5556880</fb>
    <v>24</v>
  </rv>
  <rv s="1">
    <fb>0.223</fb>
    <v>23</v>
  </rv>
  <rv s="1">
    <fb>0.22600000000000001</fb>
    <v>23</v>
  </rv>
  <rv s="1">
    <fb>0.36899999999999999</fb>
    <v>23</v>
  </rv>
  <rv s="1">
    <fb>3.7999999999999999E-2</fb>
    <v>23</v>
  </rv>
  <rv s="1">
    <fb>9.4E-2</fb>
    <v>23</v>
  </rv>
  <rv s="1">
    <fb>0.14000000000000001</fb>
    <v>23</v>
  </rv>
  <rv s="1">
    <fb>0.17399999999999999</fb>
    <v>23</v>
  </rv>
  <rv s="1">
    <fb>0.59081001281738299</fb>
    <v>23</v>
  </rv>
  <rv s="0">
    <v>536870912</v>
    <v>Finland Proper</v>
    <v>36f656ca-0603-8487-ecd9-ad449dcc8d00</v>
    <v>en-GB</v>
    <v>Map</v>
  </rv>
  <rv s="0">
    <v>536870912</v>
    <v>Uusimaa</v>
    <v>aeb26ea9-2089-3324-80d3-641f3baa97bc</v>
    <v>en-GB</v>
    <v>Map</v>
  </rv>
  <rv s="0">
    <v>536870912</v>
    <v>Satakunta</v>
    <v>62dab655-b1ff-c539-4d43-b29a865d202d</v>
    <v>en-GB</v>
    <v>Map</v>
  </rv>
  <rv s="0">
    <v>536870912</v>
    <v>Päijänne Tavastia</v>
    <v>a894d559-d5c1-2174-7d8c-5ce5194e4d8d</v>
    <v>en-GB</v>
    <v>Map</v>
  </rv>
  <rv s="0">
    <v>536870912</v>
    <v>North Savo</v>
    <v>f4605db2-8131-4e30-6ff3-b26c4edcd3a5</v>
    <v>en-GB</v>
    <v>Map</v>
  </rv>
  <rv s="0">
    <v>536870912</v>
    <v>North Ostrobothnia</v>
    <v>38a96244-d1b6-0cd2-0a5f-c4f71fdfb058</v>
    <v>en-GB</v>
    <v>Map</v>
  </rv>
  <rv s="0">
    <v>536870912</v>
    <v>North Karelia</v>
    <v>8f782f0d-9789-3cf0-a6bd-73c64f46ad75</v>
    <v>en-GB</v>
    <v>Map</v>
  </rv>
  <rv s="0">
    <v>536870912</v>
    <v>Ostrobothnia</v>
    <v>433576fc-e9eb-202e-bf37-ad7d25850cd2</v>
    <v>en-GB</v>
    <v>Map</v>
  </rv>
  <rv s="0">
    <v>536870912</v>
    <v>Pirkanmaa</v>
    <v>efa83642-e73e-4c06-3b89-befa0538fef8</v>
    <v>en-GB</v>
    <v>Map</v>
  </rv>
  <rv s="0">
    <v>536870912</v>
    <v>Lapland</v>
    <v>35688ab6-5a44-f256-ae52-9509c95e57c4</v>
    <v>en-GB</v>
    <v>Map</v>
  </rv>
  <rv s="0">
    <v>536870912</v>
    <v>Kymenlaakso</v>
    <v>420f22d8-81a7-101d-bbbd-695a0d9c0254</v>
    <v>en-GB</v>
    <v>Map</v>
  </rv>
  <rv s="0">
    <v>536870912</v>
    <v>Central Finland</v>
    <v>da7cb687-7e8e-9492-e8d7-971a6acd8591</v>
    <v>en-GB</v>
    <v>Map</v>
  </rv>
  <rv s="0">
    <v>536870912</v>
    <v>Central Ostrobothnia</v>
    <v>2ea2271e-1e9b-9eb0-5c2e-1956c8acdec8</v>
    <v>en-GB</v>
    <v>Map</v>
  </rv>
  <rv s="0">
    <v>536870912</v>
    <v>Kanta-Häme</v>
    <v>3da25e41-5c32-8c9a-b775-1144a7adb11b</v>
    <v>en-GB</v>
    <v>Map</v>
  </rv>
  <rv s="0">
    <v>536870912</v>
    <v>Kainuu</v>
    <v>7528e56e-a1c3-7311-5e74-00b9ae5b6616</v>
    <v>en-GB</v>
    <v>Map</v>
  </rv>
  <rv s="0">
    <v>536870912</v>
    <v>South Savo</v>
    <v>b907be48-40f4-42e2-8180-d6b9ecb7bbeb</v>
    <v>en-GB</v>
    <v>Map</v>
  </rv>
  <rv s="0">
    <v>536870912</v>
    <v>South Ostrobothnia</v>
    <v>ee7c4f66-0eb6-edae-cd31-d52870ce057b</v>
    <v>en-GB</v>
    <v>Map</v>
  </rv>
  <rv s="0">
    <v>536870912</v>
    <v>South Karelia</v>
    <v>0242e7c7-6306-3225-9d67-6224857383b8</v>
    <v>en-GB</v>
    <v>Map</v>
  </rv>
  <rv s="0">
    <v>536870912</v>
    <v>Åland</v>
    <v>ab8a831d-0b71-1ead-44a6-e6abe024bb96</v>
    <v>en-GB</v>
    <v>Map</v>
  </rv>
  <rv s="3">
    <v>12</v>
  </rv>
  <rv s="1">
    <fb>0.20839038093492801</fb>
    <v>23</v>
  </rv>
  <rv s="1">
    <fb>0.36599999999999999</fb>
    <v>23</v>
  </rv>
  <rv s="1">
    <fb>6.594999790191651E-2</fb>
    <v>31</v>
  </rv>
  <rv s="1">
    <fb>4716888</fb>
    <v>24</v>
  </rv>
  <rv s="7">
    <v>#VALUE!</v>
    <v>en-GB</v>
    <v>ceea53a9-734c-46c7-a9f7-185e7cf6826e</v>
    <v>536870912</v>
    <v>1</v>
    <v>49</v>
    <v>50</v>
    <v>Finland</v>
    <v>19</v>
    <v>20</v>
    <v>Map</v>
    <v>21</v>
    <v>44</v>
    <v>FI</v>
    <v>151</v>
    <v>152</v>
    <v>153</v>
    <v>154</v>
    <v>155</v>
    <v>156</v>
    <v>157</v>
    <v>158</v>
    <v>159</v>
    <v>EUR</v>
    <v>Finland, officially the Republic of Finland, is a Nordic country in Northern Europe. It borders Sweden to the northwest, Norway to the north, and Russia to the east, with the Gulf of Bothnia to the west and the Gulf of Finland to the south, ...</v>
    <v>160</v>
    <v>161</v>
    <v>162</v>
    <v>163</v>
    <v>164</v>
    <v>165</v>
    <v>166</v>
    <v>167</v>
    <v>168</v>
    <v>169</v>
    <v>156</v>
    <v>172</v>
    <v>173</v>
    <v>174</v>
    <v>175</v>
    <v>176</v>
    <v>Finland</v>
    <v>Maamme</v>
    <v>177</v>
    <v>Lääʹddjânnam</v>
    <v>178</v>
    <v>179</v>
    <v>180</v>
    <v>181</v>
    <v>182</v>
    <v>183</v>
    <v>184</v>
    <v>185</v>
    <v>186</v>
    <v>187</v>
    <v>188</v>
    <v>208</v>
    <v>209</v>
    <v>210</v>
    <v>211</v>
    <v>Finland</v>
    <v>212</v>
    <v>mdp/vdpid/77</v>
  </rv>
  <rv s="0">
    <v>536870912</v>
    <v>France</v>
    <v>c7bfe2de-4f82-e23c-ae42-8544b5b5c0ea</v>
    <v>en-GB</v>
    <v>Map</v>
  </rv>
  <rv s="1">
    <fb>0.524475441661716</fb>
    <v>23</v>
  </rv>
  <rv s="1">
    <fb>643801</fb>
    <v>24</v>
  </rv>
  <rv s="1">
    <fb>307000</fb>
    <v>24</v>
  </rv>
  <rv s="1">
    <fb>11.3</fb>
    <v>25</v>
  </rv>
  <rv s="1">
    <fb>33</fb>
    <v>26</v>
  </rv>
  <rv s="0">
    <v>536870912</v>
    <v>Paris</v>
    <v>85584d24-2116-5b98-89f9-5714db931ac6</v>
    <v>en-GB</v>
    <v>Map</v>
  </rv>
  <rv s="1">
    <fb>303275.56800000003</fb>
    <v>24</v>
  </rv>
  <rv s="1">
    <fb>110.04856675289</fb>
    <v>27</v>
  </rv>
  <rv s="1">
    <fb>1.1082549228829199E-2</fb>
    <v>23</v>
  </rv>
  <rv s="1">
    <fb>6939.5214736692897</fb>
    <v>24</v>
  </rv>
  <rv s="1">
    <fb>1.88</fb>
    <v>25</v>
  </rv>
  <rv s="1">
    <fb>0.31233278442262596</fb>
    <v>23</v>
  </rv>
  <rv s="1">
    <fb>46.487970872236403</fb>
    <v>28</v>
  </rv>
  <rv s="1">
    <fb>1.39</fb>
    <v>29</v>
  </rv>
  <rv s="1">
    <fb>2715518274227.4502</fb>
    <v>30</v>
  </rv>
  <rv s="1">
    <fb>1.0251076000000001</fb>
    <v>23</v>
  </rv>
  <rv s="1">
    <fb>0.65629000000000004</fb>
    <v>23</v>
  </rv>
  <rv s="2">
    <v>4</v>
    <v>21</v>
    <v>52</v>
    <v>7</v>
    <v>0</v>
    <v>Image of France</v>
  </rv>
  <rv s="1">
    <fb>3.4</fb>
    <v>28</v>
  </rv>
  <rv s="0">
    <v>805306368</v>
    <v>Emmanuel Macron (President)</v>
    <v>35be5a56-7a78-6352-b158-60da8f84c858</v>
    <v>en-GB</v>
    <v>Generic</v>
  </rv>
  <rv s="0">
    <v>805306368</v>
    <v>Élisabeth Borne (Prime minister)</v>
    <v>c29b2cc1-1c10-86a9-30a2-9ab14a3d6e89</v>
    <v>en-GB</v>
    <v>Generic</v>
  </rv>
  <rv s="3">
    <v>13</v>
  </rv>
  <rv s="4">
    <v>https://www.bing.com/search?q=france&amp;form=skydnc</v>
    <v>Learn more on Bing</v>
  </rv>
  <rv s="1">
    <fb>82.526829268292701</fb>
    <v>28</v>
  </rv>
  <rv s="1">
    <fb>2365950236659.3599</fb>
    <v>30</v>
  </rv>
  <rv s="1">
    <fb>8</fb>
    <v>28</v>
  </rv>
  <rv s="1">
    <fb>11.16</fb>
    <v>29</v>
  </rv>
  <rv s="3">
    <v>14</v>
  </rv>
  <rv s="1">
    <fb>6.7968269799999995E-2</fb>
    <v>23</v>
  </rv>
  <rv s="1">
    <fb>3.2671999999999999</fb>
    <v>25</v>
  </rv>
  <rv s="1">
    <fb>67935660</fb>
    <v>24</v>
  </rv>
  <rv s="1">
    <fb>0.25800000000000001</fb>
    <v>23</v>
  </rv>
  <rv s="1">
    <fb>0.4</fb>
    <v>23</v>
  </rv>
  <rv s="1">
    <fb>3.2000000000000001E-2</fb>
    <v>23</v>
  </rv>
  <rv s="1">
    <fb>8.1000000000000003E-2</fb>
    <v>23</v>
  </rv>
  <rv s="1">
    <fb>0.13</fb>
    <v>23</v>
  </rv>
  <rv s="1">
    <fb>0.16899999999999998</fb>
    <v>23</v>
  </rv>
  <rv s="1">
    <fb>0.55125999450683605</fb>
    <v>23</v>
  </rv>
  <rv s="0">
    <v>536870912</v>
    <v>Brittany</v>
    <v>809fb739-638d-2499-95bd-c8e5b10153ee</v>
    <v>en-GB</v>
    <v>Map</v>
  </rv>
  <rv s="0">
    <v>536870912</v>
    <v>Centre-Val de Loire</v>
    <v>6aafd8c4-aba3-0388-62a3-d302e77f40c4</v>
    <v>en-GB</v>
    <v>Map</v>
  </rv>
  <rv s="0">
    <v>536870912</v>
    <v>Corsica</v>
    <v>7dae6ff4-03ba-2162-da4b-d4cf544ad43f</v>
    <v>en-GB</v>
    <v>Map</v>
  </rv>
  <rv s="0">
    <v>536870912</v>
    <v>Île-de-France</v>
    <v>ba200862-fc37-6d22-3434-c6e709faa507</v>
    <v>en-GB</v>
    <v>Map</v>
  </rv>
  <rv s="0">
    <v>536870912</v>
    <v>Pays de la Loire</v>
    <v>a6129a88-a4cd-2b75-1a35-f5d0639f17ae</v>
    <v>en-GB</v>
    <v>Map</v>
  </rv>
  <rv s="0">
    <v>536870912</v>
    <v>Provence-Alpes-Côte d'Azur</v>
    <v>66cd1ae3-f633-45f9-93bd-73ca67bffb25</v>
    <v>en-GB</v>
    <v>Map</v>
  </rv>
  <rv s="0">
    <v>536870912</v>
    <v>Guadeloupe</v>
    <v>56b80aaa-d840-1a73-13ba-70eb9b61a642</v>
    <v>en-GB</v>
    <v>Map</v>
  </rv>
  <rv s="0">
    <v>536870912</v>
    <v>French Guiana</v>
    <v>328feb88-20d1-8674-1574-3ce8cc0bc9e9</v>
    <v>en-GB</v>
    <v>Map</v>
  </rv>
  <rv s="0">
    <v>536870912</v>
    <v>Martinique</v>
    <v>f245adef-ee09-9352-e265-2a287e5eadbe</v>
    <v>en-GB</v>
    <v>Map</v>
  </rv>
  <rv s="0">
    <v>536870912</v>
    <v>Mayotte</v>
    <v>545cc8bc-c211-076d-ee26-d2ff955eb394</v>
    <v>en-GB</v>
    <v>Map</v>
  </rv>
  <rv s="0">
    <v>536870912</v>
    <v>Réunion</v>
    <v>7d1fa0b0-e3d7-d903-d64d-489c03fd0a75</v>
    <v>en-GB</v>
    <v>Map</v>
  </rv>
  <rv s="0">
    <v>536870912</v>
    <v>French Polynesia</v>
    <v>340e15d5-6b74-8497-bbfa-4c1f323f5483</v>
    <v>en-GB</v>
    <v>Map</v>
  </rv>
  <rv s="0">
    <v>536870912</v>
    <v>French Southern and Antarctic Lands</v>
    <v>b9d52319-44ee-bf16-d95f-72397f26ce4a</v>
    <v>en-GB</v>
    <v>Map</v>
  </rv>
  <rv s="0">
    <v>536870912</v>
    <v>New Caledonia</v>
    <v>25b2aeab-b390-d01e-1f7f-90be767bd899</v>
    <v>en-GB</v>
    <v>Map</v>
  </rv>
  <rv s="0">
    <v>536870912</v>
    <v>Saint Barthélemy</v>
    <v>5c5081a9-306e-4f05-73a2-32b95a4b8600</v>
    <v>en-GB</v>
    <v>Map</v>
  </rv>
  <rv s="0">
    <v>536870912</v>
    <v>Collectivity of Saint Martin</v>
    <v>281a8fb2-1b63-4320-5d31-8f0fb46c4f1a</v>
    <v>en-GB</v>
    <v>Map</v>
  </rv>
  <rv s="0">
    <v>536870912</v>
    <v>Saint Pierre and Miquelon</v>
    <v>aa096cf4-a54e-cd44-7204-c28310ca40f4</v>
    <v>en-GB</v>
    <v>Map</v>
  </rv>
  <rv s="0">
    <v>536870912</v>
    <v>Wallis and Futuna</v>
    <v>db8aa235-58e4-9e3d-8799-6839f3d35025</v>
    <v>en-GB</v>
    <v>Map</v>
  </rv>
  <rv s="0">
    <v>536870912</v>
    <v>Grand Est</v>
    <v>e2f60e84-1701-6d84-e960-ba87138e3631</v>
    <v>en-GB</v>
    <v>Map</v>
  </rv>
  <rv s="0">
    <v>536870912</v>
    <v>New Aquitaine</v>
    <v>7955f423-af31-d2e0-f045-b14668178865</v>
    <v>en-GB</v>
    <v>Map</v>
  </rv>
  <rv s="0">
    <v>536870912</v>
    <v>Auvergne-Rhône-Alpes</v>
    <v>b53940d0-b739-faf5-78d1-93f189f878c9</v>
    <v>en-GB</v>
    <v>Map</v>
  </rv>
  <rv s="0">
    <v>536870912</v>
    <v>Bourgogne-Franche-Comté</v>
    <v>4bc8dff1-8d72-5341-f405-63c7be8c6672</v>
    <v>en-GB</v>
    <v>Map</v>
  </rv>
  <rv s="0">
    <v>536870912</v>
    <v>Occitania</v>
    <v>5105d172-dc70-689f-09ab-4163a747508a</v>
    <v>en-GB</v>
    <v>Map</v>
  </rv>
  <rv s="0">
    <v>536870912</v>
    <v>Hauts-de-France</v>
    <v>4eb2d0b0-8845-48d0-9343-9ba3e7fe81a0</v>
    <v>en-GB</v>
    <v>Map</v>
  </rv>
  <rv s="0">
    <v>536870912</v>
    <v>Clipperton Island</v>
    <v>15fb63fc-f501-7360-7d44-f26d1501209e</v>
    <v>en-GB</v>
    <v>Map</v>
  </rv>
  <rv s="3">
    <v>15</v>
  </rv>
  <rv s="1">
    <fb>0.24229980509910898</fb>
    <v>23</v>
  </rv>
  <rv s="1">
    <fb>0.60699999999999998</fb>
    <v>23</v>
  </rv>
  <rv s="1">
    <fb>8.4270000457763714E-2</fb>
    <v>31</v>
  </rv>
  <rv s="1">
    <fb>54123364</fb>
    <v>24</v>
  </rv>
  <rv s="8">
    <v>#VALUE!</v>
    <v>en-GB</v>
    <v>c7bfe2de-4f82-e23c-ae42-8544b5b5c0ea</v>
    <v>536870912</v>
    <v>1</v>
    <v>55</v>
    <v>56</v>
    <v>France</v>
    <v>19</v>
    <v>20</v>
    <v>Map</v>
    <v>21</v>
    <v>57</v>
    <v>FR</v>
    <v>215</v>
    <v>216</v>
    <v>217</v>
    <v>218</v>
    <v>219</v>
    <v>220</v>
    <v>221</v>
    <v>222</v>
    <v>223</v>
    <v>EUR</v>
    <v>France, officially the French Republic, is a country located primarily in Western Europe. It also includes overseas regions and territories in the Americas and the Atlantic, Pacific and Indian oceans, giving it one of the largest discontiguous ...</v>
    <v>224</v>
    <v>225</v>
    <v>226</v>
    <v>227</v>
    <v>228</v>
    <v>229</v>
    <v>230</v>
    <v>231</v>
    <v>232</v>
    <v>233</v>
    <v>220</v>
    <v>236</v>
    <v>237</v>
    <v>238</v>
    <v>239</v>
    <v>240</v>
    <v>241</v>
    <v>France</v>
    <v>La Marseillaise</v>
    <v>242</v>
    <v>République française</v>
    <v>243</v>
    <v>244</v>
    <v>245</v>
    <v>85</v>
    <v>246</v>
    <v>247</v>
    <v>248</v>
    <v>249</v>
    <v>250</v>
    <v>251</v>
    <v>252</v>
    <v>278</v>
    <v>279</v>
    <v>49</v>
    <v>280</v>
    <v>281</v>
    <v>France</v>
    <v>282</v>
    <v>mdp/vdpid/84</v>
  </rv>
  <rv s="0">
    <v>536870912</v>
    <v>Germany</v>
    <v>75c62d8e-1449-4e4d-b188-d9e88f878dd9</v>
    <v>en-GB</v>
    <v>Map</v>
  </rv>
  <rv s="1">
    <fb>0.47678612319670299</fb>
    <v>23</v>
  </rv>
  <rv s="1">
    <fb>357587.77</fb>
    <v>24</v>
  </rv>
  <rv s="1">
    <fb>180000</fb>
    <v>24</v>
  </rv>
  <rv s="1">
    <fb>9.5</fb>
    <v>25</v>
  </rv>
  <rv s="1">
    <fb>49</fb>
    <v>26</v>
  </rv>
  <rv s="0">
    <v>536870912</v>
    <v>Berlin</v>
    <v>42784943-7c23-7672-5527-06f89b965cdf</v>
    <v>en-GB</v>
    <v>Map</v>
  </rv>
  <rv s="1">
    <fb>727972.84</fb>
    <v>24</v>
  </rv>
  <rv s="1">
    <fb>112.854887342124</fb>
    <v>27</v>
  </rv>
  <rv s="1">
    <fb>1.4456670146976E-2</fb>
    <v>23</v>
  </rv>
  <rv s="1">
    <fb>7035.4829747167596</fb>
    <v>24</v>
  </rv>
  <rv s="1">
    <fb>1.56</fb>
    <v>25</v>
  </rv>
  <rv s="1">
    <fb>0.326912067781085</fb>
    <v>23</v>
  </rv>
  <rv s="1">
    <fb>78.862551056754995</fb>
    <v>28</v>
  </rv>
  <rv s="1">
    <fb>3845630030823.52</fb>
    <v>30</v>
  </rv>
  <rv s="1">
    <fb>1.0402236</fb>
    <v>23</v>
  </rv>
  <rv s="1">
    <fb>0.70246649999999999</fb>
    <v>23</v>
  </rv>
  <rv s="2">
    <v>5</v>
    <v>21</v>
    <v>59</v>
    <v>7</v>
    <v>0</v>
    <v>Image of Germany</v>
  </rv>
  <rv s="1">
    <fb>3.1</fb>
    <v>28</v>
  </rv>
  <rv s="0">
    <v>805306368</v>
    <v>Frank-Walter Steinmeier (President)</v>
    <v>a6d595f9-116c-57de-2b35-48e9bde9f83d</v>
    <v>en-GB</v>
    <v>Generic</v>
  </rv>
  <rv s="0">
    <v>805306368</v>
    <v>Olaf Scholz (Chancellor)</v>
    <v>d327207b-5560-1fae-17a8-4bc95203ea8e</v>
    <v>en-GB</v>
    <v>Generic</v>
  </rv>
  <rv s="3">
    <v>16</v>
  </rv>
  <rv s="4">
    <v>https://www.bing.com/search?q=germany&amp;form=skydnc</v>
    <v>Learn more on Bing</v>
  </rv>
  <rv s="1">
    <fb>80.892682926829295</fb>
    <v>28</v>
  </rv>
  <rv s="1">
    <fb>2098173930000</fb>
    <v>30</v>
  </rv>
  <rv s="1">
    <fb>7</fb>
    <v>28</v>
  </rv>
  <rv s="1">
    <fb>9.99</fb>
    <v>29</v>
  </rv>
  <rv s="3">
    <v>17</v>
  </rv>
  <rv s="1">
    <fb>0.12528421940000001</fb>
    <v>23</v>
  </rv>
  <rv s="1">
    <fb>4.2488000000000001</fb>
    <v>25</v>
  </rv>
  <rv s="1">
    <fb>84079811</fb>
    <v>24</v>
  </rv>
  <rv s="1">
    <fb>0.22800000000000001</fb>
    <v>23</v>
  </rv>
  <rv s="1">
    <fb>0.24600000000000002</fb>
    <v>23</v>
  </rv>
  <rv s="1">
    <fb>0.39600000000000002</fb>
    <v>23</v>
  </rv>
  <rv s="1">
    <fb>2.8999999999999998E-2</fb>
    <v>23</v>
  </rv>
  <rv s="1">
    <fb>7.5999999999999998E-2</fb>
    <v>23</v>
  </rv>
  <rv s="1">
    <fb>0.128</fb>
    <v>23</v>
  </rv>
  <rv s="1">
    <fb>0.17100000000000001</fb>
    <v>23</v>
  </rv>
  <rv s="1">
    <fb>0.60811000823974604</fb>
    <v>23</v>
  </rv>
  <rv s="0">
    <v>536870912</v>
    <v>Baden-Württemberg</v>
    <v>e4767d1d-15fd-a8bd-1fcd-f8214d3c189f</v>
    <v>en-GB</v>
    <v>Map</v>
  </rv>
  <rv s="0">
    <v>536870912</v>
    <v>Bavaria</v>
    <v>e4f7e69f-e1bc-189a-d23d-b2ecee6a88d5</v>
    <v>en-GB</v>
    <v>Map</v>
  </rv>
  <rv s="0">
    <v>536870912</v>
    <v>Bremen</v>
    <v>70a6262d-6ded-6a1a-8a3d-e24538d50a05</v>
    <v>en-GB</v>
    <v>Map</v>
  </rv>
  <rv s="0">
    <v>536870912</v>
    <v>Hamburg</v>
    <v>0937ec8c-54f7-94c7-d7b8-0ea8c6cfce6f</v>
    <v>en-GB</v>
    <v>Map</v>
  </rv>
  <rv s="0">
    <v>536870912</v>
    <v>Mecklenburg-Vorpommern</v>
    <v>b0adc1b4-6fe2-3ad0-81e1-78c9ba53cedb</v>
    <v>en-GB</v>
    <v>Map</v>
  </rv>
  <rv s="0">
    <v>536870912</v>
    <v>Lower Saxony</v>
    <v>c91589e2-9db8-e9f2-b60d-1000c3502bc2</v>
    <v>en-GB</v>
    <v>Map</v>
  </rv>
  <rv s="0">
    <v>536870912</v>
    <v>North Rhine-Westphalia</v>
    <v>7192ac29-308b-9018-2da7-1d16b5afb233</v>
    <v>en-GB</v>
    <v>Map</v>
  </rv>
  <rv s="0">
    <v>536870912</v>
    <v>Rhineland-Palatinate</v>
    <v>b2634da1-26f3-4709-d63d-9f9489a33d9c</v>
    <v>en-GB</v>
    <v>Map</v>
  </rv>
  <rv s="0">
    <v>536870912</v>
    <v>Saarland</v>
    <v>077b3058-0078-d492-aee0-52b8d21ee39e</v>
    <v>en-GB</v>
    <v>Map</v>
  </rv>
  <rv s="0">
    <v>536870912</v>
    <v>Saxony</v>
    <v>db04ed86-d227-952f-dbae-2881e92d2d0a</v>
    <v>en-GB</v>
    <v>Map</v>
  </rv>
  <rv s="0">
    <v>536870912</v>
    <v>Saxony-Anhalt</v>
    <v>6af91c75-020d-7d63-0e2d-ab73f9f73280</v>
    <v>en-GB</v>
    <v>Map</v>
  </rv>
  <rv s="0">
    <v>536870912</v>
    <v>Schleswig-Holstein</v>
    <v>6dde426c-96c7-18bd-f4e1-b41b7575557a</v>
    <v>en-GB</v>
    <v>Map</v>
  </rv>
  <rv s="0">
    <v>536870912</v>
    <v>Brandenburg</v>
    <v>c841173c-24ae-1249-8be1-c2ff2ec02111</v>
    <v>en-GB</v>
    <v>Map</v>
  </rv>
  <rv s="0">
    <v>536870912</v>
    <v>Hesse</v>
    <v>90fbe078-3753-40db-ff12-40aa58e76c5f</v>
    <v>en-GB</v>
    <v>Map</v>
  </rv>
  <rv s="3">
    <v>18</v>
  </rv>
  <rv s="1">
    <fb>0.11505903952014901</fb>
    <v>23</v>
  </rv>
  <rv s="1">
    <fb>0.48799999999999999</fb>
    <v>23</v>
  </rv>
  <rv s="1">
    <fb>3.0429999828338602E-2</fb>
    <v>31</v>
  </rv>
  <rv s="1">
    <fb>64324835</fb>
    <v>24</v>
  </rv>
  <rv s="8">
    <v>#VALUE!</v>
    <v>en-GB</v>
    <v>75c62d8e-1449-4e4d-b188-d9e88f878dd9</v>
    <v>536870912</v>
    <v>1</v>
    <v>62</v>
    <v>56</v>
    <v>Germany</v>
    <v>19</v>
    <v>20</v>
    <v>Map</v>
    <v>21</v>
    <v>63</v>
    <v>DE</v>
    <v>285</v>
    <v>286</v>
    <v>287</v>
    <v>288</v>
    <v>289</v>
    <v>290</v>
    <v>291</v>
    <v>292</v>
    <v>293</v>
    <v>EUR</v>
    <v>Germany, officially the Federal Republic of Germany, is a country in the western region of Central Europe. It is the second-most populous country in Europe after Russia, and the most populous member state of the European Union. Germany is ...</v>
    <v>294</v>
    <v>295</v>
    <v>296</v>
    <v>297</v>
    <v>228</v>
    <v>298</v>
    <v>299</v>
    <v>300</v>
    <v>301</v>
    <v>302</v>
    <v>290</v>
    <v>305</v>
    <v>306</v>
    <v>307</v>
    <v>308</v>
    <v>309</v>
    <v>310</v>
    <v>Germany</v>
    <v>National Anthem of Germany</v>
    <v>311</v>
    <v>Bundesrepublik Deutschland</v>
    <v>312</v>
    <v>313</v>
    <v>314</v>
    <v>315</v>
    <v>316</v>
    <v>317</v>
    <v>318</v>
    <v>319</v>
    <v>320</v>
    <v>321</v>
    <v>322</v>
    <v>337</v>
    <v>338</v>
    <v>49</v>
    <v>339</v>
    <v>340</v>
    <v>Germany</v>
    <v>341</v>
    <v>mdp/vdpid/94</v>
  </rv>
  <rv s="0">
    <v>536870912</v>
    <v>Republic of Ireland</v>
    <v>77f28672-5669-4775-a58a-b62b17779010</v>
    <v>en-GB</v>
    <v>Map</v>
  </rv>
  <rv s="1">
    <fb>0.64537668747278298</fb>
    <v>23</v>
  </rv>
  <rv s="1">
    <fb>69797</fb>
    <v>24</v>
  </rv>
  <rv s="1">
    <fb>9000</fb>
    <v>24</v>
  </rv>
  <rv s="1">
    <fb>12.5</fb>
    <v>25</v>
  </rv>
  <rv s="1">
    <fb>353</fb>
    <v>26</v>
  </rv>
  <rv s="0">
    <v>536870912</v>
    <v>Dublin</v>
    <v>7e7d2832-97c8-afa4-d282-865c20a549c9</v>
    <v>en-GB</v>
    <v>Map</v>
  </rv>
  <rv s="1">
    <fb>37711.428</fb>
    <v>24</v>
  </rv>
  <rv s="1">
    <fb>106.584326346003</fb>
    <v>27</v>
  </rv>
  <rv s="1">
    <fb>9.3904448105434097E-3</fb>
    <v>23</v>
  </rv>
  <rv s="1">
    <fb>5672.0641341079599</fb>
    <v>24</v>
  </rv>
  <rv s="1">
    <fb>1.75</fb>
    <v>25</v>
  </rv>
  <rv s="1">
    <fb>0.110277255364644</fb>
    <v>23</v>
  </rv>
  <rv s="1">
    <fb>85.342819766444293</fb>
    <v>28</v>
  </rv>
  <rv s="1">
    <fb>1.37</fb>
    <v>29</v>
  </rv>
  <rv s="1">
    <fb>388698711348.15601</fb>
    <v>30</v>
  </rv>
  <rv s="1">
    <fb>1.0085278</fb>
    <v>23</v>
  </rv>
  <rv s="1">
    <fb>0.7778062</fb>
    <v>23</v>
  </rv>
  <rv s="2">
    <v>6</v>
    <v>21</v>
    <v>65</v>
    <v>7</v>
    <v>0</v>
    <v>Image of Republic of Ireland</v>
  </rv>
  <rv s="0">
    <v>805306368</v>
    <v>Michael D. Higgins (President)</v>
    <v>66da4ccd-5e5c-25af-1ee8-8bc26bc581fe</v>
    <v>en-GB</v>
    <v>Generic</v>
  </rv>
  <rv s="0">
    <v>805306368</v>
    <v>Leo Varadkar (Taoiseach)</v>
    <v>6d381967-27a2-c10c-0b47-bfe5c33d1e77</v>
    <v>en-GB</v>
    <v>Generic</v>
  </rv>
  <rv s="0">
    <v>805306368</v>
    <v>Donal O'Donnell (Chief justice)</v>
    <v>e19e8bb7-3a15-4389-9ca9-f25cb75bc3b7</v>
    <v>en-GB</v>
    <v>Generic</v>
  </rv>
  <rv s="3">
    <v>19</v>
  </rv>
  <rv s="4">
    <v>https://www.bing.com/search?q=republic+of+ireland&amp;form=skydnc</v>
    <v>Learn more on Bing</v>
  </rv>
  <rv s="1">
    <fb>82.256097560975604</fb>
    <v>28</v>
  </rv>
  <rv s="1">
    <fb>110154370000</fb>
    <v>30</v>
  </rv>
  <rv s="1">
    <fb>10.79</fb>
    <v>29</v>
  </rv>
  <rv s="3">
    <v>20</v>
  </rv>
  <rv s="1">
    <fb>0.15164452009999999</fb>
    <v>23</v>
  </rv>
  <rv s="1">
    <fb>3.3125</fb>
    <v>25</v>
  </rv>
  <rv s="1">
    <fb>5086988</fb>
    <v>24</v>
  </rv>
  <rv s="1">
    <fb>0.22</fb>
    <v>23</v>
  </rv>
  <rv s="1">
    <fb>0.25900000000000001</fb>
    <v>23</v>
  </rv>
  <rv s="1">
    <fb>0.41200000000000003</fb>
    <v>23</v>
  </rv>
  <rv s="1">
    <fb>3.1E-2</fb>
    <v>23</v>
  </rv>
  <rv s="1">
    <fb>7.9000000000000001E-2</fb>
    <v>23</v>
  </rv>
  <rv s="1">
    <fb>0.126</fb>
    <v>23</v>
  </rv>
  <rv s="1">
    <fb>0.16300000000000001</fb>
    <v>23</v>
  </rv>
  <rv s="1">
    <fb>0.62067001342773398</fb>
    <v>23</v>
  </rv>
  <rv s="0">
    <v>536870912</v>
    <v>County Cork</v>
    <v>bb6ad608-a731-417f-8fb4-3b29c7a06023</v>
    <v>en-GB</v>
    <v>Map</v>
  </rv>
  <rv s="0">
    <v>536870912</v>
    <v>County Kerry</v>
    <v>e281d492-542b-4c66-83a2-ec093a5cc247</v>
    <v>en-GB</v>
    <v>Map</v>
  </rv>
  <rv s="0">
    <v>536870912</v>
    <v>County Waterford</v>
    <v>a5aedce9-d905-4473-a32e-cd606469c5aa</v>
    <v>en-GB</v>
    <v>Map</v>
  </rv>
  <rv s="0">
    <v>536870912</v>
    <v>County Wexford</v>
    <v>99e6a13e-c2b2-40d9-b651-20d465421019</v>
    <v>en-GB</v>
    <v>Map</v>
  </rv>
  <rv s="0">
    <v>536870912</v>
    <v>County Galway</v>
    <v>73d9290c-2300-4ebd-98b6-0f77a242e08d</v>
    <v>en-GB</v>
    <v>Map</v>
  </rv>
  <rv s="0">
    <v>536870912</v>
    <v>County Laois</v>
    <v>c781c434-2a24-4f3d-a510-636b54663792</v>
    <v>en-GB</v>
    <v>Map</v>
  </rv>
  <rv s="0">
    <v>536870912</v>
    <v>County Kildare</v>
    <v>de3b8ce7-c7bc-4504-b970-d00c510d4ad6</v>
    <v>en-GB</v>
    <v>Map</v>
  </rv>
  <rv s="0">
    <v>536870912</v>
    <v>County Donegal</v>
    <v>b645d938-5d54-43e6-a821-1b0a55668a19</v>
    <v>en-GB</v>
    <v>Map</v>
  </rv>
  <rv s="0">
    <v>536870912</v>
    <v>County Westmeath</v>
    <v>54d058c5-8802-4485-8280-3d1537c6ff67</v>
    <v>en-GB</v>
    <v>Map</v>
  </rv>
  <rv s="0">
    <v>536870912</v>
    <v>County Leitrim</v>
    <v>5bdfc913-2ad8-446b-b3f9-e2e5bceeeafa</v>
    <v>en-GB</v>
    <v>Map</v>
  </rv>
  <rv s="0">
    <v>536870912</v>
    <v>County Mayo</v>
    <v>66ce3cb4-58f3-4497-b907-d42613782718</v>
    <v>en-GB</v>
    <v>Map</v>
  </rv>
  <rv s="0">
    <v>536870912</v>
    <v>County Roscommon</v>
    <v>b8c54237-085b-4bce-94ae-a61830948221</v>
    <v>en-GB</v>
    <v>Map</v>
  </rv>
  <rv s="0">
    <v>536870912</v>
    <v>County Clare</v>
    <v>085afbf1-6f94-4dcc-b587-444630726c9d</v>
    <v>en-GB</v>
    <v>Map</v>
  </rv>
  <rv s="0">
    <v>536870912</v>
    <v>County Tipperary</v>
    <v>9fc814a7-4b18-a287-d374-0875740a332b</v>
    <v>en-GB</v>
    <v>Map</v>
  </rv>
  <rv s="0">
    <v>536870912</v>
    <v>County Carlow</v>
    <v>344c1010-7d51-b5ad-141b-1b033e5928e0</v>
    <v>en-GB</v>
    <v>Map</v>
  </rv>
  <rv s="0">
    <v>536870912</v>
    <v>County Longford</v>
    <v>b606fd50-b140-461d-8499-0a2f15477c3f</v>
    <v>en-GB</v>
    <v>Map</v>
  </rv>
  <rv s="0">
    <v>536870912</v>
    <v>County Louth</v>
    <v>b3be5d39-0c24-438c-8cc9-4f47b53ee145</v>
    <v>en-GB</v>
    <v>Map</v>
  </rv>
  <rv s="0">
    <v>536870912</v>
    <v>County Offaly</v>
    <v>a2b6e818-7b54-4481-a69c-4b2490dcfe0c</v>
    <v>en-GB</v>
    <v>Map</v>
  </rv>
  <rv s="0">
    <v>536870912</v>
    <v>County Wicklow</v>
    <v>5cd59f89-1103-45a7-b3b9-0e04f5a8806b</v>
    <v>en-GB</v>
    <v>Map</v>
  </rv>
  <rv s="0">
    <v>536870912</v>
    <v>County Cavan</v>
    <v>e04372f9-a714-ff4d-9b13-bd083769ac5c</v>
    <v>en-GB</v>
    <v>Map</v>
  </rv>
  <rv s="0">
    <v>536870912</v>
    <v>County Monaghan</v>
    <v>fc43fd90-de92-49b3-bf37-7c577555fac7</v>
    <v>en-GB</v>
    <v>Map</v>
  </rv>
  <rv s="0">
    <v>536870912</v>
    <v>County Meath</v>
    <v>ff3f7e83-2ccd-4a6f-ac4f-9cfbc30014d6</v>
    <v>en-GB</v>
    <v>Map</v>
  </rv>
  <rv s="0">
    <v>536870912</v>
    <v>County Kilkenny</v>
    <v>1e943eb7-cca5-478d-b38d-39f3df9d3cb1</v>
    <v>en-GB</v>
    <v>Map</v>
  </rv>
  <rv s="0">
    <v>536870912</v>
    <v>County Limerick</v>
    <v>a20328c4-ef10-4fd7-bd04-5fe56806534e</v>
    <v>en-GB</v>
    <v>Map</v>
  </rv>
  <rv s="0">
    <v>536870912</v>
    <v>County Sligo</v>
    <v>f380e360-16e6-4512-b449-7900cf9b1aa7</v>
    <v>en-GB</v>
    <v>Map</v>
  </rv>
  <rv s="0">
    <v>536870912</v>
    <v>Connacht</v>
    <v>ef4b0f22-1de8-46c2-be90-c31bfbcc6a14</v>
    <v>en-GB</v>
    <v>Map</v>
  </rv>
  <rv s="3">
    <v>21</v>
  </rv>
  <rv s="1">
    <fb>0.18262353633181699</fb>
    <v>23</v>
  </rv>
  <rv s="1">
    <fb>0.26100000000000001</fb>
    <v>23</v>
  </rv>
  <rv s="1">
    <fb>4.9279999732971203E-2</fb>
    <v>31</v>
  </rv>
  <rv s="1">
    <fb>3133123</fb>
    <v>24</v>
  </rv>
  <rv s="9">
    <v>#VALUE!</v>
    <v>en-GB</v>
    <v>77f28672-5669-4775-a58a-b62b17779010</v>
    <v>536870912</v>
    <v>1</v>
    <v>68</v>
    <v>69</v>
    <v>Republic of Ireland</v>
    <v>19</v>
    <v>20</v>
    <v>Map</v>
    <v>21</v>
    <v>70</v>
    <v>344</v>
    <v>345</v>
    <v>346</v>
    <v>347</v>
    <v>348</v>
    <v>349</v>
    <v>350</v>
    <v>351</v>
    <v>352</v>
    <v>EUR</v>
    <v>Ireland, also known as the Republic of Ireland, is a country in north-western Europe consisting of 26 of the 32 counties of the island of Ireland. The capital and largest city is Dublin, on the eastern side of the island. Around 2.1 million of ...</v>
    <v>353</v>
    <v>354</v>
    <v>355</v>
    <v>356</v>
    <v>357</v>
    <v>358</v>
    <v>359</v>
    <v>360</v>
    <v>361</v>
    <v>302</v>
    <v>349</v>
    <v>365</v>
    <v>366</v>
    <v>367</v>
    <v>368</v>
    <v>26</v>
    <v>369</v>
    <v>Republic of Ireland</v>
    <v>Amhrán na bhFiann</v>
    <v>370</v>
    <v>Poblacht na hÉireann</v>
    <v>371</v>
    <v>372</v>
    <v>373</v>
    <v>374</v>
    <v>375</v>
    <v>376</v>
    <v>377</v>
    <v>378</v>
    <v>379</v>
    <v>380</v>
    <v>381</v>
    <v>408</v>
    <v>409</v>
    <v>410</v>
    <v>411</v>
    <v>Republic of Ireland</v>
    <v>412</v>
    <v>mdp/vdpid/68</v>
  </rv>
  <rv s="0">
    <v>536870912</v>
    <v>Italy</v>
    <v>09e8f885-427b-8850-947d-202e0287b9e8</v>
    <v>en-GB</v>
    <v>Map</v>
  </rv>
  <rv s="1">
    <fb>0.432345141769226</fb>
    <v>23</v>
  </rv>
  <rv s="1">
    <fb>302068</fb>
    <v>24</v>
  </rv>
  <rv s="1">
    <fb>347000</fb>
    <v>24</v>
  </rv>
  <rv s="1">
    <fb>7.3</fb>
    <v>25</v>
  </rv>
  <rv s="1">
    <fb>39</fb>
    <v>26</v>
  </rv>
  <rv s="0">
    <v>536870912</v>
    <v>Rome</v>
    <v>5ed498af-fa85-2a88-874d-212494ddb06f</v>
    <v>en-GB</v>
    <v>Map</v>
  </rv>
  <rv s="1">
    <fb>320411.45899999997</fb>
    <v>24</v>
  </rv>
  <rv s="1">
    <fb>110.623595648239</fb>
    <v>27</v>
  </rv>
  <rv s="1">
    <fb>6.1124694376529102E-3</fb>
    <v>23</v>
  </rv>
  <rv s="1">
    <fb>5002.4066798773601</fb>
    <v>24</v>
  </rv>
  <rv s="1">
    <fb>1.29</fb>
    <v>25</v>
  </rv>
  <rv s="1">
    <fb>0.31790303272888798</fb>
    <v>23</v>
  </rv>
  <rv s="1">
    <fb>79.948454735494707</fb>
    <v>28</v>
  </rv>
  <rv s="1">
    <fb>1.61</fb>
    <v>29</v>
  </rv>
  <rv s="1">
    <fb>2001244392041.5701</fb>
    <v>30</v>
  </rv>
  <rv s="1">
    <fb>1.0187936</fb>
    <v>23</v>
  </rv>
  <rv s="1">
    <fb>0.61933000000000005</fb>
    <v>23</v>
  </rv>
  <rv s="2">
    <v>7</v>
    <v>21</v>
    <v>72</v>
    <v>7</v>
    <v>0</v>
    <v>Image of Italy</v>
  </rv>
  <rv s="1">
    <fb>2.6</fb>
    <v>28</v>
  </rv>
  <rv s="0">
    <v>805306368</v>
    <v>Sergio Mattarella (President)</v>
    <v>7b09388e-8b92-1261-db16-7c6882735fe1</v>
    <v>en-GB</v>
    <v>Generic</v>
  </rv>
  <rv s="0">
    <v>805306368</v>
    <v>Giorgia Meloni (Prime minister)</v>
    <v>5c9bb82e-e08f-f5eb-9f29-f20e75e8eb8f</v>
    <v>en-GB</v>
    <v>Generic</v>
  </rv>
  <rv s="3">
    <v>22</v>
  </rv>
  <rv s="4">
    <v>https://www.bing.com/search?q=italy&amp;form=skydnc</v>
    <v>Learn more on Bing</v>
  </rv>
  <rv s="1">
    <fb>82.946341463414697</fb>
    <v>28</v>
  </rv>
  <rv s="1">
    <fb>522087790000</fb>
    <v>30</v>
  </rv>
  <rv s="1">
    <fb>2</fb>
    <v>28</v>
  </rv>
  <rv s="3">
    <v>23</v>
  </rv>
  <rv s="1">
    <fb>0.2283268819</fb>
    <v>23</v>
  </rv>
  <rv s="1">
    <fb>3.9773999999999998</fb>
    <v>25</v>
  </rv>
  <rv s="1">
    <fb>58856847</fb>
    <v>24</v>
  </rv>
  <rv s="1">
    <fb>0.26700000000000002</fb>
    <v>23</v>
  </rv>
  <rv s="1">
    <fb>0.42100000000000004</fb>
    <v>23</v>
  </rv>
  <rv s="1">
    <fb>1.9E-2</fb>
    <v>23</v>
  </rv>
  <rv s="1">
    <fb>0.06</fb>
    <v>23</v>
  </rv>
  <rv s="1">
    <fb>0.12</fb>
    <v>23</v>
  </rv>
  <rv s="1">
    <fb>0.495550003051758</fb>
    <v>23</v>
  </rv>
  <rv s="0">
    <v>536870912</v>
    <v>Abruzzo</v>
    <v>6d07734f-0734-da73-bda9-a2e9e44c1042</v>
    <v>en-GB</v>
    <v>Map</v>
  </rv>
  <rv s="0">
    <v>536870912</v>
    <v>Basilicata</v>
    <v>c286f639-68f8-3ed2-0119-87142c109b42</v>
    <v>en-GB</v>
    <v>Map</v>
  </rv>
  <rv s="0">
    <v>536870912</v>
    <v>Calabria</v>
    <v>87d05176-c03a-c209-fa72-dfafed738418</v>
    <v>en-GB</v>
    <v>Map</v>
  </rv>
  <rv s="0">
    <v>536870912</v>
    <v>Campania</v>
    <v>9933ef2b-24f2-a29d-6e4f-fe6bffe78694</v>
    <v>en-GB</v>
    <v>Map</v>
  </rv>
  <rv s="0">
    <v>536870912</v>
    <v>Emilia-Romagna</v>
    <v>129d3426-cfe5-9154-2989-f246e1aa5cec</v>
    <v>en-GB</v>
    <v>Map</v>
  </rv>
  <rv s="0">
    <v>536870912</v>
    <v>Friuli Venezia Giulia</v>
    <v>dfe11af7-836d-40cf-b176-995500a2a2fb</v>
    <v>en-GB</v>
    <v>Map</v>
  </rv>
  <rv s="0">
    <v>536870912</v>
    <v>Lazio</v>
    <v>e5d48b4e-72f5-da43-7854-da4784df7b51</v>
    <v>en-GB</v>
    <v>Map</v>
  </rv>
  <rv s="0">
    <v>536870912</v>
    <v>Liguria</v>
    <v>bc9d0bc0-7501-9ea0-5ffc-8d29df64f153</v>
    <v>en-GB</v>
    <v>Map</v>
  </rv>
  <rv s="0">
    <v>536870912</v>
    <v>Lombardy</v>
    <v>4e4d95c0-6e91-acd2-e10c-7165bc365e22</v>
    <v>en-GB</v>
    <v>Map</v>
  </rv>
  <rv s="0">
    <v>536870912</v>
    <v>Marche</v>
    <v>262ac8bf-0bbd-ba85-aef3-2130493eaa9b</v>
    <v>en-GB</v>
    <v>Map</v>
  </rv>
  <rv s="0">
    <v>536870912</v>
    <v>Molise</v>
    <v>048932e0-ef04-999e-a84f-326f5eaf1b11</v>
    <v>en-GB</v>
    <v>Map</v>
  </rv>
  <rv s="0">
    <v>536870912</v>
    <v>Piedmont</v>
    <v>1a1b261b-a6b1-8503-5262-e2f707fe58ce</v>
    <v>en-GB</v>
    <v>Map</v>
  </rv>
  <rv s="0">
    <v>536870912</v>
    <v>Apulia</v>
    <v>162619f7-7efb-76cc-0544-2da0306bd7c3</v>
    <v>en-GB</v>
    <v>Map</v>
  </rv>
  <rv s="0">
    <v>536870912</v>
    <v>Sardinia</v>
    <v>2ac543b8-3c5f-c1c2-9c26-7153eb61c3d0</v>
    <v>en-GB</v>
    <v>Map</v>
  </rv>
  <rv s="0">
    <v>536870912</v>
    <v>Sicily</v>
    <v>610fbc95-e594-a116-6d30-36286446a003</v>
    <v>en-GB</v>
    <v>Map</v>
  </rv>
  <rv s="0">
    <v>536870912</v>
    <v>Tuscany</v>
    <v>a8854f08-da35-486d-5bd1-760f4eeb3da0</v>
    <v>en-GB</v>
    <v>Map</v>
  </rv>
  <rv s="0">
    <v>536870912</v>
    <v>Trentino-Alto Adige/Südtirol</v>
    <v>b537e28d-6f0c-d8cf-1384-534def0737dd</v>
    <v>en-GB</v>
    <v>Map</v>
  </rv>
  <rv s="0">
    <v>536870912</v>
    <v>Umbria</v>
    <v>a75c12d3-c6a9-ea7c-e844-577d1cfe72dd</v>
    <v>en-GB</v>
    <v>Map</v>
  </rv>
  <rv s="0">
    <v>536870912</v>
    <v>Aosta Valley</v>
    <v>d9b216c7-5de6-eaf4-2383-5f7fc3075fdb</v>
    <v>en-GB</v>
    <v>Map</v>
  </rv>
  <rv s="0">
    <v>536870912</v>
    <v>Veneto</v>
    <v>6809e680-9adc-134d-ebe9-70b79f5adb5f</v>
    <v>en-GB</v>
    <v>Map</v>
  </rv>
  <rv s="3">
    <v>24</v>
  </rv>
  <rv s="1">
    <fb>0.24250464933068097</fb>
    <v>23</v>
  </rv>
  <rv s="1">
    <fb>0.59099999999999997</fb>
    <v>23</v>
  </rv>
  <rv s="1">
    <fb>9.8870000839233405E-2</fb>
    <v>31</v>
  </rv>
  <rv s="1">
    <fb>42651966</fb>
    <v>24</v>
  </rv>
  <rv s="7">
    <v>#VALUE!</v>
    <v>en-GB</v>
    <v>09e8f885-427b-8850-947d-202e0287b9e8</v>
    <v>536870912</v>
    <v>1</v>
    <v>75</v>
    <v>50</v>
    <v>Italy</v>
    <v>19</v>
    <v>20</v>
    <v>Map</v>
    <v>21</v>
    <v>76</v>
    <v>IT</v>
    <v>415</v>
    <v>416</v>
    <v>417</v>
    <v>418</v>
    <v>419</v>
    <v>420</v>
    <v>421</v>
    <v>422</v>
    <v>423</v>
    <v>EUR</v>
    <v>Italy, officially the Italian Republic, is a country in Southern and Western Europe. Located in the middle of the Mediterranean Sea, it consists of a peninsula delimited by the Alps and surrounded by several islands. Italy shares land borders ...</v>
    <v>424</v>
    <v>425</v>
    <v>426</v>
    <v>427</v>
    <v>428</v>
    <v>429</v>
    <v>430</v>
    <v>431</v>
    <v>432</v>
    <v>433</v>
    <v>420</v>
    <v>436</v>
    <v>437</v>
    <v>438</v>
    <v>439</v>
    <v>440</v>
    <v>Italy</v>
    <v>Il Canto degli Italiani</v>
    <v>441</v>
    <v>Repubblica Italiana</v>
    <v>442</v>
    <v>443</v>
    <v>444</v>
    <v>32</v>
    <v>445</v>
    <v>446</v>
    <v>447</v>
    <v>448</v>
    <v>449</v>
    <v>251</v>
    <v>450</v>
    <v>471</v>
    <v>472</v>
    <v>473</v>
    <v>474</v>
    <v>Italy</v>
    <v>475</v>
    <v>mdp/vdpid/118</v>
  </rv>
  <rv s="0">
    <v>536870912</v>
    <v>Norway</v>
    <v>51b69cb2-1924-e989-590b-712a7070a30f</v>
    <v>en-GB</v>
    <v>Map</v>
  </rv>
  <rv s="1">
    <fb>2.6940783293922001E-2</fb>
    <v>23</v>
  </rv>
  <rv s="1">
    <fb>385207</fb>
    <v>24</v>
  </rv>
  <rv s="1">
    <fb>23000</fb>
    <v>24</v>
  </rv>
  <rv s="1">
    <fb>10.4</fb>
    <v>25</v>
  </rv>
  <rv s="1">
    <fb>47</fb>
    <v>26</v>
  </rv>
  <rv s="0">
    <v>536870912</v>
    <v>Oslo</v>
    <v>962ca6d0-04b2-b258-d6d5-ec31f6cc1d83</v>
    <v>en-GB</v>
    <v>Map</v>
  </rv>
  <rv s="1">
    <fb>41022.728999999999</fb>
    <v>24</v>
  </rv>
  <rv s="1">
    <fb>120.269658854402</fb>
    <v>27</v>
  </rv>
  <rv s="1">
    <fb>2.1677300330540498E-2</fb>
    <v>23</v>
  </rv>
  <rv s="1">
    <fb>22999.934595128299</fb>
    <v>24</v>
  </rv>
  <rv s="1">
    <fb>0.331778599014523</fb>
    <v>23</v>
  </rv>
  <rv s="1">
    <fb>56.951628649981103</fb>
    <v>28</v>
  </rv>
  <rv s="1">
    <fb>1.78</fb>
    <v>29</v>
  </rv>
  <rv s="1">
    <fb>403336363636.36401</fb>
    <v>30</v>
  </rv>
  <rv s="1">
    <fb>1.0026021000000001</fb>
    <v>23</v>
  </rv>
  <rv s="1">
    <fb>0.81992350000000003</fb>
    <v>23</v>
  </rv>
  <rv s="2">
    <v>8</v>
    <v>21</v>
    <v>78</v>
    <v>7</v>
    <v>0</v>
    <v>Image of Norway</v>
  </rv>
  <rv s="1">
    <fb>2.1</fb>
    <v>28</v>
  </rv>
  <rv s="0">
    <v>805306368</v>
    <v>Harald V (Monarch)</v>
    <v>d501cea3-4c13-36b0-0641-e2d6452188bc</v>
    <v>en-GB</v>
    <v>Generic</v>
  </rv>
  <rv s="0">
    <v>805306368</v>
    <v>Jonas Gahr Støre (Prime minister)</v>
    <v>22a97b4b-1d69-8ed3-e2ba-75ec00cac6ad</v>
    <v>en-GB</v>
    <v>Generic</v>
  </rv>
  <rv s="0">
    <v>805306368</v>
    <v>Toril Marie Øie (Chief justice)</v>
    <v>ef71223b-60e9-6b7e-eed9-1343c144235c</v>
    <v>en-GB</v>
    <v>Generic</v>
  </rv>
  <rv s="3">
    <v>25</v>
  </rv>
  <rv s="4">
    <v>https://www.bing.com/search?q=norway&amp;form=skydnc</v>
    <v>Learn more on Bing</v>
  </rv>
  <rv s="1">
    <fb>82.758536585365903</fb>
    <v>28</v>
  </rv>
  <rv s="1">
    <fb>295548630000</fb>
    <v>30</v>
  </rv>
  <rv s="3">
    <v>26</v>
  </rv>
  <rv s="1">
    <fb>0.14272576140000001</fb>
    <v>23</v>
  </rv>
  <rv s="1">
    <fb>2.9163999999999999</fb>
    <v>25</v>
  </rv>
  <rv s="1">
    <fb>5457127</fb>
    <v>24</v>
  </rv>
  <rv s="1">
    <fb>0.21600000000000003</fb>
    <v>23</v>
  </rv>
  <rv s="1">
    <fb>0.36</fb>
    <v>23</v>
  </rv>
  <rv s="1">
    <fb>8.900000000000001E-2</fb>
    <v>23</v>
  </rv>
  <rv s="1">
    <fb>0.14300000000000002</fb>
    <v>23</v>
  </rv>
  <rv s="1">
    <fb>0.18</fb>
    <v>23</v>
  </rv>
  <rv s="1">
    <fb>0.63804000854492204</fb>
    <v>23</v>
  </rv>
  <rv s="0">
    <v>536870912</v>
    <v>Rogaland</v>
    <v>986d3e77-c553-606b-9d2f-776a1c989ba2</v>
    <v>en-GB</v>
    <v>Map</v>
  </rv>
  <rv s="0">
    <v>536870912</v>
    <v>Møre og Romsdal</v>
    <v>701c8996-b876-44d1-7f9c-2b299bcf08c6</v>
    <v>en-GB</v>
    <v>Map</v>
  </rv>
  <rv s="0">
    <v>536870912</v>
    <v>Nordland</v>
    <v>35304f96-e4b8-aa47-fc00-57db63d0c883</v>
    <v>en-GB</v>
    <v>Map</v>
  </rv>
  <rv s="0">
    <v>536870912</v>
    <v>Svalbard</v>
    <v>e0bdceb6-73d9-342d-a32c-dfba0b579752</v>
    <v>en-GB</v>
    <v>Map</v>
  </rv>
  <rv s="0">
    <v>536870912</v>
    <v>Jan Mayen</v>
    <v>f56eb1ba-33b5-1e64-ae2b-258d8244ad2c</v>
    <v>en-GB</v>
    <v>Map</v>
  </rv>
  <rv s="0">
    <v>536870912</v>
    <v>Bouvet Island</v>
    <v>0df9c34a-d3f0-c09f-d594-0d17e4ce27da</v>
    <v>en-GB</v>
    <v>Map</v>
  </rv>
  <rv s="3">
    <v>27</v>
  </rv>
  <rv s="1">
    <fb>0.238617503950879</fb>
    <v>23</v>
  </rv>
  <rv s="1">
    <fb>0.36200000000000004</fb>
    <v>23</v>
  </rv>
  <rv s="1">
    <fb>3.3459999561309801E-2</fb>
    <v>31</v>
  </rv>
  <rv s="1">
    <fb>4418218</fb>
    <v>24</v>
  </rv>
  <rv s="5">
    <v>#VALUE!</v>
    <v>en-GB</v>
    <v>51b69cb2-1924-e989-590b-712a7070a30f</v>
    <v>536870912</v>
    <v>1</v>
    <v>81</v>
    <v>17</v>
    <v>Norway</v>
    <v>19</v>
    <v>20</v>
    <v>Map</v>
    <v>21</v>
    <v>82</v>
    <v>NO</v>
    <v>478</v>
    <v>479</v>
    <v>480</v>
    <v>481</v>
    <v>482</v>
    <v>483</v>
    <v>484</v>
    <v>485</v>
    <v>486</v>
    <v>NOK</v>
    <v>Norway, formally the Kingdom of Norway, is a Nordic country in Northern Europe, the mainland territory of which comprises the western and northernmost portion of the Scandinavian Peninsula. The remote Arctic island of Jan Mayen and the ...</v>
    <v>487</v>
    <v>295</v>
    <v>488</v>
    <v>489</v>
    <v>490</v>
    <v>491</v>
    <v>492</v>
    <v>493</v>
    <v>494</v>
    <v>495</v>
    <v>483</v>
    <v>499</v>
    <v>500</v>
    <v>501</v>
    <v>502</v>
    <v>440</v>
    <v>Norway</v>
    <v>Ja, vi elsker dette landet</v>
    <v>503</v>
    <v>Kongeriket Norge</v>
    <v>504</v>
    <v>505</v>
    <v>506</v>
    <v>315</v>
    <v>507</v>
    <v>508</v>
    <v>87</v>
    <v>509</v>
    <v>510</v>
    <v>511</v>
    <v>512</v>
    <v>519</v>
    <v>520</v>
    <v>49</v>
    <v>521</v>
    <v>522</v>
    <v>Norway</v>
    <v>523</v>
    <v>mdp/vdpid/177</v>
  </rv>
  <rv s="0">
    <v>536870912</v>
    <v>Poland</v>
    <v>1d6059a2-d1f1-d2d7-4261-dc7cd5cdb84b</v>
    <v>en-GB</v>
    <v>Map</v>
  </rv>
  <rv s="1">
    <fb>0.469447075345374</fb>
    <v>23</v>
  </rv>
  <rv s="1">
    <fb>312683</fb>
    <v>24</v>
  </rv>
  <rv s="1">
    <fb>191000</fb>
    <v>24</v>
  </rv>
  <rv s="1">
    <fb>10.199999999999999</fb>
    <v>25</v>
  </rv>
  <rv s="1">
    <fb>48</fb>
    <v>26</v>
  </rv>
  <rv s="0">
    <v>536870912</v>
    <v>Warsaw</v>
    <v>c79f30ac-b9a3-0949-6bdf-956551e5fc81</v>
    <v>en-GB</v>
    <v>Map</v>
  </rv>
  <rv s="1">
    <fb>299036.516</fb>
    <v>24</v>
  </rv>
  <rv s="1">
    <fb>114.111779375092</fb>
    <v>27</v>
  </rv>
  <rv s="1">
    <fb>2.227478809383E-2</fb>
    <v>23</v>
  </rv>
  <rv s="1">
    <fb>3971.7997613105499</fb>
    <v>24</v>
  </rv>
  <rv s="1">
    <fb>1.46</fb>
    <v>25</v>
  </rv>
  <rv s="1">
    <fb>0.30883439025809101</fb>
    <v>23</v>
  </rv>
  <rv s="1">
    <fb>90.291375435655297</fb>
    <v>28</v>
  </rv>
  <rv s="1">
    <fb>1.07</fb>
    <v>29</v>
  </rv>
  <rv s="1">
    <fb>592164400687.60706</fb>
    <v>30</v>
  </rv>
  <rv s="1">
    <fb>1.000159</fb>
    <v>23</v>
  </rv>
  <rv s="1">
    <fb>0.67827439999999994</fb>
    <v>23</v>
  </rv>
  <rv s="2">
    <v>9</v>
    <v>21</v>
    <v>84</v>
    <v>7</v>
    <v>0</v>
    <v>Image of Poland</v>
  </rv>
  <rv s="1">
    <fb>3.8</fb>
    <v>28</v>
  </rv>
  <rv s="0">
    <v>805306368</v>
    <v>Andrzej Duda (President)</v>
    <v>fd659446-93d5-1c05-f501-9d102870ea43</v>
    <v>en-GB</v>
    <v>Generic</v>
  </rv>
  <rv s="0">
    <v>805306368</v>
    <v>Mateusz Morawiecki (Prime minister)</v>
    <v>0d18b0a0-3a62-782b-9156-6236fe9893be</v>
    <v>en-GB</v>
    <v>Generic</v>
  </rv>
  <rv s="3">
    <v>28</v>
  </rv>
  <rv s="4">
    <v>https://www.bing.com/search?q=poland&amp;form=skydnc</v>
    <v>Learn more on Bing</v>
  </rv>
  <rv s="1">
    <fb>77.602439024390307</fb>
    <v>28</v>
  </rv>
  <rv s="1">
    <fb>151618860000</fb>
    <v>30</v>
  </rv>
  <rv s="1">
    <fb>2.93</fb>
    <v>29</v>
  </rv>
  <rv s="3">
    <v>29</v>
  </rv>
  <rv s="1">
    <fb>0.23246298360000001</fb>
    <v>23</v>
  </rv>
  <rv s="1">
    <fb>2.3788</fb>
    <v>25</v>
  </rv>
  <rv s="1">
    <fb>37561599</fb>
    <v>24</v>
  </rv>
  <rv s="1">
    <fb>0.23499999999999999</fb>
    <v>23</v>
  </rv>
  <rv s="1">
    <fb>0.38200000000000001</fb>
    <v>23</v>
  </rv>
  <rv s="1">
    <fb>8.3000000000000004E-2</fb>
    <v>23</v>
  </rv>
  <rv s="1">
    <fb>0.13400000000000001</fb>
    <v>23</v>
  </rv>
  <rv s="1">
    <fb>0.17499999999999999</fb>
    <v>23</v>
  </rv>
  <rv s="1">
    <fb>0.56701000213622998</fb>
    <v>23</v>
  </rv>
  <rv s="0">
    <v>536870912</v>
    <v>Lower Silesian Voivodeship</v>
    <v>2c12027c-f1f3-15e4-470e-533d0b324b34</v>
    <v>en-GB</v>
    <v>Map</v>
  </rv>
  <rv s="0">
    <v>536870912</v>
    <v>Łódź Voivodeship</v>
    <v>0fe063e3-0ad6-1012-edb0-f676300d33ea</v>
    <v>en-GB</v>
    <v>Map</v>
  </rv>
  <rv s="0">
    <v>536870912</v>
    <v>Świętokrzyskie Voivodeship</v>
    <v>f361912e-d7ba-dd37-b583-2068d7a03177</v>
    <v>en-GB</v>
    <v>Map</v>
  </rv>
  <rv s="0">
    <v>536870912</v>
    <v>Lesser Poland Voivodeship</v>
    <v>efd58db8-b0c8-2329-0f3a-8adeab450d74</v>
    <v>en-GB</v>
    <v>Map</v>
  </rv>
  <rv s="0">
    <v>536870912</v>
    <v>Lublin Voivodeship</v>
    <v>b5dea0b6-7035-ffe9-a5c1-a961fcb0e72e</v>
    <v>en-GB</v>
    <v>Map</v>
  </rv>
  <rv s="0">
    <v>536870912</v>
    <v>Masovian Voivodeship</v>
    <v>32cae853-042c-0a77-5173-f511fead52f6</v>
    <v>en-GB</v>
    <v>Map</v>
  </rv>
  <rv s="0">
    <v>536870912</v>
    <v>Kuyavian-Pomeranian Voivodeship</v>
    <v>2b254630-1d13-aca8-305f-0841a7ec6b83</v>
    <v>en-GB</v>
    <v>Map</v>
  </rv>
  <rv s="0">
    <v>536870912</v>
    <v>Opole Voivodeship</v>
    <v>6a026a5e-de28-6062-3c38-7c6f4181e5bc</v>
    <v>en-GB</v>
    <v>Map</v>
  </rv>
  <rv s="0">
    <v>536870912</v>
    <v>Subcarpathian Voivodeship</v>
    <v>f88dda2b-0c12-4d9a-984c-52115296336c</v>
    <v>en-GB</v>
    <v>Map</v>
  </rv>
  <rv s="0">
    <v>536870912</v>
    <v>Lubusz Voivodeship</v>
    <v>c0d124dd-136d-3834-1fe8-efd33254942d</v>
    <v>en-GB</v>
    <v>Map</v>
  </rv>
  <rv s="0">
    <v>536870912</v>
    <v>Pomeranian Voivodeship</v>
    <v>765662c5-0a8a-9aea-8c1c-c063ec4e16f8</v>
    <v>en-GB</v>
    <v>Map</v>
  </rv>
  <rv s="0">
    <v>536870912</v>
    <v>Warmian-Masurian Voivodeship</v>
    <v>eed14489-8bcb-c40c-6362-4e95235cce3f</v>
    <v>en-GB</v>
    <v>Map</v>
  </rv>
  <rv s="0">
    <v>536870912</v>
    <v>Silesian Voivodeship</v>
    <v>21f7e450-daba-be7f-4ac9-7f73980437c9</v>
    <v>en-GB</v>
    <v>Map</v>
  </rv>
  <rv s="0">
    <v>536870912</v>
    <v>Podlaskie Voivodeship</v>
    <v>82774917-52f8-91a2-e0f4-7810458bd6ed</v>
    <v>en-GB</v>
    <v>Map</v>
  </rv>
  <rv s="0">
    <v>536870912</v>
    <v>West Pomeranian Voivodeship</v>
    <v>af2cc162-3439-53b4-582b-cb4495bdbf8e</v>
    <v>en-GB</v>
    <v>Map</v>
  </rv>
  <rv s="0">
    <v>536870912</v>
    <v>Greater Poland Voivodeship</v>
    <v>edec10d8-3c1d-302b-daa4-5a643ab293e8</v>
    <v>en-GB</v>
    <v>Map</v>
  </rv>
  <rv s="3">
    <v>30</v>
  </rv>
  <rv s="1">
    <fb>0.174019561608692</fb>
    <v>23</v>
  </rv>
  <rv s="1">
    <fb>0.40799999999999997</fb>
    <v>23</v>
  </rv>
  <rv s="1">
    <fb>3.4739999771118198E-2</fb>
    <v>31</v>
  </rv>
  <rv s="1">
    <fb>22796574</fb>
    <v>24</v>
  </rv>
  <rv s="6">
    <v>#VALUE!</v>
    <v>en-GB</v>
    <v>1d6059a2-d1f1-d2d7-4261-dc7cd5cdb84b</v>
    <v>536870912</v>
    <v>1</v>
    <v>87</v>
    <v>37</v>
    <v>Poland</v>
    <v>19</v>
    <v>20</v>
    <v>Map</v>
    <v>21</v>
    <v>22</v>
    <v>PL</v>
    <v>526</v>
    <v>527</v>
    <v>528</v>
    <v>529</v>
    <v>530</v>
    <v>531</v>
    <v>532</v>
    <v>533</v>
    <v>534</v>
    <v>PLN</v>
    <v>Poland, officially the Republic of Poland, is a country in Central Europe. It is divided into 16 administrative provinces called voivodeships, covering an area of 312,700 km². Poland has a population of over 38 million and is the fifth most ...</v>
    <v>535</v>
    <v>536</v>
    <v>537</v>
    <v>538</v>
    <v>539</v>
    <v>540</v>
    <v>541</v>
    <v>542</v>
    <v>543</v>
    <v>544</v>
    <v>531</v>
    <v>547</v>
    <v>548</v>
    <v>549</v>
    <v>550</v>
    <v>440</v>
    <v>551</v>
    <v>Poland</v>
    <v>Poland Is Not Yet Lost</v>
    <v>552</v>
    <v>Rzeczpospolita Polska</v>
    <v>553</v>
    <v>554</v>
    <v>555</v>
    <v>182</v>
    <v>556</v>
    <v>557</v>
    <v>248</v>
    <v>558</v>
    <v>559</v>
    <v>560</v>
    <v>561</v>
    <v>578</v>
    <v>579</v>
    <v>580</v>
    <v>581</v>
    <v>Poland</v>
    <v>582</v>
    <v>mdp/vdpid/191</v>
  </rv>
  <rv s="0">
    <v>536870912</v>
    <v>Portugal</v>
    <v>9e917e65-c588-a0b7-f336-52fc6b5b2052</v>
    <v>en-GB</v>
    <v>Map</v>
  </rv>
  <rv s="1">
    <fb>0.39452940398253294</fb>
    <v>23</v>
  </rv>
  <rv s="1">
    <fb>92225</fb>
    <v>24</v>
  </rv>
  <rv s="1">
    <fb>52000</fb>
    <v>24</v>
  </rv>
  <rv s="1">
    <fb>8.5</fb>
    <v>25</v>
  </rv>
  <rv s="1">
    <fb>351</fb>
    <v>26</v>
  </rv>
  <rv s="0">
    <v>536870912</v>
    <v>Lisbon</v>
    <v>9d006cb5-bff4-48b4-9c83-443eaf418b11</v>
    <v>en-GB</v>
    <v>Map</v>
  </rv>
  <rv s="1">
    <fb>48741.764000000003</fb>
    <v>24</v>
  </rv>
  <rv s="1">
    <fb>110.624358614714</fb>
    <v>27</v>
  </rv>
  <rv s="1">
    <fb>3.3817841004612497E-3</fb>
    <v>23</v>
  </rv>
  <rv s="1">
    <fb>4662.6007998029399</fb>
    <v>24</v>
  </rv>
  <rv s="1">
    <fb>1.38</fb>
    <v>25</v>
  </rv>
  <rv s="1">
    <fb>0.34611423825368903</fb>
    <v>23</v>
  </rv>
  <rv s="1">
    <fb>77.024122555839</fb>
    <v>28</v>
  </rv>
  <rv s="1">
    <fb>1.54</fb>
    <v>29</v>
  </rv>
  <rv s="1">
    <fb>237686075634.698</fb>
    <v>30</v>
  </rv>
  <rv s="1">
    <fb>1.0618313000000001</fb>
    <v>23</v>
  </rv>
  <rv s="1">
    <fb>0.63935809999999993</fb>
    <v>23</v>
  </rv>
  <rv s="2">
    <v>10</v>
    <v>21</v>
    <v>89</v>
    <v>7</v>
    <v>0</v>
    <v>Image of Portugal</v>
  </rv>
  <rv s="0">
    <v>805306368</v>
    <v>Marcelo Rebelo de Sousa (President)</v>
    <v>cd15af88-d571-7e9f-0e69-8c7f54821ed3</v>
    <v>en-GB</v>
    <v>Generic</v>
  </rv>
  <rv s="0">
    <v>805306368</v>
    <v>António Costa (Prime minister)</v>
    <v>461f25f6-d38c-4199-a2e3-c82f6d34e8cb</v>
    <v>en-GB</v>
    <v>Generic</v>
  </rv>
  <rv s="3">
    <v>31</v>
  </rv>
  <rv s="4">
    <v>https://www.bing.com/search?q=portugal&amp;form=skydnc</v>
    <v>Learn more on Bing</v>
  </rv>
  <rv s="1">
    <fb>81.3243902439024</fb>
    <v>28</v>
  </rv>
  <rv s="1">
    <fb>61933604857.411003</fb>
    <v>30</v>
  </rv>
  <rv s="1">
    <fb>3.78</fb>
    <v>29</v>
  </rv>
  <rv s="3">
    <v>32</v>
  </rv>
  <rv s="1">
    <fb>0.27650697260000001</fb>
    <v>23</v>
  </rv>
  <rv s="1">
    <fb>5.1239999999999997</fb>
    <v>25</v>
  </rv>
  <rv s="1">
    <fb>10379007</fb>
    <v>24</v>
  </rv>
  <rv s="1">
    <fb>0.221</fb>
    <v>23</v>
  </rv>
  <rv s="1">
    <fb>0.41600000000000004</fb>
    <v>23</v>
  </rv>
  <rv s="1">
    <fb>2.7000000000000003E-2</fb>
    <v>23</v>
  </rv>
  <rv s="1">
    <fb>7.400000000000001E-2</fb>
    <v>23</v>
  </rv>
  <rv s="1">
    <fb>0.124</fb>
    <v>23</v>
  </rv>
  <rv s="1">
    <fb>0.16500000000000001</fb>
    <v>23</v>
  </rv>
  <rv s="1">
    <fb>0.58811000823974602</fb>
    <v>23</v>
  </rv>
  <rv s="0">
    <v>536870912</v>
    <v>Lisbon District</v>
    <v>9aabe4c9-f2ff-745a-22b7-741589d147d3</v>
    <v>en-GB</v>
    <v>Map</v>
  </rv>
  <rv s="0">
    <v>536870912</v>
    <v>Leiria District</v>
    <v>1e45c3ae-38a6-3ec3-3187-2e72c0cad027</v>
    <v>en-GB</v>
    <v>Map</v>
  </rv>
  <rv s="0">
    <v>536870912</v>
    <v>Santarém District</v>
    <v>31ed3d3b-1669-48e6-9f45-7dff6e48107b</v>
    <v>en-GB</v>
    <v>Map</v>
  </rv>
  <rv s="0">
    <v>536870912</v>
    <v>Setúbal District</v>
    <v>2443fa57-ba7a-ca6f-6988-b7bb998c209d</v>
    <v>en-GB</v>
    <v>Map</v>
  </rv>
  <rv s="0">
    <v>536870912</v>
    <v>Beja District</v>
    <v>57132a4f-ab86-49cc-9a10-eea78fe194c6</v>
    <v>en-GB</v>
    <v>Map</v>
  </rv>
  <rv s="0">
    <v>536870912</v>
    <v>Faro District</v>
    <v>0f961e40-6a20-4ce7-9c8b-3c9484a39b31</v>
    <v>en-GB</v>
    <v>Map</v>
  </rv>
  <rv s="0">
    <v>536870912</v>
    <v>Évora District</v>
    <v>9f2c1154-ba9c-42db-b07d-6ac93b22f847</v>
    <v>en-GB</v>
    <v>Map</v>
  </rv>
  <rv s="0">
    <v>536870912</v>
    <v>Portalegre District</v>
    <v>0509a564-38fa-4a46-85bd-79ea9cfb105b</v>
    <v>en-GB</v>
    <v>Map</v>
  </rv>
  <rv s="0">
    <v>536870912</v>
    <v>Castelo Branco District</v>
    <v>fb4769a8-e791-44cf-b415-49b116c2d850</v>
    <v>en-GB</v>
    <v>Map</v>
  </rv>
  <rv s="0">
    <v>536870912</v>
    <v>Guarda District</v>
    <v>a6ab4e89-16d3-c736-2651-53af26e5c9fb</v>
    <v>en-GB</v>
    <v>Map</v>
  </rv>
  <rv s="0">
    <v>536870912</v>
    <v>Coimbra District</v>
    <v>eaabde58-df44-d3f2-fcaf-2eb0b0c892ca</v>
    <v>en-GB</v>
    <v>Map</v>
  </rv>
  <rv s="0">
    <v>536870912</v>
    <v>Aveiro District</v>
    <v>2448fddc-7ab4-4061-c990-7ee0e882b83f</v>
    <v>en-GB</v>
    <v>Map</v>
  </rv>
  <rv s="0">
    <v>536870912</v>
    <v>Viseu District</v>
    <v>4af2c91e-a2d9-03c8-4bcc-d0e611b7a836</v>
    <v>en-GB</v>
    <v>Map</v>
  </rv>
  <rv s="0">
    <v>536870912</v>
    <v>Bragança District</v>
    <v>511e9c5a-156c-4018-b440-d68a04fdd311</v>
    <v>en-GB</v>
    <v>Map</v>
  </rv>
  <rv s="0">
    <v>536870912</v>
    <v>Vila Real District</v>
    <v>16491095-1ede-45bc-b4f9-d0b768b902b4</v>
    <v>en-GB</v>
    <v>Map</v>
  </rv>
  <rv s="0">
    <v>536870912</v>
    <v>Porto District</v>
    <v>ab024f06-dfa0-f5d5-2ace-323a59e1c03f</v>
    <v>en-GB</v>
    <v>Map</v>
  </rv>
  <rv s="0">
    <v>536870912</v>
    <v>Braga District</v>
    <v>bf9b0bf5-80ec-1d9e-e2bb-f15cfff91b3f</v>
    <v>en-GB</v>
    <v>Map</v>
  </rv>
  <rv s="0">
    <v>536870912</v>
    <v>Viana do Castelo District</v>
    <v>e82c5675-25b8-35f8-dd22-1d162bbc45bd</v>
    <v>en-GB</v>
    <v>Map</v>
  </rv>
  <rv s="0">
    <v>536870912</v>
    <v>Madeira</v>
    <v>fd1c338d-a716-e095-102a-5ac3106ddd68</v>
    <v>en-GB</v>
    <v>Map</v>
  </rv>
  <rv s="0">
    <v>536870912</v>
    <v>Azores</v>
    <v>162558d5-afd4-4b00-9d00-54ad16880f8b</v>
    <v>en-GB</v>
    <v>Map</v>
  </rv>
  <rv s="3">
    <v>33</v>
  </rv>
  <rv s="1">
    <fb>0.227551770073532</fb>
    <v>23</v>
  </rv>
  <rv s="1">
    <fb>0.39799999999999996</fb>
    <v>23</v>
  </rv>
  <rv s="1">
    <fb>6.33400011062622E-2</fb>
    <v>31</v>
  </rv>
  <rv s="1">
    <fb>6753579</fb>
    <v>24</v>
  </rv>
  <rv s="6">
    <v>#VALUE!</v>
    <v>en-GB</v>
    <v>9e917e65-c588-a0b7-f336-52fc6b5b2052</v>
    <v>536870912</v>
    <v>1</v>
    <v>92</v>
    <v>37</v>
    <v>Portugal</v>
    <v>19</v>
    <v>20</v>
    <v>Map</v>
    <v>21</v>
    <v>38</v>
    <v>PT</v>
    <v>585</v>
    <v>586</v>
    <v>587</v>
    <v>588</v>
    <v>589</v>
    <v>590</v>
    <v>591</v>
    <v>592</v>
    <v>593</v>
    <v>EUR</v>
    <v>Portugal, officially the Portuguese Republic, is a country located on the Iberian Peninsula, in Southwestern Europe, and whose territory also includes the macaronesian archipelagos of the Azores and Madeira. It features the westernmost point in ...</v>
    <v>594</v>
    <v>595</v>
    <v>596</v>
    <v>597</v>
    <v>598</v>
    <v>599</v>
    <v>600</v>
    <v>601</v>
    <v>602</v>
    <v>302</v>
    <v>590</v>
    <v>605</v>
    <v>606</v>
    <v>607</v>
    <v>608</v>
    <v>240</v>
    <v>609</v>
    <v>Portugal</v>
    <v>A Portuguesa</v>
    <v>610</v>
    <v>Portugalská republika</v>
    <v>611</v>
    <v>612</v>
    <v>613</v>
    <v>614</v>
    <v>445</v>
    <v>615</v>
    <v>616</v>
    <v>617</v>
    <v>618</v>
    <v>619</v>
    <v>620</v>
    <v>641</v>
    <v>642</v>
    <v>643</v>
    <v>644</v>
    <v>Portugal</v>
    <v>645</v>
    <v>mdp/vdpid/193</v>
  </rv>
  <rv s="0">
    <v>536870912</v>
    <v>Spain</v>
    <v>1baf9d59-f443-e9f4-6e49-de048a073e3f</v>
    <v>en-GB</v>
    <v>Map</v>
  </rv>
  <rv s="1">
    <fb>0.52577247440306896</fb>
    <v>23</v>
  </rv>
  <rv s="1">
    <fb>505990</fb>
    <v>24</v>
  </rv>
  <rv s="1">
    <fb>196000</fb>
    <v>24</v>
  </rv>
  <rv s="1">
    <fb>7.9</fb>
    <v>25</v>
  </rv>
  <rv s="1">
    <fb>34</fb>
    <v>26</v>
  </rv>
  <rv s="0">
    <v>536870912</v>
    <v>Madrid</v>
    <v>a497c067-c4c6-4bf4-9a5d-34fd30589bda</v>
    <v>en-GB</v>
    <v>Map</v>
  </rv>
  <rv s="1">
    <fb>244002.18</fb>
    <v>24</v>
  </rv>
  <rv s="1">
    <fb>110.96151904206</fb>
    <v>27</v>
  </rv>
  <rv s="1">
    <fb>6.9953624171701497E-3</fb>
    <v>23</v>
  </rv>
  <rv s="1">
    <fb>5355.9870055822103</fb>
    <v>24</v>
  </rv>
  <rv s="1">
    <fb>1.26</fb>
    <v>25</v>
  </rv>
  <rv s="1">
    <fb>0.36936209528965797</fb>
    <v>23</v>
  </rv>
  <rv s="1">
    <fb>72.955546118337793</fb>
    <v>28</v>
  </rv>
  <rv s="1">
    <fb>1.26</fb>
    <v>29</v>
  </rv>
  <rv s="1">
    <fb>1394116310768.6299</fb>
    <v>30</v>
  </rv>
  <rv s="1">
    <fb>1.0271029</fb>
    <v>23</v>
  </rv>
  <rv s="1">
    <fb>0.88853009999999999</fb>
    <v>23</v>
  </rv>
  <rv s="2">
    <v>11</v>
    <v>21</v>
    <v>94</v>
    <v>7</v>
    <v>0</v>
    <v>Image of Spain</v>
  </rv>
  <rv s="1">
    <fb>2.5</fb>
    <v>28</v>
  </rv>
  <rv s="0">
    <v>805306368</v>
    <v>Felipe VI (Monarch)</v>
    <v>ec86fb82-ddbc-286a-d1a7-3644682c1efc</v>
    <v>en-GB</v>
    <v>Generic</v>
  </rv>
  <rv s="0">
    <v>805306368</v>
    <v>Pedro Sánchez (Prime minister)</v>
    <v>9e0d6cf3-f466-7b6f-0a92-aa23020fc120</v>
    <v>en-GB</v>
    <v>Generic</v>
  </rv>
  <rv s="3">
    <v>34</v>
  </rv>
  <rv s="4">
    <v>https://www.bing.com/search?q=spain&amp;form=skydnc</v>
    <v>Learn more on Bing</v>
  </rv>
  <rv s="1">
    <fb>83.334146341463395</fb>
    <v>28</v>
  </rv>
  <rv s="1">
    <fb>797285840000</fb>
    <v>30</v>
  </rv>
  <rv s="1">
    <fb>5.6</fb>
    <v>29</v>
  </rv>
  <rv s="3">
    <v>35</v>
  </rv>
  <rv s="1">
    <fb>0.24229018520000001</fb>
    <v>23</v>
  </rv>
  <rv s="1">
    <fb>3.8723000000000001</fb>
    <v>25</v>
  </rv>
  <rv s="1">
    <fb>47615034</fb>
    <v>24</v>
  </rv>
  <rv s="1">
    <fb>0.23399999999999999</fb>
    <v>23</v>
  </rv>
  <rv s="1">
    <fb>0.254</fb>
    <v>23</v>
  </rv>
  <rv s="1">
    <fb>0.41</fb>
    <v>23</v>
  </rv>
  <rv s="1">
    <fb>2.1000000000000001E-2</fb>
    <v>23</v>
  </rv>
  <rv s="1">
    <fb>6.2E-2</fb>
    <v>23</v>
  </rv>
  <rv s="1">
    <fb>0.122</fb>
    <v>23</v>
  </rv>
  <rv s="1">
    <fb>0.57492000579834002</fb>
    <v>23</v>
  </rv>
  <rv s="0">
    <v>536870912</v>
    <v>Andalusia</v>
    <v>b009454b-b921-1477-fbf3-ea4c66d409b5</v>
    <v>en-GB</v>
    <v>Map</v>
  </rv>
  <rv s="0">
    <v>536870912</v>
    <v>Catalonia</v>
    <v>54afd4ed-d6c4-c6c9-2f8d-10440795b196</v>
    <v>en-GB</v>
    <v>Map</v>
  </rv>
  <rv s="0">
    <v>536870912</v>
    <v>Community of Madrid</v>
    <v>854c08ed-f6d7-c812-1a3f-46928ae0597e</v>
    <v>en-GB</v>
    <v>Map</v>
  </rv>
  <rv s="0">
    <v>536870912</v>
    <v>Land of Valencia</v>
    <v>d1a45f13-aca9-6854-cb23-92573a279216</v>
    <v>en-GB</v>
    <v>Map</v>
  </rv>
  <rv s="0">
    <v>536870912</v>
    <v>Galicia</v>
    <v>70c91f08-f55c-f98a-047e-aa9228ed4253</v>
    <v>en-GB</v>
    <v>Map</v>
  </rv>
  <rv s="0">
    <v>536870912</v>
    <v>Castile and León</v>
    <v>7fc8f34d-7f31-b8c6-34d4-545cb3920adf</v>
    <v>en-GB</v>
    <v>Map</v>
  </rv>
  <rv s="0">
    <v>536870912</v>
    <v>Basque Autonomous Community</v>
    <v>27cbb013-d521-0f66-7c87-67bad92e92f5</v>
    <v>en-GB</v>
    <v>Map</v>
  </rv>
  <rv s="0">
    <v>536870912</v>
    <v>Canary Islands</v>
    <v>e5f4f633-d27e-9012-be27-a85d7ed21999</v>
    <v>en-GB</v>
    <v>Map</v>
  </rv>
  <rv s="0">
    <v>536870912</v>
    <v>Castile-La Mancha</v>
    <v>1e79c598-5619-e707-75d9-40410db3c0b2</v>
    <v>en-GB</v>
    <v>Map</v>
  </rv>
  <rv s="0">
    <v>536870912</v>
    <v>Region of Murcia</v>
    <v>e697a468-5c9d-9a42-68ac-b04781a55abd</v>
    <v>en-GB</v>
    <v>Map</v>
  </rv>
  <rv s="0">
    <v>536870912</v>
    <v>Aragon</v>
    <v>66482df7-7a8d-eb53-1b74-7702eb8f6ab7</v>
    <v>en-GB</v>
    <v>Map</v>
  </rv>
  <rv s="0">
    <v>536870912</v>
    <v>Asturias</v>
    <v>6880b28a-27ed-46a3-3b3f-93553df34103</v>
    <v>en-GB</v>
    <v>Map</v>
  </rv>
  <rv s="0">
    <v>536870912</v>
    <v>Extremadura</v>
    <v>60c245e4-f9c9-d637-1ff7-50148c20166f</v>
    <v>en-GB</v>
    <v>Map</v>
  </rv>
  <rv s="0">
    <v>536870912</v>
    <v>Navarre</v>
    <v>bd2c46e0-0dec-2a95-cf06-e23728a2a0ed</v>
    <v>en-GB</v>
    <v>Map</v>
  </rv>
  <rv s="0">
    <v>536870912</v>
    <v>Cantabria</v>
    <v>ff0ffbe3-172a-ecd8-17cd-6f2f89c9d0dd</v>
    <v>en-GB</v>
    <v>Map</v>
  </rv>
  <rv s="0">
    <v>536870912</v>
    <v>La Rioja</v>
    <v>c27fd34e-d1ab-5145-cc6e-9d85b07f919e</v>
    <v>en-GB</v>
    <v>Map</v>
  </rv>
  <rv s="0">
    <v>536870912</v>
    <v>Ceuta</v>
    <v>4575b2d9-4933-9d93-b84d-3080054b3dda</v>
    <v>en-GB</v>
    <v>Map</v>
  </rv>
  <rv s="0">
    <v>536870912</v>
    <v>Melilla</v>
    <v>a67b3afb-47dd-d884-afd6-0794c4de12ba</v>
    <v>en-GB</v>
    <v>Map</v>
  </rv>
  <rv s="3">
    <v>36</v>
  </rv>
  <rv s="1">
    <fb>0.14248211393678101</fb>
    <v>23</v>
  </rv>
  <rv s="1">
    <fb>0.47</fb>
    <v>23</v>
  </rv>
  <rv s="1">
    <fb>0.13958999633789099</fb>
    <v>31</v>
  </rv>
  <rv s="1">
    <fb>37927409</fb>
    <v>24</v>
  </rv>
  <rv s="6">
    <v>#VALUE!</v>
    <v>en-GB</v>
    <v>1baf9d59-f443-e9f4-6e49-de048a073e3f</v>
    <v>536870912</v>
    <v>1</v>
    <v>97</v>
    <v>37</v>
    <v>Spain</v>
    <v>19</v>
    <v>20</v>
    <v>Map</v>
    <v>21</v>
    <v>22</v>
    <v>ES</v>
    <v>648</v>
    <v>649</v>
    <v>650</v>
    <v>651</v>
    <v>652</v>
    <v>653</v>
    <v>654</v>
    <v>655</v>
    <v>656</v>
    <v>EUR</v>
    <v>Spain, or the Kingdom of Spain, is a country located in Southwestern Europe, with parts of its territory in the Atlantic Ocean, the Mediterranean Sea and Africa. It is the largest country in Southern Europe and the fourth-most populous European ...</v>
    <v>657</v>
    <v>658</v>
    <v>659</v>
    <v>660</v>
    <v>661</v>
    <v>662</v>
    <v>663</v>
    <v>664</v>
    <v>665</v>
    <v>666</v>
    <v>653</v>
    <v>669</v>
    <v>670</v>
    <v>671</v>
    <v>672</v>
    <v>127</v>
    <v>673</v>
    <v>Spain</v>
    <v>Marcha Real</v>
    <v>674</v>
    <v>Reino de España</v>
    <v>675</v>
    <v>676</v>
    <v>677</v>
    <v>678</v>
    <v>679</v>
    <v>680</v>
    <v>681</v>
    <v>682</v>
    <v>683</v>
    <v>137</v>
    <v>684</v>
    <v>703</v>
    <v>704</v>
    <v>705</v>
    <v>706</v>
    <v>Spain</v>
    <v>707</v>
    <v>mdp/vdpid/217</v>
  </rv>
  <rv s="0">
    <v>536870912</v>
    <v>Sweden</v>
    <v>a5928099-53c3-11a8-91e6-6fe59b8c4f9a</v>
    <v>en-GB</v>
    <v>Map</v>
  </rv>
  <rv s="1">
    <fb>7.4427340355012209E-2</fb>
    <v>23</v>
  </rv>
  <rv s="1">
    <fb>447425.16</fb>
    <v>24</v>
  </rv>
  <rv s="1">
    <fb>30000</fb>
    <v>24</v>
  </rv>
  <rv s="1">
    <fb>11.4</fb>
    <v>25</v>
  </rv>
  <rv s="1">
    <fb>46</fb>
    <v>26</v>
  </rv>
  <rv s="0">
    <v>536870912</v>
    <v>Stockholm</v>
    <v>9daa4a8d-0e69-da3a-672e-16d4743a665b</v>
    <v>en-GB</v>
    <v>Map</v>
  </rv>
  <rv s="1">
    <fb>43252.264999999999</fb>
    <v>24</v>
  </rv>
  <rv s="1">
    <fb>110.509219846432</fb>
    <v>27</v>
  </rv>
  <rv s="1">
    <fb>1.7841509740383198E-2</fb>
    <v>23</v>
  </rv>
  <rv s="1">
    <fb>13480.148224391</fb>
    <v>24</v>
  </rv>
  <rv s="1">
    <fb>1.76</fb>
    <v>25</v>
  </rv>
  <rv s="1">
    <fb>0.68922933392256491</fb>
    <v>23</v>
  </rv>
  <rv s="1">
    <fb>25.117096134653099</fb>
    <v>28</v>
  </rv>
  <rv s="1">
    <fb>1.42</fb>
    <v>29</v>
  </rv>
  <rv s="1">
    <fb>530832908737.862</fb>
    <v>30</v>
  </rv>
  <rv s="1">
    <fb>1.2657537999999999</fb>
    <v>23</v>
  </rv>
  <rv s="1">
    <fb>0.6698824000000001</fb>
    <v>23</v>
  </rv>
  <rv s="2">
    <v>12</v>
    <v>21</v>
    <v>99</v>
    <v>7</v>
    <v>0</v>
    <v>Image of Sweden</v>
  </rv>
  <rv s="1">
    <fb>2.2000000000000002</fb>
    <v>28</v>
  </rv>
  <rv s="0">
    <v>805306368</v>
    <v>Carl XVI Gustaf (Monarch)</v>
    <v>d74145c5-55cc-559b-1761-543f3fbf2fcd</v>
    <v>en-GB</v>
    <v>Generic</v>
  </rv>
  <rv s="0">
    <v>805306368</v>
    <v>Ulf Kristersson (Prime minister)</v>
    <v>b10837fe-3ec0-27e8-04f3-230e5f1c436f</v>
    <v>en-GB</v>
    <v>Generic</v>
  </rv>
  <rv s="3">
    <v>37</v>
  </rv>
  <rv s="4">
    <v>https://www.bing.com/search?q=sweden&amp;form=skydnc</v>
    <v>Learn more on Bing</v>
  </rv>
  <rv s="1">
    <fb>82.512195121951194</fb>
    <v>28</v>
  </rv>
  <rv s="1">
    <fb>289877140000</fb>
    <v>30</v>
  </rv>
  <rv s="3">
    <v>38</v>
  </rv>
  <rv s="1">
    <fb>0.15191583449999999</fb>
    <v>23</v>
  </rv>
  <rv s="1">
    <fb>3.984</fb>
    <v>25</v>
  </rv>
  <rv s="1">
    <fb>10486941</fb>
    <v>24</v>
  </rv>
  <rv s="1">
    <fb>0.371</fb>
    <v>23</v>
  </rv>
  <rv s="1">
    <fb>0.13900000000000001</fb>
    <v>23</v>
  </rv>
  <rv s="1">
    <fb>0.17600000000000002</fb>
    <v>23</v>
  </rv>
  <rv s="1">
    <fb>0.64561996459960891</fb>
    <v>23</v>
  </rv>
  <rv s="0">
    <v>536870912</v>
    <v>Blekinge County</v>
    <v>f42b0a89-7f16-f3ac-1c08-bf416e533f12</v>
    <v>en-GB</v>
    <v>Map</v>
  </rv>
  <rv s="0">
    <v>536870912</v>
    <v>Dalarna County</v>
    <v>dc686086-9714-0fc8-877f-623421e32d97</v>
    <v>en-GB</v>
    <v>Map</v>
  </rv>
  <rv s="0">
    <v>536870912</v>
    <v>Gotland County</v>
    <v>f5173bdd-5938-3166-7ba6-c11a9da66db1</v>
    <v>en-GB</v>
    <v>Map</v>
  </rv>
  <rv s="0">
    <v>536870912</v>
    <v>Gävleborg County</v>
    <v>2fa0e9bf-9a1f-2db4-ff85-974c84f03f11</v>
    <v>en-GB</v>
    <v>Map</v>
  </rv>
  <rv s="0">
    <v>536870912</v>
    <v>Halland County</v>
    <v>5481447f-928d-c108-02bf-694684b100d7</v>
    <v>en-GB</v>
    <v>Map</v>
  </rv>
  <rv s="0">
    <v>536870912</v>
    <v>Jämtland County</v>
    <v>6a67f9a4-8a7c-72f0-397e-99932d75a5cc</v>
    <v>en-GB</v>
    <v>Map</v>
  </rv>
  <rv s="0">
    <v>536870912</v>
    <v>Jönköping County</v>
    <v>4a52f0db-caec-d69c-e4fc-043d1e5a5128</v>
    <v>en-GB</v>
    <v>Map</v>
  </rv>
  <rv s="0">
    <v>536870912</v>
    <v>Kalmar County</v>
    <v>d6332475-042c-41cf-bea3-d9da728e8c07</v>
    <v>en-GB</v>
    <v>Map</v>
  </rv>
  <rv s="0">
    <v>536870912</v>
    <v>Kronoberg County</v>
    <v>f3a677ac-87ae-cc8a-2a3d-a13738ebe6cb</v>
    <v>en-GB</v>
    <v>Map</v>
  </rv>
  <rv s="0">
    <v>536870912</v>
    <v>Norrbotten County</v>
    <v>c860fcb0-9345-ca80-5100-5bafcdbf2263</v>
    <v>en-GB</v>
    <v>Map</v>
  </rv>
  <rv s="0">
    <v>536870912</v>
    <v>Skåne County</v>
    <v>1a7ebb30-64eb-43da-b5e5-6b7ab82a8f94</v>
    <v>en-GB</v>
    <v>Map</v>
  </rv>
  <rv s="0">
    <v>536870912</v>
    <v>Stockholm County</v>
    <v>41fffb7d-bbe9-8d1b-286b-f0fdeb3ab886</v>
    <v>en-GB</v>
    <v>Map</v>
  </rv>
  <rv s="0">
    <v>536870912</v>
    <v>Södermanland County</v>
    <v>b438dc8e-7013-5013-903f-c9921861268e</v>
    <v>en-GB</v>
    <v>Map</v>
  </rv>
  <rv s="0">
    <v>536870912</v>
    <v>Uppsala County</v>
    <v>e2d7075a-c293-6db6-92ac-bdee4711a5d0</v>
    <v>en-GB</v>
    <v>Map</v>
  </rv>
  <rv s="0">
    <v>536870912</v>
    <v>Värmland County</v>
    <v>b2aa94cd-cc7f-eaf1-fded-87f65509841d</v>
    <v>en-GB</v>
    <v>Map</v>
  </rv>
  <rv s="0">
    <v>536870912</v>
    <v>Västerbotten County</v>
    <v>cc98b155-efa3-e92b-fee4-917b63865fcd</v>
    <v>en-GB</v>
    <v>Map</v>
  </rv>
  <rv s="0">
    <v>536870912</v>
    <v>Västernorrland County</v>
    <v>a35ed386-5b37-a411-1499-a7d817b777bd</v>
    <v>en-GB</v>
    <v>Map</v>
  </rv>
  <rv s="0">
    <v>536870912</v>
    <v>Västmanland County</v>
    <v>417f3366-57d0-4c10-ee14-819f1c4201df</v>
    <v>en-GB</v>
    <v>Map</v>
  </rv>
  <rv s="0">
    <v>536870912</v>
    <v>Västra Götaland County</v>
    <v>ec27be9f-c019-4bd7-6372-f8f07b5ef74c</v>
    <v>en-GB</v>
    <v>Map</v>
  </rv>
  <rv s="0">
    <v>536870912</v>
    <v>Örebro County</v>
    <v>efe70c03-c63c-a6f2-2d91-08beb34f7d5a</v>
    <v>en-GB</v>
    <v>Map</v>
  </rv>
  <rv s="0">
    <v>536870912</v>
    <v>Östergötland County</v>
    <v>01c3007b-b64c-a1f4-0a51-e925799b11b3</v>
    <v>en-GB</v>
    <v>Map</v>
  </rv>
  <rv s="3">
    <v>39</v>
  </rv>
  <rv s="1">
    <fb>0.27911031322372698</fb>
    <v>23</v>
  </rv>
  <rv s="1">
    <fb>0.49099999999999999</fb>
    <v>23</v>
  </rv>
  <rv s="1">
    <fb>6.4759998321533202E-2</fb>
    <v>31</v>
  </rv>
  <rv s="1">
    <fb>9021165</fb>
    <v>24</v>
  </rv>
  <rv s="5">
    <v>#VALUE!</v>
    <v>en-GB</v>
    <v>a5928099-53c3-11a8-91e6-6fe59b8c4f9a</v>
    <v>536870912</v>
    <v>1</v>
    <v>102</v>
    <v>17</v>
    <v>Sweden</v>
    <v>19</v>
    <v>20</v>
    <v>Map</v>
    <v>21</v>
    <v>103</v>
    <v>SE</v>
    <v>710</v>
    <v>711</v>
    <v>712</v>
    <v>713</v>
    <v>714</v>
    <v>715</v>
    <v>716</v>
    <v>717</v>
    <v>718</v>
    <v>SEK</v>
    <v>Sweden, formally the Kingdom of Sweden, is a Nordic country located on the Scandinavian Peninsula in Northern Europe. It borders Norway to the west and north, Finland to the east, and is connected to Denmark in the southwest by a bridge–tunnel ...</v>
    <v>719</v>
    <v>720</v>
    <v>721</v>
    <v>722</v>
    <v>723</v>
    <v>724</v>
    <v>725</v>
    <v>726</v>
    <v>727</v>
    <v>728</v>
    <v>715</v>
    <v>731</v>
    <v>732</v>
    <v>733</v>
    <v>734</v>
    <v>127</v>
    <v>Sweden</v>
    <v>Du gamla, du fria</v>
    <v>735</v>
    <v>Konungariket Sverige</v>
    <v>736</v>
    <v>737</v>
    <v>738</v>
    <v>31</v>
    <v>181</v>
    <v>739</v>
    <v>34</v>
    <v>558</v>
    <v>740</v>
    <v>741</v>
    <v>742</v>
    <v>764</v>
    <v>765</v>
    <v>49</v>
    <v>766</v>
    <v>767</v>
    <v>Sweden</v>
    <v>768</v>
    <v>mdp/vdpid/221</v>
  </rv>
  <rv s="0">
    <v>536870912</v>
    <v>Switzerland</v>
    <v>c10c98b9-afcd-84bf-c5c8-4220fc76a2e3</v>
    <v>en-GB</v>
    <v>Map</v>
  </rv>
  <rv s="1">
    <fb>0.38363446027908404</fb>
    <v>23</v>
  </rv>
  <rv s="1">
    <fb>41285</fb>
    <v>24</v>
  </rv>
  <rv s="1">
    <fb>10</fb>
    <v>25</v>
  </rv>
  <rv s="1">
    <fb>41</fb>
    <v>26</v>
  </rv>
  <rv s="0">
    <v>536870912</v>
    <v>Bern</v>
    <v>15dda629-8f09-9c82-b064-7a7e8e84c804</v>
    <v>en-GB</v>
    <v>Map</v>
  </rv>
  <rv s="1">
    <fb>34477.133999999998</fb>
    <v>24</v>
  </rv>
  <rv s="1">
    <fb>99.546913020227805</fb>
    <v>27</v>
  </rv>
  <rv s="1">
    <fb>3.6291600452038396E-3</fb>
    <v>23</v>
  </rv>
  <rv s="1">
    <fb>7520.1660249450197</fb>
    <v>24</v>
  </rv>
  <rv s="1">
    <fb>1.52</fb>
    <v>25</v>
  </rv>
  <rv s="1">
    <fb>0.318301452005265</fb>
    <v>23</v>
  </rv>
  <rv s="1">
    <fb>50.168225480798597</fb>
    <v>28</v>
  </rv>
  <rv s="1">
    <fb>703082435360.11694</fb>
    <v>30</v>
  </rv>
  <rv s="1">
    <fb>1.0519068</fb>
    <v>23</v>
  </rv>
  <rv s="1">
    <fb>0.59562990000000005</fb>
    <v>23</v>
  </rv>
  <rv s="2">
    <v>13</v>
    <v>21</v>
    <v>105</v>
    <v>7</v>
    <v>0</v>
    <v>Image of Switzerland</v>
  </rv>
  <rv s="1">
    <fb>3.7</fb>
    <v>28</v>
  </rv>
  <rv s="0">
    <v>536870912</v>
    <v>Zürich</v>
    <v>db19e556-240e-d241-ad76-1bf238372a7f</v>
    <v>en-GB</v>
    <v>Map</v>
  </rv>
  <rv s="0">
    <v>805306368</v>
    <v>Alain Berset (Federal Council)</v>
    <v>b7bbcf83-1d35-7bfd-1814-1aef83fad1eb</v>
    <v>en-GB</v>
    <v>Generic</v>
  </rv>
  <rv s="0">
    <v>805306368</v>
    <v>Viola Amherd (Federal Council)</v>
    <v>f6fb052a-7df3-5ad8-30ba-ca10ed100863</v>
    <v>en-GB</v>
    <v>Generic</v>
  </rv>
  <rv s="0">
    <v>805306368</v>
    <v>Guy Parmelin (Federal Council)</v>
    <v>1698eb42-72aa-6c9b-26ff-ed678962e2b0</v>
    <v>en-GB</v>
    <v>Generic</v>
  </rv>
  <rv s="0">
    <v>805306368</v>
    <v>Ignazio Cassis (Federal Council)</v>
    <v>dacdb4e9-4344-ec7d-0faa-307f1e081e21</v>
    <v>en-GB</v>
    <v>Generic</v>
  </rv>
  <rv s="0">
    <v>805306368</v>
    <v>Karin Keller-Sutter (Federal Council)</v>
    <v>00e54934-2464-4876-b9e0-0f45711e610b</v>
    <v>en-GB</v>
    <v>Generic</v>
  </rv>
  <rv s="0">
    <v>805306368</v>
    <v>Albert Rösti (Federal Council)</v>
    <v>c24073af-1953-d773-7d55-965da760c77f</v>
    <v>en-GB</v>
    <v>Generic</v>
  </rv>
  <rv s="0">
    <v>805306368</v>
    <v>Élisabeth Baume-Schneider (Federal Council)</v>
    <v>771e919e-ed9d-33ac-50e8-cc2baac2edc7</v>
    <v>en-GB</v>
    <v>Generic</v>
  </rv>
  <rv s="3">
    <v>40</v>
  </rv>
  <rv s="4">
    <v>https://www.bing.com/search?q=switzerland&amp;form=skydnc</v>
    <v>Learn more on Bing</v>
  </rv>
  <rv s="1">
    <fb>83.551219512195104</fb>
    <v>28</v>
  </rv>
  <rv s="1">
    <fb>1834453260000</fb>
    <v>30</v>
  </rv>
  <rv s="3">
    <v>41</v>
  </rv>
  <rv s="1">
    <fb>0.28345719829999999</fb>
    <v>23</v>
  </rv>
  <rv s="1">
    <fb>4.2957000000000001</fb>
    <v>25</v>
  </rv>
  <rv s="1">
    <fb>8769741</fb>
    <v>24</v>
  </rv>
  <rv s="1">
    <fb>0.22399999999999998</fb>
    <v>23</v>
  </rv>
  <rv s="1">
    <fb>0.255</fb>
    <v>23</v>
  </rv>
  <rv s="1">
    <fb>0.40600000000000003</fb>
    <v>23</v>
  </rv>
  <rv s="1">
    <fb>7.6999999999999999E-2</fb>
    <v>23</v>
  </rv>
  <rv s="1">
    <fb>0.125</fb>
    <v>23</v>
  </rv>
  <rv s="1">
    <fb>0.16699999999999998</fb>
    <v>23</v>
  </rv>
  <rv s="1">
    <fb>0.68252998352050798</fb>
    <v>23</v>
  </rv>
  <rv s="0">
    <v>536870912</v>
    <v>Appenzell Ausserrhoden</v>
    <v>4663e3db-15ae-7203-e966-72677429b1a3</v>
    <v>en-GB</v>
    <v>Map</v>
  </rv>
  <rv s="0">
    <v>536870912</v>
    <v>Appenzell Innerrhoden</v>
    <v>438c2059-f008-12cd-b398-bdec44fee1ce</v>
    <v>en-GB</v>
    <v>Map</v>
  </rv>
  <rv s="0">
    <v>536870912</v>
    <v>Aargau</v>
    <v>7ffb687a-43b8-ee3e-7244-a40e99f97077</v>
    <v>en-GB</v>
    <v>Map</v>
  </rv>
  <rv s="0">
    <v>536870912</v>
    <v>Basel-Landschaft</v>
    <v>42301343-12f1-5ec4-5c22-74dbfbf795b2</v>
    <v>en-GB</v>
    <v>Map</v>
  </rv>
  <rv s="0">
    <v>536870912</v>
    <v>Basel-Stadt</v>
    <v>c6e79b8d-baaa-199e-f037-0c6cb850776e</v>
    <v>en-GB</v>
    <v>Map</v>
  </rv>
  <rv s="0">
    <v>536870912</v>
    <v>Canton of Bern</v>
    <v>2a03e077-5092-0e03-223b-4aa6b24c7525</v>
    <v>en-GB</v>
    <v>Map</v>
  </rv>
  <rv s="0">
    <v>536870912</v>
    <v>Canton of Fribourg</v>
    <v>5539f36c-455a-28cc-02c2-27ef6596fe56</v>
    <v>en-GB</v>
    <v>Map</v>
  </rv>
  <rv s="0">
    <v>536870912</v>
    <v>Canton of Geneva</v>
    <v>fb357cde-21c3-0878-8ec6-1e42a1a9db63</v>
    <v>en-GB</v>
    <v>Map</v>
  </rv>
  <rv s="0">
    <v>536870912</v>
    <v>Canton of Glarus</v>
    <v>6cf7d446-0b69-661d-2aa7-1719c8a7d3ca</v>
    <v>en-GB</v>
    <v>Map</v>
  </rv>
  <rv s="0">
    <v>536870912</v>
    <v>Grisons</v>
    <v>897c7b22-1822-9d6c-0404-564393a9433c</v>
    <v>en-GB</v>
    <v>Map</v>
  </rv>
  <rv s="0">
    <v>536870912</v>
    <v>Canton of Jura</v>
    <v>7d474a26-e388-0d0f-3b50-6ba37562a6b8</v>
    <v>en-GB</v>
    <v>Map</v>
  </rv>
  <rv s="0">
    <v>536870912</v>
    <v>Canton of Lucerne</v>
    <v>b4674fd7-3899-7adb-4ffb-315b0fe97c2d</v>
    <v>en-GB</v>
    <v>Map</v>
  </rv>
  <rv s="0">
    <v>536870912</v>
    <v>Nidwalden</v>
    <v>58fe5a62-ac5e-752f-a9cf-e9cc16f0d3bb</v>
    <v>en-GB</v>
    <v>Map</v>
  </rv>
  <rv s="0">
    <v>536870912</v>
    <v>Canton of Obwalden</v>
    <v>ed77cee0-5e66-ea48-95ac-b4a7f4179920</v>
    <v>en-GB</v>
    <v>Map</v>
  </rv>
  <rv s="0">
    <v>536870912</v>
    <v>Canton of St. Gallen</v>
    <v>2c40a905-a53f-03e5-6ae8-ff0f2d23e1a1</v>
    <v>en-GB</v>
    <v>Map</v>
  </rv>
  <rv s="0">
    <v>536870912</v>
    <v>Canton of Schaffhausen</v>
    <v>93019ae6-ba39-a502-0e6f-d0ea1311b868</v>
    <v>en-GB</v>
    <v>Map</v>
  </rv>
  <rv s="0">
    <v>536870912</v>
    <v>Canton of Schwyz</v>
    <v>ff0399f7-2e79-eb3f-0618-78c79708ac42</v>
    <v>en-GB</v>
    <v>Map</v>
  </rv>
  <rv s="0">
    <v>536870912</v>
    <v>Canton of Solothurn</v>
    <v>768c0474-5479-b9c8-75f8-f82efb8f0dde</v>
    <v>en-GB</v>
    <v>Map</v>
  </rv>
  <rv s="0">
    <v>536870912</v>
    <v>Canton of Ticino</v>
    <v>b6c6799b-da2f-f3c7-c738-32ae5b148d64</v>
    <v>en-GB</v>
    <v>Map</v>
  </rv>
  <rv s="0">
    <v>536870912</v>
    <v>Thurgau</v>
    <v>8065557e-7c96-3a5b-def2-3f06cf28b35d</v>
    <v>en-GB</v>
    <v>Map</v>
  </rv>
  <rv s="0">
    <v>536870912</v>
    <v>Canton of Uri</v>
    <v>bd769763-fa18-cb72-13b9-1fc2356e69e2</v>
    <v>en-GB</v>
    <v>Map</v>
  </rv>
  <rv s="0">
    <v>536870912</v>
    <v>Canton of Valais</v>
    <v>8f4a9c7f-1eaf-8f68-e219-aa3807fe0383</v>
    <v>en-GB</v>
    <v>Map</v>
  </rv>
  <rv s="0">
    <v>536870912</v>
    <v>Canton of Vaud</v>
    <v>a705603f-d616-d617-8e28-389ba87a66fc</v>
    <v>en-GB</v>
    <v>Map</v>
  </rv>
  <rv s="0">
    <v>536870912</v>
    <v>Canton of Zug</v>
    <v>e87417bb-ca41-7e6d-69d0-7a8484553a9d</v>
    <v>en-GB</v>
    <v>Map</v>
  </rv>
  <rv s="0">
    <v>536870912</v>
    <v>Canton of Zürich</v>
    <v>91f44f19-7d2e-687e-1899-8b1d22d4a46b</v>
    <v>en-GB</v>
    <v>Map</v>
  </rv>
  <rv s="3">
    <v>42</v>
  </rv>
  <rv s="1">
    <fb>0.10080933835403399</fb>
    <v>23</v>
  </rv>
  <rv s="1">
    <fb>0.28800000000000003</fb>
    <v>23</v>
  </rv>
  <rv s="1">
    <fb>4.5809998512268101E-2</fb>
    <v>31</v>
  </rv>
  <rv s="1">
    <fb>6332428</fb>
    <v>24</v>
  </rv>
  <rv s="5">
    <v>#VALUE!</v>
    <v>en-GB</v>
    <v>c10c98b9-afcd-84bf-c5c8-4220fc76a2e3</v>
    <v>536870912</v>
    <v>1</v>
    <v>108</v>
    <v>17</v>
    <v>Switzerland</v>
    <v>19</v>
    <v>20</v>
    <v>Map</v>
    <v>21</v>
    <v>22</v>
    <v>CH</v>
    <v>771</v>
    <v>772</v>
    <v>3</v>
    <v>773</v>
    <v>774</v>
    <v>775</v>
    <v>776</v>
    <v>777</v>
    <v>778</v>
    <v>CHF</v>
    <v>Switzerland, officially the Swiss Confederation, is a landlocked country located at the confluence of Western, Central and Southern Europe. It is bordered by Italy to the south, France to the west, Germany to the north and Austria and ...</v>
    <v>779</v>
    <v>780</v>
    <v>781</v>
    <v>782</v>
    <v>164</v>
    <v>783</v>
    <v>784</v>
    <v>785</v>
    <v>786</v>
    <v>787</v>
    <v>788</v>
    <v>796</v>
    <v>797</v>
    <v>798</v>
    <v>799</v>
    <v>26</v>
    <v>Switzerland</v>
    <v>Swiss Psalm</v>
    <v>800</v>
    <v>Confoederatio Helvetica</v>
    <v>801</v>
    <v>802</v>
    <v>803</v>
    <v>804</v>
    <v>805</v>
    <v>806</v>
    <v>377</v>
    <v>807</v>
    <v>808</v>
    <v>809</v>
    <v>810</v>
    <v>836</v>
    <v>837</v>
    <v>49</v>
    <v>838</v>
    <v>839</v>
    <v>Switzerland</v>
    <v>840</v>
    <v>mdp/vdpid/223</v>
  </rv>
  <rv s="0">
    <v>536870912</v>
    <v>United Kingdom</v>
    <v>b1a5155a-6bb2-4646-8f7c-3e6b3a53c831</v>
    <v>en-GB</v>
    <v>Map</v>
  </rv>
  <rv s="1">
    <fb>0.71714878141404492</fb>
    <v>23</v>
  </rv>
  <rv s="1">
    <fb>242495</fb>
    <v>24</v>
  </rv>
  <rv s="1">
    <fb>148000</fb>
    <v>24</v>
  </rv>
  <rv s="1">
    <fb>11</fb>
    <v>25</v>
  </rv>
  <rv s="1">
    <fb>44</fb>
    <v>26</v>
  </rv>
  <rv s="0">
    <v>536870912</v>
    <v>London</v>
    <v>8e0ba7b6-4225-fa8a-6369-1b5294e602a5</v>
    <v>en-GB</v>
    <v>Map</v>
  </rv>
  <rv s="1">
    <fb>379024.78700000001</fb>
    <v>24</v>
  </rv>
  <rv s="1">
    <fb>119.622711300166</fb>
    <v>27</v>
  </rv>
  <rv s="1">
    <fb>1.7381046008651101E-2</fb>
    <v>23</v>
  </rv>
  <rv s="1">
    <fb>5129.5277927901998</fb>
    <v>24</v>
  </rv>
  <rv s="1">
    <fb>1.68</fb>
    <v>25</v>
  </rv>
  <rv s="1">
    <fb>0.130657628239573</fb>
    <v>23</v>
  </rv>
  <rv s="1">
    <fb>80.351771267255202</fb>
    <v>28</v>
  </rv>
  <rv s="1">
    <fb>1.46</fb>
    <v>29</v>
  </rv>
  <rv s="1">
    <fb>2827113184695.5801</fb>
    <v>30</v>
  </rv>
  <rv s="1">
    <fb>1.0115456</fb>
    <v>23</v>
  </rv>
  <rv s="1">
    <fb>0.59995569999999998</fb>
    <v>23</v>
  </rv>
  <rv s="2">
    <v>14</v>
    <v>21</v>
    <v>110</v>
    <v>7</v>
    <v>0</v>
    <v>Image of United Kingdom</v>
  </rv>
  <rv s="0">
    <v>805306368</v>
    <v>Charles III (Monarch)</v>
    <v>afc6f6a9-5b55-9178-3e6f-2c8b6d16ee9c</v>
    <v>en-GB</v>
    <v>Generic</v>
  </rv>
  <rv s="0">
    <v>805306368</v>
    <v>Rishi Sunak (Prime minister)</v>
    <v>79551c5d-075b-e493-70a2-f5b22a4876e1</v>
    <v>en-GB</v>
    <v>Generic</v>
  </rv>
  <rv s="3">
    <v>43</v>
  </rv>
  <rv s="4">
    <v>https://www.bing.com/search?q=united+kingdom&amp;form=skydnc</v>
    <v>Learn more on Bing</v>
  </rv>
  <rv s="1">
    <fb>81.256097560975604</fb>
    <v>28</v>
  </rv>
  <rv s="1">
    <fb>1868152970000</fb>
    <v>30</v>
  </rv>
  <rv s="1">
    <fb>10.130000000000001</fb>
    <v>29</v>
  </rv>
  <rv s="3">
    <v>44</v>
  </rv>
  <rv s="1">
    <fb>0.14794489889999998</fb>
    <v>23</v>
  </rv>
  <rv s="1">
    <fb>2.8117000000000001</fb>
    <v>25</v>
  </rv>
  <rv s="1">
    <fb>66971411</fb>
    <v>24</v>
  </rv>
  <rv s="1">
    <fb>0.22500000000000001</fb>
    <v>23</v>
  </rv>
  <rv s="1">
    <fb>0.26800000000000002</fb>
    <v>23</v>
  </rv>
  <rv s="1">
    <fb>2.7999999999999997E-2</fb>
    <v>23</v>
  </rv>
  <rv s="1">
    <fb>7.0999999999999994E-2</fb>
    <v>23</v>
  </rv>
  <rv s="1">
    <fb>0.11900000000000001</fb>
    <v>23</v>
  </rv>
  <rv s="1">
    <fb>0.16399999999999998</fb>
    <v>23</v>
  </rv>
  <rv s="1">
    <fb>0.62773998260497998</fb>
    <v>23</v>
  </rv>
  <rv s="0">
    <v>536870912</v>
    <v>England</v>
    <v>280d39e8-7217-6863-6980-a8c20c211c89</v>
    <v>en-GB</v>
    <v>Map</v>
  </rv>
  <rv s="0">
    <v>536870912</v>
    <v>Wales</v>
    <v>b51b24e1-6afb-d525-d360-f2eb5bf3410b</v>
    <v>en-GB</v>
    <v>Map</v>
  </rv>
  <rv s="0">
    <v>536870912</v>
    <v>Scotland</v>
    <v>a0377d96-1a18-f843-65ad-adcbc4acdc69</v>
    <v>en-GB</v>
    <v>Map</v>
  </rv>
  <rv s="0">
    <v>536870912</v>
    <v>Northern Ireland</v>
    <v>e4b8bc44-385c-e87b-bb7d-b32328f53502</v>
    <v>en-GB</v>
    <v>Map</v>
  </rv>
  <rv s="3">
    <v>45</v>
  </rv>
  <rv s="1">
    <fb>0.255052921600669</fb>
    <v>23</v>
  </rv>
  <rv s="3">
    <v>46</v>
  </rv>
  <rv s="1">
    <fb>0.30599999999999999</fb>
    <v>23</v>
  </rv>
  <rv s="1">
    <fb>3.8510000705719E-2</fb>
    <v>31</v>
  </rv>
  <rv s="1">
    <fb>55908316</fb>
    <v>24</v>
  </rv>
  <rv s="8">
    <v>#VALUE!</v>
    <v>en-GB</v>
    <v>b1a5155a-6bb2-4646-8f7c-3e6b3a53c831</v>
    <v>536870912</v>
    <v>1</v>
    <v>113</v>
    <v>56</v>
    <v>United Kingdom</v>
    <v>19</v>
    <v>20</v>
    <v>Map</v>
    <v>21</v>
    <v>114</v>
    <v>GB</v>
    <v>843</v>
    <v>844</v>
    <v>845</v>
    <v>846</v>
    <v>847</v>
    <v>848</v>
    <v>849</v>
    <v>850</v>
    <v>851</v>
    <v>GBP</v>
    <v>The United Kingdom of Great Britain and Northern Ireland, commonly known as the United Kingdom or Britain, is a country in Northwestern Europe, off the north-western coast of the continental mainland. It comprises England, Scotland, Wales, and ...</v>
    <v>852</v>
    <v>853</v>
    <v>854</v>
    <v>855</v>
    <v>856</v>
    <v>857</v>
    <v>858</v>
    <v>859</v>
    <v>860</v>
    <v>120</v>
    <v>848</v>
    <v>863</v>
    <v>864</v>
    <v>865</v>
    <v>866</v>
    <v>309</v>
    <v>867</v>
    <v>United Kingdom</v>
    <v>God Save the King</v>
    <v>868</v>
    <v>United Kingdom of Great Britain and Northern Ireland</v>
    <v>869</v>
    <v>870</v>
    <v>871</v>
    <v>872</v>
    <v>873</v>
    <v>446</v>
    <v>874</v>
    <v>875</v>
    <v>876</v>
    <v>877</v>
    <v>878</v>
    <v>883</v>
    <v>884</v>
    <v>885</v>
    <v>886</v>
    <v>887</v>
    <v>United Kingdom</v>
    <v>888</v>
    <v>mdp/vdpid/242</v>
  </rv>
  <rv s="0">
    <v>536870912</v>
    <v>India</v>
    <v>85fa63d3-9596-adb9-b4eb-502273d84f56</v>
    <v>en-GB</v>
    <v>Map</v>
  </rv>
  <rv s="1">
    <fb>0.60447196445568596</fb>
    <v>23</v>
  </rv>
  <rv s="1">
    <fb>3287263</fb>
    <v>24</v>
  </rv>
  <rv s="1">
    <fb>3031000</fb>
    <v>24</v>
  </rv>
  <rv s="1">
    <fb>17.856999999999999</fb>
    <v>25</v>
  </rv>
  <rv s="1">
    <fb>91</fb>
    <v>26</v>
  </rv>
  <rv s="0">
    <v>536870912</v>
    <v>New Delhi</v>
    <v>b474d3c7-a39a-d5ba-7426-18e00042f03e</v>
    <v>en-GB</v>
    <v>Map</v>
  </rv>
  <rv s="1">
    <fb>2407671.5260000001</fb>
    <v>24</v>
  </rv>
  <rv s="1">
    <fb>180.43581241118</fb>
    <v>27</v>
  </rv>
  <rv s="1">
    <fb>7.6596947427925291E-2</fb>
    <v>23</v>
  </rv>
  <rv s="1">
    <fb>804.51422808927896</fb>
    <v>24</v>
  </rv>
  <rv s="1">
    <fb>2.222</fb>
    <v>25</v>
  </rv>
  <rv s="1">
    <fb>0.23833121474746</fb>
    <v>23</v>
  </rv>
  <rv s="1">
    <fb>73.576979087800794</fb>
    <v>28</v>
  </rv>
  <rv s="1">
    <fb>0.97</fb>
    <v>29</v>
  </rv>
  <rv s="1">
    <fb>2611000000000.0098</fb>
    <v>30</v>
  </rv>
  <rv s="1">
    <fb>1.1295785999999999</fb>
    <v>23</v>
  </rv>
  <rv s="1">
    <fb>0.28060550000000001</fb>
    <v>23</v>
  </rv>
  <rv s="2">
    <v>15</v>
    <v>21</v>
    <v>116</v>
    <v>7</v>
    <v>0</v>
    <v>Image of India</v>
  </rv>
  <rv s="1">
    <fb>29.9</fb>
    <v>28</v>
  </rv>
  <rv s="0">
    <v>536870912</v>
    <v>Mumbai</v>
    <v>fbbc8d69-667a-e1ff-34bf-e524be01025d</v>
    <v>en-GB</v>
    <v>Map</v>
  </rv>
  <rv s="0">
    <v>805306368</v>
    <v>Droupadi Murmu (President)</v>
    <v>adde4ff7-2867-52d2-5cee-2e1eb72876cd</v>
    <v>en-GB</v>
    <v>Generic</v>
  </rv>
  <rv s="0">
    <v>805306368</v>
    <v>Jagdeep Dhankhar (Vice president)</v>
    <v>cfa2e8c7-64e1-e81b-7e51-6da604f190d6</v>
    <v>en-GB</v>
    <v>Generic</v>
  </rv>
  <rv s="0">
    <v>805306368</v>
    <v>Narendra Modi (Prime minister)</v>
    <v>04fee623-e9bd-ee4b-f30d-cad3c29199e4</v>
    <v>en-GB</v>
    <v>Generic</v>
  </rv>
  <rv s="0">
    <v>805306368</v>
    <v>Dhananjaya Y. Chandrachud (Chief justice)</v>
    <v>f421a29e-7806-c913-4950-d7dc466c1465</v>
    <v>en-GB</v>
    <v>Generic</v>
  </rv>
  <rv s="3">
    <v>47</v>
  </rv>
  <rv s="4">
    <v>https://www.bing.com/search?q=india&amp;form=skydnc</v>
    <v>Learn more on Bing</v>
  </rv>
  <rv s="1">
    <fb>69.415999999999997</fb>
    <v>28</v>
  </rv>
  <rv s="1">
    <fb>2179781240000</fb>
    <v>30</v>
  </rv>
  <rv s="1">
    <fb>145</fb>
    <v>28</v>
  </rv>
  <rv s="1">
    <fb>0.3</fb>
    <v>29</v>
  </rv>
  <rv s="3">
    <v>48</v>
  </rv>
  <rv s="1">
    <fb>0.65060906480000003</fb>
    <v>23</v>
  </rv>
  <rv s="1">
    <fb>0.85709999999999997</fb>
    <v>25</v>
  </rv>
  <rv s="1">
    <fb>1417173173</fb>
    <v>24</v>
  </rv>
  <rv s="1">
    <fb>0.20300000000000001</fb>
    <v>23</v>
  </rv>
  <rv s="1">
    <fb>0.317</fb>
    <v>23</v>
  </rv>
  <rv s="1">
    <fb>0.46200000000000002</fb>
    <v>23</v>
  </rv>
  <rv s="1">
    <fb>0.111</fb>
    <v>23</v>
  </rv>
  <rv s="1">
    <fb>0.14699999999999999</fb>
    <v>23</v>
  </rv>
  <rv s="1">
    <fb>0.49292999267578097</fb>
    <v>23</v>
  </rv>
  <rv s="0">
    <v>536870912</v>
    <v>Arunachal Pradesh</v>
    <v>c2da5cc2-b1a0-f17a-707d-e5067136b9e9</v>
    <v>en-GB</v>
    <v>Map</v>
  </rv>
  <rv s="0">
    <v>536870912</v>
    <v>Assam</v>
    <v>a9d4e5df-f559-c28f-dc41-7c72a82dfaf7</v>
    <v>en-GB</v>
    <v>Map</v>
  </rv>
  <rv s="0">
    <v>536870912</v>
    <v>Bihar</v>
    <v>e402c108-ade8-40dd-b6d7-f36882e8e3e3</v>
    <v>en-GB</v>
    <v>Map</v>
  </rv>
  <rv s="0">
    <v>536870912</v>
    <v>Chhattisgarh</v>
    <v>91e8d1d3-b929-8697-13f5-91241ae0d1b6</v>
    <v>en-GB</v>
    <v>Map</v>
  </rv>
  <rv s="0">
    <v>536870912</v>
    <v>Goa</v>
    <v>d9bda1c6-a2c4-994c-5335-195386cef40a</v>
    <v>en-GB</v>
    <v>Map</v>
  </rv>
  <rv s="0">
    <v>536870912</v>
    <v>Gujarat</v>
    <v>c70b768e-21ab-4f53-a356-564e8da2291e</v>
    <v>en-GB</v>
    <v>Map</v>
  </rv>
  <rv s="0">
    <v>536870912</v>
    <v>Haryana</v>
    <v>f50b36c9-0e06-9b0a-b657-100ebb295bb1</v>
    <v>en-GB</v>
    <v>Map</v>
  </rv>
  <rv s="0">
    <v>536870912</v>
    <v>Himachal Pradesh</v>
    <v>0e213229-adc2-378d-f093-949050fffa34</v>
    <v>en-GB</v>
    <v>Map</v>
  </rv>
  <rv s="0">
    <v>536870912</v>
    <v>Jharkhand</v>
    <v>9cf33868-3d76-c243-1cd3-91dda44b77e3</v>
    <v>en-GB</v>
    <v>Map</v>
  </rv>
  <rv s="0">
    <v>536870912</v>
    <v>Karnataka</v>
    <v>216903eb-bbc1-497e-b914-8eb69db6f747</v>
    <v>en-GB</v>
    <v>Map</v>
  </rv>
  <rv s="0">
    <v>536870912</v>
    <v>Kerala</v>
    <v>9d932c0c-d3e6-abbd-5274-6b53036ca764</v>
    <v>en-GB</v>
    <v>Map</v>
  </rv>
  <rv s="0">
    <v>536870912</v>
    <v>Madhya Pradesh</v>
    <v>bcbcd891-852b-6dac-1671-8d00b9eae5ea</v>
    <v>en-GB</v>
    <v>Map</v>
  </rv>
  <rv s="0">
    <v>536870912</v>
    <v>Maharashtra</v>
    <v>8e20e4dc-1423-75a9-a049-5e500370aafa</v>
    <v>en-GB</v>
    <v>Map</v>
  </rv>
  <rv s="0">
    <v>536870912</v>
    <v>Manipur</v>
    <v>774dc6a3-56a4-d8f3-26d2-6e2536af50a5</v>
    <v>en-GB</v>
    <v>Map</v>
  </rv>
  <rv s="0">
    <v>536870912</v>
    <v>Meghalaya</v>
    <v>b317786c-1e28-16cc-03ca-835f315a094d</v>
    <v>en-GB</v>
    <v>Map</v>
  </rv>
  <rv s="0">
    <v>536870912</v>
    <v>Mizoram</v>
    <v>a1dcfd92-e2ab-1111-48a2-8c885ebd1155</v>
    <v>en-GB</v>
    <v>Map</v>
  </rv>
  <rv s="0">
    <v>536870912</v>
    <v>Nagaland</v>
    <v>9097c945-eb0e-f294-cb7f-43ad572c6903</v>
    <v>en-GB</v>
    <v>Map</v>
  </rv>
  <rv s="0">
    <v>536870912</v>
    <v>Odisha</v>
    <v>becca699-9820-c027-8e14-b5840348a600</v>
    <v>en-GB</v>
    <v>Map</v>
  </rv>
  <rv s="0">
    <v>536870912</v>
    <v>Punjab</v>
    <v>d98d08e1-818e-a7ba-30a5-4637a11eec3e</v>
    <v>en-GB</v>
    <v>Map</v>
  </rv>
  <rv s="0">
    <v>536870912</v>
    <v>Rajasthan</v>
    <v>58d414c6-9557-d15b-60ff-52f256e32345</v>
    <v>en-GB</v>
    <v>Map</v>
  </rv>
  <rv s="0">
    <v>536870912</v>
    <v>Sikkim</v>
    <v>aa8e9a23-8c5b-d667-7f28-62e9ce93f9bd</v>
    <v>en-GB</v>
    <v>Map</v>
  </rv>
  <rv s="0">
    <v>536870912</v>
    <v>Tamil Nadu</v>
    <v>6e3e5a82-8737-a613-1d99-0b4d68370109</v>
    <v>en-GB</v>
    <v>Map</v>
  </rv>
  <rv s="0">
    <v>536870912</v>
    <v>Tripura</v>
    <v>a7fa8608-5e0d-f0d4-37a2-b87e3fe2b039</v>
    <v>en-GB</v>
    <v>Map</v>
  </rv>
  <rv s="0">
    <v>536870912</v>
    <v>Uttar Pradesh</v>
    <v>f624b656-1585-9836-7a98-128016c67d52</v>
    <v>en-GB</v>
    <v>Map</v>
  </rv>
  <rv s="0">
    <v>536870912</v>
    <v>Uttarakhand</v>
    <v>41a39bbc-6b82-df10-b345-3afffff3985d</v>
    <v>en-GB</v>
    <v>Map</v>
  </rv>
  <rv s="0">
    <v>536870912</v>
    <v>West Bengal</v>
    <v>067d886f-4d7d-8889-c8c7-d54e2dbc1cb8</v>
    <v>en-GB</v>
    <v>Map</v>
  </rv>
  <rv s="0">
    <v>536870912</v>
    <v>Andaman and Nicobar Islands</v>
    <v>0543bce3-574a-8949-ac01-944cd0418886</v>
    <v>en-GB</v>
    <v>Map</v>
  </rv>
  <rv s="0">
    <v>536870912</v>
    <v>Chandigarh</v>
    <v>10beaf9e-bdab-00b9-8037-79ffe16cf357</v>
    <v>en-GB</v>
    <v>Map</v>
  </rv>
  <rv s="0">
    <v>536870912</v>
    <v>Lakshadweep</v>
    <v>90dcf823-b8a7-5ca7-11dd-dcf29ea357f2</v>
    <v>en-GB</v>
    <v>Map</v>
  </rv>
  <rv s="0">
    <v>536870912</v>
    <v>Delhi</v>
    <v>275e8ab8-7bd0-4633-9c89-0133be92e587</v>
    <v>en-GB</v>
    <v>Map</v>
  </rv>
  <rv s="0">
    <v>536870912</v>
    <v>Puducherry</v>
    <v>6e0dc6cc-da9d-7f4a-75a8-85997485edfd</v>
    <v>en-GB</v>
    <v>Map</v>
  </rv>
  <rv s="0">
    <v>536870912</v>
    <v>Telangana</v>
    <v>19abdc7d-29ea-4ed5-99d8-3a1d7bc90b05</v>
    <v>en-GB</v>
    <v>Map</v>
  </rv>
  <rv s="0">
    <v>536870912</v>
    <v>Andhra Pradesh</v>
    <v>9e3a52bb-38ae-c817-5cd2-7a8dd2a4c0e5</v>
    <v>en-GB</v>
    <v>Map</v>
  </rv>
  <rv s="0">
    <v>536870912</v>
    <v>Ladakh</v>
    <v>a7a84d3a-9c83-e85a-7347-73d712e71fe2</v>
    <v>en-GB</v>
    <v>Map</v>
  </rv>
  <rv s="3">
    <v>49</v>
  </rv>
  <rv s="1">
    <fb>0.111799218352875</fb>
    <v>23</v>
  </rv>
  <rv s="3">
    <v>50</v>
  </rv>
  <rv s="1">
    <fb>0.49700000000000005</fb>
    <v>23</v>
  </rv>
  <rv s="1">
    <fb>5.35500001907349E-2</fb>
    <v>31</v>
  </rv>
  <rv s="1">
    <fb>471031528</fb>
    <v>24</v>
  </rv>
  <rv s="8">
    <v>#VALUE!</v>
    <v>en-GB</v>
    <v>85fa63d3-9596-adb9-b4eb-502273d84f56</v>
    <v>536870912</v>
    <v>1</v>
    <v>120</v>
    <v>56</v>
    <v>India</v>
    <v>19</v>
    <v>20</v>
    <v>Map</v>
    <v>21</v>
    <v>121</v>
    <v>IN</v>
    <v>891</v>
    <v>892</v>
    <v>893</v>
    <v>894</v>
    <v>895</v>
    <v>896</v>
    <v>897</v>
    <v>898</v>
    <v>899</v>
    <v>INR</v>
    <v>India, officially the Republic of India, is a country in South Asia. It is the seventh-largest country by area; the most populous country as of June 2023; and from the time of its independence in 1947, the world's most populous democracy. ...</v>
    <v>900</v>
    <v>901</v>
    <v>902</v>
    <v>903</v>
    <v>904</v>
    <v>905</v>
    <v>906</v>
    <v>907</v>
    <v>908</v>
    <v>909</v>
    <v>910</v>
    <v>915</v>
    <v>916</v>
    <v>917</v>
    <v>918</v>
    <v>919</v>
    <v>920</v>
    <v>India</v>
    <v>Jana Gana Mana</v>
    <v>921</v>
    <v>भारत गणराज्य</v>
    <v>922</v>
    <v>923</v>
    <v>924</v>
    <v>925</v>
    <v>926</v>
    <v>927</v>
    <v>87</v>
    <v>807</v>
    <v>928</v>
    <v>929</v>
    <v>930</v>
    <v>965</v>
    <v>966</v>
    <v>967</v>
    <v>968</v>
    <v>969</v>
    <v>India</v>
    <v>970</v>
    <v>mdp/vdpid/113</v>
  </rv>
</rvData>
</file>

<file path=xl/richData/rdrichvaluestructure.xml><?xml version="1.0" encoding="utf-8"?>
<rvStructures xmlns="http://schemas.microsoft.com/office/spreadsheetml/2017/richdata" count="10">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rvStructures>
</file>

<file path=xl/richData/rdsupportingpropertybag.xml><?xml version="1.0" encoding="utf-8"?>
<supportingPropertyBags xmlns="http://schemas.microsoft.com/office/spreadsheetml/2017/richdata2">
  <spbArrays count="5">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spbArrays>
  <spbData count="122">
    <spb s="0">
      <v xml:space="preserve">data.worldbank.org	</v>
      <v xml:space="preserve">	</v>
      <v xml:space="preserve">http://data.worldbank.org/indicator/FP.CPI.TOTL	</v>
      <v xml:space="preserve">	</v>
    </spb>
    <spb s="0">
      <v xml:space="preserve">Wikipedia	Cia	travel.state.gov	</v>
      <v xml:space="preserve">CC-BY-SA			</v>
      <v xml:space="preserve">http://en.wikipedia.org/wiki/Austria	https://www.cia.gov/library/publications/the-world-factbook/geos/au.html?Transportation	https://travel.state.gov/content/travel/en/international-travel/International-Travel-Country-Information-Pages/Austria.html	</v>
      <v xml:space="preserve">http://creativecommons.org/licenses/by-sa/3.0/			</v>
    </spb>
    <spb s="0">
      <v xml:space="preserve">Wikipedia	</v>
      <v xml:space="preserve">CC BY-SA 3.0	</v>
      <v xml:space="preserve">https://en.wikipedia.org/wiki/Austria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http://en.wikipedia.org/wiki/Austria	</v>
      <v xml:space="preserve">http://creativecommons.org/licenses/by-sa/3.0/	</v>
    </spb>
    <spb s="0">
      <v xml:space="preserve">Cia	</v>
      <v xml:space="preserve">	</v>
      <v xml:space="preserve">https://www.cia.gov/library/publications/the-world-factbook/geos/au.html?Transportation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
      <v>0</v>
      <v>1</v>
      <v>2</v>
      <v>2</v>
      <v>3</v>
      <v>2</v>
      <v>2</v>
      <v>2</v>
      <v>4</v>
      <v>2</v>
      <v>2</v>
      <v>2</v>
      <v>2</v>
      <v>5</v>
      <v>6</v>
      <v>1</v>
      <v>5</v>
      <v>7</v>
      <v>2</v>
      <v>5</v>
      <v>8</v>
      <v>9</v>
      <v>10</v>
      <v>5</v>
      <v>5</v>
      <v>2</v>
      <v>5</v>
      <v>11</v>
      <v>12</v>
      <v>13</v>
      <v>14</v>
      <v>5</v>
      <v>1</v>
      <v>5</v>
      <v>5</v>
      <v>5</v>
      <v>5</v>
      <v>5</v>
      <v>5</v>
      <v>5</v>
      <v>5</v>
      <v>5</v>
      <v>5</v>
      <v>15</v>
    </spb>
    <spb s="2">
      <v>0</v>
      <v>Name</v>
      <v>LearnMoreOnLink</v>
    </spb>
    <spb s="3">
      <v>0</v>
      <v>0</v>
      <v>0</v>
    </spb>
    <spb s="4">
      <v>18</v>
      <v>18</v>
      <v>18</v>
    </spb>
    <spb s="5">
      <v>1</v>
      <v>2</v>
    </spb>
    <spb s="6">
      <v>https://www.bing.com</v>
      <v>https://www.bing.com/th?id=Ga%5Cbing_yt.png&amp;w=100&amp;h=40&amp;c=0&amp;pid=0.1</v>
      <v>Powered by Bing</v>
    </spb>
    <spb s="7">
      <v>2019</v>
      <v>2019</v>
      <v>square km</v>
      <v>per thousand (2018)</v>
      <v>2022</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8">
      <v>3</v>
    </spb>
    <spb s="8">
      <v>4</v>
    </spb>
    <spb s="8">
      <v>5</v>
    </spb>
    <spb s="8">
      <v>6</v>
    </spb>
    <spb s="8">
      <v>7</v>
    </spb>
    <spb s="8">
      <v>8</v>
    </spb>
    <spb s="8">
      <v>9</v>
    </spb>
    <spb s="8">
      <v>10</v>
    </spb>
    <spb s="8">
      <v>11</v>
    </spb>
    <spb s="0">
      <v xml:space="preserve">Wikipedia	Cia	travel.state.gov	</v>
      <v xml:space="preserve">CC-BY-SA			</v>
      <v xml:space="preserve">http://en.wikipedia.org/wiki/Belgium	https://www.cia.gov/library/publications/the-world-factbook/geos/be.html?Transportation	https://travel.state.gov/content/travel/en/international-travel/International-Travel-Country-Information-Pages/Belgium.html	</v>
      <v xml:space="preserve">http://creativecommons.org/licenses/by-sa/3.0/			</v>
    </spb>
    <spb s="0">
      <v xml:space="preserve">Wikipedia	</v>
      <v xml:space="preserve">CC BY-SA 3.0	</v>
      <v xml:space="preserve">https://en.wikipedia.org/wiki/Belgium	</v>
      <v xml:space="preserve">https://creativecommons.org/licenses/by-sa/3.0	</v>
    </spb>
    <spb s="0">
      <v xml:space="preserve">Wikipedia	</v>
      <v xml:space="preserve">CC-BY-SA	</v>
      <v xml:space="preserve">http://en.wikipedia.org/wiki/Belgium	</v>
      <v xml:space="preserve">http://creativecommons.org/licenses/by-sa/3.0/	</v>
    </spb>
    <spb s="0">
      <v xml:space="preserve">Cia	</v>
      <v xml:space="preserve">	</v>
      <v xml:space="preserve">https://www.cia.gov/library/publications/the-world-factbook/geos/be.html?Transportation	</v>
      <v xml:space="preserve">	</v>
    </spb>
    <spb s="9">
      <v>0</v>
      <v>32</v>
      <v>33</v>
      <v>33</v>
      <v>3</v>
      <v>33</v>
      <v>33</v>
      <v>33</v>
      <v>34</v>
      <v>33</v>
      <v>33</v>
      <v>34</v>
      <v>33</v>
      <v>33</v>
      <v>35</v>
      <v>6</v>
      <v>32</v>
      <v>35</v>
      <v>7</v>
      <v>33</v>
      <v>35</v>
      <v>8</v>
      <v>9</v>
      <v>10</v>
      <v>35</v>
      <v>35</v>
      <v>33</v>
      <v>35</v>
      <v>11</v>
      <v>12</v>
      <v>13</v>
      <v>14</v>
      <v>35</v>
      <v>32</v>
      <v>35</v>
      <v>35</v>
      <v>35</v>
      <v>35</v>
      <v>35</v>
      <v>35</v>
      <v>35</v>
      <v>35</v>
      <v>35</v>
      <v>35</v>
      <v>15</v>
    </spb>
    <spb s="2">
      <v>1</v>
      <v>Name</v>
      <v>LearnMoreOnLink</v>
    </spb>
    <spb s="7">
      <v>2019</v>
      <v>2019</v>
      <v>square km</v>
      <v>per thousand (2018)</v>
      <v>2022</v>
      <v>2019</v>
      <v>2018</v>
      <v>per liter (2016)</v>
      <v>2019</v>
      <v>years (2018)</v>
      <v>2018</v>
      <v>per thousand (2018)</v>
      <v>2019</v>
      <v>2017</v>
      <v>2016</v>
      <v>2019</v>
      <v>2016</v>
      <v>2017</v>
      <v>kilotons per year (2016)</v>
      <v>deaths per 100,000 (2017)</v>
      <v>kWh (2014)</v>
      <v>2015</v>
      <v>2018</v>
      <v>2017</v>
      <v>2017</v>
      <v>2017</v>
      <v>2017</v>
      <v>2017</v>
      <v>2015</v>
      <v>2017</v>
      <v>2017</v>
      <v>2017</v>
      <v>2017</v>
      <v>2019</v>
    </spb>
    <spb s="0">
      <v xml:space="preserve">Wikipedia	Cia	travel.state.gov	</v>
      <v xml:space="preserve">CC-BY-SA			</v>
      <v xml:space="preserve">http://en.wikipedia.org/wiki/Denmark	https://www.cia.gov/library/publications/the-world-factbook/geos/da.html?Transportation	https://travel.state.gov/content/travel/en/international-travel/International-Travel-Country-Information-Pages/Denmark.html	</v>
      <v xml:space="preserve">http://creativecommons.org/licenses/by-sa/3.0/			</v>
    </spb>
    <spb s="0">
      <v xml:space="preserve">Wikipedia	</v>
      <v xml:space="preserve">CC BY-SA 3.0	</v>
      <v xml:space="preserve">https://en.wikipedia.org/wiki/Denmark	</v>
      <v xml:space="preserve">https://creativecommons.org/licenses/by-sa/3.0	</v>
    </spb>
    <spb s="0">
      <v xml:space="preserve">Wikipedia	</v>
      <v xml:space="preserve">CC-BY-SA	</v>
      <v xml:space="preserve">http://en.wikipedia.org/wiki/Denmark	</v>
      <v xml:space="preserve">http://creativecommons.org/licenses/by-sa/3.0/	</v>
    </spb>
    <spb s="0">
      <v xml:space="preserve">Cia	</v>
      <v xml:space="preserve">	</v>
      <v xml:space="preserve">https://www.cia.gov/library/publications/the-world-factbook/geos/da.html?Transportation	</v>
      <v xml:space="preserve">	</v>
    </spb>
    <spb s="1">
      <v>0</v>
      <v>39</v>
      <v>40</v>
      <v>40</v>
      <v>3</v>
      <v>40</v>
      <v>40</v>
      <v>40</v>
      <v>41</v>
      <v>40</v>
      <v>40</v>
      <v>40</v>
      <v>40</v>
      <v>42</v>
      <v>6</v>
      <v>39</v>
      <v>42</v>
      <v>7</v>
      <v>40</v>
      <v>42</v>
      <v>8</v>
      <v>9</v>
      <v>10</v>
      <v>42</v>
      <v>42</v>
      <v>40</v>
      <v>42</v>
      <v>11</v>
      <v>12</v>
      <v>13</v>
      <v>14</v>
      <v>42</v>
      <v>39</v>
      <v>42</v>
      <v>42</v>
      <v>42</v>
      <v>42</v>
      <v>42</v>
      <v>42</v>
      <v>42</v>
      <v>42</v>
      <v>42</v>
      <v>42</v>
      <v>15</v>
    </spb>
    <spb s="7">
      <v>2019</v>
      <v>2019</v>
      <v>square km</v>
      <v>per thousand (2018)</v>
      <v>2022</v>
      <v>2019</v>
      <v>2018</v>
      <v>per liter (2016)</v>
      <v>2019</v>
      <v>years (2018)</v>
      <v>2018</v>
      <v>per thousand (2018)</v>
      <v>2019</v>
      <v>2017</v>
      <v>2016</v>
      <v>2019</v>
      <v>2016</v>
      <v>2016</v>
      <v>kilotons per year (2016)</v>
      <v>deaths per 100,000 (2017)</v>
      <v>kWh (2014)</v>
      <v>2015</v>
      <v>2004</v>
      <v>2017</v>
      <v>2017</v>
      <v>2017</v>
      <v>2017</v>
      <v>2017</v>
      <v>2015</v>
      <v>2017</v>
      <v>2017</v>
      <v>2017</v>
      <v>2017</v>
      <v>2019</v>
    </spb>
    <spb s="0">
      <v xml:space="preserve">Wikipedia	Cia	travel.state.gov	</v>
      <v xml:space="preserve">CC-BY-SA			</v>
      <v xml:space="preserve">http://en.wikipedia.org/wiki/Finland	https://www.cia.gov/library/publications/the-world-factbook/geos/fi.html?Transportation	https://travel.state.gov/content/travel/en/international-travel/International-Travel-Country-Information-Pages/Finland.html	</v>
      <v xml:space="preserve">http://creativecommons.org/licenses/by-sa/3.0/			</v>
    </spb>
    <spb s="0">
      <v xml:space="preserve">Wikipedia	</v>
      <v xml:space="preserve">CC BY-SA 3.0	</v>
      <v xml:space="preserve">https://en.wikipedia.org/wiki/Finland	</v>
      <v xml:space="preserve">https://creativecommons.org/licenses/by-sa/3.0	</v>
    </spb>
    <spb s="0">
      <v xml:space="preserve">Wikipedia	</v>
      <v xml:space="preserve">CC-BY-SA	</v>
      <v xml:space="preserve">http://en.wikipedia.org/wiki/Finland	</v>
      <v xml:space="preserve">http://creativecommons.org/licenses/by-sa/3.0/	</v>
    </spb>
    <spb s="0">
      <v xml:space="preserve">Cia	</v>
      <v xml:space="preserve">	</v>
      <v xml:space="preserve">https://www.cia.gov/library/publications/the-world-factbook/geos/fi.html?Transportation	</v>
      <v xml:space="preserve">	</v>
    </spb>
    <spb s="1">
      <v>0</v>
      <v>45</v>
      <v>46</v>
      <v>46</v>
      <v>3</v>
      <v>46</v>
      <v>46</v>
      <v>46</v>
      <v>47</v>
      <v>46</v>
      <v>46</v>
      <v>46</v>
      <v>46</v>
      <v>48</v>
      <v>6</v>
      <v>45</v>
      <v>48</v>
      <v>7</v>
      <v>46</v>
      <v>48</v>
      <v>8</v>
      <v>9</v>
      <v>10</v>
      <v>48</v>
      <v>48</v>
      <v>46</v>
      <v>48</v>
      <v>11</v>
      <v>12</v>
      <v>13</v>
      <v>14</v>
      <v>48</v>
      <v>45</v>
      <v>48</v>
      <v>48</v>
      <v>48</v>
      <v>48</v>
      <v>48</v>
      <v>48</v>
      <v>48</v>
      <v>48</v>
      <v>48</v>
      <v>48</v>
      <v>15</v>
    </spb>
    <spb s="2">
      <v>2</v>
      <v>Name</v>
      <v>LearnMoreOnLink</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v>
      <v xml:space="preserve">CC BY-SA 3.0	</v>
      <v xml:space="preserve">https://en.wikipedia.org/wiki/France	</v>
      <v xml:space="preserve">https://creativecommons.org/licenses/by-sa/3.0	</v>
    </spb>
    <spb s="0">
      <v xml:space="preserve">Wikipedia	</v>
      <v xml:space="preserve">CC-BY-SA	</v>
      <v xml:space="preserve">http://en.wikipedia.org/wiki/France	</v>
      <v xml:space="preserve">http://creativecommons.org/licenses/by-sa/3.0/	</v>
    </spb>
    <spb s="0">
      <v xml:space="preserve">Cia	</v>
      <v xml:space="preserve">	</v>
      <v xml:space="preserve">https://www.cia.gov/library/publications/the-world-factbook/geos/fr.html?Transportation	</v>
      <v xml:space="preserve">	</v>
    </spb>
    <spb s="9">
      <v>0</v>
      <v>51</v>
      <v>52</v>
      <v>52</v>
      <v>3</v>
      <v>52</v>
      <v>52</v>
      <v>52</v>
      <v>53</v>
      <v>52</v>
      <v>52</v>
      <v>53</v>
      <v>52</v>
      <v>52</v>
      <v>54</v>
      <v>6</v>
      <v>51</v>
      <v>54</v>
      <v>7</v>
      <v>52</v>
      <v>54</v>
      <v>8</v>
      <v>9</v>
      <v>10</v>
      <v>54</v>
      <v>54</v>
      <v>52</v>
      <v>54</v>
      <v>11</v>
      <v>12</v>
      <v>13</v>
      <v>14</v>
      <v>54</v>
      <v>51</v>
      <v>54</v>
      <v>54</v>
      <v>54</v>
      <v>54</v>
      <v>54</v>
      <v>54</v>
      <v>54</v>
      <v>54</v>
      <v>54</v>
      <v>54</v>
      <v>15</v>
    </spb>
    <spb s="2">
      <v>3</v>
      <v>Name</v>
      <v>LearnMoreOnLink</v>
    </spb>
    <spb s="7">
      <v>2019</v>
      <v>2019</v>
      <v>square km</v>
      <v>per thousand (2018)</v>
      <v>2022</v>
      <v>2019</v>
      <v>2018</v>
      <v>per liter (2016)</v>
      <v>2019</v>
      <v>years (2018)</v>
      <v>2018</v>
      <v>per thousand (2018)</v>
      <v>2019</v>
      <v>2017</v>
      <v>2016</v>
      <v>2019</v>
      <v>2016</v>
      <v>2018</v>
      <v>kilotons per year (2014)</v>
      <v>deaths per 100,000 (2017)</v>
      <v>kWh (2014)</v>
      <v>2015</v>
      <v>2018</v>
      <v>2017</v>
      <v>2017</v>
      <v>2017</v>
      <v>2017</v>
      <v>2017</v>
      <v>2015</v>
      <v>2017</v>
      <v>2017</v>
      <v>2017</v>
      <v>2017</v>
      <v>2019</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Wikipedia	</v>
      <v xml:space="preserve">CC BY-SA 3.0	</v>
      <v xml:space="preserve">https://en.wikipedia.org/wiki/Germany	</v>
      <v xml:space="preserve">https://creativecommons.org/licenses/by-sa/3.0	</v>
    </spb>
    <spb s="0">
      <v xml:space="preserve">Wikipedia	</v>
      <v xml:space="preserve">CC-BY-SA	</v>
      <v xml:space="preserve">http://en.wikipedia.org/wiki/Germany	</v>
      <v xml:space="preserve">http://creativecommons.org/licenses/by-sa/3.0/	</v>
    </spb>
    <spb s="0">
      <v xml:space="preserve">Cia	</v>
      <v xml:space="preserve">	</v>
      <v xml:space="preserve">https://www.cia.gov/library/publications/the-world-factbook/geos/gm.html?Transportation	</v>
      <v xml:space="preserve">	</v>
    </spb>
    <spb s="9">
      <v>0</v>
      <v>58</v>
      <v>59</v>
      <v>59</v>
      <v>3</v>
      <v>59</v>
      <v>59</v>
      <v>59</v>
      <v>60</v>
      <v>59</v>
      <v>59</v>
      <v>60</v>
      <v>59</v>
      <v>59</v>
      <v>61</v>
      <v>6</v>
      <v>58</v>
      <v>61</v>
      <v>7</v>
      <v>59</v>
      <v>61</v>
      <v>8</v>
      <v>9</v>
      <v>10</v>
      <v>61</v>
      <v>61</v>
      <v>59</v>
      <v>61</v>
      <v>11</v>
      <v>12</v>
      <v>13</v>
      <v>14</v>
      <v>61</v>
      <v>58</v>
      <v>61</v>
      <v>61</v>
      <v>61</v>
      <v>61</v>
      <v>61</v>
      <v>61</v>
      <v>61</v>
      <v>61</v>
      <v>61</v>
      <v>61</v>
      <v>15</v>
    </spb>
    <spb s="7">
      <v>2019</v>
      <v>2019</v>
      <v>square km</v>
      <v>per thousand (2018)</v>
      <v>2022</v>
      <v>2019</v>
      <v>2018</v>
      <v>per liter (2016)</v>
      <v>2019</v>
      <v>years (2018)</v>
      <v>2018</v>
      <v>per thousand (2018)</v>
      <v>2019</v>
      <v>2017</v>
      <v>2016</v>
      <v>2019</v>
      <v>2016</v>
      <v>2017</v>
      <v>kilotons per year (2016)</v>
      <v>deaths per 100,000 (2017)</v>
      <v>kWh (2014)</v>
      <v>2015</v>
      <v>2019</v>
      <v>2016</v>
      <v>2016</v>
      <v>2016</v>
      <v>2016</v>
      <v>2016</v>
      <v>2015</v>
      <v>2016</v>
      <v>2016</v>
      <v>2017</v>
      <v>2017</v>
      <v>2019</v>
    </spb>
    <spb s="0">
      <v xml:space="preserve">Wikipedia	Cia	</v>
      <v xml:space="preserve">CC-BY-SA		</v>
      <v xml:space="preserve">http://en.wikipedia.org/wiki/Republic_of_Ireland	https://www.cia.gov/library/publications/the-world-factbook/geos/ei.html?Transportation	</v>
      <v xml:space="preserve">http://creativecommons.org/licenses/by-sa/3.0/		</v>
    </spb>
    <spb s="0">
      <v xml:space="preserve">Wikipedia	</v>
      <v xml:space="preserve">CC BY-SA 3.0	</v>
      <v xml:space="preserve">https://en.wikipedia.org/wiki/Republic_of_Ireland	</v>
      <v xml:space="preserve">https://creativecommons.org/licenses/by-sa/3.0	</v>
    </spb>
    <spb s="0">
      <v xml:space="preserve">Wikipedia	</v>
      <v xml:space="preserve">CC-BY-SA	</v>
      <v xml:space="preserve">http://en.wikipedia.org/wiki/Republic_of_Ireland	</v>
      <v xml:space="preserve">http://creativecommons.org/licenses/by-sa/3.0/	</v>
    </spb>
    <spb s="0">
      <v xml:space="preserve">Cia	</v>
      <v xml:space="preserve">	</v>
      <v xml:space="preserve">https://www.cia.gov/library/publications/the-world-factbook/geos/ei.html?Transportation	</v>
      <v xml:space="preserve">	</v>
    </spb>
    <spb s="10">
      <v>0</v>
      <v>64</v>
      <v>65</v>
      <v>65</v>
      <v>3</v>
      <v>65</v>
      <v>65</v>
      <v>65</v>
      <v>65</v>
      <v>65</v>
      <v>66</v>
      <v>65</v>
      <v>65</v>
      <v>67</v>
      <v>6</v>
      <v>64</v>
      <v>67</v>
      <v>7</v>
      <v>65</v>
      <v>67</v>
      <v>8</v>
      <v>9</v>
      <v>10</v>
      <v>67</v>
      <v>67</v>
      <v>65</v>
      <v>67</v>
      <v>11</v>
      <v>12</v>
      <v>13</v>
      <v>14</v>
      <v>67</v>
      <v>64</v>
      <v>67</v>
      <v>67</v>
      <v>67</v>
      <v>67</v>
      <v>67</v>
      <v>67</v>
      <v>67</v>
      <v>67</v>
      <v>67</v>
      <v>67</v>
      <v>15</v>
    </spb>
    <spb s="2">
      <v>4</v>
      <v>Name</v>
      <v>LearnMoreOnLink</v>
    </spb>
    <spb s="7">
      <v>2019</v>
      <v>2019</v>
      <v>square km</v>
      <v>per thousand (2018)</v>
      <v>2022</v>
      <v>2019</v>
      <v>2018</v>
      <v>per liter (2016)</v>
      <v>2019</v>
      <v>years (2018)</v>
      <v>2018</v>
      <v>per thousand (2018)</v>
      <v>2019</v>
      <v>2017</v>
      <v>2016</v>
      <v>2019</v>
      <v>2016</v>
      <v>2018</v>
      <v>kilotons per year (2016)</v>
      <v>deaths per 100,000 (2017)</v>
      <v>kWh (2014)</v>
      <v>2015</v>
      <v>2018</v>
      <v>2016</v>
      <v>2016</v>
      <v>2016</v>
      <v>2016</v>
      <v>2016</v>
      <v>2015</v>
      <v>2016</v>
      <v>2016</v>
      <v>2017</v>
      <v>2017</v>
      <v>2019</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v>
      <v xml:space="preserve">CC BY-SA 3.0	</v>
      <v xml:space="preserve">https://en.wikipedia.org/wiki/Italy	</v>
      <v xml:space="preserve">https://creativecommons.org/licenses/by-sa/3.0	</v>
    </spb>
    <spb s="0">
      <v xml:space="preserve">Wikipedia	</v>
      <v xml:space="preserve">CC-BY-SA	</v>
      <v xml:space="preserve">http://en.wikipedia.org/wiki/Italy	</v>
      <v xml:space="preserve">http://creativecommons.org/licenses/by-sa/3.0/	</v>
    </spb>
    <spb s="0">
      <v xml:space="preserve">Cia	</v>
      <v xml:space="preserve">	</v>
      <v xml:space="preserve">https://www.cia.gov/library/publications/the-world-factbook/geos/it.html?Transportation	</v>
      <v xml:space="preserve">	</v>
    </spb>
    <spb s="1">
      <v>0</v>
      <v>71</v>
      <v>72</v>
      <v>72</v>
      <v>3</v>
      <v>72</v>
      <v>72</v>
      <v>72</v>
      <v>73</v>
      <v>72</v>
      <v>72</v>
      <v>72</v>
      <v>72</v>
      <v>74</v>
      <v>6</v>
      <v>71</v>
      <v>74</v>
      <v>7</v>
      <v>72</v>
      <v>74</v>
      <v>8</v>
      <v>9</v>
      <v>10</v>
      <v>74</v>
      <v>74</v>
      <v>72</v>
      <v>74</v>
      <v>11</v>
      <v>12</v>
      <v>13</v>
      <v>14</v>
      <v>74</v>
      <v>71</v>
      <v>74</v>
      <v>74</v>
      <v>74</v>
      <v>74</v>
      <v>74</v>
      <v>74</v>
      <v>74</v>
      <v>74</v>
      <v>74</v>
      <v>74</v>
      <v>15</v>
    </spb>
    <spb s="7">
      <v>2019</v>
      <v>2019</v>
      <v>square km</v>
      <v>per thousand (2018)</v>
      <v>2022</v>
      <v>2019</v>
      <v>2018</v>
      <v>per liter (2016)</v>
      <v>2019</v>
      <v>years (2018)</v>
      <v>2018</v>
      <v>per thousand (2018)</v>
      <v>2019</v>
      <v>2017</v>
      <v>2016</v>
      <v>2019</v>
      <v>2016</v>
      <v>2018</v>
      <v>kilotons per year (2014)</v>
      <v>deaths per 100,000 (2017)</v>
      <v>kWh (2014)</v>
      <v>2015</v>
      <v>2008</v>
      <v>2017</v>
      <v>2017</v>
      <v>2017</v>
      <v>2017</v>
      <v>2017</v>
      <v>2015</v>
      <v>2017</v>
      <v>2017</v>
      <v>2017</v>
      <v>2017</v>
      <v>2019</v>
    </spb>
    <spb s="0">
      <v xml:space="preserve">Wikipedia	Cia	travel.state.gov	</v>
      <v xml:space="preserve">CC-BY-SA			</v>
      <v xml:space="preserve">http://en.wikipedia.org/wiki/Norway	https://www.cia.gov/library/publications/the-world-factbook/geos/no.html?Transportation	https://travel.state.gov/content/travel/en/international-travel/International-Travel-Country-Information-Pages/Norway.html	</v>
      <v xml:space="preserve">http://creativecommons.org/licenses/by-sa/3.0/			</v>
    </spb>
    <spb s="0">
      <v xml:space="preserve">Wikipedia	</v>
      <v xml:space="preserve">CC BY-SA 3.0	</v>
      <v xml:space="preserve">https://en.wikipedia.org/wiki/Norway	</v>
      <v xml:space="preserve">https://creativecommons.org/licenses/by-sa/3.0	</v>
    </spb>
    <spb s="0">
      <v xml:space="preserve">Wikipedia	</v>
      <v xml:space="preserve">CC-BY-SA	</v>
      <v xml:space="preserve">http://en.wikipedia.org/wiki/Norway	</v>
      <v xml:space="preserve">http://creativecommons.org/licenses/by-sa/3.0/	</v>
    </spb>
    <spb s="0">
      <v xml:space="preserve">Cia	</v>
      <v xml:space="preserve">	</v>
      <v xml:space="preserve">https://www.cia.gov/library/publications/the-world-factbook/geos/no.html?Transportation	</v>
      <v xml:space="preserve">	</v>
    </spb>
    <spb s="1">
      <v>0</v>
      <v>77</v>
      <v>78</v>
      <v>78</v>
      <v>3</v>
      <v>78</v>
      <v>78</v>
      <v>78</v>
      <v>79</v>
      <v>78</v>
      <v>78</v>
      <v>78</v>
      <v>78</v>
      <v>80</v>
      <v>6</v>
      <v>77</v>
      <v>80</v>
      <v>7</v>
      <v>78</v>
      <v>80</v>
      <v>8</v>
      <v>9</v>
      <v>10</v>
      <v>80</v>
      <v>80</v>
      <v>78</v>
      <v>80</v>
      <v>11</v>
      <v>12</v>
      <v>13</v>
      <v>14</v>
      <v>80</v>
      <v>77</v>
      <v>80</v>
      <v>80</v>
      <v>80</v>
      <v>80</v>
      <v>80</v>
      <v>80</v>
      <v>80</v>
      <v>80</v>
      <v>80</v>
      <v>80</v>
      <v>15</v>
    </spb>
    <spb s="7">
      <v>2019</v>
      <v>2019</v>
      <v>square km</v>
      <v>per thousand (2018)</v>
      <v>2022</v>
      <v>2019</v>
      <v>2018</v>
      <v>per liter (2016)</v>
      <v>2019</v>
      <v>years (2018)</v>
      <v>2018</v>
      <v>per thousand (2018)</v>
      <v>2019</v>
      <v>2017</v>
      <v>2016</v>
      <v>2019</v>
      <v>2016</v>
      <v>2018</v>
      <v>kilotons per year (2016)</v>
      <v>deaths per 100,000 (2017)</v>
      <v>kWh (2014)</v>
      <v>2015</v>
      <v>2019</v>
      <v>2017</v>
      <v>2017</v>
      <v>2017</v>
      <v>2017</v>
      <v>2017</v>
      <v>2015</v>
      <v>2017</v>
      <v>2017</v>
      <v>2017</v>
      <v>2017</v>
      <v>2019</v>
    </spb>
    <spb s="0">
      <v xml:space="preserve">Wikipedia	Cia	travel.state.gov	</v>
      <v xml:space="preserve">CC-BY-SA			</v>
      <v xml:space="preserve">http://en.wikipedia.org/wiki/Poland	https://www.cia.gov/library/publications/the-world-factbook/geos/pl.html?Transportation	https://travel.state.gov/content/travel/en/international-travel/International-Travel-Country-Information-Pages/Poland.html	</v>
      <v xml:space="preserve">http://creativecommons.org/licenses/by-sa/3.0/			</v>
    </spb>
    <spb s="0">
      <v xml:space="preserve">Wikipedia	</v>
      <v xml:space="preserve">CC BY-SA 3.0	</v>
      <v xml:space="preserve">https://en.wikipedia.org/wiki/Poland	</v>
      <v xml:space="preserve">https://creativecommons.org/licenses/by-sa/3.0	</v>
    </spb>
    <spb s="0">
      <v xml:space="preserve">Wikipedia	</v>
      <v xml:space="preserve">CC-BY-SA	</v>
      <v xml:space="preserve">http://en.wikipedia.org/wiki/Poland	</v>
      <v xml:space="preserve">http://creativecommons.org/licenses/by-sa/3.0/	</v>
    </spb>
    <spb s="0">
      <v xml:space="preserve">Cia	</v>
      <v xml:space="preserve">	</v>
      <v xml:space="preserve">https://www.cia.gov/library/publications/the-world-factbook/geos/pl.html?Transportation	</v>
      <v xml:space="preserve">	</v>
    </spb>
    <spb s="9">
      <v>0</v>
      <v>83</v>
      <v>84</v>
      <v>84</v>
      <v>3</v>
      <v>84</v>
      <v>84</v>
      <v>84</v>
      <v>85</v>
      <v>84</v>
      <v>84</v>
      <v>85</v>
      <v>84</v>
      <v>84</v>
      <v>86</v>
      <v>6</v>
      <v>83</v>
      <v>86</v>
      <v>7</v>
      <v>84</v>
      <v>86</v>
      <v>8</v>
      <v>9</v>
      <v>10</v>
      <v>86</v>
      <v>86</v>
      <v>84</v>
      <v>86</v>
      <v>11</v>
      <v>12</v>
      <v>13</v>
      <v>14</v>
      <v>86</v>
      <v>83</v>
      <v>86</v>
      <v>86</v>
      <v>86</v>
      <v>86</v>
      <v>86</v>
      <v>86</v>
      <v>86</v>
      <v>86</v>
      <v>86</v>
      <v>86</v>
      <v>15</v>
    </spb>
    <spb s="0">
      <v xml:space="preserve">Wikipedia	Cia	travel.state.gov	</v>
      <v xml:space="preserve">CC-BY-SA			</v>
      <v xml:space="preserve">http://en.wikipedia.org/wiki/Portugal	https://www.cia.gov/library/publications/the-world-factbook/geos/po.html?Transportation	https://travel.state.gov/content/travel/en/international-travel/International-Travel-Country-Information-Pages/Portugal.html	</v>
      <v xml:space="preserve">http://creativecommons.org/licenses/by-sa/3.0/			</v>
    </spb>
    <spb s="0">
      <v xml:space="preserve">Wikipedia	</v>
      <v xml:space="preserve">CC BY-SA 3.0	</v>
      <v xml:space="preserve">https://en.wikipedia.org/wiki/Portugal	</v>
      <v xml:space="preserve">https://creativecommons.org/licenses/by-sa/3.0	</v>
    </spb>
    <spb s="0">
      <v xml:space="preserve">Wikipedia	</v>
      <v xml:space="preserve">CC-BY-SA	</v>
      <v xml:space="preserve">http://en.wikipedia.org/wiki/Portugal	</v>
      <v xml:space="preserve">http://creativecommons.org/licenses/by-sa/3.0/	</v>
    </spb>
    <spb s="0">
      <v xml:space="preserve">Cia	</v>
      <v xml:space="preserve">	</v>
      <v xml:space="preserve">https://www.cia.gov/library/publications/the-world-factbook/geos/po.html?Transportation	</v>
      <v xml:space="preserve">	</v>
    </spb>
    <spb s="9">
      <v>0</v>
      <v>88</v>
      <v>89</v>
      <v>89</v>
      <v>3</v>
      <v>89</v>
      <v>89</v>
      <v>89</v>
      <v>90</v>
      <v>89</v>
      <v>89</v>
      <v>90</v>
      <v>89</v>
      <v>89</v>
      <v>91</v>
      <v>6</v>
      <v>88</v>
      <v>91</v>
      <v>7</v>
      <v>89</v>
      <v>91</v>
      <v>8</v>
      <v>9</v>
      <v>10</v>
      <v>91</v>
      <v>91</v>
      <v>89</v>
      <v>91</v>
      <v>11</v>
      <v>12</v>
      <v>13</v>
      <v>14</v>
      <v>91</v>
      <v>88</v>
      <v>91</v>
      <v>91</v>
      <v>91</v>
      <v>91</v>
      <v>91</v>
      <v>91</v>
      <v>91</v>
      <v>91</v>
      <v>91</v>
      <v>91</v>
      <v>15</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Wikipedia	</v>
      <v xml:space="preserve">CC BY-SA 3.0	</v>
      <v xml:space="preserve">https://en.wikipedia.org/wiki/Spain	</v>
      <v xml:space="preserve">https://creativecommons.org/licenses/by-sa/3.0	</v>
    </spb>
    <spb s="0">
      <v xml:space="preserve">Wikipedia	</v>
      <v xml:space="preserve">CC-BY-SA	</v>
      <v xml:space="preserve">http://en.wikipedia.org/wiki/Spain	</v>
      <v xml:space="preserve">http://creativecommons.org/licenses/by-sa/3.0/	</v>
    </spb>
    <spb s="0">
      <v xml:space="preserve">Cia	</v>
      <v xml:space="preserve">	</v>
      <v xml:space="preserve">https://www.cia.gov/library/publications/the-world-factbook/geos/sp.html?Transportation	</v>
      <v xml:space="preserve">	</v>
    </spb>
    <spb s="9">
      <v>0</v>
      <v>93</v>
      <v>94</v>
      <v>94</v>
      <v>3</v>
      <v>94</v>
      <v>94</v>
      <v>94</v>
      <v>95</v>
      <v>94</v>
      <v>94</v>
      <v>95</v>
      <v>94</v>
      <v>94</v>
      <v>96</v>
      <v>6</v>
      <v>93</v>
      <v>96</v>
      <v>7</v>
      <v>94</v>
      <v>96</v>
      <v>8</v>
      <v>9</v>
      <v>10</v>
      <v>96</v>
      <v>96</v>
      <v>94</v>
      <v>96</v>
      <v>11</v>
      <v>12</v>
      <v>13</v>
      <v>14</v>
      <v>96</v>
      <v>93</v>
      <v>96</v>
      <v>96</v>
      <v>96</v>
      <v>96</v>
      <v>96</v>
      <v>96</v>
      <v>96</v>
      <v>96</v>
      <v>96</v>
      <v>96</v>
      <v>15</v>
    </spb>
    <spb s="0">
      <v xml:space="preserve">Wikipedia	Cia	travel.state.gov	</v>
      <v xml:space="preserve">CC-BY-SA			</v>
      <v xml:space="preserve">http://en.wikipedia.org/wiki/Sweden	https://www.cia.gov/library/publications/the-world-factbook/geos/sw.html?Transportation	https://travel.state.gov/content/travel/en/international-travel/International-Travel-Country-Information-Pages/Sweden.html	</v>
      <v xml:space="preserve">http://creativecommons.org/licenses/by-sa/3.0/			</v>
    </spb>
    <spb s="0">
      <v xml:space="preserve">Wikipedia	</v>
      <v xml:space="preserve">CC BY-SA 3.0	</v>
      <v xml:space="preserve">https://en.wikipedia.org/wiki/Sweden	</v>
      <v xml:space="preserve">https://creativecommons.org/licenses/by-sa/3.0	</v>
    </spb>
    <spb s="0">
      <v xml:space="preserve">Wikipedia	</v>
      <v xml:space="preserve">CC-BY-SA	</v>
      <v xml:space="preserve">http://en.wikipedia.org/wiki/Sweden	</v>
      <v xml:space="preserve">http://creativecommons.org/licenses/by-sa/3.0/	</v>
    </spb>
    <spb s="0">
      <v xml:space="preserve">Cia	</v>
      <v xml:space="preserve">	</v>
      <v xml:space="preserve">https://www.cia.gov/library/publications/the-world-factbook/geos/sw.html?Transportation	</v>
      <v xml:space="preserve">	</v>
    </spb>
    <spb s="1">
      <v>0</v>
      <v>98</v>
      <v>99</v>
      <v>99</v>
      <v>3</v>
      <v>99</v>
      <v>99</v>
      <v>99</v>
      <v>100</v>
      <v>99</v>
      <v>99</v>
      <v>99</v>
      <v>99</v>
      <v>101</v>
      <v>6</v>
      <v>98</v>
      <v>101</v>
      <v>7</v>
      <v>99</v>
      <v>101</v>
      <v>8</v>
      <v>9</v>
      <v>10</v>
      <v>101</v>
      <v>101</v>
      <v>99</v>
      <v>101</v>
      <v>11</v>
      <v>12</v>
      <v>13</v>
      <v>14</v>
      <v>101</v>
      <v>98</v>
      <v>101</v>
      <v>101</v>
      <v>101</v>
      <v>101</v>
      <v>101</v>
      <v>101</v>
      <v>101</v>
      <v>101</v>
      <v>101</v>
      <v>101</v>
      <v>15</v>
    </spb>
    <spb s="7">
      <v>2019</v>
      <v>2019</v>
      <v>square km</v>
      <v>per thousand (2018)</v>
      <v>2022</v>
      <v>2019</v>
      <v>2018</v>
      <v>per liter (2016)</v>
      <v>2019</v>
      <v>years (2018)</v>
      <v>2018</v>
      <v>per thousand (2018)</v>
      <v>2019</v>
      <v>2017</v>
      <v>2016</v>
      <v>2019</v>
      <v>2016</v>
      <v>2016</v>
      <v>kilotons per year (2016)</v>
      <v>deaths per 100,000 (2017)</v>
      <v>kWh (2014)</v>
      <v>2015</v>
      <v>2003</v>
      <v>2017</v>
      <v>2017</v>
      <v>2017</v>
      <v>2017</v>
      <v>2017</v>
      <v>2015</v>
      <v>2017</v>
      <v>2017</v>
      <v>2017</v>
      <v>2017</v>
      <v>2019</v>
    </spb>
    <spb s="0">
      <v xml:space="preserve">Wikipedia	Cia	travel.state.gov	</v>
      <v xml:space="preserve">CC-BY-SA			</v>
      <v xml:space="preserve">http://en.wikipedia.org/wiki/Switzerland	https://www.cia.gov/library/publications/the-world-factbook/geos/sz.html?Transportation	https://travel.state.gov/content/travel/en/international-travel/International-Travel-Country-Information-Pages/Switzerland.html.html	</v>
      <v xml:space="preserve">http://creativecommons.org/licenses/by-sa/3.0/			</v>
    </spb>
    <spb s="0">
      <v xml:space="preserve">Wikipedia	</v>
      <v xml:space="preserve">CC BY-SA 3.0	</v>
      <v xml:space="preserve">https://en.wikipedia.org/wiki/Switzerland	</v>
      <v xml:space="preserve">https://creativecommons.org/licenses/by-sa/3.0	</v>
    </spb>
    <spb s="0">
      <v xml:space="preserve">Wikipedia	</v>
      <v xml:space="preserve">CC-BY-SA	</v>
      <v xml:space="preserve">http://en.wikipedia.org/wiki/Switzerland	</v>
      <v xml:space="preserve">http://creativecommons.org/licenses/by-sa/3.0/	</v>
    </spb>
    <spb s="0">
      <v xml:space="preserve">Cia	</v>
      <v xml:space="preserve">	</v>
      <v xml:space="preserve">https://www.cia.gov/library/publications/the-world-factbook/geos/sz.html?Transportation	</v>
      <v xml:space="preserve">	</v>
    </spb>
    <spb s="1">
      <v>0</v>
      <v>104</v>
      <v>105</v>
      <v>105</v>
      <v>3</v>
      <v>105</v>
      <v>105</v>
      <v>105</v>
      <v>106</v>
      <v>105</v>
      <v>105</v>
      <v>105</v>
      <v>105</v>
      <v>107</v>
      <v>6</v>
      <v>104</v>
      <v>107</v>
      <v>7</v>
      <v>105</v>
      <v>107</v>
      <v>8</v>
      <v>9</v>
      <v>10</v>
      <v>107</v>
      <v>107</v>
      <v>105</v>
      <v>107</v>
      <v>11</v>
      <v>12</v>
      <v>13</v>
      <v>14</v>
      <v>107</v>
      <v>104</v>
      <v>107</v>
      <v>107</v>
      <v>107</v>
      <v>107</v>
      <v>107</v>
      <v>107</v>
      <v>107</v>
      <v>107</v>
      <v>107</v>
      <v>107</v>
      <v>15</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https://en.wikipedia.org/wiki/United_Kingdom	</v>
      <v xml:space="preserve">https://creativecommons.org/licenses/by-sa/3.0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9">
      <v>0</v>
      <v>109</v>
      <v>110</v>
      <v>110</v>
      <v>3</v>
      <v>110</v>
      <v>110</v>
      <v>110</v>
      <v>111</v>
      <v>110</v>
      <v>110</v>
      <v>111</v>
      <v>110</v>
      <v>110</v>
      <v>112</v>
      <v>6</v>
      <v>109</v>
      <v>112</v>
      <v>7</v>
      <v>110</v>
      <v>112</v>
      <v>8</v>
      <v>9</v>
      <v>10</v>
      <v>112</v>
      <v>112</v>
      <v>110</v>
      <v>112</v>
      <v>11</v>
      <v>12</v>
      <v>13</v>
      <v>14</v>
      <v>112</v>
      <v>109</v>
      <v>112</v>
      <v>112</v>
      <v>112</v>
      <v>112</v>
      <v>112</v>
      <v>112</v>
      <v>112</v>
      <v>112</v>
      <v>112</v>
      <v>112</v>
      <v>15</v>
    </spb>
    <spb s="7">
      <v>2019</v>
      <v>2019</v>
      <v>square km</v>
      <v>per thousand (2018)</v>
      <v>2022</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 s="0">
      <v xml:space="preserve">Wikipedia	travel.state.gov	</v>
      <v xml:space="preserve">CC-BY-SA		</v>
      <v xml:space="preserve">http://en.wikipedia.org/wiki/India	https://travel.state.gov/content/travel/en/international-travel/International-Travel-Country-Information-Pages/India.html	</v>
      <v xml:space="preserve">http://creativecommons.org/licenses/by-sa/3.0/		</v>
    </spb>
    <spb s="0">
      <v xml:space="preserve">Wikipedia	</v>
      <v xml:space="preserve">CC BY-SA 3.0	</v>
      <v xml:space="preserve">https://en.wikipedia.org/wiki/India	</v>
      <v xml:space="preserve">https://creativecommons.org/licenses/by-sa/3.0	</v>
    </spb>
    <spb s="0">
      <v xml:space="preserve">Wikipedia	</v>
      <v xml:space="preserve">CC-BY-SA	</v>
      <v xml:space="preserve">http://en.wikipedia.org/wiki/India	</v>
      <v xml:space="preserve">http://creativecommons.org/licenses/by-sa/3.0/	</v>
    </spb>
    <spb s="0">
      <v xml:space="preserve">Cia	</v>
      <v xml:space="preserve">	</v>
      <v xml:space="preserve">https://www.cia.gov/library/publications/the-world-factbook/geos/in.html?Transportation	</v>
      <v xml:space="preserve">	</v>
    </spb>
    <spb s="0">
      <v xml:space="preserve">Wikipedia	Cia	travel.state.gov	</v>
      <v xml:space="preserve">CC-BY-SA			</v>
      <v xml:space="preserve">http://en.wikipedia.org/wiki/India	https://www.cia.gov/library/publications/the-world-factbook/geos/in.html?Transportation	https://travel.state.gov/content/travel/en/international-travel/International-Travel-Country-Information-Pages/India.html	</v>
      <v xml:space="preserve">http://creativecommons.org/licenses/by-sa/3.0/			</v>
    </spb>
    <spb s="9">
      <v>0</v>
      <v>115</v>
      <v>116</v>
      <v>116</v>
      <v>3</v>
      <v>116</v>
      <v>116</v>
      <v>116</v>
      <v>117</v>
      <v>116</v>
      <v>116</v>
      <v>117</v>
      <v>116</v>
      <v>116</v>
      <v>118</v>
      <v>6</v>
      <v>119</v>
      <v>118</v>
      <v>7</v>
      <v>116</v>
      <v>118</v>
      <v>8</v>
      <v>9</v>
      <v>10</v>
      <v>118</v>
      <v>118</v>
      <v>116</v>
      <v>118</v>
      <v>11</v>
      <v>12</v>
      <v>13</v>
      <v>14</v>
      <v>118</v>
      <v>119</v>
      <v>118</v>
      <v>118</v>
      <v>118</v>
      <v>118</v>
      <v>118</v>
      <v>118</v>
      <v>118</v>
      <v>118</v>
      <v>118</v>
      <v>118</v>
      <v>15</v>
    </spb>
    <spb s="7">
      <v>2019</v>
      <v>2017</v>
      <v>square km</v>
      <v>per thousand (2018)</v>
      <v>2022</v>
      <v>2019</v>
      <v>2018</v>
      <v>per liter (2016)</v>
      <v>2019</v>
      <v>years (2018)</v>
      <v>2017</v>
      <v>per thousand (2018)</v>
      <v>2019</v>
      <v>2017</v>
      <v>2016</v>
      <v>2019</v>
      <v>2016</v>
      <v>2018</v>
      <v>kilotons per year (2016)</v>
      <v>deaths per 100,000 (2017)</v>
      <v>kWh (2014)</v>
      <v>2014</v>
      <v>2019</v>
      <v>2011</v>
      <v>2011</v>
      <v>2011</v>
      <v>2011</v>
      <v>2011</v>
      <v>2015</v>
      <v>2011</v>
      <v>2011</v>
      <v>2017</v>
      <v>2018</v>
      <v>2019</v>
    </spb>
  </spbData>
</supportingPropertyBags>
</file>

<file path=xl/richData/rdsupportingpropertybagstructure.xml><?xml version="1.0" encoding="utf-8"?>
<spbStructures xmlns="http://schemas.microsoft.com/office/spreadsheetml/2017/richdata2" count="11">
  <s>
    <k n="SourceText" t="s"/>
    <k n="LicenseText" t="s"/>
    <k n="SourceAddress" t="s"/>
    <k n="LicenseAddress" t="s"/>
  </s>
  <s>
    <k n="CPI" t="spb"/>
    <k n="GDP" t="spb"/>
    <k n="Area" t="spb"/>
    <k n="Name" t="spb"/>
    <k n="Birth rate" t="spb"/>
    <k n="Population" t="spb"/>
    <k n="UniqueName" t="spb"/>
    <k n="Description" t="spb"/>
    <k n="Abbreviation" t="spb"/>
    <k n="Calling code" t="spb"/>
    <k n="Largest city"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k n="TitleProperty" t="s"/>
    <k n="SubTitleProperty" t="s"/>
  </s>
  <s>
    <k n="ShowInCardView" t="b"/>
    <k n="ShowInDotNotation" t="b"/>
    <k n="ShowInAutoComplete" t="b"/>
  </s>
  <s>
    <k n="UniqueName" t="spb"/>
    <k n="VDPID/VSID" t="spb"/>
    <k n="LearnMoreOnLink" t="spb"/>
  </s>
  <s>
    <k n="Name" t="i"/>
    <k n="Image" t="i"/>
  </s>
  <s>
    <k n="link" t="s"/>
    <k n="logo" t="s"/>
    <k n="name" t="s"/>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_Self" t="i"/>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3">
      <rpv i="2">0.0%</rpv>
    </rSty>
    <rSty dxfid="0">
      <rpv i="2">#,##0</rpv>
    </rSty>
    <rSty dxfid="2">
      <rpv i="2">0.00</rpv>
    </rSty>
    <rSty dxfid="5">
      <rpv i="2">0</rpv>
    </rSty>
    <rSty dxfid="4">
      <rpv i="2">#,##0.00</rpv>
    </rSty>
    <rSty dxfid="1">
      <rpv i="2">0.0</rpv>
    </rSty>
    <rSty dxfid="1">
      <rpv i="2">_([$$-en-US]* #,##0.00_);_([$$-en-US]* (#,##0.00);_([$$-en-US]* "-"??_);_(@_)</rpv>
    </rSty>
    <rSty dxfid="1">
      <rpv i="2">_([$$-en-US]* #,##0_);_([$$-en-US]* (#,##0);_([$$-en-US]* "-"_);_(@_)</rpv>
    </rSty>
    <rSty dxfid="3"/>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Type" xr10:uid="{66EBD321-E7D6-45AD-A052-D54C177B6931}" sourceName="fType">
  <extLst>
    <x:ext xmlns:x15="http://schemas.microsoft.com/office/spreadsheetml/2010/11/main" uri="{2F2917AC-EB37-4324-AD4E-5DD8C200BD13}">
      <x15:tableSlicerCache tableId="8"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Type" xr10:uid="{78E4C4B9-DC32-451A-888C-9AA7F5EA0C56}" cache="Slicer_fType" caption="Commands - Functions" columnCount="2" rowHeight="216000"/>
</slicers>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blTransactions" displayName="tblTransactions" ref="B20:E278" totalsRowShown="0">
  <autoFilter ref="B20:E278" xr:uid="{00000000-0009-0000-0100-000007000000}"/>
  <sortState xmlns:xlrd2="http://schemas.microsoft.com/office/spreadsheetml/2017/richdata2" ref="B22:E279">
    <sortCondition descending="1" ref="C14"/>
  </sortState>
  <tableColumns count="4">
    <tableColumn id="1" xr3:uid="{00000000-0010-0000-0000-000001000000}" name="Date" dataDxfId="146"/>
    <tableColumn id="2" xr3:uid="{00000000-0010-0000-0000-000002000000}" name="Vendor Reference"/>
    <tableColumn id="3" xr3:uid="{00000000-0010-0000-0000-000003000000}" name="Amount"/>
    <tableColumn id="4" xr3:uid="{00000000-0010-0000-0000-000004000000}" name="With Formula" dataDxfId="145">
      <calculatedColumnFormula>ROUND(SUMIF($C$21:$C$260,C21,$D$21:$D$260),2) = 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C0CAE22-9BCB-444B-8F5D-072B7A827E93}" name="tblCats" displayName="tblCats" ref="B16:C24" totalsRowShown="0">
  <autoFilter ref="B16:C24" xr:uid="{0AF7A83C-6815-44F2-B619-9EB724791B99}"/>
  <tableColumns count="2">
    <tableColumn id="1" xr3:uid="{0C49C2E7-BB12-4646-98FA-077062AB79EE}" name="Cats"/>
    <tableColumn id="2" xr3:uid="{4D5EB86D-4985-42AB-8861-496D80C87E77}" name="CatsNr"/>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AA010C7-5F79-41E1-A28F-56511351FD65}" name="tblSalesLiquids" displayName="tblSalesLiquids" ref="B5:G54" totalsRowShown="0" headerRowDxfId="121" dataDxfId="119" headerRowBorderDxfId="120" tableBorderDxfId="118">
  <autoFilter ref="B5:G54" xr:uid="{604D121F-913F-4D54-8AF2-19624BC55FC4}"/>
  <tableColumns count="6">
    <tableColumn id="1" xr3:uid="{07AF5DA7-2120-4F9B-9597-FFEA9AF86BE3}" name="ID" dataDxfId="117"/>
    <tableColumn id="2" xr3:uid="{DAE7608E-C4E5-4B51-978E-B0376484C769}" name="Date" dataDxfId="116"/>
    <tableColumn id="3" xr3:uid="{B6E58B55-BA88-40E7-B5D1-E93AAE96CA2C}" name="Product Name" dataDxfId="115"/>
    <tableColumn id="4" xr3:uid="{0F9059F6-2F0E-4307-A81D-34E873A18F15}" name="Store" dataDxfId="114"/>
    <tableColumn id="5" xr3:uid="{A5DFCE31-D6F1-4E5A-87E9-A304EA4EC9A3}" name="Units Sold" dataDxfId="113"/>
    <tableColumn id="6" xr3:uid="{D4567523-BCC3-4550-BEC5-053D54E5B683}" name="Total" dataDxfId="112" dataCellStyle="Comma"/>
  </tableColumns>
  <tableStyleInfo name="TableStyleLight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16189FF-6BE6-48A5-813F-01B306BC7EDB}" name="tblClients" displayName="tblClients" ref="C4:K14" totalsRowShown="0" headerRowDxfId="111" dataDxfId="110">
  <tableColumns count="9">
    <tableColumn id="1" xr3:uid="{E8807058-AB23-406E-9FA0-D4B9B05102A6}" name="ID" dataDxfId="109"/>
    <tableColumn id="2" xr3:uid="{8FD100D5-CC29-42B0-8E25-F6C4D533C002}" name="Name" dataDxfId="108"/>
    <tableColumn id="3" xr3:uid="{6305D57D-A82C-489F-99FD-0BC48C4C0C4A}" name="Expiry Date" dataDxfId="107"/>
    <tableColumn id="4" xr3:uid="{E8D10388-83FB-4E5C-87CF-747C22A532AD}" name="Type" dataDxfId="106"/>
    <tableColumn id="8" xr3:uid="{A313ECCF-F26A-4E1E-8F8A-A3DF96167C80}" name="Membercard" dataDxfId="105"/>
    <tableColumn id="5" xr3:uid="{EB9B03C1-87E6-425B-B4B8-4BA2804D0725}" name="Last Week" dataDxfId="104"/>
    <tableColumn id="6" xr3:uid="{DA6850DC-53DE-4C9D-9FB2-474F14B46EE0}" name="This Week" dataDxfId="103"/>
    <tableColumn id="7" xr3:uid="{C4837E64-EDE4-47E5-90CF-A9A54D71072E}" name="Variance" dataDxfId="102" dataCellStyle="Percent">
      <calculatedColumnFormula>(tblClients[[#This Row],[This Week]]-tblClients[[#This Row],[Last Week]]) / tblClients[[#This Row],[Last Week]]</calculatedColumnFormula>
    </tableColumn>
    <tableColumn id="9" xr3:uid="{8F0CD553-1144-451F-B268-BC1136F30B97}" name="Bars" dataDxfId="101">
      <calculatedColumnFormula>tblClients[[#This Row],[Variance]]</calculatedColumnFormula>
    </tableColumn>
  </tableColumns>
  <tableStyleInfo name="TableStyleMedium7"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448156D-4684-4BB8-AC6A-3B4B33BE6FC2}" name="tblClients14" displayName="tblClients14" ref="C4:K14" totalsRowShown="0" headerRowDxfId="100" dataDxfId="99">
  <tableColumns count="9">
    <tableColumn id="1" xr3:uid="{B93D959A-0243-4833-B2A6-891171938116}" name="ID" dataDxfId="98"/>
    <tableColumn id="2" xr3:uid="{595D5F5C-EEEA-48F0-B913-D9C5DA290E7D}" name="Name" dataDxfId="97"/>
    <tableColumn id="3" xr3:uid="{13F8962E-0E55-4DFA-9FEF-F47E8111C578}" name="Expiry Date" dataDxfId="96"/>
    <tableColumn id="4" xr3:uid="{48451649-DAA2-40D7-A107-39A95AC575D7}" name="Type" dataDxfId="95"/>
    <tableColumn id="8" xr3:uid="{BE3C6001-B09A-4E9F-9370-25134C152ECF}" name="Membercard" dataDxfId="94"/>
    <tableColumn id="5" xr3:uid="{3A4A32FA-737D-47BC-B085-D78F1952B9C0}" name="Last Week" dataDxfId="93"/>
    <tableColumn id="6" xr3:uid="{7C33D0F3-CA06-4EFF-B2ED-A7D04CCC127C}" name="This Week" dataDxfId="92"/>
    <tableColumn id="7" xr3:uid="{20EA970F-A4CA-4EEF-A6CE-EDC0EB6E7462}" name="Variance" dataDxfId="91" dataCellStyle="Percent">
      <calculatedColumnFormula>(tblClients14[[#This Row],[This Week]]-tblClients14[[#This Row],[Last Week]]) / tblClients14[[#This Row],[Last Week]]</calculatedColumnFormula>
    </tableColumn>
    <tableColumn id="9" xr3:uid="{13A0B603-0139-428B-B2AA-A54E6DD58C5A}" name="Bars" dataDxfId="90">
      <calculatedColumnFormula>tblClients14[[#This Row],[Variance]]</calculatedColumnFormula>
    </tableColumn>
  </tableColumns>
  <tableStyleInfo name="TableStyleMedium7"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69F1-9C20-4B32-8A4B-F9B038043FAC}" name="tblSales" displayName="tblSales" ref="B2:U1243" headerRowDxfId="89" dataDxfId="88">
  <autoFilter ref="B2:U1243" xr:uid="{00000000-0009-0000-0100-000001000000}"/>
  <sortState xmlns:xlrd2="http://schemas.microsoft.com/office/spreadsheetml/2017/richdata2" ref="B3:U1243">
    <sortCondition ref="L1206:L1243"/>
  </sortState>
  <tableColumns count="20">
    <tableColumn id="1" xr3:uid="{3AC39C80-ECB6-4A5D-A04F-70A62DE3A6A0}" name="OrderID" totalsRowLabel="Total" dataDxfId="87" totalsRowDxfId="86"/>
    <tableColumn id="3" xr3:uid="{DCCDD218-F7ED-408C-B6D6-34C71F7E0C91}" name="ProductName" totalsRowFunction="count" dataDxfId="85" totalsRowDxfId="84"/>
    <tableColumn id="4" xr3:uid="{499CBDD8-29C1-480F-9031-15FFC1C4D46D}" name="Country" dataDxfId="83" totalsRowDxfId="82"/>
    <tableColumn id="5" xr3:uid="{F6353CEA-A96A-41E3-9949-6CAC03A052EF}" name="CategoryName" dataDxfId="81" totalsRowDxfId="80"/>
    <tableColumn id="6" xr3:uid="{C05B8EF0-815B-4569-B628-C1AE71CBE7A2}" name="UnitPrice" totalsRowFunction="average" dataDxfId="79" totalsRowDxfId="78"/>
    <tableColumn id="7" xr3:uid="{55D1C676-CF61-434B-B9F6-5CD49D543543}" name="Quantity" dataDxfId="77" totalsRowDxfId="76"/>
    <tableColumn id="8" xr3:uid="{4BE02F4C-09D4-45DC-88B9-931D9F05DF1E}" name="Discount" dataDxfId="75" totalsRowDxfId="74"/>
    <tableColumn id="9" xr3:uid="{72D5FB10-66AD-440A-AD16-F7E05BC6DFA5}" name="Total" totalsRowFunction="sum" dataDxfId="73" totalsRowDxfId="72"/>
    <tableColumn id="10" xr3:uid="{13773237-A253-421E-A86A-D8B92E2A0467}" name="CustomerID" dataDxfId="71" totalsRowDxfId="70"/>
    <tableColumn id="11" xr3:uid="{E335A291-04EE-4984-A4FE-9A3DD483D45E}" name="CompanyName" dataDxfId="69" totalsRowDxfId="68"/>
    <tableColumn id="16" xr3:uid="{48543638-FA24-44D7-A963-D606D59EBA70}" name="OrderDate" dataDxfId="67" totalsRowDxfId="66"/>
    <tableColumn id="17" xr3:uid="{ED19059B-6A8A-4857-B93C-D60B5DFB61F6}" name="ShippedDate" dataDxfId="65" totalsRowDxfId="64"/>
    <tableColumn id="19" xr3:uid="{08EBCF17-2D98-4AD1-A10A-DF16CC566688}" name="ShippingCie" dataDxfId="63" totalsRowDxfId="62"/>
    <tableColumn id="21" xr3:uid="{F03D84EF-1009-499D-805C-C38295CC7A33}" name="LastName" dataDxfId="61" totalsRowDxfId="60"/>
    <tableColumn id="22" xr3:uid="{2921C20C-9864-42DC-8261-01B1FB6199BF}" name="FirstName" dataDxfId="59" totalsRowDxfId="58"/>
    <tableColumn id="23" xr3:uid="{C809A8CD-3626-41A7-A186-5B2F59E6CFF0}" name="Full name" dataDxfId="57" totalsRowDxfId="56">
      <calculatedColumnFormula>tblSales[[#This Row],[FirstName]]&amp; " " &amp;tblSales[[#This Row],[LastName]]</calculatedColumnFormula>
    </tableColumn>
    <tableColumn id="24" xr3:uid="{59E52F4E-503B-4D1A-9728-A8A41CE3F7FF}" name="Sales year" totalsRowFunction="sum" dataDxfId="55" totalsRowDxfId="54">
      <calculatedColumnFormula>YEAR(tblSales[[#This Row],[OrderDate]])</calculatedColumnFormula>
    </tableColumn>
    <tableColumn id="25" xr3:uid="{67C01358-63AF-4DAA-BD06-56E4D387ECB9}" name="Weeknr" dataDxfId="53" totalsRowDxfId="52">
      <calculatedColumnFormula>WEEKNUM(tblSales[[#This Row],[OrderDate]])</calculatedColumnFormula>
    </tableColumn>
    <tableColumn id="26" xr3:uid="{2B21B256-08C9-4388-98FA-929D15D2E435}" name="Delivery" dataDxfId="51" totalsRowDxfId="50">
      <calculatedColumnFormula>IF(ISBLANK(tblSales[[#This Row],[ShippedDate]]),"",tblSales[[#This Row],[ShippedDate]]-tblSales[[#This Row],[OrderDate]])</calculatedColumnFormula>
    </tableColumn>
    <tableColumn id="13" xr3:uid="{F1C5EC4A-3D1B-40D1-8984-B8FA0F7E9142}" name="Short Product name" dataDxfId="49" totalsRowDxfId="48">
      <calculatedColumnFormula>LEFT(tblSales[[#This Row],[ProductName]],20)</calculatedColumnFormula>
    </tableColumn>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478F5C4-1291-46BD-890F-E111DA1220F8}" name="tblShortcuts" displayName="tblShortcuts" ref="B7:J88" totalsRowShown="0" headerRowDxfId="47" dataDxfId="46">
  <autoFilter ref="B7:J88" xr:uid="{0478F5C4-1291-46BD-890F-E111DA1220F8}"/>
  <tableColumns count="9">
    <tableColumn id="1" xr3:uid="{8A89B3A8-7388-44FE-BDBB-C1808F90E62B}" name="Key" dataDxfId="45"/>
    <tableColumn id="2" xr3:uid="{63192CB1-1F2F-4EB2-A657-A4053573F192}" name="(unmodified)" dataDxfId="44"/>
    <tableColumn id="3" xr3:uid="{36555295-ADDB-452C-92C0-C5EAF5E47A35}" name="Shift" dataDxfId="43"/>
    <tableColumn id="4" xr3:uid="{C1AE3043-70FD-460E-94E5-8E47E0E114A4}" name="Ctrl" dataDxfId="42"/>
    <tableColumn id="5" xr3:uid="{49936EAD-AF66-4BE4-865A-17856D7F19E0}" name="Alt" dataDxfId="41"/>
    <tableColumn id="6" xr3:uid="{858F2F1A-8341-4AE5-9449-15E7619A05D5}" name="Shift+Ctrl" dataDxfId="40"/>
    <tableColumn id="7" xr3:uid="{B1B33EF6-D578-4AA8-90B0-02EBCA6B47D5}" name="Shift+Alt" dataDxfId="39"/>
    <tableColumn id="8" xr3:uid="{FA74F745-723A-4D50-9BD9-011F5339D0CA}" name="Ctrl+Alt" dataDxfId="38"/>
    <tableColumn id="9" xr3:uid="{AE61E087-9BA8-4C00-AEEE-7E6E6B572053}" name="Shift+Ctrl+Alt" dataDxfId="37"/>
  </tableColumns>
  <tableStyleInfo name="TableStyleMedium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999BFD7-3E90-4C86-A91F-BA8A69F429C8}" name="tblFunctions" displayName="tblFunctions" ref="B13:H894" totalsRowShown="0" headerRowDxfId="36" dataDxfId="35">
  <autoFilter ref="B13:H894" xr:uid="{1999BFD7-3E90-4C86-A91F-BA8A69F429C8}">
    <filterColumn colId="0">
      <filters>
        <filter val="F"/>
      </filters>
    </filterColumn>
  </autoFilter>
  <tableColumns count="7">
    <tableColumn id="1" xr3:uid="{819BB323-0849-43AA-BA0F-A3B2CD5E6F13}" name="fType" dataDxfId="34"/>
    <tableColumn id="2" xr3:uid="{AB04066D-D493-4C54-BA22-6D36653F148E}" name="English" dataDxfId="33"/>
    <tableColumn id="3" xr3:uid="{6FEC58E3-B552-4835-A1E5-7A99E1DB8A06}" name="Nederlands" dataDxfId="32"/>
    <tableColumn id="4" xr3:uid="{876F458F-2D59-4983-8DBC-3E69939A0924}" name="Deutsch" dataDxfId="31"/>
    <tableColumn id="5" xr3:uid="{790E76C7-CA64-4AA2-B219-0073922ED0FA}" name="Français" dataDxfId="30"/>
    <tableColumn id="6" xr3:uid="{AEEE560E-DE63-40E0-9D1F-5710EED8D942}" name="Español" dataDxfId="29"/>
    <tableColumn id="7" xr3:uid="{6EF8B6F7-F6EB-449D-85E0-0ECCE909C1DD}" name="fGroup" dataDxfId="28"/>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958F1D-9D51-4E3E-999B-E06EE6A15845}" name="Table5" displayName="Table5" ref="C6:E15" headerRowCount="0" totalsRowShown="0">
  <sortState xmlns:xlrd2="http://schemas.microsoft.com/office/spreadsheetml/2017/richdata2" ref="C6:E15">
    <sortCondition ref="C10:C15"/>
  </sortState>
  <tableColumns count="3">
    <tableColumn id="1" xr3:uid="{B13A9176-4CAE-4FF3-9A41-CAE4E85527CE}" name="Column1"/>
    <tableColumn id="2" xr3:uid="{7E229891-325D-4C00-A494-458735B30AE3}" name="Column2"/>
    <tableColumn id="3" xr3:uid="{1B61BAB0-AA6D-4DD0-B3C0-74C23897B012}" name="Column3" headerRowDxfId="27" dataDxfId="26" headerRowCellStyle="Hyperlink" dataCellStyle="Hyperlink">
      <calculatedColumnFormula>HYPERLINK(D6,C6)</calculatedColumnFormula>
    </tableColumn>
  </tableColumns>
  <tableStyleInfo name="TableStyleMedium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F9B4500-C7C5-4828-BEA0-934D855E9FA4}" name="Table14" displayName="Table14" ref="B39:G49" totalsRowShown="0">
  <autoFilter ref="B39:G49" xr:uid="{A5FAE4A4-1734-4367-972D-38DF59B72580}"/>
  <tableColumns count="6">
    <tableColumn id="1" xr3:uid="{5B5BF01D-CA63-4F0C-84A3-E2FEE4D24DA2}" name="Computers"/>
    <tableColumn id="2" xr3:uid="{1EBD5BA0-370F-4C82-8EF1-D046EBE2EDF0}" name="HD" dataDxfId="144"/>
    <tableColumn id="3" xr3:uid="{62001EF6-73E4-4FA5-9D6C-783501D306EB}" name="Memory" dataDxfId="143"/>
    <tableColumn id="4" xr3:uid="{FB8B29D1-95B7-462C-ACCF-5C62E30635B2}" name="OR" dataDxfId="142">
      <calculatedColumnFormula>OR(Table14[[#This Row],[HD]]&gt;=$I$40,Table14[[#This Row],[Memory]]&gt;=$J$40)</calculatedColumnFormula>
    </tableColumn>
    <tableColumn id="5" xr3:uid="{BA88B1AF-5A07-45CD-A26A-1DB129C78353}" name="AND" dataDxfId="141">
      <calculatedColumnFormula>AND(Table14[[#This Row],[HD]]&gt;=$I$40,Table14[[#This Row],[Memory]]&gt;=$J$40)</calculatedColumnFormula>
    </tableColumn>
    <tableColumn id="6" xr3:uid="{009125D5-05DF-487A-A856-489E655EBD21}" name="XOR" dataDxfId="140">
      <calculatedColumnFormula>_xlfn.XOR(Table14[[#This Row],[HD]]&gt;=$I$40,Table14[[#This Row],[Memory]]&gt;=$J$40)</calculatedColumnFormula>
    </tableColumn>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92AE0EC-8E17-4276-BA0E-41AB69A78E1E}" name="tblProductSales" displayName="tblProductSales" ref="B114:J124" totalsRowShown="0" headerRowDxfId="139" headerRowBorderDxfId="138" tableBorderDxfId="137">
  <tableColumns count="9">
    <tableColumn id="1" xr3:uid="{FA21CA30-E69C-4AD7-B59E-59FA254A8F88}" name="Product"/>
    <tableColumn id="2" xr3:uid="{6FE8781A-2F6D-4C9F-8C4A-8A5F5F3FC615}" name="JAN" dataDxfId="136"/>
    <tableColumn id="3" xr3:uid="{7E074BA3-4FBA-4D59-B3EA-E6D8057CFE4B}" name="FEB" dataDxfId="135"/>
    <tableColumn id="4" xr3:uid="{8334040C-1AFF-4E42-954B-C86886AEE6B8}" name="MAR" dataDxfId="134"/>
    <tableColumn id="5" xr3:uid="{07BF2714-575C-4494-8EB0-9AFC33D0D654}" name="APR" dataDxfId="133"/>
    <tableColumn id="6" xr3:uid="{E3C92F6F-6BDE-4BF1-9863-5A5679C8E702}" name="MAY" dataDxfId="132"/>
    <tableColumn id="7" xr3:uid="{4C206F58-D237-4DA3-A0DF-919FDB5FEE8F}" name="JUN" dataDxfId="131"/>
    <tableColumn id="8" xr3:uid="{20A3F588-35DC-42E9-89CD-CF7DDEC00608}" name="JUL" dataDxfId="130"/>
    <tableColumn id="9" xr3:uid="{E1CAB9CF-AA34-4EAD-88E6-CFA3CA12A101}" name="AUG" dataDxfId="12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3CF9F7-3307-4AE3-BF3B-943E0A237247}" name="tblAnswers" displayName="tblAnswers" ref="AF5:AZ1418" totalsRowShown="0" headerRowCellStyle="Normal 4" dataCellStyle="Normal 4">
  <autoFilter ref="AF5:AZ1418" xr:uid="{753CF9F7-3307-4AE3-BF3B-943E0A237247}"/>
  <tableColumns count="21">
    <tableColumn id="1" xr3:uid="{1176749D-F3E2-47EE-9C02-6F2C7B633076}" name="Column1" dataCellStyle="Normal 4"/>
    <tableColumn id="2" xr3:uid="{B81D8016-62EC-4741-ADB9-E16F0A7225E0}" name="1" dataCellStyle="Normal 4"/>
    <tableColumn id="3" xr3:uid="{0812A31D-5C72-4D73-9F18-F1FE40293C45}" name="2" dataCellStyle="Normal 4"/>
    <tableColumn id="4" xr3:uid="{B6506969-B7C0-4379-AFA2-61E2CE07FFF3}" name="3" dataCellStyle="Normal 4"/>
    <tableColumn id="5" xr3:uid="{C500875F-9FB5-4BB8-AC87-0B2B291D6B88}" name="4" dataCellStyle="Normal 4"/>
    <tableColumn id="6" xr3:uid="{2855B60C-9B27-45E3-AD1F-743B91E16B3D}" name="5" dataCellStyle="Normal 4"/>
    <tableColumn id="7" xr3:uid="{D1823677-6FF0-4229-A41B-D0839582259E}" name="6" dataCellStyle="Normal 4"/>
    <tableColumn id="8" xr3:uid="{C7DED66B-CE3F-476C-BEBF-9B1A3860CB08}" name="7" dataCellStyle="Normal 4"/>
    <tableColumn id="9" xr3:uid="{DEDFF0A7-E3F2-474B-975E-33652C43CE5E}" name="8" dataCellStyle="Normal 4"/>
    <tableColumn id="10" xr3:uid="{9DE31FD3-689D-44CD-A854-BF069758FAF9}" name="9" dataCellStyle="Normal 4"/>
    <tableColumn id="11" xr3:uid="{B0A94916-B3F6-46C3-875B-4D3920E236A7}" name="10" dataCellStyle="Normal 4"/>
    <tableColumn id="12" xr3:uid="{DB04913D-74D8-4C5F-B9CF-C5C97C7684A0}" name="11" dataCellStyle="Normal 4"/>
    <tableColumn id="13" xr3:uid="{E9177C3A-EA52-4480-AD41-E88CD6A7F5FE}" name="12" dataCellStyle="Normal 4"/>
    <tableColumn id="14" xr3:uid="{67A0B8D8-F159-419D-814E-2250BD02CD74}" name="13" dataCellStyle="Normal 4"/>
    <tableColumn id="15" xr3:uid="{538C53CE-434F-4314-BCF8-AFE5A54AC196}" name="14" dataCellStyle="Normal 4"/>
    <tableColumn id="16" xr3:uid="{120352B2-A3D3-4EAD-B095-68E0088C2668}" name="15" dataCellStyle="Normal 4"/>
    <tableColumn id="17" xr3:uid="{4FAC6B15-818C-41A5-817D-20D5391EAA7E}" name="16" dataCellStyle="Normal 4"/>
    <tableColumn id="18" xr3:uid="{2968B4FD-6840-403D-98DF-73102F2A2475}" name="17" dataCellStyle="Normal 4"/>
    <tableColumn id="19" xr3:uid="{54BBAD3F-D1D9-418E-B583-E0A18508604E}" name="18" dataCellStyle="Normal 4"/>
    <tableColumn id="20" xr3:uid="{DF90DC09-2BC5-477C-A15C-E2844F33F855}" name="19" dataCellStyle="Normal 4"/>
    <tableColumn id="21" xr3:uid="{835E2692-853C-496E-BCF3-1320B3141847}" name="20" dataCellStyle="Normal 4"/>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454DB7B-BCB4-4ACF-A588-0422346911E2}" name="tblPoints" displayName="tblPoints" ref="AG2:AK3" totalsRowShown="0" headerRowDxfId="6" dataDxfId="5" headerRowCellStyle="Accent1" dataCellStyle="Accent1">
  <autoFilter ref="AG2:AK3" xr:uid="{7454DB7B-BCB4-4ACF-A588-0422346911E2}"/>
  <tableColumns count="5">
    <tableColumn id="1" xr3:uid="{5C2C7C7A-7336-4A7D-9518-CB94870F1E44}" name="A" dataDxfId="11" dataCellStyle="Accent1"/>
    <tableColumn id="2" xr3:uid="{FBE19A5E-ACF4-4657-BCD7-78C368FA3DB4}" name="B" dataDxfId="10" dataCellStyle="Accent1"/>
    <tableColumn id="3" xr3:uid="{4D68F241-FB59-4411-874D-BD4AF260AA69}" name="C" dataDxfId="9" dataCellStyle="Accent1"/>
    <tableColumn id="4" xr3:uid="{E6336D64-14BE-40B7-9601-BD7F61C982DF}" name="D" dataDxfId="8" dataCellStyle="Accent1"/>
    <tableColumn id="5" xr3:uid="{1ABC6C0C-0799-4E6D-ABFA-378B0F0D1CC8}" name="X" dataDxfId="7" dataCellStyle="Accent1"/>
  </tableColumns>
  <tableStyleInfo name="TableStyleMedium1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1F8BAF9-7317-46C4-ACAC-911B7CECA3AF}" name="Stats" displayName="Stats" ref="X7:AC8" tableType="queryTable" totalsRowShown="0" headerRowCellStyle="Normal 4" dataCellStyle="Normal 4">
  <autoFilter ref="X7:AC8" xr:uid="{21F8BAF9-7317-46C4-ACAC-911B7CECA3AF}"/>
  <tableColumns count="6">
    <tableColumn id="1" xr3:uid="{854299DC-C088-4838-B43A-AD0728B7181E}" uniqueName="1" name="Index" queryTableFieldId="1" dataCellStyle="Normal 4"/>
    <tableColumn id="2" xr3:uid="{A9642C9C-F526-4A6D-A44D-CFC94CBA4D7F}" uniqueName="2" name="Avg" queryTableFieldId="2" dataCellStyle="Normal 4"/>
    <tableColumn id="3" xr3:uid="{E17A9442-9B16-43E6-8318-BF5B66F84FF2}" uniqueName="3" name="Min" queryTableFieldId="3" dataCellStyle="Normal 4"/>
    <tableColumn id="4" xr3:uid="{5E764A4D-71C4-4D7A-AED7-D8C4C0D9D541}" uniqueName="4" name="Max" queryTableFieldId="4" dataCellStyle="Normal 4"/>
    <tableColumn id="5" xr3:uid="{7984E40D-666F-465E-8B76-BB97E9A87394}" uniqueName="5" name="Median" queryTableFieldId="5"/>
    <tableColumn id="6" xr3:uid="{ACEB8F81-C022-4AD3-B671-B7EA57193417}" uniqueName="6" name="Nr" queryTableFieldId="6"/>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8572829-9610-4270-9451-43B733717759}" name="answers" displayName="answers" ref="X11:Z717" tableType="queryTable" totalsRowShown="0" headerRowDxfId="1" dataDxfId="0" headerRowCellStyle="Normal 4" dataCellStyle="Normal 4">
  <autoFilter ref="X11:Z717" xr:uid="{18572829-9610-4270-9451-43B733717759}"/>
  <tableColumns count="3">
    <tableColumn id="1" xr3:uid="{4E940B5E-DFD6-436B-BEC3-FFCBFE835A5B}" uniqueName="1" name="StudentID" queryTableFieldId="1" dataDxfId="4" dataCellStyle="Normal 4"/>
    <tableColumn id="2" xr3:uid="{03CE4F1A-7E83-4E87-B11D-9B6616C8CEC6}" uniqueName="2" name="Total Points" queryTableFieldId="2" dataDxfId="3" dataCellStyle="Normal 4"/>
    <tableColumn id="3" xr3:uid="{4CC7DF9B-9F7A-4007-8794-12FFB03A86EA}" uniqueName="3" name="Check" queryTableFieldId="3" dataDxfId="2" dataCellStyle="Normal 4">
      <calculatedColumnFormula>_xlfn.XLOOKUP(answers[[#This Row],[StudentID]],$A$7:$A$1418,$V$7:$V$1418)</calculatedColumnFormula>
    </tableColumn>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blSongs" displayName="tblSongs" ref="J3:M33" totalsRowShown="0" headerRowDxfId="128" headerRowCellStyle="Normal 2">
  <autoFilter ref="J3:M33" xr:uid="{00000000-0009-0000-0100-000009000000}"/>
  <tableColumns count="4">
    <tableColumn id="1" xr3:uid="{00000000-0010-0000-0400-000001000000}" name="Title + Timings" dataCellStyle="Normal 2"/>
    <tableColumn id="2" xr3:uid="{00000000-0010-0000-0400-000002000000}" name="Title" dataCellStyle="Normal 2">
      <calculatedColumnFormula>TRIM(MID(J4,1,FIND("[",J4)-1))</calculatedColumnFormula>
    </tableColumn>
    <tableColumn id="3" xr3:uid="{00000000-0010-0000-0400-000003000000}" name="Timings" dataDxfId="127" dataCellStyle="Normal 2 2">
      <calculatedColumnFormula>TIMEVALUE("00:"&amp;MID(RIGHT(TRIM(J4),6),1,5))</calculatedColumnFormula>
    </tableColumn>
    <tableColumn id="4" xr3:uid="{D4397500-6030-4AF0-9EB7-704B2ED65F6A}" name="Textafter()" dataDxfId="126" dataCellStyle="Normal 2 2">
      <calculatedColumnFormula>LEFT(_xlfn.TEXTAFTER(tblSongs[[#This Row],[Title + Timings]],"["),5)</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28:F40" totalsRowShown="0">
  <tableColumns count="5">
    <tableColumn id="1" xr3:uid="{00000000-0010-0000-0100-000001000000}" name="#" dataDxfId="125"/>
    <tableColumn id="2" xr3:uid="{00000000-0010-0000-0100-000002000000}" name="Activity Detail"/>
    <tableColumn id="3" xr3:uid="{00000000-0010-0000-0100-000003000000}" name="Start Time" dataDxfId="124">
      <calculatedColumnFormula>IF(B29=1,$E$26,F28)</calculatedColumnFormula>
    </tableColumn>
    <tableColumn id="4" xr3:uid="{00000000-0010-0000-0100-000004000000}" name="Duration (minutes)" dataDxfId="123"/>
    <tableColumn id="5" xr3:uid="{00000000-0010-0000-0100-000005000000}" name="End Time" dataDxfId="122">
      <calculatedColumnFormula>D29+E29/24/60</calculatedColumnFormula>
    </tableColumn>
  </tableColumns>
  <tableStyleInfo name="TableStyleMedium2"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ijnThema">
  <a:themeElements>
    <a:clrScheme name="Foundry">
      <a:dk1>
        <a:sysClr val="windowText" lastClr="000000"/>
      </a:dk1>
      <a:lt1>
        <a:sysClr val="window" lastClr="FFFFFF"/>
      </a:lt1>
      <a:dk2>
        <a:srgbClr val="676A55"/>
      </a:dk2>
      <a:lt2>
        <a:srgbClr val="EAEBDE"/>
      </a:lt2>
      <a:accent1>
        <a:srgbClr val="72A376"/>
      </a:accent1>
      <a:accent2>
        <a:srgbClr val="B0CCB0"/>
      </a:accent2>
      <a:accent3>
        <a:srgbClr val="A8CDD7"/>
      </a:accent3>
      <a:accent4>
        <a:srgbClr val="C0BEAF"/>
      </a:accent4>
      <a:accent5>
        <a:srgbClr val="CEC597"/>
      </a:accent5>
      <a:accent6>
        <a:srgbClr val="E8B7B7"/>
      </a:accent6>
      <a:hlink>
        <a:srgbClr val="DB5353"/>
      </a:hlink>
      <a:folHlink>
        <a:srgbClr val="903638"/>
      </a:folHlink>
    </a:clrScheme>
    <a:fontScheme name="Foundry">
      <a:majorFont>
        <a:latin typeface="Rockwell"/>
        <a:ea typeface=""/>
        <a:cs typeface=""/>
        <a:font script="Grek" typeface="Cambria"/>
        <a:font script="Cyrl" typeface="Cambria"/>
        <a:font script="Jpan" typeface="HG明朝B"/>
        <a:font script="Hang" typeface="바탕"/>
        <a:font script="Hans" typeface="方正姚体"/>
        <a:font script="Hant" typeface="微軟正黑體"/>
        <a:font script="Arab" typeface="Times New Roman"/>
        <a:font script="Hebr" typeface="David"/>
        <a:font script="Thai" typeface="Jasmine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Rockwell"/>
        <a:ea typeface=""/>
        <a:cs typeface=""/>
        <a:font script="Grek" typeface="Cambria"/>
        <a:font script="Cyrl" typeface="Cambria"/>
        <a:font script="Jpan" typeface="HG明朝B"/>
        <a:font script="Hang" typeface="바탕"/>
        <a:font script="Hans" typeface="方正姚体"/>
        <a:font script="Hant" typeface="標楷體"/>
        <a:font script="Arab" typeface="Times New Roman"/>
        <a:font script="Hebr" typeface="David"/>
        <a:font script="Thai" typeface="Jasmine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Foundry">
      <a:fillStyleLst>
        <a:solidFill>
          <a:schemeClr val="phClr"/>
        </a:solidFill>
        <a:gradFill rotWithShape="1">
          <a:gsLst>
            <a:gs pos="0">
              <a:schemeClr val="phClr">
                <a:tint val="70000"/>
                <a:satMod val="180000"/>
              </a:schemeClr>
            </a:gs>
            <a:gs pos="62000">
              <a:schemeClr val="phClr">
                <a:tint val="30000"/>
                <a:satMod val="180000"/>
              </a:schemeClr>
            </a:gs>
            <a:gs pos="100000">
              <a:schemeClr val="phClr">
                <a:tint val="22000"/>
                <a:satMod val="180000"/>
              </a:schemeClr>
            </a:gs>
          </a:gsLst>
          <a:lin ang="16200000" scaled="0"/>
        </a:gradFill>
        <a:gradFill rotWithShape="1">
          <a:gsLst>
            <a:gs pos="0">
              <a:schemeClr val="phClr">
                <a:shade val="58000"/>
                <a:satMod val="150000"/>
              </a:schemeClr>
            </a:gs>
            <a:gs pos="72000">
              <a:schemeClr val="phClr">
                <a:tint val="90000"/>
                <a:satMod val="135000"/>
              </a:schemeClr>
            </a:gs>
            <a:gs pos="100000">
              <a:schemeClr val="phClr">
                <a:tint val="80000"/>
                <a:satMod val="155000"/>
              </a:schemeClr>
            </a:gs>
          </a:gsLst>
          <a:lin ang="16200000" scaled="0"/>
        </a:gradFill>
      </a:fillStyleLst>
      <a:lnStyleLst>
        <a:ln w="9525" cap="flat" cmpd="sng" algn="ctr">
          <a:solidFill>
            <a:schemeClr val="phClr">
              <a:shade val="80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outerShdw blurRad="50800" dist="38100" dir="5400000" rotWithShape="0">
              <a:srgbClr val="000000">
                <a:alpha val="43137"/>
              </a:srgbClr>
            </a:outerShdw>
          </a:effectLst>
        </a:effectStyle>
        <a:effectStyle>
          <a:effectLst>
            <a:outerShdw blurRad="50800" dist="38100" dir="5400000" rotWithShape="0">
              <a:srgbClr val="000000">
                <a:alpha val="43137"/>
              </a:srgbClr>
            </a:outerShdw>
          </a:effectLst>
        </a:effectStyle>
        <a:effectStyle>
          <a:effectLst>
            <a:outerShdw blurRad="50800" dist="38100" dir="5400000" rotWithShape="0">
              <a:srgbClr val="000000">
                <a:alpha val="43137"/>
              </a:srgbClr>
            </a:outerShdw>
          </a:effectLst>
          <a:scene3d>
            <a:camera prst="orthographicFront" fov="0">
              <a:rot lat="0" lon="0" rev="0"/>
            </a:camera>
            <a:lightRig rig="soft" dir="tl">
              <a:rot lat="0" lon="0" rev="20000000"/>
            </a:lightRig>
          </a:scene3d>
          <a:sp3d prstMaterial="matte">
            <a:bevelT w="63500" h="63500" prst="coolSlant"/>
          </a:sp3d>
        </a:effectStyle>
      </a:effectStyleLst>
      <a:bgFillStyleLst>
        <a:solidFill>
          <a:schemeClr val="phClr"/>
        </a:solidFill>
        <a:gradFill rotWithShape="1">
          <a:gsLst>
            <a:gs pos="0">
              <a:schemeClr val="phClr">
                <a:tint val="75000"/>
                <a:satMod val="400000"/>
              </a:schemeClr>
            </a:gs>
            <a:gs pos="20000">
              <a:schemeClr val="phClr">
                <a:tint val="80000"/>
                <a:satMod val="355000"/>
              </a:schemeClr>
            </a:gs>
            <a:gs pos="100000">
              <a:schemeClr val="phClr">
                <a:tint val="95000"/>
                <a:shade val="55000"/>
                <a:satMod val="355000"/>
              </a:schemeClr>
            </a:gs>
          </a:gsLst>
          <a:path path="circle">
            <a:fillToRect l="67500" t="35000" r="32500" b="65000"/>
          </a:path>
        </a:gradFill>
        <a:blipFill>
          <a:blip xmlns:r="http://schemas.openxmlformats.org/officeDocument/2006/relationships" r:embed="rId1">
            <a:duotone>
              <a:schemeClr val="phClr">
                <a:shade val="30000"/>
                <a:satMod val="120000"/>
              </a:schemeClr>
              <a:schemeClr val="phClr">
                <a:tint val="70000"/>
                <a:satMod val="250000"/>
              </a:schemeClr>
            </a:duotone>
          </a:blip>
          <a:tile tx="0" ty="0" sx="50000" sy="50000" flip="none" algn="t"/>
        </a:blipFill>
      </a:bgFillStyleLst>
    </a:fmtScheme>
  </a:themeElements>
  <a:objectDefaults/>
  <a:extraClrScheme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 dockstate="right" visibility="0" width="0" row="0">
    <wetp:webextensionref xmlns:r="http://schemas.openxmlformats.org/officeDocument/2006/relationships" r:id="rId2"/>
  </wetp:taskpane>
</wetp:taskpanes>
</file>

<file path=xl/webextensions/webextension1.xml><?xml version="1.0" encoding="utf-8"?>
<we:webextension xmlns:we="http://schemas.microsoft.com/office/webextensions/webextension/2010/11" id="{3E880A8E-59BB-49BD-ACED-54EB34F03FBE}">
  <we:reference id="wa104381504" version="1.0.0.0" store="en-US" storeType="OMEX"/>
  <we:alternateReferences>
    <we:reference id="WA104381504" version="1.0.0.0" store="WA104381504"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C9959F81-0F08-42E4-A9E8-CF44EB5F0AD0}">
  <we:reference id="81ae7f57-2760-4043-a9cb-e0d36209e808" version="1.3.0.0" store="EXCatalog" storeType="EXCatalog"/>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computergaga.com/blog/" TargetMode="External"/><Relationship Id="rId4"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15.xml"/><Relationship Id="rId5" Type="http://schemas.openxmlformats.org/officeDocument/2006/relationships/table" Target="../tables/table7.xml"/><Relationship Id="rId4"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8.bin"/><Relationship Id="rId1" Type="http://schemas.openxmlformats.org/officeDocument/2006/relationships/hyperlink" Target="https://www.wps.com/academy/how-to-check-if-excel-cells-contain-partial-text-quick-tutorials-1864506/" TargetMode="External"/></Relationships>
</file>

<file path=xl/worksheets/_rels/sheet2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7.vml"/><Relationship Id="rId1" Type="http://schemas.openxmlformats.org/officeDocument/2006/relationships/drawing" Target="../drawings/drawing22.xml"/><Relationship Id="rId5" Type="http://schemas.openxmlformats.org/officeDocument/2006/relationships/comments" Target="../comments6.xml"/><Relationship Id="rId4"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printerSettings" Target="../printerSettings/printerSettings19.bin"/><Relationship Id="rId5" Type="http://schemas.openxmlformats.org/officeDocument/2006/relationships/comments" Target="../comments7.xml"/><Relationship Id="rId4" Type="http://schemas.openxmlformats.org/officeDocument/2006/relationships/table" Target="../tables/table1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s://www.computergaga.com/blog/" TargetMode="External"/><Relationship Id="rId4" Type="http://schemas.openxmlformats.org/officeDocument/2006/relationships/table" Target="../tables/table1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9.vml"/><Relationship Id="rId7" Type="http://schemas.openxmlformats.org/officeDocument/2006/relationships/ctrlProp" Target="../ctrlProps/ctrlProp5.xml"/><Relationship Id="rId2" Type="http://schemas.openxmlformats.org/officeDocument/2006/relationships/drawing" Target="../drawings/drawing34.xml"/><Relationship Id="rId1" Type="http://schemas.openxmlformats.org/officeDocument/2006/relationships/printerSettings" Target="../printerSettings/printerSettings26.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10.vml"/><Relationship Id="rId7" Type="http://schemas.openxmlformats.org/officeDocument/2006/relationships/ctrlProp" Target="../ctrlProps/ctrlProp10.xml"/><Relationship Id="rId2" Type="http://schemas.openxmlformats.org/officeDocument/2006/relationships/drawing" Target="../drawings/drawing35.xml"/><Relationship Id="rId1" Type="http://schemas.openxmlformats.org/officeDocument/2006/relationships/printerSettings" Target="../printerSettings/printerSettings27.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exceljet.net/articles/custom-number-formats" TargetMode="External"/><Relationship Id="rId1" Type="http://schemas.openxmlformats.org/officeDocument/2006/relationships/hyperlink" Target="https://support.microsoft.com/en-au/office/number-format-codes-5026bbd6-04bc-48cd-bf33-80f18b4eae68"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1.bin"/><Relationship Id="rId1" Type="http://schemas.openxmlformats.org/officeDocument/2006/relationships/hyperlink" Target="https://www.myonlinetraininghub.com/excel-shortcuts" TargetMode="External"/><Relationship Id="rId4" Type="http://schemas.openxmlformats.org/officeDocument/2006/relationships/table" Target="../tables/table15.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hyperlink" Target="https://exceljet.net/functions" TargetMode="External"/><Relationship Id="rId2" Type="http://schemas.openxmlformats.org/officeDocument/2006/relationships/hyperlink" Target="https://support.microsoft.com/en-us/office/excel-functions-alphabetical-b3944572-255d-4efb-bb96-c6d90033e188" TargetMode="External"/><Relationship Id="rId1" Type="http://schemas.openxmlformats.org/officeDocument/2006/relationships/hyperlink" Target="https://support.microsoft.com/en-gb/office/excel-functions-translator-f262d0c0-991c-485b-89b6-32cc8d326889" TargetMode="External"/><Relationship Id="rId6" Type="http://schemas.microsoft.com/office/2007/relationships/slicer" Target="../slicers/slicer1.xml"/><Relationship Id="rId5" Type="http://schemas.openxmlformats.org/officeDocument/2006/relationships/table" Target="../tables/table16.xml"/><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36"/>
  <sheetViews>
    <sheetView showGridLines="0" topLeftCell="A4" zoomScaleNormal="100" workbookViewId="0">
      <selection activeCell="I24" sqref="I24"/>
    </sheetView>
  </sheetViews>
  <sheetFormatPr defaultColWidth="9" defaultRowHeight="14.25" x14ac:dyDescent="0.2"/>
  <cols>
    <col min="1" max="2" width="9" style="6"/>
    <col min="3" max="3" width="23.625" style="6" customWidth="1"/>
    <col min="4" max="4" width="23.875" style="6" customWidth="1"/>
    <col min="5" max="5" width="22.375" style="6" customWidth="1"/>
    <col min="6" max="6" width="23.875" style="6" customWidth="1"/>
    <col min="7" max="7" width="26" style="6" customWidth="1"/>
    <col min="8" max="16384" width="9" style="6"/>
  </cols>
  <sheetData>
    <row r="1" spans="1:9" x14ac:dyDescent="0.2">
      <c r="A1" s="346">
        <v>2</v>
      </c>
      <c r="B1" s="343" t="s">
        <v>6814</v>
      </c>
      <c r="C1" s="343" t="s">
        <v>8</v>
      </c>
      <c r="D1" s="343" t="s">
        <v>7</v>
      </c>
      <c r="E1" s="343" t="s">
        <v>6</v>
      </c>
      <c r="F1" s="343" t="s">
        <v>16</v>
      </c>
      <c r="G1" s="343" t="s">
        <v>15</v>
      </c>
    </row>
    <row r="2" spans="1:9" x14ac:dyDescent="0.2">
      <c r="B2" s="347">
        <v>1</v>
      </c>
      <c r="C2" s="344" t="s">
        <v>14</v>
      </c>
      <c r="D2" s="344" t="s">
        <v>13</v>
      </c>
      <c r="E2" s="344" t="s">
        <v>12</v>
      </c>
      <c r="F2" s="344" t="str">
        <f>VLOOKUP(B2,$B$2:$E$41,TableLangues!$A$1+1,0)</f>
        <v>Main Menu</v>
      </c>
      <c r="G2" s="344" t="str" cm="1">
        <f t="array" ref="G2">IF(AND(B2&gt;2,B2&lt;29,C2&lt;&gt;""), B2-2 &amp; " - ","") &amp; INDEX(C2:E2,langueSelected)</f>
        <v>Main Menu</v>
      </c>
    </row>
    <row r="3" spans="1:9" x14ac:dyDescent="0.2">
      <c r="B3" s="347">
        <v>2</v>
      </c>
      <c r="C3" s="344" t="s">
        <v>11</v>
      </c>
      <c r="D3" s="344" t="s">
        <v>10</v>
      </c>
      <c r="E3" s="344" t="s">
        <v>9</v>
      </c>
      <c r="F3" s="344" t="str">
        <f>VLOOKUP(B3,$B$2:$E$41,TableLangues!$A$1+1,0)</f>
        <v>Home</v>
      </c>
      <c r="G3" s="344" t="str" cm="1">
        <f t="array" ref="G3">IF(AND(B3&gt;2,B3&lt;29,C3&lt;&gt;""), B3-2 &amp; " - ","") &amp; INDEX(C3:E3,langueSelected)</f>
        <v>Home</v>
      </c>
      <c r="I3" s="345" t="s">
        <v>8</v>
      </c>
    </row>
    <row r="4" spans="1:9" x14ac:dyDescent="0.2">
      <c r="B4" s="347">
        <v>3</v>
      </c>
      <c r="C4" s="344" t="s">
        <v>8199</v>
      </c>
      <c r="D4" s="344" t="s">
        <v>8199</v>
      </c>
      <c r="E4" s="344" t="s">
        <v>8199</v>
      </c>
      <c r="F4" s="344" t="str">
        <f>VLOOKUP(B4,$B$2:$E$41,TableLangues!$A$1+1,0)</f>
        <v>Vacature</v>
      </c>
      <c r="G4" s="344" t="str" cm="1">
        <f t="array" ref="G4">IF(AND(B4&gt;2,B4&lt;29,C4&lt;&gt;""), B4-2 &amp; " - ","") &amp; INDEX(C4:E4,langueSelected)</f>
        <v>1 - Vacature</v>
      </c>
      <c r="I4" s="345" t="s">
        <v>7</v>
      </c>
    </row>
    <row r="5" spans="1:9" x14ac:dyDescent="0.2">
      <c r="B5" s="347">
        <v>4</v>
      </c>
      <c r="C5" s="344" t="s">
        <v>8197</v>
      </c>
      <c r="D5" s="344" t="s">
        <v>8197</v>
      </c>
      <c r="E5" s="344" t="s">
        <v>8198</v>
      </c>
      <c r="F5" s="344" t="str">
        <f>VLOOKUP(B5,$B$2:$E$41,TableLangues!$A$1+1,0)</f>
        <v>Personnel</v>
      </c>
      <c r="G5" s="344" t="str" cm="1">
        <f t="array" ref="G5">IF(AND(B5&gt;2,B5&lt;29,C5&lt;&gt;""), B5-2 &amp; " - ","") &amp; INDEX(C5:E5,langueSelected)</f>
        <v>2 - Personnel</v>
      </c>
      <c r="I5" s="345" t="s">
        <v>6</v>
      </c>
    </row>
    <row r="6" spans="1:9" x14ac:dyDescent="0.2">
      <c r="B6" s="347">
        <v>5</v>
      </c>
      <c r="C6" s="344" t="s">
        <v>5</v>
      </c>
      <c r="D6" s="344" t="s">
        <v>5</v>
      </c>
      <c r="E6" s="344" t="s">
        <v>5</v>
      </c>
      <c r="F6" s="344" t="str">
        <f>VLOOKUP(B6,$B$2:$E$41,TableLangues!$A$1+1,0)</f>
        <v>Garages</v>
      </c>
      <c r="G6" s="344" t="str" cm="1">
        <f t="array" ref="G6">IF(AND(B6&gt;2,B6&lt;29,C6&lt;&gt;""), B6-2 &amp; " - ","") &amp; INDEX(C6:E6,langueSelected)</f>
        <v>3 - Garages</v>
      </c>
    </row>
    <row r="7" spans="1:9" x14ac:dyDescent="0.2">
      <c r="B7" s="347">
        <v>6</v>
      </c>
      <c r="C7" s="344" t="s">
        <v>7278</v>
      </c>
      <c r="D7" s="344" t="s">
        <v>7277</v>
      </c>
      <c r="E7" s="344" t="s">
        <v>7279</v>
      </c>
      <c r="F7" s="344" t="str">
        <f>VLOOKUP(B7,$B$2:$E$41,TableLangues!$A$1+1,0)</f>
        <v>Invoices and Transactions</v>
      </c>
      <c r="G7" s="344" t="str" cm="1">
        <f t="array" ref="G7">IF(AND(B7&gt;2,B7&lt;29,C7&lt;&gt;""), B7-2 &amp; " - ","") &amp; INDEX(C7:E7,langueSelected)</f>
        <v>4 - Invoices and Transactions</v>
      </c>
    </row>
    <row r="8" spans="1:9" x14ac:dyDescent="0.2">
      <c r="B8" s="347">
        <v>7</v>
      </c>
      <c r="C8" s="344" t="s">
        <v>8569</v>
      </c>
      <c r="D8" s="344" t="s">
        <v>8570</v>
      </c>
      <c r="E8" s="344" t="s">
        <v>8571</v>
      </c>
      <c r="F8" s="344" t="str">
        <f>VLOOKUP(B8,$B$2:$E$41,TableLangues!$A$1+1,0)</f>
        <v>Look it up</v>
      </c>
      <c r="G8" s="344" t="str" cm="1">
        <f t="array" ref="G8">IF(AND(B8&gt;2,B8&lt;29,C8&lt;&gt;""), B8-2 &amp; " - ","") &amp; INDEX(C8:E8,langueSelected)</f>
        <v>5 - Look it up</v>
      </c>
    </row>
    <row r="9" spans="1:9" x14ac:dyDescent="0.2">
      <c r="B9" s="347">
        <v>8</v>
      </c>
      <c r="C9" s="344" t="s">
        <v>8033</v>
      </c>
      <c r="D9" s="344" t="s">
        <v>8031</v>
      </c>
      <c r="E9" s="344" t="s">
        <v>8032</v>
      </c>
      <c r="F9" s="344" t="str">
        <f>VLOOKUP(B9,$B$2:$E$41,TableLangues!$A$1+1,0)</f>
        <v>Student Results</v>
      </c>
      <c r="G9" s="344" t="str" cm="1">
        <f t="array" ref="G9">IF(AND(B9&gt;2,B9&lt;29,C9&lt;&gt;""), B9-2 &amp; " - ","") &amp; INDEX(C9:E9,langueSelected)</f>
        <v>6 - Student Results</v>
      </c>
    </row>
    <row r="10" spans="1:9" x14ac:dyDescent="0.2">
      <c r="B10" s="347">
        <v>9</v>
      </c>
      <c r="C10" s="344" t="s">
        <v>8209</v>
      </c>
      <c r="D10" s="344" t="s">
        <v>8210</v>
      </c>
      <c r="E10" s="344" t="s">
        <v>8211</v>
      </c>
      <c r="F10" s="344" t="str">
        <f>VLOOKUP(B10,$B$2:$E$41,TableLangues!$A$1+1,0)</f>
        <v>Doubles and comparisons</v>
      </c>
      <c r="G10" s="344" t="str" cm="1">
        <f t="array" ref="G10">IF(AND(B10&gt;2,B10&lt;29,C10&lt;&gt;""), B10-2 &amp; " - ","") &amp; INDEX(C10:E10,langueSelected)</f>
        <v>7 - Doubles and comparisons</v>
      </c>
    </row>
    <row r="11" spans="1:9" x14ac:dyDescent="0.2">
      <c r="B11" s="347">
        <v>10</v>
      </c>
      <c r="C11" s="344" t="s">
        <v>4</v>
      </c>
      <c r="D11" s="344" t="s">
        <v>3</v>
      </c>
      <c r="E11" s="344" t="s">
        <v>2</v>
      </c>
      <c r="F11" s="344" t="str">
        <f>VLOOKUP(B11,$B$2:$E$41,TableLangues!$A$1+1,0)</f>
        <v>Cumulated Results</v>
      </c>
      <c r="G11" s="344" t="str" cm="1">
        <f t="array" ref="G11">IF(AND(B11&gt;2,B11&lt;29,C11&lt;&gt;""), B11-2 &amp; " - ","") &amp; INDEX(C11:E11,langueSelected)</f>
        <v>8 - Cumulated Results</v>
      </c>
    </row>
    <row r="12" spans="1:9" x14ac:dyDescent="0.2">
      <c r="B12" s="347">
        <v>11</v>
      </c>
      <c r="C12" s="344" t="s">
        <v>2432</v>
      </c>
      <c r="D12" s="344" t="s">
        <v>2430</v>
      </c>
      <c r="E12" s="344" t="s">
        <v>2431</v>
      </c>
      <c r="F12" s="344" t="str">
        <f>VLOOKUP(B12,$B$2:$E$41,TableLangues!$A$1+1,0)</f>
        <v>Ranking</v>
      </c>
      <c r="G12" s="344" t="str" cm="1">
        <f t="array" ref="G12">IF(AND(B12&gt;2,B12&lt;29,C12&lt;&gt;""), B12-2 &amp; " - ","") &amp; INDEX(C12:E12,langueSelected)</f>
        <v>9 - Ranking</v>
      </c>
    </row>
    <row r="13" spans="1:9" x14ac:dyDescent="0.2">
      <c r="B13" s="347">
        <v>12</v>
      </c>
      <c r="C13" s="344" t="s">
        <v>8506</v>
      </c>
      <c r="D13" s="344" t="s">
        <v>8507</v>
      </c>
      <c r="E13" s="344" t="s">
        <v>8508</v>
      </c>
      <c r="F13" s="344" t="str">
        <f>VLOOKUP(B13,$B$2:$E$41,TableLangues!$A$1+1,0)</f>
        <v>Boni and Salaries</v>
      </c>
      <c r="G13" s="344" t="str" cm="1">
        <f t="array" ref="G13">IF(AND(B13&gt;2,B13&lt;29,C13&lt;&gt;""), B13-2 &amp; " - ","") &amp; INDEX(C13:E13,langueSelected)</f>
        <v>10 - Boni and Salaries</v>
      </c>
    </row>
    <row r="14" spans="1:9" x14ac:dyDescent="0.2">
      <c r="B14" s="347">
        <v>13</v>
      </c>
      <c r="C14" s="344" t="s">
        <v>8525</v>
      </c>
      <c r="D14" s="344" t="s">
        <v>8525</v>
      </c>
      <c r="E14" s="344" t="s">
        <v>8526</v>
      </c>
      <c r="F14" s="344" t="str">
        <f>VLOOKUP(B14,$B$2:$E$41,TableLangues!$A$1+1,0)</f>
        <v>Patterns</v>
      </c>
      <c r="G14" s="344" t="str" cm="1">
        <f t="array" ref="G14">IF(AND(B14&gt;2,B14&lt;29,C14&lt;&gt;""), B14-2 &amp; " - ","") &amp; INDEX(C14:E14,langueSelected)</f>
        <v>11 - Patterns</v>
      </c>
    </row>
    <row r="15" spans="1:9" x14ac:dyDescent="0.2">
      <c r="B15" s="347">
        <v>14</v>
      </c>
      <c r="C15" s="344" t="s">
        <v>8516</v>
      </c>
      <c r="D15" s="344" t="s">
        <v>8517</v>
      </c>
      <c r="E15" s="344" t="s">
        <v>8518</v>
      </c>
      <c r="F15" s="344" t="str">
        <f>VLOOKUP(B15,$B$2:$E$41,TableLangues!$A$1+1,0)</f>
        <v>Expenses</v>
      </c>
      <c r="G15" s="344" t="str" cm="1">
        <f t="array" ref="G15">IF(AND(B15&gt;2,B15&lt;29,C15&lt;&gt;""), B15-2 &amp; " - ","") &amp; INDEX(C15:E15,langueSelected)</f>
        <v>12 - Expenses</v>
      </c>
    </row>
    <row r="16" spans="1:9" x14ac:dyDescent="0.2">
      <c r="B16" s="347">
        <v>15</v>
      </c>
      <c r="C16" s="344" t="s">
        <v>8520</v>
      </c>
      <c r="D16" s="344" t="s">
        <v>8521</v>
      </c>
      <c r="E16" s="344" t="s">
        <v>8522</v>
      </c>
      <c r="F16" s="344" t="str">
        <f>VLOOKUP(B16,$B$2:$E$41,TableLangues!$A$1+1,0)</f>
        <v>Sorting</v>
      </c>
      <c r="G16" s="344" t="str" cm="1">
        <f t="array" ref="G16">IF(AND(B16&gt;2,B16&lt;29,C16&lt;&gt;""), B16-2 &amp; " - ","") &amp; INDEX(C16:E16,langueSelected)</f>
        <v>13 - Sorting</v>
      </c>
    </row>
    <row r="17" spans="2:7" x14ac:dyDescent="0.2">
      <c r="B17" s="347">
        <v>16</v>
      </c>
      <c r="C17" s="344" t="s">
        <v>8572</v>
      </c>
      <c r="D17" s="344" t="s">
        <v>8572</v>
      </c>
      <c r="E17" s="344" t="s">
        <v>8573</v>
      </c>
      <c r="F17" s="344" t="str">
        <f>VLOOKUP(B17,$B$2:$E$41,TableLangues!$A$1+1,0)</f>
        <v>Conditions</v>
      </c>
      <c r="G17" s="344" t="str" cm="1">
        <f t="array" ref="G17">IF(AND(B17&gt;2,B17&lt;29,C17&lt;&gt;""), B17-2 &amp; " - ","") &amp; INDEX(C17:E17,langueSelected)</f>
        <v>14 - Conditions</v>
      </c>
    </row>
    <row r="18" spans="2:7" x14ac:dyDescent="0.2">
      <c r="B18" s="347">
        <v>17</v>
      </c>
      <c r="C18" s="344" t="s">
        <v>8582</v>
      </c>
      <c r="D18" s="344" t="s">
        <v>8582</v>
      </c>
      <c r="E18" s="344" t="s">
        <v>8582</v>
      </c>
      <c r="F18" s="344" t="str">
        <f>VLOOKUP(B18,$B$2:$E$41,TableLangues!$A$1+1,0)</f>
        <v>Lambda</v>
      </c>
      <c r="G18" s="344" t="str" cm="1">
        <f t="array" ref="G18">IF(AND(B18&gt;2,B18&lt;29,C18&lt;&gt;""), B18-2 &amp; " - ","") &amp; INDEX(C18:E18,langueSelected)</f>
        <v>15 - Lambda</v>
      </c>
    </row>
    <row r="19" spans="2:7" x14ac:dyDescent="0.2">
      <c r="B19" s="347">
        <v>18</v>
      </c>
      <c r="C19" s="344" t="s">
        <v>8607</v>
      </c>
      <c r="D19" s="344" t="s">
        <v>8606</v>
      </c>
      <c r="E19" s="344" t="s">
        <v>8608</v>
      </c>
      <c r="F19" s="344" t="str">
        <f>VLOOKUP(B19,$B$2:$E$41,TableLangues!$A$1+1,0)</f>
        <v>Randomly</v>
      </c>
      <c r="G19" s="344" t="str" cm="1">
        <f t="array" ref="G19">IF(AND(B19&gt;2,B19&lt;29,C19&lt;&gt;""), B19-2 &amp; " - ","") &amp; INDEX(C19:E19,langueSelected)</f>
        <v>16 - Randomly</v>
      </c>
    </row>
    <row r="20" spans="2:7" x14ac:dyDescent="0.2">
      <c r="B20" s="347">
        <v>19</v>
      </c>
      <c r="C20" s="344" t="s">
        <v>7158</v>
      </c>
      <c r="D20" s="344" t="s">
        <v>7159</v>
      </c>
      <c r="E20" s="344" t="s">
        <v>7160</v>
      </c>
      <c r="F20" s="344" t="str">
        <f>VLOOKUP(B20,$B$2:$E$41,TableLangues!$A$1+1,0)</f>
        <v>Transposing</v>
      </c>
      <c r="G20" s="344" t="str" cm="1">
        <f t="array" ref="G20">IF(AND(B20&gt;2,B20&lt;29,C20&lt;&gt;""), B20-2 &amp; " - ","") &amp; INDEX(C20:E20,langueSelected)</f>
        <v>17 - Transposing</v>
      </c>
    </row>
    <row r="21" spans="2:7" x14ac:dyDescent="0.2">
      <c r="B21" s="347">
        <v>20</v>
      </c>
      <c r="C21" s="344" t="s">
        <v>8637</v>
      </c>
      <c r="D21" s="344" t="s">
        <v>8637</v>
      </c>
      <c r="E21" s="344" t="s">
        <v>8637</v>
      </c>
      <c r="F21" s="344" t="str">
        <f>VLOOKUP(B21,$B$2:$E$41,TableLangues!$A$1+1,0)</f>
        <v>Dynamic Arrays</v>
      </c>
      <c r="G21" s="344" t="str" cm="1">
        <f t="array" ref="G21">IF(AND(B21&gt;2,B21&lt;29,C21&lt;&gt;""), B21-2 &amp; " - ","") &amp; INDEX(C21:E21,langueSelected)</f>
        <v>18 - Dynamic Arrays</v>
      </c>
    </row>
    <row r="22" spans="2:7" x14ac:dyDescent="0.2">
      <c r="B22" s="347">
        <v>21</v>
      </c>
      <c r="C22" s="344" t="s">
        <v>8519</v>
      </c>
      <c r="D22" s="344" t="s">
        <v>8519</v>
      </c>
      <c r="E22" s="344" t="s">
        <v>8519</v>
      </c>
      <c r="F22" s="344" t="str">
        <f>VLOOKUP(B22,$B$2:$E$41,TableLangues!$A$1+1,0)</f>
        <v>Problem solving</v>
      </c>
      <c r="G22" s="344" t="str" cm="1">
        <f t="array" ref="G22">IF(AND(B22&gt;2,B22&lt;29,C22&lt;&gt;""), B22-2 &amp; " - ","") &amp; INDEX(C22:E22,langueSelected)</f>
        <v>19 - Problem solving</v>
      </c>
    </row>
    <row r="23" spans="2:7" x14ac:dyDescent="0.2">
      <c r="B23" s="347">
        <v>22</v>
      </c>
      <c r="C23" s="344" t="s">
        <v>2719</v>
      </c>
      <c r="D23" s="344" t="s">
        <v>2720</v>
      </c>
      <c r="E23" s="344" t="s">
        <v>8527</v>
      </c>
      <c r="F23" s="344" t="str">
        <f>VLOOKUP(B23,$B$2:$E$41,TableLangues!$A$1+1,0)</f>
        <v>Payments</v>
      </c>
      <c r="G23" s="344" t="str" cm="1">
        <f t="array" ref="G23">IF(AND(B23&gt;2,B23&lt;29,C23&lt;&gt;""), B23-2 &amp; " - ","") &amp; INDEX(C23:E23,langueSelected)</f>
        <v>20 - Payments</v>
      </c>
    </row>
    <row r="24" spans="2:7" x14ac:dyDescent="0.2">
      <c r="B24" s="347">
        <v>23</v>
      </c>
      <c r="C24" s="344" t="s">
        <v>8037</v>
      </c>
      <c r="D24" s="344" t="s">
        <v>8037</v>
      </c>
      <c r="E24" s="344" t="s">
        <v>8037</v>
      </c>
      <c r="F24" s="344" t="str">
        <f>VLOOKUP(B24,$B$2:$E$41,TableLangues!$A$1+1,0)</f>
        <v>Timings</v>
      </c>
      <c r="G24" s="344" t="str" cm="1">
        <f t="array" ref="G24">IF(AND(B24&gt;2,B24&lt;29,C24&lt;&gt;""), B24-2 &amp; " - ","") &amp; INDEX(C24:E24,langueSelected)</f>
        <v>21 - Timings</v>
      </c>
    </row>
    <row r="25" spans="2:7" x14ac:dyDescent="0.2">
      <c r="B25" s="347">
        <v>24</v>
      </c>
      <c r="C25" s="344" t="s">
        <v>8786</v>
      </c>
      <c r="D25" s="344" t="s">
        <v>8787</v>
      </c>
      <c r="E25" s="344" t="s">
        <v>8788</v>
      </c>
      <c r="F25" s="344" t="str">
        <f>VLOOKUP(B25,$B$2:$E$41,TableLangues!$A$1+1,0)</f>
        <v>Conditionnal summing</v>
      </c>
      <c r="G25" s="344" t="str" cm="1">
        <f t="array" ref="G25">IF(AND(B25&gt;2,B25&lt;29,C25&lt;&gt;""), B25-2 &amp; " - ","") &amp; INDEX(C25:E25,langueSelected)</f>
        <v>22 - Conditionnal summing</v>
      </c>
    </row>
    <row r="26" spans="2:7" x14ac:dyDescent="0.2">
      <c r="B26" s="347">
        <v>25</v>
      </c>
      <c r="C26" s="344" t="s">
        <v>8795</v>
      </c>
      <c r="D26" s="344" t="s">
        <v>8796</v>
      </c>
      <c r="E26" s="344" t="s">
        <v>8797</v>
      </c>
      <c r="F26" s="344" t="str">
        <f>VLOOKUP(B26,$B$2:$E$41,TableLangues!$A$1+1,0)</f>
        <v>Sales beverages</v>
      </c>
      <c r="G26" s="344" t="str" cm="1">
        <f t="array" ref="G26">IF(AND(B26&gt;2,B26&lt;29,C26&lt;&gt;""), B26-2 &amp; " - ","") &amp; INDEX(C26:E26,langueSelected)</f>
        <v>23 - Sales beverages</v>
      </c>
    </row>
    <row r="27" spans="2:7" x14ac:dyDescent="0.2">
      <c r="B27" s="347">
        <v>26</v>
      </c>
      <c r="C27" s="344" t="s">
        <v>8826</v>
      </c>
      <c r="D27" s="344" t="s">
        <v>8827</v>
      </c>
      <c r="E27" s="344" t="s">
        <v>8828</v>
      </c>
      <c r="F27" s="344" t="str">
        <f>VLOOKUP(B27,$B$2:$E$41,TableLangues!$A$1+1,0)</f>
        <v>Formatting conditions</v>
      </c>
      <c r="G27" s="344" t="str" cm="1">
        <f t="array" ref="G27">IF(AND(B27&gt;2,B27&lt;29,C27&lt;&gt;""), B27-2 &amp; " - ","") &amp; INDEX(C27:E27,langueSelected)</f>
        <v>24 - Formatting conditions</v>
      </c>
    </row>
    <row r="28" spans="2:7" x14ac:dyDescent="0.2">
      <c r="B28" s="347">
        <v>27</v>
      </c>
      <c r="C28" s="344" t="s">
        <v>8890</v>
      </c>
      <c r="D28" s="344" t="s">
        <v>8890</v>
      </c>
      <c r="E28" s="344" t="s">
        <v>8890</v>
      </c>
      <c r="F28" s="344" t="str">
        <f>VLOOKUP(B28,$B$2:$E$41,TableLangues!$A$1+1,0)</f>
        <v>Dummy data</v>
      </c>
      <c r="G28" s="344" t="str" cm="1">
        <f t="array" ref="G28">IF(AND(B28&gt;2,B28&lt;29,C28&lt;&gt;""), B28-2 &amp; " - ","") &amp; INDEX(C28:E28,langueSelected)</f>
        <v>25 - Dummy data</v>
      </c>
    </row>
    <row r="29" spans="2:7" x14ac:dyDescent="0.2">
      <c r="B29" s="347">
        <v>28</v>
      </c>
      <c r="C29" s="344" t="s">
        <v>8891</v>
      </c>
      <c r="D29" s="344" t="s">
        <v>8892</v>
      </c>
      <c r="E29" s="344" t="s">
        <v>8893</v>
      </c>
      <c r="F29" s="344" t="str">
        <f>VLOOKUP(B29,$B$2:$E$41,TableLangues!$A$1+1,0)</f>
        <v>Interactive Data</v>
      </c>
      <c r="G29" s="344" t="str" cm="1">
        <f t="array" ref="G29">IF(AND(B29&gt;2,B29&lt;29,C29&lt;&gt;""), B29-2 &amp; " - ","") &amp; INDEX(C29:E29,langueSelected)</f>
        <v>26 - Interactive Data</v>
      </c>
    </row>
    <row r="30" spans="2:7" x14ac:dyDescent="0.2">
      <c r="B30" s="347">
        <v>29</v>
      </c>
      <c r="C30" s="344" t="s">
        <v>2710</v>
      </c>
      <c r="D30" s="344" t="s">
        <v>2711</v>
      </c>
      <c r="E30" s="344" t="s">
        <v>2712</v>
      </c>
      <c r="F30" s="344" t="str">
        <f>VLOOKUP(B30,$B$2:$E$41,TableLangues!$A$1+1,0)</f>
        <v>Shortcut keys</v>
      </c>
      <c r="G30" s="344" t="str" cm="1">
        <f t="array" ref="G30">IF(AND(B30&gt;2,B30&lt;29,C30&lt;&gt;""), B30-2 &amp; " - ","") &amp; INDEX(C30:E30,langueSelected)</f>
        <v>Shortcut keys</v>
      </c>
    </row>
    <row r="31" spans="2:7" x14ac:dyDescent="0.2">
      <c r="B31" s="347">
        <v>30</v>
      </c>
      <c r="C31" s="344" t="s">
        <v>8533</v>
      </c>
      <c r="D31" s="344" t="s">
        <v>8532</v>
      </c>
      <c r="E31" s="344" t="s">
        <v>8531</v>
      </c>
      <c r="F31" s="344" t="str">
        <f>VLOOKUP(B31,$B$2:$E$41,TableLangues!$A$1+1,0)</f>
        <v>Table sales data</v>
      </c>
      <c r="G31" s="344" t="str" cm="1">
        <f t="array" ref="G31">IF(AND(B31&gt;2,B31&lt;29,C31&lt;&gt;""), B31-2 &amp; " - ","") &amp; INDEX(C31:E31,langueSelected)</f>
        <v>Table sales data</v>
      </c>
    </row>
    <row r="32" spans="2:7" x14ac:dyDescent="0.2">
      <c r="B32" s="347">
        <v>31</v>
      </c>
      <c r="C32" s="344" t="s">
        <v>8438</v>
      </c>
      <c r="D32" s="344" t="s">
        <v>8439</v>
      </c>
      <c r="E32" s="344" t="s">
        <v>8440</v>
      </c>
      <c r="F32" s="344" t="str">
        <f>VLOOKUP(B32,$B$2:$E$41,TableLangues!$A$1+1,0)</f>
        <v>Functions Guides</v>
      </c>
      <c r="G32" s="344" t="str" cm="1">
        <f t="array" ref="G32">IF(AND(B32&gt;2,B32&lt;29,C32&lt;&gt;""), B32-2 &amp; " - ","") &amp; INDEX(C32:E32,langueSelected)</f>
        <v>Functions Guides</v>
      </c>
    </row>
    <row r="33" spans="2:7" x14ac:dyDescent="0.2">
      <c r="B33" s="347">
        <v>32</v>
      </c>
      <c r="C33" s="344" t="s">
        <v>1</v>
      </c>
      <c r="D33" s="344" t="s">
        <v>2709</v>
      </c>
      <c r="E33" s="344" t="s">
        <v>0</v>
      </c>
      <c r="F33" s="344" t="str">
        <f>VLOOKUP(B33,$B$2:$E$41,TableLangues!$A$1+1,0)</f>
        <v>Codes Formatting</v>
      </c>
      <c r="G33" s="344" t="str" cm="1">
        <f t="array" ref="G33">IF(AND(B33&gt;2,B33&lt;29,C33&lt;&gt;""), B33-2 &amp; " - ","") &amp; INDEX(C33:E33,langueSelected)</f>
        <v>Codes Formatting</v>
      </c>
    </row>
    <row r="34" spans="2:7" x14ac:dyDescent="0.2">
      <c r="B34" s="347">
        <v>33</v>
      </c>
      <c r="C34" s="344" t="s">
        <v>2456</v>
      </c>
      <c r="D34" s="344" t="s">
        <v>2438</v>
      </c>
      <c r="E34" s="344" t="s">
        <v>2455</v>
      </c>
      <c r="F34" s="344" t="str">
        <f>VLOOKUP(B34,$B$2:$E$41,TableLangues!$A$1+1,0)</f>
        <v>Complex Text Functions</v>
      </c>
      <c r="G34" s="344" t="str" cm="1">
        <f t="array" ref="G34">IF(AND(B34&gt;2,B34&lt;29,C34&lt;&gt;""), B34-2 &amp; " - ","") &amp; INDEX(C34:E34,langueSelected)</f>
        <v>Complex Text Functions</v>
      </c>
    </row>
    <row r="35" spans="2:7" x14ac:dyDescent="0.2">
      <c r="B35" s="347">
        <v>34</v>
      </c>
      <c r="C35" s="344" t="s">
        <v>8483</v>
      </c>
      <c r="D35" s="344" t="s">
        <v>8484</v>
      </c>
      <c r="E35" s="344" t="s">
        <v>8485</v>
      </c>
      <c r="F35" s="344" t="str">
        <f>VLOOKUP(B35,$B$2:$E$41,TableLangues!$A$1+1,0)</f>
        <v>In the margin</v>
      </c>
      <c r="G35" s="344" t="str" cm="1">
        <f t="array" ref="G35">IF(AND(B35&gt;2,B35&lt;29,C35&lt;&gt;""), B35-2 &amp; " - ","") &amp; INDEX(C35:E35,langueSelected)</f>
        <v>In the margin</v>
      </c>
    </row>
    <row r="36" spans="2:7" x14ac:dyDescent="0.2">
      <c r="B36" s="347">
        <v>35</v>
      </c>
      <c r="C36" s="344" t="s">
        <v>8609</v>
      </c>
      <c r="D36" s="344" t="s">
        <v>8610</v>
      </c>
      <c r="E36" s="344" t="s">
        <v>8610</v>
      </c>
      <c r="F36" s="344" t="str">
        <f>VLOOKUP(B36,$B$2:$E$41,TableLangues!$A$1+1,0)</f>
        <v>Internet links</v>
      </c>
      <c r="G36" s="344" t="str" cm="1">
        <f t="array" ref="G36">IF(AND(B36&gt;2,B36&lt;29,C36&lt;&gt;""), B36-2 &amp; " - ","") &amp; INDEX(C36:E36,langueSelected)</f>
        <v>Internet links</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B1:M42"/>
  <sheetViews>
    <sheetView showGridLines="0" zoomScaleNormal="100" workbookViewId="0">
      <selection activeCell="E6" sqref="E6"/>
    </sheetView>
  </sheetViews>
  <sheetFormatPr defaultColWidth="9" defaultRowHeight="14.25" x14ac:dyDescent="0.2"/>
  <cols>
    <col min="1" max="1" width="10.25" style="6" customWidth="1"/>
    <col min="2" max="2" width="30" style="6" customWidth="1"/>
    <col min="3" max="3" width="9" style="6"/>
    <col min="4" max="4" width="5.5" style="6" customWidth="1"/>
    <col min="5" max="5" width="14.25" style="6" bestFit="1" customWidth="1"/>
    <col min="6" max="6" width="19.25" style="6" customWidth="1"/>
    <col min="7" max="7" width="12.875" style="6" bestFit="1" customWidth="1"/>
    <col min="8" max="8" width="14.5" style="6" bestFit="1" customWidth="1"/>
    <col min="9" max="9" width="9" style="6"/>
    <col min="10" max="10" width="14.5" style="6" bestFit="1" customWidth="1"/>
    <col min="11" max="11" width="12.75" style="6" customWidth="1"/>
    <col min="12" max="12" width="16" style="6" bestFit="1" customWidth="1"/>
    <col min="13" max="16384" width="9" style="6"/>
  </cols>
  <sheetData>
    <row r="1" spans="2:10" ht="33" customHeight="1" x14ac:dyDescent="0.2"/>
    <row r="5" spans="2:10" ht="15" x14ac:dyDescent="0.2">
      <c r="B5" s="8" t="s">
        <v>2377</v>
      </c>
      <c r="C5" s="9" t="s">
        <v>47</v>
      </c>
      <c r="D5" s="9" t="s">
        <v>45</v>
      </c>
      <c r="E5" s="10" t="s">
        <v>8214</v>
      </c>
      <c r="F5" s="10" t="s">
        <v>2430</v>
      </c>
      <c r="G5" s="10" t="s">
        <v>8215</v>
      </c>
      <c r="H5" s="10" t="s">
        <v>8216</v>
      </c>
      <c r="J5" s="10" t="s">
        <v>2429</v>
      </c>
    </row>
    <row r="6" spans="2:10" ht="15" x14ac:dyDescent="0.2">
      <c r="B6" s="11" t="s">
        <v>35</v>
      </c>
      <c r="C6" s="12" t="s">
        <v>17</v>
      </c>
      <c r="D6" s="12">
        <v>33</v>
      </c>
      <c r="E6" s="12"/>
      <c r="F6" s="12"/>
      <c r="G6" s="12"/>
      <c r="H6" s="12"/>
      <c r="J6" s="6">
        <f>MEDIAN($D$6:$D$30)</f>
        <v>33</v>
      </c>
    </row>
    <row r="7" spans="2:10" ht="15" x14ac:dyDescent="0.2">
      <c r="B7" s="11" t="s">
        <v>20</v>
      </c>
      <c r="C7" s="12" t="s">
        <v>17</v>
      </c>
      <c r="D7" s="12">
        <v>33</v>
      </c>
      <c r="E7" s="12"/>
      <c r="F7" s="12"/>
      <c r="G7" s="12"/>
      <c r="H7" s="12"/>
    </row>
    <row r="8" spans="2:10" ht="15" x14ac:dyDescent="0.2">
      <c r="B8" s="11" t="s">
        <v>36</v>
      </c>
      <c r="C8" s="12" t="s">
        <v>17</v>
      </c>
      <c r="D8" s="12">
        <v>32</v>
      </c>
      <c r="E8" s="12"/>
      <c r="F8" s="12"/>
      <c r="G8" s="12"/>
      <c r="H8" s="12"/>
    </row>
    <row r="9" spans="2:10" ht="15" x14ac:dyDescent="0.2">
      <c r="B9" s="11" t="s">
        <v>32</v>
      </c>
      <c r="C9" s="12" t="s">
        <v>21</v>
      </c>
      <c r="D9" s="12">
        <v>34</v>
      </c>
      <c r="E9" s="12"/>
      <c r="F9" s="12"/>
      <c r="G9" s="12"/>
      <c r="H9" s="12"/>
    </row>
    <row r="10" spans="2:10" ht="15" x14ac:dyDescent="0.2">
      <c r="B10" s="11" t="s">
        <v>43</v>
      </c>
      <c r="C10" s="12" t="s">
        <v>17</v>
      </c>
      <c r="D10" s="12">
        <v>31</v>
      </c>
      <c r="E10" s="12"/>
      <c r="F10" s="12"/>
      <c r="G10" s="12"/>
      <c r="H10" s="12"/>
    </row>
    <row r="11" spans="2:10" ht="15" x14ac:dyDescent="0.2">
      <c r="B11" s="11" t="s">
        <v>42</v>
      </c>
      <c r="C11" s="12" t="s">
        <v>17</v>
      </c>
      <c r="D11" s="12">
        <v>35</v>
      </c>
      <c r="E11" s="12"/>
      <c r="F11" s="12"/>
      <c r="G11" s="12"/>
      <c r="H11" s="12"/>
    </row>
    <row r="12" spans="2:10" ht="15" x14ac:dyDescent="0.2">
      <c r="B12" s="11" t="s">
        <v>33</v>
      </c>
      <c r="C12" s="12" t="s">
        <v>17</v>
      </c>
      <c r="D12" s="12">
        <v>31</v>
      </c>
      <c r="E12" s="12"/>
      <c r="F12" s="12"/>
      <c r="G12" s="12"/>
      <c r="H12" s="12"/>
    </row>
    <row r="13" spans="2:10" ht="15" x14ac:dyDescent="0.2">
      <c r="B13" s="11" t="s">
        <v>22</v>
      </c>
      <c r="C13" s="12" t="s">
        <v>21</v>
      </c>
      <c r="D13" s="12">
        <v>35</v>
      </c>
      <c r="E13" s="12"/>
      <c r="F13" s="12"/>
      <c r="G13" s="12"/>
      <c r="H13" s="12"/>
    </row>
    <row r="14" spans="2:10" ht="15" x14ac:dyDescent="0.2">
      <c r="B14" s="11" t="s">
        <v>37</v>
      </c>
      <c r="C14" s="12" t="s">
        <v>17</v>
      </c>
      <c r="D14" s="12">
        <v>30</v>
      </c>
      <c r="E14" s="12"/>
      <c r="F14" s="12"/>
      <c r="G14" s="12"/>
      <c r="H14" s="12"/>
    </row>
    <row r="15" spans="2:10" ht="15" x14ac:dyDescent="0.2">
      <c r="B15" s="11" t="s">
        <v>38</v>
      </c>
      <c r="C15" s="12" t="s">
        <v>21</v>
      </c>
      <c r="D15" s="12">
        <v>37</v>
      </c>
      <c r="E15" s="12"/>
      <c r="F15" s="12"/>
      <c r="G15" s="12"/>
      <c r="H15" s="12"/>
    </row>
    <row r="16" spans="2:10" ht="15" x14ac:dyDescent="0.2">
      <c r="B16" s="11" t="s">
        <v>24</v>
      </c>
      <c r="C16" s="12" t="s">
        <v>21</v>
      </c>
      <c r="D16" s="12">
        <v>29</v>
      </c>
      <c r="E16" s="12"/>
      <c r="F16" s="12"/>
      <c r="G16" s="12"/>
      <c r="H16" s="12"/>
    </row>
    <row r="17" spans="2:8" ht="15" x14ac:dyDescent="0.2">
      <c r="B17" s="11" t="s">
        <v>39</v>
      </c>
      <c r="C17" s="12" t="s">
        <v>21</v>
      </c>
      <c r="D17" s="12">
        <v>28</v>
      </c>
      <c r="E17" s="12"/>
      <c r="F17" s="12"/>
      <c r="G17" s="12"/>
      <c r="H17" s="12"/>
    </row>
    <row r="18" spans="2:8" ht="15" x14ac:dyDescent="0.2">
      <c r="B18" s="11" t="s">
        <v>30</v>
      </c>
      <c r="C18" s="12" t="s">
        <v>17</v>
      </c>
      <c r="D18" s="12">
        <v>28</v>
      </c>
      <c r="E18" s="12"/>
      <c r="F18" s="12"/>
      <c r="G18" s="12"/>
      <c r="H18" s="12"/>
    </row>
    <row r="19" spans="2:8" ht="15" x14ac:dyDescent="0.2">
      <c r="B19" s="11" t="s">
        <v>41</v>
      </c>
      <c r="C19" s="12" t="s">
        <v>21</v>
      </c>
      <c r="D19" s="12">
        <v>27</v>
      </c>
      <c r="E19" s="12"/>
      <c r="F19" s="12"/>
      <c r="G19" s="12"/>
      <c r="H19" s="12"/>
    </row>
    <row r="20" spans="2:8" ht="15" x14ac:dyDescent="0.2">
      <c r="B20" s="11" t="s">
        <v>40</v>
      </c>
      <c r="C20" s="12" t="s">
        <v>17</v>
      </c>
      <c r="D20" s="12">
        <v>39</v>
      </c>
      <c r="E20" s="12"/>
      <c r="F20" s="12"/>
      <c r="G20" s="12"/>
      <c r="H20" s="12"/>
    </row>
    <row r="21" spans="2:8" ht="15" x14ac:dyDescent="0.2">
      <c r="B21" s="11" t="s">
        <v>31</v>
      </c>
      <c r="C21" s="12" t="s">
        <v>17</v>
      </c>
      <c r="D21" s="12">
        <v>39</v>
      </c>
      <c r="E21" s="12"/>
      <c r="F21" s="12"/>
      <c r="G21" s="12"/>
      <c r="H21" s="12"/>
    </row>
    <row r="22" spans="2:8" ht="15" x14ac:dyDescent="0.2">
      <c r="B22" s="11" t="s">
        <v>26</v>
      </c>
      <c r="C22" s="12" t="s">
        <v>21</v>
      </c>
      <c r="D22" s="12">
        <v>26</v>
      </c>
      <c r="E22" s="12"/>
      <c r="F22" s="12"/>
      <c r="G22" s="12"/>
      <c r="H22" s="12"/>
    </row>
    <row r="23" spans="2:8" ht="15" x14ac:dyDescent="0.2">
      <c r="B23" s="11" t="s">
        <v>19</v>
      </c>
      <c r="C23" s="12" t="s">
        <v>17</v>
      </c>
      <c r="D23" s="12">
        <v>26</v>
      </c>
      <c r="E23" s="12"/>
      <c r="F23" s="12"/>
      <c r="G23" s="12"/>
      <c r="H23" s="12"/>
    </row>
    <row r="24" spans="2:8" ht="15" x14ac:dyDescent="0.2">
      <c r="B24" s="11" t="s">
        <v>28</v>
      </c>
      <c r="C24" s="12" t="s">
        <v>17</v>
      </c>
      <c r="D24" s="12">
        <v>42</v>
      </c>
      <c r="E24" s="12"/>
      <c r="F24" s="12"/>
      <c r="G24" s="12"/>
      <c r="H24" s="12"/>
    </row>
    <row r="25" spans="2:8" ht="15" x14ac:dyDescent="0.2">
      <c r="B25" s="11" t="s">
        <v>27</v>
      </c>
      <c r="C25" s="12" t="s">
        <v>21</v>
      </c>
      <c r="D25" s="12">
        <v>42</v>
      </c>
      <c r="E25" s="12"/>
      <c r="F25" s="12"/>
      <c r="G25" s="12"/>
      <c r="H25" s="12"/>
    </row>
    <row r="26" spans="2:8" ht="15" x14ac:dyDescent="0.2">
      <c r="B26" s="11" t="s">
        <v>23</v>
      </c>
      <c r="C26" s="12" t="s">
        <v>17</v>
      </c>
      <c r="D26" s="12">
        <v>24</v>
      </c>
      <c r="E26" s="12"/>
      <c r="F26" s="12"/>
      <c r="G26" s="12"/>
      <c r="H26" s="12"/>
    </row>
    <row r="27" spans="2:8" ht="15" x14ac:dyDescent="0.2">
      <c r="B27" s="11" t="s">
        <v>18</v>
      </c>
      <c r="C27" s="12" t="s">
        <v>17</v>
      </c>
      <c r="D27" s="12">
        <v>24</v>
      </c>
      <c r="E27" s="12"/>
      <c r="F27" s="12"/>
      <c r="G27" s="12"/>
      <c r="H27" s="12"/>
    </row>
    <row r="28" spans="2:8" ht="15" x14ac:dyDescent="0.2">
      <c r="B28" s="11" t="s">
        <v>25</v>
      </c>
      <c r="C28" s="12" t="s">
        <v>21</v>
      </c>
      <c r="D28" s="12">
        <v>44</v>
      </c>
      <c r="E28" s="12"/>
      <c r="F28" s="12"/>
      <c r="G28" s="12"/>
      <c r="H28" s="12"/>
    </row>
    <row r="29" spans="2:8" ht="15" x14ac:dyDescent="0.2">
      <c r="B29" s="11" t="s">
        <v>34</v>
      </c>
      <c r="C29" s="12" t="s">
        <v>17</v>
      </c>
      <c r="D29" s="12">
        <v>47</v>
      </c>
      <c r="E29" s="12"/>
      <c r="F29" s="12"/>
      <c r="G29" s="12"/>
      <c r="H29" s="12"/>
    </row>
    <row r="30" spans="2:8" ht="15" x14ac:dyDescent="0.2">
      <c r="B30" s="11" t="s">
        <v>29</v>
      </c>
      <c r="C30" s="12" t="s">
        <v>17</v>
      </c>
      <c r="D30" s="12">
        <v>123</v>
      </c>
      <c r="E30" s="12"/>
      <c r="F30" s="12"/>
      <c r="G30" s="12"/>
      <c r="H30" s="12"/>
    </row>
    <row r="35" spans="2:13" ht="15.75" thickBot="1" x14ac:dyDescent="0.3">
      <c r="B35" s="93"/>
      <c r="C35" s="93"/>
      <c r="D35" s="93"/>
      <c r="E35" s="415" t="s">
        <v>7051</v>
      </c>
      <c r="F35" s="415"/>
      <c r="G35" s="415"/>
      <c r="H35" s="415"/>
      <c r="I35" s="415"/>
      <c r="J35" s="415"/>
      <c r="K35" s="93"/>
      <c r="L35" s="415" t="s">
        <v>7052</v>
      </c>
      <c r="M35" s="415"/>
    </row>
    <row r="36" spans="2:13" ht="17.25" thickBot="1" x14ac:dyDescent="0.3">
      <c r="B36" s="416" t="s">
        <v>7038</v>
      </c>
      <c r="C36" s="416"/>
      <c r="D36" s="416"/>
      <c r="E36" s="96" t="s">
        <v>7039</v>
      </c>
      <c r="F36" s="96" t="s">
        <v>7040</v>
      </c>
      <c r="G36" s="96" t="s">
        <v>7041</v>
      </c>
      <c r="H36" s="96" t="s">
        <v>7042</v>
      </c>
      <c r="I36" s="96" t="s">
        <v>7043</v>
      </c>
      <c r="J36" s="96" t="s">
        <v>7044</v>
      </c>
      <c r="K36" s="93"/>
      <c r="L36" s="96" t="s">
        <v>7051</v>
      </c>
      <c r="M36" s="96" t="s">
        <v>6886</v>
      </c>
    </row>
    <row r="37" spans="2:13" ht="15" thickTop="1" x14ac:dyDescent="0.2">
      <c r="B37" s="414" t="s">
        <v>7050</v>
      </c>
      <c r="C37" s="414"/>
      <c r="D37" s="414"/>
      <c r="E37" s="97">
        <v>41</v>
      </c>
      <c r="F37" s="97">
        <v>60</v>
      </c>
      <c r="G37" s="97">
        <v>58</v>
      </c>
      <c r="H37" s="97">
        <v>48</v>
      </c>
      <c r="I37" s="97">
        <v>39</v>
      </c>
      <c r="J37" s="97">
        <v>40</v>
      </c>
      <c r="K37" s="93"/>
      <c r="L37" s="93"/>
      <c r="M37" s="93"/>
    </row>
    <row r="38" spans="2:13" x14ac:dyDescent="0.2">
      <c r="B38" s="414" t="s">
        <v>7045</v>
      </c>
      <c r="C38" s="414"/>
      <c r="D38" s="414"/>
      <c r="E38" s="97">
        <v>68</v>
      </c>
      <c r="F38" s="97">
        <v>53</v>
      </c>
      <c r="G38" s="97">
        <v>40</v>
      </c>
      <c r="H38" s="97">
        <v>50</v>
      </c>
      <c r="I38" s="97">
        <v>58</v>
      </c>
      <c r="J38" s="97">
        <v>52</v>
      </c>
      <c r="K38" s="93"/>
      <c r="L38" s="93"/>
      <c r="M38" s="93"/>
    </row>
    <row r="39" spans="2:13" x14ac:dyDescent="0.2">
      <c r="B39" s="414" t="s">
        <v>7046</v>
      </c>
      <c r="C39" s="414"/>
      <c r="D39" s="414"/>
      <c r="E39" s="97">
        <v>62</v>
      </c>
      <c r="F39" s="97">
        <v>52</v>
      </c>
      <c r="G39" s="97">
        <v>67</v>
      </c>
      <c r="H39" s="97">
        <v>72</v>
      </c>
      <c r="I39" s="97">
        <v>60</v>
      </c>
      <c r="J39" s="97">
        <v>55</v>
      </c>
      <c r="K39" s="93"/>
      <c r="L39" s="93"/>
      <c r="M39" s="93"/>
    </row>
    <row r="40" spans="2:13" x14ac:dyDescent="0.2">
      <c r="B40" s="414" t="s">
        <v>7047</v>
      </c>
      <c r="C40" s="414"/>
      <c r="D40" s="414"/>
      <c r="E40" s="97">
        <v>74</v>
      </c>
      <c r="F40" s="97">
        <v>89</v>
      </c>
      <c r="G40" s="97">
        <v>77</v>
      </c>
      <c r="H40" s="97">
        <v>90</v>
      </c>
      <c r="I40" s="97">
        <v>87</v>
      </c>
      <c r="J40" s="97">
        <v>67</v>
      </c>
      <c r="K40" s="93"/>
      <c r="L40" s="93"/>
      <c r="M40" s="93"/>
    </row>
    <row r="41" spans="2:13" x14ac:dyDescent="0.2">
      <c r="B41" s="414" t="s">
        <v>7048</v>
      </c>
      <c r="C41" s="414"/>
      <c r="D41" s="414"/>
      <c r="E41" s="97">
        <v>73</v>
      </c>
      <c r="F41" s="97">
        <v>65</v>
      </c>
      <c r="G41" s="97">
        <v>70</v>
      </c>
      <c r="H41" s="97">
        <v>75</v>
      </c>
      <c r="I41" s="97">
        <v>60</v>
      </c>
      <c r="J41" s="97">
        <v>82</v>
      </c>
      <c r="K41" s="93"/>
      <c r="L41" s="93"/>
      <c r="M41" s="93"/>
    </row>
    <row r="42" spans="2:13" x14ac:dyDescent="0.2">
      <c r="B42" s="414" t="s">
        <v>7049</v>
      </c>
      <c r="C42" s="414"/>
      <c r="D42" s="414"/>
      <c r="E42" s="97">
        <v>117</v>
      </c>
      <c r="F42" s="97">
        <v>78</v>
      </c>
      <c r="G42" s="97">
        <v>83</v>
      </c>
      <c r="H42" s="97">
        <v>111</v>
      </c>
      <c r="I42" s="97">
        <v>84</v>
      </c>
      <c r="J42" s="97">
        <v>91</v>
      </c>
      <c r="K42" s="93"/>
      <c r="L42" s="93"/>
      <c r="M42" s="93"/>
    </row>
  </sheetData>
  <mergeCells count="9">
    <mergeCell ref="B42:D42"/>
    <mergeCell ref="E35:J35"/>
    <mergeCell ref="L35:M35"/>
    <mergeCell ref="B36:D36"/>
    <mergeCell ref="B38:D38"/>
    <mergeCell ref="B39:D39"/>
    <mergeCell ref="B40:D40"/>
    <mergeCell ref="B41:D41"/>
    <mergeCell ref="B37:D37"/>
  </mergeCells>
  <printOptions horizontalCentered="1"/>
  <pageMargins left="0.39370078740157483" right="0.39370078740157483" top="0.39370078740157483" bottom="0.39370078740157483" header="0.39370078740157483" footer="0.39370078740157483"/>
  <pageSetup paperSize="9" orientation="landscape" horizontalDpi="300" verticalDpi="300" r:id="rId1"/>
  <headerFooter alignWithMargins="0">
    <oddHeader>&amp;F</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2">
    <outlinePr summaryBelow="0" summaryRight="0"/>
  </sheetPr>
  <dimension ref="A2:AD1418"/>
  <sheetViews>
    <sheetView workbookViewId="0"/>
  </sheetViews>
  <sheetFormatPr defaultColWidth="7.75" defaultRowHeight="14.25" x14ac:dyDescent="0.2"/>
  <cols>
    <col min="1" max="1" width="15.5" customWidth="1"/>
    <col min="2" max="21" width="4.5" customWidth="1"/>
    <col min="23" max="28" width="4.875" customWidth="1"/>
    <col min="29" max="30" width="3.5" customWidth="1"/>
    <col min="31" max="31" width="4.125" bestFit="1" customWidth="1"/>
    <col min="32" max="32" width="4.625" bestFit="1" customWidth="1"/>
    <col min="33" max="33" width="4.375" bestFit="1" customWidth="1"/>
    <col min="34" max="34" width="4.75" bestFit="1" customWidth="1"/>
    <col min="35" max="36" width="3.25" bestFit="1" customWidth="1"/>
  </cols>
  <sheetData>
    <row r="2" spans="1:30" x14ac:dyDescent="0.2">
      <c r="Q2" s="143" t="s">
        <v>1435</v>
      </c>
      <c r="R2" s="143" t="s">
        <v>2675</v>
      </c>
      <c r="S2" s="143" t="s">
        <v>2397</v>
      </c>
      <c r="T2" s="143" t="s">
        <v>2398</v>
      </c>
      <c r="U2" s="143" t="s">
        <v>2705</v>
      </c>
      <c r="X2" s="147" t="s">
        <v>8027</v>
      </c>
      <c r="Y2" s="147" t="s">
        <v>3546</v>
      </c>
      <c r="Z2" s="147" t="s">
        <v>3569</v>
      </c>
      <c r="AA2" s="147" t="s">
        <v>8028</v>
      </c>
      <c r="AB2" s="147" t="s">
        <v>8029</v>
      </c>
      <c r="AC2" s="147" t="s">
        <v>8030</v>
      </c>
      <c r="AD2" s="217" t="s">
        <v>8213</v>
      </c>
    </row>
    <row r="3" spans="1:30" ht="15" x14ac:dyDescent="0.25">
      <c r="Q3" s="144">
        <v>-0.5</v>
      </c>
      <c r="R3" s="144">
        <v>-0.5</v>
      </c>
      <c r="S3" s="144">
        <v>0</v>
      </c>
      <c r="T3" s="144">
        <v>0</v>
      </c>
      <c r="U3" s="145">
        <v>1</v>
      </c>
      <c r="X3" s="146"/>
      <c r="Y3" s="146"/>
      <c r="Z3" s="146"/>
      <c r="AA3" s="146"/>
      <c r="AB3" s="146"/>
      <c r="AC3" s="146"/>
      <c r="AD3" s="220"/>
    </row>
    <row r="4" spans="1:30" s="142" customFormat="1" ht="12.75" x14ac:dyDescent="0.2">
      <c r="A4" s="148"/>
      <c r="B4" s="417" t="s">
        <v>8026</v>
      </c>
      <c r="C4" s="417"/>
      <c r="D4" s="148"/>
      <c r="E4" s="148"/>
      <c r="F4" s="148"/>
      <c r="G4" s="148"/>
      <c r="H4" s="148"/>
      <c r="I4" s="148"/>
      <c r="J4" s="148"/>
      <c r="K4" s="148"/>
      <c r="L4" s="148"/>
      <c r="M4" s="148"/>
      <c r="N4" s="148"/>
      <c r="O4" s="148"/>
      <c r="P4" s="148"/>
      <c r="Q4" s="148"/>
      <c r="R4" s="148"/>
      <c r="S4" s="148"/>
      <c r="T4" s="148"/>
      <c r="U4" s="148"/>
    </row>
    <row r="5" spans="1:30" s="142" customFormat="1" ht="12.75" x14ac:dyDescent="0.2">
      <c r="B5" s="150" t="s">
        <v>7280</v>
      </c>
      <c r="C5" s="150" t="s">
        <v>7281</v>
      </c>
      <c r="D5" s="150" t="s">
        <v>7282</v>
      </c>
      <c r="E5" s="150" t="s">
        <v>7283</v>
      </c>
      <c r="F5" s="150" t="s">
        <v>7284</v>
      </c>
      <c r="G5" s="150" t="s">
        <v>7285</v>
      </c>
      <c r="H5" s="150" t="s">
        <v>7286</v>
      </c>
      <c r="I5" s="150" t="s">
        <v>7287</v>
      </c>
      <c r="J5" s="150" t="s">
        <v>7288</v>
      </c>
      <c r="K5" s="150" t="s">
        <v>7289</v>
      </c>
      <c r="L5" s="150" t="s">
        <v>7290</v>
      </c>
      <c r="M5" s="150" t="s">
        <v>7291</v>
      </c>
      <c r="N5" s="150" t="s">
        <v>7292</v>
      </c>
      <c r="O5" s="150" t="s">
        <v>7293</v>
      </c>
      <c r="P5" s="150" t="s">
        <v>7294</v>
      </c>
      <c r="Q5" s="150" t="s">
        <v>7295</v>
      </c>
      <c r="R5" s="150" t="s">
        <v>7296</v>
      </c>
      <c r="S5" s="150" t="s">
        <v>7297</v>
      </c>
      <c r="T5" s="150" t="s">
        <v>7298</v>
      </c>
      <c r="U5" s="150" t="s">
        <v>7299</v>
      </c>
    </row>
    <row r="6" spans="1:30" s="142" customFormat="1" ht="12.75" customHeight="1" x14ac:dyDescent="0.2">
      <c r="A6" s="149" t="s">
        <v>8034</v>
      </c>
      <c r="B6" s="149" t="s">
        <v>7300</v>
      </c>
      <c r="C6" s="149" t="s">
        <v>7301</v>
      </c>
      <c r="D6" s="149" t="s">
        <v>7302</v>
      </c>
      <c r="E6" s="149" t="s">
        <v>7303</v>
      </c>
      <c r="F6" s="149" t="s">
        <v>7304</v>
      </c>
      <c r="G6" s="149" t="s">
        <v>7305</v>
      </c>
      <c r="H6" s="149" t="s">
        <v>7306</v>
      </c>
      <c r="I6" s="149" t="s">
        <v>7307</v>
      </c>
      <c r="J6" s="149" t="s">
        <v>7308</v>
      </c>
      <c r="K6" s="149" t="s">
        <v>7309</v>
      </c>
      <c r="L6" s="149" t="s">
        <v>7310</v>
      </c>
      <c r="M6" s="149" t="s">
        <v>7311</v>
      </c>
      <c r="N6" s="149" t="s">
        <v>7312</v>
      </c>
      <c r="O6" s="149" t="s">
        <v>7313</v>
      </c>
      <c r="P6" s="149" t="s">
        <v>7314</v>
      </c>
      <c r="Q6" s="149" t="s">
        <v>7315</v>
      </c>
      <c r="R6" s="149" t="s">
        <v>7316</v>
      </c>
      <c r="S6" s="149" t="s">
        <v>7317</v>
      </c>
      <c r="T6" s="149" t="s">
        <v>7318</v>
      </c>
      <c r="U6" s="149" t="s">
        <v>7319</v>
      </c>
      <c r="V6" s="149" t="s">
        <v>8212</v>
      </c>
    </row>
    <row r="7" spans="1:30" s="142" customFormat="1" x14ac:dyDescent="0.2">
      <c r="A7" s="151" t="s">
        <v>7320</v>
      </c>
      <c r="B7" s="152" t="s">
        <v>2705</v>
      </c>
      <c r="C7" s="152" t="s">
        <v>2705</v>
      </c>
      <c r="D7" s="152" t="s">
        <v>2398</v>
      </c>
      <c r="E7" s="152" t="s">
        <v>2705</v>
      </c>
      <c r="F7" s="152" t="s">
        <v>2705</v>
      </c>
      <c r="G7" s="152" t="s">
        <v>2705</v>
      </c>
      <c r="H7" s="152" t="s">
        <v>1435</v>
      </c>
      <c r="I7" s="152" t="s">
        <v>2398</v>
      </c>
      <c r="J7" s="152" t="s">
        <v>2705</v>
      </c>
      <c r="K7" s="152" t="s">
        <v>2705</v>
      </c>
      <c r="L7" s="152" t="s">
        <v>2398</v>
      </c>
      <c r="M7" s="152" t="s">
        <v>2705</v>
      </c>
      <c r="N7" s="152" t="s">
        <v>2705</v>
      </c>
      <c r="O7" s="152" t="s">
        <v>1435</v>
      </c>
      <c r="P7" s="152" t="s">
        <v>2705</v>
      </c>
      <c r="Q7" s="152" t="s">
        <v>2705</v>
      </c>
      <c r="R7" s="152" t="s">
        <v>2705</v>
      </c>
      <c r="S7" s="152" t="s">
        <v>2705</v>
      </c>
      <c r="T7" s="152" t="s">
        <v>2675</v>
      </c>
      <c r="U7" s="152" t="s">
        <v>2705</v>
      </c>
      <c r="AB7"/>
      <c r="AC7"/>
      <c r="AD7"/>
    </row>
    <row r="8" spans="1:30" s="142" customFormat="1" x14ac:dyDescent="0.2">
      <c r="A8" s="151"/>
      <c r="B8" s="152" t="s">
        <v>2397</v>
      </c>
      <c r="C8" s="152" t="s">
        <v>1435</v>
      </c>
      <c r="D8" s="152" t="s">
        <v>2705</v>
      </c>
      <c r="E8" s="152" t="s">
        <v>2705</v>
      </c>
      <c r="F8" s="152" t="s">
        <v>2705</v>
      </c>
      <c r="G8" s="152" t="s">
        <v>1435</v>
      </c>
      <c r="H8" s="152" t="s">
        <v>2705</v>
      </c>
      <c r="I8" s="152" t="s">
        <v>2705</v>
      </c>
      <c r="J8" s="152" t="s">
        <v>2705</v>
      </c>
      <c r="K8" s="152" t="s">
        <v>1435</v>
      </c>
      <c r="L8" s="152" t="s">
        <v>2705</v>
      </c>
      <c r="M8" s="152" t="s">
        <v>2705</v>
      </c>
      <c r="N8" s="152" t="s">
        <v>2675</v>
      </c>
      <c r="O8" s="152" t="s">
        <v>2398</v>
      </c>
      <c r="P8" s="152" t="s">
        <v>1435</v>
      </c>
      <c r="Q8" s="152" t="s">
        <v>2705</v>
      </c>
      <c r="R8" s="152" t="s">
        <v>1435</v>
      </c>
      <c r="S8" s="152" t="s">
        <v>2397</v>
      </c>
      <c r="T8" s="152" t="s">
        <v>2705</v>
      </c>
      <c r="U8" s="152" t="s">
        <v>2398</v>
      </c>
      <c r="AB8"/>
      <c r="AC8"/>
      <c r="AD8"/>
    </row>
    <row r="9" spans="1:30" s="142" customFormat="1" ht="12.75" customHeight="1" x14ac:dyDescent="0.2">
      <c r="A9" s="151" t="s">
        <v>7321</v>
      </c>
      <c r="B9" s="152" t="s">
        <v>2705</v>
      </c>
      <c r="C9" s="152" t="s">
        <v>2705</v>
      </c>
      <c r="D9" s="152" t="s">
        <v>2705</v>
      </c>
      <c r="E9" s="152" t="s">
        <v>2705</v>
      </c>
      <c r="F9" s="152" t="s">
        <v>2705</v>
      </c>
      <c r="G9" s="152" t="s">
        <v>2705</v>
      </c>
      <c r="H9" s="152" t="s">
        <v>2705</v>
      </c>
      <c r="I9" s="152" t="s">
        <v>2705</v>
      </c>
      <c r="J9" s="152" t="s">
        <v>2705</v>
      </c>
      <c r="K9" s="152" t="s">
        <v>2397</v>
      </c>
      <c r="L9" s="152" t="s">
        <v>2705</v>
      </c>
      <c r="M9" s="152" t="s">
        <v>2705</v>
      </c>
      <c r="N9" s="152" t="s">
        <v>2705</v>
      </c>
      <c r="O9" s="152" t="s">
        <v>2705</v>
      </c>
      <c r="P9" s="152" t="s">
        <v>2705</v>
      </c>
      <c r="Q9" s="152" t="s">
        <v>2675</v>
      </c>
      <c r="R9" s="152" t="s">
        <v>2398</v>
      </c>
      <c r="S9" s="152" t="s">
        <v>2397</v>
      </c>
      <c r="T9" s="152" t="s">
        <v>2705</v>
      </c>
      <c r="U9" s="152" t="s">
        <v>2705</v>
      </c>
    </row>
    <row r="10" spans="1:30" s="142" customFormat="1" ht="12.75" x14ac:dyDescent="0.2">
      <c r="A10" s="151"/>
      <c r="B10" s="152" t="s">
        <v>1435</v>
      </c>
      <c r="C10" s="152" t="s">
        <v>2675</v>
      </c>
      <c r="D10" s="152" t="s">
        <v>2705</v>
      </c>
      <c r="E10" s="152" t="s">
        <v>2705</v>
      </c>
      <c r="F10" s="152" t="s">
        <v>2705</v>
      </c>
      <c r="G10" s="152" t="s">
        <v>2397</v>
      </c>
      <c r="H10" s="152" t="s">
        <v>2675</v>
      </c>
      <c r="I10" s="152" t="s">
        <v>2705</v>
      </c>
      <c r="J10" s="152" t="s">
        <v>2397</v>
      </c>
      <c r="K10" s="152" t="s">
        <v>2705</v>
      </c>
      <c r="L10" s="152" t="s">
        <v>2397</v>
      </c>
      <c r="M10" s="152" t="s">
        <v>1435</v>
      </c>
      <c r="N10" s="152" t="s">
        <v>2705</v>
      </c>
      <c r="O10" s="152" t="s">
        <v>1435</v>
      </c>
      <c r="P10" s="152" t="s">
        <v>2705</v>
      </c>
      <c r="Q10" s="152" t="s">
        <v>2705</v>
      </c>
      <c r="R10" s="152" t="s">
        <v>1435</v>
      </c>
      <c r="S10" s="152" t="s">
        <v>2675</v>
      </c>
      <c r="T10" s="152" t="s">
        <v>2705</v>
      </c>
      <c r="U10" s="152" t="s">
        <v>2705</v>
      </c>
    </row>
    <row r="11" spans="1:30" s="142" customFormat="1" ht="12.75" customHeight="1" x14ac:dyDescent="0.2">
      <c r="A11" s="151" t="s">
        <v>7322</v>
      </c>
      <c r="B11" s="152" t="s">
        <v>2705</v>
      </c>
      <c r="C11" s="152" t="s">
        <v>2705</v>
      </c>
      <c r="D11" s="152" t="s">
        <v>2398</v>
      </c>
      <c r="E11" s="152" t="s">
        <v>2705</v>
      </c>
      <c r="F11" s="152" t="s">
        <v>2705</v>
      </c>
      <c r="G11" s="152" t="s">
        <v>2705</v>
      </c>
      <c r="H11" s="152" t="s">
        <v>2398</v>
      </c>
      <c r="I11" s="152" t="s">
        <v>2705</v>
      </c>
      <c r="J11" s="152" t="s">
        <v>2705</v>
      </c>
      <c r="K11" s="152" t="s">
        <v>2705</v>
      </c>
      <c r="L11" s="152" t="s">
        <v>2705</v>
      </c>
      <c r="M11" s="152" t="s">
        <v>2705</v>
      </c>
      <c r="N11" s="152" t="s">
        <v>2705</v>
      </c>
      <c r="O11" s="152" t="s">
        <v>2705</v>
      </c>
      <c r="P11" s="152" t="s">
        <v>2398</v>
      </c>
      <c r="Q11" s="152" t="s">
        <v>2675</v>
      </c>
      <c r="R11" s="152" t="s">
        <v>2705</v>
      </c>
      <c r="S11" s="152" t="s">
        <v>2398</v>
      </c>
      <c r="T11" s="152" t="s">
        <v>2398</v>
      </c>
      <c r="U11" s="152" t="s">
        <v>2705</v>
      </c>
    </row>
    <row r="12" spans="1:30" s="142" customFormat="1" ht="12.75" x14ac:dyDescent="0.2">
      <c r="A12" s="151"/>
      <c r="B12" s="152" t="s">
        <v>2705</v>
      </c>
      <c r="C12" s="152" t="s">
        <v>2398</v>
      </c>
      <c r="D12" s="152" t="s">
        <v>2397</v>
      </c>
      <c r="E12" s="152" t="s">
        <v>2398</v>
      </c>
      <c r="F12" s="152" t="s">
        <v>2705</v>
      </c>
      <c r="G12" s="152" t="s">
        <v>2398</v>
      </c>
      <c r="H12" s="152" t="s">
        <v>2398</v>
      </c>
      <c r="I12" s="152" t="s">
        <v>2705</v>
      </c>
      <c r="J12" s="152" t="s">
        <v>2705</v>
      </c>
      <c r="K12" s="152" t="s">
        <v>2705</v>
      </c>
      <c r="L12" s="152" t="s">
        <v>2398</v>
      </c>
      <c r="M12" s="152" t="s">
        <v>2705</v>
      </c>
      <c r="N12" s="152" t="s">
        <v>2398</v>
      </c>
      <c r="O12" s="152" t="s">
        <v>2398</v>
      </c>
      <c r="P12" s="152" t="s">
        <v>2398</v>
      </c>
      <c r="Q12" s="152" t="s">
        <v>2705</v>
      </c>
      <c r="R12" s="152" t="s">
        <v>2398</v>
      </c>
      <c r="S12" s="152" t="s">
        <v>2398</v>
      </c>
      <c r="T12" s="152" t="s">
        <v>2398</v>
      </c>
      <c r="U12" s="152" t="s">
        <v>2705</v>
      </c>
    </row>
    <row r="13" spans="1:30" s="142" customFormat="1" ht="12.75" customHeight="1" x14ac:dyDescent="0.2">
      <c r="A13" s="151" t="s">
        <v>7323</v>
      </c>
      <c r="B13" s="152" t="s">
        <v>2705</v>
      </c>
      <c r="C13" s="152" t="s">
        <v>2705</v>
      </c>
      <c r="D13" s="152" t="s">
        <v>2705</v>
      </c>
      <c r="E13" s="152" t="s">
        <v>2705</v>
      </c>
      <c r="F13" s="152" t="s">
        <v>2705</v>
      </c>
      <c r="G13" s="152" t="s">
        <v>2705</v>
      </c>
      <c r="H13" s="152" t="s">
        <v>1435</v>
      </c>
      <c r="I13" s="152" t="s">
        <v>2398</v>
      </c>
      <c r="J13" s="152" t="s">
        <v>2705</v>
      </c>
      <c r="K13" s="152" t="s">
        <v>1435</v>
      </c>
      <c r="L13" s="152" t="s">
        <v>2705</v>
      </c>
      <c r="M13" s="152" t="s">
        <v>2705</v>
      </c>
      <c r="N13" s="152" t="s">
        <v>2705</v>
      </c>
      <c r="O13" s="152" t="s">
        <v>2398</v>
      </c>
      <c r="P13" s="152" t="s">
        <v>2398</v>
      </c>
      <c r="Q13" s="152" t="s">
        <v>2705</v>
      </c>
      <c r="R13" s="152" t="s">
        <v>2705</v>
      </c>
      <c r="S13" s="152" t="s">
        <v>2398</v>
      </c>
      <c r="T13" s="152" t="s">
        <v>2705</v>
      </c>
      <c r="U13" s="152" t="s">
        <v>2398</v>
      </c>
    </row>
    <row r="14" spans="1:30" s="142" customFormat="1" ht="12.75" x14ac:dyDescent="0.2">
      <c r="A14" s="151"/>
      <c r="B14" s="152" t="s">
        <v>2705</v>
      </c>
      <c r="C14" s="152" t="s">
        <v>2675</v>
      </c>
      <c r="D14" s="152" t="s">
        <v>2398</v>
      </c>
      <c r="E14" s="152" t="s">
        <v>2705</v>
      </c>
      <c r="F14" s="152" t="s">
        <v>2675</v>
      </c>
      <c r="G14" s="152" t="s">
        <v>1435</v>
      </c>
      <c r="H14" s="152" t="s">
        <v>2705</v>
      </c>
      <c r="I14" s="152" t="s">
        <v>2705</v>
      </c>
      <c r="J14" s="152" t="s">
        <v>2705</v>
      </c>
      <c r="K14" s="152" t="s">
        <v>2705</v>
      </c>
      <c r="L14" s="152" t="s">
        <v>2398</v>
      </c>
      <c r="M14" s="152" t="s">
        <v>2398</v>
      </c>
      <c r="N14" s="152" t="s">
        <v>2705</v>
      </c>
      <c r="O14" s="152" t="s">
        <v>1435</v>
      </c>
      <c r="P14" s="152" t="s">
        <v>2398</v>
      </c>
      <c r="Q14" s="152" t="s">
        <v>2705</v>
      </c>
      <c r="R14" s="152" t="s">
        <v>2398</v>
      </c>
      <c r="S14" s="152" t="s">
        <v>2675</v>
      </c>
      <c r="T14" s="152" t="s">
        <v>2705</v>
      </c>
      <c r="U14" s="152" t="s">
        <v>2705</v>
      </c>
    </row>
    <row r="15" spans="1:30" s="142" customFormat="1" ht="12.75" customHeight="1" x14ac:dyDescent="0.2">
      <c r="A15" s="151" t="s">
        <v>7324</v>
      </c>
      <c r="B15" s="152" t="s">
        <v>2705</v>
      </c>
      <c r="C15" s="152" t="s">
        <v>2397</v>
      </c>
      <c r="D15" s="152" t="s">
        <v>2705</v>
      </c>
      <c r="E15" s="152" t="s">
        <v>2705</v>
      </c>
      <c r="F15" s="152" t="s">
        <v>2705</v>
      </c>
      <c r="G15" s="152" t="s">
        <v>2705</v>
      </c>
      <c r="H15" s="152" t="s">
        <v>2705</v>
      </c>
      <c r="I15" s="152" t="s">
        <v>2398</v>
      </c>
      <c r="J15" s="152" t="s">
        <v>2398</v>
      </c>
      <c r="K15" s="152" t="s">
        <v>2705</v>
      </c>
      <c r="L15" s="152" t="s">
        <v>2705</v>
      </c>
      <c r="M15" s="152" t="s">
        <v>2705</v>
      </c>
      <c r="N15" s="152" t="s">
        <v>2675</v>
      </c>
      <c r="O15" s="152" t="s">
        <v>2397</v>
      </c>
      <c r="P15" s="152" t="s">
        <v>2398</v>
      </c>
      <c r="Q15" s="152" t="s">
        <v>2705</v>
      </c>
      <c r="R15" s="152" t="s">
        <v>2397</v>
      </c>
      <c r="S15" s="152" t="s">
        <v>2675</v>
      </c>
      <c r="T15" s="152" t="s">
        <v>1435</v>
      </c>
      <c r="U15" s="152" t="s">
        <v>2705</v>
      </c>
    </row>
    <row r="16" spans="1:30" s="142" customFormat="1" ht="12.75" x14ac:dyDescent="0.2">
      <c r="A16" s="151"/>
      <c r="B16" s="152" t="s">
        <v>2705</v>
      </c>
      <c r="C16" s="152" t="s">
        <v>2397</v>
      </c>
      <c r="D16" s="152" t="s">
        <v>2705</v>
      </c>
      <c r="E16" s="152" t="s">
        <v>2705</v>
      </c>
      <c r="F16" s="152" t="s">
        <v>2705</v>
      </c>
      <c r="G16" s="152" t="s">
        <v>2705</v>
      </c>
      <c r="H16" s="152" t="s">
        <v>2675</v>
      </c>
      <c r="I16" s="152" t="s">
        <v>2705</v>
      </c>
      <c r="J16" s="152" t="s">
        <v>2398</v>
      </c>
      <c r="K16" s="152" t="s">
        <v>2705</v>
      </c>
      <c r="L16" s="152" t="s">
        <v>2398</v>
      </c>
      <c r="M16" s="152" t="s">
        <v>2705</v>
      </c>
      <c r="N16" s="152" t="s">
        <v>2705</v>
      </c>
      <c r="O16" s="152" t="s">
        <v>2705</v>
      </c>
      <c r="P16" s="152" t="s">
        <v>2705</v>
      </c>
      <c r="Q16" s="152" t="s">
        <v>1435</v>
      </c>
      <c r="R16" s="152" t="s">
        <v>2398</v>
      </c>
      <c r="S16" s="152" t="s">
        <v>2398</v>
      </c>
      <c r="T16" s="152" t="s">
        <v>2705</v>
      </c>
      <c r="U16" s="152" t="s">
        <v>2705</v>
      </c>
    </row>
    <row r="17" spans="1:21" s="142" customFormat="1" ht="12.75" customHeight="1" x14ac:dyDescent="0.2">
      <c r="A17" s="151" t="s">
        <v>7325</v>
      </c>
      <c r="B17" s="152" t="s">
        <v>2705</v>
      </c>
      <c r="C17" s="152" t="s">
        <v>2398</v>
      </c>
      <c r="D17" s="152" t="s">
        <v>2705</v>
      </c>
      <c r="E17" s="152" t="s">
        <v>2398</v>
      </c>
      <c r="F17" s="152" t="s">
        <v>2705</v>
      </c>
      <c r="G17" s="152" t="s">
        <v>2705</v>
      </c>
      <c r="H17" s="152" t="s">
        <v>2705</v>
      </c>
      <c r="I17" s="152" t="s">
        <v>2705</v>
      </c>
      <c r="J17" s="152" t="s">
        <v>2705</v>
      </c>
      <c r="K17" s="152" t="s">
        <v>2705</v>
      </c>
      <c r="L17" s="152" t="s">
        <v>2398</v>
      </c>
      <c r="M17" s="152" t="s">
        <v>1435</v>
      </c>
      <c r="N17" s="152" t="s">
        <v>2705</v>
      </c>
      <c r="O17" s="152" t="s">
        <v>2705</v>
      </c>
      <c r="P17" s="152" t="s">
        <v>2398</v>
      </c>
      <c r="Q17" s="152" t="s">
        <v>2705</v>
      </c>
      <c r="R17" s="152" t="s">
        <v>2398</v>
      </c>
      <c r="S17" s="152" t="s">
        <v>2398</v>
      </c>
      <c r="T17" s="152" t="s">
        <v>2398</v>
      </c>
      <c r="U17" s="152" t="s">
        <v>2705</v>
      </c>
    </row>
    <row r="18" spans="1:21" s="142" customFormat="1" ht="12.75" x14ac:dyDescent="0.2">
      <c r="A18" s="151"/>
      <c r="B18" s="152" t="s">
        <v>2705</v>
      </c>
      <c r="C18" s="152" t="s">
        <v>2398</v>
      </c>
      <c r="D18" s="152" t="s">
        <v>2705</v>
      </c>
      <c r="E18" s="152" t="s">
        <v>2705</v>
      </c>
      <c r="F18" s="152" t="s">
        <v>2675</v>
      </c>
      <c r="G18" s="152" t="s">
        <v>1435</v>
      </c>
      <c r="H18" s="152" t="s">
        <v>2398</v>
      </c>
      <c r="I18" s="152" t="s">
        <v>2705</v>
      </c>
      <c r="J18" s="152" t="s">
        <v>1435</v>
      </c>
      <c r="K18" s="152" t="s">
        <v>2398</v>
      </c>
      <c r="L18" s="152" t="s">
        <v>2398</v>
      </c>
      <c r="M18" s="152" t="s">
        <v>2705</v>
      </c>
      <c r="N18" s="152" t="s">
        <v>2398</v>
      </c>
      <c r="O18" s="152" t="s">
        <v>2398</v>
      </c>
      <c r="P18" s="152" t="s">
        <v>2705</v>
      </c>
      <c r="Q18" s="152" t="s">
        <v>2705</v>
      </c>
      <c r="R18" s="152" t="s">
        <v>2397</v>
      </c>
      <c r="S18" s="152" t="s">
        <v>2705</v>
      </c>
      <c r="T18" s="152" t="s">
        <v>2705</v>
      </c>
      <c r="U18" s="152" t="s">
        <v>2398</v>
      </c>
    </row>
    <row r="19" spans="1:21" s="142" customFormat="1" ht="12.75" customHeight="1" x14ac:dyDescent="0.2">
      <c r="A19" s="151" t="s">
        <v>7326</v>
      </c>
      <c r="B19" s="152" t="s">
        <v>1435</v>
      </c>
      <c r="C19" s="152" t="s">
        <v>2398</v>
      </c>
      <c r="D19" s="152" t="s">
        <v>2705</v>
      </c>
      <c r="E19" s="152" t="s">
        <v>2705</v>
      </c>
      <c r="F19" s="152" t="s">
        <v>2705</v>
      </c>
      <c r="G19" s="152" t="s">
        <v>2705</v>
      </c>
      <c r="H19" s="152" t="s">
        <v>2705</v>
      </c>
      <c r="I19" s="152" t="s">
        <v>2705</v>
      </c>
      <c r="J19" s="152" t="s">
        <v>2675</v>
      </c>
      <c r="K19" s="152" t="s">
        <v>2398</v>
      </c>
      <c r="L19" s="152" t="s">
        <v>2398</v>
      </c>
      <c r="M19" s="152" t="s">
        <v>2705</v>
      </c>
      <c r="N19" s="152" t="s">
        <v>2705</v>
      </c>
      <c r="O19" s="152" t="s">
        <v>2705</v>
      </c>
      <c r="P19" s="152" t="s">
        <v>2397</v>
      </c>
      <c r="Q19" s="152" t="s">
        <v>2705</v>
      </c>
      <c r="R19" s="152" t="s">
        <v>2705</v>
      </c>
      <c r="S19" s="152" t="s">
        <v>2705</v>
      </c>
      <c r="T19" s="152" t="s">
        <v>2398</v>
      </c>
      <c r="U19" s="152" t="s">
        <v>2705</v>
      </c>
    </row>
    <row r="20" spans="1:21" s="142" customFormat="1" ht="12.75" x14ac:dyDescent="0.2">
      <c r="A20" s="151"/>
      <c r="B20" s="152" t="s">
        <v>2705</v>
      </c>
      <c r="C20" s="152" t="s">
        <v>2705</v>
      </c>
      <c r="D20" s="152" t="s">
        <v>1435</v>
      </c>
      <c r="E20" s="152" t="s">
        <v>2705</v>
      </c>
      <c r="F20" s="152" t="s">
        <v>2675</v>
      </c>
      <c r="G20" s="152" t="s">
        <v>2705</v>
      </c>
      <c r="H20" s="152" t="s">
        <v>2705</v>
      </c>
      <c r="I20" s="152" t="s">
        <v>2675</v>
      </c>
      <c r="J20" s="152" t="s">
        <v>2398</v>
      </c>
      <c r="K20" s="152" t="s">
        <v>2705</v>
      </c>
      <c r="L20" s="152" t="s">
        <v>2398</v>
      </c>
      <c r="M20" s="152" t="s">
        <v>2705</v>
      </c>
      <c r="N20" s="152" t="s">
        <v>2705</v>
      </c>
      <c r="O20" s="152" t="s">
        <v>2398</v>
      </c>
      <c r="P20" s="152" t="s">
        <v>2675</v>
      </c>
      <c r="Q20" s="152" t="s">
        <v>2705</v>
      </c>
      <c r="R20" s="152" t="s">
        <v>2705</v>
      </c>
      <c r="S20" s="152" t="s">
        <v>2705</v>
      </c>
      <c r="T20" s="152" t="s">
        <v>2705</v>
      </c>
      <c r="U20" s="152" t="s">
        <v>2398</v>
      </c>
    </row>
    <row r="21" spans="1:21" s="142" customFormat="1" ht="12.75" customHeight="1" x14ac:dyDescent="0.2">
      <c r="A21" s="151" t="s">
        <v>7327</v>
      </c>
      <c r="B21" s="152" t="s">
        <v>2398</v>
      </c>
      <c r="C21" s="152" t="s">
        <v>1435</v>
      </c>
      <c r="D21" s="152" t="s">
        <v>1435</v>
      </c>
      <c r="E21" s="152" t="s">
        <v>1435</v>
      </c>
      <c r="F21" s="152" t="s">
        <v>2705</v>
      </c>
      <c r="G21" s="152" t="s">
        <v>2705</v>
      </c>
      <c r="H21" s="152" t="s">
        <v>2705</v>
      </c>
      <c r="I21" s="152" t="s">
        <v>2398</v>
      </c>
      <c r="J21" s="152" t="s">
        <v>2705</v>
      </c>
      <c r="K21" s="152" t="s">
        <v>2705</v>
      </c>
      <c r="L21" s="152" t="s">
        <v>1435</v>
      </c>
      <c r="M21" s="152" t="s">
        <v>2705</v>
      </c>
      <c r="N21" s="152" t="s">
        <v>2705</v>
      </c>
      <c r="O21" s="152" t="s">
        <v>2675</v>
      </c>
      <c r="P21" s="152" t="s">
        <v>2705</v>
      </c>
      <c r="Q21" s="152" t="s">
        <v>2705</v>
      </c>
      <c r="R21" s="152" t="s">
        <v>2705</v>
      </c>
      <c r="S21" s="152" t="s">
        <v>2705</v>
      </c>
      <c r="T21" s="152" t="s">
        <v>2705</v>
      </c>
      <c r="U21" s="152" t="s">
        <v>2705</v>
      </c>
    </row>
    <row r="22" spans="1:21" s="142" customFormat="1" ht="12.75" x14ac:dyDescent="0.2">
      <c r="A22" s="151"/>
      <c r="B22" s="152" t="s">
        <v>2705</v>
      </c>
      <c r="C22" s="152" t="s">
        <v>2705</v>
      </c>
      <c r="D22" s="152" t="s">
        <v>2705</v>
      </c>
      <c r="E22" s="152" t="s">
        <v>2705</v>
      </c>
      <c r="F22" s="152" t="s">
        <v>2705</v>
      </c>
      <c r="G22" s="152" t="s">
        <v>2705</v>
      </c>
      <c r="H22" s="152" t="s">
        <v>2397</v>
      </c>
      <c r="I22" s="152" t="s">
        <v>2705</v>
      </c>
      <c r="J22" s="152" t="s">
        <v>2705</v>
      </c>
      <c r="K22" s="152" t="s">
        <v>2675</v>
      </c>
      <c r="L22" s="152" t="s">
        <v>2705</v>
      </c>
      <c r="M22" s="152" t="s">
        <v>2397</v>
      </c>
      <c r="N22" s="152" t="s">
        <v>2705</v>
      </c>
      <c r="O22" s="152" t="s">
        <v>2705</v>
      </c>
      <c r="P22" s="152" t="s">
        <v>2675</v>
      </c>
      <c r="Q22" s="152" t="s">
        <v>2705</v>
      </c>
      <c r="R22" s="152" t="s">
        <v>2397</v>
      </c>
      <c r="S22" s="152" t="s">
        <v>2705</v>
      </c>
      <c r="T22" s="152" t="s">
        <v>2397</v>
      </c>
      <c r="U22" s="152" t="s">
        <v>2398</v>
      </c>
    </row>
    <row r="23" spans="1:21" s="142" customFormat="1" ht="12.75" customHeight="1" x14ac:dyDescent="0.2">
      <c r="A23" s="151" t="s">
        <v>7328</v>
      </c>
      <c r="B23" s="152" t="s">
        <v>2705</v>
      </c>
      <c r="C23" s="152" t="s">
        <v>2705</v>
      </c>
      <c r="D23" s="152" t="s">
        <v>2397</v>
      </c>
      <c r="E23" s="152" t="s">
        <v>2705</v>
      </c>
      <c r="F23" s="152" t="s">
        <v>2705</v>
      </c>
      <c r="G23" s="152" t="s">
        <v>2705</v>
      </c>
      <c r="H23" s="152" t="s">
        <v>2705</v>
      </c>
      <c r="I23" s="152" t="s">
        <v>2397</v>
      </c>
      <c r="J23" s="152" t="s">
        <v>1435</v>
      </c>
      <c r="K23" s="152" t="s">
        <v>2705</v>
      </c>
      <c r="L23" s="152" t="s">
        <v>2398</v>
      </c>
      <c r="M23" s="152" t="s">
        <v>2705</v>
      </c>
      <c r="N23" s="152" t="s">
        <v>2705</v>
      </c>
      <c r="O23" s="152" t="s">
        <v>2675</v>
      </c>
      <c r="P23" s="152" t="s">
        <v>2705</v>
      </c>
      <c r="Q23" s="152" t="s">
        <v>2705</v>
      </c>
      <c r="R23" s="152" t="s">
        <v>2705</v>
      </c>
      <c r="S23" s="152" t="s">
        <v>2675</v>
      </c>
      <c r="T23" s="152" t="s">
        <v>2705</v>
      </c>
      <c r="U23" s="152" t="s">
        <v>2705</v>
      </c>
    </row>
    <row r="24" spans="1:21" s="142" customFormat="1" ht="12.75" x14ac:dyDescent="0.2">
      <c r="A24" s="151"/>
      <c r="B24" s="152" t="s">
        <v>2705</v>
      </c>
      <c r="C24" s="152" t="s">
        <v>2398</v>
      </c>
      <c r="D24" s="152" t="s">
        <v>2705</v>
      </c>
      <c r="E24" s="152" t="s">
        <v>2705</v>
      </c>
      <c r="F24" s="152" t="s">
        <v>2705</v>
      </c>
      <c r="G24" s="152" t="s">
        <v>2705</v>
      </c>
      <c r="H24" s="152" t="s">
        <v>2398</v>
      </c>
      <c r="I24" s="152" t="s">
        <v>2705</v>
      </c>
      <c r="J24" s="152" t="s">
        <v>2705</v>
      </c>
      <c r="K24" s="152" t="s">
        <v>2675</v>
      </c>
      <c r="L24" s="152" t="s">
        <v>2705</v>
      </c>
      <c r="M24" s="152" t="s">
        <v>2705</v>
      </c>
      <c r="N24" s="152" t="s">
        <v>2705</v>
      </c>
      <c r="O24" s="152" t="s">
        <v>2398</v>
      </c>
      <c r="P24" s="152" t="s">
        <v>2675</v>
      </c>
      <c r="Q24" s="152" t="s">
        <v>2705</v>
      </c>
      <c r="R24" s="152" t="s">
        <v>2705</v>
      </c>
      <c r="S24" s="152" t="s">
        <v>2705</v>
      </c>
      <c r="T24" s="152" t="s">
        <v>2398</v>
      </c>
      <c r="U24" s="152" t="s">
        <v>2705</v>
      </c>
    </row>
    <row r="25" spans="1:21" s="142" customFormat="1" ht="12.75" customHeight="1" x14ac:dyDescent="0.2">
      <c r="A25" s="151" t="s">
        <v>7329</v>
      </c>
      <c r="B25" s="152" t="s">
        <v>2398</v>
      </c>
      <c r="C25" s="152" t="s">
        <v>2705</v>
      </c>
      <c r="D25" s="152" t="s">
        <v>2705</v>
      </c>
      <c r="E25" s="152" t="s">
        <v>2398</v>
      </c>
      <c r="F25" s="152" t="s">
        <v>2398</v>
      </c>
      <c r="G25" s="152" t="s">
        <v>2398</v>
      </c>
      <c r="H25" s="152" t="s">
        <v>1435</v>
      </c>
      <c r="I25" s="152" t="s">
        <v>2398</v>
      </c>
      <c r="J25" s="152" t="s">
        <v>1435</v>
      </c>
      <c r="K25" s="152" t="s">
        <v>2398</v>
      </c>
      <c r="L25" s="152" t="s">
        <v>2705</v>
      </c>
      <c r="M25" s="152" t="s">
        <v>2398</v>
      </c>
      <c r="N25" s="152" t="s">
        <v>2705</v>
      </c>
      <c r="O25" s="152" t="s">
        <v>2398</v>
      </c>
      <c r="P25" s="152" t="s">
        <v>2675</v>
      </c>
      <c r="Q25" s="152" t="s">
        <v>2398</v>
      </c>
      <c r="R25" s="152" t="s">
        <v>2705</v>
      </c>
      <c r="S25" s="152" t="s">
        <v>2705</v>
      </c>
      <c r="T25" s="152" t="s">
        <v>2398</v>
      </c>
      <c r="U25" s="152" t="s">
        <v>2705</v>
      </c>
    </row>
    <row r="26" spans="1:21" s="142" customFormat="1" ht="12.75" x14ac:dyDescent="0.2">
      <c r="A26" s="151"/>
      <c r="B26" s="152" t="s">
        <v>2398</v>
      </c>
      <c r="C26" s="152" t="s">
        <v>1435</v>
      </c>
      <c r="D26" s="152" t="s">
        <v>2705</v>
      </c>
      <c r="E26" s="152" t="s">
        <v>2705</v>
      </c>
      <c r="F26" s="152" t="s">
        <v>2398</v>
      </c>
      <c r="G26" s="152" t="s">
        <v>2705</v>
      </c>
      <c r="H26" s="152" t="s">
        <v>2705</v>
      </c>
      <c r="I26" s="152" t="s">
        <v>2705</v>
      </c>
      <c r="J26" s="152" t="s">
        <v>2705</v>
      </c>
      <c r="K26" s="152" t="s">
        <v>2705</v>
      </c>
      <c r="L26" s="152" t="s">
        <v>2398</v>
      </c>
      <c r="M26" s="152" t="s">
        <v>2398</v>
      </c>
      <c r="N26" s="152" t="s">
        <v>2398</v>
      </c>
      <c r="O26" s="152" t="s">
        <v>2705</v>
      </c>
      <c r="P26" s="152" t="s">
        <v>2705</v>
      </c>
      <c r="Q26" s="152" t="s">
        <v>2705</v>
      </c>
      <c r="R26" s="152" t="s">
        <v>1435</v>
      </c>
      <c r="S26" s="152" t="s">
        <v>2398</v>
      </c>
      <c r="T26" s="152" t="s">
        <v>2398</v>
      </c>
      <c r="U26" s="152" t="s">
        <v>2705</v>
      </c>
    </row>
    <row r="27" spans="1:21" s="142" customFormat="1" ht="12.75" customHeight="1" x14ac:dyDescent="0.2">
      <c r="A27" s="151" t="s">
        <v>7330</v>
      </c>
      <c r="B27" s="152" t="s">
        <v>2705</v>
      </c>
      <c r="C27" s="152" t="s">
        <v>2705</v>
      </c>
      <c r="D27" s="152" t="s">
        <v>2705</v>
      </c>
      <c r="E27" s="152" t="s">
        <v>2705</v>
      </c>
      <c r="F27" s="152" t="s">
        <v>2705</v>
      </c>
      <c r="G27" s="152" t="s">
        <v>2705</v>
      </c>
      <c r="H27" s="152" t="s">
        <v>2705</v>
      </c>
      <c r="I27" s="152" t="s">
        <v>2398</v>
      </c>
      <c r="J27" s="152" t="s">
        <v>2705</v>
      </c>
      <c r="K27" s="152" t="s">
        <v>2397</v>
      </c>
      <c r="L27" s="152" t="s">
        <v>2705</v>
      </c>
      <c r="M27" s="152" t="s">
        <v>2705</v>
      </c>
      <c r="N27" s="152" t="s">
        <v>2398</v>
      </c>
      <c r="O27" s="152" t="s">
        <v>2398</v>
      </c>
      <c r="P27" s="152" t="s">
        <v>2705</v>
      </c>
      <c r="Q27" s="152" t="s">
        <v>1435</v>
      </c>
      <c r="R27" s="152" t="s">
        <v>2398</v>
      </c>
      <c r="S27" s="152" t="s">
        <v>2705</v>
      </c>
      <c r="T27" s="152" t="s">
        <v>2705</v>
      </c>
      <c r="U27" s="152" t="s">
        <v>2705</v>
      </c>
    </row>
    <row r="28" spans="1:21" s="142" customFormat="1" ht="12.75" x14ac:dyDescent="0.2">
      <c r="A28" s="151"/>
      <c r="B28" s="152" t="s">
        <v>2398</v>
      </c>
      <c r="C28" s="152" t="s">
        <v>2705</v>
      </c>
      <c r="D28" s="152" t="s">
        <v>2675</v>
      </c>
      <c r="E28" s="152" t="s">
        <v>2705</v>
      </c>
      <c r="F28" s="152" t="s">
        <v>2675</v>
      </c>
      <c r="G28" s="152" t="s">
        <v>2705</v>
      </c>
      <c r="H28" s="152" t="s">
        <v>2675</v>
      </c>
      <c r="I28" s="152" t="s">
        <v>2705</v>
      </c>
      <c r="J28" s="152" t="s">
        <v>2705</v>
      </c>
      <c r="K28" s="152" t="s">
        <v>2398</v>
      </c>
      <c r="L28" s="152" t="s">
        <v>2398</v>
      </c>
      <c r="M28" s="152" t="s">
        <v>2705</v>
      </c>
      <c r="N28" s="152" t="s">
        <v>2705</v>
      </c>
      <c r="O28" s="152" t="s">
        <v>2705</v>
      </c>
      <c r="P28" s="152" t="s">
        <v>2398</v>
      </c>
      <c r="Q28" s="152" t="s">
        <v>1435</v>
      </c>
      <c r="R28" s="152" t="s">
        <v>2705</v>
      </c>
      <c r="S28" s="152" t="s">
        <v>2705</v>
      </c>
      <c r="T28" s="152" t="s">
        <v>2705</v>
      </c>
      <c r="U28" s="152" t="s">
        <v>2705</v>
      </c>
    </row>
    <row r="29" spans="1:21" s="142" customFormat="1" ht="12.75" customHeight="1" x14ac:dyDescent="0.2">
      <c r="A29" s="151" t="s">
        <v>7331</v>
      </c>
      <c r="B29" s="152" t="s">
        <v>2705</v>
      </c>
      <c r="C29" s="152" t="s">
        <v>2705</v>
      </c>
      <c r="D29" s="152" t="s">
        <v>2705</v>
      </c>
      <c r="E29" s="152" t="s">
        <v>2398</v>
      </c>
      <c r="F29" s="152" t="s">
        <v>2705</v>
      </c>
      <c r="G29" s="152" t="s">
        <v>2705</v>
      </c>
      <c r="H29" s="152" t="s">
        <v>1435</v>
      </c>
      <c r="I29" s="152" t="s">
        <v>2705</v>
      </c>
      <c r="J29" s="152" t="s">
        <v>2705</v>
      </c>
      <c r="K29" s="152" t="s">
        <v>2705</v>
      </c>
      <c r="L29" s="152" t="s">
        <v>2705</v>
      </c>
      <c r="M29" s="152" t="s">
        <v>2705</v>
      </c>
      <c r="N29" s="152" t="s">
        <v>2705</v>
      </c>
      <c r="O29" s="152" t="s">
        <v>2398</v>
      </c>
      <c r="P29" s="152" t="s">
        <v>2398</v>
      </c>
      <c r="Q29" s="152" t="s">
        <v>2705</v>
      </c>
      <c r="R29" s="152" t="s">
        <v>2705</v>
      </c>
      <c r="S29" s="152" t="s">
        <v>2398</v>
      </c>
      <c r="T29" s="152" t="s">
        <v>1435</v>
      </c>
      <c r="U29" s="152" t="s">
        <v>2398</v>
      </c>
    </row>
    <row r="30" spans="1:21" s="142" customFormat="1" ht="12.75" x14ac:dyDescent="0.2">
      <c r="A30" s="151"/>
      <c r="B30" s="152" t="s">
        <v>2705</v>
      </c>
      <c r="C30" s="152" t="s">
        <v>1435</v>
      </c>
      <c r="D30" s="152" t="s">
        <v>2705</v>
      </c>
      <c r="E30" s="152" t="s">
        <v>2398</v>
      </c>
      <c r="F30" s="152" t="s">
        <v>2675</v>
      </c>
      <c r="G30" s="152" t="s">
        <v>2397</v>
      </c>
      <c r="H30" s="152" t="s">
        <v>2705</v>
      </c>
      <c r="I30" s="152" t="s">
        <v>2705</v>
      </c>
      <c r="J30" s="152" t="s">
        <v>2398</v>
      </c>
      <c r="K30" s="152" t="s">
        <v>2705</v>
      </c>
      <c r="L30" s="152" t="s">
        <v>2398</v>
      </c>
      <c r="M30" s="152" t="s">
        <v>2705</v>
      </c>
      <c r="N30" s="152" t="s">
        <v>2398</v>
      </c>
      <c r="O30" s="152" t="s">
        <v>2398</v>
      </c>
      <c r="P30" s="152" t="s">
        <v>2398</v>
      </c>
      <c r="Q30" s="152" t="s">
        <v>2705</v>
      </c>
      <c r="R30" s="152" t="s">
        <v>2705</v>
      </c>
      <c r="S30" s="152" t="s">
        <v>2398</v>
      </c>
      <c r="T30" s="152" t="s">
        <v>2705</v>
      </c>
      <c r="U30" s="152" t="s">
        <v>2675</v>
      </c>
    </row>
    <row r="31" spans="1:21" s="142" customFormat="1" ht="12.75" customHeight="1" x14ac:dyDescent="0.2">
      <c r="A31" s="151" t="s">
        <v>7332</v>
      </c>
      <c r="B31" s="152" t="s">
        <v>2705</v>
      </c>
      <c r="C31" s="152" t="s">
        <v>2705</v>
      </c>
      <c r="D31" s="152" t="s">
        <v>2705</v>
      </c>
      <c r="E31" s="152" t="s">
        <v>2705</v>
      </c>
      <c r="F31" s="152" t="s">
        <v>2705</v>
      </c>
      <c r="G31" s="152" t="s">
        <v>2705</v>
      </c>
      <c r="H31" s="152" t="s">
        <v>2705</v>
      </c>
      <c r="I31" s="152" t="s">
        <v>2705</v>
      </c>
      <c r="J31" s="152" t="s">
        <v>2705</v>
      </c>
      <c r="K31" s="152" t="s">
        <v>2398</v>
      </c>
      <c r="L31" s="152" t="s">
        <v>2705</v>
      </c>
      <c r="M31" s="152" t="s">
        <v>2705</v>
      </c>
      <c r="N31" s="152" t="s">
        <v>2675</v>
      </c>
      <c r="O31" s="152" t="s">
        <v>2398</v>
      </c>
      <c r="P31" s="152" t="s">
        <v>2705</v>
      </c>
      <c r="Q31" s="152" t="s">
        <v>1435</v>
      </c>
      <c r="R31" s="152" t="s">
        <v>2675</v>
      </c>
      <c r="S31" s="152" t="s">
        <v>2398</v>
      </c>
      <c r="T31" s="152" t="s">
        <v>2705</v>
      </c>
      <c r="U31" s="152" t="s">
        <v>2398</v>
      </c>
    </row>
    <row r="32" spans="1:21" s="142" customFormat="1" ht="12.75" x14ac:dyDescent="0.2">
      <c r="A32" s="151"/>
      <c r="B32" s="152" t="s">
        <v>2397</v>
      </c>
      <c r="C32" s="152" t="s">
        <v>2705</v>
      </c>
      <c r="D32" s="152" t="s">
        <v>2705</v>
      </c>
      <c r="E32" s="152" t="s">
        <v>2705</v>
      </c>
      <c r="F32" s="152" t="s">
        <v>2705</v>
      </c>
      <c r="G32" s="152" t="s">
        <v>2675</v>
      </c>
      <c r="H32" s="152" t="s">
        <v>2705</v>
      </c>
      <c r="I32" s="152" t="s">
        <v>2705</v>
      </c>
      <c r="J32" s="152" t="s">
        <v>2705</v>
      </c>
      <c r="K32" s="152" t="s">
        <v>2398</v>
      </c>
      <c r="L32" s="152" t="s">
        <v>2705</v>
      </c>
      <c r="M32" s="152" t="s">
        <v>2705</v>
      </c>
      <c r="N32" s="152" t="s">
        <v>2705</v>
      </c>
      <c r="O32" s="152" t="s">
        <v>2705</v>
      </c>
      <c r="P32" s="152" t="s">
        <v>2705</v>
      </c>
      <c r="Q32" s="152" t="s">
        <v>1435</v>
      </c>
      <c r="R32" s="152" t="s">
        <v>2705</v>
      </c>
      <c r="S32" s="152" t="s">
        <v>2705</v>
      </c>
      <c r="T32" s="152" t="s">
        <v>2398</v>
      </c>
      <c r="U32" s="152" t="s">
        <v>2705</v>
      </c>
    </row>
    <row r="33" spans="1:21" s="142" customFormat="1" ht="12.75" customHeight="1" x14ac:dyDescent="0.2">
      <c r="A33" s="151" t="s">
        <v>7333</v>
      </c>
      <c r="B33" s="152" t="s">
        <v>2705</v>
      </c>
      <c r="C33" s="152" t="s">
        <v>2705</v>
      </c>
      <c r="D33" s="152" t="s">
        <v>2705</v>
      </c>
      <c r="E33" s="152" t="s">
        <v>2705</v>
      </c>
      <c r="F33" s="152" t="s">
        <v>2705</v>
      </c>
      <c r="G33" s="152" t="s">
        <v>2705</v>
      </c>
      <c r="H33" s="152" t="s">
        <v>2705</v>
      </c>
      <c r="I33" s="152" t="s">
        <v>2398</v>
      </c>
      <c r="J33" s="152" t="s">
        <v>2705</v>
      </c>
      <c r="K33" s="152" t="s">
        <v>2705</v>
      </c>
      <c r="L33" s="152" t="s">
        <v>2705</v>
      </c>
      <c r="M33" s="152" t="s">
        <v>2705</v>
      </c>
      <c r="N33" s="152" t="s">
        <v>2705</v>
      </c>
      <c r="O33" s="152" t="s">
        <v>2398</v>
      </c>
      <c r="P33" s="152" t="s">
        <v>2675</v>
      </c>
      <c r="Q33" s="152" t="s">
        <v>1435</v>
      </c>
      <c r="R33" s="152" t="s">
        <v>2705</v>
      </c>
      <c r="S33" s="152" t="s">
        <v>2675</v>
      </c>
      <c r="T33" s="152" t="s">
        <v>2705</v>
      </c>
      <c r="U33" s="152" t="s">
        <v>2705</v>
      </c>
    </row>
    <row r="34" spans="1:21" s="142" customFormat="1" ht="12.75" x14ac:dyDescent="0.2">
      <c r="A34" s="151"/>
      <c r="B34" s="152" t="s">
        <v>2398</v>
      </c>
      <c r="C34" s="152" t="s">
        <v>2705</v>
      </c>
      <c r="D34" s="152" t="s">
        <v>2705</v>
      </c>
      <c r="E34" s="152" t="s">
        <v>2705</v>
      </c>
      <c r="F34" s="152" t="s">
        <v>2705</v>
      </c>
      <c r="G34" s="152" t="s">
        <v>2398</v>
      </c>
      <c r="H34" s="152" t="s">
        <v>2705</v>
      </c>
      <c r="I34" s="152" t="s">
        <v>2705</v>
      </c>
      <c r="J34" s="152" t="s">
        <v>2705</v>
      </c>
      <c r="K34" s="152" t="s">
        <v>2398</v>
      </c>
      <c r="L34" s="152" t="s">
        <v>2705</v>
      </c>
      <c r="M34" s="152" t="s">
        <v>2398</v>
      </c>
      <c r="N34" s="152" t="s">
        <v>2705</v>
      </c>
      <c r="O34" s="152" t="s">
        <v>2705</v>
      </c>
      <c r="P34" s="152" t="s">
        <v>2705</v>
      </c>
      <c r="Q34" s="152" t="s">
        <v>2398</v>
      </c>
      <c r="R34" s="152" t="s">
        <v>2398</v>
      </c>
      <c r="S34" s="152" t="s">
        <v>2705</v>
      </c>
      <c r="T34" s="152" t="s">
        <v>2705</v>
      </c>
      <c r="U34" s="152" t="s">
        <v>2398</v>
      </c>
    </row>
    <row r="35" spans="1:21" s="142" customFormat="1" ht="12.75" customHeight="1" x14ac:dyDescent="0.2">
      <c r="A35" s="151" t="s">
        <v>7334</v>
      </c>
      <c r="B35" s="152" t="s">
        <v>2398</v>
      </c>
      <c r="C35" s="152" t="s">
        <v>2398</v>
      </c>
      <c r="D35" s="152" t="s">
        <v>2398</v>
      </c>
      <c r="E35" s="152" t="s">
        <v>2705</v>
      </c>
      <c r="F35" s="152" t="s">
        <v>2705</v>
      </c>
      <c r="G35" s="152" t="s">
        <v>2705</v>
      </c>
      <c r="H35" s="152" t="s">
        <v>2705</v>
      </c>
      <c r="I35" s="152" t="s">
        <v>2705</v>
      </c>
      <c r="J35" s="152" t="s">
        <v>2705</v>
      </c>
      <c r="K35" s="152" t="s">
        <v>2398</v>
      </c>
      <c r="L35" s="152" t="s">
        <v>2398</v>
      </c>
      <c r="M35" s="152" t="s">
        <v>2705</v>
      </c>
      <c r="N35" s="152" t="s">
        <v>2705</v>
      </c>
      <c r="O35" s="152" t="s">
        <v>2398</v>
      </c>
      <c r="P35" s="152" t="s">
        <v>2705</v>
      </c>
      <c r="Q35" s="152" t="s">
        <v>2705</v>
      </c>
      <c r="R35" s="152" t="s">
        <v>2705</v>
      </c>
      <c r="S35" s="152" t="s">
        <v>2705</v>
      </c>
      <c r="T35" s="152" t="s">
        <v>2398</v>
      </c>
      <c r="U35" s="152" t="s">
        <v>2705</v>
      </c>
    </row>
    <row r="36" spans="1:21" s="142" customFormat="1" ht="12.75" x14ac:dyDescent="0.2">
      <c r="A36" s="151"/>
      <c r="B36" s="152" t="s">
        <v>2397</v>
      </c>
      <c r="C36" s="152" t="s">
        <v>2705</v>
      </c>
      <c r="D36" s="152" t="s">
        <v>2705</v>
      </c>
      <c r="E36" s="152" t="s">
        <v>2705</v>
      </c>
      <c r="F36" s="152" t="s">
        <v>2398</v>
      </c>
      <c r="G36" s="152" t="s">
        <v>2398</v>
      </c>
      <c r="H36" s="152" t="s">
        <v>2705</v>
      </c>
      <c r="I36" s="152" t="s">
        <v>2705</v>
      </c>
      <c r="J36" s="152" t="s">
        <v>2705</v>
      </c>
      <c r="K36" s="152" t="s">
        <v>2705</v>
      </c>
      <c r="L36" s="152" t="s">
        <v>2705</v>
      </c>
      <c r="M36" s="152" t="s">
        <v>2705</v>
      </c>
      <c r="N36" s="152" t="s">
        <v>2705</v>
      </c>
      <c r="O36" s="152" t="s">
        <v>2398</v>
      </c>
      <c r="P36" s="152" t="s">
        <v>2398</v>
      </c>
      <c r="Q36" s="152" t="s">
        <v>2705</v>
      </c>
      <c r="R36" s="152" t="s">
        <v>2705</v>
      </c>
      <c r="S36" s="152" t="s">
        <v>2705</v>
      </c>
      <c r="T36" s="152" t="s">
        <v>2705</v>
      </c>
      <c r="U36" s="152" t="s">
        <v>2675</v>
      </c>
    </row>
    <row r="37" spans="1:21" s="142" customFormat="1" ht="12.75" customHeight="1" x14ac:dyDescent="0.2">
      <c r="A37" s="151" t="s">
        <v>7335</v>
      </c>
      <c r="B37" s="152" t="s">
        <v>2705</v>
      </c>
      <c r="C37" s="152" t="s">
        <v>2705</v>
      </c>
      <c r="D37" s="152" t="s">
        <v>2398</v>
      </c>
      <c r="E37" s="152" t="s">
        <v>2398</v>
      </c>
      <c r="F37" s="152" t="s">
        <v>2398</v>
      </c>
      <c r="G37" s="152" t="s">
        <v>2705</v>
      </c>
      <c r="H37" s="152" t="s">
        <v>2398</v>
      </c>
      <c r="I37" s="152" t="s">
        <v>2398</v>
      </c>
      <c r="J37" s="152" t="s">
        <v>2705</v>
      </c>
      <c r="K37" s="152" t="s">
        <v>2705</v>
      </c>
      <c r="L37" s="152" t="s">
        <v>2705</v>
      </c>
      <c r="M37" s="152" t="s">
        <v>2705</v>
      </c>
      <c r="N37" s="152" t="s">
        <v>2705</v>
      </c>
      <c r="O37" s="152" t="s">
        <v>2705</v>
      </c>
      <c r="P37" s="152" t="s">
        <v>2398</v>
      </c>
      <c r="Q37" s="152" t="s">
        <v>2398</v>
      </c>
      <c r="R37" s="152" t="s">
        <v>2705</v>
      </c>
      <c r="S37" s="152" t="s">
        <v>2398</v>
      </c>
      <c r="T37" s="152" t="s">
        <v>2398</v>
      </c>
      <c r="U37" s="152" t="s">
        <v>2705</v>
      </c>
    </row>
    <row r="38" spans="1:21" s="142" customFormat="1" ht="12.75" x14ac:dyDescent="0.2">
      <c r="A38" s="151"/>
      <c r="B38" s="152" t="s">
        <v>2398</v>
      </c>
      <c r="C38" s="152" t="s">
        <v>1435</v>
      </c>
      <c r="D38" s="152" t="s">
        <v>2705</v>
      </c>
      <c r="E38" s="152" t="s">
        <v>2398</v>
      </c>
      <c r="F38" s="152" t="s">
        <v>2705</v>
      </c>
      <c r="G38" s="152" t="s">
        <v>1435</v>
      </c>
      <c r="H38" s="152" t="s">
        <v>2398</v>
      </c>
      <c r="I38" s="152" t="s">
        <v>2705</v>
      </c>
      <c r="J38" s="152" t="s">
        <v>2705</v>
      </c>
      <c r="K38" s="152" t="s">
        <v>2705</v>
      </c>
      <c r="L38" s="152" t="s">
        <v>1435</v>
      </c>
      <c r="M38" s="152" t="s">
        <v>2705</v>
      </c>
      <c r="N38" s="152" t="s">
        <v>2705</v>
      </c>
      <c r="O38" s="152" t="s">
        <v>2398</v>
      </c>
      <c r="P38" s="152" t="s">
        <v>2675</v>
      </c>
      <c r="Q38" s="152" t="s">
        <v>2705</v>
      </c>
      <c r="R38" s="152" t="s">
        <v>2398</v>
      </c>
      <c r="S38" s="152" t="s">
        <v>2675</v>
      </c>
      <c r="T38" s="152" t="s">
        <v>2705</v>
      </c>
      <c r="U38" s="152" t="s">
        <v>2705</v>
      </c>
    </row>
    <row r="39" spans="1:21" s="142" customFormat="1" ht="12.75" customHeight="1" x14ac:dyDescent="0.2">
      <c r="A39" s="151" t="s">
        <v>7336</v>
      </c>
      <c r="B39" s="152" t="s">
        <v>2398</v>
      </c>
      <c r="C39" s="152" t="s">
        <v>2398</v>
      </c>
      <c r="D39" s="152" t="s">
        <v>2398</v>
      </c>
      <c r="E39" s="152" t="s">
        <v>2398</v>
      </c>
      <c r="F39" s="152" t="s">
        <v>2705</v>
      </c>
      <c r="G39" s="152" t="s">
        <v>2705</v>
      </c>
      <c r="H39" s="152" t="s">
        <v>2705</v>
      </c>
      <c r="I39" s="152" t="s">
        <v>2398</v>
      </c>
      <c r="J39" s="152" t="s">
        <v>1435</v>
      </c>
      <c r="K39" s="152" t="s">
        <v>2398</v>
      </c>
      <c r="L39" s="152" t="s">
        <v>1435</v>
      </c>
      <c r="M39" s="152" t="s">
        <v>2705</v>
      </c>
      <c r="N39" s="152" t="s">
        <v>2398</v>
      </c>
      <c r="O39" s="152" t="s">
        <v>2398</v>
      </c>
      <c r="P39" s="152" t="s">
        <v>2705</v>
      </c>
      <c r="Q39" s="152" t="s">
        <v>2705</v>
      </c>
      <c r="R39" s="152" t="s">
        <v>2398</v>
      </c>
      <c r="S39" s="152" t="s">
        <v>2705</v>
      </c>
      <c r="T39" s="152" t="s">
        <v>2705</v>
      </c>
      <c r="U39" s="152" t="s">
        <v>2705</v>
      </c>
    </row>
    <row r="40" spans="1:21" s="142" customFormat="1" ht="12.75" x14ac:dyDescent="0.2">
      <c r="A40" s="151"/>
      <c r="B40" s="152" t="s">
        <v>2705</v>
      </c>
      <c r="C40" s="152" t="s">
        <v>2705</v>
      </c>
      <c r="D40" s="152" t="s">
        <v>2705</v>
      </c>
      <c r="E40" s="152" t="s">
        <v>2705</v>
      </c>
      <c r="F40" s="152" t="s">
        <v>2705</v>
      </c>
      <c r="G40" s="152" t="s">
        <v>2705</v>
      </c>
      <c r="H40" s="152" t="s">
        <v>2398</v>
      </c>
      <c r="I40" s="152" t="s">
        <v>2705</v>
      </c>
      <c r="J40" s="152" t="s">
        <v>2398</v>
      </c>
      <c r="K40" s="152" t="s">
        <v>2705</v>
      </c>
      <c r="L40" s="152" t="s">
        <v>2705</v>
      </c>
      <c r="M40" s="152" t="s">
        <v>2705</v>
      </c>
      <c r="N40" s="152" t="s">
        <v>2705</v>
      </c>
      <c r="O40" s="152" t="s">
        <v>2398</v>
      </c>
      <c r="P40" s="152" t="s">
        <v>2398</v>
      </c>
      <c r="Q40" s="152" t="s">
        <v>2705</v>
      </c>
      <c r="R40" s="152" t="s">
        <v>2705</v>
      </c>
      <c r="S40" s="152" t="s">
        <v>2705</v>
      </c>
      <c r="T40" s="152" t="s">
        <v>2705</v>
      </c>
      <c r="U40" s="152" t="s">
        <v>2398</v>
      </c>
    </row>
    <row r="41" spans="1:21" s="142" customFormat="1" ht="12.75" customHeight="1" x14ac:dyDescent="0.2">
      <c r="A41" s="151" t="s">
        <v>7337</v>
      </c>
      <c r="B41" s="152" t="s">
        <v>2398</v>
      </c>
      <c r="C41" s="152" t="s">
        <v>2705</v>
      </c>
      <c r="D41" s="152" t="s">
        <v>2705</v>
      </c>
      <c r="E41" s="152" t="s">
        <v>2705</v>
      </c>
      <c r="F41" s="152" t="s">
        <v>2397</v>
      </c>
      <c r="G41" s="152" t="s">
        <v>2398</v>
      </c>
      <c r="H41" s="152" t="s">
        <v>2398</v>
      </c>
      <c r="I41" s="152" t="s">
        <v>2705</v>
      </c>
      <c r="J41" s="152" t="s">
        <v>2705</v>
      </c>
      <c r="K41" s="152" t="s">
        <v>2705</v>
      </c>
      <c r="L41" s="152" t="s">
        <v>2705</v>
      </c>
      <c r="M41" s="152" t="s">
        <v>2398</v>
      </c>
      <c r="N41" s="152" t="s">
        <v>2705</v>
      </c>
      <c r="O41" s="152" t="s">
        <v>2705</v>
      </c>
      <c r="P41" s="152" t="s">
        <v>2705</v>
      </c>
      <c r="Q41" s="152" t="s">
        <v>2398</v>
      </c>
      <c r="R41" s="152" t="s">
        <v>2705</v>
      </c>
      <c r="S41" s="152" t="s">
        <v>2398</v>
      </c>
      <c r="T41" s="152" t="s">
        <v>2398</v>
      </c>
      <c r="U41" s="152" t="s">
        <v>2705</v>
      </c>
    </row>
    <row r="42" spans="1:21" s="142" customFormat="1" ht="12.75" x14ac:dyDescent="0.2">
      <c r="A42" s="151"/>
      <c r="B42" s="152" t="s">
        <v>2705</v>
      </c>
      <c r="C42" s="152" t="s">
        <v>2705</v>
      </c>
      <c r="D42" s="152" t="s">
        <v>2705</v>
      </c>
      <c r="E42" s="152" t="s">
        <v>2705</v>
      </c>
      <c r="F42" s="152" t="s">
        <v>2705</v>
      </c>
      <c r="G42" s="152" t="s">
        <v>2705</v>
      </c>
      <c r="H42" s="152" t="s">
        <v>2705</v>
      </c>
      <c r="I42" s="152" t="s">
        <v>2705</v>
      </c>
      <c r="J42" s="152" t="s">
        <v>2397</v>
      </c>
      <c r="K42" s="152" t="s">
        <v>2705</v>
      </c>
      <c r="L42" s="152" t="s">
        <v>2397</v>
      </c>
      <c r="M42" s="152" t="s">
        <v>2705</v>
      </c>
      <c r="N42" s="152" t="s">
        <v>2675</v>
      </c>
      <c r="O42" s="152" t="s">
        <v>2705</v>
      </c>
      <c r="P42" s="152" t="s">
        <v>2705</v>
      </c>
      <c r="Q42" s="152" t="s">
        <v>2705</v>
      </c>
      <c r="R42" s="152" t="s">
        <v>1435</v>
      </c>
      <c r="S42" s="152" t="s">
        <v>2705</v>
      </c>
      <c r="T42" s="152" t="s">
        <v>2705</v>
      </c>
      <c r="U42" s="152" t="s">
        <v>2675</v>
      </c>
    </row>
    <row r="43" spans="1:21" s="142" customFormat="1" ht="12.75" customHeight="1" x14ac:dyDescent="0.2">
      <c r="A43" s="151" t="s">
        <v>7338</v>
      </c>
      <c r="B43" s="152" t="s">
        <v>2705</v>
      </c>
      <c r="C43" s="152" t="s">
        <v>2705</v>
      </c>
      <c r="D43" s="152" t="s">
        <v>2705</v>
      </c>
      <c r="E43" s="152" t="s">
        <v>2705</v>
      </c>
      <c r="F43" s="152" t="s">
        <v>2705</v>
      </c>
      <c r="G43" s="152" t="s">
        <v>2705</v>
      </c>
      <c r="H43" s="152" t="s">
        <v>2705</v>
      </c>
      <c r="I43" s="152" t="s">
        <v>2398</v>
      </c>
      <c r="J43" s="152" t="s">
        <v>2398</v>
      </c>
      <c r="K43" s="152" t="s">
        <v>1435</v>
      </c>
      <c r="L43" s="152" t="s">
        <v>2705</v>
      </c>
      <c r="M43" s="152" t="s">
        <v>2398</v>
      </c>
      <c r="N43" s="152" t="s">
        <v>2675</v>
      </c>
      <c r="O43" s="152" t="s">
        <v>2398</v>
      </c>
      <c r="P43" s="152" t="s">
        <v>2397</v>
      </c>
      <c r="Q43" s="152" t="s">
        <v>2398</v>
      </c>
      <c r="R43" s="152" t="s">
        <v>2675</v>
      </c>
      <c r="S43" s="152" t="s">
        <v>2705</v>
      </c>
      <c r="T43" s="152" t="s">
        <v>2705</v>
      </c>
      <c r="U43" s="152" t="s">
        <v>1435</v>
      </c>
    </row>
    <row r="44" spans="1:21" s="142" customFormat="1" ht="12.75" x14ac:dyDescent="0.2">
      <c r="A44" s="151"/>
      <c r="B44" s="152" t="s">
        <v>2398</v>
      </c>
      <c r="C44" s="152" t="s">
        <v>2705</v>
      </c>
      <c r="D44" s="152" t="s">
        <v>2675</v>
      </c>
      <c r="E44" s="152" t="s">
        <v>2705</v>
      </c>
      <c r="F44" s="152" t="s">
        <v>2397</v>
      </c>
      <c r="G44" s="152" t="s">
        <v>1435</v>
      </c>
      <c r="H44" s="152" t="s">
        <v>2675</v>
      </c>
      <c r="I44" s="152" t="s">
        <v>2705</v>
      </c>
      <c r="J44" s="152" t="s">
        <v>2705</v>
      </c>
      <c r="K44" s="152" t="s">
        <v>2675</v>
      </c>
      <c r="L44" s="152" t="s">
        <v>2397</v>
      </c>
      <c r="M44" s="152" t="s">
        <v>2398</v>
      </c>
      <c r="N44" s="152" t="s">
        <v>2705</v>
      </c>
      <c r="O44" s="152" t="s">
        <v>2705</v>
      </c>
      <c r="P44" s="152" t="s">
        <v>2705</v>
      </c>
      <c r="Q44" s="152" t="s">
        <v>1435</v>
      </c>
      <c r="R44" s="152" t="s">
        <v>2705</v>
      </c>
      <c r="S44" s="152" t="s">
        <v>2705</v>
      </c>
      <c r="T44" s="152" t="s">
        <v>2398</v>
      </c>
      <c r="U44" s="152" t="s">
        <v>2705</v>
      </c>
    </row>
    <row r="45" spans="1:21" s="142" customFormat="1" ht="12.75" customHeight="1" x14ac:dyDescent="0.2">
      <c r="A45" s="151" t="s">
        <v>7339</v>
      </c>
      <c r="B45" s="152" t="s">
        <v>2705</v>
      </c>
      <c r="C45" s="152" t="s">
        <v>2705</v>
      </c>
      <c r="D45" s="152" t="s">
        <v>2675</v>
      </c>
      <c r="E45" s="152" t="s">
        <v>2398</v>
      </c>
      <c r="F45" s="152" t="s">
        <v>2705</v>
      </c>
      <c r="G45" s="152" t="s">
        <v>2705</v>
      </c>
      <c r="H45" s="152" t="s">
        <v>2398</v>
      </c>
      <c r="I45" s="152" t="s">
        <v>2675</v>
      </c>
      <c r="J45" s="152" t="s">
        <v>2705</v>
      </c>
      <c r="K45" s="152" t="s">
        <v>2398</v>
      </c>
      <c r="L45" s="152" t="s">
        <v>2675</v>
      </c>
      <c r="M45" s="152" t="s">
        <v>2705</v>
      </c>
      <c r="N45" s="152" t="s">
        <v>2705</v>
      </c>
      <c r="O45" s="152" t="s">
        <v>2398</v>
      </c>
      <c r="P45" s="152" t="s">
        <v>2705</v>
      </c>
      <c r="Q45" s="152" t="s">
        <v>2705</v>
      </c>
      <c r="R45" s="152" t="s">
        <v>2705</v>
      </c>
      <c r="S45" s="152" t="s">
        <v>2705</v>
      </c>
      <c r="T45" s="152" t="s">
        <v>2398</v>
      </c>
      <c r="U45" s="152" t="s">
        <v>2397</v>
      </c>
    </row>
    <row r="46" spans="1:21" s="142" customFormat="1" ht="12.75" x14ac:dyDescent="0.2">
      <c r="A46" s="151"/>
      <c r="B46" s="152" t="s">
        <v>2398</v>
      </c>
      <c r="C46" s="152" t="s">
        <v>2675</v>
      </c>
      <c r="D46" s="152" t="s">
        <v>1435</v>
      </c>
      <c r="E46" s="152" t="s">
        <v>2398</v>
      </c>
      <c r="F46" s="152" t="s">
        <v>2398</v>
      </c>
      <c r="G46" s="152" t="s">
        <v>2705</v>
      </c>
      <c r="H46" s="152" t="s">
        <v>2705</v>
      </c>
      <c r="I46" s="152" t="s">
        <v>2398</v>
      </c>
      <c r="J46" s="152" t="s">
        <v>2705</v>
      </c>
      <c r="K46" s="152" t="s">
        <v>2705</v>
      </c>
      <c r="L46" s="152" t="s">
        <v>2705</v>
      </c>
      <c r="M46" s="152" t="s">
        <v>2705</v>
      </c>
      <c r="N46" s="152" t="s">
        <v>2398</v>
      </c>
      <c r="O46" s="152" t="s">
        <v>2705</v>
      </c>
      <c r="P46" s="152" t="s">
        <v>2398</v>
      </c>
      <c r="Q46" s="152" t="s">
        <v>2705</v>
      </c>
      <c r="R46" s="152" t="s">
        <v>2398</v>
      </c>
      <c r="S46" s="152" t="s">
        <v>2705</v>
      </c>
      <c r="T46" s="152" t="s">
        <v>2705</v>
      </c>
      <c r="U46" s="152" t="s">
        <v>2705</v>
      </c>
    </row>
    <row r="47" spans="1:21" s="142" customFormat="1" ht="12.75" customHeight="1" x14ac:dyDescent="0.2">
      <c r="A47" s="151" t="s">
        <v>7340</v>
      </c>
      <c r="B47" s="152" t="s">
        <v>2705</v>
      </c>
      <c r="C47" s="152" t="s">
        <v>2705</v>
      </c>
      <c r="D47" s="152" t="s">
        <v>2705</v>
      </c>
      <c r="E47" s="152" t="s">
        <v>2705</v>
      </c>
      <c r="F47" s="152" t="s">
        <v>2398</v>
      </c>
      <c r="G47" s="152" t="s">
        <v>2398</v>
      </c>
      <c r="H47" s="152" t="s">
        <v>2705</v>
      </c>
      <c r="I47" s="152" t="s">
        <v>2398</v>
      </c>
      <c r="J47" s="152" t="s">
        <v>2675</v>
      </c>
      <c r="K47" s="152" t="s">
        <v>2398</v>
      </c>
      <c r="L47" s="152" t="s">
        <v>2398</v>
      </c>
      <c r="M47" s="152" t="s">
        <v>2398</v>
      </c>
      <c r="N47" s="152" t="s">
        <v>2705</v>
      </c>
      <c r="O47" s="152" t="s">
        <v>2705</v>
      </c>
      <c r="P47" s="152" t="s">
        <v>2705</v>
      </c>
      <c r="Q47" s="152" t="s">
        <v>2705</v>
      </c>
      <c r="R47" s="152" t="s">
        <v>2705</v>
      </c>
      <c r="S47" s="152" t="s">
        <v>2705</v>
      </c>
      <c r="T47" s="152" t="s">
        <v>2398</v>
      </c>
      <c r="U47" s="152" t="s">
        <v>2398</v>
      </c>
    </row>
    <row r="48" spans="1:21" s="142" customFormat="1" ht="12.75" x14ac:dyDescent="0.2">
      <c r="A48" s="151"/>
      <c r="B48" s="152" t="s">
        <v>2398</v>
      </c>
      <c r="C48" s="152" t="s">
        <v>2398</v>
      </c>
      <c r="D48" s="152" t="s">
        <v>2398</v>
      </c>
      <c r="E48" s="152" t="s">
        <v>2398</v>
      </c>
      <c r="F48" s="152" t="s">
        <v>2398</v>
      </c>
      <c r="G48" s="152" t="s">
        <v>2705</v>
      </c>
      <c r="H48" s="152" t="s">
        <v>2705</v>
      </c>
      <c r="I48" s="152" t="s">
        <v>2398</v>
      </c>
      <c r="J48" s="152" t="s">
        <v>2398</v>
      </c>
      <c r="K48" s="152" t="s">
        <v>2705</v>
      </c>
      <c r="L48" s="152" t="s">
        <v>2705</v>
      </c>
      <c r="M48" s="152" t="s">
        <v>2705</v>
      </c>
      <c r="N48" s="152" t="s">
        <v>2705</v>
      </c>
      <c r="O48" s="152" t="s">
        <v>2705</v>
      </c>
      <c r="P48" s="152" t="s">
        <v>2398</v>
      </c>
      <c r="Q48" s="152" t="s">
        <v>2705</v>
      </c>
      <c r="R48" s="152" t="s">
        <v>1435</v>
      </c>
      <c r="S48" s="152" t="s">
        <v>2705</v>
      </c>
      <c r="T48" s="152" t="s">
        <v>2705</v>
      </c>
      <c r="U48" s="152" t="s">
        <v>2398</v>
      </c>
    </row>
    <row r="49" spans="1:21" s="142" customFormat="1" ht="12.75" customHeight="1" x14ac:dyDescent="0.2">
      <c r="A49" s="151" t="s">
        <v>7341</v>
      </c>
      <c r="B49" s="152" t="s">
        <v>2675</v>
      </c>
      <c r="C49" s="152" t="s">
        <v>1435</v>
      </c>
      <c r="D49" s="152" t="s">
        <v>2705</v>
      </c>
      <c r="E49" s="152" t="s">
        <v>2398</v>
      </c>
      <c r="F49" s="152" t="s">
        <v>2398</v>
      </c>
      <c r="G49" s="152" t="s">
        <v>2705</v>
      </c>
      <c r="H49" s="152" t="s">
        <v>1435</v>
      </c>
      <c r="I49" s="152" t="s">
        <v>2675</v>
      </c>
      <c r="J49" s="152" t="s">
        <v>2675</v>
      </c>
      <c r="K49" s="152" t="s">
        <v>2705</v>
      </c>
      <c r="L49" s="152" t="s">
        <v>2398</v>
      </c>
      <c r="M49" s="152" t="s">
        <v>2705</v>
      </c>
      <c r="N49" s="152" t="s">
        <v>2705</v>
      </c>
      <c r="O49" s="152" t="s">
        <v>2705</v>
      </c>
      <c r="P49" s="152" t="s">
        <v>2705</v>
      </c>
      <c r="Q49" s="152" t="s">
        <v>2705</v>
      </c>
      <c r="R49" s="152" t="s">
        <v>2705</v>
      </c>
      <c r="S49" s="152" t="s">
        <v>2705</v>
      </c>
      <c r="T49" s="152" t="s">
        <v>2705</v>
      </c>
      <c r="U49" s="152" t="s">
        <v>2705</v>
      </c>
    </row>
    <row r="50" spans="1:21" s="142" customFormat="1" ht="12.75" x14ac:dyDescent="0.2">
      <c r="A50" s="151"/>
      <c r="B50" s="152" t="s">
        <v>2675</v>
      </c>
      <c r="C50" s="152" t="s">
        <v>2398</v>
      </c>
      <c r="D50" s="152" t="s">
        <v>2398</v>
      </c>
      <c r="E50" s="152" t="s">
        <v>2398</v>
      </c>
      <c r="F50" s="152" t="s">
        <v>2397</v>
      </c>
      <c r="G50" s="152" t="s">
        <v>2705</v>
      </c>
      <c r="H50" s="152" t="s">
        <v>2398</v>
      </c>
      <c r="I50" s="152" t="s">
        <v>2705</v>
      </c>
      <c r="J50" s="152" t="s">
        <v>2398</v>
      </c>
      <c r="K50" s="152" t="s">
        <v>2398</v>
      </c>
      <c r="L50" s="152" t="s">
        <v>2398</v>
      </c>
      <c r="M50" s="152" t="s">
        <v>2397</v>
      </c>
      <c r="N50" s="152" t="s">
        <v>2705</v>
      </c>
      <c r="O50" s="152" t="s">
        <v>2705</v>
      </c>
      <c r="P50" s="152" t="s">
        <v>2675</v>
      </c>
      <c r="Q50" s="152" t="s">
        <v>2705</v>
      </c>
      <c r="R50" s="152" t="s">
        <v>2705</v>
      </c>
      <c r="S50" s="152" t="s">
        <v>2705</v>
      </c>
      <c r="T50" s="152" t="s">
        <v>2398</v>
      </c>
      <c r="U50" s="152" t="s">
        <v>2705</v>
      </c>
    </row>
    <row r="51" spans="1:21" s="142" customFormat="1" ht="12.75" customHeight="1" x14ac:dyDescent="0.2">
      <c r="A51" s="151" t="s">
        <v>7342</v>
      </c>
      <c r="B51" s="152" t="s">
        <v>2705</v>
      </c>
      <c r="C51" s="152" t="s">
        <v>2398</v>
      </c>
      <c r="D51" s="152" t="s">
        <v>2705</v>
      </c>
      <c r="E51" s="152" t="s">
        <v>1435</v>
      </c>
      <c r="F51" s="152" t="s">
        <v>2705</v>
      </c>
      <c r="G51" s="152" t="s">
        <v>2705</v>
      </c>
      <c r="H51" s="152" t="s">
        <v>2705</v>
      </c>
      <c r="I51" s="152" t="s">
        <v>2705</v>
      </c>
      <c r="J51" s="152" t="s">
        <v>2705</v>
      </c>
      <c r="K51" s="152" t="s">
        <v>2705</v>
      </c>
      <c r="L51" s="152" t="s">
        <v>2398</v>
      </c>
      <c r="M51" s="152" t="s">
        <v>2705</v>
      </c>
      <c r="N51" s="152" t="s">
        <v>2705</v>
      </c>
      <c r="O51" s="152" t="s">
        <v>2398</v>
      </c>
      <c r="P51" s="152" t="s">
        <v>2675</v>
      </c>
      <c r="Q51" s="152" t="s">
        <v>2705</v>
      </c>
      <c r="R51" s="152" t="s">
        <v>2705</v>
      </c>
      <c r="S51" s="152" t="s">
        <v>2705</v>
      </c>
      <c r="T51" s="152" t="s">
        <v>2705</v>
      </c>
      <c r="U51" s="152" t="s">
        <v>2398</v>
      </c>
    </row>
    <row r="52" spans="1:21" s="142" customFormat="1" ht="12.75" x14ac:dyDescent="0.2">
      <c r="A52" s="151"/>
      <c r="B52" s="152" t="s">
        <v>2398</v>
      </c>
      <c r="C52" s="152" t="s">
        <v>2705</v>
      </c>
      <c r="D52" s="152" t="s">
        <v>2705</v>
      </c>
      <c r="E52" s="152" t="s">
        <v>2705</v>
      </c>
      <c r="F52" s="152" t="s">
        <v>2705</v>
      </c>
      <c r="G52" s="152" t="s">
        <v>2398</v>
      </c>
      <c r="H52" s="152" t="s">
        <v>2398</v>
      </c>
      <c r="I52" s="152" t="s">
        <v>2705</v>
      </c>
      <c r="J52" s="152" t="s">
        <v>2705</v>
      </c>
      <c r="K52" s="152" t="s">
        <v>2705</v>
      </c>
      <c r="L52" s="152" t="s">
        <v>2398</v>
      </c>
      <c r="M52" s="152" t="s">
        <v>2398</v>
      </c>
      <c r="N52" s="152" t="s">
        <v>2398</v>
      </c>
      <c r="O52" s="152" t="s">
        <v>2705</v>
      </c>
      <c r="P52" s="152" t="s">
        <v>2705</v>
      </c>
      <c r="Q52" s="152" t="s">
        <v>2705</v>
      </c>
      <c r="R52" s="152" t="s">
        <v>2398</v>
      </c>
      <c r="S52" s="152" t="s">
        <v>2705</v>
      </c>
      <c r="T52" s="152" t="s">
        <v>2398</v>
      </c>
      <c r="U52" s="152" t="s">
        <v>2705</v>
      </c>
    </row>
    <row r="53" spans="1:21" s="142" customFormat="1" ht="12.75" customHeight="1" x14ac:dyDescent="0.2">
      <c r="A53" s="151" t="s">
        <v>7343</v>
      </c>
      <c r="B53" s="152" t="s">
        <v>2705</v>
      </c>
      <c r="C53" s="152" t="s">
        <v>2705</v>
      </c>
      <c r="D53" s="152" t="s">
        <v>2705</v>
      </c>
      <c r="E53" s="152" t="s">
        <v>2398</v>
      </c>
      <c r="F53" s="152" t="s">
        <v>2398</v>
      </c>
      <c r="G53" s="152" t="s">
        <v>2705</v>
      </c>
      <c r="H53" s="152" t="s">
        <v>2705</v>
      </c>
      <c r="I53" s="152" t="s">
        <v>2705</v>
      </c>
      <c r="J53" s="152" t="s">
        <v>2705</v>
      </c>
      <c r="K53" s="152" t="s">
        <v>1435</v>
      </c>
      <c r="L53" s="152" t="s">
        <v>2705</v>
      </c>
      <c r="M53" s="152" t="s">
        <v>2398</v>
      </c>
      <c r="N53" s="152" t="s">
        <v>2398</v>
      </c>
      <c r="O53" s="152" t="s">
        <v>2705</v>
      </c>
      <c r="P53" s="152" t="s">
        <v>2398</v>
      </c>
      <c r="Q53" s="152" t="s">
        <v>2705</v>
      </c>
      <c r="R53" s="152" t="s">
        <v>2398</v>
      </c>
      <c r="S53" s="152" t="s">
        <v>2705</v>
      </c>
      <c r="T53" s="152" t="s">
        <v>2705</v>
      </c>
      <c r="U53" s="152" t="s">
        <v>2705</v>
      </c>
    </row>
    <row r="54" spans="1:21" s="142" customFormat="1" ht="12.75" x14ac:dyDescent="0.2">
      <c r="A54" s="151"/>
      <c r="B54" s="152" t="s">
        <v>2705</v>
      </c>
      <c r="C54" s="152" t="s">
        <v>2705</v>
      </c>
      <c r="D54" s="152" t="s">
        <v>2398</v>
      </c>
      <c r="E54" s="152" t="s">
        <v>2705</v>
      </c>
      <c r="F54" s="152" t="s">
        <v>2705</v>
      </c>
      <c r="G54" s="152" t="s">
        <v>2675</v>
      </c>
      <c r="H54" s="152" t="s">
        <v>2705</v>
      </c>
      <c r="I54" s="152" t="s">
        <v>2705</v>
      </c>
      <c r="J54" s="152" t="s">
        <v>2398</v>
      </c>
      <c r="K54" s="152" t="s">
        <v>2705</v>
      </c>
      <c r="L54" s="152" t="s">
        <v>2398</v>
      </c>
      <c r="M54" s="152" t="s">
        <v>2397</v>
      </c>
      <c r="N54" s="152" t="s">
        <v>2705</v>
      </c>
      <c r="O54" s="152" t="s">
        <v>2398</v>
      </c>
      <c r="P54" s="152" t="s">
        <v>2398</v>
      </c>
      <c r="Q54" s="152" t="s">
        <v>2398</v>
      </c>
      <c r="R54" s="152" t="s">
        <v>2398</v>
      </c>
      <c r="S54" s="152" t="s">
        <v>2705</v>
      </c>
      <c r="T54" s="152" t="s">
        <v>2397</v>
      </c>
      <c r="U54" s="152" t="s">
        <v>2398</v>
      </c>
    </row>
    <row r="55" spans="1:21" s="142" customFormat="1" ht="12.75" customHeight="1" x14ac:dyDescent="0.2">
      <c r="A55" s="151" t="s">
        <v>7344</v>
      </c>
      <c r="B55" s="152" t="s">
        <v>2398</v>
      </c>
      <c r="C55" s="152" t="s">
        <v>2675</v>
      </c>
      <c r="D55" s="152" t="s">
        <v>2398</v>
      </c>
      <c r="E55" s="152" t="s">
        <v>2398</v>
      </c>
      <c r="F55" s="152" t="s">
        <v>2398</v>
      </c>
      <c r="G55" s="152" t="s">
        <v>2705</v>
      </c>
      <c r="H55" s="152" t="s">
        <v>2398</v>
      </c>
      <c r="I55" s="152" t="s">
        <v>2705</v>
      </c>
      <c r="J55" s="152" t="s">
        <v>2705</v>
      </c>
      <c r="K55" s="152" t="s">
        <v>2705</v>
      </c>
      <c r="L55" s="152" t="s">
        <v>2705</v>
      </c>
      <c r="M55" s="152" t="s">
        <v>2705</v>
      </c>
      <c r="N55" s="152" t="s">
        <v>2398</v>
      </c>
      <c r="O55" s="152" t="s">
        <v>2705</v>
      </c>
      <c r="P55" s="152" t="s">
        <v>2398</v>
      </c>
      <c r="Q55" s="152" t="s">
        <v>2675</v>
      </c>
      <c r="R55" s="152" t="s">
        <v>2398</v>
      </c>
      <c r="S55" s="152" t="s">
        <v>2398</v>
      </c>
      <c r="T55" s="152" t="s">
        <v>2398</v>
      </c>
      <c r="U55" s="152" t="s">
        <v>2398</v>
      </c>
    </row>
    <row r="56" spans="1:21" s="142" customFormat="1" ht="12.75" x14ac:dyDescent="0.2">
      <c r="A56" s="151"/>
      <c r="B56" s="152" t="s">
        <v>2705</v>
      </c>
      <c r="C56" s="152" t="s">
        <v>2705</v>
      </c>
      <c r="D56" s="152" t="s">
        <v>2705</v>
      </c>
      <c r="E56" s="152" t="s">
        <v>2398</v>
      </c>
      <c r="F56" s="152" t="s">
        <v>2398</v>
      </c>
      <c r="G56" s="152" t="s">
        <v>2398</v>
      </c>
      <c r="H56" s="152" t="s">
        <v>2398</v>
      </c>
      <c r="I56" s="152" t="s">
        <v>2705</v>
      </c>
      <c r="J56" s="152" t="s">
        <v>2705</v>
      </c>
      <c r="K56" s="152" t="s">
        <v>2398</v>
      </c>
      <c r="L56" s="152" t="s">
        <v>2705</v>
      </c>
      <c r="M56" s="152" t="s">
        <v>2705</v>
      </c>
      <c r="N56" s="152" t="s">
        <v>2398</v>
      </c>
      <c r="O56" s="152" t="s">
        <v>2705</v>
      </c>
      <c r="P56" s="152" t="s">
        <v>2705</v>
      </c>
      <c r="Q56" s="152" t="s">
        <v>2705</v>
      </c>
      <c r="R56" s="152" t="s">
        <v>1435</v>
      </c>
      <c r="S56" s="152" t="s">
        <v>2398</v>
      </c>
      <c r="T56" s="152" t="s">
        <v>2398</v>
      </c>
      <c r="U56" s="152" t="s">
        <v>2398</v>
      </c>
    </row>
    <row r="57" spans="1:21" s="142" customFormat="1" ht="12.75" customHeight="1" x14ac:dyDescent="0.2">
      <c r="A57" s="151" t="s">
        <v>7345</v>
      </c>
      <c r="B57" s="152" t="s">
        <v>2398</v>
      </c>
      <c r="C57" s="152" t="s">
        <v>2675</v>
      </c>
      <c r="D57" s="152" t="s">
        <v>2705</v>
      </c>
      <c r="E57" s="152" t="s">
        <v>2705</v>
      </c>
      <c r="F57" s="152" t="s">
        <v>2705</v>
      </c>
      <c r="G57" s="152" t="s">
        <v>2705</v>
      </c>
      <c r="H57" s="152" t="s">
        <v>2398</v>
      </c>
      <c r="I57" s="152" t="s">
        <v>2398</v>
      </c>
      <c r="J57" s="152" t="s">
        <v>2705</v>
      </c>
      <c r="K57" s="152" t="s">
        <v>2398</v>
      </c>
      <c r="L57" s="152" t="s">
        <v>2675</v>
      </c>
      <c r="M57" s="152" t="s">
        <v>2705</v>
      </c>
      <c r="N57" s="152" t="s">
        <v>2705</v>
      </c>
      <c r="O57" s="152" t="s">
        <v>2705</v>
      </c>
      <c r="P57" s="152" t="s">
        <v>2705</v>
      </c>
      <c r="Q57" s="152" t="s">
        <v>2705</v>
      </c>
      <c r="R57" s="152" t="s">
        <v>2398</v>
      </c>
      <c r="S57" s="152" t="s">
        <v>2398</v>
      </c>
      <c r="T57" s="152" t="s">
        <v>2398</v>
      </c>
      <c r="U57" s="152" t="s">
        <v>2398</v>
      </c>
    </row>
    <row r="58" spans="1:21" s="142" customFormat="1" ht="12.75" x14ac:dyDescent="0.2">
      <c r="A58" s="151"/>
      <c r="B58" s="152" t="s">
        <v>1435</v>
      </c>
      <c r="C58" s="152" t="s">
        <v>2675</v>
      </c>
      <c r="D58" s="152" t="s">
        <v>2398</v>
      </c>
      <c r="E58" s="152" t="s">
        <v>2705</v>
      </c>
      <c r="F58" s="152" t="s">
        <v>2397</v>
      </c>
      <c r="G58" s="152" t="s">
        <v>1435</v>
      </c>
      <c r="H58" s="152" t="s">
        <v>2705</v>
      </c>
      <c r="I58" s="152" t="s">
        <v>1435</v>
      </c>
      <c r="J58" s="152" t="s">
        <v>2398</v>
      </c>
      <c r="K58" s="152" t="s">
        <v>2705</v>
      </c>
      <c r="L58" s="152" t="s">
        <v>2397</v>
      </c>
      <c r="M58" s="152" t="s">
        <v>2705</v>
      </c>
      <c r="N58" s="152" t="s">
        <v>2397</v>
      </c>
      <c r="O58" s="152" t="s">
        <v>2397</v>
      </c>
      <c r="P58" s="152" t="s">
        <v>2705</v>
      </c>
      <c r="Q58" s="152" t="s">
        <v>2397</v>
      </c>
      <c r="R58" s="152" t="s">
        <v>2398</v>
      </c>
      <c r="S58" s="152" t="s">
        <v>2705</v>
      </c>
      <c r="T58" s="152" t="s">
        <v>2705</v>
      </c>
      <c r="U58" s="152" t="s">
        <v>2398</v>
      </c>
    </row>
    <row r="59" spans="1:21" s="142" customFormat="1" ht="12.75" customHeight="1" x14ac:dyDescent="0.2">
      <c r="A59" s="151" t="s">
        <v>7346</v>
      </c>
      <c r="B59" s="152" t="s">
        <v>2398</v>
      </c>
      <c r="C59" s="152" t="s">
        <v>2398</v>
      </c>
      <c r="D59" s="152" t="s">
        <v>2398</v>
      </c>
      <c r="E59" s="152" t="s">
        <v>2705</v>
      </c>
      <c r="F59" s="152" t="s">
        <v>2398</v>
      </c>
      <c r="G59" s="152" t="s">
        <v>2675</v>
      </c>
      <c r="H59" s="152" t="s">
        <v>2705</v>
      </c>
      <c r="I59" s="152" t="s">
        <v>2705</v>
      </c>
      <c r="J59" s="152" t="s">
        <v>2705</v>
      </c>
      <c r="K59" s="152" t="s">
        <v>2398</v>
      </c>
      <c r="L59" s="152" t="s">
        <v>2398</v>
      </c>
      <c r="M59" s="152" t="s">
        <v>2398</v>
      </c>
      <c r="N59" s="152" t="s">
        <v>2705</v>
      </c>
      <c r="O59" s="152" t="s">
        <v>2705</v>
      </c>
      <c r="P59" s="152" t="s">
        <v>2398</v>
      </c>
      <c r="Q59" s="152" t="s">
        <v>2398</v>
      </c>
      <c r="R59" s="152" t="s">
        <v>2705</v>
      </c>
      <c r="S59" s="152" t="s">
        <v>2398</v>
      </c>
      <c r="T59" s="152" t="s">
        <v>2398</v>
      </c>
      <c r="U59" s="152" t="s">
        <v>2398</v>
      </c>
    </row>
    <row r="60" spans="1:21" s="142" customFormat="1" ht="12.75" x14ac:dyDescent="0.2">
      <c r="A60" s="151"/>
      <c r="B60" s="152" t="s">
        <v>2705</v>
      </c>
      <c r="C60" s="152" t="s">
        <v>2705</v>
      </c>
      <c r="D60" s="152" t="s">
        <v>2705</v>
      </c>
      <c r="E60" s="152" t="s">
        <v>2398</v>
      </c>
      <c r="F60" s="152" t="s">
        <v>2705</v>
      </c>
      <c r="G60" s="152" t="s">
        <v>2705</v>
      </c>
      <c r="H60" s="152" t="s">
        <v>2398</v>
      </c>
      <c r="I60" s="152" t="s">
        <v>2398</v>
      </c>
      <c r="J60" s="152" t="s">
        <v>2705</v>
      </c>
      <c r="K60" s="152" t="s">
        <v>1435</v>
      </c>
      <c r="L60" s="152" t="s">
        <v>2398</v>
      </c>
      <c r="M60" s="152" t="s">
        <v>1435</v>
      </c>
      <c r="N60" s="152" t="s">
        <v>2398</v>
      </c>
      <c r="O60" s="152" t="s">
        <v>2705</v>
      </c>
      <c r="P60" s="152" t="s">
        <v>2675</v>
      </c>
      <c r="Q60" s="152" t="s">
        <v>2705</v>
      </c>
      <c r="R60" s="152" t="s">
        <v>1435</v>
      </c>
      <c r="S60" s="152" t="s">
        <v>2397</v>
      </c>
      <c r="T60" s="152" t="s">
        <v>1435</v>
      </c>
      <c r="U60" s="152" t="s">
        <v>2397</v>
      </c>
    </row>
    <row r="61" spans="1:21" s="142" customFormat="1" ht="12.75" customHeight="1" x14ac:dyDescent="0.2">
      <c r="A61" s="151" t="s">
        <v>7347</v>
      </c>
      <c r="B61" s="152" t="s">
        <v>2398</v>
      </c>
      <c r="C61" s="152" t="s">
        <v>2675</v>
      </c>
      <c r="D61" s="152" t="s">
        <v>2398</v>
      </c>
      <c r="E61" s="152" t="s">
        <v>2397</v>
      </c>
      <c r="F61" s="152" t="s">
        <v>2397</v>
      </c>
      <c r="G61" s="152" t="s">
        <v>2705</v>
      </c>
      <c r="H61" s="152" t="s">
        <v>2397</v>
      </c>
      <c r="I61" s="152" t="s">
        <v>2705</v>
      </c>
      <c r="J61" s="152" t="s">
        <v>2675</v>
      </c>
      <c r="K61" s="152" t="s">
        <v>2398</v>
      </c>
      <c r="L61" s="152" t="s">
        <v>2398</v>
      </c>
      <c r="M61" s="152" t="s">
        <v>2398</v>
      </c>
      <c r="N61" s="152" t="s">
        <v>2675</v>
      </c>
      <c r="O61" s="152" t="s">
        <v>2675</v>
      </c>
      <c r="P61" s="152" t="s">
        <v>2705</v>
      </c>
      <c r="Q61" s="152" t="s">
        <v>2705</v>
      </c>
      <c r="R61" s="152" t="s">
        <v>2675</v>
      </c>
      <c r="S61" s="152" t="s">
        <v>2705</v>
      </c>
      <c r="T61" s="152" t="s">
        <v>2398</v>
      </c>
      <c r="U61" s="152" t="s">
        <v>2705</v>
      </c>
    </row>
    <row r="62" spans="1:21" s="142" customFormat="1" ht="12.75" x14ac:dyDescent="0.2">
      <c r="A62" s="151"/>
      <c r="B62" s="152" t="s">
        <v>2398</v>
      </c>
      <c r="C62" s="152" t="s">
        <v>2675</v>
      </c>
      <c r="D62" s="152" t="s">
        <v>2398</v>
      </c>
      <c r="E62" s="152" t="s">
        <v>2675</v>
      </c>
      <c r="F62" s="152" t="s">
        <v>2705</v>
      </c>
      <c r="G62" s="152" t="s">
        <v>2705</v>
      </c>
      <c r="H62" s="152" t="s">
        <v>2398</v>
      </c>
      <c r="I62" s="152" t="s">
        <v>1435</v>
      </c>
      <c r="J62" s="152" t="s">
        <v>2398</v>
      </c>
      <c r="K62" s="152" t="s">
        <v>2398</v>
      </c>
      <c r="L62" s="152" t="s">
        <v>2705</v>
      </c>
      <c r="M62" s="152" t="s">
        <v>2397</v>
      </c>
      <c r="N62" s="152" t="s">
        <v>2705</v>
      </c>
      <c r="O62" s="152" t="s">
        <v>2398</v>
      </c>
      <c r="P62" s="152" t="s">
        <v>2705</v>
      </c>
      <c r="Q62" s="152" t="s">
        <v>2705</v>
      </c>
      <c r="R62" s="152" t="s">
        <v>2397</v>
      </c>
      <c r="S62" s="152" t="s">
        <v>2675</v>
      </c>
      <c r="T62" s="152" t="s">
        <v>2398</v>
      </c>
      <c r="U62" s="152" t="s">
        <v>2398</v>
      </c>
    </row>
    <row r="63" spans="1:21" s="142" customFormat="1" ht="12.75" customHeight="1" x14ac:dyDescent="0.2">
      <c r="A63" s="151" t="s">
        <v>7348</v>
      </c>
      <c r="B63" s="152" t="s">
        <v>2705</v>
      </c>
      <c r="C63" s="152" t="s">
        <v>2398</v>
      </c>
      <c r="D63" s="152" t="s">
        <v>2398</v>
      </c>
      <c r="E63" s="152" t="s">
        <v>2398</v>
      </c>
      <c r="F63" s="152" t="s">
        <v>2705</v>
      </c>
      <c r="G63" s="152" t="s">
        <v>2398</v>
      </c>
      <c r="H63" s="152" t="s">
        <v>2398</v>
      </c>
      <c r="I63" s="152" t="s">
        <v>2398</v>
      </c>
      <c r="J63" s="152" t="s">
        <v>2705</v>
      </c>
      <c r="K63" s="152" t="s">
        <v>2398</v>
      </c>
      <c r="L63" s="152" t="s">
        <v>2675</v>
      </c>
      <c r="M63" s="152" t="s">
        <v>2705</v>
      </c>
      <c r="N63" s="152" t="s">
        <v>2705</v>
      </c>
      <c r="O63" s="152" t="s">
        <v>2398</v>
      </c>
      <c r="P63" s="152" t="s">
        <v>2398</v>
      </c>
      <c r="Q63" s="152" t="s">
        <v>2398</v>
      </c>
      <c r="R63" s="152" t="s">
        <v>2705</v>
      </c>
      <c r="S63" s="152" t="s">
        <v>2705</v>
      </c>
      <c r="T63" s="152" t="s">
        <v>2398</v>
      </c>
      <c r="U63" s="152" t="s">
        <v>2705</v>
      </c>
    </row>
    <row r="64" spans="1:21" s="142" customFormat="1" ht="12.75" x14ac:dyDescent="0.2">
      <c r="A64" s="151"/>
      <c r="B64" s="152" t="s">
        <v>2397</v>
      </c>
      <c r="C64" s="152" t="s">
        <v>2705</v>
      </c>
      <c r="D64" s="152" t="s">
        <v>2398</v>
      </c>
      <c r="E64" s="152" t="s">
        <v>2675</v>
      </c>
      <c r="F64" s="152" t="s">
        <v>2398</v>
      </c>
      <c r="G64" s="152" t="s">
        <v>2398</v>
      </c>
      <c r="H64" s="152" t="s">
        <v>2705</v>
      </c>
      <c r="I64" s="152" t="s">
        <v>2705</v>
      </c>
      <c r="J64" s="152" t="s">
        <v>2705</v>
      </c>
      <c r="K64" s="152" t="s">
        <v>2705</v>
      </c>
      <c r="L64" s="152" t="s">
        <v>2705</v>
      </c>
      <c r="M64" s="152" t="s">
        <v>2705</v>
      </c>
      <c r="N64" s="152" t="s">
        <v>2705</v>
      </c>
      <c r="O64" s="152" t="s">
        <v>2705</v>
      </c>
      <c r="P64" s="152" t="s">
        <v>2705</v>
      </c>
      <c r="Q64" s="152" t="s">
        <v>2705</v>
      </c>
      <c r="R64" s="152" t="s">
        <v>1435</v>
      </c>
      <c r="S64" s="152" t="s">
        <v>2705</v>
      </c>
      <c r="T64" s="152" t="s">
        <v>2705</v>
      </c>
      <c r="U64" s="152" t="s">
        <v>2705</v>
      </c>
    </row>
    <row r="65" spans="1:21" s="142" customFormat="1" ht="12.75" customHeight="1" x14ac:dyDescent="0.2">
      <c r="A65" s="151" t="s">
        <v>7349</v>
      </c>
      <c r="B65" s="152" t="s">
        <v>2705</v>
      </c>
      <c r="C65" s="152" t="s">
        <v>2705</v>
      </c>
      <c r="D65" s="152" t="s">
        <v>2705</v>
      </c>
      <c r="E65" s="152" t="s">
        <v>2705</v>
      </c>
      <c r="F65" s="152" t="s">
        <v>2705</v>
      </c>
      <c r="G65" s="152" t="s">
        <v>2705</v>
      </c>
      <c r="H65" s="152" t="s">
        <v>2705</v>
      </c>
      <c r="I65" s="152" t="s">
        <v>2705</v>
      </c>
      <c r="J65" s="152" t="s">
        <v>2705</v>
      </c>
      <c r="K65" s="152" t="s">
        <v>2398</v>
      </c>
      <c r="L65" s="152" t="s">
        <v>2705</v>
      </c>
      <c r="M65" s="152" t="s">
        <v>2705</v>
      </c>
      <c r="N65" s="152" t="s">
        <v>2675</v>
      </c>
      <c r="O65" s="152" t="s">
        <v>2398</v>
      </c>
      <c r="P65" s="152" t="s">
        <v>2705</v>
      </c>
      <c r="Q65" s="152" t="s">
        <v>2398</v>
      </c>
      <c r="R65" s="152" t="s">
        <v>2398</v>
      </c>
      <c r="S65" s="152" t="s">
        <v>2398</v>
      </c>
      <c r="T65" s="152" t="s">
        <v>2705</v>
      </c>
      <c r="U65" s="152" t="s">
        <v>2398</v>
      </c>
    </row>
    <row r="66" spans="1:21" s="142" customFormat="1" ht="12.75" x14ac:dyDescent="0.2">
      <c r="A66" s="151"/>
      <c r="B66" s="152" t="s">
        <v>2398</v>
      </c>
      <c r="C66" s="152" t="s">
        <v>2705</v>
      </c>
      <c r="D66" s="152" t="s">
        <v>2705</v>
      </c>
      <c r="E66" s="152" t="s">
        <v>2705</v>
      </c>
      <c r="F66" s="152" t="s">
        <v>2705</v>
      </c>
      <c r="G66" s="152" t="s">
        <v>2675</v>
      </c>
      <c r="H66" s="152" t="s">
        <v>2705</v>
      </c>
      <c r="I66" s="152" t="s">
        <v>2705</v>
      </c>
      <c r="J66" s="152" t="s">
        <v>2705</v>
      </c>
      <c r="K66" s="152" t="s">
        <v>2398</v>
      </c>
      <c r="L66" s="152" t="s">
        <v>2705</v>
      </c>
      <c r="M66" s="152" t="s">
        <v>2398</v>
      </c>
      <c r="N66" s="152" t="s">
        <v>2705</v>
      </c>
      <c r="O66" s="152" t="s">
        <v>2705</v>
      </c>
      <c r="P66" s="152" t="s">
        <v>2705</v>
      </c>
      <c r="Q66" s="152" t="s">
        <v>2398</v>
      </c>
      <c r="R66" s="152" t="s">
        <v>2705</v>
      </c>
      <c r="S66" s="152" t="s">
        <v>2705</v>
      </c>
      <c r="T66" s="152" t="s">
        <v>2705</v>
      </c>
      <c r="U66" s="152" t="s">
        <v>2705</v>
      </c>
    </row>
    <row r="67" spans="1:21" s="142" customFormat="1" ht="12.75" customHeight="1" x14ac:dyDescent="0.2">
      <c r="A67" s="151" t="s">
        <v>7350</v>
      </c>
      <c r="B67" s="152" t="s">
        <v>2705</v>
      </c>
      <c r="C67" s="152" t="s">
        <v>2398</v>
      </c>
      <c r="D67" s="152" t="s">
        <v>2705</v>
      </c>
      <c r="E67" s="152" t="s">
        <v>2398</v>
      </c>
      <c r="F67" s="152" t="s">
        <v>2398</v>
      </c>
      <c r="G67" s="152" t="s">
        <v>2705</v>
      </c>
      <c r="H67" s="152" t="s">
        <v>2705</v>
      </c>
      <c r="I67" s="152" t="s">
        <v>2398</v>
      </c>
      <c r="J67" s="152" t="s">
        <v>2705</v>
      </c>
      <c r="K67" s="152" t="s">
        <v>2705</v>
      </c>
      <c r="L67" s="152" t="s">
        <v>1435</v>
      </c>
      <c r="M67" s="152" t="s">
        <v>2705</v>
      </c>
      <c r="N67" s="152" t="s">
        <v>2398</v>
      </c>
      <c r="O67" s="152" t="s">
        <v>2398</v>
      </c>
      <c r="P67" s="152" t="s">
        <v>2398</v>
      </c>
      <c r="Q67" s="152" t="s">
        <v>2705</v>
      </c>
      <c r="R67" s="152" t="s">
        <v>2705</v>
      </c>
      <c r="S67" s="152" t="s">
        <v>2705</v>
      </c>
      <c r="T67" s="152" t="s">
        <v>2398</v>
      </c>
      <c r="U67" s="152" t="s">
        <v>2705</v>
      </c>
    </row>
    <row r="68" spans="1:21" s="142" customFormat="1" ht="12.75" x14ac:dyDescent="0.2">
      <c r="A68" s="151"/>
      <c r="B68" s="152" t="s">
        <v>2675</v>
      </c>
      <c r="C68" s="152" t="s">
        <v>2398</v>
      </c>
      <c r="D68" s="152" t="s">
        <v>2705</v>
      </c>
      <c r="E68" s="152" t="s">
        <v>2705</v>
      </c>
      <c r="F68" s="152" t="s">
        <v>2705</v>
      </c>
      <c r="G68" s="152" t="s">
        <v>2705</v>
      </c>
      <c r="H68" s="152" t="s">
        <v>2398</v>
      </c>
      <c r="I68" s="152" t="s">
        <v>2398</v>
      </c>
      <c r="J68" s="152" t="s">
        <v>2705</v>
      </c>
      <c r="K68" s="152" t="s">
        <v>2398</v>
      </c>
      <c r="L68" s="152" t="s">
        <v>2705</v>
      </c>
      <c r="M68" s="152" t="s">
        <v>2397</v>
      </c>
      <c r="N68" s="152" t="s">
        <v>2705</v>
      </c>
      <c r="O68" s="152" t="s">
        <v>2398</v>
      </c>
      <c r="P68" s="152" t="s">
        <v>2398</v>
      </c>
      <c r="Q68" s="152" t="s">
        <v>2398</v>
      </c>
      <c r="R68" s="152" t="s">
        <v>2398</v>
      </c>
      <c r="S68" s="152" t="s">
        <v>2705</v>
      </c>
      <c r="T68" s="152" t="s">
        <v>2705</v>
      </c>
      <c r="U68" s="152" t="s">
        <v>2705</v>
      </c>
    </row>
    <row r="69" spans="1:21" s="142" customFormat="1" ht="12.75" customHeight="1" x14ac:dyDescent="0.2">
      <c r="A69" s="151" t="s">
        <v>7351</v>
      </c>
      <c r="B69" s="152" t="s">
        <v>2398</v>
      </c>
      <c r="C69" s="152" t="s">
        <v>2705</v>
      </c>
      <c r="D69" s="152" t="s">
        <v>2675</v>
      </c>
      <c r="E69" s="152" t="s">
        <v>2705</v>
      </c>
      <c r="F69" s="152" t="s">
        <v>2705</v>
      </c>
      <c r="G69" s="152" t="s">
        <v>2705</v>
      </c>
      <c r="H69" s="152" t="s">
        <v>2705</v>
      </c>
      <c r="I69" s="152" t="s">
        <v>2705</v>
      </c>
      <c r="J69" s="152" t="s">
        <v>2705</v>
      </c>
      <c r="K69" s="152" t="s">
        <v>2398</v>
      </c>
      <c r="L69" s="152" t="s">
        <v>2705</v>
      </c>
      <c r="M69" s="152" t="s">
        <v>2705</v>
      </c>
      <c r="N69" s="152" t="s">
        <v>2705</v>
      </c>
      <c r="O69" s="152" t="s">
        <v>2398</v>
      </c>
      <c r="P69" s="152" t="s">
        <v>2398</v>
      </c>
      <c r="Q69" s="152" t="s">
        <v>2705</v>
      </c>
      <c r="R69" s="152" t="s">
        <v>2705</v>
      </c>
      <c r="S69" s="152" t="s">
        <v>2705</v>
      </c>
      <c r="T69" s="152" t="s">
        <v>2398</v>
      </c>
      <c r="U69" s="152" t="s">
        <v>2398</v>
      </c>
    </row>
    <row r="70" spans="1:21" s="142" customFormat="1" ht="12.75" x14ac:dyDescent="0.2">
      <c r="A70" s="151"/>
      <c r="B70" s="152" t="s">
        <v>2398</v>
      </c>
      <c r="C70" s="152" t="s">
        <v>2705</v>
      </c>
      <c r="D70" s="152" t="s">
        <v>2398</v>
      </c>
      <c r="E70" s="152" t="s">
        <v>2675</v>
      </c>
      <c r="F70" s="152" t="s">
        <v>2705</v>
      </c>
      <c r="G70" s="152" t="s">
        <v>2398</v>
      </c>
      <c r="H70" s="152" t="s">
        <v>2705</v>
      </c>
      <c r="I70" s="152" t="s">
        <v>2705</v>
      </c>
      <c r="J70" s="152" t="s">
        <v>2705</v>
      </c>
      <c r="K70" s="152" t="s">
        <v>2705</v>
      </c>
      <c r="L70" s="152" t="s">
        <v>2705</v>
      </c>
      <c r="M70" s="152" t="s">
        <v>2705</v>
      </c>
      <c r="N70" s="152" t="s">
        <v>2705</v>
      </c>
      <c r="O70" s="152" t="s">
        <v>2398</v>
      </c>
      <c r="P70" s="152" t="s">
        <v>2705</v>
      </c>
      <c r="Q70" s="152" t="s">
        <v>2705</v>
      </c>
      <c r="R70" s="152" t="s">
        <v>2398</v>
      </c>
      <c r="S70" s="152" t="s">
        <v>2705</v>
      </c>
      <c r="T70" s="152" t="s">
        <v>2705</v>
      </c>
      <c r="U70" s="152" t="s">
        <v>2705</v>
      </c>
    </row>
    <row r="71" spans="1:21" s="142" customFormat="1" ht="12.75" customHeight="1" x14ac:dyDescent="0.2">
      <c r="A71" s="151" t="s">
        <v>7352</v>
      </c>
      <c r="B71" s="152" t="s">
        <v>2398</v>
      </c>
      <c r="C71" s="152" t="s">
        <v>2705</v>
      </c>
      <c r="D71" s="152" t="s">
        <v>2675</v>
      </c>
      <c r="E71" s="152" t="s">
        <v>2398</v>
      </c>
      <c r="F71" s="152" t="s">
        <v>2705</v>
      </c>
      <c r="G71" s="152" t="s">
        <v>2705</v>
      </c>
      <c r="H71" s="152" t="s">
        <v>2705</v>
      </c>
      <c r="I71" s="152" t="s">
        <v>2398</v>
      </c>
      <c r="J71" s="152" t="s">
        <v>2675</v>
      </c>
      <c r="K71" s="152" t="s">
        <v>2675</v>
      </c>
      <c r="L71" s="152" t="s">
        <v>2398</v>
      </c>
      <c r="M71" s="152" t="s">
        <v>2705</v>
      </c>
      <c r="N71" s="152" t="s">
        <v>2705</v>
      </c>
      <c r="O71" s="152" t="s">
        <v>2705</v>
      </c>
      <c r="P71" s="152" t="s">
        <v>2705</v>
      </c>
      <c r="Q71" s="152" t="s">
        <v>2705</v>
      </c>
      <c r="R71" s="152" t="s">
        <v>2397</v>
      </c>
      <c r="S71" s="152" t="s">
        <v>2705</v>
      </c>
      <c r="T71" s="152" t="s">
        <v>2398</v>
      </c>
      <c r="U71" s="152" t="s">
        <v>2705</v>
      </c>
    </row>
    <row r="72" spans="1:21" s="142" customFormat="1" ht="12.75" x14ac:dyDescent="0.2">
      <c r="A72" s="151"/>
      <c r="B72" s="152" t="s">
        <v>2705</v>
      </c>
      <c r="C72" s="152" t="s">
        <v>2398</v>
      </c>
      <c r="D72" s="152" t="s">
        <v>1435</v>
      </c>
      <c r="E72" s="152" t="s">
        <v>2675</v>
      </c>
      <c r="F72" s="152" t="s">
        <v>2398</v>
      </c>
      <c r="G72" s="152" t="s">
        <v>2398</v>
      </c>
      <c r="H72" s="152" t="s">
        <v>1435</v>
      </c>
      <c r="I72" s="152" t="s">
        <v>2398</v>
      </c>
      <c r="J72" s="152" t="s">
        <v>2398</v>
      </c>
      <c r="K72" s="152" t="s">
        <v>2705</v>
      </c>
      <c r="L72" s="152" t="s">
        <v>2705</v>
      </c>
      <c r="M72" s="152" t="s">
        <v>2705</v>
      </c>
      <c r="N72" s="152" t="s">
        <v>2705</v>
      </c>
      <c r="O72" s="152" t="s">
        <v>2705</v>
      </c>
      <c r="P72" s="152" t="s">
        <v>2675</v>
      </c>
      <c r="Q72" s="152" t="s">
        <v>2705</v>
      </c>
      <c r="R72" s="152" t="s">
        <v>2398</v>
      </c>
      <c r="S72" s="152" t="s">
        <v>2705</v>
      </c>
      <c r="T72" s="152" t="s">
        <v>2398</v>
      </c>
      <c r="U72" s="152" t="s">
        <v>2705</v>
      </c>
    </row>
    <row r="73" spans="1:21" s="142" customFormat="1" ht="12.75" customHeight="1" x14ac:dyDescent="0.2">
      <c r="A73" s="151" t="s">
        <v>7353</v>
      </c>
      <c r="B73" s="152" t="s">
        <v>2675</v>
      </c>
      <c r="C73" s="152" t="s">
        <v>2705</v>
      </c>
      <c r="D73" s="152" t="s">
        <v>2705</v>
      </c>
      <c r="E73" s="152" t="s">
        <v>2705</v>
      </c>
      <c r="F73" s="152" t="s">
        <v>2398</v>
      </c>
      <c r="G73" s="152" t="s">
        <v>2705</v>
      </c>
      <c r="H73" s="152" t="s">
        <v>1435</v>
      </c>
      <c r="I73" s="152" t="s">
        <v>2398</v>
      </c>
      <c r="J73" s="152" t="s">
        <v>2705</v>
      </c>
      <c r="K73" s="152" t="s">
        <v>2705</v>
      </c>
      <c r="L73" s="152" t="s">
        <v>2705</v>
      </c>
      <c r="M73" s="152" t="s">
        <v>2398</v>
      </c>
      <c r="N73" s="152" t="s">
        <v>2705</v>
      </c>
      <c r="O73" s="152" t="s">
        <v>2398</v>
      </c>
      <c r="P73" s="152" t="s">
        <v>2675</v>
      </c>
      <c r="Q73" s="152" t="s">
        <v>2398</v>
      </c>
      <c r="R73" s="152" t="s">
        <v>2398</v>
      </c>
      <c r="S73" s="152" t="s">
        <v>2398</v>
      </c>
      <c r="T73" s="152" t="s">
        <v>2398</v>
      </c>
      <c r="U73" s="152" t="s">
        <v>2705</v>
      </c>
    </row>
    <row r="74" spans="1:21" s="142" customFormat="1" ht="12.75" x14ac:dyDescent="0.2">
      <c r="A74" s="151"/>
      <c r="B74" s="152" t="s">
        <v>1435</v>
      </c>
      <c r="C74" s="152" t="s">
        <v>1435</v>
      </c>
      <c r="D74" s="152" t="s">
        <v>2705</v>
      </c>
      <c r="E74" s="152" t="s">
        <v>2705</v>
      </c>
      <c r="F74" s="152" t="s">
        <v>2705</v>
      </c>
      <c r="G74" s="152" t="s">
        <v>2398</v>
      </c>
      <c r="H74" s="152" t="s">
        <v>2705</v>
      </c>
      <c r="I74" s="152" t="s">
        <v>2705</v>
      </c>
      <c r="J74" s="152" t="s">
        <v>2705</v>
      </c>
      <c r="K74" s="152" t="s">
        <v>2705</v>
      </c>
      <c r="L74" s="152" t="s">
        <v>1435</v>
      </c>
      <c r="M74" s="152" t="s">
        <v>2675</v>
      </c>
      <c r="N74" s="152" t="s">
        <v>2705</v>
      </c>
      <c r="O74" s="152" t="s">
        <v>2398</v>
      </c>
      <c r="P74" s="152" t="s">
        <v>2675</v>
      </c>
      <c r="Q74" s="152" t="s">
        <v>2705</v>
      </c>
      <c r="R74" s="152" t="s">
        <v>1435</v>
      </c>
      <c r="S74" s="152" t="s">
        <v>2398</v>
      </c>
      <c r="T74" s="152" t="s">
        <v>2705</v>
      </c>
      <c r="U74" s="152" t="s">
        <v>2705</v>
      </c>
    </row>
    <row r="75" spans="1:21" s="142" customFormat="1" ht="12.75" customHeight="1" x14ac:dyDescent="0.2">
      <c r="A75" s="151" t="s">
        <v>7354</v>
      </c>
      <c r="B75" s="152" t="s">
        <v>2705</v>
      </c>
      <c r="C75" s="152" t="s">
        <v>2705</v>
      </c>
      <c r="D75" s="152" t="s">
        <v>2398</v>
      </c>
      <c r="E75" s="152" t="s">
        <v>1435</v>
      </c>
      <c r="F75" s="152" t="s">
        <v>2705</v>
      </c>
      <c r="G75" s="152" t="s">
        <v>2705</v>
      </c>
      <c r="H75" s="152" t="s">
        <v>2705</v>
      </c>
      <c r="I75" s="152" t="s">
        <v>2705</v>
      </c>
      <c r="J75" s="152" t="s">
        <v>2705</v>
      </c>
      <c r="K75" s="152" t="s">
        <v>2398</v>
      </c>
      <c r="L75" s="152" t="s">
        <v>2705</v>
      </c>
      <c r="M75" s="152" t="s">
        <v>2705</v>
      </c>
      <c r="N75" s="152" t="s">
        <v>2705</v>
      </c>
      <c r="O75" s="152" t="s">
        <v>2705</v>
      </c>
      <c r="P75" s="152" t="s">
        <v>2705</v>
      </c>
      <c r="Q75" s="152" t="s">
        <v>2705</v>
      </c>
      <c r="R75" s="152" t="s">
        <v>2705</v>
      </c>
      <c r="S75" s="152" t="s">
        <v>2705</v>
      </c>
      <c r="T75" s="152" t="s">
        <v>2705</v>
      </c>
      <c r="U75" s="152" t="s">
        <v>2705</v>
      </c>
    </row>
    <row r="76" spans="1:21" s="142" customFormat="1" ht="12.75" x14ac:dyDescent="0.2">
      <c r="A76" s="151"/>
      <c r="B76" s="152" t="s">
        <v>2705</v>
      </c>
      <c r="C76" s="152" t="s">
        <v>2398</v>
      </c>
      <c r="D76" s="152" t="s">
        <v>2705</v>
      </c>
      <c r="E76" s="152" t="s">
        <v>2705</v>
      </c>
      <c r="F76" s="152" t="s">
        <v>2705</v>
      </c>
      <c r="G76" s="152" t="s">
        <v>2705</v>
      </c>
      <c r="H76" s="152" t="s">
        <v>2705</v>
      </c>
      <c r="I76" s="152" t="s">
        <v>1435</v>
      </c>
      <c r="J76" s="152" t="s">
        <v>2705</v>
      </c>
      <c r="K76" s="152" t="s">
        <v>2705</v>
      </c>
      <c r="L76" s="152" t="s">
        <v>2705</v>
      </c>
      <c r="M76" s="152" t="s">
        <v>2705</v>
      </c>
      <c r="N76" s="152" t="s">
        <v>2705</v>
      </c>
      <c r="O76" s="152" t="s">
        <v>2705</v>
      </c>
      <c r="P76" s="152" t="s">
        <v>2705</v>
      </c>
      <c r="Q76" s="152" t="s">
        <v>2705</v>
      </c>
      <c r="R76" s="152" t="s">
        <v>2705</v>
      </c>
      <c r="S76" s="152" t="s">
        <v>2705</v>
      </c>
      <c r="T76" s="152" t="s">
        <v>2705</v>
      </c>
      <c r="U76" s="152" t="s">
        <v>2705</v>
      </c>
    </row>
    <row r="77" spans="1:21" s="142" customFormat="1" ht="12.75" customHeight="1" x14ac:dyDescent="0.2">
      <c r="A77" s="151" t="s">
        <v>7355</v>
      </c>
      <c r="B77" s="152" t="s">
        <v>1435</v>
      </c>
      <c r="C77" s="152" t="s">
        <v>2705</v>
      </c>
      <c r="D77" s="152" t="s">
        <v>1435</v>
      </c>
      <c r="E77" s="152" t="s">
        <v>2705</v>
      </c>
      <c r="F77" s="152" t="s">
        <v>1435</v>
      </c>
      <c r="G77" s="152" t="s">
        <v>2705</v>
      </c>
      <c r="H77" s="152" t="s">
        <v>2398</v>
      </c>
      <c r="I77" s="152" t="s">
        <v>2675</v>
      </c>
      <c r="J77" s="152" t="s">
        <v>2675</v>
      </c>
      <c r="K77" s="152" t="s">
        <v>2398</v>
      </c>
      <c r="L77" s="152" t="s">
        <v>2675</v>
      </c>
      <c r="M77" s="152" t="s">
        <v>2705</v>
      </c>
      <c r="N77" s="152" t="s">
        <v>2705</v>
      </c>
      <c r="O77" s="152" t="s">
        <v>2705</v>
      </c>
      <c r="P77" s="152" t="s">
        <v>2705</v>
      </c>
      <c r="Q77" s="152" t="s">
        <v>2705</v>
      </c>
      <c r="R77" s="152" t="s">
        <v>2705</v>
      </c>
      <c r="S77" s="152" t="s">
        <v>2705</v>
      </c>
      <c r="T77" s="152" t="s">
        <v>2398</v>
      </c>
      <c r="U77" s="152" t="s">
        <v>2705</v>
      </c>
    </row>
    <row r="78" spans="1:21" s="142" customFormat="1" ht="12.75" x14ac:dyDescent="0.2">
      <c r="A78" s="151"/>
      <c r="B78" s="152" t="s">
        <v>2398</v>
      </c>
      <c r="C78" s="152" t="s">
        <v>2675</v>
      </c>
      <c r="D78" s="152" t="s">
        <v>2705</v>
      </c>
      <c r="E78" s="152" t="s">
        <v>2705</v>
      </c>
      <c r="F78" s="152" t="s">
        <v>2398</v>
      </c>
      <c r="G78" s="152" t="s">
        <v>2398</v>
      </c>
      <c r="H78" s="152" t="s">
        <v>2705</v>
      </c>
      <c r="I78" s="152" t="s">
        <v>2398</v>
      </c>
      <c r="J78" s="152" t="s">
        <v>2398</v>
      </c>
      <c r="K78" s="152" t="s">
        <v>2398</v>
      </c>
      <c r="L78" s="152" t="s">
        <v>2675</v>
      </c>
      <c r="M78" s="152" t="s">
        <v>2398</v>
      </c>
      <c r="N78" s="152" t="s">
        <v>2705</v>
      </c>
      <c r="O78" s="152" t="s">
        <v>2705</v>
      </c>
      <c r="P78" s="152" t="s">
        <v>1435</v>
      </c>
      <c r="Q78" s="152" t="s">
        <v>1435</v>
      </c>
      <c r="R78" s="152" t="s">
        <v>2398</v>
      </c>
      <c r="S78" s="152" t="s">
        <v>2705</v>
      </c>
      <c r="T78" s="152" t="s">
        <v>2398</v>
      </c>
      <c r="U78" s="152" t="s">
        <v>2398</v>
      </c>
    </row>
    <row r="79" spans="1:21" s="142" customFormat="1" ht="12.75" customHeight="1" x14ac:dyDescent="0.2">
      <c r="A79" s="151" t="s">
        <v>7356</v>
      </c>
      <c r="B79" s="152" t="s">
        <v>2705</v>
      </c>
      <c r="C79" s="152" t="s">
        <v>2705</v>
      </c>
      <c r="D79" s="152" t="s">
        <v>2705</v>
      </c>
      <c r="E79" s="152" t="s">
        <v>2398</v>
      </c>
      <c r="F79" s="152" t="s">
        <v>2705</v>
      </c>
      <c r="G79" s="152" t="s">
        <v>2705</v>
      </c>
      <c r="H79" s="152" t="s">
        <v>2705</v>
      </c>
      <c r="I79" s="152" t="s">
        <v>2705</v>
      </c>
      <c r="J79" s="152" t="s">
        <v>2705</v>
      </c>
      <c r="K79" s="152" t="s">
        <v>1435</v>
      </c>
      <c r="L79" s="152" t="s">
        <v>2705</v>
      </c>
      <c r="M79" s="152" t="s">
        <v>2398</v>
      </c>
      <c r="N79" s="152" t="s">
        <v>2398</v>
      </c>
      <c r="O79" s="152" t="s">
        <v>2397</v>
      </c>
      <c r="P79" s="152" t="s">
        <v>2705</v>
      </c>
      <c r="Q79" s="152" t="s">
        <v>2398</v>
      </c>
      <c r="R79" s="152" t="s">
        <v>2398</v>
      </c>
      <c r="S79" s="152" t="s">
        <v>2705</v>
      </c>
      <c r="T79" s="152" t="s">
        <v>1435</v>
      </c>
      <c r="U79" s="152" t="s">
        <v>2705</v>
      </c>
    </row>
    <row r="80" spans="1:21" s="142" customFormat="1" ht="12.75" x14ac:dyDescent="0.2">
      <c r="A80" s="151"/>
      <c r="B80" s="152" t="s">
        <v>2705</v>
      </c>
      <c r="C80" s="152" t="s">
        <v>2398</v>
      </c>
      <c r="D80" s="152" t="s">
        <v>2705</v>
      </c>
      <c r="E80" s="152" t="s">
        <v>2705</v>
      </c>
      <c r="F80" s="152" t="s">
        <v>2398</v>
      </c>
      <c r="G80" s="152" t="s">
        <v>2675</v>
      </c>
      <c r="H80" s="152" t="s">
        <v>2705</v>
      </c>
      <c r="I80" s="152" t="s">
        <v>2705</v>
      </c>
      <c r="J80" s="152" t="s">
        <v>2705</v>
      </c>
      <c r="K80" s="152" t="s">
        <v>2675</v>
      </c>
      <c r="L80" s="152" t="s">
        <v>2705</v>
      </c>
      <c r="M80" s="152" t="s">
        <v>2398</v>
      </c>
      <c r="N80" s="152" t="s">
        <v>2705</v>
      </c>
      <c r="O80" s="152" t="s">
        <v>2705</v>
      </c>
      <c r="P80" s="152" t="s">
        <v>2705</v>
      </c>
      <c r="Q80" s="152" t="s">
        <v>2705</v>
      </c>
      <c r="R80" s="152" t="s">
        <v>2705</v>
      </c>
      <c r="S80" s="152" t="s">
        <v>2705</v>
      </c>
      <c r="T80" s="152" t="s">
        <v>2705</v>
      </c>
      <c r="U80" s="152" t="s">
        <v>2705</v>
      </c>
    </row>
    <row r="81" spans="1:21" s="142" customFormat="1" ht="12.75" customHeight="1" x14ac:dyDescent="0.2">
      <c r="A81" s="151" t="s">
        <v>7357</v>
      </c>
      <c r="B81" s="152" t="s">
        <v>2675</v>
      </c>
      <c r="C81" s="152" t="s">
        <v>2705</v>
      </c>
      <c r="D81" s="152" t="s">
        <v>2705</v>
      </c>
      <c r="E81" s="152" t="s">
        <v>2398</v>
      </c>
      <c r="F81" s="152" t="s">
        <v>2398</v>
      </c>
      <c r="G81" s="152" t="s">
        <v>1435</v>
      </c>
      <c r="H81" s="152" t="s">
        <v>2705</v>
      </c>
      <c r="I81" s="152" t="s">
        <v>2705</v>
      </c>
      <c r="J81" s="152" t="s">
        <v>2675</v>
      </c>
      <c r="K81" s="152" t="s">
        <v>2398</v>
      </c>
      <c r="L81" s="152" t="s">
        <v>2705</v>
      </c>
      <c r="M81" s="152" t="s">
        <v>2705</v>
      </c>
      <c r="N81" s="152" t="s">
        <v>2705</v>
      </c>
      <c r="O81" s="152" t="s">
        <v>2398</v>
      </c>
      <c r="P81" s="152" t="s">
        <v>2398</v>
      </c>
      <c r="Q81" s="152" t="s">
        <v>2398</v>
      </c>
      <c r="R81" s="152" t="s">
        <v>2675</v>
      </c>
      <c r="S81" s="152" t="s">
        <v>2398</v>
      </c>
      <c r="T81" s="152" t="s">
        <v>2705</v>
      </c>
      <c r="U81" s="152" t="s">
        <v>2398</v>
      </c>
    </row>
    <row r="82" spans="1:21" s="142" customFormat="1" ht="12.75" x14ac:dyDescent="0.2">
      <c r="A82" s="151"/>
      <c r="B82" s="152" t="s">
        <v>2398</v>
      </c>
      <c r="C82" s="152" t="s">
        <v>2398</v>
      </c>
      <c r="D82" s="152" t="s">
        <v>2398</v>
      </c>
      <c r="E82" s="152" t="s">
        <v>2705</v>
      </c>
      <c r="F82" s="152" t="s">
        <v>2398</v>
      </c>
      <c r="G82" s="152" t="s">
        <v>2705</v>
      </c>
      <c r="H82" s="152" t="s">
        <v>2398</v>
      </c>
      <c r="I82" s="152" t="s">
        <v>2705</v>
      </c>
      <c r="J82" s="152" t="s">
        <v>2398</v>
      </c>
      <c r="K82" s="152" t="s">
        <v>2705</v>
      </c>
      <c r="L82" s="152" t="s">
        <v>2705</v>
      </c>
      <c r="M82" s="152" t="s">
        <v>2705</v>
      </c>
      <c r="N82" s="152" t="s">
        <v>2398</v>
      </c>
      <c r="O82" s="152" t="s">
        <v>2705</v>
      </c>
      <c r="P82" s="152" t="s">
        <v>2705</v>
      </c>
      <c r="Q82" s="152" t="s">
        <v>2398</v>
      </c>
      <c r="R82" s="152" t="s">
        <v>2398</v>
      </c>
      <c r="S82" s="152" t="s">
        <v>2398</v>
      </c>
      <c r="T82" s="152" t="s">
        <v>2705</v>
      </c>
      <c r="U82" s="152" t="s">
        <v>2705</v>
      </c>
    </row>
    <row r="83" spans="1:21" s="142" customFormat="1" ht="12.75" customHeight="1" x14ac:dyDescent="0.2">
      <c r="A83" s="151" t="s">
        <v>7358</v>
      </c>
      <c r="B83" s="152" t="s">
        <v>2705</v>
      </c>
      <c r="C83" s="152" t="s">
        <v>2705</v>
      </c>
      <c r="D83" s="152" t="s">
        <v>2398</v>
      </c>
      <c r="E83" s="152" t="s">
        <v>2398</v>
      </c>
      <c r="F83" s="152" t="s">
        <v>2398</v>
      </c>
      <c r="G83" s="152" t="s">
        <v>2705</v>
      </c>
      <c r="H83" s="152" t="s">
        <v>2705</v>
      </c>
      <c r="I83" s="152" t="s">
        <v>2397</v>
      </c>
      <c r="J83" s="152" t="s">
        <v>1435</v>
      </c>
      <c r="K83" s="152" t="s">
        <v>2705</v>
      </c>
      <c r="L83" s="152" t="s">
        <v>2705</v>
      </c>
      <c r="M83" s="152" t="s">
        <v>2705</v>
      </c>
      <c r="N83" s="152" t="s">
        <v>2397</v>
      </c>
      <c r="O83" s="152" t="s">
        <v>2705</v>
      </c>
      <c r="P83" s="152" t="s">
        <v>2705</v>
      </c>
      <c r="Q83" s="152" t="s">
        <v>2705</v>
      </c>
      <c r="R83" s="152" t="s">
        <v>2705</v>
      </c>
      <c r="S83" s="152" t="s">
        <v>2705</v>
      </c>
      <c r="T83" s="152" t="s">
        <v>2705</v>
      </c>
      <c r="U83" s="152" t="s">
        <v>2705</v>
      </c>
    </row>
    <row r="84" spans="1:21" s="142" customFormat="1" ht="12.75" x14ac:dyDescent="0.2">
      <c r="A84" s="151"/>
      <c r="B84" s="152" t="s">
        <v>2675</v>
      </c>
      <c r="C84" s="152" t="s">
        <v>2398</v>
      </c>
      <c r="D84" s="152" t="s">
        <v>2705</v>
      </c>
      <c r="E84" s="152" t="s">
        <v>2705</v>
      </c>
      <c r="F84" s="152" t="s">
        <v>2705</v>
      </c>
      <c r="G84" s="152" t="s">
        <v>2705</v>
      </c>
      <c r="H84" s="152" t="s">
        <v>2705</v>
      </c>
      <c r="I84" s="152" t="s">
        <v>2705</v>
      </c>
      <c r="J84" s="152" t="s">
        <v>2398</v>
      </c>
      <c r="K84" s="152" t="s">
        <v>2705</v>
      </c>
      <c r="L84" s="152" t="s">
        <v>2705</v>
      </c>
      <c r="M84" s="152" t="s">
        <v>2705</v>
      </c>
      <c r="N84" s="152" t="s">
        <v>2398</v>
      </c>
      <c r="O84" s="152" t="s">
        <v>2705</v>
      </c>
      <c r="P84" s="152" t="s">
        <v>2398</v>
      </c>
      <c r="Q84" s="152" t="s">
        <v>2705</v>
      </c>
      <c r="R84" s="152" t="s">
        <v>2705</v>
      </c>
      <c r="S84" s="152" t="s">
        <v>2705</v>
      </c>
      <c r="T84" s="152" t="s">
        <v>2705</v>
      </c>
      <c r="U84" s="152" t="s">
        <v>2705</v>
      </c>
    </row>
    <row r="85" spans="1:21" s="142" customFormat="1" ht="12.75" customHeight="1" x14ac:dyDescent="0.2">
      <c r="A85" s="151" t="s">
        <v>7359</v>
      </c>
      <c r="B85" s="152" t="s">
        <v>2398</v>
      </c>
      <c r="C85" s="152" t="s">
        <v>2398</v>
      </c>
      <c r="D85" s="152" t="s">
        <v>2398</v>
      </c>
      <c r="E85" s="152" t="s">
        <v>2398</v>
      </c>
      <c r="F85" s="152" t="s">
        <v>2705</v>
      </c>
      <c r="G85" s="152" t="s">
        <v>2705</v>
      </c>
      <c r="H85" s="152" t="s">
        <v>2705</v>
      </c>
      <c r="I85" s="152" t="s">
        <v>2398</v>
      </c>
      <c r="J85" s="152" t="s">
        <v>2705</v>
      </c>
      <c r="K85" s="152" t="s">
        <v>2705</v>
      </c>
      <c r="L85" s="152" t="s">
        <v>2705</v>
      </c>
      <c r="M85" s="152" t="s">
        <v>2705</v>
      </c>
      <c r="N85" s="152" t="s">
        <v>2705</v>
      </c>
      <c r="O85" s="152" t="s">
        <v>2705</v>
      </c>
      <c r="P85" s="152" t="s">
        <v>2398</v>
      </c>
      <c r="Q85" s="152" t="s">
        <v>2705</v>
      </c>
      <c r="R85" s="152" t="s">
        <v>2398</v>
      </c>
      <c r="S85" s="152" t="s">
        <v>2398</v>
      </c>
      <c r="T85" s="152" t="s">
        <v>2705</v>
      </c>
      <c r="U85" s="152" t="s">
        <v>2398</v>
      </c>
    </row>
    <row r="86" spans="1:21" s="142" customFormat="1" ht="12.75" x14ac:dyDescent="0.2">
      <c r="A86" s="151"/>
      <c r="B86" s="152" t="s">
        <v>2705</v>
      </c>
      <c r="C86" s="152" t="s">
        <v>2705</v>
      </c>
      <c r="D86" s="152" t="s">
        <v>2705</v>
      </c>
      <c r="E86" s="152" t="s">
        <v>2705</v>
      </c>
      <c r="F86" s="152" t="s">
        <v>2675</v>
      </c>
      <c r="G86" s="152" t="s">
        <v>2705</v>
      </c>
      <c r="H86" s="152" t="s">
        <v>2398</v>
      </c>
      <c r="I86" s="152" t="s">
        <v>2705</v>
      </c>
      <c r="J86" s="152" t="s">
        <v>2705</v>
      </c>
      <c r="K86" s="152" t="s">
        <v>2705</v>
      </c>
      <c r="L86" s="152" t="s">
        <v>2398</v>
      </c>
      <c r="M86" s="152" t="s">
        <v>1435</v>
      </c>
      <c r="N86" s="152" t="s">
        <v>2705</v>
      </c>
      <c r="O86" s="152" t="s">
        <v>2398</v>
      </c>
      <c r="P86" s="152" t="s">
        <v>2398</v>
      </c>
      <c r="Q86" s="152" t="s">
        <v>2705</v>
      </c>
      <c r="R86" s="152" t="s">
        <v>1435</v>
      </c>
      <c r="S86" s="152" t="s">
        <v>2398</v>
      </c>
      <c r="T86" s="152" t="s">
        <v>2705</v>
      </c>
      <c r="U86" s="152" t="s">
        <v>2705</v>
      </c>
    </row>
    <row r="87" spans="1:21" s="142" customFormat="1" ht="12.75" customHeight="1" x14ac:dyDescent="0.2">
      <c r="A87" s="151" t="s">
        <v>7360</v>
      </c>
      <c r="B87" s="152" t="s">
        <v>2705</v>
      </c>
      <c r="C87" s="152" t="s">
        <v>2705</v>
      </c>
      <c r="D87" s="152" t="s">
        <v>2398</v>
      </c>
      <c r="E87" s="152" t="s">
        <v>2398</v>
      </c>
      <c r="F87" s="152" t="s">
        <v>2705</v>
      </c>
      <c r="G87" s="152" t="s">
        <v>2705</v>
      </c>
      <c r="H87" s="152" t="s">
        <v>2705</v>
      </c>
      <c r="I87" s="152" t="s">
        <v>2398</v>
      </c>
      <c r="J87" s="152" t="s">
        <v>2705</v>
      </c>
      <c r="K87" s="152" t="s">
        <v>2705</v>
      </c>
      <c r="L87" s="152" t="s">
        <v>2705</v>
      </c>
      <c r="M87" s="152" t="s">
        <v>2705</v>
      </c>
      <c r="N87" s="152" t="s">
        <v>1435</v>
      </c>
      <c r="O87" s="152" t="s">
        <v>2398</v>
      </c>
      <c r="P87" s="152" t="s">
        <v>2705</v>
      </c>
      <c r="Q87" s="152" t="s">
        <v>2705</v>
      </c>
      <c r="R87" s="152" t="s">
        <v>2398</v>
      </c>
      <c r="S87" s="152" t="s">
        <v>2398</v>
      </c>
      <c r="T87" s="152" t="s">
        <v>2398</v>
      </c>
      <c r="U87" s="152" t="s">
        <v>2398</v>
      </c>
    </row>
    <row r="88" spans="1:21" s="142" customFormat="1" ht="12.75" x14ac:dyDescent="0.2">
      <c r="A88" s="151"/>
      <c r="B88" s="152" t="s">
        <v>2397</v>
      </c>
      <c r="C88" s="152" t="s">
        <v>2398</v>
      </c>
      <c r="D88" s="152" t="s">
        <v>2705</v>
      </c>
      <c r="E88" s="152" t="s">
        <v>2705</v>
      </c>
      <c r="F88" s="152" t="s">
        <v>2398</v>
      </c>
      <c r="G88" s="152" t="s">
        <v>2398</v>
      </c>
      <c r="H88" s="152" t="s">
        <v>1435</v>
      </c>
      <c r="I88" s="152" t="s">
        <v>2705</v>
      </c>
      <c r="J88" s="152" t="s">
        <v>2705</v>
      </c>
      <c r="K88" s="152" t="s">
        <v>2705</v>
      </c>
      <c r="L88" s="152" t="s">
        <v>2705</v>
      </c>
      <c r="M88" s="152" t="s">
        <v>2398</v>
      </c>
      <c r="N88" s="152" t="s">
        <v>2705</v>
      </c>
      <c r="O88" s="152" t="s">
        <v>2705</v>
      </c>
      <c r="P88" s="152" t="s">
        <v>2398</v>
      </c>
      <c r="Q88" s="152" t="s">
        <v>2705</v>
      </c>
      <c r="R88" s="152" t="s">
        <v>2705</v>
      </c>
      <c r="S88" s="152" t="s">
        <v>2705</v>
      </c>
      <c r="T88" s="152" t="s">
        <v>2398</v>
      </c>
      <c r="U88" s="152" t="s">
        <v>2705</v>
      </c>
    </row>
    <row r="89" spans="1:21" s="142" customFormat="1" ht="12.75" customHeight="1" x14ac:dyDescent="0.2">
      <c r="A89" s="151" t="s">
        <v>7361</v>
      </c>
      <c r="B89" s="152" t="s">
        <v>2398</v>
      </c>
      <c r="C89" s="152" t="s">
        <v>2705</v>
      </c>
      <c r="D89" s="152" t="s">
        <v>2398</v>
      </c>
      <c r="E89" s="152" t="s">
        <v>2398</v>
      </c>
      <c r="F89" s="152" t="s">
        <v>2705</v>
      </c>
      <c r="G89" s="152" t="s">
        <v>2705</v>
      </c>
      <c r="H89" s="152" t="s">
        <v>2398</v>
      </c>
      <c r="I89" s="152" t="s">
        <v>2398</v>
      </c>
      <c r="J89" s="152" t="s">
        <v>2675</v>
      </c>
      <c r="K89" s="152" t="s">
        <v>2705</v>
      </c>
      <c r="L89" s="152" t="s">
        <v>1435</v>
      </c>
      <c r="M89" s="152" t="s">
        <v>2705</v>
      </c>
      <c r="N89" s="152" t="s">
        <v>2398</v>
      </c>
      <c r="O89" s="152" t="s">
        <v>2398</v>
      </c>
      <c r="P89" s="152" t="s">
        <v>2705</v>
      </c>
      <c r="Q89" s="152" t="s">
        <v>2705</v>
      </c>
      <c r="R89" s="152" t="s">
        <v>2398</v>
      </c>
      <c r="S89" s="152" t="s">
        <v>2705</v>
      </c>
      <c r="T89" s="152" t="s">
        <v>2705</v>
      </c>
      <c r="U89" s="152" t="s">
        <v>2705</v>
      </c>
    </row>
    <row r="90" spans="1:21" s="142" customFormat="1" ht="12.75" x14ac:dyDescent="0.2">
      <c r="A90" s="151"/>
      <c r="B90" s="152" t="s">
        <v>2398</v>
      </c>
      <c r="C90" s="152" t="s">
        <v>2675</v>
      </c>
      <c r="D90" s="152" t="s">
        <v>2705</v>
      </c>
      <c r="E90" s="152" t="s">
        <v>2705</v>
      </c>
      <c r="F90" s="152" t="s">
        <v>2705</v>
      </c>
      <c r="G90" s="152" t="s">
        <v>2398</v>
      </c>
      <c r="H90" s="152" t="s">
        <v>2398</v>
      </c>
      <c r="I90" s="152" t="s">
        <v>2398</v>
      </c>
      <c r="J90" s="152" t="s">
        <v>2705</v>
      </c>
      <c r="K90" s="152" t="s">
        <v>2705</v>
      </c>
      <c r="L90" s="152" t="s">
        <v>2705</v>
      </c>
      <c r="M90" s="152" t="s">
        <v>1435</v>
      </c>
      <c r="N90" s="152" t="s">
        <v>2705</v>
      </c>
      <c r="O90" s="152" t="s">
        <v>2705</v>
      </c>
      <c r="P90" s="152" t="s">
        <v>2398</v>
      </c>
      <c r="Q90" s="152" t="s">
        <v>2705</v>
      </c>
      <c r="R90" s="152" t="s">
        <v>2398</v>
      </c>
      <c r="S90" s="152" t="s">
        <v>2705</v>
      </c>
      <c r="T90" s="152" t="s">
        <v>2397</v>
      </c>
      <c r="U90" s="152" t="s">
        <v>2705</v>
      </c>
    </row>
    <row r="91" spans="1:21" s="142" customFormat="1" ht="12.75" customHeight="1" x14ac:dyDescent="0.2">
      <c r="A91" s="151" t="s">
        <v>7362</v>
      </c>
      <c r="B91" s="152" t="s">
        <v>2705</v>
      </c>
      <c r="C91" s="152" t="s">
        <v>2705</v>
      </c>
      <c r="D91" s="152" t="s">
        <v>2705</v>
      </c>
      <c r="E91" s="152" t="s">
        <v>2705</v>
      </c>
      <c r="F91" s="152" t="s">
        <v>2705</v>
      </c>
      <c r="G91" s="152" t="s">
        <v>2705</v>
      </c>
      <c r="H91" s="152" t="s">
        <v>2705</v>
      </c>
      <c r="I91" s="152" t="s">
        <v>2705</v>
      </c>
      <c r="J91" s="152" t="s">
        <v>2675</v>
      </c>
      <c r="K91" s="152" t="s">
        <v>2705</v>
      </c>
      <c r="L91" s="152" t="s">
        <v>2398</v>
      </c>
      <c r="M91" s="152" t="s">
        <v>2398</v>
      </c>
      <c r="N91" s="152" t="s">
        <v>2705</v>
      </c>
      <c r="O91" s="152" t="s">
        <v>2398</v>
      </c>
      <c r="P91" s="152" t="s">
        <v>2398</v>
      </c>
      <c r="Q91" s="152" t="s">
        <v>2675</v>
      </c>
      <c r="R91" s="152" t="s">
        <v>2398</v>
      </c>
      <c r="S91" s="152" t="s">
        <v>2398</v>
      </c>
      <c r="T91" s="152" t="s">
        <v>2705</v>
      </c>
      <c r="U91" s="152" t="s">
        <v>2398</v>
      </c>
    </row>
    <row r="92" spans="1:21" s="142" customFormat="1" ht="12.75" x14ac:dyDescent="0.2">
      <c r="A92" s="151"/>
      <c r="B92" s="152" t="s">
        <v>2705</v>
      </c>
      <c r="C92" s="152" t="s">
        <v>1435</v>
      </c>
      <c r="D92" s="152" t="s">
        <v>2705</v>
      </c>
      <c r="E92" s="152" t="s">
        <v>2705</v>
      </c>
      <c r="F92" s="152" t="s">
        <v>2705</v>
      </c>
      <c r="G92" s="152" t="s">
        <v>2398</v>
      </c>
      <c r="H92" s="152" t="s">
        <v>2398</v>
      </c>
      <c r="I92" s="152" t="s">
        <v>2705</v>
      </c>
      <c r="J92" s="152" t="s">
        <v>2705</v>
      </c>
      <c r="K92" s="152" t="s">
        <v>2705</v>
      </c>
      <c r="L92" s="152" t="s">
        <v>2398</v>
      </c>
      <c r="M92" s="152" t="s">
        <v>2705</v>
      </c>
      <c r="N92" s="152" t="s">
        <v>2398</v>
      </c>
      <c r="O92" s="152" t="s">
        <v>2705</v>
      </c>
      <c r="P92" s="152" t="s">
        <v>2705</v>
      </c>
      <c r="Q92" s="152" t="s">
        <v>2705</v>
      </c>
      <c r="R92" s="152" t="s">
        <v>1435</v>
      </c>
      <c r="S92" s="152" t="s">
        <v>2675</v>
      </c>
      <c r="T92" s="152" t="s">
        <v>2705</v>
      </c>
      <c r="U92" s="152" t="s">
        <v>2705</v>
      </c>
    </row>
    <row r="93" spans="1:21" s="142" customFormat="1" ht="12.75" customHeight="1" x14ac:dyDescent="0.2">
      <c r="A93" s="151" t="s">
        <v>7363</v>
      </c>
      <c r="B93" s="152" t="s">
        <v>2398</v>
      </c>
      <c r="C93" s="152" t="s">
        <v>2705</v>
      </c>
      <c r="D93" s="152" t="s">
        <v>2398</v>
      </c>
      <c r="E93" s="152" t="s">
        <v>2398</v>
      </c>
      <c r="F93" s="152" t="s">
        <v>2705</v>
      </c>
      <c r="G93" s="152" t="s">
        <v>2705</v>
      </c>
      <c r="H93" s="152" t="s">
        <v>2705</v>
      </c>
      <c r="I93" s="152" t="s">
        <v>2398</v>
      </c>
      <c r="J93" s="152" t="s">
        <v>2705</v>
      </c>
      <c r="K93" s="152" t="s">
        <v>2705</v>
      </c>
      <c r="L93" s="152" t="s">
        <v>2398</v>
      </c>
      <c r="M93" s="152" t="s">
        <v>2705</v>
      </c>
      <c r="N93" s="152" t="s">
        <v>2705</v>
      </c>
      <c r="O93" s="152" t="s">
        <v>2705</v>
      </c>
      <c r="P93" s="152" t="s">
        <v>2398</v>
      </c>
      <c r="Q93" s="152" t="s">
        <v>1435</v>
      </c>
      <c r="R93" s="152" t="s">
        <v>2398</v>
      </c>
      <c r="S93" s="152" t="s">
        <v>2397</v>
      </c>
      <c r="T93" s="152" t="s">
        <v>1435</v>
      </c>
      <c r="U93" s="152" t="s">
        <v>2705</v>
      </c>
    </row>
    <row r="94" spans="1:21" s="142" customFormat="1" ht="12.75" x14ac:dyDescent="0.2">
      <c r="A94" s="151"/>
      <c r="B94" s="152" t="s">
        <v>2705</v>
      </c>
      <c r="C94" s="152" t="s">
        <v>2705</v>
      </c>
      <c r="D94" s="152" t="s">
        <v>2705</v>
      </c>
      <c r="E94" s="152" t="s">
        <v>2675</v>
      </c>
      <c r="F94" s="152" t="s">
        <v>2705</v>
      </c>
      <c r="G94" s="152" t="s">
        <v>1435</v>
      </c>
      <c r="H94" s="152" t="s">
        <v>2398</v>
      </c>
      <c r="I94" s="152" t="s">
        <v>2705</v>
      </c>
      <c r="J94" s="152" t="s">
        <v>2398</v>
      </c>
      <c r="K94" s="152" t="s">
        <v>2398</v>
      </c>
      <c r="L94" s="152" t="s">
        <v>1435</v>
      </c>
      <c r="M94" s="152" t="s">
        <v>2675</v>
      </c>
      <c r="N94" s="152" t="s">
        <v>2398</v>
      </c>
      <c r="O94" s="152" t="s">
        <v>2705</v>
      </c>
      <c r="P94" s="152" t="s">
        <v>1435</v>
      </c>
      <c r="Q94" s="152" t="s">
        <v>2705</v>
      </c>
      <c r="R94" s="152" t="s">
        <v>2397</v>
      </c>
      <c r="S94" s="152" t="s">
        <v>2705</v>
      </c>
      <c r="T94" s="152" t="s">
        <v>2705</v>
      </c>
      <c r="U94" s="152" t="s">
        <v>2397</v>
      </c>
    </row>
    <row r="95" spans="1:21" s="142" customFormat="1" ht="12.75" customHeight="1" x14ac:dyDescent="0.2">
      <c r="A95" s="151" t="s">
        <v>7364</v>
      </c>
      <c r="B95" s="152" t="s">
        <v>2397</v>
      </c>
      <c r="C95" s="152" t="s">
        <v>1435</v>
      </c>
      <c r="D95" s="152" t="s">
        <v>2705</v>
      </c>
      <c r="E95" s="152" t="s">
        <v>2398</v>
      </c>
      <c r="F95" s="152" t="s">
        <v>1435</v>
      </c>
      <c r="G95" s="152" t="s">
        <v>2705</v>
      </c>
      <c r="H95" s="152" t="s">
        <v>2705</v>
      </c>
      <c r="I95" s="152" t="s">
        <v>2705</v>
      </c>
      <c r="J95" s="152" t="s">
        <v>2675</v>
      </c>
      <c r="K95" s="152" t="s">
        <v>2398</v>
      </c>
      <c r="L95" s="152" t="s">
        <v>2705</v>
      </c>
      <c r="M95" s="152" t="s">
        <v>1435</v>
      </c>
      <c r="N95" s="152" t="s">
        <v>2675</v>
      </c>
      <c r="O95" s="152" t="s">
        <v>2398</v>
      </c>
      <c r="P95" s="152" t="s">
        <v>2705</v>
      </c>
      <c r="Q95" s="152" t="s">
        <v>2398</v>
      </c>
      <c r="R95" s="152" t="s">
        <v>2398</v>
      </c>
      <c r="S95" s="152" t="s">
        <v>2705</v>
      </c>
      <c r="T95" s="152" t="s">
        <v>2705</v>
      </c>
      <c r="U95" s="152" t="s">
        <v>2705</v>
      </c>
    </row>
    <row r="96" spans="1:21" s="142" customFormat="1" ht="12.75" x14ac:dyDescent="0.2">
      <c r="A96" s="151"/>
      <c r="B96" s="152" t="s">
        <v>2397</v>
      </c>
      <c r="C96" s="152" t="s">
        <v>2705</v>
      </c>
      <c r="D96" s="152" t="s">
        <v>1435</v>
      </c>
      <c r="E96" s="152" t="s">
        <v>2705</v>
      </c>
      <c r="F96" s="152" t="s">
        <v>2675</v>
      </c>
      <c r="G96" s="152" t="s">
        <v>2675</v>
      </c>
      <c r="H96" s="152" t="s">
        <v>2675</v>
      </c>
      <c r="I96" s="152" t="s">
        <v>2705</v>
      </c>
      <c r="J96" s="152" t="s">
        <v>2705</v>
      </c>
      <c r="K96" s="152" t="s">
        <v>2398</v>
      </c>
      <c r="L96" s="152" t="s">
        <v>2705</v>
      </c>
      <c r="M96" s="152" t="s">
        <v>2398</v>
      </c>
      <c r="N96" s="152" t="s">
        <v>2705</v>
      </c>
      <c r="O96" s="152" t="s">
        <v>2705</v>
      </c>
      <c r="P96" s="152" t="s">
        <v>2398</v>
      </c>
      <c r="Q96" s="152" t="s">
        <v>1435</v>
      </c>
      <c r="R96" s="152" t="s">
        <v>2705</v>
      </c>
      <c r="S96" s="152" t="s">
        <v>2705</v>
      </c>
      <c r="T96" s="152" t="s">
        <v>2705</v>
      </c>
      <c r="U96" s="152" t="s">
        <v>2705</v>
      </c>
    </row>
    <row r="97" spans="1:21" s="142" customFormat="1" ht="12.75" customHeight="1" x14ac:dyDescent="0.2">
      <c r="A97" s="151" t="s">
        <v>7365</v>
      </c>
      <c r="B97" s="152" t="s">
        <v>2705</v>
      </c>
      <c r="C97" s="152" t="s">
        <v>2705</v>
      </c>
      <c r="D97" s="152" t="s">
        <v>2705</v>
      </c>
      <c r="E97" s="152" t="s">
        <v>2705</v>
      </c>
      <c r="F97" s="152" t="s">
        <v>2398</v>
      </c>
      <c r="G97" s="152" t="s">
        <v>2705</v>
      </c>
      <c r="H97" s="152" t="s">
        <v>2398</v>
      </c>
      <c r="I97" s="152" t="s">
        <v>2398</v>
      </c>
      <c r="J97" s="152" t="s">
        <v>2398</v>
      </c>
      <c r="K97" s="152" t="s">
        <v>2705</v>
      </c>
      <c r="L97" s="152" t="s">
        <v>2705</v>
      </c>
      <c r="M97" s="152" t="s">
        <v>2705</v>
      </c>
      <c r="N97" s="152" t="s">
        <v>2705</v>
      </c>
      <c r="O97" s="152" t="s">
        <v>2398</v>
      </c>
      <c r="P97" s="152" t="s">
        <v>2705</v>
      </c>
      <c r="Q97" s="152" t="s">
        <v>2398</v>
      </c>
      <c r="R97" s="152" t="s">
        <v>2705</v>
      </c>
      <c r="S97" s="152" t="s">
        <v>2398</v>
      </c>
      <c r="T97" s="152" t="s">
        <v>2398</v>
      </c>
      <c r="U97" s="152" t="s">
        <v>2398</v>
      </c>
    </row>
    <row r="98" spans="1:21" s="142" customFormat="1" ht="12.75" x14ac:dyDescent="0.2">
      <c r="A98" s="151"/>
      <c r="B98" s="152" t="s">
        <v>2705</v>
      </c>
      <c r="C98" s="152" t="s">
        <v>2398</v>
      </c>
      <c r="D98" s="152" t="s">
        <v>2705</v>
      </c>
      <c r="E98" s="152" t="s">
        <v>2705</v>
      </c>
      <c r="F98" s="152" t="s">
        <v>2705</v>
      </c>
      <c r="G98" s="152" t="s">
        <v>2398</v>
      </c>
      <c r="H98" s="152" t="s">
        <v>2398</v>
      </c>
      <c r="I98" s="152" t="s">
        <v>2705</v>
      </c>
      <c r="J98" s="152" t="s">
        <v>2705</v>
      </c>
      <c r="K98" s="152" t="s">
        <v>2705</v>
      </c>
      <c r="L98" s="152" t="s">
        <v>2398</v>
      </c>
      <c r="M98" s="152" t="s">
        <v>1435</v>
      </c>
      <c r="N98" s="152" t="s">
        <v>2705</v>
      </c>
      <c r="O98" s="152" t="s">
        <v>2705</v>
      </c>
      <c r="P98" s="152" t="s">
        <v>2675</v>
      </c>
      <c r="Q98" s="152" t="s">
        <v>2705</v>
      </c>
      <c r="R98" s="152" t="s">
        <v>2398</v>
      </c>
      <c r="S98" s="152" t="s">
        <v>2398</v>
      </c>
      <c r="T98" s="152" t="s">
        <v>2705</v>
      </c>
      <c r="U98" s="152" t="s">
        <v>2705</v>
      </c>
    </row>
    <row r="99" spans="1:21" s="142" customFormat="1" ht="12.75" customHeight="1" x14ac:dyDescent="0.2">
      <c r="A99" s="151" t="s">
        <v>7366</v>
      </c>
      <c r="B99" s="152" t="s">
        <v>2398</v>
      </c>
      <c r="C99" s="152" t="s">
        <v>2705</v>
      </c>
      <c r="D99" s="152" t="s">
        <v>2705</v>
      </c>
      <c r="E99" s="152" t="s">
        <v>1435</v>
      </c>
      <c r="F99" s="152" t="s">
        <v>2675</v>
      </c>
      <c r="G99" s="152" t="s">
        <v>2705</v>
      </c>
      <c r="H99" s="152" t="s">
        <v>2398</v>
      </c>
      <c r="I99" s="152" t="s">
        <v>2398</v>
      </c>
      <c r="J99" s="152" t="s">
        <v>2705</v>
      </c>
      <c r="K99" s="152" t="s">
        <v>2398</v>
      </c>
      <c r="L99" s="152" t="s">
        <v>1435</v>
      </c>
      <c r="M99" s="152" t="s">
        <v>1435</v>
      </c>
      <c r="N99" s="152" t="s">
        <v>2705</v>
      </c>
      <c r="O99" s="152" t="s">
        <v>2398</v>
      </c>
      <c r="P99" s="152" t="s">
        <v>2398</v>
      </c>
      <c r="Q99" s="152" t="s">
        <v>2705</v>
      </c>
      <c r="R99" s="152" t="s">
        <v>2705</v>
      </c>
      <c r="S99" s="152" t="s">
        <v>2675</v>
      </c>
      <c r="T99" s="152" t="s">
        <v>2705</v>
      </c>
      <c r="U99" s="152" t="s">
        <v>2397</v>
      </c>
    </row>
    <row r="100" spans="1:21" s="142" customFormat="1" ht="12.75" x14ac:dyDescent="0.2">
      <c r="A100" s="151"/>
      <c r="B100" s="152" t="s">
        <v>2398</v>
      </c>
      <c r="C100" s="152" t="s">
        <v>2675</v>
      </c>
      <c r="D100" s="152" t="s">
        <v>2398</v>
      </c>
      <c r="E100" s="152" t="s">
        <v>2398</v>
      </c>
      <c r="F100" s="152" t="s">
        <v>2705</v>
      </c>
      <c r="G100" s="152" t="s">
        <v>2675</v>
      </c>
      <c r="H100" s="152" t="s">
        <v>2397</v>
      </c>
      <c r="I100" s="152" t="s">
        <v>2398</v>
      </c>
      <c r="J100" s="152" t="s">
        <v>2398</v>
      </c>
      <c r="K100" s="152" t="s">
        <v>2705</v>
      </c>
      <c r="L100" s="152" t="s">
        <v>1435</v>
      </c>
      <c r="M100" s="152" t="s">
        <v>1435</v>
      </c>
      <c r="N100" s="152" t="s">
        <v>2705</v>
      </c>
      <c r="O100" s="152" t="s">
        <v>2398</v>
      </c>
      <c r="P100" s="152" t="s">
        <v>2705</v>
      </c>
      <c r="Q100" s="152" t="s">
        <v>2398</v>
      </c>
      <c r="R100" s="152" t="s">
        <v>2675</v>
      </c>
      <c r="S100" s="152" t="s">
        <v>2675</v>
      </c>
      <c r="T100" s="152" t="s">
        <v>2397</v>
      </c>
      <c r="U100" s="152" t="s">
        <v>2398</v>
      </c>
    </row>
    <row r="101" spans="1:21" s="142" customFormat="1" ht="12.75" customHeight="1" x14ac:dyDescent="0.2">
      <c r="A101" s="151" t="s">
        <v>7367</v>
      </c>
      <c r="B101" s="152" t="s">
        <v>2398</v>
      </c>
      <c r="C101" s="152" t="s">
        <v>2705</v>
      </c>
      <c r="D101" s="152" t="s">
        <v>2675</v>
      </c>
      <c r="E101" s="152" t="s">
        <v>2705</v>
      </c>
      <c r="F101" s="152" t="s">
        <v>2705</v>
      </c>
      <c r="G101" s="152" t="s">
        <v>2705</v>
      </c>
      <c r="H101" s="152" t="s">
        <v>2705</v>
      </c>
      <c r="I101" s="152" t="s">
        <v>2398</v>
      </c>
      <c r="J101" s="152" t="s">
        <v>2398</v>
      </c>
      <c r="K101" s="152" t="s">
        <v>2398</v>
      </c>
      <c r="L101" s="152" t="s">
        <v>2675</v>
      </c>
      <c r="M101" s="152" t="s">
        <v>2705</v>
      </c>
      <c r="N101" s="152" t="s">
        <v>2705</v>
      </c>
      <c r="O101" s="152" t="s">
        <v>2398</v>
      </c>
      <c r="P101" s="152" t="s">
        <v>2705</v>
      </c>
      <c r="Q101" s="152" t="s">
        <v>2705</v>
      </c>
      <c r="R101" s="152" t="s">
        <v>2398</v>
      </c>
      <c r="S101" s="152" t="s">
        <v>2705</v>
      </c>
      <c r="T101" s="152" t="s">
        <v>2398</v>
      </c>
      <c r="U101" s="152" t="s">
        <v>2705</v>
      </c>
    </row>
    <row r="102" spans="1:21" s="142" customFormat="1" ht="12.75" x14ac:dyDescent="0.2">
      <c r="A102" s="151"/>
      <c r="B102" s="152" t="s">
        <v>2398</v>
      </c>
      <c r="C102" s="152" t="s">
        <v>2397</v>
      </c>
      <c r="D102" s="152" t="s">
        <v>1435</v>
      </c>
      <c r="E102" s="152" t="s">
        <v>2705</v>
      </c>
      <c r="F102" s="152" t="s">
        <v>2398</v>
      </c>
      <c r="G102" s="152" t="s">
        <v>2705</v>
      </c>
      <c r="H102" s="152" t="s">
        <v>2705</v>
      </c>
      <c r="I102" s="152" t="s">
        <v>2705</v>
      </c>
      <c r="J102" s="152" t="s">
        <v>2705</v>
      </c>
      <c r="K102" s="152" t="s">
        <v>2705</v>
      </c>
      <c r="L102" s="152" t="s">
        <v>2398</v>
      </c>
      <c r="M102" s="152" t="s">
        <v>2705</v>
      </c>
      <c r="N102" s="152" t="s">
        <v>2705</v>
      </c>
      <c r="O102" s="152" t="s">
        <v>2705</v>
      </c>
      <c r="P102" s="152" t="s">
        <v>2705</v>
      </c>
      <c r="Q102" s="152" t="s">
        <v>2705</v>
      </c>
      <c r="R102" s="152" t="s">
        <v>2705</v>
      </c>
      <c r="S102" s="152" t="s">
        <v>2705</v>
      </c>
      <c r="T102" s="152" t="s">
        <v>2398</v>
      </c>
      <c r="U102" s="152" t="s">
        <v>2705</v>
      </c>
    </row>
    <row r="103" spans="1:21" s="142" customFormat="1" ht="12.75" customHeight="1" x14ac:dyDescent="0.2">
      <c r="A103" s="151" t="s">
        <v>7368</v>
      </c>
      <c r="B103" s="152" t="s">
        <v>2705</v>
      </c>
      <c r="C103" s="152" t="s">
        <v>2705</v>
      </c>
      <c r="D103" s="152" t="s">
        <v>2398</v>
      </c>
      <c r="E103" s="152" t="s">
        <v>2705</v>
      </c>
      <c r="F103" s="152" t="s">
        <v>2398</v>
      </c>
      <c r="G103" s="152" t="s">
        <v>1435</v>
      </c>
      <c r="H103" s="152" t="s">
        <v>2705</v>
      </c>
      <c r="I103" s="152" t="s">
        <v>2705</v>
      </c>
      <c r="J103" s="152" t="s">
        <v>2398</v>
      </c>
      <c r="K103" s="152" t="s">
        <v>2705</v>
      </c>
      <c r="L103" s="152" t="s">
        <v>2398</v>
      </c>
      <c r="M103" s="152" t="s">
        <v>2705</v>
      </c>
      <c r="N103" s="152" t="s">
        <v>2705</v>
      </c>
      <c r="O103" s="152" t="s">
        <v>2398</v>
      </c>
      <c r="P103" s="152" t="s">
        <v>2398</v>
      </c>
      <c r="Q103" s="152" t="s">
        <v>2675</v>
      </c>
      <c r="R103" s="152" t="s">
        <v>2398</v>
      </c>
      <c r="S103" s="152" t="s">
        <v>2398</v>
      </c>
      <c r="T103" s="152" t="s">
        <v>2675</v>
      </c>
      <c r="U103" s="152" t="s">
        <v>2398</v>
      </c>
    </row>
    <row r="104" spans="1:21" s="142" customFormat="1" ht="12.75" x14ac:dyDescent="0.2">
      <c r="A104" s="151"/>
      <c r="B104" s="152" t="s">
        <v>2397</v>
      </c>
      <c r="C104" s="152" t="s">
        <v>2705</v>
      </c>
      <c r="D104" s="152" t="s">
        <v>2705</v>
      </c>
      <c r="E104" s="152" t="s">
        <v>2398</v>
      </c>
      <c r="F104" s="152" t="s">
        <v>2705</v>
      </c>
      <c r="G104" s="152" t="s">
        <v>2398</v>
      </c>
      <c r="H104" s="152" t="s">
        <v>2398</v>
      </c>
      <c r="I104" s="152" t="s">
        <v>2705</v>
      </c>
      <c r="J104" s="152" t="s">
        <v>1435</v>
      </c>
      <c r="K104" s="152" t="s">
        <v>2705</v>
      </c>
      <c r="L104" s="152" t="s">
        <v>2398</v>
      </c>
      <c r="M104" s="152" t="s">
        <v>2675</v>
      </c>
      <c r="N104" s="152" t="s">
        <v>2398</v>
      </c>
      <c r="O104" s="152" t="s">
        <v>2398</v>
      </c>
      <c r="P104" s="152" t="s">
        <v>2398</v>
      </c>
      <c r="Q104" s="152" t="s">
        <v>2705</v>
      </c>
      <c r="R104" s="152" t="s">
        <v>2398</v>
      </c>
      <c r="S104" s="152" t="s">
        <v>2675</v>
      </c>
      <c r="T104" s="152" t="s">
        <v>2705</v>
      </c>
      <c r="U104" s="152" t="s">
        <v>2705</v>
      </c>
    </row>
    <row r="105" spans="1:21" s="142" customFormat="1" ht="12.75" customHeight="1" x14ac:dyDescent="0.2">
      <c r="A105" s="151" t="s">
        <v>7369</v>
      </c>
      <c r="B105" s="152" t="s">
        <v>2398</v>
      </c>
      <c r="C105" s="152" t="s">
        <v>2398</v>
      </c>
      <c r="D105" s="152" t="s">
        <v>2398</v>
      </c>
      <c r="E105" s="152" t="s">
        <v>2705</v>
      </c>
      <c r="F105" s="152" t="s">
        <v>2397</v>
      </c>
      <c r="G105" s="152" t="s">
        <v>2398</v>
      </c>
      <c r="H105" s="152" t="s">
        <v>2398</v>
      </c>
      <c r="I105" s="152" t="s">
        <v>2398</v>
      </c>
      <c r="J105" s="152" t="s">
        <v>2675</v>
      </c>
      <c r="K105" s="152" t="s">
        <v>2398</v>
      </c>
      <c r="L105" s="152" t="s">
        <v>2398</v>
      </c>
      <c r="M105" s="152" t="s">
        <v>2705</v>
      </c>
      <c r="N105" s="152" t="s">
        <v>2398</v>
      </c>
      <c r="O105" s="152" t="s">
        <v>2398</v>
      </c>
      <c r="P105" s="152" t="s">
        <v>2397</v>
      </c>
      <c r="Q105" s="152" t="s">
        <v>2705</v>
      </c>
      <c r="R105" s="152" t="s">
        <v>2398</v>
      </c>
      <c r="S105" s="152" t="s">
        <v>2705</v>
      </c>
      <c r="T105" s="152" t="s">
        <v>2398</v>
      </c>
      <c r="U105" s="152" t="s">
        <v>2705</v>
      </c>
    </row>
    <row r="106" spans="1:21" s="142" customFormat="1" ht="12.75" x14ac:dyDescent="0.2">
      <c r="A106" s="151"/>
      <c r="B106" s="152" t="s">
        <v>2705</v>
      </c>
      <c r="C106" s="152" t="s">
        <v>2397</v>
      </c>
      <c r="D106" s="152" t="s">
        <v>1435</v>
      </c>
      <c r="E106" s="152" t="s">
        <v>2675</v>
      </c>
      <c r="F106" s="152" t="s">
        <v>2398</v>
      </c>
      <c r="G106" s="152" t="s">
        <v>2705</v>
      </c>
      <c r="H106" s="152" t="s">
        <v>2705</v>
      </c>
      <c r="I106" s="152" t="s">
        <v>2398</v>
      </c>
      <c r="J106" s="152" t="s">
        <v>2705</v>
      </c>
      <c r="K106" s="152" t="s">
        <v>2705</v>
      </c>
      <c r="L106" s="152" t="s">
        <v>2705</v>
      </c>
      <c r="M106" s="152" t="s">
        <v>2705</v>
      </c>
      <c r="N106" s="152" t="s">
        <v>2675</v>
      </c>
      <c r="O106" s="152" t="s">
        <v>2705</v>
      </c>
      <c r="P106" s="152" t="s">
        <v>2398</v>
      </c>
      <c r="Q106" s="152" t="s">
        <v>2398</v>
      </c>
      <c r="R106" s="152" t="s">
        <v>1435</v>
      </c>
      <c r="S106" s="152" t="s">
        <v>2705</v>
      </c>
      <c r="T106" s="152" t="s">
        <v>2705</v>
      </c>
      <c r="U106" s="152" t="s">
        <v>2398</v>
      </c>
    </row>
    <row r="107" spans="1:21" s="142" customFormat="1" ht="12.75" customHeight="1" x14ac:dyDescent="0.2">
      <c r="A107" s="151" t="s">
        <v>7370</v>
      </c>
      <c r="B107" s="152" t="s">
        <v>2705</v>
      </c>
      <c r="C107" s="152" t="s">
        <v>2398</v>
      </c>
      <c r="D107" s="152" t="s">
        <v>2705</v>
      </c>
      <c r="E107" s="152" t="s">
        <v>2705</v>
      </c>
      <c r="F107" s="152" t="s">
        <v>2705</v>
      </c>
      <c r="G107" s="152" t="s">
        <v>2705</v>
      </c>
      <c r="H107" s="152" t="s">
        <v>2705</v>
      </c>
      <c r="I107" s="152" t="s">
        <v>2705</v>
      </c>
      <c r="J107" s="152" t="s">
        <v>2398</v>
      </c>
      <c r="K107" s="152" t="s">
        <v>2398</v>
      </c>
      <c r="L107" s="152" t="s">
        <v>2705</v>
      </c>
      <c r="M107" s="152" t="s">
        <v>2705</v>
      </c>
      <c r="N107" s="152" t="s">
        <v>2398</v>
      </c>
      <c r="O107" s="152" t="s">
        <v>2705</v>
      </c>
      <c r="P107" s="152" t="s">
        <v>2705</v>
      </c>
      <c r="Q107" s="152" t="s">
        <v>1435</v>
      </c>
      <c r="R107" s="152" t="s">
        <v>2705</v>
      </c>
      <c r="S107" s="152" t="s">
        <v>2705</v>
      </c>
      <c r="T107" s="152" t="s">
        <v>2705</v>
      </c>
      <c r="U107" s="152" t="s">
        <v>2398</v>
      </c>
    </row>
    <row r="108" spans="1:21" s="142" customFormat="1" ht="12.75" x14ac:dyDescent="0.2">
      <c r="A108" s="151"/>
      <c r="B108" s="152" t="s">
        <v>2398</v>
      </c>
      <c r="C108" s="152" t="s">
        <v>2705</v>
      </c>
      <c r="D108" s="152" t="s">
        <v>2705</v>
      </c>
      <c r="E108" s="152" t="s">
        <v>2398</v>
      </c>
      <c r="F108" s="152" t="s">
        <v>2398</v>
      </c>
      <c r="G108" s="152" t="s">
        <v>2398</v>
      </c>
      <c r="H108" s="152" t="s">
        <v>2398</v>
      </c>
      <c r="I108" s="152" t="s">
        <v>2398</v>
      </c>
      <c r="J108" s="152" t="s">
        <v>2398</v>
      </c>
      <c r="K108" s="152" t="s">
        <v>2398</v>
      </c>
      <c r="L108" s="152" t="s">
        <v>2705</v>
      </c>
      <c r="M108" s="152" t="s">
        <v>2398</v>
      </c>
      <c r="N108" s="152" t="s">
        <v>2705</v>
      </c>
      <c r="O108" s="152" t="s">
        <v>2705</v>
      </c>
      <c r="P108" s="152" t="s">
        <v>2398</v>
      </c>
      <c r="Q108" s="152" t="s">
        <v>1435</v>
      </c>
      <c r="R108" s="152" t="s">
        <v>2705</v>
      </c>
      <c r="S108" s="152" t="s">
        <v>2705</v>
      </c>
      <c r="T108" s="152" t="s">
        <v>2705</v>
      </c>
      <c r="U108" s="152" t="s">
        <v>2398</v>
      </c>
    </row>
    <row r="109" spans="1:21" s="142" customFormat="1" ht="12.75" customHeight="1" x14ac:dyDescent="0.2">
      <c r="A109" s="151" t="s">
        <v>7371</v>
      </c>
      <c r="B109" s="152" t="s">
        <v>2705</v>
      </c>
      <c r="C109" s="152" t="s">
        <v>2705</v>
      </c>
      <c r="D109" s="152" t="s">
        <v>2398</v>
      </c>
      <c r="E109" s="152" t="s">
        <v>2398</v>
      </c>
      <c r="F109" s="152" t="s">
        <v>2705</v>
      </c>
      <c r="G109" s="152" t="s">
        <v>2705</v>
      </c>
      <c r="H109" s="152" t="s">
        <v>2705</v>
      </c>
      <c r="I109" s="152" t="s">
        <v>2705</v>
      </c>
      <c r="J109" s="152" t="s">
        <v>2398</v>
      </c>
      <c r="K109" s="152" t="s">
        <v>2398</v>
      </c>
      <c r="L109" s="152" t="s">
        <v>2398</v>
      </c>
      <c r="M109" s="152" t="s">
        <v>2398</v>
      </c>
      <c r="N109" s="152" t="s">
        <v>2705</v>
      </c>
      <c r="O109" s="152" t="s">
        <v>2705</v>
      </c>
      <c r="P109" s="152" t="s">
        <v>2705</v>
      </c>
      <c r="Q109" s="152" t="s">
        <v>2705</v>
      </c>
      <c r="R109" s="152" t="s">
        <v>2705</v>
      </c>
      <c r="S109" s="152" t="s">
        <v>2705</v>
      </c>
      <c r="T109" s="152" t="s">
        <v>2398</v>
      </c>
      <c r="U109" s="152" t="s">
        <v>2705</v>
      </c>
    </row>
    <row r="110" spans="1:21" s="142" customFormat="1" ht="12.75" x14ac:dyDescent="0.2">
      <c r="A110" s="151"/>
      <c r="B110" s="152" t="s">
        <v>2705</v>
      </c>
      <c r="C110" s="152" t="s">
        <v>2398</v>
      </c>
      <c r="D110" s="152" t="s">
        <v>2398</v>
      </c>
      <c r="E110" s="152" t="s">
        <v>2398</v>
      </c>
      <c r="F110" s="152" t="s">
        <v>2705</v>
      </c>
      <c r="G110" s="152" t="s">
        <v>2705</v>
      </c>
      <c r="H110" s="152" t="s">
        <v>2398</v>
      </c>
      <c r="I110" s="152" t="s">
        <v>1435</v>
      </c>
      <c r="J110" s="152" t="s">
        <v>2705</v>
      </c>
      <c r="K110" s="152" t="s">
        <v>2705</v>
      </c>
      <c r="L110" s="152" t="s">
        <v>2705</v>
      </c>
      <c r="M110" s="152" t="s">
        <v>2398</v>
      </c>
      <c r="N110" s="152" t="s">
        <v>2705</v>
      </c>
      <c r="O110" s="152" t="s">
        <v>2705</v>
      </c>
      <c r="P110" s="152" t="s">
        <v>2398</v>
      </c>
      <c r="Q110" s="152" t="s">
        <v>2705</v>
      </c>
      <c r="R110" s="152" t="s">
        <v>2705</v>
      </c>
      <c r="S110" s="152" t="s">
        <v>2705</v>
      </c>
      <c r="T110" s="152" t="s">
        <v>2705</v>
      </c>
      <c r="U110" s="152" t="s">
        <v>2705</v>
      </c>
    </row>
    <row r="111" spans="1:21" s="142" customFormat="1" ht="12.75" customHeight="1" x14ac:dyDescent="0.2">
      <c r="A111" s="151" t="s">
        <v>7372</v>
      </c>
      <c r="B111" s="152" t="s">
        <v>2705</v>
      </c>
      <c r="C111" s="152" t="s">
        <v>2705</v>
      </c>
      <c r="D111" s="152" t="s">
        <v>2705</v>
      </c>
      <c r="E111" s="152" t="s">
        <v>2675</v>
      </c>
      <c r="F111" s="152" t="s">
        <v>2705</v>
      </c>
      <c r="G111" s="152" t="s">
        <v>2398</v>
      </c>
      <c r="H111" s="152" t="s">
        <v>2705</v>
      </c>
      <c r="I111" s="152" t="s">
        <v>2398</v>
      </c>
      <c r="J111" s="152" t="s">
        <v>2705</v>
      </c>
      <c r="K111" s="152" t="s">
        <v>1435</v>
      </c>
      <c r="L111" s="152" t="s">
        <v>2705</v>
      </c>
      <c r="M111" s="152" t="s">
        <v>2705</v>
      </c>
      <c r="N111" s="152" t="s">
        <v>2675</v>
      </c>
      <c r="O111" s="152" t="s">
        <v>1435</v>
      </c>
      <c r="P111" s="152" t="s">
        <v>2675</v>
      </c>
      <c r="Q111" s="152" t="s">
        <v>2397</v>
      </c>
      <c r="R111" s="152" t="s">
        <v>2397</v>
      </c>
      <c r="S111" s="152" t="s">
        <v>2398</v>
      </c>
      <c r="T111" s="152" t="s">
        <v>2705</v>
      </c>
      <c r="U111" s="152" t="s">
        <v>2398</v>
      </c>
    </row>
    <row r="112" spans="1:21" s="142" customFormat="1" ht="12.75" x14ac:dyDescent="0.2">
      <c r="A112" s="151"/>
      <c r="B112" s="152" t="s">
        <v>2705</v>
      </c>
      <c r="C112" s="152" t="s">
        <v>2398</v>
      </c>
      <c r="D112" s="152" t="s">
        <v>2675</v>
      </c>
      <c r="E112" s="152" t="s">
        <v>2705</v>
      </c>
      <c r="F112" s="152" t="s">
        <v>2705</v>
      </c>
      <c r="G112" s="152" t="s">
        <v>2675</v>
      </c>
      <c r="H112" s="152" t="s">
        <v>2675</v>
      </c>
      <c r="I112" s="152" t="s">
        <v>2705</v>
      </c>
      <c r="J112" s="152" t="s">
        <v>2705</v>
      </c>
      <c r="K112" s="152" t="s">
        <v>2705</v>
      </c>
      <c r="L112" s="152" t="s">
        <v>2705</v>
      </c>
      <c r="M112" s="152" t="s">
        <v>2398</v>
      </c>
      <c r="N112" s="152" t="s">
        <v>2398</v>
      </c>
      <c r="O112" s="152" t="s">
        <v>2705</v>
      </c>
      <c r="P112" s="152" t="s">
        <v>2705</v>
      </c>
      <c r="Q112" s="152" t="s">
        <v>2398</v>
      </c>
      <c r="R112" s="152" t="s">
        <v>2398</v>
      </c>
      <c r="S112" s="152" t="s">
        <v>2705</v>
      </c>
      <c r="T112" s="152" t="s">
        <v>2398</v>
      </c>
      <c r="U112" s="152" t="s">
        <v>2705</v>
      </c>
    </row>
    <row r="113" spans="1:21" s="142" customFormat="1" ht="12.75" customHeight="1" x14ac:dyDescent="0.2">
      <c r="A113" s="151" t="s">
        <v>7373</v>
      </c>
      <c r="B113" s="152" t="s">
        <v>2705</v>
      </c>
      <c r="C113" s="152" t="s">
        <v>2705</v>
      </c>
      <c r="D113" s="152" t="s">
        <v>2705</v>
      </c>
      <c r="E113" s="152" t="s">
        <v>1435</v>
      </c>
      <c r="F113" s="152" t="s">
        <v>2705</v>
      </c>
      <c r="G113" s="152" t="s">
        <v>2705</v>
      </c>
      <c r="H113" s="152" t="s">
        <v>2705</v>
      </c>
      <c r="I113" s="152" t="s">
        <v>2398</v>
      </c>
      <c r="J113" s="152" t="s">
        <v>2398</v>
      </c>
      <c r="K113" s="152" t="s">
        <v>1435</v>
      </c>
      <c r="L113" s="152" t="s">
        <v>2705</v>
      </c>
      <c r="M113" s="152" t="s">
        <v>2705</v>
      </c>
      <c r="N113" s="152" t="s">
        <v>2675</v>
      </c>
      <c r="O113" s="152" t="s">
        <v>2398</v>
      </c>
      <c r="P113" s="152" t="s">
        <v>2398</v>
      </c>
      <c r="Q113" s="152" t="s">
        <v>2397</v>
      </c>
      <c r="R113" s="152" t="s">
        <v>2675</v>
      </c>
      <c r="S113" s="152" t="s">
        <v>2398</v>
      </c>
      <c r="T113" s="152" t="s">
        <v>2397</v>
      </c>
      <c r="U113" s="152" t="s">
        <v>1435</v>
      </c>
    </row>
    <row r="114" spans="1:21" s="142" customFormat="1" ht="12.75" x14ac:dyDescent="0.2">
      <c r="A114" s="151"/>
      <c r="B114" s="152" t="s">
        <v>2397</v>
      </c>
      <c r="C114" s="152" t="s">
        <v>2705</v>
      </c>
      <c r="D114" s="152" t="s">
        <v>2675</v>
      </c>
      <c r="E114" s="152" t="s">
        <v>2398</v>
      </c>
      <c r="F114" s="152" t="s">
        <v>2705</v>
      </c>
      <c r="G114" s="152" t="s">
        <v>1435</v>
      </c>
      <c r="H114" s="152" t="s">
        <v>2705</v>
      </c>
      <c r="I114" s="152" t="s">
        <v>2705</v>
      </c>
      <c r="J114" s="152" t="s">
        <v>2675</v>
      </c>
      <c r="K114" s="152" t="s">
        <v>2675</v>
      </c>
      <c r="L114" s="152" t="s">
        <v>2705</v>
      </c>
      <c r="M114" s="152" t="s">
        <v>2398</v>
      </c>
      <c r="N114" s="152" t="s">
        <v>2705</v>
      </c>
      <c r="O114" s="152" t="s">
        <v>2705</v>
      </c>
      <c r="P114" s="152" t="s">
        <v>2705</v>
      </c>
      <c r="Q114" s="152" t="s">
        <v>2398</v>
      </c>
      <c r="R114" s="152" t="s">
        <v>2705</v>
      </c>
      <c r="S114" s="152" t="s">
        <v>2705</v>
      </c>
      <c r="T114" s="152" t="s">
        <v>2705</v>
      </c>
      <c r="U114" s="152" t="s">
        <v>2705</v>
      </c>
    </row>
    <row r="115" spans="1:21" s="142" customFormat="1" ht="12.75" customHeight="1" x14ac:dyDescent="0.2">
      <c r="A115" s="151" t="s">
        <v>7374</v>
      </c>
      <c r="B115" s="152" t="s">
        <v>2398</v>
      </c>
      <c r="C115" s="152" t="s">
        <v>2398</v>
      </c>
      <c r="D115" s="152" t="s">
        <v>2398</v>
      </c>
      <c r="E115" s="152" t="s">
        <v>2398</v>
      </c>
      <c r="F115" s="152" t="s">
        <v>2398</v>
      </c>
      <c r="G115" s="152" t="s">
        <v>2705</v>
      </c>
      <c r="H115" s="152" t="s">
        <v>2705</v>
      </c>
      <c r="I115" s="152" t="s">
        <v>2398</v>
      </c>
      <c r="J115" s="152" t="s">
        <v>2705</v>
      </c>
      <c r="K115" s="152" t="s">
        <v>2675</v>
      </c>
      <c r="L115" s="152" t="s">
        <v>2675</v>
      </c>
      <c r="M115" s="152" t="s">
        <v>2398</v>
      </c>
      <c r="N115" s="152" t="s">
        <v>2705</v>
      </c>
      <c r="O115" s="152" t="s">
        <v>2705</v>
      </c>
      <c r="P115" s="152" t="s">
        <v>2705</v>
      </c>
      <c r="Q115" s="152" t="s">
        <v>2705</v>
      </c>
      <c r="R115" s="152" t="s">
        <v>2705</v>
      </c>
      <c r="S115" s="152" t="s">
        <v>2705</v>
      </c>
      <c r="T115" s="152" t="s">
        <v>2398</v>
      </c>
      <c r="U115" s="152" t="s">
        <v>2705</v>
      </c>
    </row>
    <row r="116" spans="1:21" s="142" customFormat="1" ht="12.75" x14ac:dyDescent="0.2">
      <c r="A116" s="151"/>
      <c r="B116" s="152" t="s">
        <v>2397</v>
      </c>
      <c r="C116" s="152" t="s">
        <v>2705</v>
      </c>
      <c r="D116" s="152" t="s">
        <v>2397</v>
      </c>
      <c r="E116" s="152" t="s">
        <v>2705</v>
      </c>
      <c r="F116" s="152" t="s">
        <v>2705</v>
      </c>
      <c r="G116" s="152" t="s">
        <v>2398</v>
      </c>
      <c r="H116" s="152" t="s">
        <v>2705</v>
      </c>
      <c r="I116" s="152" t="s">
        <v>2705</v>
      </c>
      <c r="J116" s="152" t="s">
        <v>2397</v>
      </c>
      <c r="K116" s="152" t="s">
        <v>2398</v>
      </c>
      <c r="L116" s="152" t="s">
        <v>2675</v>
      </c>
      <c r="M116" s="152" t="s">
        <v>2705</v>
      </c>
      <c r="N116" s="152" t="s">
        <v>2705</v>
      </c>
      <c r="O116" s="152" t="s">
        <v>2705</v>
      </c>
      <c r="P116" s="152" t="s">
        <v>2705</v>
      </c>
      <c r="Q116" s="152" t="s">
        <v>2398</v>
      </c>
      <c r="R116" s="152" t="s">
        <v>1435</v>
      </c>
      <c r="S116" s="152" t="s">
        <v>2705</v>
      </c>
      <c r="T116" s="152" t="s">
        <v>2705</v>
      </c>
      <c r="U116" s="152" t="s">
        <v>2398</v>
      </c>
    </row>
    <row r="117" spans="1:21" s="142" customFormat="1" ht="12.75" customHeight="1" x14ac:dyDescent="0.2">
      <c r="A117" s="151" t="s">
        <v>7375</v>
      </c>
      <c r="B117" s="152" t="s">
        <v>2675</v>
      </c>
      <c r="C117" s="152" t="s">
        <v>2705</v>
      </c>
      <c r="D117" s="152" t="s">
        <v>2705</v>
      </c>
      <c r="E117" s="152" t="s">
        <v>2705</v>
      </c>
      <c r="F117" s="152" t="s">
        <v>1435</v>
      </c>
      <c r="G117" s="152" t="s">
        <v>2398</v>
      </c>
      <c r="H117" s="152" t="s">
        <v>2705</v>
      </c>
      <c r="I117" s="152" t="s">
        <v>2397</v>
      </c>
      <c r="J117" s="152" t="s">
        <v>2675</v>
      </c>
      <c r="K117" s="152" t="s">
        <v>2398</v>
      </c>
      <c r="L117" s="152" t="s">
        <v>2705</v>
      </c>
      <c r="M117" s="152" t="s">
        <v>2705</v>
      </c>
      <c r="N117" s="152" t="s">
        <v>2675</v>
      </c>
      <c r="O117" s="152" t="s">
        <v>1435</v>
      </c>
      <c r="P117" s="152" t="s">
        <v>2398</v>
      </c>
      <c r="Q117" s="152" t="s">
        <v>2398</v>
      </c>
      <c r="R117" s="152" t="s">
        <v>2397</v>
      </c>
      <c r="S117" s="152" t="s">
        <v>2675</v>
      </c>
      <c r="T117" s="152" t="s">
        <v>2398</v>
      </c>
      <c r="U117" s="152" t="s">
        <v>1435</v>
      </c>
    </row>
    <row r="118" spans="1:21" s="142" customFormat="1" ht="12.75" x14ac:dyDescent="0.2">
      <c r="A118" s="151"/>
      <c r="B118" s="152" t="s">
        <v>2705</v>
      </c>
      <c r="C118" s="152" t="s">
        <v>2705</v>
      </c>
      <c r="D118" s="152" t="s">
        <v>2675</v>
      </c>
      <c r="E118" s="152" t="s">
        <v>2675</v>
      </c>
      <c r="F118" s="152" t="s">
        <v>2705</v>
      </c>
      <c r="G118" s="152" t="s">
        <v>1435</v>
      </c>
      <c r="H118" s="152" t="s">
        <v>2675</v>
      </c>
      <c r="I118" s="152" t="s">
        <v>2705</v>
      </c>
      <c r="J118" s="152" t="s">
        <v>2705</v>
      </c>
      <c r="K118" s="152" t="s">
        <v>2705</v>
      </c>
      <c r="L118" s="152" t="s">
        <v>2705</v>
      </c>
      <c r="M118" s="152" t="s">
        <v>2398</v>
      </c>
      <c r="N118" s="152" t="s">
        <v>2705</v>
      </c>
      <c r="O118" s="152" t="s">
        <v>2705</v>
      </c>
      <c r="P118" s="152" t="s">
        <v>2397</v>
      </c>
      <c r="Q118" s="152" t="s">
        <v>1435</v>
      </c>
      <c r="R118" s="152" t="s">
        <v>2705</v>
      </c>
      <c r="S118" s="152" t="s">
        <v>1435</v>
      </c>
      <c r="T118" s="152" t="s">
        <v>1435</v>
      </c>
      <c r="U118" s="152" t="s">
        <v>2705</v>
      </c>
    </row>
    <row r="119" spans="1:21" s="142" customFormat="1" ht="12.75" customHeight="1" x14ac:dyDescent="0.2">
      <c r="A119" s="151" t="s">
        <v>7376</v>
      </c>
      <c r="B119" s="152" t="s">
        <v>2675</v>
      </c>
      <c r="C119" s="152" t="s">
        <v>2675</v>
      </c>
      <c r="D119" s="152" t="s">
        <v>2397</v>
      </c>
      <c r="E119" s="152" t="s">
        <v>1435</v>
      </c>
      <c r="F119" s="152" t="s">
        <v>2675</v>
      </c>
      <c r="G119" s="152" t="s">
        <v>2705</v>
      </c>
      <c r="H119" s="152" t="s">
        <v>2398</v>
      </c>
      <c r="I119" s="152" t="s">
        <v>2397</v>
      </c>
      <c r="J119" s="152" t="s">
        <v>2675</v>
      </c>
      <c r="K119" s="152" t="s">
        <v>2705</v>
      </c>
      <c r="L119" s="152" t="s">
        <v>2398</v>
      </c>
      <c r="M119" s="152" t="s">
        <v>2705</v>
      </c>
      <c r="N119" s="152" t="s">
        <v>2675</v>
      </c>
      <c r="O119" s="152" t="s">
        <v>2705</v>
      </c>
      <c r="P119" s="152" t="s">
        <v>1435</v>
      </c>
      <c r="Q119" s="152" t="s">
        <v>2705</v>
      </c>
      <c r="R119" s="152" t="s">
        <v>1435</v>
      </c>
      <c r="S119" s="152" t="s">
        <v>2675</v>
      </c>
      <c r="T119" s="152" t="s">
        <v>2397</v>
      </c>
      <c r="U119" s="152" t="s">
        <v>2705</v>
      </c>
    </row>
    <row r="120" spans="1:21" s="142" customFormat="1" ht="12.75" x14ac:dyDescent="0.2">
      <c r="A120" s="151"/>
      <c r="B120" s="152" t="s">
        <v>2705</v>
      </c>
      <c r="C120" s="152" t="s">
        <v>2705</v>
      </c>
      <c r="D120" s="152" t="s">
        <v>2705</v>
      </c>
      <c r="E120" s="152" t="s">
        <v>2705</v>
      </c>
      <c r="F120" s="152" t="s">
        <v>2705</v>
      </c>
      <c r="G120" s="152" t="s">
        <v>2705</v>
      </c>
      <c r="H120" s="152" t="s">
        <v>2398</v>
      </c>
      <c r="I120" s="152" t="s">
        <v>2705</v>
      </c>
      <c r="J120" s="152" t="s">
        <v>2398</v>
      </c>
      <c r="K120" s="152" t="s">
        <v>1435</v>
      </c>
      <c r="L120" s="152" t="s">
        <v>2398</v>
      </c>
      <c r="M120" s="152" t="s">
        <v>1435</v>
      </c>
      <c r="N120" s="152" t="s">
        <v>1435</v>
      </c>
      <c r="O120" s="152" t="s">
        <v>2398</v>
      </c>
      <c r="P120" s="152" t="s">
        <v>2705</v>
      </c>
      <c r="Q120" s="152" t="s">
        <v>2705</v>
      </c>
      <c r="R120" s="152" t="s">
        <v>2705</v>
      </c>
      <c r="S120" s="152" t="s">
        <v>2705</v>
      </c>
      <c r="T120" s="152" t="s">
        <v>2705</v>
      </c>
      <c r="U120" s="152" t="s">
        <v>2398</v>
      </c>
    </row>
    <row r="121" spans="1:21" s="142" customFormat="1" ht="12.75" customHeight="1" x14ac:dyDescent="0.2">
      <c r="A121" s="151" t="s">
        <v>7377</v>
      </c>
      <c r="B121" s="152" t="s">
        <v>1435</v>
      </c>
      <c r="C121" s="152" t="s">
        <v>2705</v>
      </c>
      <c r="D121" s="152" t="s">
        <v>2398</v>
      </c>
      <c r="E121" s="152" t="s">
        <v>2397</v>
      </c>
      <c r="F121" s="152" t="s">
        <v>1435</v>
      </c>
      <c r="G121" s="152" t="s">
        <v>2705</v>
      </c>
      <c r="H121" s="152" t="s">
        <v>2398</v>
      </c>
      <c r="I121" s="152" t="s">
        <v>2398</v>
      </c>
      <c r="J121" s="152" t="s">
        <v>2705</v>
      </c>
      <c r="K121" s="152" t="s">
        <v>2705</v>
      </c>
      <c r="L121" s="152" t="s">
        <v>2705</v>
      </c>
      <c r="M121" s="152" t="s">
        <v>2675</v>
      </c>
      <c r="N121" s="152" t="s">
        <v>2705</v>
      </c>
      <c r="O121" s="152" t="s">
        <v>2398</v>
      </c>
      <c r="P121" s="152" t="s">
        <v>2398</v>
      </c>
      <c r="Q121" s="152" t="s">
        <v>1435</v>
      </c>
      <c r="R121" s="152" t="s">
        <v>2675</v>
      </c>
      <c r="S121" s="152" t="s">
        <v>2675</v>
      </c>
      <c r="T121" s="152" t="s">
        <v>2705</v>
      </c>
      <c r="U121" s="152" t="s">
        <v>2398</v>
      </c>
    </row>
    <row r="122" spans="1:21" s="142" customFormat="1" ht="12.75" x14ac:dyDescent="0.2">
      <c r="A122" s="151"/>
      <c r="B122" s="152" t="s">
        <v>2705</v>
      </c>
      <c r="C122" s="152" t="s">
        <v>1435</v>
      </c>
      <c r="D122" s="152" t="s">
        <v>2705</v>
      </c>
      <c r="E122" s="152" t="s">
        <v>2397</v>
      </c>
      <c r="F122" s="152" t="s">
        <v>2705</v>
      </c>
      <c r="G122" s="152" t="s">
        <v>1435</v>
      </c>
      <c r="H122" s="152" t="s">
        <v>2398</v>
      </c>
      <c r="I122" s="152" t="s">
        <v>2705</v>
      </c>
      <c r="J122" s="152" t="s">
        <v>2705</v>
      </c>
      <c r="K122" s="152" t="s">
        <v>2398</v>
      </c>
      <c r="L122" s="152" t="s">
        <v>2705</v>
      </c>
      <c r="M122" s="152" t="s">
        <v>1435</v>
      </c>
      <c r="N122" s="152" t="s">
        <v>2705</v>
      </c>
      <c r="O122" s="152" t="s">
        <v>2705</v>
      </c>
      <c r="P122" s="152" t="s">
        <v>2705</v>
      </c>
      <c r="Q122" s="152" t="s">
        <v>2705</v>
      </c>
      <c r="R122" s="152" t="s">
        <v>2397</v>
      </c>
      <c r="S122" s="152" t="s">
        <v>2675</v>
      </c>
      <c r="T122" s="152" t="s">
        <v>2705</v>
      </c>
      <c r="U122" s="152" t="s">
        <v>2705</v>
      </c>
    </row>
    <row r="123" spans="1:21" s="142" customFormat="1" ht="12.75" customHeight="1" x14ac:dyDescent="0.2">
      <c r="A123" s="151" t="s">
        <v>7378</v>
      </c>
      <c r="B123" s="152" t="s">
        <v>2398</v>
      </c>
      <c r="C123" s="152" t="s">
        <v>2398</v>
      </c>
      <c r="D123" s="152" t="s">
        <v>1435</v>
      </c>
      <c r="E123" s="152" t="s">
        <v>2397</v>
      </c>
      <c r="F123" s="152" t="s">
        <v>2705</v>
      </c>
      <c r="G123" s="152" t="s">
        <v>2705</v>
      </c>
      <c r="H123" s="152" t="s">
        <v>2398</v>
      </c>
      <c r="I123" s="152" t="s">
        <v>2398</v>
      </c>
      <c r="J123" s="152" t="s">
        <v>2705</v>
      </c>
      <c r="K123" s="152" t="s">
        <v>2705</v>
      </c>
      <c r="L123" s="152" t="s">
        <v>2705</v>
      </c>
      <c r="M123" s="152" t="s">
        <v>1435</v>
      </c>
      <c r="N123" s="152" t="s">
        <v>2398</v>
      </c>
      <c r="O123" s="152" t="s">
        <v>2398</v>
      </c>
      <c r="P123" s="152" t="s">
        <v>2398</v>
      </c>
      <c r="Q123" s="152" t="s">
        <v>2705</v>
      </c>
      <c r="R123" s="152" t="s">
        <v>1435</v>
      </c>
      <c r="S123" s="152" t="s">
        <v>2705</v>
      </c>
      <c r="T123" s="152" t="s">
        <v>2397</v>
      </c>
      <c r="U123" s="152" t="s">
        <v>2705</v>
      </c>
    </row>
    <row r="124" spans="1:21" s="142" customFormat="1" ht="12.75" x14ac:dyDescent="0.2">
      <c r="A124" s="151"/>
      <c r="B124" s="152" t="s">
        <v>2398</v>
      </c>
      <c r="C124" s="152" t="s">
        <v>2705</v>
      </c>
      <c r="D124" s="152" t="s">
        <v>2398</v>
      </c>
      <c r="E124" s="152" t="s">
        <v>2398</v>
      </c>
      <c r="F124" s="152" t="s">
        <v>2705</v>
      </c>
      <c r="G124" s="152" t="s">
        <v>2675</v>
      </c>
      <c r="H124" s="152" t="s">
        <v>2397</v>
      </c>
      <c r="I124" s="152" t="s">
        <v>2705</v>
      </c>
      <c r="J124" s="152" t="s">
        <v>2398</v>
      </c>
      <c r="K124" s="152" t="s">
        <v>2705</v>
      </c>
      <c r="L124" s="152" t="s">
        <v>2398</v>
      </c>
      <c r="M124" s="152" t="s">
        <v>1435</v>
      </c>
      <c r="N124" s="152" t="s">
        <v>2705</v>
      </c>
      <c r="O124" s="152" t="s">
        <v>2398</v>
      </c>
      <c r="P124" s="152" t="s">
        <v>2675</v>
      </c>
      <c r="Q124" s="152" t="s">
        <v>2705</v>
      </c>
      <c r="R124" s="152" t="s">
        <v>2705</v>
      </c>
      <c r="S124" s="152" t="s">
        <v>2705</v>
      </c>
      <c r="T124" s="152" t="s">
        <v>2397</v>
      </c>
      <c r="U124" s="152" t="s">
        <v>2398</v>
      </c>
    </row>
    <row r="125" spans="1:21" s="142" customFormat="1" ht="12.75" customHeight="1" x14ac:dyDescent="0.2">
      <c r="A125" s="151" t="s">
        <v>7379</v>
      </c>
      <c r="B125" s="152" t="s">
        <v>2705</v>
      </c>
      <c r="C125" s="152" t="s">
        <v>1435</v>
      </c>
      <c r="D125" s="152" t="s">
        <v>2675</v>
      </c>
      <c r="E125" s="152" t="s">
        <v>2398</v>
      </c>
      <c r="F125" s="152" t="s">
        <v>2398</v>
      </c>
      <c r="G125" s="152" t="s">
        <v>2705</v>
      </c>
      <c r="H125" s="152" t="s">
        <v>2398</v>
      </c>
      <c r="I125" s="152" t="s">
        <v>2398</v>
      </c>
      <c r="J125" s="152" t="s">
        <v>2675</v>
      </c>
      <c r="K125" s="152" t="s">
        <v>2398</v>
      </c>
      <c r="L125" s="152" t="s">
        <v>2675</v>
      </c>
      <c r="M125" s="152" t="s">
        <v>2705</v>
      </c>
      <c r="N125" s="152" t="s">
        <v>2705</v>
      </c>
      <c r="O125" s="152" t="s">
        <v>2705</v>
      </c>
      <c r="P125" s="152" t="s">
        <v>2397</v>
      </c>
      <c r="Q125" s="152" t="s">
        <v>2705</v>
      </c>
      <c r="R125" s="152" t="s">
        <v>2705</v>
      </c>
      <c r="S125" s="152" t="s">
        <v>2705</v>
      </c>
      <c r="T125" s="152" t="s">
        <v>2705</v>
      </c>
      <c r="U125" s="152" t="s">
        <v>2705</v>
      </c>
    </row>
    <row r="126" spans="1:21" s="142" customFormat="1" ht="12.75" x14ac:dyDescent="0.2">
      <c r="A126" s="151"/>
      <c r="B126" s="152" t="s">
        <v>2705</v>
      </c>
      <c r="C126" s="152" t="s">
        <v>2398</v>
      </c>
      <c r="D126" s="152" t="s">
        <v>2398</v>
      </c>
      <c r="E126" s="152" t="s">
        <v>2675</v>
      </c>
      <c r="F126" s="152" t="s">
        <v>2705</v>
      </c>
      <c r="G126" s="152" t="s">
        <v>2705</v>
      </c>
      <c r="H126" s="152" t="s">
        <v>2705</v>
      </c>
      <c r="I126" s="152" t="s">
        <v>1435</v>
      </c>
      <c r="J126" s="152" t="s">
        <v>2705</v>
      </c>
      <c r="K126" s="152" t="s">
        <v>2705</v>
      </c>
      <c r="L126" s="152" t="s">
        <v>2398</v>
      </c>
      <c r="M126" s="152" t="s">
        <v>2705</v>
      </c>
      <c r="N126" s="152" t="s">
        <v>2705</v>
      </c>
      <c r="O126" s="152" t="s">
        <v>2705</v>
      </c>
      <c r="P126" s="152" t="s">
        <v>2705</v>
      </c>
      <c r="Q126" s="152" t="s">
        <v>2705</v>
      </c>
      <c r="R126" s="152" t="s">
        <v>2398</v>
      </c>
      <c r="S126" s="152" t="s">
        <v>2705</v>
      </c>
      <c r="T126" s="152" t="s">
        <v>2398</v>
      </c>
      <c r="U126" s="152" t="s">
        <v>2705</v>
      </c>
    </row>
    <row r="127" spans="1:21" s="142" customFormat="1" ht="12.75" customHeight="1" x14ac:dyDescent="0.2">
      <c r="A127" s="151" t="s">
        <v>7380</v>
      </c>
      <c r="B127" s="152" t="s">
        <v>2705</v>
      </c>
      <c r="C127" s="152" t="s">
        <v>2398</v>
      </c>
      <c r="D127" s="152" t="s">
        <v>2705</v>
      </c>
      <c r="E127" s="152" t="s">
        <v>2705</v>
      </c>
      <c r="F127" s="152" t="s">
        <v>1435</v>
      </c>
      <c r="G127" s="152" t="s">
        <v>2398</v>
      </c>
      <c r="H127" s="152" t="s">
        <v>1435</v>
      </c>
      <c r="I127" s="152" t="s">
        <v>2398</v>
      </c>
      <c r="J127" s="152" t="s">
        <v>2398</v>
      </c>
      <c r="K127" s="152" t="s">
        <v>2397</v>
      </c>
      <c r="L127" s="152" t="s">
        <v>2675</v>
      </c>
      <c r="M127" s="152" t="s">
        <v>2398</v>
      </c>
      <c r="N127" s="152" t="s">
        <v>2398</v>
      </c>
      <c r="O127" s="152" t="s">
        <v>2705</v>
      </c>
      <c r="P127" s="152" t="s">
        <v>2398</v>
      </c>
      <c r="Q127" s="152" t="s">
        <v>2705</v>
      </c>
      <c r="R127" s="152" t="s">
        <v>2705</v>
      </c>
      <c r="S127" s="152" t="s">
        <v>2705</v>
      </c>
      <c r="T127" s="152" t="s">
        <v>2398</v>
      </c>
      <c r="U127" s="152" t="s">
        <v>2705</v>
      </c>
    </row>
    <row r="128" spans="1:21" s="142" customFormat="1" ht="12.75" x14ac:dyDescent="0.2">
      <c r="A128" s="151"/>
      <c r="B128" s="152" t="s">
        <v>2398</v>
      </c>
      <c r="C128" s="152" t="s">
        <v>2398</v>
      </c>
      <c r="D128" s="152" t="s">
        <v>2398</v>
      </c>
      <c r="E128" s="152" t="s">
        <v>2705</v>
      </c>
      <c r="F128" s="152" t="s">
        <v>2398</v>
      </c>
      <c r="G128" s="152" t="s">
        <v>2705</v>
      </c>
      <c r="H128" s="152" t="s">
        <v>1435</v>
      </c>
      <c r="I128" s="152" t="s">
        <v>2705</v>
      </c>
      <c r="J128" s="152" t="s">
        <v>2398</v>
      </c>
      <c r="K128" s="152" t="s">
        <v>2705</v>
      </c>
      <c r="L128" s="152" t="s">
        <v>2675</v>
      </c>
      <c r="M128" s="152" t="s">
        <v>2398</v>
      </c>
      <c r="N128" s="152" t="s">
        <v>2705</v>
      </c>
      <c r="O128" s="152" t="s">
        <v>2397</v>
      </c>
      <c r="P128" s="152" t="s">
        <v>2705</v>
      </c>
      <c r="Q128" s="152" t="s">
        <v>2398</v>
      </c>
      <c r="R128" s="152" t="s">
        <v>1435</v>
      </c>
      <c r="S128" s="152" t="s">
        <v>2398</v>
      </c>
      <c r="T128" s="152" t="s">
        <v>2705</v>
      </c>
      <c r="U128" s="152" t="s">
        <v>2398</v>
      </c>
    </row>
    <row r="129" spans="1:21" s="142" customFormat="1" ht="12.75" customHeight="1" x14ac:dyDescent="0.2">
      <c r="A129" s="151" t="s">
        <v>7381</v>
      </c>
      <c r="B129" s="152" t="s">
        <v>2398</v>
      </c>
      <c r="C129" s="152" t="s">
        <v>2705</v>
      </c>
      <c r="D129" s="152" t="s">
        <v>2398</v>
      </c>
      <c r="E129" s="152" t="s">
        <v>2705</v>
      </c>
      <c r="F129" s="152" t="s">
        <v>1435</v>
      </c>
      <c r="G129" s="152" t="s">
        <v>2398</v>
      </c>
      <c r="H129" s="152" t="s">
        <v>2705</v>
      </c>
      <c r="I129" s="152" t="s">
        <v>1435</v>
      </c>
      <c r="J129" s="152" t="s">
        <v>2705</v>
      </c>
      <c r="K129" s="152" t="s">
        <v>2705</v>
      </c>
      <c r="L129" s="152" t="s">
        <v>2705</v>
      </c>
      <c r="M129" s="152" t="s">
        <v>1435</v>
      </c>
      <c r="N129" s="152" t="s">
        <v>2705</v>
      </c>
      <c r="O129" s="152" t="s">
        <v>2398</v>
      </c>
      <c r="P129" s="152" t="s">
        <v>2398</v>
      </c>
      <c r="Q129" s="152" t="s">
        <v>2705</v>
      </c>
      <c r="R129" s="152" t="s">
        <v>2705</v>
      </c>
      <c r="S129" s="152" t="s">
        <v>2705</v>
      </c>
      <c r="T129" s="152" t="s">
        <v>2705</v>
      </c>
      <c r="U129" s="152" t="s">
        <v>2398</v>
      </c>
    </row>
    <row r="130" spans="1:21" s="142" customFormat="1" ht="12.75" x14ac:dyDescent="0.2">
      <c r="A130" s="151"/>
      <c r="B130" s="152" t="s">
        <v>2397</v>
      </c>
      <c r="C130" s="152" t="s">
        <v>2398</v>
      </c>
      <c r="D130" s="152" t="s">
        <v>2705</v>
      </c>
      <c r="E130" s="152" t="s">
        <v>2675</v>
      </c>
      <c r="F130" s="152" t="s">
        <v>2705</v>
      </c>
      <c r="G130" s="152" t="s">
        <v>2398</v>
      </c>
      <c r="H130" s="152" t="s">
        <v>2705</v>
      </c>
      <c r="I130" s="152" t="s">
        <v>2398</v>
      </c>
      <c r="J130" s="152" t="s">
        <v>2705</v>
      </c>
      <c r="K130" s="152" t="s">
        <v>2705</v>
      </c>
      <c r="L130" s="152" t="s">
        <v>1435</v>
      </c>
      <c r="M130" s="152" t="s">
        <v>2398</v>
      </c>
      <c r="N130" s="152" t="s">
        <v>2398</v>
      </c>
      <c r="O130" s="152" t="s">
        <v>2705</v>
      </c>
      <c r="P130" s="152" t="s">
        <v>2398</v>
      </c>
      <c r="Q130" s="152" t="s">
        <v>2705</v>
      </c>
      <c r="R130" s="152" t="s">
        <v>2705</v>
      </c>
      <c r="S130" s="152" t="s">
        <v>2398</v>
      </c>
      <c r="T130" s="152" t="s">
        <v>2705</v>
      </c>
      <c r="U130" s="152" t="s">
        <v>2675</v>
      </c>
    </row>
    <row r="131" spans="1:21" s="142" customFormat="1" ht="12.75" customHeight="1" x14ac:dyDescent="0.2">
      <c r="A131" s="151" t="s">
        <v>7382</v>
      </c>
      <c r="B131" s="152" t="s">
        <v>2705</v>
      </c>
      <c r="C131" s="152" t="s">
        <v>2705</v>
      </c>
      <c r="D131" s="152" t="s">
        <v>2675</v>
      </c>
      <c r="E131" s="152" t="s">
        <v>2705</v>
      </c>
      <c r="F131" s="152" t="s">
        <v>2398</v>
      </c>
      <c r="G131" s="152" t="s">
        <v>2705</v>
      </c>
      <c r="H131" s="152" t="s">
        <v>2398</v>
      </c>
      <c r="I131" s="152" t="s">
        <v>2705</v>
      </c>
      <c r="J131" s="152" t="s">
        <v>2398</v>
      </c>
      <c r="K131" s="152" t="s">
        <v>2398</v>
      </c>
      <c r="L131" s="152" t="s">
        <v>2705</v>
      </c>
      <c r="M131" s="152" t="s">
        <v>2705</v>
      </c>
      <c r="N131" s="152" t="s">
        <v>2705</v>
      </c>
      <c r="O131" s="152" t="s">
        <v>1435</v>
      </c>
      <c r="P131" s="152" t="s">
        <v>2705</v>
      </c>
      <c r="Q131" s="152" t="s">
        <v>2705</v>
      </c>
      <c r="R131" s="152" t="s">
        <v>2705</v>
      </c>
      <c r="S131" s="152" t="s">
        <v>2705</v>
      </c>
      <c r="T131" s="152" t="s">
        <v>2705</v>
      </c>
      <c r="U131" s="152" t="s">
        <v>2705</v>
      </c>
    </row>
    <row r="132" spans="1:21" s="142" customFormat="1" ht="12.75" x14ac:dyDescent="0.2">
      <c r="A132" s="151"/>
      <c r="B132" s="152" t="s">
        <v>2705</v>
      </c>
      <c r="C132" s="152" t="s">
        <v>2705</v>
      </c>
      <c r="D132" s="152" t="s">
        <v>1435</v>
      </c>
      <c r="E132" s="152" t="s">
        <v>2705</v>
      </c>
      <c r="F132" s="152" t="s">
        <v>2398</v>
      </c>
      <c r="G132" s="152" t="s">
        <v>2705</v>
      </c>
      <c r="H132" s="152" t="s">
        <v>2705</v>
      </c>
      <c r="I132" s="152" t="s">
        <v>2675</v>
      </c>
      <c r="J132" s="152" t="s">
        <v>2705</v>
      </c>
      <c r="K132" s="152" t="s">
        <v>2705</v>
      </c>
      <c r="L132" s="152" t="s">
        <v>2398</v>
      </c>
      <c r="M132" s="152" t="s">
        <v>2398</v>
      </c>
      <c r="N132" s="152" t="s">
        <v>2705</v>
      </c>
      <c r="O132" s="152" t="s">
        <v>2705</v>
      </c>
      <c r="P132" s="152" t="s">
        <v>2675</v>
      </c>
      <c r="Q132" s="152" t="s">
        <v>2705</v>
      </c>
      <c r="R132" s="152" t="s">
        <v>1435</v>
      </c>
      <c r="S132" s="152" t="s">
        <v>2705</v>
      </c>
      <c r="T132" s="152" t="s">
        <v>2705</v>
      </c>
      <c r="U132" s="152" t="s">
        <v>2705</v>
      </c>
    </row>
    <row r="133" spans="1:21" s="142" customFormat="1" ht="12.75" customHeight="1" x14ac:dyDescent="0.2">
      <c r="A133" s="151" t="s">
        <v>7383</v>
      </c>
      <c r="B133" s="152" t="s">
        <v>2705</v>
      </c>
      <c r="C133" s="152" t="s">
        <v>2705</v>
      </c>
      <c r="D133" s="152" t="s">
        <v>2398</v>
      </c>
      <c r="E133" s="152" t="s">
        <v>2705</v>
      </c>
      <c r="F133" s="152" t="s">
        <v>2705</v>
      </c>
      <c r="G133" s="152" t="s">
        <v>2705</v>
      </c>
      <c r="H133" s="152" t="s">
        <v>2705</v>
      </c>
      <c r="I133" s="152" t="s">
        <v>2397</v>
      </c>
      <c r="J133" s="152" t="s">
        <v>2675</v>
      </c>
      <c r="K133" s="152" t="s">
        <v>1435</v>
      </c>
      <c r="L133" s="152" t="s">
        <v>1435</v>
      </c>
      <c r="M133" s="152" t="s">
        <v>1435</v>
      </c>
      <c r="N133" s="152" t="s">
        <v>2398</v>
      </c>
      <c r="O133" s="152" t="s">
        <v>2705</v>
      </c>
      <c r="P133" s="152" t="s">
        <v>2705</v>
      </c>
      <c r="Q133" s="152" t="s">
        <v>2705</v>
      </c>
      <c r="R133" s="152" t="s">
        <v>2675</v>
      </c>
      <c r="S133" s="152" t="s">
        <v>2705</v>
      </c>
      <c r="T133" s="152" t="s">
        <v>2705</v>
      </c>
      <c r="U133" s="152" t="s">
        <v>2705</v>
      </c>
    </row>
    <row r="134" spans="1:21" s="142" customFormat="1" ht="12.75" x14ac:dyDescent="0.2">
      <c r="A134" s="151"/>
      <c r="B134" s="152" t="s">
        <v>2398</v>
      </c>
      <c r="C134" s="152" t="s">
        <v>2705</v>
      </c>
      <c r="D134" s="152" t="s">
        <v>2398</v>
      </c>
      <c r="E134" s="152" t="s">
        <v>2398</v>
      </c>
      <c r="F134" s="152" t="s">
        <v>2705</v>
      </c>
      <c r="G134" s="152" t="s">
        <v>2705</v>
      </c>
      <c r="H134" s="152" t="s">
        <v>2398</v>
      </c>
      <c r="I134" s="152" t="s">
        <v>2705</v>
      </c>
      <c r="J134" s="152" t="s">
        <v>2398</v>
      </c>
      <c r="K134" s="152" t="s">
        <v>2705</v>
      </c>
      <c r="L134" s="152" t="s">
        <v>2398</v>
      </c>
      <c r="M134" s="152" t="s">
        <v>2705</v>
      </c>
      <c r="N134" s="152" t="s">
        <v>2398</v>
      </c>
      <c r="O134" s="152" t="s">
        <v>2675</v>
      </c>
      <c r="P134" s="152" t="s">
        <v>2398</v>
      </c>
      <c r="Q134" s="152" t="s">
        <v>2398</v>
      </c>
      <c r="R134" s="152" t="s">
        <v>2705</v>
      </c>
      <c r="S134" s="152" t="s">
        <v>2705</v>
      </c>
      <c r="T134" s="152" t="s">
        <v>2398</v>
      </c>
      <c r="U134" s="152" t="s">
        <v>2398</v>
      </c>
    </row>
    <row r="135" spans="1:21" s="142" customFormat="1" ht="12.75" customHeight="1" x14ac:dyDescent="0.2">
      <c r="A135" s="151" t="s">
        <v>7384</v>
      </c>
      <c r="B135" s="152" t="s">
        <v>2398</v>
      </c>
      <c r="C135" s="152" t="s">
        <v>2705</v>
      </c>
      <c r="D135" s="152" t="s">
        <v>2705</v>
      </c>
      <c r="E135" s="152" t="s">
        <v>2705</v>
      </c>
      <c r="F135" s="152" t="s">
        <v>2705</v>
      </c>
      <c r="G135" s="152" t="s">
        <v>2705</v>
      </c>
      <c r="H135" s="152" t="s">
        <v>2705</v>
      </c>
      <c r="I135" s="152" t="s">
        <v>2398</v>
      </c>
      <c r="J135" s="152" t="s">
        <v>2398</v>
      </c>
      <c r="K135" s="152" t="s">
        <v>2705</v>
      </c>
      <c r="L135" s="152" t="s">
        <v>2705</v>
      </c>
      <c r="M135" s="152" t="s">
        <v>2705</v>
      </c>
      <c r="N135" s="152" t="s">
        <v>2705</v>
      </c>
      <c r="O135" s="152" t="s">
        <v>2705</v>
      </c>
      <c r="P135" s="152" t="s">
        <v>2705</v>
      </c>
      <c r="Q135" s="152" t="s">
        <v>2705</v>
      </c>
      <c r="R135" s="152" t="s">
        <v>2398</v>
      </c>
      <c r="S135" s="152" t="s">
        <v>2705</v>
      </c>
      <c r="T135" s="152" t="s">
        <v>2705</v>
      </c>
      <c r="U135" s="152" t="s">
        <v>2705</v>
      </c>
    </row>
    <row r="136" spans="1:21" s="142" customFormat="1" ht="12.75" x14ac:dyDescent="0.2">
      <c r="A136" s="151"/>
      <c r="B136" s="152" t="s">
        <v>2398</v>
      </c>
      <c r="C136" s="152" t="s">
        <v>2398</v>
      </c>
      <c r="D136" s="152" t="s">
        <v>2705</v>
      </c>
      <c r="E136" s="152" t="s">
        <v>2705</v>
      </c>
      <c r="F136" s="152" t="s">
        <v>2705</v>
      </c>
      <c r="G136" s="152" t="s">
        <v>2705</v>
      </c>
      <c r="H136" s="152" t="s">
        <v>2705</v>
      </c>
      <c r="I136" s="152" t="s">
        <v>2705</v>
      </c>
      <c r="J136" s="152" t="s">
        <v>2705</v>
      </c>
      <c r="K136" s="152" t="s">
        <v>2705</v>
      </c>
      <c r="L136" s="152" t="s">
        <v>1435</v>
      </c>
      <c r="M136" s="152" t="s">
        <v>2398</v>
      </c>
      <c r="N136" s="152" t="s">
        <v>2705</v>
      </c>
      <c r="O136" s="152" t="s">
        <v>2705</v>
      </c>
      <c r="P136" s="152" t="s">
        <v>2398</v>
      </c>
      <c r="Q136" s="152" t="s">
        <v>2705</v>
      </c>
      <c r="R136" s="152" t="s">
        <v>2705</v>
      </c>
      <c r="S136" s="152" t="s">
        <v>2705</v>
      </c>
      <c r="T136" s="152" t="s">
        <v>2705</v>
      </c>
      <c r="U136" s="152" t="s">
        <v>2705</v>
      </c>
    </row>
    <row r="137" spans="1:21" s="142" customFormat="1" ht="12.75" customHeight="1" x14ac:dyDescent="0.2">
      <c r="A137" s="151" t="s">
        <v>7385</v>
      </c>
      <c r="B137" s="152" t="s">
        <v>1435</v>
      </c>
      <c r="C137" s="152" t="s">
        <v>2398</v>
      </c>
      <c r="D137" s="152" t="s">
        <v>2705</v>
      </c>
      <c r="E137" s="152" t="s">
        <v>2705</v>
      </c>
      <c r="F137" s="152" t="s">
        <v>1435</v>
      </c>
      <c r="G137" s="152" t="s">
        <v>2398</v>
      </c>
      <c r="H137" s="152" t="s">
        <v>2705</v>
      </c>
      <c r="I137" s="152" t="s">
        <v>2705</v>
      </c>
      <c r="J137" s="152" t="s">
        <v>2675</v>
      </c>
      <c r="K137" s="152" t="s">
        <v>2705</v>
      </c>
      <c r="L137" s="152" t="s">
        <v>2705</v>
      </c>
      <c r="M137" s="152" t="s">
        <v>2705</v>
      </c>
      <c r="N137" s="152" t="s">
        <v>2398</v>
      </c>
      <c r="O137" s="152" t="s">
        <v>2705</v>
      </c>
      <c r="P137" s="152" t="s">
        <v>2705</v>
      </c>
      <c r="Q137" s="152" t="s">
        <v>2675</v>
      </c>
      <c r="R137" s="152" t="s">
        <v>2705</v>
      </c>
      <c r="S137" s="152" t="s">
        <v>2705</v>
      </c>
      <c r="T137" s="152" t="s">
        <v>2398</v>
      </c>
      <c r="U137" s="152" t="s">
        <v>2398</v>
      </c>
    </row>
    <row r="138" spans="1:21" s="142" customFormat="1" ht="12.75" x14ac:dyDescent="0.2">
      <c r="A138" s="151"/>
      <c r="B138" s="152" t="s">
        <v>2705</v>
      </c>
      <c r="C138" s="152" t="s">
        <v>2705</v>
      </c>
      <c r="D138" s="152" t="s">
        <v>2705</v>
      </c>
      <c r="E138" s="152" t="s">
        <v>2705</v>
      </c>
      <c r="F138" s="152" t="s">
        <v>2398</v>
      </c>
      <c r="G138" s="152" t="s">
        <v>2397</v>
      </c>
      <c r="H138" s="152" t="s">
        <v>2705</v>
      </c>
      <c r="I138" s="152" t="s">
        <v>2705</v>
      </c>
      <c r="J138" s="152" t="s">
        <v>2705</v>
      </c>
      <c r="K138" s="152" t="s">
        <v>2397</v>
      </c>
      <c r="L138" s="152" t="s">
        <v>2705</v>
      </c>
      <c r="M138" s="152" t="s">
        <v>2705</v>
      </c>
      <c r="N138" s="152" t="s">
        <v>2675</v>
      </c>
      <c r="O138" s="152" t="s">
        <v>2705</v>
      </c>
      <c r="P138" s="152" t="s">
        <v>2705</v>
      </c>
      <c r="Q138" s="152" t="s">
        <v>2397</v>
      </c>
      <c r="R138" s="152" t="s">
        <v>1435</v>
      </c>
      <c r="S138" s="152" t="s">
        <v>2398</v>
      </c>
      <c r="T138" s="152" t="s">
        <v>2398</v>
      </c>
      <c r="U138" s="152" t="s">
        <v>2675</v>
      </c>
    </row>
    <row r="139" spans="1:21" s="142" customFormat="1" ht="12.75" customHeight="1" x14ac:dyDescent="0.2">
      <c r="A139" s="151" t="s">
        <v>7386</v>
      </c>
      <c r="B139" s="152" t="s">
        <v>2397</v>
      </c>
      <c r="C139" s="152" t="s">
        <v>1435</v>
      </c>
      <c r="D139" s="152" t="s">
        <v>2397</v>
      </c>
      <c r="E139" s="152" t="s">
        <v>2705</v>
      </c>
      <c r="F139" s="152" t="s">
        <v>2705</v>
      </c>
      <c r="G139" s="152" t="s">
        <v>2705</v>
      </c>
      <c r="H139" s="152" t="s">
        <v>2705</v>
      </c>
      <c r="I139" s="152" t="s">
        <v>2398</v>
      </c>
      <c r="J139" s="152" t="s">
        <v>2675</v>
      </c>
      <c r="K139" s="152" t="s">
        <v>2705</v>
      </c>
      <c r="L139" s="152" t="s">
        <v>1435</v>
      </c>
      <c r="M139" s="152" t="s">
        <v>2705</v>
      </c>
      <c r="N139" s="152" t="s">
        <v>2675</v>
      </c>
      <c r="O139" s="152" t="s">
        <v>2397</v>
      </c>
      <c r="P139" s="152" t="s">
        <v>2398</v>
      </c>
      <c r="Q139" s="152" t="s">
        <v>1435</v>
      </c>
      <c r="R139" s="152" t="s">
        <v>2675</v>
      </c>
      <c r="S139" s="152" t="s">
        <v>2675</v>
      </c>
      <c r="T139" s="152" t="s">
        <v>2397</v>
      </c>
      <c r="U139" s="152" t="s">
        <v>2705</v>
      </c>
    </row>
    <row r="140" spans="1:21" s="142" customFormat="1" ht="12.75" x14ac:dyDescent="0.2">
      <c r="A140" s="151"/>
      <c r="B140" s="152" t="s">
        <v>2705</v>
      </c>
      <c r="C140" s="152" t="s">
        <v>2675</v>
      </c>
      <c r="D140" s="152" t="s">
        <v>2398</v>
      </c>
      <c r="E140" s="152" t="s">
        <v>2675</v>
      </c>
      <c r="F140" s="152" t="s">
        <v>2705</v>
      </c>
      <c r="G140" s="152" t="s">
        <v>2705</v>
      </c>
      <c r="H140" s="152" t="s">
        <v>2705</v>
      </c>
      <c r="I140" s="152" t="s">
        <v>2705</v>
      </c>
      <c r="J140" s="152" t="s">
        <v>2705</v>
      </c>
      <c r="K140" s="152" t="s">
        <v>2398</v>
      </c>
      <c r="L140" s="152" t="s">
        <v>1435</v>
      </c>
      <c r="M140" s="152" t="s">
        <v>1435</v>
      </c>
      <c r="N140" s="152" t="s">
        <v>2397</v>
      </c>
      <c r="O140" s="152" t="s">
        <v>2675</v>
      </c>
      <c r="P140" s="152" t="s">
        <v>2705</v>
      </c>
      <c r="Q140" s="152" t="s">
        <v>2705</v>
      </c>
      <c r="R140" s="152" t="s">
        <v>2705</v>
      </c>
      <c r="S140" s="152" t="s">
        <v>2705</v>
      </c>
      <c r="T140" s="152" t="s">
        <v>2705</v>
      </c>
      <c r="U140" s="152" t="s">
        <v>2398</v>
      </c>
    </row>
    <row r="141" spans="1:21" s="142" customFormat="1" ht="12.75" customHeight="1" x14ac:dyDescent="0.2">
      <c r="A141" s="151" t="s">
        <v>7387</v>
      </c>
      <c r="B141" s="152" t="s">
        <v>2705</v>
      </c>
      <c r="C141" s="152" t="s">
        <v>2705</v>
      </c>
      <c r="D141" s="152" t="s">
        <v>2705</v>
      </c>
      <c r="E141" s="152" t="s">
        <v>2398</v>
      </c>
      <c r="F141" s="152" t="s">
        <v>1435</v>
      </c>
      <c r="G141" s="152" t="s">
        <v>2398</v>
      </c>
      <c r="H141" s="152" t="s">
        <v>2705</v>
      </c>
      <c r="I141" s="152" t="s">
        <v>2398</v>
      </c>
      <c r="J141" s="152" t="s">
        <v>2398</v>
      </c>
      <c r="K141" s="152" t="s">
        <v>2705</v>
      </c>
      <c r="L141" s="152" t="s">
        <v>2705</v>
      </c>
      <c r="M141" s="152" t="s">
        <v>2398</v>
      </c>
      <c r="N141" s="152" t="s">
        <v>2675</v>
      </c>
      <c r="O141" s="152" t="s">
        <v>2398</v>
      </c>
      <c r="P141" s="152" t="s">
        <v>2398</v>
      </c>
      <c r="Q141" s="152" t="s">
        <v>2705</v>
      </c>
      <c r="R141" s="152" t="s">
        <v>2705</v>
      </c>
      <c r="S141" s="152" t="s">
        <v>2398</v>
      </c>
      <c r="T141" s="152" t="s">
        <v>2398</v>
      </c>
      <c r="U141" s="152" t="s">
        <v>2675</v>
      </c>
    </row>
    <row r="142" spans="1:21" s="142" customFormat="1" ht="12.75" x14ac:dyDescent="0.2">
      <c r="A142" s="151"/>
      <c r="B142" s="152" t="s">
        <v>2705</v>
      </c>
      <c r="C142" s="152" t="s">
        <v>2398</v>
      </c>
      <c r="D142" s="152" t="s">
        <v>2705</v>
      </c>
      <c r="E142" s="152" t="s">
        <v>2705</v>
      </c>
      <c r="F142" s="152" t="s">
        <v>2705</v>
      </c>
      <c r="G142" s="152" t="s">
        <v>2675</v>
      </c>
      <c r="H142" s="152" t="s">
        <v>2398</v>
      </c>
      <c r="I142" s="152" t="s">
        <v>2398</v>
      </c>
      <c r="J142" s="152" t="s">
        <v>2705</v>
      </c>
      <c r="K142" s="152" t="s">
        <v>2398</v>
      </c>
      <c r="L142" s="152" t="s">
        <v>2705</v>
      </c>
      <c r="M142" s="152" t="s">
        <v>2398</v>
      </c>
      <c r="N142" s="152" t="s">
        <v>2397</v>
      </c>
      <c r="O142" s="152" t="s">
        <v>2705</v>
      </c>
      <c r="P142" s="152" t="s">
        <v>2398</v>
      </c>
      <c r="Q142" s="152" t="s">
        <v>2398</v>
      </c>
      <c r="R142" s="152" t="s">
        <v>2705</v>
      </c>
      <c r="S142" s="152" t="s">
        <v>2705</v>
      </c>
      <c r="T142" s="152" t="s">
        <v>1435</v>
      </c>
      <c r="U142" s="152" t="s">
        <v>2705</v>
      </c>
    </row>
    <row r="143" spans="1:21" s="142" customFormat="1" ht="12.75" customHeight="1" x14ac:dyDescent="0.2">
      <c r="A143" s="151" t="s">
        <v>7388</v>
      </c>
      <c r="B143" s="152" t="s">
        <v>2705</v>
      </c>
      <c r="C143" s="152" t="s">
        <v>2398</v>
      </c>
      <c r="D143" s="152" t="s">
        <v>2675</v>
      </c>
      <c r="E143" s="152" t="s">
        <v>2705</v>
      </c>
      <c r="F143" s="152" t="s">
        <v>2398</v>
      </c>
      <c r="G143" s="152" t="s">
        <v>2705</v>
      </c>
      <c r="H143" s="152" t="s">
        <v>2705</v>
      </c>
      <c r="I143" s="152" t="s">
        <v>2398</v>
      </c>
      <c r="J143" s="152" t="s">
        <v>2705</v>
      </c>
      <c r="K143" s="152" t="s">
        <v>2675</v>
      </c>
      <c r="L143" s="152" t="s">
        <v>2398</v>
      </c>
      <c r="M143" s="152" t="s">
        <v>2398</v>
      </c>
      <c r="N143" s="152" t="s">
        <v>2705</v>
      </c>
      <c r="O143" s="152" t="s">
        <v>2398</v>
      </c>
      <c r="P143" s="152" t="s">
        <v>2398</v>
      </c>
      <c r="Q143" s="152" t="s">
        <v>2705</v>
      </c>
      <c r="R143" s="152" t="s">
        <v>2705</v>
      </c>
      <c r="S143" s="152" t="s">
        <v>2705</v>
      </c>
      <c r="T143" s="152" t="s">
        <v>2398</v>
      </c>
      <c r="U143" s="152" t="s">
        <v>2705</v>
      </c>
    </row>
    <row r="144" spans="1:21" s="142" customFormat="1" ht="12.75" x14ac:dyDescent="0.2">
      <c r="A144" s="151"/>
      <c r="B144" s="152" t="s">
        <v>2398</v>
      </c>
      <c r="C144" s="152" t="s">
        <v>2398</v>
      </c>
      <c r="D144" s="152" t="s">
        <v>1435</v>
      </c>
      <c r="E144" s="152" t="s">
        <v>2705</v>
      </c>
      <c r="F144" s="152" t="s">
        <v>2398</v>
      </c>
      <c r="G144" s="152" t="s">
        <v>2705</v>
      </c>
      <c r="H144" s="152" t="s">
        <v>2705</v>
      </c>
      <c r="I144" s="152" t="s">
        <v>2705</v>
      </c>
      <c r="J144" s="152" t="s">
        <v>2397</v>
      </c>
      <c r="K144" s="152" t="s">
        <v>2705</v>
      </c>
      <c r="L144" s="152" t="s">
        <v>2705</v>
      </c>
      <c r="M144" s="152" t="s">
        <v>2705</v>
      </c>
      <c r="N144" s="152" t="s">
        <v>2705</v>
      </c>
      <c r="O144" s="152" t="s">
        <v>2705</v>
      </c>
      <c r="P144" s="152" t="s">
        <v>2705</v>
      </c>
      <c r="Q144" s="152" t="s">
        <v>2705</v>
      </c>
      <c r="R144" s="152" t="s">
        <v>1435</v>
      </c>
      <c r="S144" s="152" t="s">
        <v>2705</v>
      </c>
      <c r="T144" s="152" t="s">
        <v>2705</v>
      </c>
      <c r="U144" s="152" t="s">
        <v>2675</v>
      </c>
    </row>
    <row r="145" spans="1:21" s="142" customFormat="1" ht="12.75" customHeight="1" x14ac:dyDescent="0.2">
      <c r="A145" s="151" t="s">
        <v>7389</v>
      </c>
      <c r="B145" s="152" t="s">
        <v>2705</v>
      </c>
      <c r="C145" s="152" t="s">
        <v>2398</v>
      </c>
      <c r="D145" s="152" t="s">
        <v>2675</v>
      </c>
      <c r="E145" s="152" t="s">
        <v>2398</v>
      </c>
      <c r="F145" s="152" t="s">
        <v>1435</v>
      </c>
      <c r="G145" s="152" t="s">
        <v>2705</v>
      </c>
      <c r="H145" s="152" t="s">
        <v>2398</v>
      </c>
      <c r="I145" s="152" t="s">
        <v>2675</v>
      </c>
      <c r="J145" s="152" t="s">
        <v>2705</v>
      </c>
      <c r="K145" s="152" t="s">
        <v>2398</v>
      </c>
      <c r="L145" s="152" t="s">
        <v>1435</v>
      </c>
      <c r="M145" s="152" t="s">
        <v>2675</v>
      </c>
      <c r="N145" s="152" t="s">
        <v>2705</v>
      </c>
      <c r="O145" s="152" t="s">
        <v>2705</v>
      </c>
      <c r="P145" s="152" t="s">
        <v>2397</v>
      </c>
      <c r="Q145" s="152" t="s">
        <v>2675</v>
      </c>
      <c r="R145" s="152" t="s">
        <v>2705</v>
      </c>
      <c r="S145" s="152" t="s">
        <v>2398</v>
      </c>
      <c r="T145" s="152" t="s">
        <v>2398</v>
      </c>
      <c r="U145" s="152" t="s">
        <v>2398</v>
      </c>
    </row>
    <row r="146" spans="1:21" s="142" customFormat="1" ht="12.75" x14ac:dyDescent="0.2">
      <c r="A146" s="151"/>
      <c r="B146" s="152" t="s">
        <v>2705</v>
      </c>
      <c r="C146" s="152" t="s">
        <v>2675</v>
      </c>
      <c r="D146" s="152" t="s">
        <v>1435</v>
      </c>
      <c r="E146" s="152" t="s">
        <v>2675</v>
      </c>
      <c r="F146" s="152" t="s">
        <v>2398</v>
      </c>
      <c r="G146" s="152" t="s">
        <v>2705</v>
      </c>
      <c r="H146" s="152" t="s">
        <v>2705</v>
      </c>
      <c r="I146" s="152" t="s">
        <v>2398</v>
      </c>
      <c r="J146" s="152" t="s">
        <v>2398</v>
      </c>
      <c r="K146" s="152" t="s">
        <v>2397</v>
      </c>
      <c r="L146" s="152" t="s">
        <v>2397</v>
      </c>
      <c r="M146" s="152" t="s">
        <v>2398</v>
      </c>
      <c r="N146" s="152" t="s">
        <v>2705</v>
      </c>
      <c r="O146" s="152" t="s">
        <v>2398</v>
      </c>
      <c r="P146" s="152" t="s">
        <v>2705</v>
      </c>
      <c r="Q146" s="152" t="s">
        <v>2398</v>
      </c>
      <c r="R146" s="152" t="s">
        <v>2398</v>
      </c>
      <c r="S146" s="152" t="s">
        <v>2705</v>
      </c>
      <c r="T146" s="152" t="s">
        <v>2705</v>
      </c>
      <c r="U146" s="152" t="s">
        <v>2675</v>
      </c>
    </row>
    <row r="147" spans="1:21" s="142" customFormat="1" ht="12.75" customHeight="1" x14ac:dyDescent="0.2">
      <c r="A147" s="151" t="s">
        <v>7390</v>
      </c>
      <c r="B147" s="152" t="s">
        <v>2397</v>
      </c>
      <c r="C147" s="152" t="s">
        <v>2705</v>
      </c>
      <c r="D147" s="152" t="s">
        <v>1435</v>
      </c>
      <c r="E147" s="152" t="s">
        <v>2705</v>
      </c>
      <c r="F147" s="152" t="s">
        <v>2398</v>
      </c>
      <c r="G147" s="152" t="s">
        <v>2705</v>
      </c>
      <c r="H147" s="152" t="s">
        <v>2398</v>
      </c>
      <c r="I147" s="152" t="s">
        <v>2398</v>
      </c>
      <c r="J147" s="152" t="s">
        <v>2398</v>
      </c>
      <c r="K147" s="152" t="s">
        <v>2398</v>
      </c>
      <c r="L147" s="152" t="s">
        <v>2398</v>
      </c>
      <c r="M147" s="152" t="s">
        <v>1435</v>
      </c>
      <c r="N147" s="152" t="s">
        <v>2705</v>
      </c>
      <c r="O147" s="152" t="s">
        <v>2705</v>
      </c>
      <c r="P147" s="152" t="s">
        <v>2397</v>
      </c>
      <c r="Q147" s="152" t="s">
        <v>1435</v>
      </c>
      <c r="R147" s="152" t="s">
        <v>2705</v>
      </c>
      <c r="S147" s="152" t="s">
        <v>2705</v>
      </c>
      <c r="T147" s="152" t="s">
        <v>2398</v>
      </c>
      <c r="U147" s="152" t="s">
        <v>2398</v>
      </c>
    </row>
    <row r="148" spans="1:21" s="142" customFormat="1" ht="12.75" x14ac:dyDescent="0.2">
      <c r="A148" s="151"/>
      <c r="B148" s="152" t="s">
        <v>1435</v>
      </c>
      <c r="C148" s="152" t="s">
        <v>2398</v>
      </c>
      <c r="D148" s="152" t="s">
        <v>2398</v>
      </c>
      <c r="E148" s="152" t="s">
        <v>2675</v>
      </c>
      <c r="F148" s="152" t="s">
        <v>2705</v>
      </c>
      <c r="G148" s="152" t="s">
        <v>2398</v>
      </c>
      <c r="H148" s="152" t="s">
        <v>2705</v>
      </c>
      <c r="I148" s="152" t="s">
        <v>2705</v>
      </c>
      <c r="J148" s="152" t="s">
        <v>2705</v>
      </c>
      <c r="K148" s="152" t="s">
        <v>2705</v>
      </c>
      <c r="L148" s="152" t="s">
        <v>2398</v>
      </c>
      <c r="M148" s="152" t="s">
        <v>2398</v>
      </c>
      <c r="N148" s="152" t="s">
        <v>2705</v>
      </c>
      <c r="O148" s="152" t="s">
        <v>2705</v>
      </c>
      <c r="P148" s="152" t="s">
        <v>1435</v>
      </c>
      <c r="Q148" s="152" t="s">
        <v>2705</v>
      </c>
      <c r="R148" s="152" t="s">
        <v>1435</v>
      </c>
      <c r="S148" s="152" t="s">
        <v>2705</v>
      </c>
      <c r="T148" s="152" t="s">
        <v>2397</v>
      </c>
      <c r="U148" s="152" t="s">
        <v>2398</v>
      </c>
    </row>
    <row r="149" spans="1:21" s="142" customFormat="1" ht="12.75" customHeight="1" x14ac:dyDescent="0.2">
      <c r="A149" s="151" t="s">
        <v>7391</v>
      </c>
      <c r="B149" s="152" t="s">
        <v>2398</v>
      </c>
      <c r="C149" s="152" t="s">
        <v>2398</v>
      </c>
      <c r="D149" s="152" t="s">
        <v>2398</v>
      </c>
      <c r="E149" s="152" t="s">
        <v>2398</v>
      </c>
      <c r="F149" s="152" t="s">
        <v>2398</v>
      </c>
      <c r="G149" s="152" t="s">
        <v>2705</v>
      </c>
      <c r="H149" s="152" t="s">
        <v>2398</v>
      </c>
      <c r="I149" s="152" t="s">
        <v>2398</v>
      </c>
      <c r="J149" s="152" t="s">
        <v>2705</v>
      </c>
      <c r="K149" s="152" t="s">
        <v>2705</v>
      </c>
      <c r="L149" s="152" t="s">
        <v>2705</v>
      </c>
      <c r="M149" s="152" t="s">
        <v>2705</v>
      </c>
      <c r="N149" s="152" t="s">
        <v>2398</v>
      </c>
      <c r="O149" s="152" t="s">
        <v>2705</v>
      </c>
      <c r="P149" s="152" t="s">
        <v>2705</v>
      </c>
      <c r="Q149" s="152" t="s">
        <v>2705</v>
      </c>
      <c r="R149" s="152" t="s">
        <v>2705</v>
      </c>
      <c r="S149" s="152" t="s">
        <v>2705</v>
      </c>
      <c r="T149" s="152" t="s">
        <v>2705</v>
      </c>
      <c r="U149" s="152" t="s">
        <v>2705</v>
      </c>
    </row>
    <row r="150" spans="1:21" s="142" customFormat="1" ht="12.75" x14ac:dyDescent="0.2">
      <c r="A150" s="151"/>
      <c r="B150" s="152" t="s">
        <v>2398</v>
      </c>
      <c r="C150" s="152" t="s">
        <v>2675</v>
      </c>
      <c r="D150" s="152" t="s">
        <v>2705</v>
      </c>
      <c r="E150" s="152" t="s">
        <v>2675</v>
      </c>
      <c r="F150" s="152" t="s">
        <v>2705</v>
      </c>
      <c r="G150" s="152" t="s">
        <v>2705</v>
      </c>
      <c r="H150" s="152" t="s">
        <v>2705</v>
      </c>
      <c r="I150" s="152" t="s">
        <v>2705</v>
      </c>
      <c r="J150" s="152" t="s">
        <v>1435</v>
      </c>
      <c r="K150" s="152" t="s">
        <v>2705</v>
      </c>
      <c r="L150" s="152" t="s">
        <v>2398</v>
      </c>
      <c r="M150" s="152" t="s">
        <v>2398</v>
      </c>
      <c r="N150" s="152" t="s">
        <v>2705</v>
      </c>
      <c r="O150" s="152" t="s">
        <v>2705</v>
      </c>
      <c r="P150" s="152" t="s">
        <v>1435</v>
      </c>
      <c r="Q150" s="152" t="s">
        <v>2705</v>
      </c>
      <c r="R150" s="152" t="s">
        <v>2398</v>
      </c>
      <c r="S150" s="152" t="s">
        <v>2705</v>
      </c>
      <c r="T150" s="152" t="s">
        <v>2705</v>
      </c>
      <c r="U150" s="152" t="s">
        <v>2398</v>
      </c>
    </row>
    <row r="151" spans="1:21" s="142" customFormat="1" ht="12.75" customHeight="1" x14ac:dyDescent="0.2">
      <c r="A151" s="151" t="s">
        <v>7392</v>
      </c>
      <c r="B151" s="152" t="s">
        <v>2705</v>
      </c>
      <c r="C151" s="152" t="s">
        <v>2705</v>
      </c>
      <c r="D151" s="152" t="s">
        <v>2705</v>
      </c>
      <c r="E151" s="152" t="s">
        <v>1435</v>
      </c>
      <c r="F151" s="152" t="s">
        <v>2705</v>
      </c>
      <c r="G151" s="152" t="s">
        <v>2705</v>
      </c>
      <c r="H151" s="152" t="s">
        <v>2398</v>
      </c>
      <c r="I151" s="152" t="s">
        <v>2705</v>
      </c>
      <c r="J151" s="152" t="s">
        <v>2398</v>
      </c>
      <c r="K151" s="152" t="s">
        <v>2705</v>
      </c>
      <c r="L151" s="152" t="s">
        <v>1435</v>
      </c>
      <c r="M151" s="152" t="s">
        <v>2705</v>
      </c>
      <c r="N151" s="152" t="s">
        <v>2705</v>
      </c>
      <c r="O151" s="152" t="s">
        <v>2705</v>
      </c>
      <c r="P151" s="152" t="s">
        <v>2705</v>
      </c>
      <c r="Q151" s="152" t="s">
        <v>2705</v>
      </c>
      <c r="R151" s="152" t="s">
        <v>2705</v>
      </c>
      <c r="S151" s="152" t="s">
        <v>2675</v>
      </c>
      <c r="T151" s="152" t="s">
        <v>2705</v>
      </c>
      <c r="U151" s="152" t="s">
        <v>2705</v>
      </c>
    </row>
    <row r="152" spans="1:21" s="142" customFormat="1" ht="12.75" x14ac:dyDescent="0.2">
      <c r="A152" s="151"/>
      <c r="B152" s="152" t="s">
        <v>2705</v>
      </c>
      <c r="C152" s="152" t="s">
        <v>2398</v>
      </c>
      <c r="D152" s="152" t="s">
        <v>2705</v>
      </c>
      <c r="E152" s="152" t="s">
        <v>2705</v>
      </c>
      <c r="F152" s="152" t="s">
        <v>2705</v>
      </c>
      <c r="G152" s="152" t="s">
        <v>2705</v>
      </c>
      <c r="H152" s="152" t="s">
        <v>2398</v>
      </c>
      <c r="I152" s="152" t="s">
        <v>2398</v>
      </c>
      <c r="J152" s="152" t="s">
        <v>2705</v>
      </c>
      <c r="K152" s="152" t="s">
        <v>2705</v>
      </c>
      <c r="L152" s="152" t="s">
        <v>2705</v>
      </c>
      <c r="M152" s="152" t="s">
        <v>2705</v>
      </c>
      <c r="N152" s="152" t="s">
        <v>2705</v>
      </c>
      <c r="O152" s="152" t="s">
        <v>2705</v>
      </c>
      <c r="P152" s="152" t="s">
        <v>2675</v>
      </c>
      <c r="Q152" s="152" t="s">
        <v>2705</v>
      </c>
      <c r="R152" s="152" t="s">
        <v>2705</v>
      </c>
      <c r="S152" s="152" t="s">
        <v>2705</v>
      </c>
      <c r="T152" s="152" t="s">
        <v>2705</v>
      </c>
      <c r="U152" s="152" t="s">
        <v>2705</v>
      </c>
    </row>
    <row r="153" spans="1:21" s="142" customFormat="1" ht="12.75" customHeight="1" x14ac:dyDescent="0.2">
      <c r="A153" s="151" t="s">
        <v>7393</v>
      </c>
      <c r="B153" s="152" t="s">
        <v>2705</v>
      </c>
      <c r="C153" s="152" t="s">
        <v>2705</v>
      </c>
      <c r="D153" s="152" t="s">
        <v>2397</v>
      </c>
      <c r="E153" s="152" t="s">
        <v>1435</v>
      </c>
      <c r="F153" s="152" t="s">
        <v>2397</v>
      </c>
      <c r="G153" s="152" t="s">
        <v>2705</v>
      </c>
      <c r="H153" s="152" t="s">
        <v>2705</v>
      </c>
      <c r="I153" s="152" t="s">
        <v>2675</v>
      </c>
      <c r="J153" s="152" t="s">
        <v>1435</v>
      </c>
      <c r="K153" s="152" t="s">
        <v>2705</v>
      </c>
      <c r="L153" s="152" t="s">
        <v>2397</v>
      </c>
      <c r="M153" s="152" t="s">
        <v>2397</v>
      </c>
      <c r="N153" s="152" t="s">
        <v>2675</v>
      </c>
      <c r="O153" s="152" t="s">
        <v>2397</v>
      </c>
      <c r="P153" s="152" t="s">
        <v>2705</v>
      </c>
      <c r="Q153" s="152" t="s">
        <v>2397</v>
      </c>
      <c r="R153" s="152" t="s">
        <v>2675</v>
      </c>
      <c r="S153" s="152" t="s">
        <v>2675</v>
      </c>
      <c r="T153" s="152" t="s">
        <v>1435</v>
      </c>
      <c r="U153" s="152" t="s">
        <v>2705</v>
      </c>
    </row>
    <row r="154" spans="1:21" s="142" customFormat="1" ht="12.75" x14ac:dyDescent="0.2">
      <c r="A154" s="151"/>
      <c r="B154" s="152" t="s">
        <v>2675</v>
      </c>
      <c r="C154" s="152" t="s">
        <v>2675</v>
      </c>
      <c r="D154" s="152" t="s">
        <v>2398</v>
      </c>
      <c r="E154" s="152" t="s">
        <v>2398</v>
      </c>
      <c r="F154" s="152" t="s">
        <v>2705</v>
      </c>
      <c r="G154" s="152" t="s">
        <v>2705</v>
      </c>
      <c r="H154" s="152" t="s">
        <v>2705</v>
      </c>
      <c r="I154" s="152" t="s">
        <v>2705</v>
      </c>
      <c r="J154" s="152" t="s">
        <v>2705</v>
      </c>
      <c r="K154" s="152" t="s">
        <v>2705</v>
      </c>
      <c r="L154" s="152" t="s">
        <v>2705</v>
      </c>
      <c r="M154" s="152" t="s">
        <v>2705</v>
      </c>
      <c r="N154" s="152" t="s">
        <v>2397</v>
      </c>
      <c r="O154" s="152" t="s">
        <v>2675</v>
      </c>
      <c r="P154" s="152" t="s">
        <v>2705</v>
      </c>
      <c r="Q154" s="152" t="s">
        <v>2398</v>
      </c>
      <c r="R154" s="152" t="s">
        <v>2705</v>
      </c>
      <c r="S154" s="152" t="s">
        <v>2705</v>
      </c>
      <c r="T154" s="152" t="s">
        <v>2705</v>
      </c>
      <c r="U154" s="152" t="s">
        <v>2705</v>
      </c>
    </row>
    <row r="155" spans="1:21" s="142" customFormat="1" ht="12.75" customHeight="1" x14ac:dyDescent="0.2">
      <c r="A155" s="151" t="s">
        <v>7394</v>
      </c>
      <c r="B155" s="152" t="s">
        <v>2397</v>
      </c>
      <c r="C155" s="152" t="s">
        <v>2705</v>
      </c>
      <c r="D155" s="152" t="s">
        <v>2675</v>
      </c>
      <c r="E155" s="152" t="s">
        <v>1435</v>
      </c>
      <c r="F155" s="152" t="s">
        <v>1435</v>
      </c>
      <c r="G155" s="152" t="s">
        <v>2705</v>
      </c>
      <c r="H155" s="152" t="s">
        <v>2705</v>
      </c>
      <c r="I155" s="152" t="s">
        <v>2398</v>
      </c>
      <c r="J155" s="152" t="s">
        <v>2675</v>
      </c>
      <c r="K155" s="152" t="s">
        <v>1435</v>
      </c>
      <c r="L155" s="152" t="s">
        <v>2705</v>
      </c>
      <c r="M155" s="152" t="s">
        <v>2705</v>
      </c>
      <c r="N155" s="152" t="s">
        <v>2675</v>
      </c>
      <c r="O155" s="152" t="s">
        <v>2705</v>
      </c>
      <c r="P155" s="152" t="s">
        <v>2398</v>
      </c>
      <c r="Q155" s="152" t="s">
        <v>2397</v>
      </c>
      <c r="R155" s="152" t="s">
        <v>2397</v>
      </c>
      <c r="S155" s="152" t="s">
        <v>2675</v>
      </c>
      <c r="T155" s="152" t="s">
        <v>2705</v>
      </c>
      <c r="U155" s="152" t="s">
        <v>2705</v>
      </c>
    </row>
    <row r="156" spans="1:21" s="142" customFormat="1" ht="12.75" x14ac:dyDescent="0.2">
      <c r="A156" s="151"/>
      <c r="B156" s="152" t="s">
        <v>2397</v>
      </c>
      <c r="C156" s="152" t="s">
        <v>2705</v>
      </c>
      <c r="D156" s="152" t="s">
        <v>2705</v>
      </c>
      <c r="E156" s="152" t="s">
        <v>2705</v>
      </c>
      <c r="F156" s="152" t="s">
        <v>2705</v>
      </c>
      <c r="G156" s="152" t="s">
        <v>2675</v>
      </c>
      <c r="H156" s="152" t="s">
        <v>2398</v>
      </c>
      <c r="I156" s="152" t="s">
        <v>2705</v>
      </c>
      <c r="J156" s="152" t="s">
        <v>2705</v>
      </c>
      <c r="K156" s="152" t="s">
        <v>2675</v>
      </c>
      <c r="L156" s="152" t="s">
        <v>2705</v>
      </c>
      <c r="M156" s="152" t="s">
        <v>2398</v>
      </c>
      <c r="N156" s="152" t="s">
        <v>1435</v>
      </c>
      <c r="O156" s="152" t="s">
        <v>2705</v>
      </c>
      <c r="P156" s="152" t="s">
        <v>2705</v>
      </c>
      <c r="Q156" s="152" t="s">
        <v>2705</v>
      </c>
      <c r="R156" s="152" t="s">
        <v>1435</v>
      </c>
      <c r="S156" s="152" t="s">
        <v>2397</v>
      </c>
      <c r="T156" s="152" t="s">
        <v>2705</v>
      </c>
      <c r="U156" s="152" t="s">
        <v>2705</v>
      </c>
    </row>
    <row r="157" spans="1:21" s="142" customFormat="1" ht="12.75" customHeight="1" x14ac:dyDescent="0.2">
      <c r="A157" s="151" t="s">
        <v>7395</v>
      </c>
      <c r="B157" s="152" t="s">
        <v>2705</v>
      </c>
      <c r="C157" s="152" t="s">
        <v>2398</v>
      </c>
      <c r="D157" s="152" t="s">
        <v>2398</v>
      </c>
      <c r="E157" s="152" t="s">
        <v>2398</v>
      </c>
      <c r="F157" s="152" t="s">
        <v>2398</v>
      </c>
      <c r="G157" s="152" t="s">
        <v>2398</v>
      </c>
      <c r="H157" s="152" t="s">
        <v>2705</v>
      </c>
      <c r="I157" s="152" t="s">
        <v>2398</v>
      </c>
      <c r="J157" s="152" t="s">
        <v>2705</v>
      </c>
      <c r="K157" s="152" t="s">
        <v>2398</v>
      </c>
      <c r="L157" s="152" t="s">
        <v>2705</v>
      </c>
      <c r="M157" s="152" t="s">
        <v>2398</v>
      </c>
      <c r="N157" s="152" t="s">
        <v>2705</v>
      </c>
      <c r="O157" s="152" t="s">
        <v>2398</v>
      </c>
      <c r="P157" s="152" t="s">
        <v>2675</v>
      </c>
      <c r="Q157" s="152" t="s">
        <v>2705</v>
      </c>
      <c r="R157" s="152" t="s">
        <v>2705</v>
      </c>
      <c r="S157" s="152" t="s">
        <v>2398</v>
      </c>
      <c r="T157" s="152" t="s">
        <v>2675</v>
      </c>
      <c r="U157" s="152" t="s">
        <v>2398</v>
      </c>
    </row>
    <row r="158" spans="1:21" s="142" customFormat="1" ht="12.75" x14ac:dyDescent="0.2">
      <c r="A158" s="151"/>
      <c r="B158" s="152" t="s">
        <v>2705</v>
      </c>
      <c r="C158" s="152" t="s">
        <v>2675</v>
      </c>
      <c r="D158" s="152" t="s">
        <v>2705</v>
      </c>
      <c r="E158" s="152" t="s">
        <v>2398</v>
      </c>
      <c r="F158" s="152" t="s">
        <v>2675</v>
      </c>
      <c r="G158" s="152" t="s">
        <v>1435</v>
      </c>
      <c r="H158" s="152" t="s">
        <v>2705</v>
      </c>
      <c r="I158" s="152" t="s">
        <v>2705</v>
      </c>
      <c r="J158" s="152" t="s">
        <v>2705</v>
      </c>
      <c r="K158" s="152" t="s">
        <v>2705</v>
      </c>
      <c r="L158" s="152" t="s">
        <v>1435</v>
      </c>
      <c r="M158" s="152" t="s">
        <v>2398</v>
      </c>
      <c r="N158" s="152" t="s">
        <v>2675</v>
      </c>
      <c r="O158" s="152" t="s">
        <v>2398</v>
      </c>
      <c r="P158" s="152" t="s">
        <v>1435</v>
      </c>
      <c r="Q158" s="152" t="s">
        <v>2705</v>
      </c>
      <c r="R158" s="152" t="s">
        <v>2398</v>
      </c>
      <c r="S158" s="152" t="s">
        <v>2705</v>
      </c>
      <c r="T158" s="152" t="s">
        <v>2705</v>
      </c>
      <c r="U158" s="152" t="s">
        <v>2705</v>
      </c>
    </row>
    <row r="159" spans="1:21" s="142" customFormat="1" ht="12.75" customHeight="1" x14ac:dyDescent="0.2">
      <c r="A159" s="151" t="s">
        <v>7396</v>
      </c>
      <c r="B159" s="152" t="s">
        <v>2675</v>
      </c>
      <c r="C159" s="152" t="s">
        <v>2705</v>
      </c>
      <c r="D159" s="152" t="s">
        <v>2705</v>
      </c>
      <c r="E159" s="152" t="s">
        <v>2705</v>
      </c>
      <c r="F159" s="152" t="s">
        <v>2705</v>
      </c>
      <c r="G159" s="152" t="s">
        <v>2705</v>
      </c>
      <c r="H159" s="152" t="s">
        <v>2705</v>
      </c>
      <c r="I159" s="152" t="s">
        <v>2705</v>
      </c>
      <c r="J159" s="152" t="s">
        <v>2705</v>
      </c>
      <c r="K159" s="152" t="s">
        <v>2705</v>
      </c>
      <c r="L159" s="152" t="s">
        <v>2705</v>
      </c>
      <c r="M159" s="152" t="s">
        <v>2705</v>
      </c>
      <c r="N159" s="152" t="s">
        <v>2705</v>
      </c>
      <c r="O159" s="152" t="s">
        <v>2705</v>
      </c>
      <c r="P159" s="152" t="s">
        <v>2705</v>
      </c>
      <c r="Q159" s="152" t="s">
        <v>2398</v>
      </c>
      <c r="R159" s="152" t="s">
        <v>2675</v>
      </c>
      <c r="S159" s="152" t="s">
        <v>2705</v>
      </c>
      <c r="T159" s="152" t="s">
        <v>2705</v>
      </c>
      <c r="U159" s="152" t="s">
        <v>2705</v>
      </c>
    </row>
    <row r="160" spans="1:21" s="142" customFormat="1" ht="12.75" x14ac:dyDescent="0.2">
      <c r="A160" s="151"/>
      <c r="B160" s="152" t="s">
        <v>2705</v>
      </c>
      <c r="C160" s="152" t="s">
        <v>2705</v>
      </c>
      <c r="D160" s="152" t="s">
        <v>2705</v>
      </c>
      <c r="E160" s="152" t="s">
        <v>2705</v>
      </c>
      <c r="F160" s="152" t="s">
        <v>2705</v>
      </c>
      <c r="G160" s="152" t="s">
        <v>2675</v>
      </c>
      <c r="H160" s="152" t="s">
        <v>2705</v>
      </c>
      <c r="I160" s="152" t="s">
        <v>2705</v>
      </c>
      <c r="J160" s="152" t="s">
        <v>2705</v>
      </c>
      <c r="K160" s="152" t="s">
        <v>2675</v>
      </c>
      <c r="L160" s="152" t="s">
        <v>2705</v>
      </c>
      <c r="M160" s="152" t="s">
        <v>2705</v>
      </c>
      <c r="N160" s="152" t="s">
        <v>2705</v>
      </c>
      <c r="O160" s="152" t="s">
        <v>2705</v>
      </c>
      <c r="P160" s="152" t="s">
        <v>2705</v>
      </c>
      <c r="Q160" s="152" t="s">
        <v>2398</v>
      </c>
      <c r="R160" s="152" t="s">
        <v>2705</v>
      </c>
      <c r="S160" s="152" t="s">
        <v>2705</v>
      </c>
      <c r="T160" s="152" t="s">
        <v>2675</v>
      </c>
      <c r="U160" s="152" t="s">
        <v>2705</v>
      </c>
    </row>
    <row r="161" spans="1:21" s="142" customFormat="1" ht="12.75" customHeight="1" x14ac:dyDescent="0.2">
      <c r="A161" s="151" t="s">
        <v>7397</v>
      </c>
      <c r="B161" s="152" t="s">
        <v>2705</v>
      </c>
      <c r="C161" s="152" t="s">
        <v>1435</v>
      </c>
      <c r="D161" s="152" t="s">
        <v>2675</v>
      </c>
      <c r="E161" s="152" t="s">
        <v>2675</v>
      </c>
      <c r="F161" s="152" t="s">
        <v>1435</v>
      </c>
      <c r="G161" s="152" t="s">
        <v>2398</v>
      </c>
      <c r="H161" s="152" t="s">
        <v>2705</v>
      </c>
      <c r="I161" s="152" t="s">
        <v>2397</v>
      </c>
      <c r="J161" s="152" t="s">
        <v>2397</v>
      </c>
      <c r="K161" s="152" t="s">
        <v>1435</v>
      </c>
      <c r="L161" s="152" t="s">
        <v>2705</v>
      </c>
      <c r="M161" s="152" t="s">
        <v>1435</v>
      </c>
      <c r="N161" s="152" t="s">
        <v>2675</v>
      </c>
      <c r="O161" s="152" t="s">
        <v>2398</v>
      </c>
      <c r="P161" s="152" t="s">
        <v>2398</v>
      </c>
      <c r="Q161" s="152" t="s">
        <v>2397</v>
      </c>
      <c r="R161" s="152" t="s">
        <v>2397</v>
      </c>
      <c r="S161" s="152" t="s">
        <v>2398</v>
      </c>
      <c r="T161" s="152" t="s">
        <v>2398</v>
      </c>
      <c r="U161" s="152" t="s">
        <v>2705</v>
      </c>
    </row>
    <row r="162" spans="1:21" s="142" customFormat="1" ht="12.75" x14ac:dyDescent="0.2">
      <c r="A162" s="151"/>
      <c r="B162" s="152" t="s">
        <v>2705</v>
      </c>
      <c r="C162" s="152" t="s">
        <v>2705</v>
      </c>
      <c r="D162" s="152" t="s">
        <v>1435</v>
      </c>
      <c r="E162" s="152" t="s">
        <v>2705</v>
      </c>
      <c r="F162" s="152" t="s">
        <v>2398</v>
      </c>
      <c r="G162" s="152" t="s">
        <v>2705</v>
      </c>
      <c r="H162" s="152" t="s">
        <v>2675</v>
      </c>
      <c r="I162" s="152" t="s">
        <v>2705</v>
      </c>
      <c r="J162" s="152" t="s">
        <v>2675</v>
      </c>
      <c r="K162" s="152" t="s">
        <v>2675</v>
      </c>
      <c r="L162" s="152" t="s">
        <v>2705</v>
      </c>
      <c r="M162" s="152" t="s">
        <v>2398</v>
      </c>
      <c r="N162" s="152" t="s">
        <v>2397</v>
      </c>
      <c r="O162" s="152" t="s">
        <v>2705</v>
      </c>
      <c r="P162" s="152" t="s">
        <v>2705</v>
      </c>
      <c r="Q162" s="152" t="s">
        <v>2705</v>
      </c>
      <c r="R162" s="152" t="s">
        <v>2398</v>
      </c>
      <c r="S162" s="152" t="s">
        <v>2397</v>
      </c>
      <c r="T162" s="152" t="s">
        <v>2675</v>
      </c>
      <c r="U162" s="152" t="s">
        <v>2705</v>
      </c>
    </row>
    <row r="163" spans="1:21" s="142" customFormat="1" ht="12.75" customHeight="1" x14ac:dyDescent="0.2">
      <c r="A163" s="151" t="s">
        <v>7398</v>
      </c>
      <c r="B163" s="152" t="s">
        <v>2398</v>
      </c>
      <c r="C163" s="152" t="s">
        <v>2675</v>
      </c>
      <c r="D163" s="152" t="s">
        <v>2705</v>
      </c>
      <c r="E163" s="152" t="s">
        <v>2705</v>
      </c>
      <c r="F163" s="152" t="s">
        <v>2398</v>
      </c>
      <c r="G163" s="152" t="s">
        <v>2705</v>
      </c>
      <c r="H163" s="152" t="s">
        <v>1435</v>
      </c>
      <c r="I163" s="152" t="s">
        <v>2705</v>
      </c>
      <c r="J163" s="152" t="s">
        <v>2705</v>
      </c>
      <c r="K163" s="152" t="s">
        <v>2705</v>
      </c>
      <c r="L163" s="152" t="s">
        <v>2705</v>
      </c>
      <c r="M163" s="152" t="s">
        <v>2398</v>
      </c>
      <c r="N163" s="152" t="s">
        <v>2705</v>
      </c>
      <c r="O163" s="152" t="s">
        <v>2705</v>
      </c>
      <c r="P163" s="152" t="s">
        <v>2675</v>
      </c>
      <c r="Q163" s="152" t="s">
        <v>1435</v>
      </c>
      <c r="R163" s="152" t="s">
        <v>2398</v>
      </c>
      <c r="S163" s="152" t="s">
        <v>2398</v>
      </c>
      <c r="T163" s="152" t="s">
        <v>2398</v>
      </c>
      <c r="U163" s="152" t="s">
        <v>2398</v>
      </c>
    </row>
    <row r="164" spans="1:21" s="142" customFormat="1" ht="12.75" x14ac:dyDescent="0.2">
      <c r="A164" s="151"/>
      <c r="B164" s="152" t="s">
        <v>2398</v>
      </c>
      <c r="C164" s="152" t="s">
        <v>2705</v>
      </c>
      <c r="D164" s="152" t="s">
        <v>2398</v>
      </c>
      <c r="E164" s="152" t="s">
        <v>2705</v>
      </c>
      <c r="F164" s="152" t="s">
        <v>2705</v>
      </c>
      <c r="G164" s="152" t="s">
        <v>1435</v>
      </c>
      <c r="H164" s="152" t="s">
        <v>2398</v>
      </c>
      <c r="I164" s="152" t="s">
        <v>2705</v>
      </c>
      <c r="J164" s="152" t="s">
        <v>2705</v>
      </c>
      <c r="K164" s="152" t="s">
        <v>1435</v>
      </c>
      <c r="L164" s="152" t="s">
        <v>2398</v>
      </c>
      <c r="M164" s="152" t="s">
        <v>2398</v>
      </c>
      <c r="N164" s="152" t="s">
        <v>2705</v>
      </c>
      <c r="O164" s="152" t="s">
        <v>2705</v>
      </c>
      <c r="P164" s="152" t="s">
        <v>2398</v>
      </c>
      <c r="Q164" s="152" t="s">
        <v>2705</v>
      </c>
      <c r="R164" s="152" t="s">
        <v>2398</v>
      </c>
      <c r="S164" s="152" t="s">
        <v>2398</v>
      </c>
      <c r="T164" s="152" t="s">
        <v>2705</v>
      </c>
      <c r="U164" s="152" t="s">
        <v>2705</v>
      </c>
    </row>
    <row r="165" spans="1:21" s="142" customFormat="1" ht="12.75" customHeight="1" x14ac:dyDescent="0.2">
      <c r="A165" s="151" t="s">
        <v>7399</v>
      </c>
      <c r="B165" s="152" t="s">
        <v>2705</v>
      </c>
      <c r="C165" s="152" t="s">
        <v>1435</v>
      </c>
      <c r="D165" s="152" t="s">
        <v>2675</v>
      </c>
      <c r="E165" s="152" t="s">
        <v>2705</v>
      </c>
      <c r="F165" s="152" t="s">
        <v>2705</v>
      </c>
      <c r="G165" s="152" t="s">
        <v>2705</v>
      </c>
      <c r="H165" s="152" t="s">
        <v>2398</v>
      </c>
      <c r="I165" s="152" t="s">
        <v>2398</v>
      </c>
      <c r="J165" s="152" t="s">
        <v>2675</v>
      </c>
      <c r="K165" s="152" t="s">
        <v>2397</v>
      </c>
      <c r="L165" s="152" t="s">
        <v>2398</v>
      </c>
      <c r="M165" s="152" t="s">
        <v>2398</v>
      </c>
      <c r="N165" s="152" t="s">
        <v>2705</v>
      </c>
      <c r="O165" s="152" t="s">
        <v>1435</v>
      </c>
      <c r="P165" s="152" t="s">
        <v>2705</v>
      </c>
      <c r="Q165" s="152" t="s">
        <v>2675</v>
      </c>
      <c r="R165" s="152" t="s">
        <v>2705</v>
      </c>
      <c r="S165" s="152" t="s">
        <v>2397</v>
      </c>
      <c r="T165" s="152" t="s">
        <v>2705</v>
      </c>
      <c r="U165" s="152" t="s">
        <v>2705</v>
      </c>
    </row>
    <row r="166" spans="1:21" s="142" customFormat="1" ht="12.75" x14ac:dyDescent="0.2">
      <c r="A166" s="151"/>
      <c r="B166" s="152" t="s">
        <v>2705</v>
      </c>
      <c r="C166" s="152" t="s">
        <v>2675</v>
      </c>
      <c r="D166" s="152" t="s">
        <v>1435</v>
      </c>
      <c r="E166" s="152" t="s">
        <v>1435</v>
      </c>
      <c r="F166" s="152" t="s">
        <v>2705</v>
      </c>
      <c r="G166" s="152" t="s">
        <v>2397</v>
      </c>
      <c r="H166" s="152" t="s">
        <v>2705</v>
      </c>
      <c r="I166" s="152" t="s">
        <v>2705</v>
      </c>
      <c r="J166" s="152" t="s">
        <v>2705</v>
      </c>
      <c r="K166" s="152" t="s">
        <v>2397</v>
      </c>
      <c r="L166" s="152" t="s">
        <v>2675</v>
      </c>
      <c r="M166" s="152" t="s">
        <v>2705</v>
      </c>
      <c r="N166" s="152" t="s">
        <v>2705</v>
      </c>
      <c r="O166" s="152" t="s">
        <v>2705</v>
      </c>
      <c r="P166" s="152" t="s">
        <v>1435</v>
      </c>
      <c r="Q166" s="152" t="s">
        <v>1435</v>
      </c>
      <c r="R166" s="152" t="s">
        <v>2398</v>
      </c>
      <c r="S166" s="152" t="s">
        <v>2705</v>
      </c>
      <c r="T166" s="152" t="s">
        <v>2705</v>
      </c>
      <c r="U166" s="152" t="s">
        <v>2675</v>
      </c>
    </row>
    <row r="167" spans="1:21" s="142" customFormat="1" ht="12.75" customHeight="1" x14ac:dyDescent="0.2">
      <c r="A167" s="151" t="s">
        <v>7400</v>
      </c>
      <c r="B167" s="152" t="s">
        <v>2675</v>
      </c>
      <c r="C167" s="152" t="s">
        <v>2705</v>
      </c>
      <c r="D167" s="152" t="s">
        <v>1435</v>
      </c>
      <c r="E167" s="152" t="s">
        <v>2398</v>
      </c>
      <c r="F167" s="152" t="s">
        <v>2397</v>
      </c>
      <c r="G167" s="152" t="s">
        <v>2705</v>
      </c>
      <c r="H167" s="152" t="s">
        <v>2705</v>
      </c>
      <c r="I167" s="152" t="s">
        <v>2675</v>
      </c>
      <c r="J167" s="152" t="s">
        <v>2675</v>
      </c>
      <c r="K167" s="152" t="s">
        <v>2705</v>
      </c>
      <c r="L167" s="152" t="s">
        <v>2398</v>
      </c>
      <c r="M167" s="152" t="s">
        <v>2705</v>
      </c>
      <c r="N167" s="152" t="s">
        <v>2397</v>
      </c>
      <c r="O167" s="152" t="s">
        <v>2675</v>
      </c>
      <c r="P167" s="152" t="s">
        <v>2705</v>
      </c>
      <c r="Q167" s="152" t="s">
        <v>2398</v>
      </c>
      <c r="R167" s="152" t="s">
        <v>2398</v>
      </c>
      <c r="S167" s="152" t="s">
        <v>2705</v>
      </c>
      <c r="T167" s="152" t="s">
        <v>2705</v>
      </c>
      <c r="U167" s="152" t="s">
        <v>2705</v>
      </c>
    </row>
    <row r="168" spans="1:21" s="142" customFormat="1" ht="12.75" x14ac:dyDescent="0.2">
      <c r="A168" s="151"/>
      <c r="B168" s="152" t="s">
        <v>2675</v>
      </c>
      <c r="C168" s="152" t="s">
        <v>2675</v>
      </c>
      <c r="D168" s="152" t="s">
        <v>2398</v>
      </c>
      <c r="E168" s="152" t="s">
        <v>2705</v>
      </c>
      <c r="F168" s="152" t="s">
        <v>2705</v>
      </c>
      <c r="G168" s="152" t="s">
        <v>2705</v>
      </c>
      <c r="H168" s="152" t="s">
        <v>2675</v>
      </c>
      <c r="I168" s="152" t="s">
        <v>1435</v>
      </c>
      <c r="J168" s="152" t="s">
        <v>1435</v>
      </c>
      <c r="K168" s="152" t="s">
        <v>2398</v>
      </c>
      <c r="L168" s="152" t="s">
        <v>2705</v>
      </c>
      <c r="M168" s="152" t="s">
        <v>2397</v>
      </c>
      <c r="N168" s="152" t="s">
        <v>2398</v>
      </c>
      <c r="O168" s="152" t="s">
        <v>2398</v>
      </c>
      <c r="P168" s="152" t="s">
        <v>2705</v>
      </c>
      <c r="Q168" s="152" t="s">
        <v>2675</v>
      </c>
      <c r="R168" s="152" t="s">
        <v>2398</v>
      </c>
      <c r="S168" s="152" t="s">
        <v>2398</v>
      </c>
      <c r="T168" s="152" t="s">
        <v>2705</v>
      </c>
      <c r="U168" s="152" t="s">
        <v>2398</v>
      </c>
    </row>
    <row r="169" spans="1:21" s="142" customFormat="1" ht="12.75" customHeight="1" x14ac:dyDescent="0.2">
      <c r="A169" s="151" t="s">
        <v>7401</v>
      </c>
      <c r="B169" s="152" t="s">
        <v>2705</v>
      </c>
      <c r="C169" s="152" t="s">
        <v>2705</v>
      </c>
      <c r="D169" s="152" t="s">
        <v>2705</v>
      </c>
      <c r="E169" s="152" t="s">
        <v>2705</v>
      </c>
      <c r="F169" s="152" t="s">
        <v>2398</v>
      </c>
      <c r="G169" s="152" t="s">
        <v>2705</v>
      </c>
      <c r="H169" s="152" t="s">
        <v>2705</v>
      </c>
      <c r="I169" s="152" t="s">
        <v>2705</v>
      </c>
      <c r="J169" s="152" t="s">
        <v>2705</v>
      </c>
      <c r="K169" s="152" t="s">
        <v>2705</v>
      </c>
      <c r="L169" s="152" t="s">
        <v>2705</v>
      </c>
      <c r="M169" s="152" t="s">
        <v>2398</v>
      </c>
      <c r="N169" s="152" t="s">
        <v>2705</v>
      </c>
      <c r="O169" s="152" t="s">
        <v>1435</v>
      </c>
      <c r="P169" s="152" t="s">
        <v>2675</v>
      </c>
      <c r="Q169" s="152" t="s">
        <v>2398</v>
      </c>
      <c r="R169" s="152" t="s">
        <v>2398</v>
      </c>
      <c r="S169" s="152" t="s">
        <v>2398</v>
      </c>
      <c r="T169" s="152" t="s">
        <v>2675</v>
      </c>
      <c r="U169" s="152" t="s">
        <v>2398</v>
      </c>
    </row>
    <row r="170" spans="1:21" s="142" customFormat="1" ht="12.75" x14ac:dyDescent="0.2">
      <c r="A170" s="151"/>
      <c r="B170" s="152" t="s">
        <v>2705</v>
      </c>
      <c r="C170" s="152" t="s">
        <v>2675</v>
      </c>
      <c r="D170" s="152" t="s">
        <v>2705</v>
      </c>
      <c r="E170" s="152" t="s">
        <v>2398</v>
      </c>
      <c r="F170" s="152" t="s">
        <v>2397</v>
      </c>
      <c r="G170" s="152" t="s">
        <v>2398</v>
      </c>
      <c r="H170" s="152" t="s">
        <v>2398</v>
      </c>
      <c r="I170" s="152" t="s">
        <v>2705</v>
      </c>
      <c r="J170" s="152" t="s">
        <v>2705</v>
      </c>
      <c r="K170" s="152" t="s">
        <v>1435</v>
      </c>
      <c r="L170" s="152" t="s">
        <v>2705</v>
      </c>
      <c r="M170" s="152" t="s">
        <v>1435</v>
      </c>
      <c r="N170" s="152" t="s">
        <v>2398</v>
      </c>
      <c r="O170" s="152" t="s">
        <v>2705</v>
      </c>
      <c r="P170" s="152" t="s">
        <v>2398</v>
      </c>
      <c r="Q170" s="152" t="s">
        <v>2705</v>
      </c>
      <c r="R170" s="152" t="s">
        <v>2398</v>
      </c>
      <c r="S170" s="152" t="s">
        <v>2705</v>
      </c>
      <c r="T170" s="152" t="s">
        <v>2398</v>
      </c>
      <c r="U170" s="152" t="s">
        <v>2397</v>
      </c>
    </row>
    <row r="171" spans="1:21" s="142" customFormat="1" ht="12.75" customHeight="1" x14ac:dyDescent="0.2">
      <c r="A171" s="151" t="s">
        <v>7402</v>
      </c>
      <c r="B171" s="152" t="s">
        <v>2398</v>
      </c>
      <c r="C171" s="152" t="s">
        <v>1435</v>
      </c>
      <c r="D171" s="152" t="s">
        <v>2675</v>
      </c>
      <c r="E171" s="152" t="s">
        <v>2675</v>
      </c>
      <c r="F171" s="152" t="s">
        <v>1435</v>
      </c>
      <c r="G171" s="152" t="s">
        <v>2398</v>
      </c>
      <c r="H171" s="152" t="s">
        <v>2675</v>
      </c>
      <c r="I171" s="152" t="s">
        <v>2705</v>
      </c>
      <c r="J171" s="152" t="s">
        <v>2398</v>
      </c>
      <c r="K171" s="152" t="s">
        <v>2675</v>
      </c>
      <c r="L171" s="152" t="s">
        <v>2398</v>
      </c>
      <c r="M171" s="152" t="s">
        <v>2705</v>
      </c>
      <c r="N171" s="152" t="s">
        <v>2705</v>
      </c>
      <c r="O171" s="152" t="s">
        <v>2675</v>
      </c>
      <c r="P171" s="152" t="s">
        <v>2397</v>
      </c>
      <c r="Q171" s="152" t="s">
        <v>2675</v>
      </c>
      <c r="R171" s="152" t="s">
        <v>2397</v>
      </c>
      <c r="S171" s="152" t="s">
        <v>2705</v>
      </c>
      <c r="T171" s="152" t="s">
        <v>2398</v>
      </c>
      <c r="U171" s="152" t="s">
        <v>2675</v>
      </c>
    </row>
    <row r="172" spans="1:21" s="142" customFormat="1" ht="12.75" x14ac:dyDescent="0.2">
      <c r="A172" s="151"/>
      <c r="B172" s="152" t="s">
        <v>2398</v>
      </c>
      <c r="C172" s="152" t="s">
        <v>2398</v>
      </c>
      <c r="D172" s="152" t="s">
        <v>2705</v>
      </c>
      <c r="E172" s="152" t="s">
        <v>1435</v>
      </c>
      <c r="F172" s="152" t="s">
        <v>2398</v>
      </c>
      <c r="G172" s="152" t="s">
        <v>2398</v>
      </c>
      <c r="H172" s="152" t="s">
        <v>2705</v>
      </c>
      <c r="I172" s="152" t="s">
        <v>2398</v>
      </c>
      <c r="J172" s="152" t="s">
        <v>2675</v>
      </c>
      <c r="K172" s="152" t="s">
        <v>2397</v>
      </c>
      <c r="L172" s="152" t="s">
        <v>2398</v>
      </c>
      <c r="M172" s="152" t="s">
        <v>2398</v>
      </c>
      <c r="N172" s="152" t="s">
        <v>2705</v>
      </c>
      <c r="O172" s="152" t="s">
        <v>2705</v>
      </c>
      <c r="P172" s="152" t="s">
        <v>2705</v>
      </c>
      <c r="Q172" s="152" t="s">
        <v>2398</v>
      </c>
      <c r="R172" s="152" t="s">
        <v>1435</v>
      </c>
      <c r="S172" s="152" t="s">
        <v>2398</v>
      </c>
      <c r="T172" s="152" t="s">
        <v>2705</v>
      </c>
      <c r="U172" s="152" t="s">
        <v>2675</v>
      </c>
    </row>
    <row r="173" spans="1:21" s="142" customFormat="1" ht="12.75" customHeight="1" x14ac:dyDescent="0.2">
      <c r="A173" s="151" t="s">
        <v>7403</v>
      </c>
      <c r="B173" s="152" t="s">
        <v>2398</v>
      </c>
      <c r="C173" s="152" t="s">
        <v>2398</v>
      </c>
      <c r="D173" s="152" t="s">
        <v>2397</v>
      </c>
      <c r="E173" s="152" t="s">
        <v>2705</v>
      </c>
      <c r="F173" s="152" t="s">
        <v>2705</v>
      </c>
      <c r="G173" s="152" t="s">
        <v>2705</v>
      </c>
      <c r="H173" s="152" t="s">
        <v>2705</v>
      </c>
      <c r="I173" s="152" t="s">
        <v>2398</v>
      </c>
      <c r="J173" s="152" t="s">
        <v>2705</v>
      </c>
      <c r="K173" s="152" t="s">
        <v>2705</v>
      </c>
      <c r="L173" s="152" t="s">
        <v>2705</v>
      </c>
      <c r="M173" s="152" t="s">
        <v>2705</v>
      </c>
      <c r="N173" s="152" t="s">
        <v>2398</v>
      </c>
      <c r="O173" s="152" t="s">
        <v>2398</v>
      </c>
      <c r="P173" s="152" t="s">
        <v>2705</v>
      </c>
      <c r="Q173" s="152" t="s">
        <v>2705</v>
      </c>
      <c r="R173" s="152" t="s">
        <v>1435</v>
      </c>
      <c r="S173" s="152" t="s">
        <v>2705</v>
      </c>
      <c r="T173" s="152" t="s">
        <v>2397</v>
      </c>
      <c r="U173" s="152" t="s">
        <v>2705</v>
      </c>
    </row>
    <row r="174" spans="1:21" s="142" customFormat="1" ht="12.75" x14ac:dyDescent="0.2">
      <c r="A174" s="151"/>
      <c r="B174" s="152" t="s">
        <v>2398</v>
      </c>
      <c r="C174" s="152" t="s">
        <v>2675</v>
      </c>
      <c r="D174" s="152" t="s">
        <v>2398</v>
      </c>
      <c r="E174" s="152" t="s">
        <v>2398</v>
      </c>
      <c r="F174" s="152" t="s">
        <v>2705</v>
      </c>
      <c r="G174" s="152" t="s">
        <v>2675</v>
      </c>
      <c r="H174" s="152" t="s">
        <v>2398</v>
      </c>
      <c r="I174" s="152" t="s">
        <v>2705</v>
      </c>
      <c r="J174" s="152" t="s">
        <v>2398</v>
      </c>
      <c r="K174" s="152" t="s">
        <v>2398</v>
      </c>
      <c r="L174" s="152" t="s">
        <v>2705</v>
      </c>
      <c r="M174" s="152" t="s">
        <v>2705</v>
      </c>
      <c r="N174" s="152" t="s">
        <v>2705</v>
      </c>
      <c r="O174" s="152" t="s">
        <v>2705</v>
      </c>
      <c r="P174" s="152" t="s">
        <v>2705</v>
      </c>
      <c r="Q174" s="152" t="s">
        <v>2675</v>
      </c>
      <c r="R174" s="152" t="s">
        <v>2705</v>
      </c>
      <c r="S174" s="152" t="s">
        <v>2705</v>
      </c>
      <c r="T174" s="152" t="s">
        <v>2705</v>
      </c>
      <c r="U174" s="152" t="s">
        <v>2398</v>
      </c>
    </row>
    <row r="175" spans="1:21" s="142" customFormat="1" ht="12.75" customHeight="1" x14ac:dyDescent="0.2">
      <c r="A175" s="151" t="s">
        <v>7404</v>
      </c>
      <c r="B175" s="152" t="s">
        <v>2705</v>
      </c>
      <c r="C175" s="152" t="s">
        <v>2705</v>
      </c>
      <c r="D175" s="152" t="s">
        <v>2398</v>
      </c>
      <c r="E175" s="152" t="s">
        <v>2398</v>
      </c>
      <c r="F175" s="152" t="s">
        <v>2705</v>
      </c>
      <c r="G175" s="152" t="s">
        <v>2705</v>
      </c>
      <c r="H175" s="152" t="s">
        <v>2705</v>
      </c>
      <c r="I175" s="152" t="s">
        <v>2397</v>
      </c>
      <c r="J175" s="152" t="s">
        <v>2705</v>
      </c>
      <c r="K175" s="152" t="s">
        <v>2705</v>
      </c>
      <c r="L175" s="152" t="s">
        <v>2398</v>
      </c>
      <c r="M175" s="152" t="s">
        <v>2705</v>
      </c>
      <c r="N175" s="152" t="s">
        <v>2398</v>
      </c>
      <c r="O175" s="152" t="s">
        <v>2398</v>
      </c>
      <c r="P175" s="152" t="s">
        <v>2705</v>
      </c>
      <c r="Q175" s="152" t="s">
        <v>2705</v>
      </c>
      <c r="R175" s="152" t="s">
        <v>2398</v>
      </c>
      <c r="S175" s="152" t="s">
        <v>2675</v>
      </c>
      <c r="T175" s="152" t="s">
        <v>2705</v>
      </c>
      <c r="U175" s="152" t="s">
        <v>2705</v>
      </c>
    </row>
    <row r="176" spans="1:21" s="142" customFormat="1" ht="12.75" x14ac:dyDescent="0.2">
      <c r="A176" s="151"/>
      <c r="B176" s="152" t="s">
        <v>2705</v>
      </c>
      <c r="C176" s="152" t="s">
        <v>2398</v>
      </c>
      <c r="D176" s="152" t="s">
        <v>2705</v>
      </c>
      <c r="E176" s="152" t="s">
        <v>2705</v>
      </c>
      <c r="F176" s="152" t="s">
        <v>2705</v>
      </c>
      <c r="G176" s="152" t="s">
        <v>2705</v>
      </c>
      <c r="H176" s="152" t="s">
        <v>2398</v>
      </c>
      <c r="I176" s="152" t="s">
        <v>2398</v>
      </c>
      <c r="J176" s="152" t="s">
        <v>2705</v>
      </c>
      <c r="K176" s="152" t="s">
        <v>2398</v>
      </c>
      <c r="L176" s="152" t="s">
        <v>2705</v>
      </c>
      <c r="M176" s="152" t="s">
        <v>2398</v>
      </c>
      <c r="N176" s="152" t="s">
        <v>2705</v>
      </c>
      <c r="O176" s="152" t="s">
        <v>2398</v>
      </c>
      <c r="P176" s="152" t="s">
        <v>2398</v>
      </c>
      <c r="Q176" s="152" t="s">
        <v>2705</v>
      </c>
      <c r="R176" s="152" t="s">
        <v>2705</v>
      </c>
      <c r="S176" s="152" t="s">
        <v>2705</v>
      </c>
      <c r="T176" s="152" t="s">
        <v>2705</v>
      </c>
      <c r="U176" s="152" t="s">
        <v>2705</v>
      </c>
    </row>
    <row r="177" spans="1:21" s="142" customFormat="1" ht="12.75" customHeight="1" x14ac:dyDescent="0.2">
      <c r="A177" s="151" t="s">
        <v>7405</v>
      </c>
      <c r="B177" s="152" t="s">
        <v>2398</v>
      </c>
      <c r="C177" s="152" t="s">
        <v>2398</v>
      </c>
      <c r="D177" s="152" t="s">
        <v>2398</v>
      </c>
      <c r="E177" s="152" t="s">
        <v>1435</v>
      </c>
      <c r="F177" s="152" t="s">
        <v>2397</v>
      </c>
      <c r="G177" s="152" t="s">
        <v>2705</v>
      </c>
      <c r="H177" s="152" t="s">
        <v>1435</v>
      </c>
      <c r="I177" s="152" t="s">
        <v>2705</v>
      </c>
      <c r="J177" s="152" t="s">
        <v>2705</v>
      </c>
      <c r="K177" s="152" t="s">
        <v>2705</v>
      </c>
      <c r="L177" s="152" t="s">
        <v>1435</v>
      </c>
      <c r="M177" s="152" t="s">
        <v>1435</v>
      </c>
      <c r="N177" s="152" t="s">
        <v>2398</v>
      </c>
      <c r="O177" s="152" t="s">
        <v>2705</v>
      </c>
      <c r="P177" s="152" t="s">
        <v>1435</v>
      </c>
      <c r="Q177" s="152" t="s">
        <v>2705</v>
      </c>
      <c r="R177" s="152" t="s">
        <v>2398</v>
      </c>
      <c r="S177" s="152" t="s">
        <v>2398</v>
      </c>
      <c r="T177" s="152" t="s">
        <v>1435</v>
      </c>
      <c r="U177" s="152" t="s">
        <v>2705</v>
      </c>
    </row>
    <row r="178" spans="1:21" s="142" customFormat="1" ht="12.75" x14ac:dyDescent="0.2">
      <c r="A178" s="151"/>
      <c r="B178" s="152" t="s">
        <v>2398</v>
      </c>
      <c r="C178" s="152" t="s">
        <v>2705</v>
      </c>
      <c r="D178" s="152" t="s">
        <v>2398</v>
      </c>
      <c r="E178" s="152" t="s">
        <v>2398</v>
      </c>
      <c r="F178" s="152" t="s">
        <v>2705</v>
      </c>
      <c r="G178" s="152" t="s">
        <v>2705</v>
      </c>
      <c r="H178" s="152" t="s">
        <v>2398</v>
      </c>
      <c r="I178" s="152" t="s">
        <v>2705</v>
      </c>
      <c r="J178" s="152" t="s">
        <v>2705</v>
      </c>
      <c r="K178" s="152" t="s">
        <v>2705</v>
      </c>
      <c r="L178" s="152" t="s">
        <v>2398</v>
      </c>
      <c r="M178" s="152" t="s">
        <v>2397</v>
      </c>
      <c r="N178" s="152" t="s">
        <v>2398</v>
      </c>
      <c r="O178" s="152" t="s">
        <v>2705</v>
      </c>
      <c r="P178" s="152" t="s">
        <v>2398</v>
      </c>
      <c r="Q178" s="152" t="s">
        <v>2705</v>
      </c>
      <c r="R178" s="152" t="s">
        <v>2705</v>
      </c>
      <c r="S178" s="152" t="s">
        <v>2705</v>
      </c>
      <c r="T178" s="152" t="s">
        <v>2397</v>
      </c>
      <c r="U178" s="152" t="s">
        <v>2398</v>
      </c>
    </row>
    <row r="179" spans="1:21" s="142" customFormat="1" ht="12.75" customHeight="1" x14ac:dyDescent="0.2">
      <c r="A179" s="151" t="s">
        <v>7406</v>
      </c>
      <c r="B179" s="152" t="s">
        <v>2705</v>
      </c>
      <c r="C179" s="152" t="s">
        <v>2705</v>
      </c>
      <c r="D179" s="152" t="s">
        <v>2705</v>
      </c>
      <c r="E179" s="152" t="s">
        <v>1435</v>
      </c>
      <c r="F179" s="152" t="s">
        <v>2705</v>
      </c>
      <c r="G179" s="152" t="s">
        <v>2705</v>
      </c>
      <c r="H179" s="152" t="s">
        <v>1435</v>
      </c>
      <c r="I179" s="152" t="s">
        <v>2398</v>
      </c>
      <c r="J179" s="152" t="s">
        <v>2398</v>
      </c>
      <c r="K179" s="152" t="s">
        <v>2705</v>
      </c>
      <c r="L179" s="152" t="s">
        <v>2705</v>
      </c>
      <c r="M179" s="152" t="s">
        <v>2705</v>
      </c>
      <c r="N179" s="152" t="s">
        <v>2398</v>
      </c>
      <c r="O179" s="152" t="s">
        <v>2705</v>
      </c>
      <c r="P179" s="152" t="s">
        <v>2705</v>
      </c>
      <c r="Q179" s="152" t="s">
        <v>2705</v>
      </c>
      <c r="R179" s="152" t="s">
        <v>2705</v>
      </c>
      <c r="S179" s="152" t="s">
        <v>2675</v>
      </c>
      <c r="T179" s="152" t="s">
        <v>2705</v>
      </c>
      <c r="U179" s="152" t="s">
        <v>2705</v>
      </c>
    </row>
    <row r="180" spans="1:21" s="142" customFormat="1" ht="12.75" x14ac:dyDescent="0.2">
      <c r="A180" s="151"/>
      <c r="B180" s="152" t="s">
        <v>2398</v>
      </c>
      <c r="C180" s="152" t="s">
        <v>2398</v>
      </c>
      <c r="D180" s="152" t="s">
        <v>2398</v>
      </c>
      <c r="E180" s="152" t="s">
        <v>2705</v>
      </c>
      <c r="F180" s="152" t="s">
        <v>2705</v>
      </c>
      <c r="G180" s="152" t="s">
        <v>2705</v>
      </c>
      <c r="H180" s="152" t="s">
        <v>2705</v>
      </c>
      <c r="I180" s="152" t="s">
        <v>1435</v>
      </c>
      <c r="J180" s="152" t="s">
        <v>2705</v>
      </c>
      <c r="K180" s="152" t="s">
        <v>2398</v>
      </c>
      <c r="L180" s="152" t="s">
        <v>2705</v>
      </c>
      <c r="M180" s="152" t="s">
        <v>2398</v>
      </c>
      <c r="N180" s="152" t="s">
        <v>2705</v>
      </c>
      <c r="O180" s="152" t="s">
        <v>2398</v>
      </c>
      <c r="P180" s="152" t="s">
        <v>2398</v>
      </c>
      <c r="Q180" s="152" t="s">
        <v>2705</v>
      </c>
      <c r="R180" s="152" t="s">
        <v>2397</v>
      </c>
      <c r="S180" s="152" t="s">
        <v>2705</v>
      </c>
      <c r="T180" s="152" t="s">
        <v>2398</v>
      </c>
      <c r="U180" s="152" t="s">
        <v>2705</v>
      </c>
    </row>
    <row r="181" spans="1:21" s="142" customFormat="1" ht="12.75" customHeight="1" x14ac:dyDescent="0.2">
      <c r="A181" s="151" t="s">
        <v>7407</v>
      </c>
      <c r="B181" s="152" t="s">
        <v>2398</v>
      </c>
      <c r="C181" s="152" t="s">
        <v>2705</v>
      </c>
      <c r="D181" s="152" t="s">
        <v>2398</v>
      </c>
      <c r="E181" s="152" t="s">
        <v>2705</v>
      </c>
      <c r="F181" s="152" t="s">
        <v>2398</v>
      </c>
      <c r="G181" s="152" t="s">
        <v>2398</v>
      </c>
      <c r="H181" s="152" t="s">
        <v>2398</v>
      </c>
      <c r="I181" s="152" t="s">
        <v>2398</v>
      </c>
      <c r="J181" s="152" t="s">
        <v>2705</v>
      </c>
      <c r="K181" s="152" t="s">
        <v>2398</v>
      </c>
      <c r="L181" s="152" t="s">
        <v>2705</v>
      </c>
      <c r="M181" s="152" t="s">
        <v>2398</v>
      </c>
      <c r="N181" s="152" t="s">
        <v>2705</v>
      </c>
      <c r="O181" s="152" t="s">
        <v>2398</v>
      </c>
      <c r="P181" s="152" t="s">
        <v>2675</v>
      </c>
      <c r="Q181" s="152" t="s">
        <v>2398</v>
      </c>
      <c r="R181" s="152" t="s">
        <v>2675</v>
      </c>
      <c r="S181" s="152" t="s">
        <v>2398</v>
      </c>
      <c r="T181" s="152" t="s">
        <v>2398</v>
      </c>
      <c r="U181" s="152" t="s">
        <v>2398</v>
      </c>
    </row>
    <row r="182" spans="1:21" s="142" customFormat="1" ht="12.75" x14ac:dyDescent="0.2">
      <c r="A182" s="151"/>
      <c r="B182" s="152" t="s">
        <v>1435</v>
      </c>
      <c r="C182" s="152" t="s">
        <v>1435</v>
      </c>
      <c r="D182" s="152" t="s">
        <v>2705</v>
      </c>
      <c r="E182" s="152" t="s">
        <v>2705</v>
      </c>
      <c r="F182" s="152" t="s">
        <v>2705</v>
      </c>
      <c r="G182" s="152" t="s">
        <v>2705</v>
      </c>
      <c r="H182" s="152" t="s">
        <v>2398</v>
      </c>
      <c r="I182" s="152" t="s">
        <v>2398</v>
      </c>
      <c r="J182" s="152" t="s">
        <v>2705</v>
      </c>
      <c r="K182" s="152" t="s">
        <v>2705</v>
      </c>
      <c r="L182" s="152" t="s">
        <v>1435</v>
      </c>
      <c r="M182" s="152" t="s">
        <v>2675</v>
      </c>
      <c r="N182" s="152" t="s">
        <v>2705</v>
      </c>
      <c r="O182" s="152" t="s">
        <v>2705</v>
      </c>
      <c r="P182" s="152" t="s">
        <v>2398</v>
      </c>
      <c r="Q182" s="152" t="s">
        <v>2705</v>
      </c>
      <c r="R182" s="152" t="s">
        <v>2705</v>
      </c>
      <c r="S182" s="152" t="s">
        <v>2705</v>
      </c>
      <c r="T182" s="152" t="s">
        <v>2705</v>
      </c>
      <c r="U182" s="152" t="s">
        <v>2398</v>
      </c>
    </row>
    <row r="183" spans="1:21" s="142" customFormat="1" ht="12.75" customHeight="1" x14ac:dyDescent="0.2">
      <c r="A183" s="151" t="s">
        <v>7408</v>
      </c>
      <c r="B183" s="152" t="s">
        <v>2705</v>
      </c>
      <c r="C183" s="152" t="s">
        <v>2705</v>
      </c>
      <c r="D183" s="152" t="s">
        <v>2398</v>
      </c>
      <c r="E183" s="152" t="s">
        <v>2705</v>
      </c>
      <c r="F183" s="152" t="s">
        <v>2705</v>
      </c>
      <c r="G183" s="152" t="s">
        <v>2705</v>
      </c>
      <c r="H183" s="152" t="s">
        <v>2705</v>
      </c>
      <c r="I183" s="152" t="s">
        <v>2705</v>
      </c>
      <c r="J183" s="152" t="s">
        <v>2705</v>
      </c>
      <c r="K183" s="152" t="s">
        <v>2705</v>
      </c>
      <c r="L183" s="152" t="s">
        <v>2398</v>
      </c>
      <c r="M183" s="152" t="s">
        <v>2398</v>
      </c>
      <c r="N183" s="152" t="s">
        <v>2705</v>
      </c>
      <c r="O183" s="152" t="s">
        <v>2398</v>
      </c>
      <c r="P183" s="152" t="s">
        <v>2398</v>
      </c>
      <c r="Q183" s="152" t="s">
        <v>2398</v>
      </c>
      <c r="R183" s="152" t="s">
        <v>2398</v>
      </c>
      <c r="S183" s="152" t="s">
        <v>2398</v>
      </c>
      <c r="T183" s="152" t="s">
        <v>2675</v>
      </c>
      <c r="U183" s="152" t="s">
        <v>2705</v>
      </c>
    </row>
    <row r="184" spans="1:21" s="142" customFormat="1" ht="12.75" x14ac:dyDescent="0.2">
      <c r="A184" s="151"/>
      <c r="B184" s="152" t="s">
        <v>2398</v>
      </c>
      <c r="C184" s="152" t="s">
        <v>2705</v>
      </c>
      <c r="D184" s="152" t="s">
        <v>2705</v>
      </c>
      <c r="E184" s="152" t="s">
        <v>2675</v>
      </c>
      <c r="F184" s="152" t="s">
        <v>2705</v>
      </c>
      <c r="G184" s="152" t="s">
        <v>2705</v>
      </c>
      <c r="H184" s="152" t="s">
        <v>2398</v>
      </c>
      <c r="I184" s="152" t="s">
        <v>2705</v>
      </c>
      <c r="J184" s="152" t="s">
        <v>2705</v>
      </c>
      <c r="K184" s="152" t="s">
        <v>2705</v>
      </c>
      <c r="L184" s="152" t="s">
        <v>2398</v>
      </c>
      <c r="M184" s="152" t="s">
        <v>2705</v>
      </c>
      <c r="N184" s="152" t="s">
        <v>2398</v>
      </c>
      <c r="O184" s="152" t="s">
        <v>2705</v>
      </c>
      <c r="P184" s="152" t="s">
        <v>2705</v>
      </c>
      <c r="Q184" s="152" t="s">
        <v>2705</v>
      </c>
      <c r="R184" s="152" t="s">
        <v>1435</v>
      </c>
      <c r="S184" s="152" t="s">
        <v>2398</v>
      </c>
      <c r="T184" s="152" t="s">
        <v>2398</v>
      </c>
      <c r="U184" s="152" t="s">
        <v>2705</v>
      </c>
    </row>
    <row r="185" spans="1:21" s="142" customFormat="1" ht="12.75" customHeight="1" x14ac:dyDescent="0.2">
      <c r="A185" s="151" t="s">
        <v>7409</v>
      </c>
      <c r="B185" s="152" t="s">
        <v>2705</v>
      </c>
      <c r="C185" s="152" t="s">
        <v>2705</v>
      </c>
      <c r="D185" s="152" t="s">
        <v>2705</v>
      </c>
      <c r="E185" s="152" t="s">
        <v>2705</v>
      </c>
      <c r="F185" s="152" t="s">
        <v>2705</v>
      </c>
      <c r="G185" s="152" t="s">
        <v>1435</v>
      </c>
      <c r="H185" s="152" t="s">
        <v>2705</v>
      </c>
      <c r="I185" s="152" t="s">
        <v>2705</v>
      </c>
      <c r="J185" s="152" t="s">
        <v>2705</v>
      </c>
      <c r="K185" s="152" t="s">
        <v>2398</v>
      </c>
      <c r="L185" s="152" t="s">
        <v>2705</v>
      </c>
      <c r="M185" s="152" t="s">
        <v>2705</v>
      </c>
      <c r="N185" s="152" t="s">
        <v>2705</v>
      </c>
      <c r="O185" s="152" t="s">
        <v>2398</v>
      </c>
      <c r="P185" s="152" t="s">
        <v>2705</v>
      </c>
      <c r="Q185" s="152" t="s">
        <v>2705</v>
      </c>
      <c r="R185" s="152" t="s">
        <v>2705</v>
      </c>
      <c r="S185" s="152" t="s">
        <v>2705</v>
      </c>
      <c r="T185" s="152" t="s">
        <v>2705</v>
      </c>
      <c r="U185" s="152" t="s">
        <v>2705</v>
      </c>
    </row>
    <row r="186" spans="1:21" s="142" customFormat="1" ht="12.75" x14ac:dyDescent="0.2">
      <c r="A186" s="151"/>
      <c r="B186" s="152" t="s">
        <v>2397</v>
      </c>
      <c r="C186" s="152" t="s">
        <v>2705</v>
      </c>
      <c r="D186" s="152" t="s">
        <v>2705</v>
      </c>
      <c r="E186" s="152" t="s">
        <v>2398</v>
      </c>
      <c r="F186" s="152" t="s">
        <v>2705</v>
      </c>
      <c r="G186" s="152" t="s">
        <v>2398</v>
      </c>
      <c r="H186" s="152" t="s">
        <v>2675</v>
      </c>
      <c r="I186" s="152" t="s">
        <v>2705</v>
      </c>
      <c r="J186" s="152" t="s">
        <v>2675</v>
      </c>
      <c r="K186" s="152" t="s">
        <v>2398</v>
      </c>
      <c r="L186" s="152" t="s">
        <v>2398</v>
      </c>
      <c r="M186" s="152" t="s">
        <v>2398</v>
      </c>
      <c r="N186" s="152" t="s">
        <v>2398</v>
      </c>
      <c r="O186" s="152" t="s">
        <v>2705</v>
      </c>
      <c r="P186" s="152" t="s">
        <v>2398</v>
      </c>
      <c r="Q186" s="152" t="s">
        <v>2398</v>
      </c>
      <c r="R186" s="152" t="s">
        <v>2398</v>
      </c>
      <c r="S186" s="152" t="s">
        <v>2397</v>
      </c>
      <c r="T186" s="152" t="s">
        <v>2398</v>
      </c>
      <c r="U186" s="152" t="s">
        <v>2705</v>
      </c>
    </row>
    <row r="187" spans="1:21" s="142" customFormat="1" ht="12.75" customHeight="1" x14ac:dyDescent="0.2">
      <c r="A187" s="151" t="s">
        <v>7410</v>
      </c>
      <c r="B187" s="152" t="s">
        <v>2705</v>
      </c>
      <c r="C187" s="152" t="s">
        <v>2398</v>
      </c>
      <c r="D187" s="152" t="s">
        <v>1435</v>
      </c>
      <c r="E187" s="152" t="s">
        <v>2705</v>
      </c>
      <c r="F187" s="152" t="s">
        <v>2705</v>
      </c>
      <c r="G187" s="152" t="s">
        <v>2398</v>
      </c>
      <c r="H187" s="152" t="s">
        <v>2705</v>
      </c>
      <c r="I187" s="152" t="s">
        <v>2705</v>
      </c>
      <c r="J187" s="152" t="s">
        <v>2705</v>
      </c>
      <c r="K187" s="152" t="s">
        <v>2398</v>
      </c>
      <c r="L187" s="152" t="s">
        <v>2398</v>
      </c>
      <c r="M187" s="152" t="s">
        <v>2705</v>
      </c>
      <c r="N187" s="152" t="s">
        <v>2675</v>
      </c>
      <c r="O187" s="152" t="s">
        <v>2705</v>
      </c>
      <c r="P187" s="152" t="s">
        <v>2705</v>
      </c>
      <c r="Q187" s="152" t="s">
        <v>2705</v>
      </c>
      <c r="R187" s="152" t="s">
        <v>2705</v>
      </c>
      <c r="S187" s="152" t="s">
        <v>2705</v>
      </c>
      <c r="T187" s="152" t="s">
        <v>2398</v>
      </c>
      <c r="U187" s="152" t="s">
        <v>2705</v>
      </c>
    </row>
    <row r="188" spans="1:21" s="142" customFormat="1" ht="12.75" x14ac:dyDescent="0.2">
      <c r="A188" s="151"/>
      <c r="B188" s="152" t="s">
        <v>2398</v>
      </c>
      <c r="C188" s="152" t="s">
        <v>2705</v>
      </c>
      <c r="D188" s="152" t="s">
        <v>2398</v>
      </c>
      <c r="E188" s="152" t="s">
        <v>2398</v>
      </c>
      <c r="F188" s="152" t="s">
        <v>2705</v>
      </c>
      <c r="G188" s="152" t="s">
        <v>2705</v>
      </c>
      <c r="H188" s="152" t="s">
        <v>2705</v>
      </c>
      <c r="I188" s="152" t="s">
        <v>2705</v>
      </c>
      <c r="J188" s="152" t="s">
        <v>2705</v>
      </c>
      <c r="K188" s="152" t="s">
        <v>2705</v>
      </c>
      <c r="L188" s="152" t="s">
        <v>2705</v>
      </c>
      <c r="M188" s="152" t="s">
        <v>2705</v>
      </c>
      <c r="N188" s="152" t="s">
        <v>2705</v>
      </c>
      <c r="O188" s="152" t="s">
        <v>2705</v>
      </c>
      <c r="P188" s="152" t="s">
        <v>2705</v>
      </c>
      <c r="Q188" s="152" t="s">
        <v>1435</v>
      </c>
      <c r="R188" s="152" t="s">
        <v>2705</v>
      </c>
      <c r="S188" s="152" t="s">
        <v>2705</v>
      </c>
      <c r="T188" s="152" t="s">
        <v>2705</v>
      </c>
      <c r="U188" s="152" t="s">
        <v>2705</v>
      </c>
    </row>
    <row r="189" spans="1:21" s="142" customFormat="1" ht="12.75" customHeight="1" x14ac:dyDescent="0.2">
      <c r="A189" s="151" t="s">
        <v>7411</v>
      </c>
      <c r="B189" s="152" t="s">
        <v>2705</v>
      </c>
      <c r="C189" s="152" t="s">
        <v>2705</v>
      </c>
      <c r="D189" s="152" t="s">
        <v>2705</v>
      </c>
      <c r="E189" s="152" t="s">
        <v>2705</v>
      </c>
      <c r="F189" s="152" t="s">
        <v>2398</v>
      </c>
      <c r="G189" s="152" t="s">
        <v>2705</v>
      </c>
      <c r="H189" s="152" t="s">
        <v>2398</v>
      </c>
      <c r="I189" s="152" t="s">
        <v>2398</v>
      </c>
      <c r="J189" s="152" t="s">
        <v>2705</v>
      </c>
      <c r="K189" s="152" t="s">
        <v>2705</v>
      </c>
      <c r="L189" s="152" t="s">
        <v>2705</v>
      </c>
      <c r="M189" s="152" t="s">
        <v>2398</v>
      </c>
      <c r="N189" s="152" t="s">
        <v>2705</v>
      </c>
      <c r="O189" s="152" t="s">
        <v>2705</v>
      </c>
      <c r="P189" s="152" t="s">
        <v>2675</v>
      </c>
      <c r="Q189" s="152" t="s">
        <v>2675</v>
      </c>
      <c r="R189" s="152" t="s">
        <v>2705</v>
      </c>
      <c r="S189" s="152" t="s">
        <v>2398</v>
      </c>
      <c r="T189" s="152" t="s">
        <v>2705</v>
      </c>
      <c r="U189" s="152" t="s">
        <v>2398</v>
      </c>
    </row>
    <row r="190" spans="1:21" s="142" customFormat="1" ht="12.75" x14ac:dyDescent="0.2">
      <c r="A190" s="151"/>
      <c r="B190" s="152" t="s">
        <v>2705</v>
      </c>
      <c r="C190" s="152" t="s">
        <v>2675</v>
      </c>
      <c r="D190" s="152" t="s">
        <v>2705</v>
      </c>
      <c r="E190" s="152" t="s">
        <v>2705</v>
      </c>
      <c r="F190" s="152" t="s">
        <v>2675</v>
      </c>
      <c r="G190" s="152" t="s">
        <v>2398</v>
      </c>
      <c r="H190" s="152" t="s">
        <v>2705</v>
      </c>
      <c r="I190" s="152" t="s">
        <v>2705</v>
      </c>
      <c r="J190" s="152" t="s">
        <v>2705</v>
      </c>
      <c r="K190" s="152" t="s">
        <v>1435</v>
      </c>
      <c r="L190" s="152" t="s">
        <v>2705</v>
      </c>
      <c r="M190" s="152" t="s">
        <v>2705</v>
      </c>
      <c r="N190" s="152" t="s">
        <v>2398</v>
      </c>
      <c r="O190" s="152" t="s">
        <v>2705</v>
      </c>
      <c r="P190" s="152" t="s">
        <v>2398</v>
      </c>
      <c r="Q190" s="152" t="s">
        <v>2705</v>
      </c>
      <c r="R190" s="152" t="s">
        <v>2398</v>
      </c>
      <c r="S190" s="152" t="s">
        <v>2398</v>
      </c>
      <c r="T190" s="152" t="s">
        <v>2397</v>
      </c>
      <c r="U190" s="152" t="s">
        <v>2398</v>
      </c>
    </row>
    <row r="191" spans="1:21" s="142" customFormat="1" ht="12.75" customHeight="1" x14ac:dyDescent="0.2">
      <c r="A191" s="151" t="s">
        <v>7412</v>
      </c>
      <c r="B191" s="152" t="s">
        <v>1435</v>
      </c>
      <c r="C191" s="152" t="s">
        <v>2705</v>
      </c>
      <c r="D191" s="152" t="s">
        <v>2705</v>
      </c>
      <c r="E191" s="152" t="s">
        <v>2398</v>
      </c>
      <c r="F191" s="152" t="s">
        <v>2705</v>
      </c>
      <c r="G191" s="152" t="s">
        <v>2398</v>
      </c>
      <c r="H191" s="152" t="s">
        <v>2675</v>
      </c>
      <c r="I191" s="152" t="s">
        <v>2398</v>
      </c>
      <c r="J191" s="152" t="s">
        <v>2398</v>
      </c>
      <c r="K191" s="152" t="s">
        <v>2705</v>
      </c>
      <c r="L191" s="152" t="s">
        <v>2675</v>
      </c>
      <c r="M191" s="152" t="s">
        <v>2705</v>
      </c>
      <c r="N191" s="152" t="s">
        <v>2705</v>
      </c>
      <c r="O191" s="152" t="s">
        <v>2705</v>
      </c>
      <c r="P191" s="152" t="s">
        <v>2397</v>
      </c>
      <c r="Q191" s="152" t="s">
        <v>2675</v>
      </c>
      <c r="R191" s="152" t="s">
        <v>2705</v>
      </c>
      <c r="S191" s="152" t="s">
        <v>2705</v>
      </c>
      <c r="T191" s="152" t="s">
        <v>2705</v>
      </c>
      <c r="U191" s="152" t="s">
        <v>2705</v>
      </c>
    </row>
    <row r="192" spans="1:21" s="142" customFormat="1" ht="12.75" x14ac:dyDescent="0.2">
      <c r="A192" s="151"/>
      <c r="B192" s="152" t="s">
        <v>2397</v>
      </c>
      <c r="C192" s="152" t="s">
        <v>2705</v>
      </c>
      <c r="D192" s="152" t="s">
        <v>1435</v>
      </c>
      <c r="E192" s="152" t="s">
        <v>2675</v>
      </c>
      <c r="F192" s="152" t="s">
        <v>2675</v>
      </c>
      <c r="G192" s="152" t="s">
        <v>2397</v>
      </c>
      <c r="H192" s="152" t="s">
        <v>2705</v>
      </c>
      <c r="I192" s="152" t="s">
        <v>2705</v>
      </c>
      <c r="J192" s="152" t="s">
        <v>2705</v>
      </c>
      <c r="K192" s="152" t="s">
        <v>2705</v>
      </c>
      <c r="L192" s="152" t="s">
        <v>2398</v>
      </c>
      <c r="M192" s="152" t="s">
        <v>2705</v>
      </c>
      <c r="N192" s="152" t="s">
        <v>2705</v>
      </c>
      <c r="O192" s="152" t="s">
        <v>2705</v>
      </c>
      <c r="P192" s="152" t="s">
        <v>2675</v>
      </c>
      <c r="Q192" s="152" t="s">
        <v>1435</v>
      </c>
      <c r="R192" s="152" t="s">
        <v>2705</v>
      </c>
      <c r="S192" s="152" t="s">
        <v>2705</v>
      </c>
      <c r="T192" s="152" t="s">
        <v>2705</v>
      </c>
      <c r="U192" s="152" t="s">
        <v>2705</v>
      </c>
    </row>
    <row r="193" spans="1:21" s="142" customFormat="1" ht="12.75" customHeight="1" x14ac:dyDescent="0.2">
      <c r="A193" s="151" t="s">
        <v>7413</v>
      </c>
      <c r="B193" s="152" t="s">
        <v>2705</v>
      </c>
      <c r="C193" s="152" t="s">
        <v>1435</v>
      </c>
      <c r="D193" s="152" t="s">
        <v>2675</v>
      </c>
      <c r="E193" s="152" t="s">
        <v>2398</v>
      </c>
      <c r="F193" s="152" t="s">
        <v>1435</v>
      </c>
      <c r="G193" s="152" t="s">
        <v>2705</v>
      </c>
      <c r="H193" s="152" t="s">
        <v>2705</v>
      </c>
      <c r="I193" s="152" t="s">
        <v>2675</v>
      </c>
      <c r="J193" s="152" t="s">
        <v>2398</v>
      </c>
      <c r="K193" s="152" t="s">
        <v>2705</v>
      </c>
      <c r="L193" s="152" t="s">
        <v>2398</v>
      </c>
      <c r="M193" s="152" t="s">
        <v>1435</v>
      </c>
      <c r="N193" s="152" t="s">
        <v>2705</v>
      </c>
      <c r="O193" s="152" t="s">
        <v>2398</v>
      </c>
      <c r="P193" s="152" t="s">
        <v>2675</v>
      </c>
      <c r="Q193" s="152" t="s">
        <v>1435</v>
      </c>
      <c r="R193" s="152" t="s">
        <v>2705</v>
      </c>
      <c r="S193" s="152" t="s">
        <v>2675</v>
      </c>
      <c r="T193" s="152" t="s">
        <v>2705</v>
      </c>
      <c r="U193" s="152" t="s">
        <v>2705</v>
      </c>
    </row>
    <row r="194" spans="1:21" s="142" customFormat="1" ht="12.75" x14ac:dyDescent="0.2">
      <c r="A194" s="151"/>
      <c r="B194" s="152" t="s">
        <v>2398</v>
      </c>
      <c r="C194" s="152" t="s">
        <v>1435</v>
      </c>
      <c r="D194" s="152" t="s">
        <v>2705</v>
      </c>
      <c r="E194" s="152" t="s">
        <v>2398</v>
      </c>
      <c r="F194" s="152" t="s">
        <v>2705</v>
      </c>
      <c r="G194" s="152" t="s">
        <v>2675</v>
      </c>
      <c r="H194" s="152" t="s">
        <v>2398</v>
      </c>
      <c r="I194" s="152" t="s">
        <v>2705</v>
      </c>
      <c r="J194" s="152" t="s">
        <v>2398</v>
      </c>
      <c r="K194" s="152" t="s">
        <v>2398</v>
      </c>
      <c r="L194" s="152" t="s">
        <v>2705</v>
      </c>
      <c r="M194" s="152" t="s">
        <v>2398</v>
      </c>
      <c r="N194" s="152" t="s">
        <v>2398</v>
      </c>
      <c r="O194" s="152" t="s">
        <v>2705</v>
      </c>
      <c r="P194" s="152" t="s">
        <v>2398</v>
      </c>
      <c r="Q194" s="152" t="s">
        <v>2705</v>
      </c>
      <c r="R194" s="152" t="s">
        <v>2398</v>
      </c>
      <c r="S194" s="152" t="s">
        <v>2705</v>
      </c>
      <c r="T194" s="152" t="s">
        <v>2705</v>
      </c>
      <c r="U194" s="152" t="s">
        <v>2398</v>
      </c>
    </row>
    <row r="195" spans="1:21" s="142" customFormat="1" ht="12.75" customHeight="1" x14ac:dyDescent="0.2">
      <c r="A195" s="151" t="s">
        <v>7414</v>
      </c>
      <c r="B195" s="152" t="s">
        <v>2705</v>
      </c>
      <c r="C195" s="152" t="s">
        <v>2398</v>
      </c>
      <c r="D195" s="152" t="s">
        <v>2705</v>
      </c>
      <c r="E195" s="152" t="s">
        <v>2398</v>
      </c>
      <c r="F195" s="152" t="s">
        <v>2705</v>
      </c>
      <c r="G195" s="152" t="s">
        <v>2705</v>
      </c>
      <c r="H195" s="152" t="s">
        <v>2705</v>
      </c>
      <c r="I195" s="152" t="s">
        <v>2398</v>
      </c>
      <c r="J195" s="152" t="s">
        <v>2705</v>
      </c>
      <c r="K195" s="152" t="s">
        <v>2398</v>
      </c>
      <c r="L195" s="152" t="s">
        <v>2705</v>
      </c>
      <c r="M195" s="152" t="s">
        <v>2705</v>
      </c>
      <c r="N195" s="152" t="s">
        <v>2705</v>
      </c>
      <c r="O195" s="152" t="s">
        <v>2398</v>
      </c>
      <c r="P195" s="152" t="s">
        <v>2675</v>
      </c>
      <c r="Q195" s="152" t="s">
        <v>1435</v>
      </c>
      <c r="R195" s="152" t="s">
        <v>2398</v>
      </c>
      <c r="S195" s="152" t="s">
        <v>2398</v>
      </c>
      <c r="T195" s="152" t="s">
        <v>2705</v>
      </c>
      <c r="U195" s="152" t="s">
        <v>2398</v>
      </c>
    </row>
    <row r="196" spans="1:21" s="142" customFormat="1" ht="12.75" x14ac:dyDescent="0.2">
      <c r="A196" s="151"/>
      <c r="B196" s="152" t="s">
        <v>2397</v>
      </c>
      <c r="C196" s="152" t="s">
        <v>2397</v>
      </c>
      <c r="D196" s="152" t="s">
        <v>2398</v>
      </c>
      <c r="E196" s="152" t="s">
        <v>1435</v>
      </c>
      <c r="F196" s="152" t="s">
        <v>2705</v>
      </c>
      <c r="G196" s="152" t="s">
        <v>2398</v>
      </c>
      <c r="H196" s="152" t="s">
        <v>2675</v>
      </c>
      <c r="I196" s="152" t="s">
        <v>2705</v>
      </c>
      <c r="J196" s="152" t="s">
        <v>2675</v>
      </c>
      <c r="K196" s="152" t="s">
        <v>2675</v>
      </c>
      <c r="L196" s="152" t="s">
        <v>2705</v>
      </c>
      <c r="M196" s="152" t="s">
        <v>2705</v>
      </c>
      <c r="N196" s="152" t="s">
        <v>2398</v>
      </c>
      <c r="O196" s="152" t="s">
        <v>2705</v>
      </c>
      <c r="P196" s="152" t="s">
        <v>2705</v>
      </c>
      <c r="Q196" s="152" t="s">
        <v>2705</v>
      </c>
      <c r="R196" s="152" t="s">
        <v>2705</v>
      </c>
      <c r="S196" s="152" t="s">
        <v>2398</v>
      </c>
      <c r="T196" s="152" t="s">
        <v>2398</v>
      </c>
      <c r="U196" s="152" t="s">
        <v>2705</v>
      </c>
    </row>
    <row r="197" spans="1:21" s="142" customFormat="1" ht="12.75" customHeight="1" x14ac:dyDescent="0.2">
      <c r="A197" s="151" t="s">
        <v>7415</v>
      </c>
      <c r="B197" s="152" t="s">
        <v>2398</v>
      </c>
      <c r="C197" s="152" t="s">
        <v>2675</v>
      </c>
      <c r="D197" s="152" t="s">
        <v>2398</v>
      </c>
      <c r="E197" s="152" t="s">
        <v>2705</v>
      </c>
      <c r="F197" s="152" t="s">
        <v>2705</v>
      </c>
      <c r="G197" s="152" t="s">
        <v>2705</v>
      </c>
      <c r="H197" s="152" t="s">
        <v>1435</v>
      </c>
      <c r="I197" s="152" t="s">
        <v>2705</v>
      </c>
      <c r="J197" s="152" t="s">
        <v>2705</v>
      </c>
      <c r="K197" s="152" t="s">
        <v>2398</v>
      </c>
      <c r="L197" s="152" t="s">
        <v>2398</v>
      </c>
      <c r="M197" s="152" t="s">
        <v>2705</v>
      </c>
      <c r="N197" s="152" t="s">
        <v>2705</v>
      </c>
      <c r="O197" s="152" t="s">
        <v>2398</v>
      </c>
      <c r="P197" s="152" t="s">
        <v>2397</v>
      </c>
      <c r="Q197" s="152" t="s">
        <v>1435</v>
      </c>
      <c r="R197" s="152" t="s">
        <v>2705</v>
      </c>
      <c r="S197" s="152" t="s">
        <v>2705</v>
      </c>
      <c r="T197" s="152" t="s">
        <v>2398</v>
      </c>
      <c r="U197" s="152" t="s">
        <v>2398</v>
      </c>
    </row>
    <row r="198" spans="1:21" s="142" customFormat="1" ht="12.75" x14ac:dyDescent="0.2">
      <c r="A198" s="151"/>
      <c r="B198" s="152" t="s">
        <v>2705</v>
      </c>
      <c r="C198" s="152" t="s">
        <v>2675</v>
      </c>
      <c r="D198" s="152" t="s">
        <v>2398</v>
      </c>
      <c r="E198" s="152" t="s">
        <v>2705</v>
      </c>
      <c r="F198" s="152" t="s">
        <v>2398</v>
      </c>
      <c r="G198" s="152" t="s">
        <v>2398</v>
      </c>
      <c r="H198" s="152" t="s">
        <v>2705</v>
      </c>
      <c r="I198" s="152" t="s">
        <v>2398</v>
      </c>
      <c r="J198" s="152" t="s">
        <v>2705</v>
      </c>
      <c r="K198" s="152" t="s">
        <v>2705</v>
      </c>
      <c r="L198" s="152" t="s">
        <v>2398</v>
      </c>
      <c r="M198" s="152" t="s">
        <v>2705</v>
      </c>
      <c r="N198" s="152" t="s">
        <v>2705</v>
      </c>
      <c r="O198" s="152" t="s">
        <v>2705</v>
      </c>
      <c r="P198" s="152" t="s">
        <v>2398</v>
      </c>
      <c r="Q198" s="152" t="s">
        <v>2705</v>
      </c>
      <c r="R198" s="152" t="s">
        <v>2398</v>
      </c>
      <c r="S198" s="152" t="s">
        <v>2397</v>
      </c>
      <c r="T198" s="152" t="s">
        <v>2705</v>
      </c>
      <c r="U198" s="152" t="s">
        <v>2398</v>
      </c>
    </row>
    <row r="199" spans="1:21" s="142" customFormat="1" ht="12.75" customHeight="1" x14ac:dyDescent="0.2">
      <c r="A199" s="151" t="s">
        <v>7416</v>
      </c>
      <c r="B199" s="152" t="s">
        <v>2398</v>
      </c>
      <c r="C199" s="152" t="s">
        <v>2398</v>
      </c>
      <c r="D199" s="152" t="s">
        <v>2705</v>
      </c>
      <c r="E199" s="152" t="s">
        <v>2398</v>
      </c>
      <c r="F199" s="152" t="s">
        <v>2398</v>
      </c>
      <c r="G199" s="152" t="s">
        <v>2398</v>
      </c>
      <c r="H199" s="152" t="s">
        <v>2705</v>
      </c>
      <c r="I199" s="152" t="s">
        <v>2398</v>
      </c>
      <c r="J199" s="152" t="s">
        <v>2705</v>
      </c>
      <c r="K199" s="152" t="s">
        <v>2398</v>
      </c>
      <c r="L199" s="152" t="s">
        <v>2675</v>
      </c>
      <c r="M199" s="152" t="s">
        <v>2675</v>
      </c>
      <c r="N199" s="152" t="s">
        <v>2705</v>
      </c>
      <c r="O199" s="152" t="s">
        <v>1435</v>
      </c>
      <c r="P199" s="152" t="s">
        <v>2705</v>
      </c>
      <c r="Q199" s="152" t="s">
        <v>2705</v>
      </c>
      <c r="R199" s="152" t="s">
        <v>2705</v>
      </c>
      <c r="S199" s="152" t="s">
        <v>2705</v>
      </c>
      <c r="T199" s="152" t="s">
        <v>2398</v>
      </c>
      <c r="U199" s="152" t="s">
        <v>2398</v>
      </c>
    </row>
    <row r="200" spans="1:21" s="142" customFormat="1" ht="12.75" x14ac:dyDescent="0.2">
      <c r="A200" s="151"/>
      <c r="B200" s="152" t="s">
        <v>2705</v>
      </c>
      <c r="C200" s="152" t="s">
        <v>2675</v>
      </c>
      <c r="D200" s="152" t="s">
        <v>1435</v>
      </c>
      <c r="E200" s="152" t="s">
        <v>2705</v>
      </c>
      <c r="F200" s="152" t="s">
        <v>2398</v>
      </c>
      <c r="G200" s="152" t="s">
        <v>2705</v>
      </c>
      <c r="H200" s="152" t="s">
        <v>2675</v>
      </c>
      <c r="I200" s="152" t="s">
        <v>2398</v>
      </c>
      <c r="J200" s="152" t="s">
        <v>2397</v>
      </c>
      <c r="K200" s="152" t="s">
        <v>2397</v>
      </c>
      <c r="L200" s="152" t="s">
        <v>2397</v>
      </c>
      <c r="M200" s="152" t="s">
        <v>2705</v>
      </c>
      <c r="N200" s="152" t="s">
        <v>2705</v>
      </c>
      <c r="O200" s="152" t="s">
        <v>1435</v>
      </c>
      <c r="P200" s="152" t="s">
        <v>2675</v>
      </c>
      <c r="Q200" s="152" t="s">
        <v>2705</v>
      </c>
      <c r="R200" s="152" t="s">
        <v>2398</v>
      </c>
      <c r="S200" s="152" t="s">
        <v>2705</v>
      </c>
      <c r="T200" s="152" t="s">
        <v>2675</v>
      </c>
      <c r="U200" s="152" t="s">
        <v>2675</v>
      </c>
    </row>
    <row r="201" spans="1:21" s="142" customFormat="1" ht="12.75" customHeight="1" x14ac:dyDescent="0.2">
      <c r="A201" s="151" t="s">
        <v>7417</v>
      </c>
      <c r="B201" s="152" t="s">
        <v>2398</v>
      </c>
      <c r="C201" s="152" t="s">
        <v>2675</v>
      </c>
      <c r="D201" s="152" t="s">
        <v>2705</v>
      </c>
      <c r="E201" s="152" t="s">
        <v>2705</v>
      </c>
      <c r="F201" s="152" t="s">
        <v>2398</v>
      </c>
      <c r="G201" s="152" t="s">
        <v>2705</v>
      </c>
      <c r="H201" s="152" t="s">
        <v>1435</v>
      </c>
      <c r="I201" s="152" t="s">
        <v>2397</v>
      </c>
      <c r="J201" s="152" t="s">
        <v>2675</v>
      </c>
      <c r="K201" s="152" t="s">
        <v>2705</v>
      </c>
      <c r="L201" s="152" t="s">
        <v>2398</v>
      </c>
      <c r="M201" s="152" t="s">
        <v>1435</v>
      </c>
      <c r="N201" s="152" t="s">
        <v>2705</v>
      </c>
      <c r="O201" s="152" t="s">
        <v>2705</v>
      </c>
      <c r="P201" s="152" t="s">
        <v>2705</v>
      </c>
      <c r="Q201" s="152" t="s">
        <v>2705</v>
      </c>
      <c r="R201" s="152" t="s">
        <v>1435</v>
      </c>
      <c r="S201" s="152" t="s">
        <v>2705</v>
      </c>
      <c r="T201" s="152" t="s">
        <v>2397</v>
      </c>
      <c r="U201" s="152" t="s">
        <v>2705</v>
      </c>
    </row>
    <row r="202" spans="1:21" s="142" customFormat="1" ht="12.75" x14ac:dyDescent="0.2">
      <c r="A202" s="151"/>
      <c r="B202" s="152" t="s">
        <v>2675</v>
      </c>
      <c r="C202" s="152" t="s">
        <v>2398</v>
      </c>
      <c r="D202" s="152" t="s">
        <v>2398</v>
      </c>
      <c r="E202" s="152" t="s">
        <v>2705</v>
      </c>
      <c r="F202" s="152" t="s">
        <v>2705</v>
      </c>
      <c r="G202" s="152" t="s">
        <v>2705</v>
      </c>
      <c r="H202" s="152" t="s">
        <v>2398</v>
      </c>
      <c r="I202" s="152" t="s">
        <v>2705</v>
      </c>
      <c r="J202" s="152" t="s">
        <v>2398</v>
      </c>
      <c r="K202" s="152" t="s">
        <v>2398</v>
      </c>
      <c r="L202" s="152" t="s">
        <v>2398</v>
      </c>
      <c r="M202" s="152" t="s">
        <v>2705</v>
      </c>
      <c r="N202" s="152" t="s">
        <v>2705</v>
      </c>
      <c r="O202" s="152" t="s">
        <v>2398</v>
      </c>
      <c r="P202" s="152" t="s">
        <v>2398</v>
      </c>
      <c r="Q202" s="152" t="s">
        <v>2398</v>
      </c>
      <c r="R202" s="152" t="s">
        <v>2398</v>
      </c>
      <c r="S202" s="152" t="s">
        <v>2705</v>
      </c>
      <c r="T202" s="152" t="s">
        <v>2398</v>
      </c>
      <c r="U202" s="152" t="s">
        <v>2398</v>
      </c>
    </row>
    <row r="203" spans="1:21" s="142" customFormat="1" ht="12.75" customHeight="1" x14ac:dyDescent="0.2">
      <c r="A203" s="151" t="s">
        <v>7418</v>
      </c>
      <c r="B203" s="152" t="s">
        <v>2398</v>
      </c>
      <c r="C203" s="152" t="s">
        <v>2398</v>
      </c>
      <c r="D203" s="152" t="s">
        <v>2675</v>
      </c>
      <c r="E203" s="152" t="s">
        <v>2397</v>
      </c>
      <c r="F203" s="152" t="s">
        <v>2705</v>
      </c>
      <c r="G203" s="152" t="s">
        <v>2705</v>
      </c>
      <c r="H203" s="152" t="s">
        <v>2398</v>
      </c>
      <c r="I203" s="152" t="s">
        <v>2705</v>
      </c>
      <c r="J203" s="152" t="s">
        <v>2705</v>
      </c>
      <c r="K203" s="152" t="s">
        <v>2397</v>
      </c>
      <c r="L203" s="152" t="s">
        <v>2705</v>
      </c>
      <c r="M203" s="152" t="s">
        <v>1435</v>
      </c>
      <c r="N203" s="152" t="s">
        <v>2397</v>
      </c>
      <c r="O203" s="152" t="s">
        <v>2705</v>
      </c>
      <c r="P203" s="152" t="s">
        <v>2398</v>
      </c>
      <c r="Q203" s="152" t="s">
        <v>1435</v>
      </c>
      <c r="R203" s="152" t="s">
        <v>2398</v>
      </c>
      <c r="S203" s="152" t="s">
        <v>2398</v>
      </c>
      <c r="T203" s="152" t="s">
        <v>2705</v>
      </c>
      <c r="U203" s="152" t="s">
        <v>2398</v>
      </c>
    </row>
    <row r="204" spans="1:21" s="142" customFormat="1" ht="12.75" x14ac:dyDescent="0.2">
      <c r="A204" s="151"/>
      <c r="B204" s="152" t="s">
        <v>2705</v>
      </c>
      <c r="C204" s="152" t="s">
        <v>2705</v>
      </c>
      <c r="D204" s="152" t="s">
        <v>2705</v>
      </c>
      <c r="E204" s="152" t="s">
        <v>2398</v>
      </c>
      <c r="F204" s="152" t="s">
        <v>2705</v>
      </c>
      <c r="G204" s="152" t="s">
        <v>2398</v>
      </c>
      <c r="H204" s="152" t="s">
        <v>2398</v>
      </c>
      <c r="I204" s="152" t="s">
        <v>2705</v>
      </c>
      <c r="J204" s="152" t="s">
        <v>2705</v>
      </c>
      <c r="K204" s="152" t="s">
        <v>2705</v>
      </c>
      <c r="L204" s="152" t="s">
        <v>1435</v>
      </c>
      <c r="M204" s="152" t="s">
        <v>2675</v>
      </c>
      <c r="N204" s="152" t="s">
        <v>2675</v>
      </c>
      <c r="O204" s="152" t="s">
        <v>2705</v>
      </c>
      <c r="P204" s="152" t="s">
        <v>2705</v>
      </c>
      <c r="Q204" s="152" t="s">
        <v>2705</v>
      </c>
      <c r="R204" s="152" t="s">
        <v>2398</v>
      </c>
      <c r="S204" s="152" t="s">
        <v>2397</v>
      </c>
      <c r="T204" s="152" t="s">
        <v>2705</v>
      </c>
      <c r="U204" s="152" t="s">
        <v>2705</v>
      </c>
    </row>
    <row r="205" spans="1:21" s="142" customFormat="1" ht="12.75" customHeight="1" x14ac:dyDescent="0.2">
      <c r="A205" s="151" t="s">
        <v>7419</v>
      </c>
      <c r="B205" s="152" t="s">
        <v>2398</v>
      </c>
      <c r="C205" s="152" t="s">
        <v>2398</v>
      </c>
      <c r="D205" s="152" t="s">
        <v>2398</v>
      </c>
      <c r="E205" s="152" t="s">
        <v>2398</v>
      </c>
      <c r="F205" s="152" t="s">
        <v>2705</v>
      </c>
      <c r="G205" s="152" t="s">
        <v>2705</v>
      </c>
      <c r="H205" s="152" t="s">
        <v>2705</v>
      </c>
      <c r="I205" s="152" t="s">
        <v>2398</v>
      </c>
      <c r="J205" s="152" t="s">
        <v>2675</v>
      </c>
      <c r="K205" s="152" t="s">
        <v>2705</v>
      </c>
      <c r="L205" s="152" t="s">
        <v>2398</v>
      </c>
      <c r="M205" s="152" t="s">
        <v>2705</v>
      </c>
      <c r="N205" s="152" t="s">
        <v>2705</v>
      </c>
      <c r="O205" s="152" t="s">
        <v>2398</v>
      </c>
      <c r="P205" s="152" t="s">
        <v>2398</v>
      </c>
      <c r="Q205" s="152" t="s">
        <v>2705</v>
      </c>
      <c r="R205" s="152" t="s">
        <v>2705</v>
      </c>
      <c r="S205" s="152" t="s">
        <v>2705</v>
      </c>
      <c r="T205" s="152" t="s">
        <v>2398</v>
      </c>
      <c r="U205" s="152" t="s">
        <v>2705</v>
      </c>
    </row>
    <row r="206" spans="1:21" s="142" customFormat="1" ht="12.75" x14ac:dyDescent="0.2">
      <c r="A206" s="151"/>
      <c r="B206" s="152" t="s">
        <v>2705</v>
      </c>
      <c r="C206" s="152" t="s">
        <v>2675</v>
      </c>
      <c r="D206" s="152" t="s">
        <v>2398</v>
      </c>
      <c r="E206" s="152" t="s">
        <v>2398</v>
      </c>
      <c r="F206" s="152" t="s">
        <v>2705</v>
      </c>
      <c r="G206" s="152" t="s">
        <v>2705</v>
      </c>
      <c r="H206" s="152" t="s">
        <v>2398</v>
      </c>
      <c r="I206" s="152" t="s">
        <v>2705</v>
      </c>
      <c r="J206" s="152" t="s">
        <v>2705</v>
      </c>
      <c r="K206" s="152" t="s">
        <v>2705</v>
      </c>
      <c r="L206" s="152" t="s">
        <v>2705</v>
      </c>
      <c r="M206" s="152" t="s">
        <v>2398</v>
      </c>
      <c r="N206" s="152" t="s">
        <v>2705</v>
      </c>
      <c r="O206" s="152" t="s">
        <v>2705</v>
      </c>
      <c r="P206" s="152" t="s">
        <v>2675</v>
      </c>
      <c r="Q206" s="152" t="s">
        <v>2705</v>
      </c>
      <c r="R206" s="152" t="s">
        <v>2705</v>
      </c>
      <c r="S206" s="152" t="s">
        <v>2705</v>
      </c>
      <c r="T206" s="152" t="s">
        <v>2705</v>
      </c>
      <c r="U206" s="152" t="s">
        <v>2398</v>
      </c>
    </row>
    <row r="207" spans="1:21" s="142" customFormat="1" ht="12.75" customHeight="1" x14ac:dyDescent="0.2">
      <c r="A207" s="151" t="s">
        <v>7420</v>
      </c>
      <c r="B207" s="152" t="s">
        <v>2705</v>
      </c>
      <c r="C207" s="152" t="s">
        <v>2705</v>
      </c>
      <c r="D207" s="152" t="s">
        <v>2397</v>
      </c>
      <c r="E207" s="152" t="s">
        <v>2705</v>
      </c>
      <c r="F207" s="152" t="s">
        <v>2398</v>
      </c>
      <c r="G207" s="152" t="s">
        <v>2705</v>
      </c>
      <c r="H207" s="152" t="s">
        <v>2705</v>
      </c>
      <c r="I207" s="152" t="s">
        <v>2675</v>
      </c>
      <c r="J207" s="152" t="s">
        <v>2705</v>
      </c>
      <c r="K207" s="152" t="s">
        <v>2705</v>
      </c>
      <c r="L207" s="152" t="s">
        <v>2705</v>
      </c>
      <c r="M207" s="152" t="s">
        <v>2705</v>
      </c>
      <c r="N207" s="152" t="s">
        <v>2705</v>
      </c>
      <c r="O207" s="152" t="s">
        <v>2705</v>
      </c>
      <c r="P207" s="152" t="s">
        <v>2705</v>
      </c>
      <c r="Q207" s="152" t="s">
        <v>2705</v>
      </c>
      <c r="R207" s="152" t="s">
        <v>1435</v>
      </c>
      <c r="S207" s="152" t="s">
        <v>2705</v>
      </c>
      <c r="T207" s="152" t="s">
        <v>2705</v>
      </c>
      <c r="U207" s="152" t="s">
        <v>2705</v>
      </c>
    </row>
    <row r="208" spans="1:21" s="142" customFormat="1" ht="12.75" x14ac:dyDescent="0.2">
      <c r="A208" s="151"/>
      <c r="B208" s="152" t="s">
        <v>2675</v>
      </c>
      <c r="C208" s="152" t="s">
        <v>2675</v>
      </c>
      <c r="D208" s="152" t="s">
        <v>2705</v>
      </c>
      <c r="E208" s="152" t="s">
        <v>2398</v>
      </c>
      <c r="F208" s="152" t="s">
        <v>2705</v>
      </c>
      <c r="G208" s="152" t="s">
        <v>2705</v>
      </c>
      <c r="H208" s="152" t="s">
        <v>2397</v>
      </c>
      <c r="I208" s="152" t="s">
        <v>2705</v>
      </c>
      <c r="J208" s="152" t="s">
        <v>2398</v>
      </c>
      <c r="K208" s="152" t="s">
        <v>2398</v>
      </c>
      <c r="L208" s="152" t="s">
        <v>2675</v>
      </c>
      <c r="M208" s="152" t="s">
        <v>2705</v>
      </c>
      <c r="N208" s="152" t="s">
        <v>2398</v>
      </c>
      <c r="O208" s="152" t="s">
        <v>2398</v>
      </c>
      <c r="P208" s="152" t="s">
        <v>2675</v>
      </c>
      <c r="Q208" s="152" t="s">
        <v>2705</v>
      </c>
      <c r="R208" s="152" t="s">
        <v>2397</v>
      </c>
      <c r="S208" s="152" t="s">
        <v>2705</v>
      </c>
      <c r="T208" s="152" t="s">
        <v>2398</v>
      </c>
      <c r="U208" s="152" t="s">
        <v>2705</v>
      </c>
    </row>
    <row r="209" spans="1:21" s="142" customFormat="1" ht="12.75" customHeight="1" x14ac:dyDescent="0.2">
      <c r="A209" s="151" t="s">
        <v>7421</v>
      </c>
      <c r="B209" s="152" t="s">
        <v>2705</v>
      </c>
      <c r="C209" s="152" t="s">
        <v>2705</v>
      </c>
      <c r="D209" s="152" t="s">
        <v>2675</v>
      </c>
      <c r="E209" s="152" t="s">
        <v>2398</v>
      </c>
      <c r="F209" s="152" t="s">
        <v>2398</v>
      </c>
      <c r="G209" s="152" t="s">
        <v>2705</v>
      </c>
      <c r="H209" s="152" t="s">
        <v>2398</v>
      </c>
      <c r="I209" s="152" t="s">
        <v>2398</v>
      </c>
      <c r="J209" s="152" t="s">
        <v>2675</v>
      </c>
      <c r="K209" s="152" t="s">
        <v>2398</v>
      </c>
      <c r="L209" s="152" t="s">
        <v>2398</v>
      </c>
      <c r="M209" s="152" t="s">
        <v>2705</v>
      </c>
      <c r="N209" s="152" t="s">
        <v>2398</v>
      </c>
      <c r="O209" s="152" t="s">
        <v>2398</v>
      </c>
      <c r="P209" s="152" t="s">
        <v>2705</v>
      </c>
      <c r="Q209" s="152" t="s">
        <v>2675</v>
      </c>
      <c r="R209" s="152" t="s">
        <v>2705</v>
      </c>
      <c r="S209" s="152" t="s">
        <v>2398</v>
      </c>
      <c r="T209" s="152" t="s">
        <v>2398</v>
      </c>
      <c r="U209" s="152" t="s">
        <v>2398</v>
      </c>
    </row>
    <row r="210" spans="1:21" s="142" customFormat="1" ht="12.75" x14ac:dyDescent="0.2">
      <c r="A210" s="151"/>
      <c r="B210" s="152" t="s">
        <v>2398</v>
      </c>
      <c r="C210" s="152" t="s">
        <v>2397</v>
      </c>
      <c r="D210" s="152" t="s">
        <v>2398</v>
      </c>
      <c r="E210" s="152" t="s">
        <v>2705</v>
      </c>
      <c r="F210" s="152" t="s">
        <v>2398</v>
      </c>
      <c r="G210" s="152" t="s">
        <v>2398</v>
      </c>
      <c r="H210" s="152" t="s">
        <v>2705</v>
      </c>
      <c r="I210" s="152" t="s">
        <v>2705</v>
      </c>
      <c r="J210" s="152" t="s">
        <v>2705</v>
      </c>
      <c r="K210" s="152" t="s">
        <v>2705</v>
      </c>
      <c r="L210" s="152" t="s">
        <v>2398</v>
      </c>
      <c r="M210" s="152" t="s">
        <v>2705</v>
      </c>
      <c r="N210" s="152" t="s">
        <v>2705</v>
      </c>
      <c r="O210" s="152" t="s">
        <v>2705</v>
      </c>
      <c r="P210" s="152" t="s">
        <v>2705</v>
      </c>
      <c r="Q210" s="152" t="s">
        <v>2705</v>
      </c>
      <c r="R210" s="152" t="s">
        <v>2398</v>
      </c>
      <c r="S210" s="152" t="s">
        <v>2705</v>
      </c>
      <c r="T210" s="152" t="s">
        <v>2705</v>
      </c>
      <c r="U210" s="152" t="s">
        <v>2398</v>
      </c>
    </row>
    <row r="211" spans="1:21" s="142" customFormat="1" ht="12.75" customHeight="1" x14ac:dyDescent="0.2">
      <c r="A211" s="151" t="s">
        <v>7422</v>
      </c>
      <c r="B211" s="152" t="s">
        <v>2398</v>
      </c>
      <c r="C211" s="152" t="s">
        <v>2398</v>
      </c>
      <c r="D211" s="152" t="s">
        <v>2398</v>
      </c>
      <c r="E211" s="152" t="s">
        <v>2705</v>
      </c>
      <c r="F211" s="152" t="s">
        <v>2398</v>
      </c>
      <c r="G211" s="152" t="s">
        <v>1435</v>
      </c>
      <c r="H211" s="152" t="s">
        <v>2398</v>
      </c>
      <c r="I211" s="152" t="s">
        <v>2398</v>
      </c>
      <c r="J211" s="152" t="s">
        <v>2705</v>
      </c>
      <c r="K211" s="152" t="s">
        <v>2705</v>
      </c>
      <c r="L211" s="152" t="s">
        <v>2675</v>
      </c>
      <c r="M211" s="152" t="s">
        <v>2398</v>
      </c>
      <c r="N211" s="152" t="s">
        <v>2398</v>
      </c>
      <c r="O211" s="152" t="s">
        <v>1435</v>
      </c>
      <c r="P211" s="152" t="s">
        <v>2705</v>
      </c>
      <c r="Q211" s="152" t="s">
        <v>2705</v>
      </c>
      <c r="R211" s="152" t="s">
        <v>2705</v>
      </c>
      <c r="S211" s="152" t="s">
        <v>2705</v>
      </c>
      <c r="T211" s="152" t="s">
        <v>2705</v>
      </c>
      <c r="U211" s="152" t="s">
        <v>2398</v>
      </c>
    </row>
    <row r="212" spans="1:21" s="142" customFormat="1" ht="12.75" x14ac:dyDescent="0.2">
      <c r="A212" s="151"/>
      <c r="B212" s="152" t="s">
        <v>2398</v>
      </c>
      <c r="C212" s="152" t="s">
        <v>2397</v>
      </c>
      <c r="D212" s="152" t="s">
        <v>1435</v>
      </c>
      <c r="E212" s="152" t="s">
        <v>2705</v>
      </c>
      <c r="F212" s="152" t="s">
        <v>2398</v>
      </c>
      <c r="G212" s="152" t="s">
        <v>2705</v>
      </c>
      <c r="H212" s="152" t="s">
        <v>2705</v>
      </c>
      <c r="I212" s="152" t="s">
        <v>2705</v>
      </c>
      <c r="J212" s="152" t="s">
        <v>2397</v>
      </c>
      <c r="K212" s="152" t="s">
        <v>1435</v>
      </c>
      <c r="L212" s="152" t="s">
        <v>2398</v>
      </c>
      <c r="M212" s="152" t="s">
        <v>2705</v>
      </c>
      <c r="N212" s="152" t="s">
        <v>2398</v>
      </c>
      <c r="O212" s="152" t="s">
        <v>2397</v>
      </c>
      <c r="P212" s="152" t="s">
        <v>2398</v>
      </c>
      <c r="Q212" s="152" t="s">
        <v>2397</v>
      </c>
      <c r="R212" s="152" t="s">
        <v>1435</v>
      </c>
      <c r="S212" s="152" t="s">
        <v>2705</v>
      </c>
      <c r="T212" s="152" t="s">
        <v>2705</v>
      </c>
      <c r="U212" s="152" t="s">
        <v>2675</v>
      </c>
    </row>
    <row r="213" spans="1:21" s="142" customFormat="1" ht="12.75" customHeight="1" x14ac:dyDescent="0.2">
      <c r="A213" s="151" t="s">
        <v>7423</v>
      </c>
      <c r="B213" s="152" t="s">
        <v>2705</v>
      </c>
      <c r="C213" s="152" t="s">
        <v>2397</v>
      </c>
      <c r="D213" s="152" t="s">
        <v>2705</v>
      </c>
      <c r="E213" s="152" t="s">
        <v>1435</v>
      </c>
      <c r="F213" s="152" t="s">
        <v>2705</v>
      </c>
      <c r="G213" s="152" t="s">
        <v>2705</v>
      </c>
      <c r="H213" s="152" t="s">
        <v>2705</v>
      </c>
      <c r="I213" s="152" t="s">
        <v>2675</v>
      </c>
      <c r="J213" s="152" t="s">
        <v>2397</v>
      </c>
      <c r="K213" s="152" t="s">
        <v>1435</v>
      </c>
      <c r="L213" s="152" t="s">
        <v>2705</v>
      </c>
      <c r="M213" s="152" t="s">
        <v>2398</v>
      </c>
      <c r="N213" s="152" t="s">
        <v>2705</v>
      </c>
      <c r="O213" s="152" t="s">
        <v>2398</v>
      </c>
      <c r="P213" s="152" t="s">
        <v>2398</v>
      </c>
      <c r="Q213" s="152" t="s">
        <v>2398</v>
      </c>
      <c r="R213" s="152" t="s">
        <v>2675</v>
      </c>
      <c r="S213" s="152" t="s">
        <v>2398</v>
      </c>
      <c r="T213" s="152" t="s">
        <v>2705</v>
      </c>
      <c r="U213" s="152" t="s">
        <v>2398</v>
      </c>
    </row>
    <row r="214" spans="1:21" s="142" customFormat="1" ht="12.75" x14ac:dyDescent="0.2">
      <c r="A214" s="151"/>
      <c r="B214" s="152" t="s">
        <v>2705</v>
      </c>
      <c r="C214" s="152" t="s">
        <v>2398</v>
      </c>
      <c r="D214" s="152" t="s">
        <v>2398</v>
      </c>
      <c r="E214" s="152" t="s">
        <v>2398</v>
      </c>
      <c r="F214" s="152" t="s">
        <v>2398</v>
      </c>
      <c r="G214" s="152" t="s">
        <v>1435</v>
      </c>
      <c r="H214" s="152" t="s">
        <v>2398</v>
      </c>
      <c r="I214" s="152" t="s">
        <v>2705</v>
      </c>
      <c r="J214" s="152" t="s">
        <v>2398</v>
      </c>
      <c r="K214" s="152" t="s">
        <v>2705</v>
      </c>
      <c r="L214" s="152" t="s">
        <v>2705</v>
      </c>
      <c r="M214" s="152" t="s">
        <v>2398</v>
      </c>
      <c r="N214" s="152" t="s">
        <v>1435</v>
      </c>
      <c r="O214" s="152" t="s">
        <v>2705</v>
      </c>
      <c r="P214" s="152" t="s">
        <v>2705</v>
      </c>
      <c r="Q214" s="152" t="s">
        <v>2705</v>
      </c>
      <c r="R214" s="152" t="s">
        <v>2398</v>
      </c>
      <c r="S214" s="152" t="s">
        <v>2398</v>
      </c>
      <c r="T214" s="152" t="s">
        <v>2398</v>
      </c>
      <c r="U214" s="152" t="s">
        <v>2398</v>
      </c>
    </row>
    <row r="215" spans="1:21" s="142" customFormat="1" ht="12.75" customHeight="1" x14ac:dyDescent="0.2">
      <c r="A215" s="151" t="s">
        <v>7424</v>
      </c>
      <c r="B215" s="152" t="s">
        <v>2705</v>
      </c>
      <c r="C215" s="152" t="s">
        <v>2398</v>
      </c>
      <c r="D215" s="152" t="s">
        <v>2675</v>
      </c>
      <c r="E215" s="152" t="s">
        <v>2705</v>
      </c>
      <c r="F215" s="152" t="s">
        <v>1435</v>
      </c>
      <c r="G215" s="152" t="s">
        <v>2398</v>
      </c>
      <c r="H215" s="152" t="s">
        <v>2705</v>
      </c>
      <c r="I215" s="152" t="s">
        <v>2705</v>
      </c>
      <c r="J215" s="152" t="s">
        <v>2398</v>
      </c>
      <c r="K215" s="152" t="s">
        <v>2397</v>
      </c>
      <c r="L215" s="152" t="s">
        <v>2675</v>
      </c>
      <c r="M215" s="152" t="s">
        <v>2705</v>
      </c>
      <c r="N215" s="152" t="s">
        <v>2398</v>
      </c>
      <c r="O215" s="152" t="s">
        <v>2398</v>
      </c>
      <c r="P215" s="152" t="s">
        <v>2397</v>
      </c>
      <c r="Q215" s="152" t="s">
        <v>2705</v>
      </c>
      <c r="R215" s="152" t="s">
        <v>2705</v>
      </c>
      <c r="S215" s="152" t="s">
        <v>2705</v>
      </c>
      <c r="T215" s="152" t="s">
        <v>2398</v>
      </c>
      <c r="U215" s="152" t="s">
        <v>2398</v>
      </c>
    </row>
    <row r="216" spans="1:21" s="142" customFormat="1" ht="12.75" x14ac:dyDescent="0.2">
      <c r="A216" s="151"/>
      <c r="B216" s="152" t="s">
        <v>1435</v>
      </c>
      <c r="C216" s="152" t="s">
        <v>2397</v>
      </c>
      <c r="D216" s="152" t="s">
        <v>2705</v>
      </c>
      <c r="E216" s="152" t="s">
        <v>2705</v>
      </c>
      <c r="F216" s="152" t="s">
        <v>2398</v>
      </c>
      <c r="G216" s="152" t="s">
        <v>2398</v>
      </c>
      <c r="H216" s="152" t="s">
        <v>2705</v>
      </c>
      <c r="I216" s="152" t="s">
        <v>2675</v>
      </c>
      <c r="J216" s="152" t="s">
        <v>2397</v>
      </c>
      <c r="K216" s="152" t="s">
        <v>2705</v>
      </c>
      <c r="L216" s="152" t="s">
        <v>2705</v>
      </c>
      <c r="M216" s="152" t="s">
        <v>2705</v>
      </c>
      <c r="N216" s="152" t="s">
        <v>2705</v>
      </c>
      <c r="O216" s="152" t="s">
        <v>2705</v>
      </c>
      <c r="P216" s="152" t="s">
        <v>1435</v>
      </c>
      <c r="Q216" s="152" t="s">
        <v>2705</v>
      </c>
      <c r="R216" s="152" t="s">
        <v>2398</v>
      </c>
      <c r="S216" s="152" t="s">
        <v>2705</v>
      </c>
      <c r="T216" s="152" t="s">
        <v>2675</v>
      </c>
      <c r="U216" s="152" t="s">
        <v>2398</v>
      </c>
    </row>
    <row r="217" spans="1:21" s="142" customFormat="1" ht="12.75" customHeight="1" x14ac:dyDescent="0.2">
      <c r="A217" s="151" t="s">
        <v>7425</v>
      </c>
      <c r="B217" s="152" t="s">
        <v>2705</v>
      </c>
      <c r="C217" s="152" t="s">
        <v>2398</v>
      </c>
      <c r="D217" s="152" t="s">
        <v>2398</v>
      </c>
      <c r="E217" s="152" t="s">
        <v>2397</v>
      </c>
      <c r="F217" s="152" t="s">
        <v>2705</v>
      </c>
      <c r="G217" s="152" t="s">
        <v>2705</v>
      </c>
      <c r="H217" s="152" t="s">
        <v>2705</v>
      </c>
      <c r="I217" s="152" t="s">
        <v>2398</v>
      </c>
      <c r="J217" s="152" t="s">
        <v>2705</v>
      </c>
      <c r="K217" s="152" t="s">
        <v>2398</v>
      </c>
      <c r="L217" s="152" t="s">
        <v>2705</v>
      </c>
      <c r="M217" s="152" t="s">
        <v>2705</v>
      </c>
      <c r="N217" s="152" t="s">
        <v>2705</v>
      </c>
      <c r="O217" s="152" t="s">
        <v>2398</v>
      </c>
      <c r="P217" s="152" t="s">
        <v>2675</v>
      </c>
      <c r="Q217" s="152" t="s">
        <v>2705</v>
      </c>
      <c r="R217" s="152" t="s">
        <v>2705</v>
      </c>
      <c r="S217" s="152" t="s">
        <v>2398</v>
      </c>
      <c r="T217" s="152" t="s">
        <v>2705</v>
      </c>
      <c r="U217" s="152" t="s">
        <v>2398</v>
      </c>
    </row>
    <row r="218" spans="1:21" s="142" customFormat="1" ht="12.75" x14ac:dyDescent="0.2">
      <c r="A218" s="151"/>
      <c r="B218" s="152" t="s">
        <v>2397</v>
      </c>
      <c r="C218" s="152" t="s">
        <v>2398</v>
      </c>
      <c r="D218" s="152" t="s">
        <v>2398</v>
      </c>
      <c r="E218" s="152" t="s">
        <v>2675</v>
      </c>
      <c r="F218" s="152" t="s">
        <v>2705</v>
      </c>
      <c r="G218" s="152" t="s">
        <v>2398</v>
      </c>
      <c r="H218" s="152" t="s">
        <v>2705</v>
      </c>
      <c r="I218" s="152" t="s">
        <v>2705</v>
      </c>
      <c r="J218" s="152" t="s">
        <v>2398</v>
      </c>
      <c r="K218" s="152" t="s">
        <v>2705</v>
      </c>
      <c r="L218" s="152" t="s">
        <v>2398</v>
      </c>
      <c r="M218" s="152" t="s">
        <v>2705</v>
      </c>
      <c r="N218" s="152" t="s">
        <v>2398</v>
      </c>
      <c r="O218" s="152" t="s">
        <v>2705</v>
      </c>
      <c r="P218" s="152" t="s">
        <v>2675</v>
      </c>
      <c r="Q218" s="152" t="s">
        <v>2705</v>
      </c>
      <c r="R218" s="152" t="s">
        <v>1435</v>
      </c>
      <c r="S218" s="152" t="s">
        <v>2705</v>
      </c>
      <c r="T218" s="152" t="s">
        <v>1435</v>
      </c>
      <c r="U218" s="152" t="s">
        <v>2675</v>
      </c>
    </row>
    <row r="219" spans="1:21" s="142" customFormat="1" ht="12.75" customHeight="1" x14ac:dyDescent="0.2">
      <c r="A219" s="151" t="s">
        <v>7426</v>
      </c>
      <c r="B219" s="152" t="s">
        <v>2397</v>
      </c>
      <c r="C219" s="152" t="s">
        <v>1435</v>
      </c>
      <c r="D219" s="152" t="s">
        <v>2398</v>
      </c>
      <c r="E219" s="152" t="s">
        <v>2705</v>
      </c>
      <c r="F219" s="152" t="s">
        <v>2705</v>
      </c>
      <c r="G219" s="152" t="s">
        <v>2705</v>
      </c>
      <c r="H219" s="152" t="s">
        <v>2705</v>
      </c>
      <c r="I219" s="152" t="s">
        <v>2397</v>
      </c>
      <c r="J219" s="152" t="s">
        <v>2675</v>
      </c>
      <c r="K219" s="152" t="s">
        <v>1435</v>
      </c>
      <c r="L219" s="152" t="s">
        <v>2398</v>
      </c>
      <c r="M219" s="152" t="s">
        <v>2398</v>
      </c>
      <c r="N219" s="152" t="s">
        <v>2705</v>
      </c>
      <c r="O219" s="152" t="s">
        <v>2705</v>
      </c>
      <c r="P219" s="152" t="s">
        <v>2705</v>
      </c>
      <c r="Q219" s="152" t="s">
        <v>2398</v>
      </c>
      <c r="R219" s="152" t="s">
        <v>2398</v>
      </c>
      <c r="S219" s="152" t="s">
        <v>2705</v>
      </c>
      <c r="T219" s="152" t="s">
        <v>2398</v>
      </c>
      <c r="U219" s="152" t="s">
        <v>2705</v>
      </c>
    </row>
    <row r="220" spans="1:21" s="142" customFormat="1" ht="12.75" x14ac:dyDescent="0.2">
      <c r="A220" s="151"/>
      <c r="B220" s="152" t="s">
        <v>2675</v>
      </c>
      <c r="C220" s="152" t="s">
        <v>2398</v>
      </c>
      <c r="D220" s="152" t="s">
        <v>2398</v>
      </c>
      <c r="E220" s="152" t="s">
        <v>2675</v>
      </c>
      <c r="F220" s="152" t="s">
        <v>2398</v>
      </c>
      <c r="G220" s="152" t="s">
        <v>2705</v>
      </c>
      <c r="H220" s="152" t="s">
        <v>2398</v>
      </c>
      <c r="I220" s="152" t="s">
        <v>2398</v>
      </c>
      <c r="J220" s="152" t="s">
        <v>2398</v>
      </c>
      <c r="K220" s="152" t="s">
        <v>2675</v>
      </c>
      <c r="L220" s="152" t="s">
        <v>2398</v>
      </c>
      <c r="M220" s="152" t="s">
        <v>2398</v>
      </c>
      <c r="N220" s="152" t="s">
        <v>2705</v>
      </c>
      <c r="O220" s="152" t="s">
        <v>2705</v>
      </c>
      <c r="P220" s="152" t="s">
        <v>2675</v>
      </c>
      <c r="Q220" s="152" t="s">
        <v>2398</v>
      </c>
      <c r="R220" s="152" t="s">
        <v>2398</v>
      </c>
      <c r="S220" s="152" t="s">
        <v>2705</v>
      </c>
      <c r="T220" s="152" t="s">
        <v>2705</v>
      </c>
      <c r="U220" s="152" t="s">
        <v>2398</v>
      </c>
    </row>
    <row r="221" spans="1:21" s="142" customFormat="1" ht="12.75" customHeight="1" x14ac:dyDescent="0.2">
      <c r="A221" s="151" t="s">
        <v>7427</v>
      </c>
      <c r="B221" s="152" t="s">
        <v>2398</v>
      </c>
      <c r="C221" s="152" t="s">
        <v>2705</v>
      </c>
      <c r="D221" s="152" t="s">
        <v>2398</v>
      </c>
      <c r="E221" s="152" t="s">
        <v>2705</v>
      </c>
      <c r="F221" s="152" t="s">
        <v>2398</v>
      </c>
      <c r="G221" s="152" t="s">
        <v>1435</v>
      </c>
      <c r="H221" s="152" t="s">
        <v>2705</v>
      </c>
      <c r="I221" s="152" t="s">
        <v>2705</v>
      </c>
      <c r="J221" s="152" t="s">
        <v>2675</v>
      </c>
      <c r="K221" s="152" t="s">
        <v>2705</v>
      </c>
      <c r="L221" s="152" t="s">
        <v>2705</v>
      </c>
      <c r="M221" s="152" t="s">
        <v>2398</v>
      </c>
      <c r="N221" s="152" t="s">
        <v>2705</v>
      </c>
      <c r="O221" s="152" t="s">
        <v>2398</v>
      </c>
      <c r="P221" s="152" t="s">
        <v>2398</v>
      </c>
      <c r="Q221" s="152" t="s">
        <v>2675</v>
      </c>
      <c r="R221" s="152" t="s">
        <v>2705</v>
      </c>
      <c r="S221" s="152" t="s">
        <v>2398</v>
      </c>
      <c r="T221" s="152" t="s">
        <v>2398</v>
      </c>
      <c r="U221" s="152" t="s">
        <v>2398</v>
      </c>
    </row>
    <row r="222" spans="1:21" s="142" customFormat="1" ht="12.75" x14ac:dyDescent="0.2">
      <c r="A222" s="151"/>
      <c r="B222" s="152" t="s">
        <v>1435</v>
      </c>
      <c r="C222" s="152" t="s">
        <v>2398</v>
      </c>
      <c r="D222" s="152" t="s">
        <v>2398</v>
      </c>
      <c r="E222" s="152" t="s">
        <v>2398</v>
      </c>
      <c r="F222" s="152" t="s">
        <v>2705</v>
      </c>
      <c r="G222" s="152" t="s">
        <v>1435</v>
      </c>
      <c r="H222" s="152" t="s">
        <v>2675</v>
      </c>
      <c r="I222" s="152" t="s">
        <v>2705</v>
      </c>
      <c r="J222" s="152" t="s">
        <v>2705</v>
      </c>
      <c r="K222" s="152" t="s">
        <v>1435</v>
      </c>
      <c r="L222" s="152" t="s">
        <v>2398</v>
      </c>
      <c r="M222" s="152" t="s">
        <v>1435</v>
      </c>
      <c r="N222" s="152" t="s">
        <v>2398</v>
      </c>
      <c r="O222" s="152" t="s">
        <v>2705</v>
      </c>
      <c r="P222" s="152" t="s">
        <v>2705</v>
      </c>
      <c r="Q222" s="152" t="s">
        <v>2705</v>
      </c>
      <c r="R222" s="152" t="s">
        <v>1435</v>
      </c>
      <c r="S222" s="152" t="s">
        <v>2675</v>
      </c>
      <c r="T222" s="152" t="s">
        <v>2705</v>
      </c>
      <c r="U222" s="152" t="s">
        <v>2398</v>
      </c>
    </row>
    <row r="223" spans="1:21" s="142" customFormat="1" ht="12.75" customHeight="1" x14ac:dyDescent="0.2">
      <c r="A223" s="151" t="s">
        <v>7428</v>
      </c>
      <c r="B223" s="152" t="s">
        <v>2398</v>
      </c>
      <c r="C223" s="152" t="s">
        <v>2397</v>
      </c>
      <c r="D223" s="152" t="s">
        <v>2705</v>
      </c>
      <c r="E223" s="152" t="s">
        <v>2398</v>
      </c>
      <c r="F223" s="152" t="s">
        <v>2705</v>
      </c>
      <c r="G223" s="152" t="s">
        <v>2705</v>
      </c>
      <c r="H223" s="152" t="s">
        <v>1435</v>
      </c>
      <c r="I223" s="152" t="s">
        <v>2675</v>
      </c>
      <c r="J223" s="152" t="s">
        <v>2397</v>
      </c>
      <c r="K223" s="152" t="s">
        <v>1435</v>
      </c>
      <c r="L223" s="152" t="s">
        <v>2705</v>
      </c>
      <c r="M223" s="152" t="s">
        <v>2398</v>
      </c>
      <c r="N223" s="152" t="s">
        <v>2705</v>
      </c>
      <c r="O223" s="152" t="s">
        <v>2705</v>
      </c>
      <c r="P223" s="152" t="s">
        <v>2397</v>
      </c>
      <c r="Q223" s="152" t="s">
        <v>2398</v>
      </c>
      <c r="R223" s="152" t="s">
        <v>2675</v>
      </c>
      <c r="S223" s="152" t="s">
        <v>2675</v>
      </c>
      <c r="T223" s="152" t="s">
        <v>2705</v>
      </c>
      <c r="U223" s="152" t="s">
        <v>2705</v>
      </c>
    </row>
    <row r="224" spans="1:21" s="142" customFormat="1" ht="12.75" x14ac:dyDescent="0.2">
      <c r="A224" s="151"/>
      <c r="B224" s="152" t="s">
        <v>2398</v>
      </c>
      <c r="C224" s="152" t="s">
        <v>1435</v>
      </c>
      <c r="D224" s="152" t="s">
        <v>1435</v>
      </c>
      <c r="E224" s="152" t="s">
        <v>2705</v>
      </c>
      <c r="F224" s="152" t="s">
        <v>2705</v>
      </c>
      <c r="G224" s="152" t="s">
        <v>2675</v>
      </c>
      <c r="H224" s="152" t="s">
        <v>2705</v>
      </c>
      <c r="I224" s="152" t="s">
        <v>2705</v>
      </c>
      <c r="J224" s="152" t="s">
        <v>2705</v>
      </c>
      <c r="K224" s="152" t="s">
        <v>2398</v>
      </c>
      <c r="L224" s="152" t="s">
        <v>2705</v>
      </c>
      <c r="M224" s="152" t="s">
        <v>2705</v>
      </c>
      <c r="N224" s="152" t="s">
        <v>2397</v>
      </c>
      <c r="O224" s="152" t="s">
        <v>2398</v>
      </c>
      <c r="P224" s="152" t="s">
        <v>2705</v>
      </c>
      <c r="Q224" s="152" t="s">
        <v>2398</v>
      </c>
      <c r="R224" s="152" t="s">
        <v>2398</v>
      </c>
      <c r="S224" s="152" t="s">
        <v>2705</v>
      </c>
      <c r="T224" s="152" t="s">
        <v>2705</v>
      </c>
      <c r="U224" s="152" t="s">
        <v>2705</v>
      </c>
    </row>
    <row r="225" spans="1:21" s="142" customFormat="1" ht="12.75" customHeight="1" x14ac:dyDescent="0.2">
      <c r="A225" s="151" t="s">
        <v>7429</v>
      </c>
      <c r="B225" s="152" t="s">
        <v>1435</v>
      </c>
      <c r="C225" s="152" t="s">
        <v>2398</v>
      </c>
      <c r="D225" s="152" t="s">
        <v>2705</v>
      </c>
      <c r="E225" s="152" t="s">
        <v>2398</v>
      </c>
      <c r="F225" s="152" t="s">
        <v>2397</v>
      </c>
      <c r="G225" s="152" t="s">
        <v>2398</v>
      </c>
      <c r="H225" s="152" t="s">
        <v>2398</v>
      </c>
      <c r="I225" s="152" t="s">
        <v>2398</v>
      </c>
      <c r="J225" s="152" t="s">
        <v>2705</v>
      </c>
      <c r="K225" s="152" t="s">
        <v>2705</v>
      </c>
      <c r="L225" s="152" t="s">
        <v>2398</v>
      </c>
      <c r="M225" s="152" t="s">
        <v>2705</v>
      </c>
      <c r="N225" s="152" t="s">
        <v>2705</v>
      </c>
      <c r="O225" s="152" t="s">
        <v>1435</v>
      </c>
      <c r="P225" s="152" t="s">
        <v>2398</v>
      </c>
      <c r="Q225" s="152" t="s">
        <v>2705</v>
      </c>
      <c r="R225" s="152" t="s">
        <v>2705</v>
      </c>
      <c r="S225" s="152" t="s">
        <v>2705</v>
      </c>
      <c r="T225" s="152" t="s">
        <v>2398</v>
      </c>
      <c r="U225" s="152" t="s">
        <v>2705</v>
      </c>
    </row>
    <row r="226" spans="1:21" s="142" customFormat="1" ht="12.75" x14ac:dyDescent="0.2">
      <c r="A226" s="151"/>
      <c r="B226" s="152" t="s">
        <v>1435</v>
      </c>
      <c r="C226" s="152" t="s">
        <v>2675</v>
      </c>
      <c r="D226" s="152" t="s">
        <v>1435</v>
      </c>
      <c r="E226" s="152" t="s">
        <v>2398</v>
      </c>
      <c r="F226" s="152" t="s">
        <v>2398</v>
      </c>
      <c r="G226" s="152" t="s">
        <v>2705</v>
      </c>
      <c r="H226" s="152" t="s">
        <v>2705</v>
      </c>
      <c r="I226" s="152" t="s">
        <v>2398</v>
      </c>
      <c r="J226" s="152" t="s">
        <v>2398</v>
      </c>
      <c r="K226" s="152" t="s">
        <v>2705</v>
      </c>
      <c r="L226" s="152" t="s">
        <v>2397</v>
      </c>
      <c r="M226" s="152" t="s">
        <v>2705</v>
      </c>
      <c r="N226" s="152" t="s">
        <v>2705</v>
      </c>
      <c r="O226" s="152" t="s">
        <v>2398</v>
      </c>
      <c r="P226" s="152" t="s">
        <v>2398</v>
      </c>
      <c r="Q226" s="152" t="s">
        <v>2705</v>
      </c>
      <c r="R226" s="152" t="s">
        <v>2705</v>
      </c>
      <c r="S226" s="152" t="s">
        <v>2705</v>
      </c>
      <c r="T226" s="152" t="s">
        <v>2705</v>
      </c>
      <c r="U226" s="152" t="s">
        <v>2397</v>
      </c>
    </row>
    <row r="227" spans="1:21" s="142" customFormat="1" ht="12.75" customHeight="1" x14ac:dyDescent="0.2">
      <c r="A227" s="151" t="s">
        <v>7430</v>
      </c>
      <c r="B227" s="152" t="s">
        <v>1435</v>
      </c>
      <c r="C227" s="152" t="s">
        <v>2398</v>
      </c>
      <c r="D227" s="152" t="s">
        <v>2398</v>
      </c>
      <c r="E227" s="152" t="s">
        <v>2705</v>
      </c>
      <c r="F227" s="152" t="s">
        <v>1435</v>
      </c>
      <c r="G227" s="152" t="s">
        <v>2705</v>
      </c>
      <c r="H227" s="152" t="s">
        <v>2705</v>
      </c>
      <c r="I227" s="152" t="s">
        <v>2705</v>
      </c>
      <c r="J227" s="152" t="s">
        <v>2705</v>
      </c>
      <c r="K227" s="152" t="s">
        <v>2705</v>
      </c>
      <c r="L227" s="152" t="s">
        <v>2705</v>
      </c>
      <c r="M227" s="152" t="s">
        <v>2398</v>
      </c>
      <c r="N227" s="152" t="s">
        <v>2705</v>
      </c>
      <c r="O227" s="152" t="s">
        <v>1435</v>
      </c>
      <c r="P227" s="152" t="s">
        <v>2675</v>
      </c>
      <c r="Q227" s="152" t="s">
        <v>2398</v>
      </c>
      <c r="R227" s="152" t="s">
        <v>2397</v>
      </c>
      <c r="S227" s="152" t="s">
        <v>2397</v>
      </c>
      <c r="T227" s="152" t="s">
        <v>2705</v>
      </c>
      <c r="U227" s="152" t="s">
        <v>2398</v>
      </c>
    </row>
    <row r="228" spans="1:21" s="142" customFormat="1" ht="12.75" x14ac:dyDescent="0.2">
      <c r="A228" s="151"/>
      <c r="B228" s="152" t="s">
        <v>2705</v>
      </c>
      <c r="C228" s="152" t="s">
        <v>2398</v>
      </c>
      <c r="D228" s="152" t="s">
        <v>2705</v>
      </c>
      <c r="E228" s="152" t="s">
        <v>2705</v>
      </c>
      <c r="F228" s="152" t="s">
        <v>2705</v>
      </c>
      <c r="G228" s="152" t="s">
        <v>2705</v>
      </c>
      <c r="H228" s="152" t="s">
        <v>2705</v>
      </c>
      <c r="I228" s="152" t="s">
        <v>2397</v>
      </c>
      <c r="J228" s="152" t="s">
        <v>2398</v>
      </c>
      <c r="K228" s="152" t="s">
        <v>2705</v>
      </c>
      <c r="L228" s="152" t="s">
        <v>2398</v>
      </c>
      <c r="M228" s="152" t="s">
        <v>2705</v>
      </c>
      <c r="N228" s="152" t="s">
        <v>2705</v>
      </c>
      <c r="O228" s="152" t="s">
        <v>2398</v>
      </c>
      <c r="P228" s="152" t="s">
        <v>2398</v>
      </c>
      <c r="Q228" s="152" t="s">
        <v>2705</v>
      </c>
      <c r="R228" s="152" t="s">
        <v>2705</v>
      </c>
      <c r="S228" s="152" t="s">
        <v>2397</v>
      </c>
      <c r="T228" s="152" t="s">
        <v>1435</v>
      </c>
      <c r="U228" s="152" t="s">
        <v>2398</v>
      </c>
    </row>
    <row r="229" spans="1:21" s="142" customFormat="1" ht="12.75" customHeight="1" x14ac:dyDescent="0.2">
      <c r="A229" s="151" t="s">
        <v>7431</v>
      </c>
      <c r="B229" s="152" t="s">
        <v>2397</v>
      </c>
      <c r="C229" s="152" t="s">
        <v>2705</v>
      </c>
      <c r="D229" s="152" t="s">
        <v>2705</v>
      </c>
      <c r="E229" s="152" t="s">
        <v>2705</v>
      </c>
      <c r="F229" s="152" t="s">
        <v>2705</v>
      </c>
      <c r="G229" s="152" t="s">
        <v>2705</v>
      </c>
      <c r="H229" s="152" t="s">
        <v>2705</v>
      </c>
      <c r="I229" s="152" t="s">
        <v>2705</v>
      </c>
      <c r="J229" s="152" t="s">
        <v>2398</v>
      </c>
      <c r="K229" s="152" t="s">
        <v>1435</v>
      </c>
      <c r="L229" s="152" t="s">
        <v>2705</v>
      </c>
      <c r="M229" s="152" t="s">
        <v>2397</v>
      </c>
      <c r="N229" s="152" t="s">
        <v>2705</v>
      </c>
      <c r="O229" s="152" t="s">
        <v>1435</v>
      </c>
      <c r="P229" s="152" t="s">
        <v>2397</v>
      </c>
      <c r="Q229" s="152" t="s">
        <v>2398</v>
      </c>
      <c r="R229" s="152" t="s">
        <v>2675</v>
      </c>
      <c r="S229" s="152" t="s">
        <v>2675</v>
      </c>
      <c r="T229" s="152" t="s">
        <v>2705</v>
      </c>
      <c r="U229" s="152" t="s">
        <v>2675</v>
      </c>
    </row>
    <row r="230" spans="1:21" s="142" customFormat="1" ht="12.75" x14ac:dyDescent="0.2">
      <c r="A230" s="151"/>
      <c r="B230" s="152" t="s">
        <v>2705</v>
      </c>
      <c r="C230" s="152" t="s">
        <v>1435</v>
      </c>
      <c r="D230" s="152" t="s">
        <v>2675</v>
      </c>
      <c r="E230" s="152" t="s">
        <v>2705</v>
      </c>
      <c r="F230" s="152" t="s">
        <v>2675</v>
      </c>
      <c r="G230" s="152" t="s">
        <v>2675</v>
      </c>
      <c r="H230" s="152" t="s">
        <v>2675</v>
      </c>
      <c r="I230" s="152" t="s">
        <v>2705</v>
      </c>
      <c r="J230" s="152" t="s">
        <v>2705</v>
      </c>
      <c r="K230" s="152" t="s">
        <v>2675</v>
      </c>
      <c r="L230" s="152" t="s">
        <v>2705</v>
      </c>
      <c r="M230" s="152" t="s">
        <v>2398</v>
      </c>
      <c r="N230" s="152" t="s">
        <v>2705</v>
      </c>
      <c r="O230" s="152" t="s">
        <v>2705</v>
      </c>
      <c r="P230" s="152" t="s">
        <v>2397</v>
      </c>
      <c r="Q230" s="152" t="s">
        <v>1435</v>
      </c>
      <c r="R230" s="152" t="s">
        <v>2398</v>
      </c>
      <c r="S230" s="152" t="s">
        <v>2705</v>
      </c>
      <c r="T230" s="152" t="s">
        <v>2705</v>
      </c>
      <c r="U230" s="152" t="s">
        <v>2705</v>
      </c>
    </row>
    <row r="231" spans="1:21" s="142" customFormat="1" ht="12.75" customHeight="1" x14ac:dyDescent="0.2">
      <c r="A231" s="151" t="s">
        <v>7432</v>
      </c>
      <c r="B231" s="152" t="s">
        <v>1435</v>
      </c>
      <c r="C231" s="152" t="s">
        <v>2398</v>
      </c>
      <c r="D231" s="152" t="s">
        <v>2398</v>
      </c>
      <c r="E231" s="152" t="s">
        <v>2705</v>
      </c>
      <c r="F231" s="152" t="s">
        <v>2398</v>
      </c>
      <c r="G231" s="152" t="s">
        <v>2705</v>
      </c>
      <c r="H231" s="152" t="s">
        <v>2675</v>
      </c>
      <c r="I231" s="152" t="s">
        <v>1435</v>
      </c>
      <c r="J231" s="152" t="s">
        <v>1435</v>
      </c>
      <c r="K231" s="152" t="s">
        <v>2705</v>
      </c>
      <c r="L231" s="152" t="s">
        <v>2675</v>
      </c>
      <c r="M231" s="152" t="s">
        <v>2398</v>
      </c>
      <c r="N231" s="152" t="s">
        <v>2705</v>
      </c>
      <c r="O231" s="152" t="s">
        <v>2397</v>
      </c>
      <c r="P231" s="152" t="s">
        <v>1435</v>
      </c>
      <c r="Q231" s="152" t="s">
        <v>2705</v>
      </c>
      <c r="R231" s="152" t="s">
        <v>2705</v>
      </c>
      <c r="S231" s="152" t="s">
        <v>2705</v>
      </c>
      <c r="T231" s="152" t="s">
        <v>2675</v>
      </c>
      <c r="U231" s="152" t="s">
        <v>2675</v>
      </c>
    </row>
    <row r="232" spans="1:21" s="142" customFormat="1" ht="12.75" x14ac:dyDescent="0.2">
      <c r="A232" s="151"/>
      <c r="B232" s="152" t="s">
        <v>2705</v>
      </c>
      <c r="C232" s="152" t="s">
        <v>2705</v>
      </c>
      <c r="D232" s="152" t="s">
        <v>2675</v>
      </c>
      <c r="E232" s="152" t="s">
        <v>2705</v>
      </c>
      <c r="F232" s="152" t="s">
        <v>2705</v>
      </c>
      <c r="G232" s="152" t="s">
        <v>1435</v>
      </c>
      <c r="H232" s="152" t="s">
        <v>2675</v>
      </c>
      <c r="I232" s="152" t="s">
        <v>2705</v>
      </c>
      <c r="J232" s="152" t="s">
        <v>2398</v>
      </c>
      <c r="K232" s="152" t="s">
        <v>2705</v>
      </c>
      <c r="L232" s="152" t="s">
        <v>2705</v>
      </c>
      <c r="M232" s="152" t="s">
        <v>2675</v>
      </c>
      <c r="N232" s="152" t="s">
        <v>2675</v>
      </c>
      <c r="O232" s="152" t="s">
        <v>1435</v>
      </c>
      <c r="P232" s="152" t="s">
        <v>2398</v>
      </c>
      <c r="Q232" s="152" t="s">
        <v>2705</v>
      </c>
      <c r="R232" s="152" t="s">
        <v>2705</v>
      </c>
      <c r="S232" s="152" t="s">
        <v>2675</v>
      </c>
      <c r="T232" s="152" t="s">
        <v>2397</v>
      </c>
      <c r="U232" s="152" t="s">
        <v>2397</v>
      </c>
    </row>
    <row r="233" spans="1:21" s="142" customFormat="1" ht="12.75" customHeight="1" x14ac:dyDescent="0.2">
      <c r="A233" s="151" t="s">
        <v>7433</v>
      </c>
      <c r="B233" s="152" t="s">
        <v>2398</v>
      </c>
      <c r="C233" s="152" t="s">
        <v>2705</v>
      </c>
      <c r="D233" s="152" t="s">
        <v>2398</v>
      </c>
      <c r="E233" s="152" t="s">
        <v>1435</v>
      </c>
      <c r="F233" s="152" t="s">
        <v>2398</v>
      </c>
      <c r="G233" s="152" t="s">
        <v>2705</v>
      </c>
      <c r="H233" s="152" t="s">
        <v>2705</v>
      </c>
      <c r="I233" s="152" t="s">
        <v>2397</v>
      </c>
      <c r="J233" s="152" t="s">
        <v>2398</v>
      </c>
      <c r="K233" s="152" t="s">
        <v>2705</v>
      </c>
      <c r="L233" s="152" t="s">
        <v>2398</v>
      </c>
      <c r="M233" s="152" t="s">
        <v>2705</v>
      </c>
      <c r="N233" s="152" t="s">
        <v>2705</v>
      </c>
      <c r="O233" s="152" t="s">
        <v>2397</v>
      </c>
      <c r="P233" s="152" t="s">
        <v>2705</v>
      </c>
      <c r="Q233" s="152" t="s">
        <v>2705</v>
      </c>
      <c r="R233" s="152" t="s">
        <v>2705</v>
      </c>
      <c r="S233" s="152" t="s">
        <v>2705</v>
      </c>
      <c r="T233" s="152" t="s">
        <v>1435</v>
      </c>
      <c r="U233" s="152" t="s">
        <v>2705</v>
      </c>
    </row>
    <row r="234" spans="1:21" s="142" customFormat="1" ht="12.75" x14ac:dyDescent="0.2">
      <c r="A234" s="151"/>
      <c r="B234" s="152" t="s">
        <v>2705</v>
      </c>
      <c r="C234" s="152" t="s">
        <v>2675</v>
      </c>
      <c r="D234" s="152" t="s">
        <v>2705</v>
      </c>
      <c r="E234" s="152" t="s">
        <v>2705</v>
      </c>
      <c r="F234" s="152" t="s">
        <v>2705</v>
      </c>
      <c r="G234" s="152" t="s">
        <v>2398</v>
      </c>
      <c r="H234" s="152" t="s">
        <v>2705</v>
      </c>
      <c r="I234" s="152" t="s">
        <v>2398</v>
      </c>
      <c r="J234" s="152" t="s">
        <v>2705</v>
      </c>
      <c r="K234" s="152" t="s">
        <v>2398</v>
      </c>
      <c r="L234" s="152" t="s">
        <v>2705</v>
      </c>
      <c r="M234" s="152" t="s">
        <v>2398</v>
      </c>
      <c r="N234" s="152" t="s">
        <v>2705</v>
      </c>
      <c r="O234" s="152" t="s">
        <v>2398</v>
      </c>
      <c r="P234" s="152" t="s">
        <v>2398</v>
      </c>
      <c r="Q234" s="152" t="s">
        <v>2705</v>
      </c>
      <c r="R234" s="152" t="s">
        <v>2398</v>
      </c>
      <c r="S234" s="152" t="s">
        <v>2705</v>
      </c>
      <c r="T234" s="152" t="s">
        <v>2705</v>
      </c>
      <c r="U234" s="152" t="s">
        <v>2398</v>
      </c>
    </row>
    <row r="235" spans="1:21" s="142" customFormat="1" ht="12.75" customHeight="1" x14ac:dyDescent="0.2">
      <c r="A235" s="151" t="s">
        <v>7434</v>
      </c>
      <c r="B235" s="152" t="s">
        <v>2705</v>
      </c>
      <c r="C235" s="152" t="s">
        <v>2398</v>
      </c>
      <c r="D235" s="152" t="s">
        <v>2705</v>
      </c>
      <c r="E235" s="152" t="s">
        <v>2705</v>
      </c>
      <c r="F235" s="152" t="s">
        <v>2705</v>
      </c>
      <c r="G235" s="152" t="s">
        <v>2705</v>
      </c>
      <c r="H235" s="152" t="s">
        <v>2705</v>
      </c>
      <c r="I235" s="152" t="s">
        <v>2398</v>
      </c>
      <c r="J235" s="152" t="s">
        <v>2705</v>
      </c>
      <c r="K235" s="152" t="s">
        <v>2705</v>
      </c>
      <c r="L235" s="152" t="s">
        <v>2705</v>
      </c>
      <c r="M235" s="152" t="s">
        <v>2705</v>
      </c>
      <c r="N235" s="152" t="s">
        <v>2705</v>
      </c>
      <c r="O235" s="152" t="s">
        <v>2398</v>
      </c>
      <c r="P235" s="152" t="s">
        <v>2398</v>
      </c>
      <c r="Q235" s="152" t="s">
        <v>2705</v>
      </c>
      <c r="R235" s="152" t="s">
        <v>2705</v>
      </c>
      <c r="S235" s="152" t="s">
        <v>2705</v>
      </c>
      <c r="T235" s="152" t="s">
        <v>2705</v>
      </c>
      <c r="U235" s="152" t="s">
        <v>2705</v>
      </c>
    </row>
    <row r="236" spans="1:21" s="142" customFormat="1" ht="12.75" x14ac:dyDescent="0.2">
      <c r="A236" s="151"/>
      <c r="B236" s="152" t="s">
        <v>2705</v>
      </c>
      <c r="C236" s="152" t="s">
        <v>2705</v>
      </c>
      <c r="D236" s="152" t="s">
        <v>2705</v>
      </c>
      <c r="E236" s="152" t="s">
        <v>2398</v>
      </c>
      <c r="F236" s="152" t="s">
        <v>2705</v>
      </c>
      <c r="G236" s="152" t="s">
        <v>2705</v>
      </c>
      <c r="H236" s="152" t="s">
        <v>2705</v>
      </c>
      <c r="I236" s="152" t="s">
        <v>2705</v>
      </c>
      <c r="J236" s="152" t="s">
        <v>2398</v>
      </c>
      <c r="K236" s="152" t="s">
        <v>2705</v>
      </c>
      <c r="L236" s="152" t="s">
        <v>2397</v>
      </c>
      <c r="M236" s="152" t="s">
        <v>1435</v>
      </c>
      <c r="N236" s="152" t="s">
        <v>2398</v>
      </c>
      <c r="O236" s="152" t="s">
        <v>2705</v>
      </c>
      <c r="P236" s="152" t="s">
        <v>2705</v>
      </c>
      <c r="Q236" s="152" t="s">
        <v>2705</v>
      </c>
      <c r="R236" s="152" t="s">
        <v>1435</v>
      </c>
      <c r="S236" s="152" t="s">
        <v>2398</v>
      </c>
      <c r="T236" s="152" t="s">
        <v>2705</v>
      </c>
      <c r="U236" s="152" t="s">
        <v>2705</v>
      </c>
    </row>
    <row r="237" spans="1:21" s="142" customFormat="1" ht="12.75" customHeight="1" x14ac:dyDescent="0.2">
      <c r="A237" s="151" t="s">
        <v>7435</v>
      </c>
      <c r="B237" s="152" t="s">
        <v>2705</v>
      </c>
      <c r="C237" s="152" t="s">
        <v>2705</v>
      </c>
      <c r="D237" s="152" t="s">
        <v>2705</v>
      </c>
      <c r="E237" s="152" t="s">
        <v>2705</v>
      </c>
      <c r="F237" s="152" t="s">
        <v>2705</v>
      </c>
      <c r="G237" s="152" t="s">
        <v>2705</v>
      </c>
      <c r="H237" s="152" t="s">
        <v>2705</v>
      </c>
      <c r="I237" s="152" t="s">
        <v>2705</v>
      </c>
      <c r="J237" s="152" t="s">
        <v>2705</v>
      </c>
      <c r="K237" s="152" t="s">
        <v>2397</v>
      </c>
      <c r="L237" s="152" t="s">
        <v>2705</v>
      </c>
      <c r="M237" s="152" t="s">
        <v>2398</v>
      </c>
      <c r="N237" s="152" t="s">
        <v>2705</v>
      </c>
      <c r="O237" s="152" t="s">
        <v>2398</v>
      </c>
      <c r="P237" s="152" t="s">
        <v>2705</v>
      </c>
      <c r="Q237" s="152" t="s">
        <v>2705</v>
      </c>
      <c r="R237" s="152" t="s">
        <v>2705</v>
      </c>
      <c r="S237" s="152" t="s">
        <v>2705</v>
      </c>
      <c r="T237" s="152" t="s">
        <v>2398</v>
      </c>
      <c r="U237" s="152" t="s">
        <v>2705</v>
      </c>
    </row>
    <row r="238" spans="1:21" s="142" customFormat="1" ht="12.75" x14ac:dyDescent="0.2">
      <c r="A238" s="151"/>
      <c r="B238" s="152" t="s">
        <v>1435</v>
      </c>
      <c r="C238" s="152" t="s">
        <v>2398</v>
      </c>
      <c r="D238" s="152" t="s">
        <v>2398</v>
      </c>
      <c r="E238" s="152" t="s">
        <v>2398</v>
      </c>
      <c r="F238" s="152" t="s">
        <v>2398</v>
      </c>
      <c r="G238" s="152" t="s">
        <v>2705</v>
      </c>
      <c r="H238" s="152" t="s">
        <v>2705</v>
      </c>
      <c r="I238" s="152" t="s">
        <v>2705</v>
      </c>
      <c r="J238" s="152" t="s">
        <v>2398</v>
      </c>
      <c r="K238" s="152" t="s">
        <v>2705</v>
      </c>
      <c r="L238" s="152" t="s">
        <v>2705</v>
      </c>
      <c r="M238" s="152" t="s">
        <v>2705</v>
      </c>
      <c r="N238" s="152" t="s">
        <v>2705</v>
      </c>
      <c r="O238" s="152" t="s">
        <v>2398</v>
      </c>
      <c r="P238" s="152" t="s">
        <v>1435</v>
      </c>
      <c r="Q238" s="152" t="s">
        <v>2705</v>
      </c>
      <c r="R238" s="152" t="s">
        <v>2398</v>
      </c>
      <c r="S238" s="152" t="s">
        <v>2705</v>
      </c>
      <c r="T238" s="152" t="s">
        <v>2705</v>
      </c>
      <c r="U238" s="152" t="s">
        <v>2398</v>
      </c>
    </row>
    <row r="239" spans="1:21" s="142" customFormat="1" ht="12.75" customHeight="1" x14ac:dyDescent="0.2">
      <c r="A239" s="151" t="s">
        <v>7436</v>
      </c>
      <c r="B239" s="152" t="s">
        <v>1435</v>
      </c>
      <c r="C239" s="152" t="s">
        <v>2705</v>
      </c>
      <c r="D239" s="152" t="s">
        <v>2398</v>
      </c>
      <c r="E239" s="152" t="s">
        <v>2398</v>
      </c>
      <c r="F239" s="152" t="s">
        <v>2397</v>
      </c>
      <c r="G239" s="152" t="s">
        <v>2705</v>
      </c>
      <c r="H239" s="152" t="s">
        <v>2398</v>
      </c>
      <c r="I239" s="152" t="s">
        <v>2398</v>
      </c>
      <c r="J239" s="152" t="s">
        <v>2398</v>
      </c>
      <c r="K239" s="152" t="s">
        <v>1435</v>
      </c>
      <c r="L239" s="152" t="s">
        <v>2398</v>
      </c>
      <c r="M239" s="152" t="s">
        <v>2705</v>
      </c>
      <c r="N239" s="152" t="s">
        <v>2705</v>
      </c>
      <c r="O239" s="152" t="s">
        <v>2398</v>
      </c>
      <c r="P239" s="152" t="s">
        <v>2398</v>
      </c>
      <c r="Q239" s="152" t="s">
        <v>2705</v>
      </c>
      <c r="R239" s="152" t="s">
        <v>2398</v>
      </c>
      <c r="S239" s="152" t="s">
        <v>2398</v>
      </c>
      <c r="T239" s="152" t="s">
        <v>2675</v>
      </c>
      <c r="U239" s="152" t="s">
        <v>2398</v>
      </c>
    </row>
    <row r="240" spans="1:21" s="142" customFormat="1" ht="12.75" x14ac:dyDescent="0.2">
      <c r="A240" s="151"/>
      <c r="B240" s="152" t="s">
        <v>2397</v>
      </c>
      <c r="C240" s="152" t="s">
        <v>2398</v>
      </c>
      <c r="D240" s="152" t="s">
        <v>2705</v>
      </c>
      <c r="E240" s="152" t="s">
        <v>2705</v>
      </c>
      <c r="F240" s="152" t="s">
        <v>2705</v>
      </c>
      <c r="G240" s="152" t="s">
        <v>2398</v>
      </c>
      <c r="H240" s="152" t="s">
        <v>2398</v>
      </c>
      <c r="I240" s="152" t="s">
        <v>2705</v>
      </c>
      <c r="J240" s="152" t="s">
        <v>2705</v>
      </c>
      <c r="K240" s="152" t="s">
        <v>2705</v>
      </c>
      <c r="L240" s="152" t="s">
        <v>2398</v>
      </c>
      <c r="M240" s="152" t="s">
        <v>2675</v>
      </c>
      <c r="N240" s="152" t="s">
        <v>2398</v>
      </c>
      <c r="O240" s="152" t="s">
        <v>2398</v>
      </c>
      <c r="P240" s="152" t="s">
        <v>2705</v>
      </c>
      <c r="Q240" s="152" t="s">
        <v>2705</v>
      </c>
      <c r="R240" s="152" t="s">
        <v>2705</v>
      </c>
      <c r="S240" s="152" t="s">
        <v>2397</v>
      </c>
      <c r="T240" s="152" t="s">
        <v>2705</v>
      </c>
      <c r="U240" s="152" t="s">
        <v>2705</v>
      </c>
    </row>
    <row r="241" spans="1:21" s="142" customFormat="1" ht="12.75" customHeight="1" x14ac:dyDescent="0.2">
      <c r="A241" s="151" t="s">
        <v>7437</v>
      </c>
      <c r="B241" s="152" t="s">
        <v>2398</v>
      </c>
      <c r="C241" s="152" t="s">
        <v>2675</v>
      </c>
      <c r="D241" s="152" t="s">
        <v>1435</v>
      </c>
      <c r="E241" s="152" t="s">
        <v>2398</v>
      </c>
      <c r="F241" s="152" t="s">
        <v>1435</v>
      </c>
      <c r="G241" s="152" t="s">
        <v>2705</v>
      </c>
      <c r="H241" s="152" t="s">
        <v>2705</v>
      </c>
      <c r="I241" s="152" t="s">
        <v>2705</v>
      </c>
      <c r="J241" s="152" t="s">
        <v>2705</v>
      </c>
      <c r="K241" s="152" t="s">
        <v>2705</v>
      </c>
      <c r="L241" s="152" t="s">
        <v>2675</v>
      </c>
      <c r="M241" s="152" t="s">
        <v>2705</v>
      </c>
      <c r="N241" s="152" t="s">
        <v>2705</v>
      </c>
      <c r="O241" s="152" t="s">
        <v>2398</v>
      </c>
      <c r="P241" s="152" t="s">
        <v>2705</v>
      </c>
      <c r="Q241" s="152" t="s">
        <v>2705</v>
      </c>
      <c r="R241" s="152" t="s">
        <v>2705</v>
      </c>
      <c r="S241" s="152" t="s">
        <v>2675</v>
      </c>
      <c r="T241" s="152" t="s">
        <v>2675</v>
      </c>
      <c r="U241" s="152" t="s">
        <v>2397</v>
      </c>
    </row>
    <row r="242" spans="1:21" s="142" customFormat="1" ht="12.75" x14ac:dyDescent="0.2">
      <c r="A242" s="151"/>
      <c r="B242" s="152" t="s">
        <v>2398</v>
      </c>
      <c r="C242" s="152" t="s">
        <v>2398</v>
      </c>
      <c r="D242" s="152" t="s">
        <v>2398</v>
      </c>
      <c r="E242" s="152" t="s">
        <v>2705</v>
      </c>
      <c r="F242" s="152" t="s">
        <v>2398</v>
      </c>
      <c r="G242" s="152" t="s">
        <v>2705</v>
      </c>
      <c r="H242" s="152" t="s">
        <v>2398</v>
      </c>
      <c r="I242" s="152" t="s">
        <v>2705</v>
      </c>
      <c r="J242" s="152" t="s">
        <v>2398</v>
      </c>
      <c r="K242" s="152" t="s">
        <v>2398</v>
      </c>
      <c r="L242" s="152" t="s">
        <v>2397</v>
      </c>
      <c r="M242" s="152" t="s">
        <v>2398</v>
      </c>
      <c r="N242" s="152" t="s">
        <v>2675</v>
      </c>
      <c r="O242" s="152" t="s">
        <v>2398</v>
      </c>
      <c r="P242" s="152" t="s">
        <v>2705</v>
      </c>
      <c r="Q242" s="152" t="s">
        <v>2705</v>
      </c>
      <c r="R242" s="152" t="s">
        <v>2397</v>
      </c>
      <c r="S242" s="152" t="s">
        <v>2397</v>
      </c>
      <c r="T242" s="152" t="s">
        <v>2705</v>
      </c>
      <c r="U242" s="152" t="s">
        <v>2397</v>
      </c>
    </row>
    <row r="243" spans="1:21" s="142" customFormat="1" ht="12.75" customHeight="1" x14ac:dyDescent="0.2">
      <c r="A243" s="151" t="s">
        <v>7438</v>
      </c>
      <c r="B243" s="152" t="s">
        <v>2398</v>
      </c>
      <c r="C243" s="152" t="s">
        <v>1435</v>
      </c>
      <c r="D243" s="152" t="s">
        <v>2397</v>
      </c>
      <c r="E243" s="152" t="s">
        <v>1435</v>
      </c>
      <c r="F243" s="152" t="s">
        <v>2398</v>
      </c>
      <c r="G243" s="152" t="s">
        <v>2705</v>
      </c>
      <c r="H243" s="152" t="s">
        <v>2705</v>
      </c>
      <c r="I243" s="152" t="s">
        <v>2398</v>
      </c>
      <c r="J243" s="152" t="s">
        <v>1435</v>
      </c>
      <c r="K243" s="152" t="s">
        <v>2705</v>
      </c>
      <c r="L243" s="152" t="s">
        <v>1435</v>
      </c>
      <c r="M243" s="152" t="s">
        <v>2705</v>
      </c>
      <c r="N243" s="152" t="s">
        <v>2675</v>
      </c>
      <c r="O243" s="152" t="s">
        <v>2705</v>
      </c>
      <c r="P243" s="152" t="s">
        <v>1435</v>
      </c>
      <c r="Q243" s="152" t="s">
        <v>2705</v>
      </c>
      <c r="R243" s="152" t="s">
        <v>1435</v>
      </c>
      <c r="S243" s="152" t="s">
        <v>2675</v>
      </c>
      <c r="T243" s="152" t="s">
        <v>2705</v>
      </c>
      <c r="U243" s="152" t="s">
        <v>2675</v>
      </c>
    </row>
    <row r="244" spans="1:21" s="142" customFormat="1" ht="12.75" x14ac:dyDescent="0.2">
      <c r="A244" s="151"/>
      <c r="B244" s="152" t="s">
        <v>2705</v>
      </c>
      <c r="C244" s="152" t="s">
        <v>2398</v>
      </c>
      <c r="D244" s="152" t="s">
        <v>2705</v>
      </c>
      <c r="E244" s="152" t="s">
        <v>2398</v>
      </c>
      <c r="F244" s="152" t="s">
        <v>2705</v>
      </c>
      <c r="G244" s="152" t="s">
        <v>2398</v>
      </c>
      <c r="H244" s="152" t="s">
        <v>2397</v>
      </c>
      <c r="I244" s="152" t="s">
        <v>1435</v>
      </c>
      <c r="J244" s="152" t="s">
        <v>2705</v>
      </c>
      <c r="K244" s="152" t="s">
        <v>2705</v>
      </c>
      <c r="L244" s="152" t="s">
        <v>2398</v>
      </c>
      <c r="M244" s="152" t="s">
        <v>2705</v>
      </c>
      <c r="N244" s="152" t="s">
        <v>2705</v>
      </c>
      <c r="O244" s="152" t="s">
        <v>2398</v>
      </c>
      <c r="P244" s="152" t="s">
        <v>2705</v>
      </c>
      <c r="Q244" s="152" t="s">
        <v>2705</v>
      </c>
      <c r="R244" s="152" t="s">
        <v>2705</v>
      </c>
      <c r="S244" s="152" t="s">
        <v>2705</v>
      </c>
      <c r="T244" s="152" t="s">
        <v>2705</v>
      </c>
      <c r="U244" s="152" t="s">
        <v>2398</v>
      </c>
    </row>
    <row r="245" spans="1:21" s="142" customFormat="1" ht="12.75" customHeight="1" x14ac:dyDescent="0.2">
      <c r="A245" s="151" t="s">
        <v>7439</v>
      </c>
      <c r="B245" s="152" t="s">
        <v>2397</v>
      </c>
      <c r="C245" s="152" t="s">
        <v>1435</v>
      </c>
      <c r="D245" s="152" t="s">
        <v>2675</v>
      </c>
      <c r="E245" s="152" t="s">
        <v>1435</v>
      </c>
      <c r="F245" s="152" t="s">
        <v>2705</v>
      </c>
      <c r="G245" s="152" t="s">
        <v>2398</v>
      </c>
      <c r="H245" s="152" t="s">
        <v>2397</v>
      </c>
      <c r="I245" s="152" t="s">
        <v>2398</v>
      </c>
      <c r="J245" s="152" t="s">
        <v>2675</v>
      </c>
      <c r="K245" s="152" t="s">
        <v>1435</v>
      </c>
      <c r="L245" s="152" t="s">
        <v>2705</v>
      </c>
      <c r="M245" s="152" t="s">
        <v>2705</v>
      </c>
      <c r="N245" s="152" t="s">
        <v>1435</v>
      </c>
      <c r="O245" s="152" t="s">
        <v>2398</v>
      </c>
      <c r="P245" s="152" t="s">
        <v>2398</v>
      </c>
      <c r="Q245" s="152" t="s">
        <v>2398</v>
      </c>
      <c r="R245" s="152" t="s">
        <v>2675</v>
      </c>
      <c r="S245" s="152" t="s">
        <v>2398</v>
      </c>
      <c r="T245" s="152" t="s">
        <v>2705</v>
      </c>
      <c r="U245" s="152" t="s">
        <v>2705</v>
      </c>
    </row>
    <row r="246" spans="1:21" s="142" customFormat="1" ht="12.75" x14ac:dyDescent="0.2">
      <c r="A246" s="151"/>
      <c r="B246" s="152" t="s">
        <v>2398</v>
      </c>
      <c r="C246" s="152" t="s">
        <v>2398</v>
      </c>
      <c r="D246" s="152" t="s">
        <v>2705</v>
      </c>
      <c r="E246" s="152" t="s">
        <v>2705</v>
      </c>
      <c r="F246" s="152" t="s">
        <v>2398</v>
      </c>
      <c r="G246" s="152" t="s">
        <v>2705</v>
      </c>
      <c r="H246" s="152" t="s">
        <v>2398</v>
      </c>
      <c r="I246" s="152" t="s">
        <v>2398</v>
      </c>
      <c r="J246" s="152" t="s">
        <v>2675</v>
      </c>
      <c r="K246" s="152" t="s">
        <v>2398</v>
      </c>
      <c r="L246" s="152" t="s">
        <v>2398</v>
      </c>
      <c r="M246" s="152" t="s">
        <v>2398</v>
      </c>
      <c r="N246" s="152" t="s">
        <v>1435</v>
      </c>
      <c r="O246" s="152" t="s">
        <v>2705</v>
      </c>
      <c r="P246" s="152" t="s">
        <v>2705</v>
      </c>
      <c r="Q246" s="152" t="s">
        <v>2398</v>
      </c>
      <c r="R246" s="152" t="s">
        <v>2398</v>
      </c>
      <c r="S246" s="152" t="s">
        <v>2397</v>
      </c>
      <c r="T246" s="152" t="s">
        <v>2675</v>
      </c>
      <c r="U246" s="152" t="s">
        <v>2705</v>
      </c>
    </row>
    <row r="247" spans="1:21" s="142" customFormat="1" ht="12.75" customHeight="1" x14ac:dyDescent="0.2">
      <c r="A247" s="151" t="s">
        <v>7440</v>
      </c>
      <c r="B247" s="152" t="s">
        <v>2705</v>
      </c>
      <c r="C247" s="152" t="s">
        <v>2705</v>
      </c>
      <c r="D247" s="152" t="s">
        <v>2705</v>
      </c>
      <c r="E247" s="152" t="s">
        <v>2397</v>
      </c>
      <c r="F247" s="152" t="s">
        <v>2397</v>
      </c>
      <c r="G247" s="152" t="s">
        <v>2705</v>
      </c>
      <c r="H247" s="152" t="s">
        <v>1435</v>
      </c>
      <c r="I247" s="152" t="s">
        <v>2705</v>
      </c>
      <c r="J247" s="152" t="s">
        <v>2705</v>
      </c>
      <c r="K247" s="152" t="s">
        <v>2705</v>
      </c>
      <c r="L247" s="152" t="s">
        <v>2398</v>
      </c>
      <c r="M247" s="152" t="s">
        <v>2398</v>
      </c>
      <c r="N247" s="152" t="s">
        <v>2675</v>
      </c>
      <c r="O247" s="152" t="s">
        <v>2398</v>
      </c>
      <c r="P247" s="152" t="s">
        <v>2398</v>
      </c>
      <c r="Q247" s="152" t="s">
        <v>2398</v>
      </c>
      <c r="R247" s="152" t="s">
        <v>1435</v>
      </c>
      <c r="S247" s="152" t="s">
        <v>2705</v>
      </c>
      <c r="T247" s="152" t="s">
        <v>2397</v>
      </c>
      <c r="U247" s="152" t="s">
        <v>2705</v>
      </c>
    </row>
    <row r="248" spans="1:21" s="142" customFormat="1" ht="12.75" x14ac:dyDescent="0.2">
      <c r="A248" s="151"/>
      <c r="B248" s="152" t="s">
        <v>2675</v>
      </c>
      <c r="C248" s="152" t="s">
        <v>2675</v>
      </c>
      <c r="D248" s="152" t="s">
        <v>2398</v>
      </c>
      <c r="E248" s="152" t="s">
        <v>2398</v>
      </c>
      <c r="F248" s="152" t="s">
        <v>2398</v>
      </c>
      <c r="G248" s="152" t="s">
        <v>2705</v>
      </c>
      <c r="H248" s="152" t="s">
        <v>2398</v>
      </c>
      <c r="I248" s="152" t="s">
        <v>2705</v>
      </c>
      <c r="J248" s="152" t="s">
        <v>2398</v>
      </c>
      <c r="K248" s="152" t="s">
        <v>2705</v>
      </c>
      <c r="L248" s="152" t="s">
        <v>2398</v>
      </c>
      <c r="M248" s="152" t="s">
        <v>2398</v>
      </c>
      <c r="N248" s="152" t="s">
        <v>1435</v>
      </c>
      <c r="O248" s="152" t="s">
        <v>1435</v>
      </c>
      <c r="P248" s="152" t="s">
        <v>2675</v>
      </c>
      <c r="Q248" s="152" t="s">
        <v>2705</v>
      </c>
      <c r="R248" s="152" t="s">
        <v>2705</v>
      </c>
      <c r="S248" s="152" t="s">
        <v>2705</v>
      </c>
      <c r="T248" s="152" t="s">
        <v>2398</v>
      </c>
      <c r="U248" s="152" t="s">
        <v>2398</v>
      </c>
    </row>
    <row r="249" spans="1:21" s="142" customFormat="1" ht="12.75" customHeight="1" x14ac:dyDescent="0.2">
      <c r="A249" s="151" t="s">
        <v>7441</v>
      </c>
      <c r="B249" s="152" t="s">
        <v>2705</v>
      </c>
      <c r="C249" s="152" t="s">
        <v>2398</v>
      </c>
      <c r="D249" s="152" t="s">
        <v>1435</v>
      </c>
      <c r="E249" s="152" t="s">
        <v>1435</v>
      </c>
      <c r="F249" s="152" t="s">
        <v>2705</v>
      </c>
      <c r="G249" s="152" t="s">
        <v>2705</v>
      </c>
      <c r="H249" s="152" t="s">
        <v>2705</v>
      </c>
      <c r="I249" s="152" t="s">
        <v>2675</v>
      </c>
      <c r="J249" s="152" t="s">
        <v>1435</v>
      </c>
      <c r="K249" s="152" t="s">
        <v>1435</v>
      </c>
      <c r="L249" s="152" t="s">
        <v>2398</v>
      </c>
      <c r="M249" s="152" t="s">
        <v>2705</v>
      </c>
      <c r="N249" s="152" t="s">
        <v>2398</v>
      </c>
      <c r="O249" s="152" t="s">
        <v>2705</v>
      </c>
      <c r="P249" s="152" t="s">
        <v>2705</v>
      </c>
      <c r="Q249" s="152" t="s">
        <v>2705</v>
      </c>
      <c r="R249" s="152" t="s">
        <v>2705</v>
      </c>
      <c r="S249" s="152" t="s">
        <v>2705</v>
      </c>
      <c r="T249" s="152" t="s">
        <v>2398</v>
      </c>
      <c r="U249" s="152" t="s">
        <v>2705</v>
      </c>
    </row>
    <row r="250" spans="1:21" s="142" customFormat="1" ht="12.75" x14ac:dyDescent="0.2">
      <c r="A250" s="151"/>
      <c r="B250" s="152" t="s">
        <v>2705</v>
      </c>
      <c r="C250" s="152" t="s">
        <v>2398</v>
      </c>
      <c r="D250" s="152" t="s">
        <v>2705</v>
      </c>
      <c r="E250" s="152" t="s">
        <v>2705</v>
      </c>
      <c r="F250" s="152" t="s">
        <v>2705</v>
      </c>
      <c r="G250" s="152" t="s">
        <v>2398</v>
      </c>
      <c r="H250" s="152" t="s">
        <v>2705</v>
      </c>
      <c r="I250" s="152" t="s">
        <v>2398</v>
      </c>
      <c r="J250" s="152" t="s">
        <v>2398</v>
      </c>
      <c r="K250" s="152" t="s">
        <v>2705</v>
      </c>
      <c r="L250" s="152" t="s">
        <v>2705</v>
      </c>
      <c r="M250" s="152" t="s">
        <v>2705</v>
      </c>
      <c r="N250" s="152" t="s">
        <v>2705</v>
      </c>
      <c r="O250" s="152" t="s">
        <v>2705</v>
      </c>
      <c r="P250" s="152" t="s">
        <v>2705</v>
      </c>
      <c r="Q250" s="152" t="s">
        <v>2705</v>
      </c>
      <c r="R250" s="152" t="s">
        <v>2705</v>
      </c>
      <c r="S250" s="152" t="s">
        <v>2705</v>
      </c>
      <c r="T250" s="152" t="s">
        <v>2705</v>
      </c>
      <c r="U250" s="152" t="s">
        <v>2675</v>
      </c>
    </row>
    <row r="251" spans="1:21" s="142" customFormat="1" ht="12.75" customHeight="1" x14ac:dyDescent="0.2">
      <c r="A251" s="151" t="s">
        <v>7442</v>
      </c>
      <c r="B251" s="152" t="s">
        <v>2705</v>
      </c>
      <c r="C251" s="152" t="s">
        <v>2705</v>
      </c>
      <c r="D251" s="152" t="s">
        <v>2398</v>
      </c>
      <c r="E251" s="152" t="s">
        <v>2397</v>
      </c>
      <c r="F251" s="152" t="s">
        <v>2398</v>
      </c>
      <c r="G251" s="152" t="s">
        <v>2675</v>
      </c>
      <c r="H251" s="152" t="s">
        <v>2705</v>
      </c>
      <c r="I251" s="152" t="s">
        <v>2398</v>
      </c>
      <c r="J251" s="152" t="s">
        <v>2705</v>
      </c>
      <c r="K251" s="152" t="s">
        <v>2398</v>
      </c>
      <c r="L251" s="152" t="s">
        <v>2705</v>
      </c>
      <c r="M251" s="152" t="s">
        <v>2398</v>
      </c>
      <c r="N251" s="152" t="s">
        <v>2398</v>
      </c>
      <c r="O251" s="152" t="s">
        <v>2398</v>
      </c>
      <c r="P251" s="152" t="s">
        <v>2398</v>
      </c>
      <c r="Q251" s="152" t="s">
        <v>2398</v>
      </c>
      <c r="R251" s="152" t="s">
        <v>2705</v>
      </c>
      <c r="S251" s="152" t="s">
        <v>2398</v>
      </c>
      <c r="T251" s="152" t="s">
        <v>2675</v>
      </c>
      <c r="U251" s="152" t="s">
        <v>2705</v>
      </c>
    </row>
    <row r="252" spans="1:21" s="142" customFormat="1" ht="12.75" x14ac:dyDescent="0.2">
      <c r="A252" s="151"/>
      <c r="B252" s="152" t="s">
        <v>2705</v>
      </c>
      <c r="C252" s="152" t="s">
        <v>2705</v>
      </c>
      <c r="D252" s="152" t="s">
        <v>2705</v>
      </c>
      <c r="E252" s="152" t="s">
        <v>2398</v>
      </c>
      <c r="F252" s="152" t="s">
        <v>2705</v>
      </c>
      <c r="G252" s="152" t="s">
        <v>1435</v>
      </c>
      <c r="H252" s="152" t="s">
        <v>2398</v>
      </c>
      <c r="I252" s="152" t="s">
        <v>2705</v>
      </c>
      <c r="J252" s="152" t="s">
        <v>2397</v>
      </c>
      <c r="K252" s="152" t="s">
        <v>2398</v>
      </c>
      <c r="L252" s="152" t="s">
        <v>2398</v>
      </c>
      <c r="M252" s="152" t="s">
        <v>2705</v>
      </c>
      <c r="N252" s="152" t="s">
        <v>2398</v>
      </c>
      <c r="O252" s="152" t="s">
        <v>2398</v>
      </c>
      <c r="P252" s="152" t="s">
        <v>2398</v>
      </c>
      <c r="Q252" s="152" t="s">
        <v>2398</v>
      </c>
      <c r="R252" s="152" t="s">
        <v>2398</v>
      </c>
      <c r="S252" s="152" t="s">
        <v>2398</v>
      </c>
      <c r="T252" s="152" t="s">
        <v>2705</v>
      </c>
      <c r="U252" s="152" t="s">
        <v>2705</v>
      </c>
    </row>
    <row r="253" spans="1:21" s="142" customFormat="1" ht="12.75" customHeight="1" x14ac:dyDescent="0.2">
      <c r="A253" s="151" t="s">
        <v>7443</v>
      </c>
      <c r="B253" s="152" t="s">
        <v>2398</v>
      </c>
      <c r="C253" s="152" t="s">
        <v>2675</v>
      </c>
      <c r="D253" s="152" t="s">
        <v>2398</v>
      </c>
      <c r="E253" s="152" t="s">
        <v>2397</v>
      </c>
      <c r="F253" s="152" t="s">
        <v>2705</v>
      </c>
      <c r="G253" s="152" t="s">
        <v>2705</v>
      </c>
      <c r="H253" s="152" t="s">
        <v>2705</v>
      </c>
      <c r="I253" s="152" t="s">
        <v>2397</v>
      </c>
      <c r="J253" s="152" t="s">
        <v>2705</v>
      </c>
      <c r="K253" s="152" t="s">
        <v>2398</v>
      </c>
      <c r="L253" s="152" t="s">
        <v>2398</v>
      </c>
      <c r="M253" s="152" t="s">
        <v>2397</v>
      </c>
      <c r="N253" s="152" t="s">
        <v>2705</v>
      </c>
      <c r="O253" s="152" t="s">
        <v>2398</v>
      </c>
      <c r="P253" s="152" t="s">
        <v>2705</v>
      </c>
      <c r="Q253" s="152" t="s">
        <v>2397</v>
      </c>
      <c r="R253" s="152" t="s">
        <v>2398</v>
      </c>
      <c r="S253" s="152" t="s">
        <v>2705</v>
      </c>
      <c r="T253" s="152" t="s">
        <v>2705</v>
      </c>
      <c r="U253" s="152" t="s">
        <v>2397</v>
      </c>
    </row>
    <row r="254" spans="1:21" s="142" customFormat="1" ht="12.75" x14ac:dyDescent="0.2">
      <c r="A254" s="151"/>
      <c r="B254" s="152" t="s">
        <v>2705</v>
      </c>
      <c r="C254" s="152" t="s">
        <v>2398</v>
      </c>
      <c r="D254" s="152" t="s">
        <v>2398</v>
      </c>
      <c r="E254" s="152" t="s">
        <v>2398</v>
      </c>
      <c r="F254" s="152" t="s">
        <v>2705</v>
      </c>
      <c r="G254" s="152" t="s">
        <v>2705</v>
      </c>
      <c r="H254" s="152" t="s">
        <v>2398</v>
      </c>
      <c r="I254" s="152" t="s">
        <v>2705</v>
      </c>
      <c r="J254" s="152" t="s">
        <v>2705</v>
      </c>
      <c r="K254" s="152" t="s">
        <v>2705</v>
      </c>
      <c r="L254" s="152" t="s">
        <v>2398</v>
      </c>
      <c r="M254" s="152" t="s">
        <v>2398</v>
      </c>
      <c r="N254" s="152" t="s">
        <v>2705</v>
      </c>
      <c r="O254" s="152" t="s">
        <v>2705</v>
      </c>
      <c r="P254" s="152" t="s">
        <v>1435</v>
      </c>
      <c r="Q254" s="152" t="s">
        <v>2705</v>
      </c>
      <c r="R254" s="152" t="s">
        <v>2398</v>
      </c>
      <c r="S254" s="152" t="s">
        <v>2705</v>
      </c>
      <c r="T254" s="152" t="s">
        <v>2705</v>
      </c>
      <c r="U254" s="152" t="s">
        <v>2398</v>
      </c>
    </row>
    <row r="255" spans="1:21" s="142" customFormat="1" ht="12.75" customHeight="1" x14ac:dyDescent="0.2">
      <c r="A255" s="151" t="s">
        <v>7444</v>
      </c>
      <c r="B255" s="152" t="s">
        <v>2397</v>
      </c>
      <c r="C255" s="152" t="s">
        <v>2398</v>
      </c>
      <c r="D255" s="152" t="s">
        <v>2675</v>
      </c>
      <c r="E255" s="152" t="s">
        <v>2705</v>
      </c>
      <c r="F255" s="152" t="s">
        <v>2705</v>
      </c>
      <c r="G255" s="152" t="s">
        <v>2398</v>
      </c>
      <c r="H255" s="152" t="s">
        <v>2398</v>
      </c>
      <c r="I255" s="152" t="s">
        <v>2398</v>
      </c>
      <c r="J255" s="152" t="s">
        <v>2705</v>
      </c>
      <c r="K255" s="152" t="s">
        <v>2398</v>
      </c>
      <c r="L255" s="152" t="s">
        <v>2675</v>
      </c>
      <c r="M255" s="152" t="s">
        <v>2705</v>
      </c>
      <c r="N255" s="152" t="s">
        <v>2398</v>
      </c>
      <c r="O255" s="152" t="s">
        <v>2398</v>
      </c>
      <c r="P255" s="152" t="s">
        <v>2398</v>
      </c>
      <c r="Q255" s="152" t="s">
        <v>2398</v>
      </c>
      <c r="R255" s="152" t="s">
        <v>2705</v>
      </c>
      <c r="S255" s="152" t="s">
        <v>2398</v>
      </c>
      <c r="T255" s="152" t="s">
        <v>2675</v>
      </c>
      <c r="U255" s="152" t="s">
        <v>2398</v>
      </c>
    </row>
    <row r="256" spans="1:21" s="142" customFormat="1" ht="12.75" x14ac:dyDescent="0.2">
      <c r="A256" s="151"/>
      <c r="B256" s="152" t="s">
        <v>1435</v>
      </c>
      <c r="C256" s="152" t="s">
        <v>2398</v>
      </c>
      <c r="D256" s="152" t="s">
        <v>2705</v>
      </c>
      <c r="E256" s="152" t="s">
        <v>2705</v>
      </c>
      <c r="F256" s="152" t="s">
        <v>2398</v>
      </c>
      <c r="G256" s="152" t="s">
        <v>2397</v>
      </c>
      <c r="H256" s="152" t="s">
        <v>2705</v>
      </c>
      <c r="I256" s="152" t="s">
        <v>2705</v>
      </c>
      <c r="J256" s="152" t="s">
        <v>2705</v>
      </c>
      <c r="K256" s="152" t="s">
        <v>1435</v>
      </c>
      <c r="L256" s="152" t="s">
        <v>2705</v>
      </c>
      <c r="M256" s="152" t="s">
        <v>2705</v>
      </c>
      <c r="N256" s="152" t="s">
        <v>2705</v>
      </c>
      <c r="O256" s="152" t="s">
        <v>2398</v>
      </c>
      <c r="P256" s="152" t="s">
        <v>2705</v>
      </c>
      <c r="Q256" s="152" t="s">
        <v>2398</v>
      </c>
      <c r="R256" s="152" t="s">
        <v>2398</v>
      </c>
      <c r="S256" s="152" t="s">
        <v>2705</v>
      </c>
      <c r="T256" s="152" t="s">
        <v>2705</v>
      </c>
      <c r="U256" s="152" t="s">
        <v>2398</v>
      </c>
    </row>
    <row r="257" spans="1:21" s="142" customFormat="1" ht="12.75" customHeight="1" x14ac:dyDescent="0.2">
      <c r="A257" s="151" t="s">
        <v>7445</v>
      </c>
      <c r="B257" s="152" t="s">
        <v>2705</v>
      </c>
      <c r="C257" s="152" t="s">
        <v>2675</v>
      </c>
      <c r="D257" s="152" t="s">
        <v>1435</v>
      </c>
      <c r="E257" s="152" t="s">
        <v>2398</v>
      </c>
      <c r="F257" s="152" t="s">
        <v>2397</v>
      </c>
      <c r="G257" s="152" t="s">
        <v>2705</v>
      </c>
      <c r="H257" s="152" t="s">
        <v>2398</v>
      </c>
      <c r="I257" s="152" t="s">
        <v>2705</v>
      </c>
      <c r="J257" s="152" t="s">
        <v>2675</v>
      </c>
      <c r="K257" s="152" t="s">
        <v>2398</v>
      </c>
      <c r="L257" s="152" t="s">
        <v>1435</v>
      </c>
      <c r="M257" s="152" t="s">
        <v>2397</v>
      </c>
      <c r="N257" s="152" t="s">
        <v>2705</v>
      </c>
      <c r="O257" s="152" t="s">
        <v>2398</v>
      </c>
      <c r="P257" s="152" t="s">
        <v>2397</v>
      </c>
      <c r="Q257" s="152" t="s">
        <v>2705</v>
      </c>
      <c r="R257" s="152" t="s">
        <v>2705</v>
      </c>
      <c r="S257" s="152" t="s">
        <v>2705</v>
      </c>
      <c r="T257" s="152" t="s">
        <v>2397</v>
      </c>
      <c r="U257" s="152" t="s">
        <v>2705</v>
      </c>
    </row>
    <row r="258" spans="1:21" s="142" customFormat="1" ht="12.75" x14ac:dyDescent="0.2">
      <c r="A258" s="151"/>
      <c r="B258" s="152" t="s">
        <v>2675</v>
      </c>
      <c r="C258" s="152" t="s">
        <v>2675</v>
      </c>
      <c r="D258" s="152" t="s">
        <v>2398</v>
      </c>
      <c r="E258" s="152" t="s">
        <v>2705</v>
      </c>
      <c r="F258" s="152" t="s">
        <v>2705</v>
      </c>
      <c r="G258" s="152" t="s">
        <v>1435</v>
      </c>
      <c r="H258" s="152" t="s">
        <v>2398</v>
      </c>
      <c r="I258" s="152" t="s">
        <v>1435</v>
      </c>
      <c r="J258" s="152" t="s">
        <v>2397</v>
      </c>
      <c r="K258" s="152" t="s">
        <v>2705</v>
      </c>
      <c r="L258" s="152" t="s">
        <v>2705</v>
      </c>
      <c r="M258" s="152" t="s">
        <v>1435</v>
      </c>
      <c r="N258" s="152" t="s">
        <v>2705</v>
      </c>
      <c r="O258" s="152" t="s">
        <v>2398</v>
      </c>
      <c r="P258" s="152" t="s">
        <v>2675</v>
      </c>
      <c r="Q258" s="152" t="s">
        <v>2705</v>
      </c>
      <c r="R258" s="152" t="s">
        <v>2675</v>
      </c>
      <c r="S258" s="152" t="s">
        <v>2705</v>
      </c>
      <c r="T258" s="152" t="s">
        <v>2705</v>
      </c>
      <c r="U258" s="152" t="s">
        <v>1435</v>
      </c>
    </row>
    <row r="259" spans="1:21" s="142" customFormat="1" ht="12.75" customHeight="1" x14ac:dyDescent="0.2">
      <c r="A259" s="151" t="s">
        <v>7446</v>
      </c>
      <c r="B259" s="152" t="s">
        <v>2675</v>
      </c>
      <c r="C259" s="152" t="s">
        <v>2675</v>
      </c>
      <c r="D259" s="152" t="s">
        <v>2705</v>
      </c>
      <c r="E259" s="152" t="s">
        <v>2705</v>
      </c>
      <c r="F259" s="152" t="s">
        <v>2705</v>
      </c>
      <c r="G259" s="152" t="s">
        <v>1435</v>
      </c>
      <c r="H259" s="152" t="s">
        <v>1435</v>
      </c>
      <c r="I259" s="152" t="s">
        <v>1435</v>
      </c>
      <c r="J259" s="152" t="s">
        <v>2705</v>
      </c>
      <c r="K259" s="152" t="s">
        <v>2705</v>
      </c>
      <c r="L259" s="152" t="s">
        <v>2705</v>
      </c>
      <c r="M259" s="152" t="s">
        <v>2398</v>
      </c>
      <c r="N259" s="152" t="s">
        <v>2705</v>
      </c>
      <c r="O259" s="152" t="s">
        <v>2397</v>
      </c>
      <c r="P259" s="152" t="s">
        <v>2705</v>
      </c>
      <c r="Q259" s="152" t="s">
        <v>2705</v>
      </c>
      <c r="R259" s="152" t="s">
        <v>2705</v>
      </c>
      <c r="S259" s="152" t="s">
        <v>2675</v>
      </c>
      <c r="T259" s="152" t="s">
        <v>2705</v>
      </c>
      <c r="U259" s="152" t="s">
        <v>2398</v>
      </c>
    </row>
    <row r="260" spans="1:21" s="142" customFormat="1" ht="12.75" x14ac:dyDescent="0.2">
      <c r="A260" s="151"/>
      <c r="B260" s="152" t="s">
        <v>1435</v>
      </c>
      <c r="C260" s="152" t="s">
        <v>2705</v>
      </c>
      <c r="D260" s="152" t="s">
        <v>2398</v>
      </c>
      <c r="E260" s="152" t="s">
        <v>2675</v>
      </c>
      <c r="F260" s="152" t="s">
        <v>2705</v>
      </c>
      <c r="G260" s="152" t="s">
        <v>2705</v>
      </c>
      <c r="H260" s="152" t="s">
        <v>2705</v>
      </c>
      <c r="I260" s="152" t="s">
        <v>2705</v>
      </c>
      <c r="J260" s="152" t="s">
        <v>1435</v>
      </c>
      <c r="K260" s="152" t="s">
        <v>2705</v>
      </c>
      <c r="L260" s="152" t="s">
        <v>2397</v>
      </c>
      <c r="M260" s="152" t="s">
        <v>2675</v>
      </c>
      <c r="N260" s="152" t="s">
        <v>2398</v>
      </c>
      <c r="O260" s="152" t="s">
        <v>2705</v>
      </c>
      <c r="P260" s="152" t="s">
        <v>2705</v>
      </c>
      <c r="Q260" s="152" t="s">
        <v>2705</v>
      </c>
      <c r="R260" s="152" t="s">
        <v>2705</v>
      </c>
      <c r="S260" s="152" t="s">
        <v>2675</v>
      </c>
      <c r="T260" s="152" t="s">
        <v>2398</v>
      </c>
      <c r="U260" s="152" t="s">
        <v>2705</v>
      </c>
    </row>
    <row r="261" spans="1:21" s="142" customFormat="1" ht="12.75" customHeight="1" x14ac:dyDescent="0.2">
      <c r="A261" s="151" t="s">
        <v>7447</v>
      </c>
      <c r="B261" s="152" t="s">
        <v>2675</v>
      </c>
      <c r="C261" s="152" t="s">
        <v>2705</v>
      </c>
      <c r="D261" s="152" t="s">
        <v>2705</v>
      </c>
      <c r="E261" s="152" t="s">
        <v>2705</v>
      </c>
      <c r="F261" s="152" t="s">
        <v>2398</v>
      </c>
      <c r="G261" s="152" t="s">
        <v>2705</v>
      </c>
      <c r="H261" s="152" t="s">
        <v>2705</v>
      </c>
      <c r="I261" s="152" t="s">
        <v>2398</v>
      </c>
      <c r="J261" s="152" t="s">
        <v>2705</v>
      </c>
      <c r="K261" s="152" t="s">
        <v>2705</v>
      </c>
      <c r="L261" s="152" t="s">
        <v>2398</v>
      </c>
      <c r="M261" s="152" t="s">
        <v>2398</v>
      </c>
      <c r="N261" s="152" t="s">
        <v>2398</v>
      </c>
      <c r="O261" s="152" t="s">
        <v>2705</v>
      </c>
      <c r="P261" s="152" t="s">
        <v>2705</v>
      </c>
      <c r="Q261" s="152" t="s">
        <v>2705</v>
      </c>
      <c r="R261" s="152" t="s">
        <v>2398</v>
      </c>
      <c r="S261" s="152" t="s">
        <v>2705</v>
      </c>
      <c r="T261" s="152" t="s">
        <v>2705</v>
      </c>
      <c r="U261" s="152" t="s">
        <v>2705</v>
      </c>
    </row>
    <row r="262" spans="1:21" s="142" customFormat="1" ht="12.75" x14ac:dyDescent="0.2">
      <c r="A262" s="151"/>
      <c r="B262" s="152" t="s">
        <v>2675</v>
      </c>
      <c r="C262" s="152" t="s">
        <v>2705</v>
      </c>
      <c r="D262" s="152" t="s">
        <v>2398</v>
      </c>
      <c r="E262" s="152" t="s">
        <v>2705</v>
      </c>
      <c r="F262" s="152" t="s">
        <v>2705</v>
      </c>
      <c r="G262" s="152" t="s">
        <v>2398</v>
      </c>
      <c r="H262" s="152" t="s">
        <v>2397</v>
      </c>
      <c r="I262" s="152" t="s">
        <v>2398</v>
      </c>
      <c r="J262" s="152" t="s">
        <v>2398</v>
      </c>
      <c r="K262" s="152" t="s">
        <v>2398</v>
      </c>
      <c r="L262" s="152" t="s">
        <v>2398</v>
      </c>
      <c r="M262" s="152" t="s">
        <v>2398</v>
      </c>
      <c r="N262" s="152" t="s">
        <v>2705</v>
      </c>
      <c r="O262" s="152" t="s">
        <v>2398</v>
      </c>
      <c r="P262" s="152" t="s">
        <v>2675</v>
      </c>
      <c r="Q262" s="152" t="s">
        <v>2398</v>
      </c>
      <c r="R262" s="152" t="s">
        <v>2705</v>
      </c>
      <c r="S262" s="152" t="s">
        <v>2705</v>
      </c>
      <c r="T262" s="152" t="s">
        <v>2398</v>
      </c>
      <c r="U262" s="152" t="s">
        <v>2705</v>
      </c>
    </row>
    <row r="263" spans="1:21" s="142" customFormat="1" ht="12.75" customHeight="1" x14ac:dyDescent="0.2">
      <c r="A263" s="151" t="s">
        <v>7448</v>
      </c>
      <c r="B263" s="152" t="s">
        <v>2705</v>
      </c>
      <c r="C263" s="152" t="s">
        <v>2705</v>
      </c>
      <c r="D263" s="152" t="s">
        <v>2705</v>
      </c>
      <c r="E263" s="152" t="s">
        <v>2705</v>
      </c>
      <c r="F263" s="152" t="s">
        <v>2398</v>
      </c>
      <c r="G263" s="152" t="s">
        <v>2705</v>
      </c>
      <c r="H263" s="152" t="s">
        <v>2705</v>
      </c>
      <c r="I263" s="152" t="s">
        <v>2705</v>
      </c>
      <c r="J263" s="152" t="s">
        <v>2705</v>
      </c>
      <c r="K263" s="152" t="s">
        <v>2705</v>
      </c>
      <c r="L263" s="152" t="s">
        <v>1435</v>
      </c>
      <c r="M263" s="152" t="s">
        <v>2397</v>
      </c>
      <c r="N263" s="152" t="s">
        <v>2705</v>
      </c>
      <c r="O263" s="152" t="s">
        <v>2705</v>
      </c>
      <c r="P263" s="152" t="s">
        <v>2675</v>
      </c>
      <c r="Q263" s="152" t="s">
        <v>1435</v>
      </c>
      <c r="R263" s="152" t="s">
        <v>2675</v>
      </c>
      <c r="S263" s="152" t="s">
        <v>2675</v>
      </c>
      <c r="T263" s="152" t="s">
        <v>2397</v>
      </c>
      <c r="U263" s="152" t="s">
        <v>2705</v>
      </c>
    </row>
    <row r="264" spans="1:21" s="142" customFormat="1" ht="12.75" x14ac:dyDescent="0.2">
      <c r="A264" s="151"/>
      <c r="B264" s="152" t="s">
        <v>2705</v>
      </c>
      <c r="C264" s="152" t="s">
        <v>2398</v>
      </c>
      <c r="D264" s="152" t="s">
        <v>2705</v>
      </c>
      <c r="E264" s="152" t="s">
        <v>2398</v>
      </c>
      <c r="F264" s="152" t="s">
        <v>2398</v>
      </c>
      <c r="G264" s="152" t="s">
        <v>2705</v>
      </c>
      <c r="H264" s="152" t="s">
        <v>2705</v>
      </c>
      <c r="I264" s="152" t="s">
        <v>2705</v>
      </c>
      <c r="J264" s="152" t="s">
        <v>2675</v>
      </c>
      <c r="K264" s="152" t="s">
        <v>2675</v>
      </c>
      <c r="L264" s="152" t="s">
        <v>2705</v>
      </c>
      <c r="M264" s="152" t="s">
        <v>2398</v>
      </c>
      <c r="N264" s="152" t="s">
        <v>2398</v>
      </c>
      <c r="O264" s="152" t="s">
        <v>2398</v>
      </c>
      <c r="P264" s="152" t="s">
        <v>2397</v>
      </c>
      <c r="Q264" s="152" t="s">
        <v>2705</v>
      </c>
      <c r="R264" s="152" t="s">
        <v>2398</v>
      </c>
      <c r="S264" s="152" t="s">
        <v>2398</v>
      </c>
      <c r="T264" s="152" t="s">
        <v>2398</v>
      </c>
      <c r="U264" s="152" t="s">
        <v>2398</v>
      </c>
    </row>
    <row r="265" spans="1:21" s="142" customFormat="1" ht="12.75" customHeight="1" x14ac:dyDescent="0.2">
      <c r="A265" s="151" t="s">
        <v>7449</v>
      </c>
      <c r="B265" s="152" t="s">
        <v>2398</v>
      </c>
      <c r="C265" s="152" t="s">
        <v>2705</v>
      </c>
      <c r="D265" s="152" t="s">
        <v>2675</v>
      </c>
      <c r="E265" s="152" t="s">
        <v>2705</v>
      </c>
      <c r="F265" s="152" t="s">
        <v>2398</v>
      </c>
      <c r="G265" s="152" t="s">
        <v>2705</v>
      </c>
      <c r="H265" s="152" t="s">
        <v>2705</v>
      </c>
      <c r="I265" s="152" t="s">
        <v>2705</v>
      </c>
      <c r="J265" s="152" t="s">
        <v>2705</v>
      </c>
      <c r="K265" s="152" t="s">
        <v>2398</v>
      </c>
      <c r="L265" s="152" t="s">
        <v>2675</v>
      </c>
      <c r="M265" s="152" t="s">
        <v>2398</v>
      </c>
      <c r="N265" s="152" t="s">
        <v>2705</v>
      </c>
      <c r="O265" s="152" t="s">
        <v>2398</v>
      </c>
      <c r="P265" s="152" t="s">
        <v>2398</v>
      </c>
      <c r="Q265" s="152" t="s">
        <v>2705</v>
      </c>
      <c r="R265" s="152" t="s">
        <v>2705</v>
      </c>
      <c r="S265" s="152" t="s">
        <v>2705</v>
      </c>
      <c r="T265" s="152" t="s">
        <v>2398</v>
      </c>
      <c r="U265" s="152" t="s">
        <v>2398</v>
      </c>
    </row>
    <row r="266" spans="1:21" s="142" customFormat="1" ht="12.75" x14ac:dyDescent="0.2">
      <c r="A266" s="151"/>
      <c r="B266" s="152" t="s">
        <v>2705</v>
      </c>
      <c r="C266" s="152" t="s">
        <v>2675</v>
      </c>
      <c r="D266" s="152" t="s">
        <v>2398</v>
      </c>
      <c r="E266" s="152" t="s">
        <v>2675</v>
      </c>
      <c r="F266" s="152" t="s">
        <v>2398</v>
      </c>
      <c r="G266" s="152" t="s">
        <v>2398</v>
      </c>
      <c r="H266" s="152" t="s">
        <v>2705</v>
      </c>
      <c r="I266" s="152" t="s">
        <v>2398</v>
      </c>
      <c r="J266" s="152" t="s">
        <v>2705</v>
      </c>
      <c r="K266" s="152" t="s">
        <v>2705</v>
      </c>
      <c r="L266" s="152" t="s">
        <v>2398</v>
      </c>
      <c r="M266" s="152" t="s">
        <v>2705</v>
      </c>
      <c r="N266" s="152" t="s">
        <v>2705</v>
      </c>
      <c r="O266" s="152" t="s">
        <v>2397</v>
      </c>
      <c r="P266" s="152" t="s">
        <v>1435</v>
      </c>
      <c r="Q266" s="152" t="s">
        <v>1435</v>
      </c>
      <c r="R266" s="152" t="s">
        <v>1435</v>
      </c>
      <c r="S266" s="152" t="s">
        <v>2705</v>
      </c>
      <c r="T266" s="152" t="s">
        <v>2705</v>
      </c>
      <c r="U266" s="152" t="s">
        <v>2398</v>
      </c>
    </row>
    <row r="267" spans="1:21" s="142" customFormat="1" ht="12.75" customHeight="1" x14ac:dyDescent="0.2">
      <c r="A267" s="151" t="s">
        <v>7450</v>
      </c>
      <c r="B267" s="152" t="s">
        <v>2705</v>
      </c>
      <c r="C267" s="152" t="s">
        <v>2675</v>
      </c>
      <c r="D267" s="152" t="s">
        <v>2398</v>
      </c>
      <c r="E267" s="152" t="s">
        <v>2705</v>
      </c>
      <c r="F267" s="152" t="s">
        <v>2398</v>
      </c>
      <c r="G267" s="152" t="s">
        <v>2705</v>
      </c>
      <c r="H267" s="152" t="s">
        <v>2398</v>
      </c>
      <c r="I267" s="152" t="s">
        <v>2398</v>
      </c>
      <c r="J267" s="152" t="s">
        <v>2398</v>
      </c>
      <c r="K267" s="152" t="s">
        <v>2705</v>
      </c>
      <c r="L267" s="152" t="s">
        <v>2705</v>
      </c>
      <c r="M267" s="152" t="s">
        <v>2398</v>
      </c>
      <c r="N267" s="152" t="s">
        <v>2705</v>
      </c>
      <c r="O267" s="152" t="s">
        <v>2398</v>
      </c>
      <c r="P267" s="152" t="s">
        <v>2675</v>
      </c>
      <c r="Q267" s="152" t="s">
        <v>2398</v>
      </c>
      <c r="R267" s="152" t="s">
        <v>2397</v>
      </c>
      <c r="S267" s="152" t="s">
        <v>2397</v>
      </c>
      <c r="T267" s="152" t="s">
        <v>2675</v>
      </c>
      <c r="U267" s="152" t="s">
        <v>2398</v>
      </c>
    </row>
    <row r="268" spans="1:21" s="142" customFormat="1" ht="12.75" x14ac:dyDescent="0.2">
      <c r="A268" s="151"/>
      <c r="B268" s="152" t="s">
        <v>2705</v>
      </c>
      <c r="C268" s="152" t="s">
        <v>2705</v>
      </c>
      <c r="D268" s="152" t="s">
        <v>2675</v>
      </c>
      <c r="E268" s="152" t="s">
        <v>2397</v>
      </c>
      <c r="F268" s="152" t="s">
        <v>2705</v>
      </c>
      <c r="G268" s="152" t="s">
        <v>2398</v>
      </c>
      <c r="H268" s="152" t="s">
        <v>2398</v>
      </c>
      <c r="I268" s="152" t="s">
        <v>2705</v>
      </c>
      <c r="J268" s="152" t="s">
        <v>2705</v>
      </c>
      <c r="K268" s="152" t="s">
        <v>2398</v>
      </c>
      <c r="L268" s="152" t="s">
        <v>2705</v>
      </c>
      <c r="M268" s="152" t="s">
        <v>2398</v>
      </c>
      <c r="N268" s="152" t="s">
        <v>2398</v>
      </c>
      <c r="O268" s="152" t="s">
        <v>1435</v>
      </c>
      <c r="P268" s="152" t="s">
        <v>2398</v>
      </c>
      <c r="Q268" s="152" t="s">
        <v>2398</v>
      </c>
      <c r="R268" s="152" t="s">
        <v>2398</v>
      </c>
      <c r="S268" s="152" t="s">
        <v>2397</v>
      </c>
      <c r="T268" s="152" t="s">
        <v>2705</v>
      </c>
      <c r="U268" s="152" t="s">
        <v>2398</v>
      </c>
    </row>
    <row r="269" spans="1:21" s="142" customFormat="1" ht="12.75" customHeight="1" x14ac:dyDescent="0.2">
      <c r="A269" s="151" t="s">
        <v>7451</v>
      </c>
      <c r="B269" s="152" t="s">
        <v>2705</v>
      </c>
      <c r="C269" s="152" t="s">
        <v>2705</v>
      </c>
      <c r="D269" s="152" t="s">
        <v>2705</v>
      </c>
      <c r="E269" s="152" t="s">
        <v>2705</v>
      </c>
      <c r="F269" s="152" t="s">
        <v>2705</v>
      </c>
      <c r="G269" s="152" t="s">
        <v>2705</v>
      </c>
      <c r="H269" s="152" t="s">
        <v>2397</v>
      </c>
      <c r="I269" s="152" t="s">
        <v>2675</v>
      </c>
      <c r="J269" s="152" t="s">
        <v>2675</v>
      </c>
      <c r="K269" s="152" t="s">
        <v>2705</v>
      </c>
      <c r="L269" s="152" t="s">
        <v>1435</v>
      </c>
      <c r="M269" s="152" t="s">
        <v>2705</v>
      </c>
      <c r="N269" s="152" t="s">
        <v>2705</v>
      </c>
      <c r="O269" s="152" t="s">
        <v>2705</v>
      </c>
      <c r="P269" s="152" t="s">
        <v>2705</v>
      </c>
      <c r="Q269" s="152" t="s">
        <v>2398</v>
      </c>
      <c r="R269" s="152" t="s">
        <v>2398</v>
      </c>
      <c r="S269" s="152" t="s">
        <v>2705</v>
      </c>
      <c r="T269" s="152" t="s">
        <v>2705</v>
      </c>
      <c r="U269" s="152" t="s">
        <v>2705</v>
      </c>
    </row>
    <row r="270" spans="1:21" s="142" customFormat="1" ht="12.75" x14ac:dyDescent="0.2">
      <c r="A270" s="151"/>
      <c r="B270" s="152" t="s">
        <v>2705</v>
      </c>
      <c r="C270" s="152" t="s">
        <v>2675</v>
      </c>
      <c r="D270" s="152" t="s">
        <v>2397</v>
      </c>
      <c r="E270" s="152" t="s">
        <v>2705</v>
      </c>
      <c r="F270" s="152" t="s">
        <v>2705</v>
      </c>
      <c r="G270" s="152" t="s">
        <v>2705</v>
      </c>
      <c r="H270" s="152" t="s">
        <v>2705</v>
      </c>
      <c r="I270" s="152" t="s">
        <v>2705</v>
      </c>
      <c r="J270" s="152" t="s">
        <v>1435</v>
      </c>
      <c r="K270" s="152" t="s">
        <v>2705</v>
      </c>
      <c r="L270" s="152" t="s">
        <v>2705</v>
      </c>
      <c r="M270" s="152" t="s">
        <v>2705</v>
      </c>
      <c r="N270" s="152" t="s">
        <v>2397</v>
      </c>
      <c r="O270" s="152" t="s">
        <v>2398</v>
      </c>
      <c r="P270" s="152" t="s">
        <v>2675</v>
      </c>
      <c r="Q270" s="152" t="s">
        <v>2705</v>
      </c>
      <c r="R270" s="152" t="s">
        <v>2705</v>
      </c>
      <c r="S270" s="152" t="s">
        <v>2705</v>
      </c>
      <c r="T270" s="152" t="s">
        <v>2705</v>
      </c>
      <c r="U270" s="152" t="s">
        <v>2675</v>
      </c>
    </row>
    <row r="271" spans="1:21" s="142" customFormat="1" ht="12.75" customHeight="1" x14ac:dyDescent="0.2">
      <c r="A271" s="151" t="s">
        <v>7452</v>
      </c>
      <c r="B271" s="152" t="s">
        <v>2705</v>
      </c>
      <c r="C271" s="152" t="s">
        <v>2398</v>
      </c>
      <c r="D271" s="152" t="s">
        <v>2705</v>
      </c>
      <c r="E271" s="152" t="s">
        <v>2705</v>
      </c>
      <c r="F271" s="152" t="s">
        <v>2705</v>
      </c>
      <c r="G271" s="152" t="s">
        <v>2705</v>
      </c>
      <c r="H271" s="152" t="s">
        <v>2705</v>
      </c>
      <c r="I271" s="152" t="s">
        <v>2705</v>
      </c>
      <c r="J271" s="152" t="s">
        <v>2705</v>
      </c>
      <c r="K271" s="152" t="s">
        <v>2705</v>
      </c>
      <c r="L271" s="152" t="s">
        <v>2705</v>
      </c>
      <c r="M271" s="152" t="s">
        <v>2705</v>
      </c>
      <c r="N271" s="152" t="s">
        <v>2705</v>
      </c>
      <c r="O271" s="152" t="s">
        <v>2705</v>
      </c>
      <c r="P271" s="152" t="s">
        <v>2705</v>
      </c>
      <c r="Q271" s="152" t="s">
        <v>2705</v>
      </c>
      <c r="R271" s="152" t="s">
        <v>1435</v>
      </c>
      <c r="S271" s="152" t="s">
        <v>2705</v>
      </c>
      <c r="T271" s="152" t="s">
        <v>2705</v>
      </c>
      <c r="U271" s="152" t="s">
        <v>2675</v>
      </c>
    </row>
    <row r="272" spans="1:21" s="142" customFormat="1" ht="12.75" x14ac:dyDescent="0.2">
      <c r="A272" s="151"/>
      <c r="B272" s="152" t="s">
        <v>2705</v>
      </c>
      <c r="C272" s="152" t="s">
        <v>2705</v>
      </c>
      <c r="D272" s="152" t="s">
        <v>1435</v>
      </c>
      <c r="E272" s="152" t="s">
        <v>2398</v>
      </c>
      <c r="F272" s="152" t="s">
        <v>2398</v>
      </c>
      <c r="G272" s="152" t="s">
        <v>2705</v>
      </c>
      <c r="H272" s="152" t="s">
        <v>2705</v>
      </c>
      <c r="I272" s="152" t="s">
        <v>2705</v>
      </c>
      <c r="J272" s="152" t="s">
        <v>2675</v>
      </c>
      <c r="K272" s="152" t="s">
        <v>2705</v>
      </c>
      <c r="L272" s="152" t="s">
        <v>2705</v>
      </c>
      <c r="M272" s="152" t="s">
        <v>2705</v>
      </c>
      <c r="N272" s="152" t="s">
        <v>2705</v>
      </c>
      <c r="O272" s="152" t="s">
        <v>2397</v>
      </c>
      <c r="P272" s="152" t="s">
        <v>1435</v>
      </c>
      <c r="Q272" s="152" t="s">
        <v>1435</v>
      </c>
      <c r="R272" s="152" t="s">
        <v>2705</v>
      </c>
      <c r="S272" s="152" t="s">
        <v>2705</v>
      </c>
      <c r="T272" s="152" t="s">
        <v>2705</v>
      </c>
      <c r="U272" s="152" t="s">
        <v>2675</v>
      </c>
    </row>
    <row r="273" spans="1:21" s="142" customFormat="1" ht="12.75" customHeight="1" x14ac:dyDescent="0.2">
      <c r="A273" s="151" t="s">
        <v>7453</v>
      </c>
      <c r="B273" s="152" t="s">
        <v>2398</v>
      </c>
      <c r="C273" s="152" t="s">
        <v>2675</v>
      </c>
      <c r="D273" s="152" t="s">
        <v>1435</v>
      </c>
      <c r="E273" s="152" t="s">
        <v>1435</v>
      </c>
      <c r="F273" s="152" t="s">
        <v>2705</v>
      </c>
      <c r="G273" s="152" t="s">
        <v>1435</v>
      </c>
      <c r="H273" s="152" t="s">
        <v>2397</v>
      </c>
      <c r="I273" s="152" t="s">
        <v>2705</v>
      </c>
      <c r="J273" s="152" t="s">
        <v>2705</v>
      </c>
      <c r="K273" s="152" t="s">
        <v>2397</v>
      </c>
      <c r="L273" s="152" t="s">
        <v>2397</v>
      </c>
      <c r="M273" s="152" t="s">
        <v>2705</v>
      </c>
      <c r="N273" s="152" t="s">
        <v>2397</v>
      </c>
      <c r="O273" s="152" t="s">
        <v>2397</v>
      </c>
      <c r="P273" s="152" t="s">
        <v>1435</v>
      </c>
      <c r="Q273" s="152" t="s">
        <v>2398</v>
      </c>
      <c r="R273" s="152" t="s">
        <v>2705</v>
      </c>
      <c r="S273" s="152" t="s">
        <v>2705</v>
      </c>
      <c r="T273" s="152" t="s">
        <v>2397</v>
      </c>
      <c r="U273" s="152" t="s">
        <v>2705</v>
      </c>
    </row>
    <row r="274" spans="1:21" s="142" customFormat="1" ht="12.75" x14ac:dyDescent="0.2">
      <c r="A274" s="151"/>
      <c r="B274" s="152" t="s">
        <v>2705</v>
      </c>
      <c r="C274" s="152" t="s">
        <v>2705</v>
      </c>
      <c r="D274" s="152" t="s">
        <v>2397</v>
      </c>
      <c r="E274" s="152" t="s">
        <v>2675</v>
      </c>
      <c r="F274" s="152" t="s">
        <v>2705</v>
      </c>
      <c r="G274" s="152" t="s">
        <v>1435</v>
      </c>
      <c r="H274" s="152" t="s">
        <v>2397</v>
      </c>
      <c r="I274" s="152" t="s">
        <v>2705</v>
      </c>
      <c r="J274" s="152" t="s">
        <v>1435</v>
      </c>
      <c r="K274" s="152" t="s">
        <v>1435</v>
      </c>
      <c r="L274" s="152" t="s">
        <v>2705</v>
      </c>
      <c r="M274" s="152" t="s">
        <v>1435</v>
      </c>
      <c r="N274" s="152" t="s">
        <v>2705</v>
      </c>
      <c r="O274" s="152" t="s">
        <v>2675</v>
      </c>
      <c r="P274" s="152" t="s">
        <v>2675</v>
      </c>
      <c r="Q274" s="152" t="s">
        <v>1435</v>
      </c>
      <c r="R274" s="152" t="s">
        <v>2675</v>
      </c>
      <c r="S274" s="152" t="s">
        <v>2705</v>
      </c>
      <c r="T274" s="152" t="s">
        <v>1435</v>
      </c>
      <c r="U274" s="152" t="s">
        <v>2675</v>
      </c>
    </row>
    <row r="275" spans="1:21" s="142" customFormat="1" ht="12.75" customHeight="1" x14ac:dyDescent="0.2">
      <c r="A275" s="151" t="s">
        <v>7454</v>
      </c>
      <c r="B275" s="152" t="s">
        <v>2397</v>
      </c>
      <c r="C275" s="152" t="s">
        <v>2705</v>
      </c>
      <c r="D275" s="152" t="s">
        <v>2705</v>
      </c>
      <c r="E275" s="152" t="s">
        <v>1435</v>
      </c>
      <c r="F275" s="152" t="s">
        <v>2705</v>
      </c>
      <c r="G275" s="152" t="s">
        <v>2705</v>
      </c>
      <c r="H275" s="152" t="s">
        <v>2705</v>
      </c>
      <c r="I275" s="152" t="s">
        <v>2705</v>
      </c>
      <c r="J275" s="152" t="s">
        <v>2398</v>
      </c>
      <c r="K275" s="152" t="s">
        <v>2705</v>
      </c>
      <c r="L275" s="152" t="s">
        <v>2705</v>
      </c>
      <c r="M275" s="152" t="s">
        <v>2398</v>
      </c>
      <c r="N275" s="152" t="s">
        <v>2675</v>
      </c>
      <c r="O275" s="152" t="s">
        <v>1435</v>
      </c>
      <c r="P275" s="152" t="s">
        <v>2705</v>
      </c>
      <c r="Q275" s="152" t="s">
        <v>2398</v>
      </c>
      <c r="R275" s="152" t="s">
        <v>2398</v>
      </c>
      <c r="S275" s="152" t="s">
        <v>2398</v>
      </c>
      <c r="T275" s="152" t="s">
        <v>2705</v>
      </c>
      <c r="U275" s="152" t="s">
        <v>2398</v>
      </c>
    </row>
    <row r="276" spans="1:21" s="142" customFormat="1" ht="12.75" x14ac:dyDescent="0.2">
      <c r="A276" s="151"/>
      <c r="B276" s="152" t="s">
        <v>2705</v>
      </c>
      <c r="C276" s="152" t="s">
        <v>2397</v>
      </c>
      <c r="D276" s="152" t="s">
        <v>2705</v>
      </c>
      <c r="E276" s="152" t="s">
        <v>2705</v>
      </c>
      <c r="F276" s="152" t="s">
        <v>2675</v>
      </c>
      <c r="G276" s="152" t="s">
        <v>2675</v>
      </c>
      <c r="H276" s="152" t="s">
        <v>2705</v>
      </c>
      <c r="I276" s="152" t="s">
        <v>2398</v>
      </c>
      <c r="J276" s="152" t="s">
        <v>2397</v>
      </c>
      <c r="K276" s="152" t="s">
        <v>2398</v>
      </c>
      <c r="L276" s="152" t="s">
        <v>2705</v>
      </c>
      <c r="M276" s="152" t="s">
        <v>2675</v>
      </c>
      <c r="N276" s="152" t="s">
        <v>2398</v>
      </c>
      <c r="O276" s="152" t="s">
        <v>2705</v>
      </c>
      <c r="P276" s="152" t="s">
        <v>2398</v>
      </c>
      <c r="Q276" s="152" t="s">
        <v>1435</v>
      </c>
      <c r="R276" s="152" t="s">
        <v>1435</v>
      </c>
      <c r="S276" s="152" t="s">
        <v>2705</v>
      </c>
      <c r="T276" s="152" t="s">
        <v>2705</v>
      </c>
      <c r="U276" s="152" t="s">
        <v>1435</v>
      </c>
    </row>
    <row r="277" spans="1:21" s="142" customFormat="1" ht="12.75" customHeight="1" x14ac:dyDescent="0.2">
      <c r="A277" s="151" t="s">
        <v>7455</v>
      </c>
      <c r="B277" s="152" t="s">
        <v>2705</v>
      </c>
      <c r="C277" s="152" t="s">
        <v>2705</v>
      </c>
      <c r="D277" s="152" t="s">
        <v>2675</v>
      </c>
      <c r="E277" s="152" t="s">
        <v>2705</v>
      </c>
      <c r="F277" s="152" t="s">
        <v>2705</v>
      </c>
      <c r="G277" s="152" t="s">
        <v>2705</v>
      </c>
      <c r="H277" s="152" t="s">
        <v>2398</v>
      </c>
      <c r="I277" s="152" t="s">
        <v>2398</v>
      </c>
      <c r="J277" s="152" t="s">
        <v>2675</v>
      </c>
      <c r="K277" s="152" t="s">
        <v>2705</v>
      </c>
      <c r="L277" s="152" t="s">
        <v>2398</v>
      </c>
      <c r="M277" s="152" t="s">
        <v>2705</v>
      </c>
      <c r="N277" s="152" t="s">
        <v>2705</v>
      </c>
      <c r="O277" s="152" t="s">
        <v>2705</v>
      </c>
      <c r="P277" s="152" t="s">
        <v>2398</v>
      </c>
      <c r="Q277" s="152" t="s">
        <v>2675</v>
      </c>
      <c r="R277" s="152" t="s">
        <v>2398</v>
      </c>
      <c r="S277" s="152" t="s">
        <v>2705</v>
      </c>
      <c r="T277" s="152" t="s">
        <v>2398</v>
      </c>
      <c r="U277" s="152" t="s">
        <v>2398</v>
      </c>
    </row>
    <row r="278" spans="1:21" s="142" customFormat="1" ht="12.75" x14ac:dyDescent="0.2">
      <c r="A278" s="151"/>
      <c r="B278" s="152" t="s">
        <v>2398</v>
      </c>
      <c r="C278" s="152" t="s">
        <v>2398</v>
      </c>
      <c r="D278" s="152" t="s">
        <v>2705</v>
      </c>
      <c r="E278" s="152" t="s">
        <v>2398</v>
      </c>
      <c r="F278" s="152" t="s">
        <v>2705</v>
      </c>
      <c r="G278" s="152" t="s">
        <v>2397</v>
      </c>
      <c r="H278" s="152" t="s">
        <v>2398</v>
      </c>
      <c r="I278" s="152" t="s">
        <v>2705</v>
      </c>
      <c r="J278" s="152" t="s">
        <v>2705</v>
      </c>
      <c r="K278" s="152" t="s">
        <v>2398</v>
      </c>
      <c r="L278" s="152" t="s">
        <v>2398</v>
      </c>
      <c r="M278" s="152" t="s">
        <v>2398</v>
      </c>
      <c r="N278" s="152" t="s">
        <v>2705</v>
      </c>
      <c r="O278" s="152" t="s">
        <v>2705</v>
      </c>
      <c r="P278" s="152" t="s">
        <v>1435</v>
      </c>
      <c r="Q278" s="152" t="s">
        <v>1435</v>
      </c>
      <c r="R278" s="152" t="s">
        <v>2398</v>
      </c>
      <c r="S278" s="152" t="s">
        <v>2398</v>
      </c>
      <c r="T278" s="152" t="s">
        <v>2705</v>
      </c>
      <c r="U278" s="152" t="s">
        <v>2398</v>
      </c>
    </row>
    <row r="279" spans="1:21" s="142" customFormat="1" ht="12.75" customHeight="1" x14ac:dyDescent="0.2">
      <c r="A279" s="151" t="s">
        <v>7456</v>
      </c>
      <c r="B279" s="152" t="s">
        <v>2397</v>
      </c>
      <c r="C279" s="152" t="s">
        <v>2398</v>
      </c>
      <c r="D279" s="152" t="s">
        <v>2705</v>
      </c>
      <c r="E279" s="152" t="s">
        <v>2398</v>
      </c>
      <c r="F279" s="152" t="s">
        <v>2398</v>
      </c>
      <c r="G279" s="152" t="s">
        <v>2705</v>
      </c>
      <c r="H279" s="152" t="s">
        <v>2398</v>
      </c>
      <c r="I279" s="152" t="s">
        <v>2398</v>
      </c>
      <c r="J279" s="152" t="s">
        <v>2705</v>
      </c>
      <c r="K279" s="152" t="s">
        <v>2398</v>
      </c>
      <c r="L279" s="152" t="s">
        <v>2705</v>
      </c>
      <c r="M279" s="152" t="s">
        <v>2398</v>
      </c>
      <c r="N279" s="152" t="s">
        <v>2705</v>
      </c>
      <c r="O279" s="152" t="s">
        <v>2705</v>
      </c>
      <c r="P279" s="152" t="s">
        <v>2705</v>
      </c>
      <c r="Q279" s="152" t="s">
        <v>2705</v>
      </c>
      <c r="R279" s="152" t="s">
        <v>2397</v>
      </c>
      <c r="S279" s="152" t="s">
        <v>2705</v>
      </c>
      <c r="T279" s="152" t="s">
        <v>2398</v>
      </c>
      <c r="U279" s="152" t="s">
        <v>2398</v>
      </c>
    </row>
    <row r="280" spans="1:21" s="142" customFormat="1" ht="12.75" x14ac:dyDescent="0.2">
      <c r="A280" s="151"/>
      <c r="B280" s="152" t="s">
        <v>2705</v>
      </c>
      <c r="C280" s="152" t="s">
        <v>2398</v>
      </c>
      <c r="D280" s="152" t="s">
        <v>2398</v>
      </c>
      <c r="E280" s="152" t="s">
        <v>2675</v>
      </c>
      <c r="F280" s="152" t="s">
        <v>2705</v>
      </c>
      <c r="G280" s="152" t="s">
        <v>2398</v>
      </c>
      <c r="H280" s="152" t="s">
        <v>2705</v>
      </c>
      <c r="I280" s="152" t="s">
        <v>2675</v>
      </c>
      <c r="J280" s="152" t="s">
        <v>2397</v>
      </c>
      <c r="K280" s="152" t="s">
        <v>2705</v>
      </c>
      <c r="L280" s="152" t="s">
        <v>2398</v>
      </c>
      <c r="M280" s="152" t="s">
        <v>2705</v>
      </c>
      <c r="N280" s="152" t="s">
        <v>2675</v>
      </c>
      <c r="O280" s="152" t="s">
        <v>2398</v>
      </c>
      <c r="P280" s="152" t="s">
        <v>2705</v>
      </c>
      <c r="Q280" s="152" t="s">
        <v>2705</v>
      </c>
      <c r="R280" s="152" t="s">
        <v>2398</v>
      </c>
      <c r="S280" s="152" t="s">
        <v>1435</v>
      </c>
      <c r="T280" s="152" t="s">
        <v>2705</v>
      </c>
      <c r="U280" s="152" t="s">
        <v>2397</v>
      </c>
    </row>
    <row r="281" spans="1:21" s="142" customFormat="1" ht="12.75" customHeight="1" x14ac:dyDescent="0.2">
      <c r="A281" s="151" t="s">
        <v>7457</v>
      </c>
      <c r="B281" s="152" t="s">
        <v>2398</v>
      </c>
      <c r="C281" s="152" t="s">
        <v>2398</v>
      </c>
      <c r="D281" s="152" t="s">
        <v>2398</v>
      </c>
      <c r="E281" s="152" t="s">
        <v>2398</v>
      </c>
      <c r="F281" s="152" t="s">
        <v>2398</v>
      </c>
      <c r="G281" s="152" t="s">
        <v>2398</v>
      </c>
      <c r="H281" s="152" t="s">
        <v>2398</v>
      </c>
      <c r="I281" s="152" t="s">
        <v>2398</v>
      </c>
      <c r="J281" s="152" t="s">
        <v>2398</v>
      </c>
      <c r="K281" s="152" t="s">
        <v>2398</v>
      </c>
      <c r="L281" s="152" t="s">
        <v>2675</v>
      </c>
      <c r="M281" s="152" t="s">
        <v>2705</v>
      </c>
      <c r="N281" s="152" t="s">
        <v>2705</v>
      </c>
      <c r="O281" s="152" t="s">
        <v>2705</v>
      </c>
      <c r="P281" s="152" t="s">
        <v>2398</v>
      </c>
      <c r="Q281" s="152" t="s">
        <v>2705</v>
      </c>
      <c r="R281" s="152" t="s">
        <v>1435</v>
      </c>
      <c r="S281" s="152" t="s">
        <v>2705</v>
      </c>
      <c r="T281" s="152" t="s">
        <v>2398</v>
      </c>
      <c r="U281" s="152" t="s">
        <v>2705</v>
      </c>
    </row>
    <row r="282" spans="1:21" s="142" customFormat="1" ht="12.75" x14ac:dyDescent="0.2">
      <c r="A282" s="151"/>
      <c r="B282" s="152" t="s">
        <v>2705</v>
      </c>
      <c r="C282" s="152" t="s">
        <v>2397</v>
      </c>
      <c r="D282" s="152" t="s">
        <v>2398</v>
      </c>
      <c r="E282" s="152" t="s">
        <v>1435</v>
      </c>
      <c r="F282" s="152" t="s">
        <v>2705</v>
      </c>
      <c r="G282" s="152" t="s">
        <v>2705</v>
      </c>
      <c r="H282" s="152" t="s">
        <v>2705</v>
      </c>
      <c r="I282" s="152" t="s">
        <v>2398</v>
      </c>
      <c r="J282" s="152" t="s">
        <v>2398</v>
      </c>
      <c r="K282" s="152" t="s">
        <v>2705</v>
      </c>
      <c r="L282" s="152" t="s">
        <v>2397</v>
      </c>
      <c r="M282" s="152" t="s">
        <v>2705</v>
      </c>
      <c r="N282" s="152" t="s">
        <v>2705</v>
      </c>
      <c r="O282" s="152" t="s">
        <v>2398</v>
      </c>
      <c r="P282" s="152" t="s">
        <v>2398</v>
      </c>
      <c r="Q282" s="152" t="s">
        <v>2398</v>
      </c>
      <c r="R282" s="152" t="s">
        <v>2705</v>
      </c>
      <c r="S282" s="152" t="s">
        <v>2398</v>
      </c>
      <c r="T282" s="152" t="s">
        <v>2397</v>
      </c>
      <c r="U282" s="152" t="s">
        <v>2398</v>
      </c>
    </row>
    <row r="283" spans="1:21" s="142" customFormat="1" ht="12.75" customHeight="1" x14ac:dyDescent="0.2">
      <c r="A283" s="151" t="s">
        <v>7458</v>
      </c>
      <c r="B283" s="152" t="s">
        <v>2705</v>
      </c>
      <c r="C283" s="152" t="s">
        <v>2398</v>
      </c>
      <c r="D283" s="152" t="s">
        <v>2675</v>
      </c>
      <c r="E283" s="152" t="s">
        <v>2705</v>
      </c>
      <c r="F283" s="152" t="s">
        <v>2705</v>
      </c>
      <c r="G283" s="152" t="s">
        <v>2705</v>
      </c>
      <c r="H283" s="152" t="s">
        <v>2705</v>
      </c>
      <c r="I283" s="152" t="s">
        <v>2705</v>
      </c>
      <c r="J283" s="152" t="s">
        <v>2705</v>
      </c>
      <c r="K283" s="152" t="s">
        <v>2675</v>
      </c>
      <c r="L283" s="152" t="s">
        <v>2705</v>
      </c>
      <c r="M283" s="152" t="s">
        <v>2705</v>
      </c>
      <c r="N283" s="152" t="s">
        <v>2705</v>
      </c>
      <c r="O283" s="152" t="s">
        <v>2705</v>
      </c>
      <c r="P283" s="152" t="s">
        <v>2705</v>
      </c>
      <c r="Q283" s="152" t="s">
        <v>2705</v>
      </c>
      <c r="R283" s="152" t="s">
        <v>2705</v>
      </c>
      <c r="S283" s="152" t="s">
        <v>2705</v>
      </c>
      <c r="T283" s="152" t="s">
        <v>2705</v>
      </c>
      <c r="U283" s="152" t="s">
        <v>2705</v>
      </c>
    </row>
    <row r="284" spans="1:21" s="142" customFormat="1" ht="12.75" x14ac:dyDescent="0.2">
      <c r="A284" s="151"/>
      <c r="B284" s="152" t="s">
        <v>2705</v>
      </c>
      <c r="C284" s="152" t="s">
        <v>2705</v>
      </c>
      <c r="D284" s="152" t="s">
        <v>1435</v>
      </c>
      <c r="E284" s="152" t="s">
        <v>1435</v>
      </c>
      <c r="F284" s="152" t="s">
        <v>2705</v>
      </c>
      <c r="G284" s="152" t="s">
        <v>1435</v>
      </c>
      <c r="H284" s="152" t="s">
        <v>2705</v>
      </c>
      <c r="I284" s="152" t="s">
        <v>2705</v>
      </c>
      <c r="J284" s="152" t="s">
        <v>2705</v>
      </c>
      <c r="K284" s="152" t="s">
        <v>2705</v>
      </c>
      <c r="L284" s="152" t="s">
        <v>2397</v>
      </c>
      <c r="M284" s="152" t="s">
        <v>2705</v>
      </c>
      <c r="N284" s="152" t="s">
        <v>2705</v>
      </c>
      <c r="O284" s="152" t="s">
        <v>2705</v>
      </c>
      <c r="P284" s="152" t="s">
        <v>2705</v>
      </c>
      <c r="Q284" s="152" t="s">
        <v>2705</v>
      </c>
      <c r="R284" s="152" t="s">
        <v>2705</v>
      </c>
      <c r="S284" s="152" t="s">
        <v>2705</v>
      </c>
      <c r="T284" s="152" t="s">
        <v>2705</v>
      </c>
      <c r="U284" s="152" t="s">
        <v>2705</v>
      </c>
    </row>
    <row r="285" spans="1:21" s="142" customFormat="1" ht="12.75" customHeight="1" x14ac:dyDescent="0.2">
      <c r="A285" s="151" t="s">
        <v>7459</v>
      </c>
      <c r="B285" s="152" t="s">
        <v>2705</v>
      </c>
      <c r="C285" s="152" t="s">
        <v>2398</v>
      </c>
      <c r="D285" s="152" t="s">
        <v>2398</v>
      </c>
      <c r="E285" s="152" t="s">
        <v>2398</v>
      </c>
      <c r="F285" s="152" t="s">
        <v>2705</v>
      </c>
      <c r="G285" s="152" t="s">
        <v>2705</v>
      </c>
      <c r="H285" s="152" t="s">
        <v>1435</v>
      </c>
      <c r="I285" s="152" t="s">
        <v>2398</v>
      </c>
      <c r="J285" s="152" t="s">
        <v>1435</v>
      </c>
      <c r="K285" s="152" t="s">
        <v>2705</v>
      </c>
      <c r="L285" s="152" t="s">
        <v>2398</v>
      </c>
      <c r="M285" s="152" t="s">
        <v>2705</v>
      </c>
      <c r="N285" s="152" t="s">
        <v>2398</v>
      </c>
      <c r="O285" s="152" t="s">
        <v>2398</v>
      </c>
      <c r="P285" s="152" t="s">
        <v>1435</v>
      </c>
      <c r="Q285" s="152" t="s">
        <v>2705</v>
      </c>
      <c r="R285" s="152" t="s">
        <v>1435</v>
      </c>
      <c r="S285" s="152" t="s">
        <v>2705</v>
      </c>
      <c r="T285" s="152" t="s">
        <v>1435</v>
      </c>
      <c r="U285" s="152" t="s">
        <v>2397</v>
      </c>
    </row>
    <row r="286" spans="1:21" s="142" customFormat="1" ht="12.75" x14ac:dyDescent="0.2">
      <c r="A286" s="151"/>
      <c r="B286" s="152" t="s">
        <v>2705</v>
      </c>
      <c r="C286" s="152" t="s">
        <v>2398</v>
      </c>
      <c r="D286" s="152" t="s">
        <v>2398</v>
      </c>
      <c r="E286" s="152" t="s">
        <v>2398</v>
      </c>
      <c r="F286" s="152" t="s">
        <v>2398</v>
      </c>
      <c r="G286" s="152" t="s">
        <v>2675</v>
      </c>
      <c r="H286" s="152" t="s">
        <v>2705</v>
      </c>
      <c r="I286" s="152" t="s">
        <v>1435</v>
      </c>
      <c r="J286" s="152" t="s">
        <v>2398</v>
      </c>
      <c r="K286" s="152" t="s">
        <v>2705</v>
      </c>
      <c r="L286" s="152" t="s">
        <v>2398</v>
      </c>
      <c r="M286" s="152" t="s">
        <v>2398</v>
      </c>
      <c r="N286" s="152" t="s">
        <v>2705</v>
      </c>
      <c r="O286" s="152" t="s">
        <v>2398</v>
      </c>
      <c r="P286" s="152" t="s">
        <v>2675</v>
      </c>
      <c r="Q286" s="152" t="s">
        <v>2398</v>
      </c>
      <c r="R286" s="152" t="s">
        <v>2705</v>
      </c>
      <c r="S286" s="152" t="s">
        <v>2705</v>
      </c>
      <c r="T286" s="152" t="s">
        <v>2705</v>
      </c>
      <c r="U286" s="152" t="s">
        <v>2398</v>
      </c>
    </row>
    <row r="287" spans="1:21" s="142" customFormat="1" ht="12.75" customHeight="1" x14ac:dyDescent="0.2">
      <c r="A287" s="151" t="s">
        <v>7460</v>
      </c>
      <c r="B287" s="152" t="s">
        <v>2398</v>
      </c>
      <c r="C287" s="152" t="s">
        <v>2397</v>
      </c>
      <c r="D287" s="152" t="s">
        <v>2675</v>
      </c>
      <c r="E287" s="152" t="s">
        <v>1435</v>
      </c>
      <c r="F287" s="152" t="s">
        <v>2398</v>
      </c>
      <c r="G287" s="152" t="s">
        <v>1435</v>
      </c>
      <c r="H287" s="152" t="s">
        <v>2397</v>
      </c>
      <c r="I287" s="152" t="s">
        <v>2397</v>
      </c>
      <c r="J287" s="152" t="s">
        <v>2675</v>
      </c>
      <c r="K287" s="152" t="s">
        <v>1435</v>
      </c>
      <c r="L287" s="152" t="s">
        <v>2705</v>
      </c>
      <c r="M287" s="152" t="s">
        <v>2398</v>
      </c>
      <c r="N287" s="152" t="s">
        <v>1435</v>
      </c>
      <c r="O287" s="152" t="s">
        <v>2705</v>
      </c>
      <c r="P287" s="152" t="s">
        <v>2397</v>
      </c>
      <c r="Q287" s="152" t="s">
        <v>1435</v>
      </c>
      <c r="R287" s="152" t="s">
        <v>2675</v>
      </c>
      <c r="S287" s="152" t="s">
        <v>2675</v>
      </c>
      <c r="T287" s="152" t="s">
        <v>2705</v>
      </c>
      <c r="U287" s="152" t="s">
        <v>1435</v>
      </c>
    </row>
    <row r="288" spans="1:21" s="142" customFormat="1" ht="12.75" x14ac:dyDescent="0.2">
      <c r="A288" s="151"/>
      <c r="B288" s="152" t="s">
        <v>2398</v>
      </c>
      <c r="C288" s="152" t="s">
        <v>2398</v>
      </c>
      <c r="D288" s="152" t="s">
        <v>2675</v>
      </c>
      <c r="E288" s="152" t="s">
        <v>2398</v>
      </c>
      <c r="F288" s="152" t="s">
        <v>2705</v>
      </c>
      <c r="G288" s="152" t="s">
        <v>2705</v>
      </c>
      <c r="H288" s="152" t="s">
        <v>1435</v>
      </c>
      <c r="I288" s="152" t="s">
        <v>2398</v>
      </c>
      <c r="J288" s="152" t="s">
        <v>2398</v>
      </c>
      <c r="K288" s="152" t="s">
        <v>2675</v>
      </c>
      <c r="L288" s="152" t="s">
        <v>1435</v>
      </c>
      <c r="M288" s="152" t="s">
        <v>2398</v>
      </c>
      <c r="N288" s="152" t="s">
        <v>1435</v>
      </c>
      <c r="O288" s="152" t="s">
        <v>2705</v>
      </c>
      <c r="P288" s="152" t="s">
        <v>2397</v>
      </c>
      <c r="Q288" s="152" t="s">
        <v>1435</v>
      </c>
      <c r="R288" s="152" t="s">
        <v>2398</v>
      </c>
      <c r="S288" s="152" t="s">
        <v>2398</v>
      </c>
      <c r="T288" s="152" t="s">
        <v>1435</v>
      </c>
      <c r="U288" s="152" t="s">
        <v>2398</v>
      </c>
    </row>
    <row r="289" spans="1:21" s="142" customFormat="1" ht="12.75" customHeight="1" x14ac:dyDescent="0.2">
      <c r="A289" s="151" t="s">
        <v>7461</v>
      </c>
      <c r="B289" s="152" t="s">
        <v>2705</v>
      </c>
      <c r="C289" s="152" t="s">
        <v>2398</v>
      </c>
      <c r="D289" s="152" t="s">
        <v>2705</v>
      </c>
      <c r="E289" s="152" t="s">
        <v>2705</v>
      </c>
      <c r="F289" s="152" t="s">
        <v>1435</v>
      </c>
      <c r="G289" s="152" t="s">
        <v>2705</v>
      </c>
      <c r="H289" s="152" t="s">
        <v>2398</v>
      </c>
      <c r="I289" s="152" t="s">
        <v>2675</v>
      </c>
      <c r="J289" s="152" t="s">
        <v>2398</v>
      </c>
      <c r="K289" s="152" t="s">
        <v>2398</v>
      </c>
      <c r="L289" s="152" t="s">
        <v>2705</v>
      </c>
      <c r="M289" s="152" t="s">
        <v>2705</v>
      </c>
      <c r="N289" s="152" t="s">
        <v>1435</v>
      </c>
      <c r="O289" s="152" t="s">
        <v>1435</v>
      </c>
      <c r="P289" s="152" t="s">
        <v>2675</v>
      </c>
      <c r="Q289" s="152" t="s">
        <v>1435</v>
      </c>
      <c r="R289" s="152" t="s">
        <v>2675</v>
      </c>
      <c r="S289" s="152" t="s">
        <v>2705</v>
      </c>
      <c r="T289" s="152" t="s">
        <v>2705</v>
      </c>
      <c r="U289" s="152" t="s">
        <v>2398</v>
      </c>
    </row>
    <row r="290" spans="1:21" s="142" customFormat="1" ht="12.75" x14ac:dyDescent="0.2">
      <c r="A290" s="151"/>
      <c r="B290" s="152" t="s">
        <v>2705</v>
      </c>
      <c r="C290" s="152" t="s">
        <v>2705</v>
      </c>
      <c r="D290" s="152" t="s">
        <v>2705</v>
      </c>
      <c r="E290" s="152" t="s">
        <v>2705</v>
      </c>
      <c r="F290" s="152" t="s">
        <v>2398</v>
      </c>
      <c r="G290" s="152" t="s">
        <v>2705</v>
      </c>
      <c r="H290" s="152" t="s">
        <v>2675</v>
      </c>
      <c r="I290" s="152" t="s">
        <v>2705</v>
      </c>
      <c r="J290" s="152" t="s">
        <v>2705</v>
      </c>
      <c r="K290" s="152" t="s">
        <v>2675</v>
      </c>
      <c r="L290" s="152" t="s">
        <v>2398</v>
      </c>
      <c r="M290" s="152" t="s">
        <v>2398</v>
      </c>
      <c r="N290" s="152" t="s">
        <v>1435</v>
      </c>
      <c r="O290" s="152" t="s">
        <v>2705</v>
      </c>
      <c r="P290" s="152" t="s">
        <v>2705</v>
      </c>
      <c r="Q290" s="152" t="s">
        <v>1435</v>
      </c>
      <c r="R290" s="152" t="s">
        <v>2398</v>
      </c>
      <c r="S290" s="152" t="s">
        <v>2398</v>
      </c>
      <c r="T290" s="152" t="s">
        <v>2705</v>
      </c>
      <c r="U290" s="152" t="s">
        <v>2398</v>
      </c>
    </row>
    <row r="291" spans="1:21" s="142" customFormat="1" ht="12.75" customHeight="1" x14ac:dyDescent="0.2">
      <c r="A291" s="151" t="s">
        <v>7462</v>
      </c>
      <c r="B291" s="152" t="s">
        <v>2705</v>
      </c>
      <c r="C291" s="152" t="s">
        <v>2705</v>
      </c>
      <c r="D291" s="152" t="s">
        <v>2675</v>
      </c>
      <c r="E291" s="152" t="s">
        <v>2705</v>
      </c>
      <c r="F291" s="152" t="s">
        <v>2398</v>
      </c>
      <c r="G291" s="152" t="s">
        <v>2705</v>
      </c>
      <c r="H291" s="152" t="s">
        <v>2705</v>
      </c>
      <c r="I291" s="152" t="s">
        <v>2397</v>
      </c>
      <c r="J291" s="152" t="s">
        <v>2705</v>
      </c>
      <c r="K291" s="152" t="s">
        <v>2675</v>
      </c>
      <c r="L291" s="152" t="s">
        <v>2705</v>
      </c>
      <c r="M291" s="152" t="s">
        <v>2705</v>
      </c>
      <c r="N291" s="152" t="s">
        <v>2705</v>
      </c>
      <c r="O291" s="152" t="s">
        <v>2675</v>
      </c>
      <c r="P291" s="152" t="s">
        <v>2705</v>
      </c>
      <c r="Q291" s="152" t="s">
        <v>2705</v>
      </c>
      <c r="R291" s="152" t="s">
        <v>2705</v>
      </c>
      <c r="S291" s="152" t="s">
        <v>2705</v>
      </c>
      <c r="T291" s="152" t="s">
        <v>2398</v>
      </c>
      <c r="U291" s="152" t="s">
        <v>2705</v>
      </c>
    </row>
    <row r="292" spans="1:21" s="142" customFormat="1" ht="12.75" x14ac:dyDescent="0.2">
      <c r="A292" s="151"/>
      <c r="B292" s="152" t="s">
        <v>2705</v>
      </c>
      <c r="C292" s="152" t="s">
        <v>2398</v>
      </c>
      <c r="D292" s="152" t="s">
        <v>2705</v>
      </c>
      <c r="E292" s="152" t="s">
        <v>2705</v>
      </c>
      <c r="F292" s="152" t="s">
        <v>2705</v>
      </c>
      <c r="G292" s="152" t="s">
        <v>2705</v>
      </c>
      <c r="H292" s="152" t="s">
        <v>2705</v>
      </c>
      <c r="I292" s="152" t="s">
        <v>2398</v>
      </c>
      <c r="J292" s="152" t="s">
        <v>2397</v>
      </c>
      <c r="K292" s="152" t="s">
        <v>2705</v>
      </c>
      <c r="L292" s="152" t="s">
        <v>2398</v>
      </c>
      <c r="M292" s="152" t="s">
        <v>1435</v>
      </c>
      <c r="N292" s="152" t="s">
        <v>2705</v>
      </c>
      <c r="O292" s="152" t="s">
        <v>1435</v>
      </c>
      <c r="P292" s="152" t="s">
        <v>2705</v>
      </c>
      <c r="Q292" s="152" t="s">
        <v>2705</v>
      </c>
      <c r="R292" s="152" t="s">
        <v>1435</v>
      </c>
      <c r="S292" s="152" t="s">
        <v>2705</v>
      </c>
      <c r="T292" s="152" t="s">
        <v>2675</v>
      </c>
      <c r="U292" s="152" t="s">
        <v>2705</v>
      </c>
    </row>
    <row r="293" spans="1:21" s="142" customFormat="1" ht="12.75" customHeight="1" x14ac:dyDescent="0.2">
      <c r="A293" s="151" t="s">
        <v>7463</v>
      </c>
      <c r="B293" s="152" t="s">
        <v>2705</v>
      </c>
      <c r="C293" s="152" t="s">
        <v>2705</v>
      </c>
      <c r="D293" s="152" t="s">
        <v>2398</v>
      </c>
      <c r="E293" s="152" t="s">
        <v>1435</v>
      </c>
      <c r="F293" s="152" t="s">
        <v>2705</v>
      </c>
      <c r="G293" s="152" t="s">
        <v>2705</v>
      </c>
      <c r="H293" s="152" t="s">
        <v>2705</v>
      </c>
      <c r="I293" s="152" t="s">
        <v>2705</v>
      </c>
      <c r="J293" s="152" t="s">
        <v>2675</v>
      </c>
      <c r="K293" s="152" t="s">
        <v>2705</v>
      </c>
      <c r="L293" s="152" t="s">
        <v>1435</v>
      </c>
      <c r="M293" s="152" t="s">
        <v>2705</v>
      </c>
      <c r="N293" s="152" t="s">
        <v>2705</v>
      </c>
      <c r="O293" s="152" t="s">
        <v>2398</v>
      </c>
      <c r="P293" s="152" t="s">
        <v>2705</v>
      </c>
      <c r="Q293" s="152" t="s">
        <v>2705</v>
      </c>
      <c r="R293" s="152" t="s">
        <v>2675</v>
      </c>
      <c r="S293" s="152" t="s">
        <v>2705</v>
      </c>
      <c r="T293" s="152" t="s">
        <v>1435</v>
      </c>
      <c r="U293" s="152" t="s">
        <v>2705</v>
      </c>
    </row>
    <row r="294" spans="1:21" s="142" customFormat="1" ht="12.75" x14ac:dyDescent="0.2">
      <c r="A294" s="151"/>
      <c r="B294" s="152" t="s">
        <v>2705</v>
      </c>
      <c r="C294" s="152" t="s">
        <v>2398</v>
      </c>
      <c r="D294" s="152" t="s">
        <v>2705</v>
      </c>
      <c r="E294" s="152" t="s">
        <v>2705</v>
      </c>
      <c r="F294" s="152" t="s">
        <v>2705</v>
      </c>
      <c r="G294" s="152" t="s">
        <v>2705</v>
      </c>
      <c r="H294" s="152" t="s">
        <v>2397</v>
      </c>
      <c r="I294" s="152" t="s">
        <v>2705</v>
      </c>
      <c r="J294" s="152" t="s">
        <v>2705</v>
      </c>
      <c r="K294" s="152" t="s">
        <v>2398</v>
      </c>
      <c r="L294" s="152" t="s">
        <v>2398</v>
      </c>
      <c r="M294" s="152" t="s">
        <v>2705</v>
      </c>
      <c r="N294" s="152" t="s">
        <v>2705</v>
      </c>
      <c r="O294" s="152" t="s">
        <v>2705</v>
      </c>
      <c r="P294" s="152" t="s">
        <v>2705</v>
      </c>
      <c r="Q294" s="152" t="s">
        <v>2705</v>
      </c>
      <c r="R294" s="152" t="s">
        <v>2705</v>
      </c>
      <c r="S294" s="152" t="s">
        <v>2705</v>
      </c>
      <c r="T294" s="152" t="s">
        <v>2705</v>
      </c>
      <c r="U294" s="152" t="s">
        <v>2705</v>
      </c>
    </row>
    <row r="295" spans="1:21" s="142" customFormat="1" ht="12.75" customHeight="1" x14ac:dyDescent="0.2">
      <c r="A295" s="151" t="s">
        <v>7464</v>
      </c>
      <c r="B295" s="152" t="s">
        <v>2705</v>
      </c>
      <c r="C295" s="152" t="s">
        <v>2397</v>
      </c>
      <c r="D295" s="152" t="s">
        <v>2675</v>
      </c>
      <c r="E295" s="152" t="s">
        <v>2398</v>
      </c>
      <c r="F295" s="152" t="s">
        <v>2705</v>
      </c>
      <c r="G295" s="152" t="s">
        <v>2705</v>
      </c>
      <c r="H295" s="152" t="s">
        <v>2705</v>
      </c>
      <c r="I295" s="152" t="s">
        <v>2398</v>
      </c>
      <c r="J295" s="152" t="s">
        <v>2398</v>
      </c>
      <c r="K295" s="152" t="s">
        <v>1435</v>
      </c>
      <c r="L295" s="152" t="s">
        <v>2705</v>
      </c>
      <c r="M295" s="152" t="s">
        <v>2705</v>
      </c>
      <c r="N295" s="152" t="s">
        <v>2675</v>
      </c>
      <c r="O295" s="152" t="s">
        <v>1435</v>
      </c>
      <c r="P295" s="152" t="s">
        <v>2705</v>
      </c>
      <c r="Q295" s="152" t="s">
        <v>1435</v>
      </c>
      <c r="R295" s="152" t="s">
        <v>2398</v>
      </c>
      <c r="S295" s="152" t="s">
        <v>2705</v>
      </c>
      <c r="T295" s="152" t="s">
        <v>2705</v>
      </c>
      <c r="U295" s="152" t="s">
        <v>2705</v>
      </c>
    </row>
    <row r="296" spans="1:21" s="142" customFormat="1" ht="12.75" x14ac:dyDescent="0.2">
      <c r="A296" s="151"/>
      <c r="B296" s="152" t="s">
        <v>2398</v>
      </c>
      <c r="C296" s="152" t="s">
        <v>2705</v>
      </c>
      <c r="D296" s="152" t="s">
        <v>2705</v>
      </c>
      <c r="E296" s="152" t="s">
        <v>2705</v>
      </c>
      <c r="F296" s="152" t="s">
        <v>2705</v>
      </c>
      <c r="G296" s="152" t="s">
        <v>2705</v>
      </c>
      <c r="H296" s="152" t="s">
        <v>1435</v>
      </c>
      <c r="I296" s="152" t="s">
        <v>2705</v>
      </c>
      <c r="J296" s="152" t="s">
        <v>2705</v>
      </c>
      <c r="K296" s="152" t="s">
        <v>2398</v>
      </c>
      <c r="L296" s="152" t="s">
        <v>2705</v>
      </c>
      <c r="M296" s="152" t="s">
        <v>2398</v>
      </c>
      <c r="N296" s="152" t="s">
        <v>2397</v>
      </c>
      <c r="O296" s="152" t="s">
        <v>2705</v>
      </c>
      <c r="P296" s="152" t="s">
        <v>2705</v>
      </c>
      <c r="Q296" s="152" t="s">
        <v>2705</v>
      </c>
      <c r="R296" s="152" t="s">
        <v>2705</v>
      </c>
      <c r="S296" s="152" t="s">
        <v>2705</v>
      </c>
      <c r="T296" s="152" t="s">
        <v>2705</v>
      </c>
      <c r="U296" s="152" t="s">
        <v>2705</v>
      </c>
    </row>
    <row r="297" spans="1:21" s="142" customFormat="1" ht="12.75" customHeight="1" x14ac:dyDescent="0.2">
      <c r="A297" s="151" t="s">
        <v>7465</v>
      </c>
      <c r="B297" s="152" t="s">
        <v>2675</v>
      </c>
      <c r="C297" s="152" t="s">
        <v>2705</v>
      </c>
      <c r="D297" s="152" t="s">
        <v>2675</v>
      </c>
      <c r="E297" s="152" t="s">
        <v>2705</v>
      </c>
      <c r="F297" s="152" t="s">
        <v>2705</v>
      </c>
      <c r="G297" s="152" t="s">
        <v>2705</v>
      </c>
      <c r="H297" s="152" t="s">
        <v>2705</v>
      </c>
      <c r="I297" s="152" t="s">
        <v>2398</v>
      </c>
      <c r="J297" s="152" t="s">
        <v>2705</v>
      </c>
      <c r="K297" s="152" t="s">
        <v>1435</v>
      </c>
      <c r="L297" s="152" t="s">
        <v>2398</v>
      </c>
      <c r="M297" s="152" t="s">
        <v>2705</v>
      </c>
      <c r="N297" s="152" t="s">
        <v>2675</v>
      </c>
      <c r="O297" s="152" t="s">
        <v>2398</v>
      </c>
      <c r="P297" s="152" t="s">
        <v>2398</v>
      </c>
      <c r="Q297" s="152" t="s">
        <v>2398</v>
      </c>
      <c r="R297" s="152" t="s">
        <v>2398</v>
      </c>
      <c r="S297" s="152" t="s">
        <v>2705</v>
      </c>
      <c r="T297" s="152" t="s">
        <v>2705</v>
      </c>
      <c r="U297" s="152" t="s">
        <v>2705</v>
      </c>
    </row>
    <row r="298" spans="1:21" s="142" customFormat="1" ht="12.75" x14ac:dyDescent="0.2">
      <c r="A298" s="151"/>
      <c r="B298" s="152" t="s">
        <v>2397</v>
      </c>
      <c r="C298" s="152" t="s">
        <v>2398</v>
      </c>
      <c r="D298" s="152" t="s">
        <v>2705</v>
      </c>
      <c r="E298" s="152" t="s">
        <v>2705</v>
      </c>
      <c r="F298" s="152" t="s">
        <v>2675</v>
      </c>
      <c r="G298" s="152" t="s">
        <v>2398</v>
      </c>
      <c r="H298" s="152" t="s">
        <v>2675</v>
      </c>
      <c r="I298" s="152" t="s">
        <v>2705</v>
      </c>
      <c r="J298" s="152" t="s">
        <v>2705</v>
      </c>
      <c r="K298" s="152" t="s">
        <v>2398</v>
      </c>
      <c r="L298" s="152" t="s">
        <v>2705</v>
      </c>
      <c r="M298" s="152" t="s">
        <v>2705</v>
      </c>
      <c r="N298" s="152" t="s">
        <v>2398</v>
      </c>
      <c r="O298" s="152" t="s">
        <v>2705</v>
      </c>
      <c r="P298" s="152" t="s">
        <v>2398</v>
      </c>
      <c r="Q298" s="152" t="s">
        <v>2398</v>
      </c>
      <c r="R298" s="152" t="s">
        <v>2398</v>
      </c>
      <c r="S298" s="152" t="s">
        <v>1435</v>
      </c>
      <c r="T298" s="152" t="s">
        <v>2398</v>
      </c>
      <c r="U298" s="152" t="s">
        <v>2705</v>
      </c>
    </row>
    <row r="299" spans="1:21" s="142" customFormat="1" ht="12.75" customHeight="1" x14ac:dyDescent="0.2">
      <c r="A299" s="151" t="s">
        <v>7466</v>
      </c>
      <c r="B299" s="152" t="s">
        <v>2705</v>
      </c>
      <c r="C299" s="152" t="s">
        <v>2705</v>
      </c>
      <c r="D299" s="152" t="s">
        <v>2398</v>
      </c>
      <c r="E299" s="152" t="s">
        <v>2705</v>
      </c>
      <c r="F299" s="152" t="s">
        <v>2397</v>
      </c>
      <c r="G299" s="152" t="s">
        <v>2705</v>
      </c>
      <c r="H299" s="152" t="s">
        <v>2705</v>
      </c>
      <c r="I299" s="152" t="s">
        <v>2398</v>
      </c>
      <c r="J299" s="152" t="s">
        <v>1435</v>
      </c>
      <c r="K299" s="152" t="s">
        <v>2398</v>
      </c>
      <c r="L299" s="152" t="s">
        <v>2705</v>
      </c>
      <c r="M299" s="152" t="s">
        <v>2398</v>
      </c>
      <c r="N299" s="152" t="s">
        <v>2705</v>
      </c>
      <c r="O299" s="152" t="s">
        <v>2397</v>
      </c>
      <c r="P299" s="152" t="s">
        <v>2675</v>
      </c>
      <c r="Q299" s="152" t="s">
        <v>2705</v>
      </c>
      <c r="R299" s="152" t="s">
        <v>2398</v>
      </c>
      <c r="S299" s="152" t="s">
        <v>2398</v>
      </c>
      <c r="T299" s="152" t="s">
        <v>2675</v>
      </c>
      <c r="U299" s="152" t="s">
        <v>2398</v>
      </c>
    </row>
    <row r="300" spans="1:21" s="142" customFormat="1" ht="12.75" x14ac:dyDescent="0.2">
      <c r="A300" s="151"/>
      <c r="B300" s="152" t="s">
        <v>2705</v>
      </c>
      <c r="C300" s="152" t="s">
        <v>2675</v>
      </c>
      <c r="D300" s="152" t="s">
        <v>2705</v>
      </c>
      <c r="E300" s="152" t="s">
        <v>2397</v>
      </c>
      <c r="F300" s="152" t="s">
        <v>2705</v>
      </c>
      <c r="G300" s="152" t="s">
        <v>1435</v>
      </c>
      <c r="H300" s="152" t="s">
        <v>2675</v>
      </c>
      <c r="I300" s="152" t="s">
        <v>2397</v>
      </c>
      <c r="J300" s="152" t="s">
        <v>2705</v>
      </c>
      <c r="K300" s="152" t="s">
        <v>2398</v>
      </c>
      <c r="L300" s="152" t="s">
        <v>2705</v>
      </c>
      <c r="M300" s="152" t="s">
        <v>2675</v>
      </c>
      <c r="N300" s="152" t="s">
        <v>2705</v>
      </c>
      <c r="O300" s="152" t="s">
        <v>2705</v>
      </c>
      <c r="P300" s="152" t="s">
        <v>2398</v>
      </c>
      <c r="Q300" s="152" t="s">
        <v>2705</v>
      </c>
      <c r="R300" s="152" t="s">
        <v>2397</v>
      </c>
      <c r="S300" s="152" t="s">
        <v>2675</v>
      </c>
      <c r="T300" s="152" t="s">
        <v>2398</v>
      </c>
      <c r="U300" s="152" t="s">
        <v>2705</v>
      </c>
    </row>
    <row r="301" spans="1:21" s="142" customFormat="1" ht="12.75" customHeight="1" x14ac:dyDescent="0.2">
      <c r="A301" s="151" t="s">
        <v>7467</v>
      </c>
      <c r="B301" s="152" t="s">
        <v>2705</v>
      </c>
      <c r="C301" s="152" t="s">
        <v>2675</v>
      </c>
      <c r="D301" s="152" t="s">
        <v>2705</v>
      </c>
      <c r="E301" s="152" t="s">
        <v>2397</v>
      </c>
      <c r="F301" s="152" t="s">
        <v>2675</v>
      </c>
      <c r="G301" s="152" t="s">
        <v>2705</v>
      </c>
      <c r="H301" s="152" t="s">
        <v>2398</v>
      </c>
      <c r="I301" s="152" t="s">
        <v>2675</v>
      </c>
      <c r="J301" s="152" t="s">
        <v>2675</v>
      </c>
      <c r="K301" s="152" t="s">
        <v>2398</v>
      </c>
      <c r="L301" s="152" t="s">
        <v>2397</v>
      </c>
      <c r="M301" s="152" t="s">
        <v>2397</v>
      </c>
      <c r="N301" s="152" t="s">
        <v>2397</v>
      </c>
      <c r="O301" s="152" t="s">
        <v>2397</v>
      </c>
      <c r="P301" s="152" t="s">
        <v>2397</v>
      </c>
      <c r="Q301" s="152" t="s">
        <v>2705</v>
      </c>
      <c r="R301" s="152" t="s">
        <v>1435</v>
      </c>
      <c r="S301" s="152" t="s">
        <v>2705</v>
      </c>
      <c r="T301" s="152" t="s">
        <v>2705</v>
      </c>
      <c r="U301" s="152" t="s">
        <v>2398</v>
      </c>
    </row>
    <row r="302" spans="1:21" s="142" customFormat="1" ht="12.75" x14ac:dyDescent="0.2">
      <c r="A302" s="151"/>
      <c r="B302" s="152" t="s">
        <v>2705</v>
      </c>
      <c r="C302" s="152" t="s">
        <v>2705</v>
      </c>
      <c r="D302" s="152" t="s">
        <v>2705</v>
      </c>
      <c r="E302" s="152" t="s">
        <v>2675</v>
      </c>
      <c r="F302" s="152" t="s">
        <v>2705</v>
      </c>
      <c r="G302" s="152" t="s">
        <v>2705</v>
      </c>
      <c r="H302" s="152" t="s">
        <v>2397</v>
      </c>
      <c r="I302" s="152" t="s">
        <v>2705</v>
      </c>
      <c r="J302" s="152" t="s">
        <v>2397</v>
      </c>
      <c r="K302" s="152" t="s">
        <v>2705</v>
      </c>
      <c r="L302" s="152" t="s">
        <v>2705</v>
      </c>
      <c r="M302" s="152" t="s">
        <v>2705</v>
      </c>
      <c r="N302" s="152" t="s">
        <v>2397</v>
      </c>
      <c r="O302" s="152" t="s">
        <v>2398</v>
      </c>
      <c r="P302" s="152" t="s">
        <v>2675</v>
      </c>
      <c r="Q302" s="152" t="s">
        <v>2705</v>
      </c>
      <c r="R302" s="152" t="s">
        <v>2705</v>
      </c>
      <c r="S302" s="152" t="s">
        <v>2398</v>
      </c>
      <c r="T302" s="152" t="s">
        <v>2705</v>
      </c>
      <c r="U302" s="152" t="s">
        <v>2705</v>
      </c>
    </row>
    <row r="303" spans="1:21" s="142" customFormat="1" ht="12.75" customHeight="1" x14ac:dyDescent="0.2">
      <c r="A303" s="151" t="s">
        <v>7468</v>
      </c>
      <c r="B303" s="152" t="s">
        <v>2398</v>
      </c>
      <c r="C303" s="152" t="s">
        <v>2705</v>
      </c>
      <c r="D303" s="152" t="s">
        <v>2398</v>
      </c>
      <c r="E303" s="152" t="s">
        <v>2398</v>
      </c>
      <c r="F303" s="152" t="s">
        <v>2397</v>
      </c>
      <c r="G303" s="152" t="s">
        <v>2398</v>
      </c>
      <c r="H303" s="152" t="s">
        <v>2705</v>
      </c>
      <c r="I303" s="152" t="s">
        <v>2705</v>
      </c>
      <c r="J303" s="152" t="s">
        <v>2675</v>
      </c>
      <c r="K303" s="152" t="s">
        <v>2398</v>
      </c>
      <c r="L303" s="152" t="s">
        <v>2705</v>
      </c>
      <c r="M303" s="152" t="s">
        <v>2398</v>
      </c>
      <c r="N303" s="152" t="s">
        <v>2705</v>
      </c>
      <c r="O303" s="152" t="s">
        <v>2398</v>
      </c>
      <c r="P303" s="152" t="s">
        <v>2398</v>
      </c>
      <c r="Q303" s="152" t="s">
        <v>2398</v>
      </c>
      <c r="R303" s="152" t="s">
        <v>2398</v>
      </c>
      <c r="S303" s="152" t="s">
        <v>2398</v>
      </c>
      <c r="T303" s="152" t="s">
        <v>2398</v>
      </c>
      <c r="U303" s="152" t="s">
        <v>2675</v>
      </c>
    </row>
    <row r="304" spans="1:21" s="142" customFormat="1" ht="12.75" x14ac:dyDescent="0.2">
      <c r="A304" s="151"/>
      <c r="B304" s="152" t="s">
        <v>2397</v>
      </c>
      <c r="C304" s="152" t="s">
        <v>2398</v>
      </c>
      <c r="D304" s="152" t="s">
        <v>2397</v>
      </c>
      <c r="E304" s="152" t="s">
        <v>2397</v>
      </c>
      <c r="F304" s="152" t="s">
        <v>2705</v>
      </c>
      <c r="G304" s="152" t="s">
        <v>2397</v>
      </c>
      <c r="H304" s="152" t="s">
        <v>2398</v>
      </c>
      <c r="I304" s="152" t="s">
        <v>2398</v>
      </c>
      <c r="J304" s="152" t="s">
        <v>2705</v>
      </c>
      <c r="K304" s="152" t="s">
        <v>2398</v>
      </c>
      <c r="L304" s="152" t="s">
        <v>1435</v>
      </c>
      <c r="M304" s="152" t="s">
        <v>2705</v>
      </c>
      <c r="N304" s="152" t="s">
        <v>2675</v>
      </c>
      <c r="O304" s="152" t="s">
        <v>2705</v>
      </c>
      <c r="P304" s="152" t="s">
        <v>2675</v>
      </c>
      <c r="Q304" s="152" t="s">
        <v>2705</v>
      </c>
      <c r="R304" s="152" t="s">
        <v>1435</v>
      </c>
      <c r="S304" s="152" t="s">
        <v>2675</v>
      </c>
      <c r="T304" s="152" t="s">
        <v>2705</v>
      </c>
      <c r="U304" s="152" t="s">
        <v>2397</v>
      </c>
    </row>
    <row r="305" spans="1:21" s="142" customFormat="1" ht="12.75" customHeight="1" x14ac:dyDescent="0.2">
      <c r="A305" s="151" t="s">
        <v>7469</v>
      </c>
      <c r="B305" s="152" t="s">
        <v>2397</v>
      </c>
      <c r="C305" s="152" t="s">
        <v>1435</v>
      </c>
      <c r="D305" s="152" t="s">
        <v>1435</v>
      </c>
      <c r="E305" s="152" t="s">
        <v>2705</v>
      </c>
      <c r="F305" s="152" t="s">
        <v>2675</v>
      </c>
      <c r="G305" s="152" t="s">
        <v>2705</v>
      </c>
      <c r="H305" s="152" t="s">
        <v>2705</v>
      </c>
      <c r="I305" s="152" t="s">
        <v>2675</v>
      </c>
      <c r="J305" s="152" t="s">
        <v>2705</v>
      </c>
      <c r="K305" s="152" t="s">
        <v>1435</v>
      </c>
      <c r="L305" s="152" t="s">
        <v>1435</v>
      </c>
      <c r="M305" s="152" t="s">
        <v>2705</v>
      </c>
      <c r="N305" s="152" t="s">
        <v>2675</v>
      </c>
      <c r="O305" s="152" t="s">
        <v>2397</v>
      </c>
      <c r="P305" s="152" t="s">
        <v>1435</v>
      </c>
      <c r="Q305" s="152" t="s">
        <v>2705</v>
      </c>
      <c r="R305" s="152" t="s">
        <v>2705</v>
      </c>
      <c r="S305" s="152" t="s">
        <v>2397</v>
      </c>
      <c r="T305" s="152" t="s">
        <v>2705</v>
      </c>
      <c r="U305" s="152" t="s">
        <v>2705</v>
      </c>
    </row>
    <row r="306" spans="1:21" s="142" customFormat="1" ht="12.75" x14ac:dyDescent="0.2">
      <c r="A306" s="151"/>
      <c r="B306" s="152" t="s">
        <v>2675</v>
      </c>
      <c r="C306" s="152" t="s">
        <v>2675</v>
      </c>
      <c r="D306" s="152" t="s">
        <v>2705</v>
      </c>
      <c r="E306" s="152" t="s">
        <v>2705</v>
      </c>
      <c r="F306" s="152" t="s">
        <v>2705</v>
      </c>
      <c r="G306" s="152" t="s">
        <v>1435</v>
      </c>
      <c r="H306" s="152" t="s">
        <v>2675</v>
      </c>
      <c r="I306" s="152" t="s">
        <v>1435</v>
      </c>
      <c r="J306" s="152" t="s">
        <v>2397</v>
      </c>
      <c r="K306" s="152" t="s">
        <v>2705</v>
      </c>
      <c r="L306" s="152" t="s">
        <v>2705</v>
      </c>
      <c r="M306" s="152" t="s">
        <v>1435</v>
      </c>
      <c r="N306" s="152" t="s">
        <v>2397</v>
      </c>
      <c r="O306" s="152" t="s">
        <v>2675</v>
      </c>
      <c r="P306" s="152" t="s">
        <v>2705</v>
      </c>
      <c r="Q306" s="152" t="s">
        <v>1435</v>
      </c>
      <c r="R306" s="152" t="s">
        <v>2705</v>
      </c>
      <c r="S306" s="152" t="s">
        <v>2705</v>
      </c>
      <c r="T306" s="152" t="s">
        <v>2705</v>
      </c>
      <c r="U306" s="152" t="s">
        <v>2675</v>
      </c>
    </row>
    <row r="307" spans="1:21" s="142" customFormat="1" ht="12.75" customHeight="1" x14ac:dyDescent="0.2">
      <c r="A307" s="151" t="s">
        <v>7470</v>
      </c>
      <c r="B307" s="152" t="s">
        <v>2398</v>
      </c>
      <c r="C307" s="152" t="s">
        <v>2398</v>
      </c>
      <c r="D307" s="152" t="s">
        <v>1435</v>
      </c>
      <c r="E307" s="152" t="s">
        <v>2705</v>
      </c>
      <c r="F307" s="152" t="s">
        <v>2398</v>
      </c>
      <c r="G307" s="152" t="s">
        <v>2705</v>
      </c>
      <c r="H307" s="152" t="s">
        <v>2397</v>
      </c>
      <c r="I307" s="152" t="s">
        <v>2705</v>
      </c>
      <c r="J307" s="152" t="s">
        <v>2705</v>
      </c>
      <c r="K307" s="152" t="s">
        <v>2705</v>
      </c>
      <c r="L307" s="152" t="s">
        <v>2398</v>
      </c>
      <c r="M307" s="152" t="s">
        <v>2398</v>
      </c>
      <c r="N307" s="152" t="s">
        <v>2705</v>
      </c>
      <c r="O307" s="152" t="s">
        <v>2397</v>
      </c>
      <c r="P307" s="152" t="s">
        <v>2398</v>
      </c>
      <c r="Q307" s="152" t="s">
        <v>2705</v>
      </c>
      <c r="R307" s="152" t="s">
        <v>2705</v>
      </c>
      <c r="S307" s="152" t="s">
        <v>2705</v>
      </c>
      <c r="T307" s="152" t="s">
        <v>2397</v>
      </c>
      <c r="U307" s="152" t="s">
        <v>2397</v>
      </c>
    </row>
    <row r="308" spans="1:21" s="142" customFormat="1" ht="12.75" x14ac:dyDescent="0.2">
      <c r="A308" s="151"/>
      <c r="B308" s="152" t="s">
        <v>2398</v>
      </c>
      <c r="C308" s="152" t="s">
        <v>2675</v>
      </c>
      <c r="D308" s="152" t="s">
        <v>2398</v>
      </c>
      <c r="E308" s="152" t="s">
        <v>2675</v>
      </c>
      <c r="F308" s="152" t="s">
        <v>2397</v>
      </c>
      <c r="G308" s="152" t="s">
        <v>2705</v>
      </c>
      <c r="H308" s="152" t="s">
        <v>2397</v>
      </c>
      <c r="I308" s="152" t="s">
        <v>2705</v>
      </c>
      <c r="J308" s="152" t="s">
        <v>2398</v>
      </c>
      <c r="K308" s="152" t="s">
        <v>2705</v>
      </c>
      <c r="L308" s="152" t="s">
        <v>2398</v>
      </c>
      <c r="M308" s="152" t="s">
        <v>2705</v>
      </c>
      <c r="N308" s="152" t="s">
        <v>2705</v>
      </c>
      <c r="O308" s="152" t="s">
        <v>2705</v>
      </c>
      <c r="P308" s="152" t="s">
        <v>2675</v>
      </c>
      <c r="Q308" s="152" t="s">
        <v>2705</v>
      </c>
      <c r="R308" s="152" t="s">
        <v>2705</v>
      </c>
      <c r="S308" s="152" t="s">
        <v>2705</v>
      </c>
      <c r="T308" s="152" t="s">
        <v>2705</v>
      </c>
      <c r="U308" s="152" t="s">
        <v>2398</v>
      </c>
    </row>
    <row r="309" spans="1:21" s="142" customFormat="1" ht="12.75" customHeight="1" x14ac:dyDescent="0.2">
      <c r="A309" s="151" t="s">
        <v>7471</v>
      </c>
      <c r="B309" s="152" t="s">
        <v>2705</v>
      </c>
      <c r="C309" s="152" t="s">
        <v>2705</v>
      </c>
      <c r="D309" s="152" t="s">
        <v>2705</v>
      </c>
      <c r="E309" s="152" t="s">
        <v>2705</v>
      </c>
      <c r="F309" s="152" t="s">
        <v>2705</v>
      </c>
      <c r="G309" s="152" t="s">
        <v>2398</v>
      </c>
      <c r="H309" s="152" t="s">
        <v>2675</v>
      </c>
      <c r="I309" s="152" t="s">
        <v>2398</v>
      </c>
      <c r="J309" s="152" t="s">
        <v>2705</v>
      </c>
      <c r="K309" s="152" t="s">
        <v>2398</v>
      </c>
      <c r="L309" s="152" t="s">
        <v>2398</v>
      </c>
      <c r="M309" s="152" t="s">
        <v>2705</v>
      </c>
      <c r="N309" s="152" t="s">
        <v>2705</v>
      </c>
      <c r="O309" s="152" t="s">
        <v>2705</v>
      </c>
      <c r="P309" s="152" t="s">
        <v>2398</v>
      </c>
      <c r="Q309" s="152" t="s">
        <v>2705</v>
      </c>
      <c r="R309" s="152" t="s">
        <v>2705</v>
      </c>
      <c r="S309" s="152" t="s">
        <v>2705</v>
      </c>
      <c r="T309" s="152" t="s">
        <v>2675</v>
      </c>
      <c r="U309" s="152" t="s">
        <v>2705</v>
      </c>
    </row>
    <row r="310" spans="1:21" s="142" customFormat="1" ht="12.75" x14ac:dyDescent="0.2">
      <c r="A310" s="151"/>
      <c r="B310" s="152" t="s">
        <v>2705</v>
      </c>
      <c r="C310" s="152" t="s">
        <v>2675</v>
      </c>
      <c r="D310" s="152" t="s">
        <v>2705</v>
      </c>
      <c r="E310" s="152" t="s">
        <v>2675</v>
      </c>
      <c r="F310" s="152" t="s">
        <v>2398</v>
      </c>
      <c r="G310" s="152" t="s">
        <v>2398</v>
      </c>
      <c r="H310" s="152" t="s">
        <v>2705</v>
      </c>
      <c r="I310" s="152" t="s">
        <v>2705</v>
      </c>
      <c r="J310" s="152" t="s">
        <v>2705</v>
      </c>
      <c r="K310" s="152" t="s">
        <v>2705</v>
      </c>
      <c r="L310" s="152" t="s">
        <v>2398</v>
      </c>
      <c r="M310" s="152" t="s">
        <v>2705</v>
      </c>
      <c r="N310" s="152" t="s">
        <v>2705</v>
      </c>
      <c r="O310" s="152" t="s">
        <v>2397</v>
      </c>
      <c r="P310" s="152" t="s">
        <v>2398</v>
      </c>
      <c r="Q310" s="152" t="s">
        <v>2398</v>
      </c>
      <c r="R310" s="152" t="s">
        <v>2705</v>
      </c>
      <c r="S310" s="152" t="s">
        <v>2398</v>
      </c>
      <c r="T310" s="152" t="s">
        <v>2705</v>
      </c>
      <c r="U310" s="152" t="s">
        <v>2398</v>
      </c>
    </row>
    <row r="311" spans="1:21" s="142" customFormat="1" ht="12.75" customHeight="1" x14ac:dyDescent="0.2">
      <c r="A311" s="151" t="s">
        <v>7472</v>
      </c>
      <c r="B311" s="152" t="s">
        <v>2398</v>
      </c>
      <c r="C311" s="152" t="s">
        <v>2705</v>
      </c>
      <c r="D311" s="152" t="s">
        <v>2705</v>
      </c>
      <c r="E311" s="152" t="s">
        <v>2398</v>
      </c>
      <c r="F311" s="152" t="s">
        <v>2397</v>
      </c>
      <c r="G311" s="152" t="s">
        <v>2705</v>
      </c>
      <c r="H311" s="152" t="s">
        <v>2705</v>
      </c>
      <c r="I311" s="152" t="s">
        <v>2398</v>
      </c>
      <c r="J311" s="152" t="s">
        <v>2398</v>
      </c>
      <c r="K311" s="152" t="s">
        <v>2397</v>
      </c>
      <c r="L311" s="152" t="s">
        <v>2705</v>
      </c>
      <c r="M311" s="152" t="s">
        <v>2398</v>
      </c>
      <c r="N311" s="152" t="s">
        <v>2705</v>
      </c>
      <c r="O311" s="152" t="s">
        <v>2398</v>
      </c>
      <c r="P311" s="152" t="s">
        <v>2398</v>
      </c>
      <c r="Q311" s="152" t="s">
        <v>2398</v>
      </c>
      <c r="R311" s="152" t="s">
        <v>2705</v>
      </c>
      <c r="S311" s="152" t="s">
        <v>2705</v>
      </c>
      <c r="T311" s="152" t="s">
        <v>2398</v>
      </c>
      <c r="U311" s="152" t="s">
        <v>2398</v>
      </c>
    </row>
    <row r="312" spans="1:21" s="142" customFormat="1" ht="12.75" x14ac:dyDescent="0.2">
      <c r="A312" s="151"/>
      <c r="B312" s="152" t="s">
        <v>2705</v>
      </c>
      <c r="C312" s="152" t="s">
        <v>1435</v>
      </c>
      <c r="D312" s="152" t="s">
        <v>2705</v>
      </c>
      <c r="E312" s="152" t="s">
        <v>2705</v>
      </c>
      <c r="F312" s="152" t="s">
        <v>2705</v>
      </c>
      <c r="G312" s="152" t="s">
        <v>2398</v>
      </c>
      <c r="H312" s="152" t="s">
        <v>2397</v>
      </c>
      <c r="I312" s="152" t="s">
        <v>2705</v>
      </c>
      <c r="J312" s="152" t="s">
        <v>2705</v>
      </c>
      <c r="K312" s="152" t="s">
        <v>2705</v>
      </c>
      <c r="L312" s="152" t="s">
        <v>2398</v>
      </c>
      <c r="M312" s="152" t="s">
        <v>1435</v>
      </c>
      <c r="N312" s="152" t="s">
        <v>2705</v>
      </c>
      <c r="O312" s="152" t="s">
        <v>2705</v>
      </c>
      <c r="P312" s="152" t="s">
        <v>2398</v>
      </c>
      <c r="Q312" s="152" t="s">
        <v>2705</v>
      </c>
      <c r="R312" s="152" t="s">
        <v>2398</v>
      </c>
      <c r="S312" s="152" t="s">
        <v>2675</v>
      </c>
      <c r="T312" s="152" t="s">
        <v>2705</v>
      </c>
      <c r="U312" s="152" t="s">
        <v>2705</v>
      </c>
    </row>
    <row r="313" spans="1:21" s="142" customFormat="1" ht="12.75" customHeight="1" x14ac:dyDescent="0.2">
      <c r="A313" s="151" t="s">
        <v>7473</v>
      </c>
      <c r="B313" s="152" t="s">
        <v>2398</v>
      </c>
      <c r="C313" s="152" t="s">
        <v>2398</v>
      </c>
      <c r="D313" s="152" t="s">
        <v>1435</v>
      </c>
      <c r="E313" s="152" t="s">
        <v>2705</v>
      </c>
      <c r="F313" s="152" t="s">
        <v>2398</v>
      </c>
      <c r="G313" s="152" t="s">
        <v>2705</v>
      </c>
      <c r="H313" s="152" t="s">
        <v>2397</v>
      </c>
      <c r="I313" s="152" t="s">
        <v>2397</v>
      </c>
      <c r="J313" s="152" t="s">
        <v>2705</v>
      </c>
      <c r="K313" s="152" t="s">
        <v>2398</v>
      </c>
      <c r="L313" s="152" t="s">
        <v>1435</v>
      </c>
      <c r="M313" s="152" t="s">
        <v>2705</v>
      </c>
      <c r="N313" s="152" t="s">
        <v>2397</v>
      </c>
      <c r="O313" s="152" t="s">
        <v>2675</v>
      </c>
      <c r="P313" s="152" t="s">
        <v>2705</v>
      </c>
      <c r="Q313" s="152" t="s">
        <v>2705</v>
      </c>
      <c r="R313" s="152" t="s">
        <v>2705</v>
      </c>
      <c r="S313" s="152" t="s">
        <v>2705</v>
      </c>
      <c r="T313" s="152" t="s">
        <v>2705</v>
      </c>
      <c r="U313" s="152" t="s">
        <v>2675</v>
      </c>
    </row>
    <row r="314" spans="1:21" s="142" customFormat="1" ht="12.75" x14ac:dyDescent="0.2">
      <c r="A314" s="151"/>
      <c r="B314" s="152" t="s">
        <v>2398</v>
      </c>
      <c r="C314" s="152" t="s">
        <v>2675</v>
      </c>
      <c r="D314" s="152" t="s">
        <v>2398</v>
      </c>
      <c r="E314" s="152" t="s">
        <v>2398</v>
      </c>
      <c r="F314" s="152" t="s">
        <v>2705</v>
      </c>
      <c r="G314" s="152" t="s">
        <v>2398</v>
      </c>
      <c r="H314" s="152" t="s">
        <v>2675</v>
      </c>
      <c r="I314" s="152" t="s">
        <v>2398</v>
      </c>
      <c r="J314" s="152" t="s">
        <v>2398</v>
      </c>
      <c r="K314" s="152" t="s">
        <v>2398</v>
      </c>
      <c r="L314" s="152" t="s">
        <v>2675</v>
      </c>
      <c r="M314" s="152" t="s">
        <v>2398</v>
      </c>
      <c r="N314" s="152" t="s">
        <v>2705</v>
      </c>
      <c r="O314" s="152" t="s">
        <v>2398</v>
      </c>
      <c r="P314" s="152" t="s">
        <v>2675</v>
      </c>
      <c r="Q314" s="152" t="s">
        <v>2675</v>
      </c>
      <c r="R314" s="152" t="s">
        <v>2398</v>
      </c>
      <c r="S314" s="152" t="s">
        <v>2705</v>
      </c>
      <c r="T314" s="152" t="s">
        <v>2398</v>
      </c>
      <c r="U314" s="152" t="s">
        <v>2398</v>
      </c>
    </row>
    <row r="315" spans="1:21" s="142" customFormat="1" ht="12.75" customHeight="1" x14ac:dyDescent="0.2">
      <c r="A315" s="151" t="s">
        <v>7474</v>
      </c>
      <c r="B315" s="152" t="s">
        <v>2398</v>
      </c>
      <c r="C315" s="152" t="s">
        <v>2705</v>
      </c>
      <c r="D315" s="152" t="s">
        <v>2398</v>
      </c>
      <c r="E315" s="152" t="s">
        <v>2705</v>
      </c>
      <c r="F315" s="152" t="s">
        <v>2705</v>
      </c>
      <c r="G315" s="152" t="s">
        <v>2705</v>
      </c>
      <c r="H315" s="152" t="s">
        <v>2705</v>
      </c>
      <c r="I315" s="152" t="s">
        <v>2675</v>
      </c>
      <c r="J315" s="152" t="s">
        <v>2705</v>
      </c>
      <c r="K315" s="152" t="s">
        <v>2705</v>
      </c>
      <c r="L315" s="152" t="s">
        <v>2705</v>
      </c>
      <c r="M315" s="152" t="s">
        <v>2398</v>
      </c>
      <c r="N315" s="152" t="s">
        <v>2705</v>
      </c>
      <c r="O315" s="152" t="s">
        <v>2705</v>
      </c>
      <c r="P315" s="152" t="s">
        <v>2675</v>
      </c>
      <c r="Q315" s="152" t="s">
        <v>2705</v>
      </c>
      <c r="R315" s="152" t="s">
        <v>2705</v>
      </c>
      <c r="S315" s="152" t="s">
        <v>2675</v>
      </c>
      <c r="T315" s="152" t="s">
        <v>2675</v>
      </c>
      <c r="U315" s="152" t="s">
        <v>1435</v>
      </c>
    </row>
    <row r="316" spans="1:21" s="142" customFormat="1" ht="12.75" x14ac:dyDescent="0.2">
      <c r="A316" s="151"/>
      <c r="B316" s="152" t="s">
        <v>2397</v>
      </c>
      <c r="C316" s="152" t="s">
        <v>2705</v>
      </c>
      <c r="D316" s="152" t="s">
        <v>2705</v>
      </c>
      <c r="E316" s="152" t="s">
        <v>2675</v>
      </c>
      <c r="F316" s="152" t="s">
        <v>2705</v>
      </c>
      <c r="G316" s="152" t="s">
        <v>2398</v>
      </c>
      <c r="H316" s="152" t="s">
        <v>2675</v>
      </c>
      <c r="I316" s="152" t="s">
        <v>2398</v>
      </c>
      <c r="J316" s="152" t="s">
        <v>2705</v>
      </c>
      <c r="K316" s="152" t="s">
        <v>1435</v>
      </c>
      <c r="L316" s="152" t="s">
        <v>1435</v>
      </c>
      <c r="M316" s="152" t="s">
        <v>2675</v>
      </c>
      <c r="N316" s="152" t="s">
        <v>2675</v>
      </c>
      <c r="O316" s="152" t="s">
        <v>1435</v>
      </c>
      <c r="P316" s="152" t="s">
        <v>2705</v>
      </c>
      <c r="Q316" s="152" t="s">
        <v>1435</v>
      </c>
      <c r="R316" s="152" t="s">
        <v>2397</v>
      </c>
      <c r="S316" s="152" t="s">
        <v>2705</v>
      </c>
      <c r="T316" s="152" t="s">
        <v>2705</v>
      </c>
      <c r="U316" s="152" t="s">
        <v>2675</v>
      </c>
    </row>
    <row r="317" spans="1:21" s="142" customFormat="1" ht="12.75" customHeight="1" x14ac:dyDescent="0.2">
      <c r="A317" s="151" t="s">
        <v>7475</v>
      </c>
      <c r="B317" s="152" t="s">
        <v>2397</v>
      </c>
      <c r="C317" s="152" t="s">
        <v>1435</v>
      </c>
      <c r="D317" s="152" t="s">
        <v>2675</v>
      </c>
      <c r="E317" s="152" t="s">
        <v>2705</v>
      </c>
      <c r="F317" s="152" t="s">
        <v>2397</v>
      </c>
      <c r="G317" s="152" t="s">
        <v>2398</v>
      </c>
      <c r="H317" s="152" t="s">
        <v>1435</v>
      </c>
      <c r="I317" s="152" t="s">
        <v>2705</v>
      </c>
      <c r="J317" s="152" t="s">
        <v>2675</v>
      </c>
      <c r="K317" s="152" t="s">
        <v>2675</v>
      </c>
      <c r="L317" s="152" t="s">
        <v>2398</v>
      </c>
      <c r="M317" s="152" t="s">
        <v>2705</v>
      </c>
      <c r="N317" s="152" t="s">
        <v>2398</v>
      </c>
      <c r="O317" s="152" t="s">
        <v>1435</v>
      </c>
      <c r="P317" s="152" t="s">
        <v>2705</v>
      </c>
      <c r="Q317" s="152" t="s">
        <v>1435</v>
      </c>
      <c r="R317" s="152" t="s">
        <v>2705</v>
      </c>
      <c r="S317" s="152" t="s">
        <v>2705</v>
      </c>
      <c r="T317" s="152" t="s">
        <v>1435</v>
      </c>
      <c r="U317" s="152" t="s">
        <v>2705</v>
      </c>
    </row>
    <row r="318" spans="1:21" s="142" customFormat="1" ht="12.75" x14ac:dyDescent="0.2">
      <c r="A318" s="151"/>
      <c r="B318" s="152" t="s">
        <v>2705</v>
      </c>
      <c r="C318" s="152" t="s">
        <v>2398</v>
      </c>
      <c r="D318" s="152" t="s">
        <v>2397</v>
      </c>
      <c r="E318" s="152" t="s">
        <v>2705</v>
      </c>
      <c r="F318" s="152" t="s">
        <v>2675</v>
      </c>
      <c r="G318" s="152" t="s">
        <v>2397</v>
      </c>
      <c r="H318" s="152" t="s">
        <v>2675</v>
      </c>
      <c r="I318" s="152" t="s">
        <v>2675</v>
      </c>
      <c r="J318" s="152" t="s">
        <v>2398</v>
      </c>
      <c r="K318" s="152" t="s">
        <v>2398</v>
      </c>
      <c r="L318" s="152" t="s">
        <v>2397</v>
      </c>
      <c r="M318" s="152" t="s">
        <v>2398</v>
      </c>
      <c r="N318" s="152" t="s">
        <v>2705</v>
      </c>
      <c r="O318" s="152" t="s">
        <v>2397</v>
      </c>
      <c r="P318" s="152" t="s">
        <v>2675</v>
      </c>
      <c r="Q318" s="152" t="s">
        <v>1435</v>
      </c>
      <c r="R318" s="152" t="s">
        <v>1435</v>
      </c>
      <c r="S318" s="152" t="s">
        <v>2705</v>
      </c>
      <c r="T318" s="152" t="s">
        <v>2705</v>
      </c>
      <c r="U318" s="152" t="s">
        <v>2398</v>
      </c>
    </row>
    <row r="319" spans="1:21" s="142" customFormat="1" ht="12.75" customHeight="1" x14ac:dyDescent="0.2">
      <c r="A319" s="151" t="s">
        <v>7476</v>
      </c>
      <c r="B319" s="152" t="s">
        <v>2705</v>
      </c>
      <c r="C319" s="152" t="s">
        <v>2397</v>
      </c>
      <c r="D319" s="152" t="s">
        <v>2705</v>
      </c>
      <c r="E319" s="152" t="s">
        <v>2398</v>
      </c>
      <c r="F319" s="152" t="s">
        <v>2398</v>
      </c>
      <c r="G319" s="152" t="s">
        <v>2705</v>
      </c>
      <c r="H319" s="152" t="s">
        <v>2705</v>
      </c>
      <c r="I319" s="152" t="s">
        <v>2398</v>
      </c>
      <c r="J319" s="152" t="s">
        <v>2398</v>
      </c>
      <c r="K319" s="152" t="s">
        <v>1435</v>
      </c>
      <c r="L319" s="152" t="s">
        <v>2705</v>
      </c>
      <c r="M319" s="152" t="s">
        <v>2398</v>
      </c>
      <c r="N319" s="152" t="s">
        <v>2705</v>
      </c>
      <c r="O319" s="152" t="s">
        <v>2398</v>
      </c>
      <c r="P319" s="152" t="s">
        <v>2397</v>
      </c>
      <c r="Q319" s="152" t="s">
        <v>1435</v>
      </c>
      <c r="R319" s="152" t="s">
        <v>2675</v>
      </c>
      <c r="S319" s="152" t="s">
        <v>2398</v>
      </c>
      <c r="T319" s="152" t="s">
        <v>2705</v>
      </c>
      <c r="U319" s="152" t="s">
        <v>2705</v>
      </c>
    </row>
    <row r="320" spans="1:21" s="142" customFormat="1" ht="12.75" x14ac:dyDescent="0.2">
      <c r="A320" s="151"/>
      <c r="B320" s="152" t="s">
        <v>2398</v>
      </c>
      <c r="C320" s="152" t="s">
        <v>2705</v>
      </c>
      <c r="D320" s="152" t="s">
        <v>2705</v>
      </c>
      <c r="E320" s="152" t="s">
        <v>1435</v>
      </c>
      <c r="F320" s="152" t="s">
        <v>2705</v>
      </c>
      <c r="G320" s="152" t="s">
        <v>2705</v>
      </c>
      <c r="H320" s="152" t="s">
        <v>1435</v>
      </c>
      <c r="I320" s="152" t="s">
        <v>2705</v>
      </c>
      <c r="J320" s="152" t="s">
        <v>2398</v>
      </c>
      <c r="K320" s="152" t="s">
        <v>2675</v>
      </c>
      <c r="L320" s="152" t="s">
        <v>2398</v>
      </c>
      <c r="M320" s="152" t="s">
        <v>2398</v>
      </c>
      <c r="N320" s="152" t="s">
        <v>2398</v>
      </c>
      <c r="O320" s="152" t="s">
        <v>2705</v>
      </c>
      <c r="P320" s="152" t="s">
        <v>2398</v>
      </c>
      <c r="Q320" s="152" t="s">
        <v>2705</v>
      </c>
      <c r="R320" s="152" t="s">
        <v>2398</v>
      </c>
      <c r="S320" s="152" t="s">
        <v>2397</v>
      </c>
      <c r="T320" s="152" t="s">
        <v>2705</v>
      </c>
      <c r="U320" s="152" t="s">
        <v>2398</v>
      </c>
    </row>
    <row r="321" spans="1:21" s="142" customFormat="1" ht="12.75" customHeight="1" x14ac:dyDescent="0.2">
      <c r="A321" s="151" t="s">
        <v>7477</v>
      </c>
      <c r="B321" s="152" t="s">
        <v>2675</v>
      </c>
      <c r="C321" s="152" t="s">
        <v>2705</v>
      </c>
      <c r="D321" s="152" t="s">
        <v>1435</v>
      </c>
      <c r="E321" s="152" t="s">
        <v>1435</v>
      </c>
      <c r="F321" s="152" t="s">
        <v>2675</v>
      </c>
      <c r="G321" s="152" t="s">
        <v>1435</v>
      </c>
      <c r="H321" s="152" t="s">
        <v>1435</v>
      </c>
      <c r="I321" s="152" t="s">
        <v>2397</v>
      </c>
      <c r="J321" s="152" t="s">
        <v>2675</v>
      </c>
      <c r="K321" s="152" t="s">
        <v>2397</v>
      </c>
      <c r="L321" s="152" t="s">
        <v>1435</v>
      </c>
      <c r="M321" s="152" t="s">
        <v>2705</v>
      </c>
      <c r="N321" s="152" t="s">
        <v>2398</v>
      </c>
      <c r="O321" s="152" t="s">
        <v>2398</v>
      </c>
      <c r="P321" s="152" t="s">
        <v>2705</v>
      </c>
      <c r="Q321" s="152" t="s">
        <v>2398</v>
      </c>
      <c r="R321" s="152" t="s">
        <v>1435</v>
      </c>
      <c r="S321" s="152" t="s">
        <v>2705</v>
      </c>
      <c r="T321" s="152" t="s">
        <v>2705</v>
      </c>
      <c r="U321" s="152" t="s">
        <v>2705</v>
      </c>
    </row>
    <row r="322" spans="1:21" s="142" customFormat="1" ht="12.75" x14ac:dyDescent="0.2">
      <c r="A322" s="151"/>
      <c r="B322" s="152" t="s">
        <v>2705</v>
      </c>
      <c r="C322" s="152" t="s">
        <v>2675</v>
      </c>
      <c r="D322" s="152" t="s">
        <v>2705</v>
      </c>
      <c r="E322" s="152" t="s">
        <v>2705</v>
      </c>
      <c r="F322" s="152" t="s">
        <v>2398</v>
      </c>
      <c r="G322" s="152" t="s">
        <v>1435</v>
      </c>
      <c r="H322" s="152" t="s">
        <v>2675</v>
      </c>
      <c r="I322" s="152" t="s">
        <v>2705</v>
      </c>
      <c r="J322" s="152" t="s">
        <v>1435</v>
      </c>
      <c r="K322" s="152" t="s">
        <v>1435</v>
      </c>
      <c r="L322" s="152" t="s">
        <v>2705</v>
      </c>
      <c r="M322" s="152" t="s">
        <v>2705</v>
      </c>
      <c r="N322" s="152" t="s">
        <v>2397</v>
      </c>
      <c r="O322" s="152" t="s">
        <v>2675</v>
      </c>
      <c r="P322" s="152" t="s">
        <v>2705</v>
      </c>
      <c r="Q322" s="152" t="s">
        <v>1435</v>
      </c>
      <c r="R322" s="152" t="s">
        <v>2675</v>
      </c>
      <c r="S322" s="152" t="s">
        <v>2397</v>
      </c>
      <c r="T322" s="152" t="s">
        <v>2705</v>
      </c>
      <c r="U322" s="152" t="s">
        <v>1435</v>
      </c>
    </row>
    <row r="323" spans="1:21" s="142" customFormat="1" ht="12.75" customHeight="1" x14ac:dyDescent="0.2">
      <c r="A323" s="151" t="s">
        <v>7478</v>
      </c>
      <c r="B323" s="152" t="s">
        <v>2705</v>
      </c>
      <c r="C323" s="152" t="s">
        <v>2705</v>
      </c>
      <c r="D323" s="152" t="s">
        <v>2675</v>
      </c>
      <c r="E323" s="152" t="s">
        <v>2398</v>
      </c>
      <c r="F323" s="152" t="s">
        <v>2398</v>
      </c>
      <c r="G323" s="152" t="s">
        <v>2398</v>
      </c>
      <c r="H323" s="152" t="s">
        <v>2397</v>
      </c>
      <c r="I323" s="152" t="s">
        <v>2398</v>
      </c>
      <c r="J323" s="152" t="s">
        <v>2398</v>
      </c>
      <c r="K323" s="152" t="s">
        <v>2398</v>
      </c>
      <c r="L323" s="152" t="s">
        <v>2705</v>
      </c>
      <c r="M323" s="152" t="s">
        <v>2398</v>
      </c>
      <c r="N323" s="152" t="s">
        <v>2705</v>
      </c>
      <c r="O323" s="152" t="s">
        <v>2705</v>
      </c>
      <c r="P323" s="152" t="s">
        <v>2397</v>
      </c>
      <c r="Q323" s="152" t="s">
        <v>2398</v>
      </c>
      <c r="R323" s="152" t="s">
        <v>2398</v>
      </c>
      <c r="S323" s="152" t="s">
        <v>2398</v>
      </c>
      <c r="T323" s="152" t="s">
        <v>2705</v>
      </c>
      <c r="U323" s="152" t="s">
        <v>2705</v>
      </c>
    </row>
    <row r="324" spans="1:21" s="142" customFormat="1" ht="12.75" x14ac:dyDescent="0.2">
      <c r="A324" s="151"/>
      <c r="B324" s="152" t="s">
        <v>2398</v>
      </c>
      <c r="C324" s="152" t="s">
        <v>2398</v>
      </c>
      <c r="D324" s="152" t="s">
        <v>1435</v>
      </c>
      <c r="E324" s="152" t="s">
        <v>2398</v>
      </c>
      <c r="F324" s="152" t="s">
        <v>2398</v>
      </c>
      <c r="G324" s="152" t="s">
        <v>2705</v>
      </c>
      <c r="H324" s="152" t="s">
        <v>2398</v>
      </c>
      <c r="I324" s="152" t="s">
        <v>2398</v>
      </c>
      <c r="J324" s="152" t="s">
        <v>2705</v>
      </c>
      <c r="K324" s="152" t="s">
        <v>2705</v>
      </c>
      <c r="L324" s="152" t="s">
        <v>1435</v>
      </c>
      <c r="M324" s="152" t="s">
        <v>2398</v>
      </c>
      <c r="N324" s="152" t="s">
        <v>2398</v>
      </c>
      <c r="O324" s="152" t="s">
        <v>2705</v>
      </c>
      <c r="P324" s="152" t="s">
        <v>2398</v>
      </c>
      <c r="Q324" s="152" t="s">
        <v>2705</v>
      </c>
      <c r="R324" s="152" t="s">
        <v>2398</v>
      </c>
      <c r="S324" s="152" t="s">
        <v>2398</v>
      </c>
      <c r="T324" s="152" t="s">
        <v>2398</v>
      </c>
      <c r="U324" s="152" t="s">
        <v>2398</v>
      </c>
    </row>
    <row r="325" spans="1:21" s="142" customFormat="1" ht="12.75" customHeight="1" x14ac:dyDescent="0.2">
      <c r="A325" s="151" t="s">
        <v>7479</v>
      </c>
      <c r="B325" s="152" t="s">
        <v>2398</v>
      </c>
      <c r="C325" s="152" t="s">
        <v>2398</v>
      </c>
      <c r="D325" s="152" t="s">
        <v>2398</v>
      </c>
      <c r="E325" s="152" t="s">
        <v>2705</v>
      </c>
      <c r="F325" s="152" t="s">
        <v>2398</v>
      </c>
      <c r="G325" s="152" t="s">
        <v>2705</v>
      </c>
      <c r="H325" s="152" t="s">
        <v>2705</v>
      </c>
      <c r="I325" s="152" t="s">
        <v>2398</v>
      </c>
      <c r="J325" s="152" t="s">
        <v>2398</v>
      </c>
      <c r="K325" s="152" t="s">
        <v>1435</v>
      </c>
      <c r="L325" s="152" t="s">
        <v>2705</v>
      </c>
      <c r="M325" s="152" t="s">
        <v>2705</v>
      </c>
      <c r="N325" s="152" t="s">
        <v>2705</v>
      </c>
      <c r="O325" s="152" t="s">
        <v>2398</v>
      </c>
      <c r="P325" s="152" t="s">
        <v>2398</v>
      </c>
      <c r="Q325" s="152" t="s">
        <v>2398</v>
      </c>
      <c r="R325" s="152" t="s">
        <v>2398</v>
      </c>
      <c r="S325" s="152" t="s">
        <v>2705</v>
      </c>
      <c r="T325" s="152" t="s">
        <v>2705</v>
      </c>
      <c r="U325" s="152" t="s">
        <v>2705</v>
      </c>
    </row>
    <row r="326" spans="1:21" s="142" customFormat="1" ht="12.75" x14ac:dyDescent="0.2">
      <c r="A326" s="151"/>
      <c r="B326" s="152" t="s">
        <v>2397</v>
      </c>
      <c r="C326" s="152" t="s">
        <v>2705</v>
      </c>
      <c r="D326" s="152" t="s">
        <v>2705</v>
      </c>
      <c r="E326" s="152" t="s">
        <v>2705</v>
      </c>
      <c r="F326" s="152" t="s">
        <v>2705</v>
      </c>
      <c r="G326" s="152" t="s">
        <v>2398</v>
      </c>
      <c r="H326" s="152" t="s">
        <v>2705</v>
      </c>
      <c r="I326" s="152" t="s">
        <v>2705</v>
      </c>
      <c r="J326" s="152" t="s">
        <v>2398</v>
      </c>
      <c r="K326" s="152" t="s">
        <v>2398</v>
      </c>
      <c r="L326" s="152" t="s">
        <v>2705</v>
      </c>
      <c r="M326" s="152" t="s">
        <v>2705</v>
      </c>
      <c r="N326" s="152" t="s">
        <v>1435</v>
      </c>
      <c r="O326" s="152" t="s">
        <v>2705</v>
      </c>
      <c r="P326" s="152" t="s">
        <v>2398</v>
      </c>
      <c r="Q326" s="152" t="s">
        <v>2398</v>
      </c>
      <c r="R326" s="152" t="s">
        <v>2398</v>
      </c>
      <c r="S326" s="152" t="s">
        <v>2398</v>
      </c>
      <c r="T326" s="152" t="s">
        <v>2398</v>
      </c>
      <c r="U326" s="152" t="s">
        <v>2705</v>
      </c>
    </row>
    <row r="327" spans="1:21" s="142" customFormat="1" ht="12.75" customHeight="1" x14ac:dyDescent="0.2">
      <c r="A327" s="151" t="s">
        <v>7480</v>
      </c>
      <c r="B327" s="152" t="s">
        <v>2705</v>
      </c>
      <c r="C327" s="152" t="s">
        <v>2397</v>
      </c>
      <c r="D327" s="152" t="s">
        <v>2705</v>
      </c>
      <c r="E327" s="152" t="s">
        <v>2398</v>
      </c>
      <c r="F327" s="152" t="s">
        <v>2705</v>
      </c>
      <c r="G327" s="152" t="s">
        <v>2705</v>
      </c>
      <c r="H327" s="152" t="s">
        <v>2705</v>
      </c>
      <c r="I327" s="152" t="s">
        <v>2398</v>
      </c>
      <c r="J327" s="152" t="s">
        <v>2398</v>
      </c>
      <c r="K327" s="152" t="s">
        <v>2398</v>
      </c>
      <c r="L327" s="152" t="s">
        <v>2705</v>
      </c>
      <c r="M327" s="152" t="s">
        <v>2705</v>
      </c>
      <c r="N327" s="152" t="s">
        <v>2675</v>
      </c>
      <c r="O327" s="152" t="s">
        <v>2705</v>
      </c>
      <c r="P327" s="152" t="s">
        <v>2705</v>
      </c>
      <c r="Q327" s="152" t="s">
        <v>2705</v>
      </c>
      <c r="R327" s="152" t="s">
        <v>2398</v>
      </c>
      <c r="S327" s="152" t="s">
        <v>2705</v>
      </c>
      <c r="T327" s="152" t="s">
        <v>2705</v>
      </c>
      <c r="U327" s="152" t="s">
        <v>2705</v>
      </c>
    </row>
    <row r="328" spans="1:21" s="142" customFormat="1" ht="12.75" x14ac:dyDescent="0.2">
      <c r="A328" s="151"/>
      <c r="B328" s="152" t="s">
        <v>2397</v>
      </c>
      <c r="C328" s="152" t="s">
        <v>2397</v>
      </c>
      <c r="D328" s="152" t="s">
        <v>2675</v>
      </c>
      <c r="E328" s="152" t="s">
        <v>2398</v>
      </c>
      <c r="F328" s="152" t="s">
        <v>2705</v>
      </c>
      <c r="G328" s="152" t="s">
        <v>2398</v>
      </c>
      <c r="H328" s="152" t="s">
        <v>2705</v>
      </c>
      <c r="I328" s="152" t="s">
        <v>2705</v>
      </c>
      <c r="J328" s="152" t="s">
        <v>2397</v>
      </c>
      <c r="K328" s="152" t="s">
        <v>2398</v>
      </c>
      <c r="L328" s="152" t="s">
        <v>2705</v>
      </c>
      <c r="M328" s="152" t="s">
        <v>2705</v>
      </c>
      <c r="N328" s="152" t="s">
        <v>2705</v>
      </c>
      <c r="O328" s="152" t="s">
        <v>2705</v>
      </c>
      <c r="P328" s="152" t="s">
        <v>2398</v>
      </c>
      <c r="Q328" s="152" t="s">
        <v>2705</v>
      </c>
      <c r="R328" s="152" t="s">
        <v>2398</v>
      </c>
      <c r="S328" s="152" t="s">
        <v>2705</v>
      </c>
      <c r="T328" s="152" t="s">
        <v>2398</v>
      </c>
      <c r="U328" s="152" t="s">
        <v>2398</v>
      </c>
    </row>
    <row r="329" spans="1:21" s="142" customFormat="1" ht="12.75" customHeight="1" x14ac:dyDescent="0.2">
      <c r="A329" s="151" t="s">
        <v>7481</v>
      </c>
      <c r="B329" s="152" t="s">
        <v>2705</v>
      </c>
      <c r="C329" s="152" t="s">
        <v>2398</v>
      </c>
      <c r="D329" s="152" t="s">
        <v>2705</v>
      </c>
      <c r="E329" s="152" t="s">
        <v>1435</v>
      </c>
      <c r="F329" s="152" t="s">
        <v>2398</v>
      </c>
      <c r="G329" s="152" t="s">
        <v>1435</v>
      </c>
      <c r="H329" s="152" t="s">
        <v>2705</v>
      </c>
      <c r="I329" s="152" t="s">
        <v>2705</v>
      </c>
      <c r="J329" s="152" t="s">
        <v>2705</v>
      </c>
      <c r="K329" s="152" t="s">
        <v>2705</v>
      </c>
      <c r="L329" s="152" t="s">
        <v>2705</v>
      </c>
      <c r="M329" s="152" t="s">
        <v>2705</v>
      </c>
      <c r="N329" s="152" t="s">
        <v>2705</v>
      </c>
      <c r="O329" s="152" t="s">
        <v>2398</v>
      </c>
      <c r="P329" s="152" t="s">
        <v>2398</v>
      </c>
      <c r="Q329" s="152" t="s">
        <v>1435</v>
      </c>
      <c r="R329" s="152" t="s">
        <v>2675</v>
      </c>
      <c r="S329" s="152" t="s">
        <v>2675</v>
      </c>
      <c r="T329" s="152" t="s">
        <v>2705</v>
      </c>
      <c r="U329" s="152" t="s">
        <v>2705</v>
      </c>
    </row>
    <row r="330" spans="1:21" s="142" customFormat="1" ht="12.75" x14ac:dyDescent="0.2">
      <c r="A330" s="151"/>
      <c r="B330" s="152" t="s">
        <v>2397</v>
      </c>
      <c r="C330" s="152" t="s">
        <v>2705</v>
      </c>
      <c r="D330" s="152" t="s">
        <v>2705</v>
      </c>
      <c r="E330" s="152" t="s">
        <v>2705</v>
      </c>
      <c r="F330" s="152" t="s">
        <v>2705</v>
      </c>
      <c r="G330" s="152" t="s">
        <v>2398</v>
      </c>
      <c r="H330" s="152" t="s">
        <v>2705</v>
      </c>
      <c r="I330" s="152" t="s">
        <v>2705</v>
      </c>
      <c r="J330" s="152" t="s">
        <v>2398</v>
      </c>
      <c r="K330" s="152" t="s">
        <v>2675</v>
      </c>
      <c r="L330" s="152" t="s">
        <v>2398</v>
      </c>
      <c r="M330" s="152" t="s">
        <v>2398</v>
      </c>
      <c r="N330" s="152" t="s">
        <v>2705</v>
      </c>
      <c r="O330" s="152" t="s">
        <v>2705</v>
      </c>
      <c r="P330" s="152" t="s">
        <v>2705</v>
      </c>
      <c r="Q330" s="152" t="s">
        <v>2705</v>
      </c>
      <c r="R330" s="152" t="s">
        <v>2705</v>
      </c>
      <c r="S330" s="152" t="s">
        <v>2705</v>
      </c>
      <c r="T330" s="152" t="s">
        <v>2705</v>
      </c>
      <c r="U330" s="152" t="s">
        <v>2705</v>
      </c>
    </row>
    <row r="331" spans="1:21" s="142" customFormat="1" ht="12.75" customHeight="1" x14ac:dyDescent="0.2">
      <c r="A331" s="151" t="s">
        <v>7482</v>
      </c>
      <c r="B331" s="152" t="s">
        <v>2398</v>
      </c>
      <c r="C331" s="152" t="s">
        <v>2398</v>
      </c>
      <c r="D331" s="152" t="s">
        <v>2397</v>
      </c>
      <c r="E331" s="152" t="s">
        <v>2398</v>
      </c>
      <c r="F331" s="152" t="s">
        <v>2675</v>
      </c>
      <c r="G331" s="152" t="s">
        <v>2705</v>
      </c>
      <c r="H331" s="152" t="s">
        <v>2705</v>
      </c>
      <c r="I331" s="152" t="s">
        <v>2398</v>
      </c>
      <c r="J331" s="152" t="s">
        <v>2675</v>
      </c>
      <c r="K331" s="152" t="s">
        <v>2705</v>
      </c>
      <c r="L331" s="152" t="s">
        <v>2398</v>
      </c>
      <c r="M331" s="152" t="s">
        <v>2705</v>
      </c>
      <c r="N331" s="152" t="s">
        <v>2705</v>
      </c>
      <c r="O331" s="152" t="s">
        <v>2705</v>
      </c>
      <c r="P331" s="152" t="s">
        <v>2705</v>
      </c>
      <c r="Q331" s="152" t="s">
        <v>2705</v>
      </c>
      <c r="R331" s="152" t="s">
        <v>2705</v>
      </c>
      <c r="S331" s="152" t="s">
        <v>2705</v>
      </c>
      <c r="T331" s="152" t="s">
        <v>2397</v>
      </c>
      <c r="U331" s="152" t="s">
        <v>2398</v>
      </c>
    </row>
    <row r="332" spans="1:21" s="142" customFormat="1" ht="12.75" x14ac:dyDescent="0.2">
      <c r="A332" s="151"/>
      <c r="B332" s="152" t="s">
        <v>2675</v>
      </c>
      <c r="C332" s="152" t="s">
        <v>2675</v>
      </c>
      <c r="D332" s="152" t="s">
        <v>2397</v>
      </c>
      <c r="E332" s="152" t="s">
        <v>2705</v>
      </c>
      <c r="F332" s="152" t="s">
        <v>2705</v>
      </c>
      <c r="G332" s="152" t="s">
        <v>2398</v>
      </c>
      <c r="H332" s="152" t="s">
        <v>2398</v>
      </c>
      <c r="I332" s="152" t="s">
        <v>2705</v>
      </c>
      <c r="J332" s="152" t="s">
        <v>2705</v>
      </c>
      <c r="K332" s="152" t="s">
        <v>2705</v>
      </c>
      <c r="L332" s="152" t="s">
        <v>2398</v>
      </c>
      <c r="M332" s="152" t="s">
        <v>2398</v>
      </c>
      <c r="N332" s="152" t="s">
        <v>2705</v>
      </c>
      <c r="O332" s="152" t="s">
        <v>2705</v>
      </c>
      <c r="P332" s="152" t="s">
        <v>2705</v>
      </c>
      <c r="Q332" s="152" t="s">
        <v>2705</v>
      </c>
      <c r="R332" s="152" t="s">
        <v>2705</v>
      </c>
      <c r="S332" s="152" t="s">
        <v>2705</v>
      </c>
      <c r="T332" s="152" t="s">
        <v>2705</v>
      </c>
      <c r="U332" s="152" t="s">
        <v>2398</v>
      </c>
    </row>
    <row r="333" spans="1:21" s="142" customFormat="1" ht="12.75" customHeight="1" x14ac:dyDescent="0.2">
      <c r="A333" s="151" t="s">
        <v>7483</v>
      </c>
      <c r="B333" s="152" t="s">
        <v>2705</v>
      </c>
      <c r="C333" s="152" t="s">
        <v>2705</v>
      </c>
      <c r="D333" s="152" t="s">
        <v>2705</v>
      </c>
      <c r="E333" s="152" t="s">
        <v>2705</v>
      </c>
      <c r="F333" s="152" t="s">
        <v>2705</v>
      </c>
      <c r="G333" s="152" t="s">
        <v>2705</v>
      </c>
      <c r="H333" s="152" t="s">
        <v>2705</v>
      </c>
      <c r="I333" s="152" t="s">
        <v>2398</v>
      </c>
      <c r="J333" s="152" t="s">
        <v>2398</v>
      </c>
      <c r="K333" s="152" t="s">
        <v>2705</v>
      </c>
      <c r="L333" s="152" t="s">
        <v>2397</v>
      </c>
      <c r="M333" s="152" t="s">
        <v>2398</v>
      </c>
      <c r="N333" s="152" t="s">
        <v>2705</v>
      </c>
      <c r="O333" s="152" t="s">
        <v>2398</v>
      </c>
      <c r="P333" s="152" t="s">
        <v>2398</v>
      </c>
      <c r="Q333" s="152" t="s">
        <v>2705</v>
      </c>
      <c r="R333" s="152" t="s">
        <v>2397</v>
      </c>
      <c r="S333" s="152" t="s">
        <v>2398</v>
      </c>
      <c r="T333" s="152" t="s">
        <v>2398</v>
      </c>
      <c r="U333" s="152" t="s">
        <v>2398</v>
      </c>
    </row>
    <row r="334" spans="1:21" s="142" customFormat="1" ht="12.75" x14ac:dyDescent="0.2">
      <c r="A334" s="151"/>
      <c r="B334" s="152" t="s">
        <v>2398</v>
      </c>
      <c r="C334" s="152" t="s">
        <v>2675</v>
      </c>
      <c r="D334" s="152" t="s">
        <v>2705</v>
      </c>
      <c r="E334" s="152" t="s">
        <v>2705</v>
      </c>
      <c r="F334" s="152" t="s">
        <v>2705</v>
      </c>
      <c r="G334" s="152" t="s">
        <v>2705</v>
      </c>
      <c r="H334" s="152" t="s">
        <v>2397</v>
      </c>
      <c r="I334" s="152" t="s">
        <v>2705</v>
      </c>
      <c r="J334" s="152" t="s">
        <v>2398</v>
      </c>
      <c r="K334" s="152" t="s">
        <v>2705</v>
      </c>
      <c r="L334" s="152" t="s">
        <v>2705</v>
      </c>
      <c r="M334" s="152" t="s">
        <v>2398</v>
      </c>
      <c r="N334" s="152" t="s">
        <v>2398</v>
      </c>
      <c r="O334" s="152" t="s">
        <v>2705</v>
      </c>
      <c r="P334" s="152" t="s">
        <v>2398</v>
      </c>
      <c r="Q334" s="152" t="s">
        <v>2705</v>
      </c>
      <c r="R334" s="152" t="s">
        <v>2398</v>
      </c>
      <c r="S334" s="152" t="s">
        <v>2705</v>
      </c>
      <c r="T334" s="152" t="s">
        <v>2705</v>
      </c>
      <c r="U334" s="152" t="s">
        <v>2705</v>
      </c>
    </row>
    <row r="335" spans="1:21" s="142" customFormat="1" ht="12.75" customHeight="1" x14ac:dyDescent="0.2">
      <c r="A335" s="151" t="s">
        <v>7484</v>
      </c>
      <c r="B335" s="152" t="s">
        <v>2398</v>
      </c>
      <c r="C335" s="152" t="s">
        <v>2705</v>
      </c>
      <c r="D335" s="152" t="s">
        <v>2705</v>
      </c>
      <c r="E335" s="152" t="s">
        <v>2398</v>
      </c>
      <c r="F335" s="152" t="s">
        <v>2398</v>
      </c>
      <c r="G335" s="152" t="s">
        <v>2705</v>
      </c>
      <c r="H335" s="152" t="s">
        <v>2398</v>
      </c>
      <c r="I335" s="152" t="s">
        <v>2398</v>
      </c>
      <c r="J335" s="152" t="s">
        <v>2705</v>
      </c>
      <c r="K335" s="152" t="s">
        <v>2705</v>
      </c>
      <c r="L335" s="152" t="s">
        <v>2705</v>
      </c>
      <c r="M335" s="152" t="s">
        <v>2398</v>
      </c>
      <c r="N335" s="152" t="s">
        <v>2705</v>
      </c>
      <c r="O335" s="152" t="s">
        <v>2705</v>
      </c>
      <c r="P335" s="152" t="s">
        <v>2398</v>
      </c>
      <c r="Q335" s="152" t="s">
        <v>2398</v>
      </c>
      <c r="R335" s="152" t="s">
        <v>2705</v>
      </c>
      <c r="S335" s="152" t="s">
        <v>2705</v>
      </c>
      <c r="T335" s="152" t="s">
        <v>2705</v>
      </c>
      <c r="U335" s="152" t="s">
        <v>2398</v>
      </c>
    </row>
    <row r="336" spans="1:21" s="142" customFormat="1" ht="12.75" x14ac:dyDescent="0.2">
      <c r="A336" s="151"/>
      <c r="B336" s="152" t="s">
        <v>2398</v>
      </c>
      <c r="C336" s="152" t="s">
        <v>2398</v>
      </c>
      <c r="D336" s="152" t="s">
        <v>2705</v>
      </c>
      <c r="E336" s="152" t="s">
        <v>2398</v>
      </c>
      <c r="F336" s="152" t="s">
        <v>2705</v>
      </c>
      <c r="G336" s="152" t="s">
        <v>1435</v>
      </c>
      <c r="H336" s="152" t="s">
        <v>2705</v>
      </c>
      <c r="I336" s="152" t="s">
        <v>2705</v>
      </c>
      <c r="J336" s="152" t="s">
        <v>2705</v>
      </c>
      <c r="K336" s="152" t="s">
        <v>2705</v>
      </c>
      <c r="L336" s="152" t="s">
        <v>2398</v>
      </c>
      <c r="M336" s="152" t="s">
        <v>2705</v>
      </c>
      <c r="N336" s="152" t="s">
        <v>2398</v>
      </c>
      <c r="O336" s="152" t="s">
        <v>2705</v>
      </c>
      <c r="P336" s="152" t="s">
        <v>2398</v>
      </c>
      <c r="Q336" s="152" t="s">
        <v>2398</v>
      </c>
      <c r="R336" s="152" t="s">
        <v>2398</v>
      </c>
      <c r="S336" s="152" t="s">
        <v>2398</v>
      </c>
      <c r="T336" s="152" t="s">
        <v>2705</v>
      </c>
      <c r="U336" s="152" t="s">
        <v>2705</v>
      </c>
    </row>
    <row r="337" spans="1:21" s="142" customFormat="1" ht="12.75" customHeight="1" x14ac:dyDescent="0.2">
      <c r="A337" s="151" t="s">
        <v>7485</v>
      </c>
      <c r="B337" s="152" t="s">
        <v>2398</v>
      </c>
      <c r="C337" s="152" t="s">
        <v>2705</v>
      </c>
      <c r="D337" s="152" t="s">
        <v>2398</v>
      </c>
      <c r="E337" s="152" t="s">
        <v>2398</v>
      </c>
      <c r="F337" s="152" t="s">
        <v>2705</v>
      </c>
      <c r="G337" s="152" t="s">
        <v>2705</v>
      </c>
      <c r="H337" s="152" t="s">
        <v>2705</v>
      </c>
      <c r="I337" s="152" t="s">
        <v>2398</v>
      </c>
      <c r="J337" s="152" t="s">
        <v>2398</v>
      </c>
      <c r="K337" s="152" t="s">
        <v>2705</v>
      </c>
      <c r="L337" s="152" t="s">
        <v>2398</v>
      </c>
      <c r="M337" s="152" t="s">
        <v>2705</v>
      </c>
      <c r="N337" s="152" t="s">
        <v>2398</v>
      </c>
      <c r="O337" s="152" t="s">
        <v>2705</v>
      </c>
      <c r="P337" s="152" t="s">
        <v>2705</v>
      </c>
      <c r="Q337" s="152" t="s">
        <v>2705</v>
      </c>
      <c r="R337" s="152" t="s">
        <v>2705</v>
      </c>
      <c r="S337" s="152" t="s">
        <v>2398</v>
      </c>
      <c r="T337" s="152" t="s">
        <v>2398</v>
      </c>
      <c r="U337" s="152" t="s">
        <v>2705</v>
      </c>
    </row>
    <row r="338" spans="1:21" s="142" customFormat="1" ht="12.75" x14ac:dyDescent="0.2">
      <c r="A338" s="151"/>
      <c r="B338" s="152" t="s">
        <v>2675</v>
      </c>
      <c r="C338" s="152" t="s">
        <v>2398</v>
      </c>
      <c r="D338" s="152" t="s">
        <v>2705</v>
      </c>
      <c r="E338" s="152" t="s">
        <v>2398</v>
      </c>
      <c r="F338" s="152" t="s">
        <v>2705</v>
      </c>
      <c r="G338" s="152" t="s">
        <v>2705</v>
      </c>
      <c r="H338" s="152" t="s">
        <v>2398</v>
      </c>
      <c r="I338" s="152" t="s">
        <v>2398</v>
      </c>
      <c r="J338" s="152" t="s">
        <v>2398</v>
      </c>
      <c r="K338" s="152" t="s">
        <v>2705</v>
      </c>
      <c r="L338" s="152" t="s">
        <v>2705</v>
      </c>
      <c r="M338" s="152" t="s">
        <v>2398</v>
      </c>
      <c r="N338" s="152" t="s">
        <v>2705</v>
      </c>
      <c r="O338" s="152" t="s">
        <v>2705</v>
      </c>
      <c r="P338" s="152" t="s">
        <v>2398</v>
      </c>
      <c r="Q338" s="152" t="s">
        <v>2705</v>
      </c>
      <c r="R338" s="152" t="s">
        <v>2705</v>
      </c>
      <c r="S338" s="152" t="s">
        <v>2705</v>
      </c>
      <c r="T338" s="152" t="s">
        <v>2705</v>
      </c>
      <c r="U338" s="152" t="s">
        <v>2398</v>
      </c>
    </row>
    <row r="339" spans="1:21" s="142" customFormat="1" ht="12.75" customHeight="1" x14ac:dyDescent="0.2">
      <c r="A339" s="151" t="s">
        <v>7486</v>
      </c>
      <c r="B339" s="152" t="s">
        <v>2705</v>
      </c>
      <c r="C339" s="152" t="s">
        <v>2705</v>
      </c>
      <c r="D339" s="152" t="s">
        <v>2705</v>
      </c>
      <c r="E339" s="152" t="s">
        <v>2705</v>
      </c>
      <c r="F339" s="152" t="s">
        <v>2705</v>
      </c>
      <c r="G339" s="152" t="s">
        <v>2705</v>
      </c>
      <c r="H339" s="152" t="s">
        <v>2705</v>
      </c>
      <c r="I339" s="152" t="s">
        <v>2398</v>
      </c>
      <c r="J339" s="152" t="s">
        <v>2705</v>
      </c>
      <c r="K339" s="152" t="s">
        <v>2398</v>
      </c>
      <c r="L339" s="152" t="s">
        <v>2705</v>
      </c>
      <c r="M339" s="152" t="s">
        <v>2705</v>
      </c>
      <c r="N339" s="152" t="s">
        <v>2398</v>
      </c>
      <c r="O339" s="152" t="s">
        <v>2705</v>
      </c>
      <c r="P339" s="152" t="s">
        <v>2705</v>
      </c>
      <c r="Q339" s="152" t="s">
        <v>2398</v>
      </c>
      <c r="R339" s="152" t="s">
        <v>2397</v>
      </c>
      <c r="S339" s="152" t="s">
        <v>2398</v>
      </c>
      <c r="T339" s="152" t="s">
        <v>2705</v>
      </c>
      <c r="U339" s="152" t="s">
        <v>2705</v>
      </c>
    </row>
    <row r="340" spans="1:21" s="142" customFormat="1" ht="12.75" x14ac:dyDescent="0.2">
      <c r="A340" s="151"/>
      <c r="B340" s="152" t="s">
        <v>2398</v>
      </c>
      <c r="C340" s="152" t="s">
        <v>2398</v>
      </c>
      <c r="D340" s="152" t="s">
        <v>2705</v>
      </c>
      <c r="E340" s="152" t="s">
        <v>2705</v>
      </c>
      <c r="F340" s="152" t="s">
        <v>2705</v>
      </c>
      <c r="G340" s="152" t="s">
        <v>2398</v>
      </c>
      <c r="H340" s="152" t="s">
        <v>2705</v>
      </c>
      <c r="I340" s="152" t="s">
        <v>2705</v>
      </c>
      <c r="J340" s="152" t="s">
        <v>2398</v>
      </c>
      <c r="K340" s="152" t="s">
        <v>2398</v>
      </c>
      <c r="L340" s="152" t="s">
        <v>2705</v>
      </c>
      <c r="M340" s="152" t="s">
        <v>2705</v>
      </c>
      <c r="N340" s="152" t="s">
        <v>2705</v>
      </c>
      <c r="O340" s="152" t="s">
        <v>2705</v>
      </c>
      <c r="P340" s="152" t="s">
        <v>2398</v>
      </c>
      <c r="Q340" s="152" t="s">
        <v>2398</v>
      </c>
      <c r="R340" s="152" t="s">
        <v>2398</v>
      </c>
      <c r="S340" s="152" t="s">
        <v>2705</v>
      </c>
      <c r="T340" s="152" t="s">
        <v>2705</v>
      </c>
      <c r="U340" s="152" t="s">
        <v>2398</v>
      </c>
    </row>
    <row r="341" spans="1:21" s="142" customFormat="1" ht="12.75" customHeight="1" x14ac:dyDescent="0.2">
      <c r="A341" s="151" t="s">
        <v>7487</v>
      </c>
      <c r="B341" s="152" t="s">
        <v>2705</v>
      </c>
      <c r="C341" s="152" t="s">
        <v>2398</v>
      </c>
      <c r="D341" s="152" t="s">
        <v>2705</v>
      </c>
      <c r="E341" s="152" t="s">
        <v>2705</v>
      </c>
      <c r="F341" s="152" t="s">
        <v>1435</v>
      </c>
      <c r="G341" s="152" t="s">
        <v>2705</v>
      </c>
      <c r="H341" s="152" t="s">
        <v>1435</v>
      </c>
      <c r="I341" s="152" t="s">
        <v>2705</v>
      </c>
      <c r="J341" s="152" t="s">
        <v>2675</v>
      </c>
      <c r="K341" s="152" t="s">
        <v>2397</v>
      </c>
      <c r="L341" s="152" t="s">
        <v>2705</v>
      </c>
      <c r="M341" s="152" t="s">
        <v>2705</v>
      </c>
      <c r="N341" s="152" t="s">
        <v>2705</v>
      </c>
      <c r="O341" s="152" t="s">
        <v>2705</v>
      </c>
      <c r="P341" s="152" t="s">
        <v>2675</v>
      </c>
      <c r="Q341" s="152" t="s">
        <v>2398</v>
      </c>
      <c r="R341" s="152" t="s">
        <v>2398</v>
      </c>
      <c r="S341" s="152" t="s">
        <v>2397</v>
      </c>
      <c r="T341" s="152" t="s">
        <v>2705</v>
      </c>
      <c r="U341" s="152" t="s">
        <v>2398</v>
      </c>
    </row>
    <row r="342" spans="1:21" s="142" customFormat="1" ht="12.75" x14ac:dyDescent="0.2">
      <c r="A342" s="151"/>
      <c r="B342" s="152" t="s">
        <v>2397</v>
      </c>
      <c r="C342" s="152" t="s">
        <v>2705</v>
      </c>
      <c r="D342" s="152" t="s">
        <v>2705</v>
      </c>
      <c r="E342" s="152" t="s">
        <v>2705</v>
      </c>
      <c r="F342" s="152" t="s">
        <v>2705</v>
      </c>
      <c r="G342" s="152" t="s">
        <v>2398</v>
      </c>
      <c r="H342" s="152" t="s">
        <v>2398</v>
      </c>
      <c r="I342" s="152" t="s">
        <v>2705</v>
      </c>
      <c r="J342" s="152" t="s">
        <v>2705</v>
      </c>
      <c r="K342" s="152" t="s">
        <v>2705</v>
      </c>
      <c r="L342" s="152" t="s">
        <v>2398</v>
      </c>
      <c r="M342" s="152" t="s">
        <v>1435</v>
      </c>
      <c r="N342" s="152" t="s">
        <v>2398</v>
      </c>
      <c r="O342" s="152" t="s">
        <v>2398</v>
      </c>
      <c r="P342" s="152" t="s">
        <v>2675</v>
      </c>
      <c r="Q342" s="152" t="s">
        <v>2705</v>
      </c>
      <c r="R342" s="152" t="s">
        <v>2705</v>
      </c>
      <c r="S342" s="152" t="s">
        <v>2675</v>
      </c>
      <c r="T342" s="152" t="s">
        <v>2705</v>
      </c>
      <c r="U342" s="152" t="s">
        <v>2705</v>
      </c>
    </row>
    <row r="343" spans="1:21" s="142" customFormat="1" ht="12.75" customHeight="1" x14ac:dyDescent="0.2">
      <c r="A343" s="151" t="s">
        <v>7488</v>
      </c>
      <c r="B343" s="152" t="s">
        <v>2398</v>
      </c>
      <c r="C343" s="152" t="s">
        <v>2675</v>
      </c>
      <c r="D343" s="152" t="s">
        <v>2398</v>
      </c>
      <c r="E343" s="152" t="s">
        <v>2398</v>
      </c>
      <c r="F343" s="152" t="s">
        <v>2398</v>
      </c>
      <c r="G343" s="152" t="s">
        <v>2705</v>
      </c>
      <c r="H343" s="152" t="s">
        <v>2705</v>
      </c>
      <c r="I343" s="152" t="s">
        <v>2398</v>
      </c>
      <c r="J343" s="152" t="s">
        <v>2675</v>
      </c>
      <c r="K343" s="152" t="s">
        <v>1435</v>
      </c>
      <c r="L343" s="152" t="s">
        <v>2705</v>
      </c>
      <c r="M343" s="152" t="s">
        <v>1435</v>
      </c>
      <c r="N343" s="152" t="s">
        <v>2675</v>
      </c>
      <c r="O343" s="152" t="s">
        <v>2705</v>
      </c>
      <c r="P343" s="152" t="s">
        <v>1435</v>
      </c>
      <c r="Q343" s="152" t="s">
        <v>2705</v>
      </c>
      <c r="R343" s="152" t="s">
        <v>2398</v>
      </c>
      <c r="S343" s="152" t="s">
        <v>2705</v>
      </c>
      <c r="T343" s="152" t="s">
        <v>2705</v>
      </c>
      <c r="U343" s="152" t="s">
        <v>2705</v>
      </c>
    </row>
    <row r="344" spans="1:21" s="142" customFormat="1" ht="12.75" x14ac:dyDescent="0.2">
      <c r="A344" s="151"/>
      <c r="B344" s="152" t="s">
        <v>2398</v>
      </c>
      <c r="C344" s="152" t="s">
        <v>2675</v>
      </c>
      <c r="D344" s="152" t="s">
        <v>2398</v>
      </c>
      <c r="E344" s="152" t="s">
        <v>2398</v>
      </c>
      <c r="F344" s="152" t="s">
        <v>2705</v>
      </c>
      <c r="G344" s="152" t="s">
        <v>2675</v>
      </c>
      <c r="H344" s="152" t="s">
        <v>2398</v>
      </c>
      <c r="I344" s="152" t="s">
        <v>2398</v>
      </c>
      <c r="J344" s="152" t="s">
        <v>2705</v>
      </c>
      <c r="K344" s="152" t="s">
        <v>2705</v>
      </c>
      <c r="L344" s="152" t="s">
        <v>2705</v>
      </c>
      <c r="M344" s="152" t="s">
        <v>2398</v>
      </c>
      <c r="N344" s="152" t="s">
        <v>2705</v>
      </c>
      <c r="O344" s="152" t="s">
        <v>2398</v>
      </c>
      <c r="P344" s="152" t="s">
        <v>2705</v>
      </c>
      <c r="Q344" s="152" t="s">
        <v>2705</v>
      </c>
      <c r="R344" s="152" t="s">
        <v>2705</v>
      </c>
      <c r="S344" s="152" t="s">
        <v>2705</v>
      </c>
      <c r="T344" s="152" t="s">
        <v>2398</v>
      </c>
      <c r="U344" s="152" t="s">
        <v>2398</v>
      </c>
    </row>
    <row r="345" spans="1:21" s="142" customFormat="1" ht="12.75" customHeight="1" x14ac:dyDescent="0.2">
      <c r="A345" s="151" t="s">
        <v>7489</v>
      </c>
      <c r="B345" s="152" t="s">
        <v>2705</v>
      </c>
      <c r="C345" s="152" t="s">
        <v>2705</v>
      </c>
      <c r="D345" s="152" t="s">
        <v>2705</v>
      </c>
      <c r="E345" s="152" t="s">
        <v>2705</v>
      </c>
      <c r="F345" s="152" t="s">
        <v>2398</v>
      </c>
      <c r="G345" s="152" t="s">
        <v>2705</v>
      </c>
      <c r="H345" s="152" t="s">
        <v>2705</v>
      </c>
      <c r="I345" s="152" t="s">
        <v>2397</v>
      </c>
      <c r="J345" s="152" t="s">
        <v>2705</v>
      </c>
      <c r="K345" s="152" t="s">
        <v>2398</v>
      </c>
      <c r="L345" s="152" t="s">
        <v>2705</v>
      </c>
      <c r="M345" s="152" t="s">
        <v>2705</v>
      </c>
      <c r="N345" s="152" t="s">
        <v>2398</v>
      </c>
      <c r="O345" s="152" t="s">
        <v>2705</v>
      </c>
      <c r="P345" s="152" t="s">
        <v>2705</v>
      </c>
      <c r="Q345" s="152" t="s">
        <v>2398</v>
      </c>
      <c r="R345" s="152" t="s">
        <v>2675</v>
      </c>
      <c r="S345" s="152" t="s">
        <v>2398</v>
      </c>
      <c r="T345" s="152" t="s">
        <v>2397</v>
      </c>
      <c r="U345" s="152" t="s">
        <v>2675</v>
      </c>
    </row>
    <row r="346" spans="1:21" s="142" customFormat="1" ht="12.75" x14ac:dyDescent="0.2">
      <c r="A346" s="151"/>
      <c r="B346" s="152" t="s">
        <v>2397</v>
      </c>
      <c r="C346" s="152" t="s">
        <v>2397</v>
      </c>
      <c r="D346" s="152" t="s">
        <v>2705</v>
      </c>
      <c r="E346" s="152" t="s">
        <v>2705</v>
      </c>
      <c r="F346" s="152" t="s">
        <v>2705</v>
      </c>
      <c r="G346" s="152" t="s">
        <v>2675</v>
      </c>
      <c r="H346" s="152" t="s">
        <v>2398</v>
      </c>
      <c r="I346" s="152" t="s">
        <v>2705</v>
      </c>
      <c r="J346" s="152" t="s">
        <v>2398</v>
      </c>
      <c r="K346" s="152" t="s">
        <v>2398</v>
      </c>
      <c r="L346" s="152" t="s">
        <v>2397</v>
      </c>
      <c r="M346" s="152" t="s">
        <v>2705</v>
      </c>
      <c r="N346" s="152" t="s">
        <v>2705</v>
      </c>
      <c r="O346" s="152" t="s">
        <v>2705</v>
      </c>
      <c r="P346" s="152" t="s">
        <v>2397</v>
      </c>
      <c r="Q346" s="152" t="s">
        <v>2705</v>
      </c>
      <c r="R346" s="152" t="s">
        <v>2705</v>
      </c>
      <c r="S346" s="152" t="s">
        <v>2397</v>
      </c>
      <c r="T346" s="152" t="s">
        <v>2398</v>
      </c>
      <c r="U346" s="152" t="s">
        <v>2705</v>
      </c>
    </row>
    <row r="347" spans="1:21" s="142" customFormat="1" ht="12.75" customHeight="1" x14ac:dyDescent="0.2">
      <c r="A347" s="151" t="s">
        <v>7490</v>
      </c>
      <c r="B347" s="152" t="s">
        <v>2398</v>
      </c>
      <c r="C347" s="152" t="s">
        <v>2675</v>
      </c>
      <c r="D347" s="152" t="s">
        <v>2705</v>
      </c>
      <c r="E347" s="152" t="s">
        <v>2705</v>
      </c>
      <c r="F347" s="152" t="s">
        <v>2398</v>
      </c>
      <c r="G347" s="152" t="s">
        <v>2398</v>
      </c>
      <c r="H347" s="152" t="s">
        <v>2705</v>
      </c>
      <c r="I347" s="152" t="s">
        <v>2398</v>
      </c>
      <c r="J347" s="152" t="s">
        <v>2705</v>
      </c>
      <c r="K347" s="152" t="s">
        <v>2398</v>
      </c>
      <c r="L347" s="152" t="s">
        <v>2705</v>
      </c>
      <c r="M347" s="152" t="s">
        <v>2398</v>
      </c>
      <c r="N347" s="152" t="s">
        <v>2705</v>
      </c>
      <c r="O347" s="152" t="s">
        <v>2705</v>
      </c>
      <c r="P347" s="152" t="s">
        <v>2398</v>
      </c>
      <c r="Q347" s="152" t="s">
        <v>2398</v>
      </c>
      <c r="R347" s="152" t="s">
        <v>2705</v>
      </c>
      <c r="S347" s="152" t="s">
        <v>2398</v>
      </c>
      <c r="T347" s="152" t="s">
        <v>2705</v>
      </c>
      <c r="U347" s="152" t="s">
        <v>2398</v>
      </c>
    </row>
    <row r="348" spans="1:21" s="142" customFormat="1" ht="12.75" x14ac:dyDescent="0.2">
      <c r="A348" s="151"/>
      <c r="B348" s="152" t="s">
        <v>2398</v>
      </c>
      <c r="C348" s="152" t="s">
        <v>1435</v>
      </c>
      <c r="D348" s="152" t="s">
        <v>2705</v>
      </c>
      <c r="E348" s="152" t="s">
        <v>2705</v>
      </c>
      <c r="F348" s="152" t="s">
        <v>2705</v>
      </c>
      <c r="G348" s="152" t="s">
        <v>2705</v>
      </c>
      <c r="H348" s="152" t="s">
        <v>2705</v>
      </c>
      <c r="I348" s="152" t="s">
        <v>2705</v>
      </c>
      <c r="J348" s="152" t="s">
        <v>2705</v>
      </c>
      <c r="K348" s="152" t="s">
        <v>2705</v>
      </c>
      <c r="L348" s="152" t="s">
        <v>2705</v>
      </c>
      <c r="M348" s="152" t="s">
        <v>2705</v>
      </c>
      <c r="N348" s="152" t="s">
        <v>2398</v>
      </c>
      <c r="O348" s="152" t="s">
        <v>2705</v>
      </c>
      <c r="P348" s="152" t="s">
        <v>2398</v>
      </c>
      <c r="Q348" s="152" t="s">
        <v>2705</v>
      </c>
      <c r="R348" s="152" t="s">
        <v>2398</v>
      </c>
      <c r="S348" s="152" t="s">
        <v>2705</v>
      </c>
      <c r="T348" s="152" t="s">
        <v>2705</v>
      </c>
      <c r="U348" s="152" t="s">
        <v>2398</v>
      </c>
    </row>
    <row r="349" spans="1:21" s="142" customFormat="1" ht="12.75" customHeight="1" x14ac:dyDescent="0.2">
      <c r="A349" s="151" t="s">
        <v>7491</v>
      </c>
      <c r="B349" s="152" t="s">
        <v>2705</v>
      </c>
      <c r="C349" s="152" t="s">
        <v>2705</v>
      </c>
      <c r="D349" s="152" t="s">
        <v>2675</v>
      </c>
      <c r="E349" s="152" t="s">
        <v>2705</v>
      </c>
      <c r="F349" s="152" t="s">
        <v>1435</v>
      </c>
      <c r="G349" s="152" t="s">
        <v>2398</v>
      </c>
      <c r="H349" s="152" t="s">
        <v>2705</v>
      </c>
      <c r="I349" s="152" t="s">
        <v>2398</v>
      </c>
      <c r="J349" s="152" t="s">
        <v>2705</v>
      </c>
      <c r="K349" s="152" t="s">
        <v>2398</v>
      </c>
      <c r="L349" s="152" t="s">
        <v>2675</v>
      </c>
      <c r="M349" s="152" t="s">
        <v>2398</v>
      </c>
      <c r="N349" s="152" t="s">
        <v>2705</v>
      </c>
      <c r="O349" s="152" t="s">
        <v>2705</v>
      </c>
      <c r="P349" s="152" t="s">
        <v>2705</v>
      </c>
      <c r="Q349" s="152" t="s">
        <v>2705</v>
      </c>
      <c r="R349" s="152" t="s">
        <v>2705</v>
      </c>
      <c r="S349" s="152" t="s">
        <v>2705</v>
      </c>
      <c r="T349" s="152" t="s">
        <v>2398</v>
      </c>
      <c r="U349" s="152" t="s">
        <v>2705</v>
      </c>
    </row>
    <row r="350" spans="1:21" s="142" customFormat="1" ht="12.75" x14ac:dyDescent="0.2">
      <c r="A350" s="151"/>
      <c r="B350" s="152" t="s">
        <v>1435</v>
      </c>
      <c r="C350" s="152" t="s">
        <v>2398</v>
      </c>
      <c r="D350" s="152" t="s">
        <v>2705</v>
      </c>
      <c r="E350" s="152" t="s">
        <v>2705</v>
      </c>
      <c r="F350" s="152" t="s">
        <v>2705</v>
      </c>
      <c r="G350" s="152" t="s">
        <v>2397</v>
      </c>
      <c r="H350" s="152" t="s">
        <v>2705</v>
      </c>
      <c r="I350" s="152" t="s">
        <v>2705</v>
      </c>
      <c r="J350" s="152" t="s">
        <v>2705</v>
      </c>
      <c r="K350" s="152" t="s">
        <v>2398</v>
      </c>
      <c r="L350" s="152" t="s">
        <v>2705</v>
      </c>
      <c r="M350" s="152" t="s">
        <v>2705</v>
      </c>
      <c r="N350" s="152" t="s">
        <v>2705</v>
      </c>
      <c r="O350" s="152" t="s">
        <v>2705</v>
      </c>
      <c r="P350" s="152" t="s">
        <v>2705</v>
      </c>
      <c r="Q350" s="152" t="s">
        <v>2705</v>
      </c>
      <c r="R350" s="152" t="s">
        <v>2398</v>
      </c>
      <c r="S350" s="152" t="s">
        <v>2705</v>
      </c>
      <c r="T350" s="152" t="s">
        <v>2705</v>
      </c>
      <c r="U350" s="152" t="s">
        <v>2705</v>
      </c>
    </row>
    <row r="351" spans="1:21" s="142" customFormat="1" ht="12.75" customHeight="1" x14ac:dyDescent="0.2">
      <c r="A351" s="151" t="s">
        <v>7492</v>
      </c>
      <c r="B351" s="152" t="s">
        <v>2397</v>
      </c>
      <c r="C351" s="152" t="s">
        <v>1435</v>
      </c>
      <c r="D351" s="152" t="s">
        <v>2705</v>
      </c>
      <c r="E351" s="152" t="s">
        <v>1435</v>
      </c>
      <c r="F351" s="152" t="s">
        <v>2705</v>
      </c>
      <c r="G351" s="152" t="s">
        <v>2705</v>
      </c>
      <c r="H351" s="152" t="s">
        <v>2705</v>
      </c>
      <c r="I351" s="152" t="s">
        <v>2705</v>
      </c>
      <c r="J351" s="152" t="s">
        <v>2705</v>
      </c>
      <c r="K351" s="152" t="s">
        <v>1435</v>
      </c>
      <c r="L351" s="152" t="s">
        <v>2705</v>
      </c>
      <c r="M351" s="152" t="s">
        <v>2398</v>
      </c>
      <c r="N351" s="152" t="s">
        <v>2675</v>
      </c>
      <c r="O351" s="152" t="s">
        <v>2398</v>
      </c>
      <c r="P351" s="152" t="s">
        <v>2705</v>
      </c>
      <c r="Q351" s="152" t="s">
        <v>2397</v>
      </c>
      <c r="R351" s="152" t="s">
        <v>2397</v>
      </c>
      <c r="S351" s="152" t="s">
        <v>2675</v>
      </c>
      <c r="T351" s="152" t="s">
        <v>2398</v>
      </c>
      <c r="U351" s="152" t="s">
        <v>2675</v>
      </c>
    </row>
    <row r="352" spans="1:21" s="142" customFormat="1" ht="12.75" x14ac:dyDescent="0.2">
      <c r="A352" s="151"/>
      <c r="B352" s="152" t="s">
        <v>2397</v>
      </c>
      <c r="C352" s="152" t="s">
        <v>2705</v>
      </c>
      <c r="D352" s="152" t="s">
        <v>2398</v>
      </c>
      <c r="E352" s="152" t="s">
        <v>2705</v>
      </c>
      <c r="F352" s="152" t="s">
        <v>2705</v>
      </c>
      <c r="G352" s="152" t="s">
        <v>2705</v>
      </c>
      <c r="H352" s="152" t="s">
        <v>2398</v>
      </c>
      <c r="I352" s="152" t="s">
        <v>2705</v>
      </c>
      <c r="J352" s="152" t="s">
        <v>2705</v>
      </c>
      <c r="K352" s="152" t="s">
        <v>2398</v>
      </c>
      <c r="L352" s="152" t="s">
        <v>1435</v>
      </c>
      <c r="M352" s="152" t="s">
        <v>2705</v>
      </c>
      <c r="N352" s="152" t="s">
        <v>2705</v>
      </c>
      <c r="O352" s="152" t="s">
        <v>2705</v>
      </c>
      <c r="P352" s="152" t="s">
        <v>2398</v>
      </c>
      <c r="Q352" s="152" t="s">
        <v>1435</v>
      </c>
      <c r="R352" s="152" t="s">
        <v>2705</v>
      </c>
      <c r="S352" s="152" t="s">
        <v>2705</v>
      </c>
      <c r="T352" s="152" t="s">
        <v>2705</v>
      </c>
      <c r="U352" s="152" t="s">
        <v>2675</v>
      </c>
    </row>
    <row r="353" spans="1:21" s="142" customFormat="1" ht="12.75" customHeight="1" x14ac:dyDescent="0.2">
      <c r="A353" s="151" t="s">
        <v>7493</v>
      </c>
      <c r="B353" s="152" t="s">
        <v>2398</v>
      </c>
      <c r="C353" s="152" t="s">
        <v>2398</v>
      </c>
      <c r="D353" s="152" t="s">
        <v>2705</v>
      </c>
      <c r="E353" s="152" t="s">
        <v>2705</v>
      </c>
      <c r="F353" s="152" t="s">
        <v>2705</v>
      </c>
      <c r="G353" s="152" t="s">
        <v>2705</v>
      </c>
      <c r="H353" s="152" t="s">
        <v>2705</v>
      </c>
      <c r="I353" s="152" t="s">
        <v>2398</v>
      </c>
      <c r="J353" s="152" t="s">
        <v>2675</v>
      </c>
      <c r="K353" s="152" t="s">
        <v>2398</v>
      </c>
      <c r="L353" s="152" t="s">
        <v>2705</v>
      </c>
      <c r="M353" s="152" t="s">
        <v>2705</v>
      </c>
      <c r="N353" s="152" t="s">
        <v>1435</v>
      </c>
      <c r="O353" s="152" t="s">
        <v>2705</v>
      </c>
      <c r="P353" s="152" t="s">
        <v>2398</v>
      </c>
      <c r="Q353" s="152" t="s">
        <v>2398</v>
      </c>
      <c r="R353" s="152" t="s">
        <v>2398</v>
      </c>
      <c r="S353" s="152" t="s">
        <v>2398</v>
      </c>
      <c r="T353" s="152" t="s">
        <v>2705</v>
      </c>
      <c r="U353" s="152" t="s">
        <v>2398</v>
      </c>
    </row>
    <row r="354" spans="1:21" s="142" customFormat="1" ht="12.75" x14ac:dyDescent="0.2">
      <c r="A354" s="151"/>
      <c r="B354" s="152" t="s">
        <v>2397</v>
      </c>
      <c r="C354" s="152" t="s">
        <v>2397</v>
      </c>
      <c r="D354" s="152" t="s">
        <v>2398</v>
      </c>
      <c r="E354" s="152" t="s">
        <v>2705</v>
      </c>
      <c r="F354" s="152" t="s">
        <v>2705</v>
      </c>
      <c r="G354" s="152" t="s">
        <v>2675</v>
      </c>
      <c r="H354" s="152" t="s">
        <v>2705</v>
      </c>
      <c r="I354" s="152" t="s">
        <v>2705</v>
      </c>
      <c r="J354" s="152" t="s">
        <v>2705</v>
      </c>
      <c r="K354" s="152" t="s">
        <v>2398</v>
      </c>
      <c r="L354" s="152" t="s">
        <v>2705</v>
      </c>
      <c r="M354" s="152" t="s">
        <v>2398</v>
      </c>
      <c r="N354" s="152" t="s">
        <v>2705</v>
      </c>
      <c r="O354" s="152" t="s">
        <v>2705</v>
      </c>
      <c r="P354" s="152" t="s">
        <v>2398</v>
      </c>
      <c r="Q354" s="152" t="s">
        <v>2705</v>
      </c>
      <c r="R354" s="152" t="s">
        <v>2705</v>
      </c>
      <c r="S354" s="152" t="s">
        <v>2705</v>
      </c>
      <c r="T354" s="152" t="s">
        <v>2705</v>
      </c>
      <c r="U354" s="152" t="s">
        <v>2705</v>
      </c>
    </row>
    <row r="355" spans="1:21" s="142" customFormat="1" ht="12.75" customHeight="1" x14ac:dyDescent="0.2">
      <c r="A355" s="151" t="s">
        <v>7494</v>
      </c>
      <c r="B355" s="152" t="s">
        <v>2398</v>
      </c>
      <c r="C355" s="152" t="s">
        <v>2398</v>
      </c>
      <c r="D355" s="152" t="s">
        <v>2705</v>
      </c>
      <c r="E355" s="152" t="s">
        <v>2398</v>
      </c>
      <c r="F355" s="152" t="s">
        <v>2705</v>
      </c>
      <c r="G355" s="152" t="s">
        <v>2705</v>
      </c>
      <c r="H355" s="152" t="s">
        <v>2398</v>
      </c>
      <c r="I355" s="152" t="s">
        <v>2398</v>
      </c>
      <c r="J355" s="152" t="s">
        <v>2675</v>
      </c>
      <c r="K355" s="152" t="s">
        <v>2705</v>
      </c>
      <c r="L355" s="152" t="s">
        <v>2705</v>
      </c>
      <c r="M355" s="152" t="s">
        <v>2398</v>
      </c>
      <c r="N355" s="152" t="s">
        <v>2675</v>
      </c>
      <c r="O355" s="152" t="s">
        <v>2705</v>
      </c>
      <c r="P355" s="152" t="s">
        <v>2398</v>
      </c>
      <c r="Q355" s="152" t="s">
        <v>2705</v>
      </c>
      <c r="R355" s="152" t="s">
        <v>2398</v>
      </c>
      <c r="S355" s="152" t="s">
        <v>2705</v>
      </c>
      <c r="T355" s="152" t="s">
        <v>2705</v>
      </c>
      <c r="U355" s="152" t="s">
        <v>2397</v>
      </c>
    </row>
    <row r="356" spans="1:21" s="142" customFormat="1" ht="12.75" x14ac:dyDescent="0.2">
      <c r="A356" s="151"/>
      <c r="B356" s="152" t="s">
        <v>2705</v>
      </c>
      <c r="C356" s="152" t="s">
        <v>2675</v>
      </c>
      <c r="D356" s="152" t="s">
        <v>2398</v>
      </c>
      <c r="E356" s="152" t="s">
        <v>2398</v>
      </c>
      <c r="F356" s="152" t="s">
        <v>2705</v>
      </c>
      <c r="G356" s="152" t="s">
        <v>2705</v>
      </c>
      <c r="H356" s="152" t="s">
        <v>2398</v>
      </c>
      <c r="I356" s="152" t="s">
        <v>2705</v>
      </c>
      <c r="J356" s="152" t="s">
        <v>2705</v>
      </c>
      <c r="K356" s="152" t="s">
        <v>2705</v>
      </c>
      <c r="L356" s="152" t="s">
        <v>2398</v>
      </c>
      <c r="M356" s="152" t="s">
        <v>2398</v>
      </c>
      <c r="N356" s="152" t="s">
        <v>2705</v>
      </c>
      <c r="O356" s="152" t="s">
        <v>2705</v>
      </c>
      <c r="P356" s="152" t="s">
        <v>2675</v>
      </c>
      <c r="Q356" s="152" t="s">
        <v>2705</v>
      </c>
      <c r="R356" s="152" t="s">
        <v>2398</v>
      </c>
      <c r="S356" s="152" t="s">
        <v>2705</v>
      </c>
      <c r="T356" s="152" t="s">
        <v>2398</v>
      </c>
      <c r="U356" s="152" t="s">
        <v>2398</v>
      </c>
    </row>
    <row r="357" spans="1:21" s="142" customFormat="1" ht="12.75" customHeight="1" x14ac:dyDescent="0.2">
      <c r="A357" s="151" t="s">
        <v>7495</v>
      </c>
      <c r="B357" s="152" t="s">
        <v>2705</v>
      </c>
      <c r="C357" s="152" t="s">
        <v>2705</v>
      </c>
      <c r="D357" s="152" t="s">
        <v>2705</v>
      </c>
      <c r="E357" s="152" t="s">
        <v>2705</v>
      </c>
      <c r="F357" s="152" t="s">
        <v>2705</v>
      </c>
      <c r="G357" s="152" t="s">
        <v>2705</v>
      </c>
      <c r="H357" s="152" t="s">
        <v>2705</v>
      </c>
      <c r="I357" s="152" t="s">
        <v>2705</v>
      </c>
      <c r="J357" s="152" t="s">
        <v>2705</v>
      </c>
      <c r="K357" s="152" t="s">
        <v>1435</v>
      </c>
      <c r="L357" s="152" t="s">
        <v>2705</v>
      </c>
      <c r="M357" s="152" t="s">
        <v>2705</v>
      </c>
      <c r="N357" s="152" t="s">
        <v>2398</v>
      </c>
      <c r="O357" s="152" t="s">
        <v>2398</v>
      </c>
      <c r="P357" s="152" t="s">
        <v>2705</v>
      </c>
      <c r="Q357" s="152" t="s">
        <v>1435</v>
      </c>
      <c r="R357" s="152" t="s">
        <v>2675</v>
      </c>
      <c r="S357" s="152" t="s">
        <v>2398</v>
      </c>
      <c r="T357" s="152" t="s">
        <v>2705</v>
      </c>
      <c r="U357" s="152" t="s">
        <v>2705</v>
      </c>
    </row>
    <row r="358" spans="1:21" s="142" customFormat="1" ht="12.75" x14ac:dyDescent="0.2">
      <c r="A358" s="151"/>
      <c r="B358" s="152" t="s">
        <v>2398</v>
      </c>
      <c r="C358" s="152" t="s">
        <v>2398</v>
      </c>
      <c r="D358" s="152" t="s">
        <v>2705</v>
      </c>
      <c r="E358" s="152" t="s">
        <v>2705</v>
      </c>
      <c r="F358" s="152" t="s">
        <v>2705</v>
      </c>
      <c r="G358" s="152" t="s">
        <v>2675</v>
      </c>
      <c r="H358" s="152" t="s">
        <v>2705</v>
      </c>
      <c r="I358" s="152" t="s">
        <v>2705</v>
      </c>
      <c r="J358" s="152" t="s">
        <v>2705</v>
      </c>
      <c r="K358" s="152" t="s">
        <v>2675</v>
      </c>
      <c r="L358" s="152" t="s">
        <v>2398</v>
      </c>
      <c r="M358" s="152" t="s">
        <v>2705</v>
      </c>
      <c r="N358" s="152" t="s">
        <v>2705</v>
      </c>
      <c r="O358" s="152" t="s">
        <v>2705</v>
      </c>
      <c r="P358" s="152" t="s">
        <v>2705</v>
      </c>
      <c r="Q358" s="152" t="s">
        <v>2705</v>
      </c>
      <c r="R358" s="152" t="s">
        <v>2705</v>
      </c>
      <c r="S358" s="152" t="s">
        <v>2705</v>
      </c>
      <c r="T358" s="152" t="s">
        <v>2705</v>
      </c>
      <c r="U358" s="152" t="s">
        <v>2705</v>
      </c>
    </row>
    <row r="359" spans="1:21" s="142" customFormat="1" ht="12.75" customHeight="1" x14ac:dyDescent="0.2">
      <c r="A359" s="151" t="s">
        <v>7496</v>
      </c>
      <c r="B359" s="152" t="s">
        <v>2705</v>
      </c>
      <c r="C359" s="152" t="s">
        <v>2705</v>
      </c>
      <c r="D359" s="152" t="s">
        <v>2705</v>
      </c>
      <c r="E359" s="152" t="s">
        <v>2705</v>
      </c>
      <c r="F359" s="152" t="s">
        <v>2397</v>
      </c>
      <c r="G359" s="152" t="s">
        <v>1435</v>
      </c>
      <c r="H359" s="152" t="s">
        <v>2705</v>
      </c>
      <c r="I359" s="152" t="s">
        <v>2398</v>
      </c>
      <c r="J359" s="152" t="s">
        <v>2705</v>
      </c>
      <c r="K359" s="152" t="s">
        <v>2705</v>
      </c>
      <c r="L359" s="152" t="s">
        <v>2705</v>
      </c>
      <c r="M359" s="152" t="s">
        <v>2705</v>
      </c>
      <c r="N359" s="152" t="s">
        <v>2705</v>
      </c>
      <c r="O359" s="152" t="s">
        <v>2398</v>
      </c>
      <c r="P359" s="152" t="s">
        <v>1435</v>
      </c>
      <c r="Q359" s="152" t="s">
        <v>2398</v>
      </c>
      <c r="R359" s="152" t="s">
        <v>2705</v>
      </c>
      <c r="S359" s="152" t="s">
        <v>2705</v>
      </c>
      <c r="T359" s="152" t="s">
        <v>2705</v>
      </c>
      <c r="U359" s="152" t="s">
        <v>2705</v>
      </c>
    </row>
    <row r="360" spans="1:21" s="142" customFormat="1" ht="12.75" x14ac:dyDescent="0.2">
      <c r="A360" s="151"/>
      <c r="B360" s="152" t="s">
        <v>2705</v>
      </c>
      <c r="C360" s="152" t="s">
        <v>2675</v>
      </c>
      <c r="D360" s="152" t="s">
        <v>2705</v>
      </c>
      <c r="E360" s="152" t="s">
        <v>2398</v>
      </c>
      <c r="F360" s="152" t="s">
        <v>2705</v>
      </c>
      <c r="G360" s="152" t="s">
        <v>2705</v>
      </c>
      <c r="H360" s="152" t="s">
        <v>2398</v>
      </c>
      <c r="I360" s="152" t="s">
        <v>2705</v>
      </c>
      <c r="J360" s="152" t="s">
        <v>2398</v>
      </c>
      <c r="K360" s="152" t="s">
        <v>2705</v>
      </c>
      <c r="L360" s="152" t="s">
        <v>2398</v>
      </c>
      <c r="M360" s="152" t="s">
        <v>2398</v>
      </c>
      <c r="N360" s="152" t="s">
        <v>2705</v>
      </c>
      <c r="O360" s="152" t="s">
        <v>2398</v>
      </c>
      <c r="P360" s="152" t="s">
        <v>2705</v>
      </c>
      <c r="Q360" s="152" t="s">
        <v>2705</v>
      </c>
      <c r="R360" s="152" t="s">
        <v>2705</v>
      </c>
      <c r="S360" s="152" t="s">
        <v>2705</v>
      </c>
      <c r="T360" s="152" t="s">
        <v>2398</v>
      </c>
      <c r="U360" s="152" t="s">
        <v>2398</v>
      </c>
    </row>
    <row r="361" spans="1:21" s="142" customFormat="1" ht="12.75" customHeight="1" x14ac:dyDescent="0.2">
      <c r="A361" s="151" t="s">
        <v>7497</v>
      </c>
      <c r="B361" s="152" t="s">
        <v>2398</v>
      </c>
      <c r="C361" s="152" t="s">
        <v>2705</v>
      </c>
      <c r="D361" s="152" t="s">
        <v>2398</v>
      </c>
      <c r="E361" s="152" t="s">
        <v>2398</v>
      </c>
      <c r="F361" s="152" t="s">
        <v>2705</v>
      </c>
      <c r="G361" s="152" t="s">
        <v>2705</v>
      </c>
      <c r="H361" s="152" t="s">
        <v>2398</v>
      </c>
      <c r="I361" s="152" t="s">
        <v>2398</v>
      </c>
      <c r="J361" s="152" t="s">
        <v>2705</v>
      </c>
      <c r="K361" s="152" t="s">
        <v>2705</v>
      </c>
      <c r="L361" s="152" t="s">
        <v>2705</v>
      </c>
      <c r="M361" s="152" t="s">
        <v>2705</v>
      </c>
      <c r="N361" s="152" t="s">
        <v>2705</v>
      </c>
      <c r="O361" s="152" t="s">
        <v>2705</v>
      </c>
      <c r="P361" s="152" t="s">
        <v>2705</v>
      </c>
      <c r="Q361" s="152" t="s">
        <v>2398</v>
      </c>
      <c r="R361" s="152" t="s">
        <v>2705</v>
      </c>
      <c r="S361" s="152" t="s">
        <v>2397</v>
      </c>
      <c r="T361" s="152" t="s">
        <v>2705</v>
      </c>
      <c r="U361" s="152" t="s">
        <v>2705</v>
      </c>
    </row>
    <row r="362" spans="1:21" s="142" customFormat="1" ht="12.75" x14ac:dyDescent="0.2">
      <c r="A362" s="151"/>
      <c r="B362" s="152" t="s">
        <v>2705</v>
      </c>
      <c r="C362" s="152" t="s">
        <v>2675</v>
      </c>
      <c r="D362" s="152" t="s">
        <v>2675</v>
      </c>
      <c r="E362" s="152" t="s">
        <v>2705</v>
      </c>
      <c r="F362" s="152" t="s">
        <v>2398</v>
      </c>
      <c r="G362" s="152" t="s">
        <v>2705</v>
      </c>
      <c r="H362" s="152" t="s">
        <v>2398</v>
      </c>
      <c r="I362" s="152" t="s">
        <v>2705</v>
      </c>
      <c r="J362" s="152" t="s">
        <v>2705</v>
      </c>
      <c r="K362" s="152" t="s">
        <v>2398</v>
      </c>
      <c r="L362" s="152" t="s">
        <v>2398</v>
      </c>
      <c r="M362" s="152" t="s">
        <v>2675</v>
      </c>
      <c r="N362" s="152" t="s">
        <v>2398</v>
      </c>
      <c r="O362" s="152" t="s">
        <v>2705</v>
      </c>
      <c r="P362" s="152" t="s">
        <v>2705</v>
      </c>
      <c r="Q362" s="152" t="s">
        <v>2705</v>
      </c>
      <c r="R362" s="152" t="s">
        <v>2398</v>
      </c>
      <c r="S362" s="152" t="s">
        <v>2397</v>
      </c>
      <c r="T362" s="152" t="s">
        <v>2705</v>
      </c>
      <c r="U362" s="152" t="s">
        <v>2398</v>
      </c>
    </row>
    <row r="363" spans="1:21" s="142" customFormat="1" ht="12.75" customHeight="1" x14ac:dyDescent="0.2">
      <c r="A363" s="151" t="s">
        <v>7498</v>
      </c>
      <c r="B363" s="152" t="s">
        <v>2398</v>
      </c>
      <c r="C363" s="152" t="s">
        <v>2705</v>
      </c>
      <c r="D363" s="152" t="s">
        <v>2705</v>
      </c>
      <c r="E363" s="152" t="s">
        <v>2705</v>
      </c>
      <c r="F363" s="152" t="s">
        <v>2705</v>
      </c>
      <c r="G363" s="152" t="s">
        <v>1435</v>
      </c>
      <c r="H363" s="152" t="s">
        <v>2398</v>
      </c>
      <c r="I363" s="152" t="s">
        <v>2705</v>
      </c>
      <c r="J363" s="152" t="s">
        <v>2705</v>
      </c>
      <c r="K363" s="152" t="s">
        <v>2705</v>
      </c>
      <c r="L363" s="152" t="s">
        <v>2398</v>
      </c>
      <c r="M363" s="152" t="s">
        <v>2705</v>
      </c>
      <c r="N363" s="152" t="s">
        <v>2398</v>
      </c>
      <c r="O363" s="152" t="s">
        <v>2705</v>
      </c>
      <c r="P363" s="152" t="s">
        <v>2705</v>
      </c>
      <c r="Q363" s="152" t="s">
        <v>2705</v>
      </c>
      <c r="R363" s="152" t="s">
        <v>2705</v>
      </c>
      <c r="S363" s="152" t="s">
        <v>2705</v>
      </c>
      <c r="T363" s="152" t="s">
        <v>2398</v>
      </c>
      <c r="U363" s="152" t="s">
        <v>2705</v>
      </c>
    </row>
    <row r="364" spans="1:21" s="142" customFormat="1" ht="12.75" x14ac:dyDescent="0.2">
      <c r="A364" s="151"/>
      <c r="B364" s="152" t="s">
        <v>2705</v>
      </c>
      <c r="C364" s="152" t="s">
        <v>2705</v>
      </c>
      <c r="D364" s="152" t="s">
        <v>1435</v>
      </c>
      <c r="E364" s="152" t="s">
        <v>2705</v>
      </c>
      <c r="F364" s="152" t="s">
        <v>2398</v>
      </c>
      <c r="G364" s="152" t="s">
        <v>2705</v>
      </c>
      <c r="H364" s="152" t="s">
        <v>2705</v>
      </c>
      <c r="I364" s="152" t="s">
        <v>2398</v>
      </c>
      <c r="J364" s="152" t="s">
        <v>2705</v>
      </c>
      <c r="K364" s="152" t="s">
        <v>2705</v>
      </c>
      <c r="L364" s="152" t="s">
        <v>2398</v>
      </c>
      <c r="M364" s="152" t="s">
        <v>2705</v>
      </c>
      <c r="N364" s="152" t="s">
        <v>2705</v>
      </c>
      <c r="O364" s="152" t="s">
        <v>1435</v>
      </c>
      <c r="P364" s="152" t="s">
        <v>2675</v>
      </c>
      <c r="Q364" s="152" t="s">
        <v>2705</v>
      </c>
      <c r="R364" s="152" t="s">
        <v>2398</v>
      </c>
      <c r="S364" s="152" t="s">
        <v>2705</v>
      </c>
      <c r="T364" s="152" t="s">
        <v>2705</v>
      </c>
      <c r="U364" s="152" t="s">
        <v>2705</v>
      </c>
    </row>
    <row r="365" spans="1:21" s="142" customFormat="1" ht="12.75" customHeight="1" x14ac:dyDescent="0.2">
      <c r="A365" s="151" t="s">
        <v>7499</v>
      </c>
      <c r="B365" s="152" t="s">
        <v>2398</v>
      </c>
      <c r="C365" s="152" t="s">
        <v>2705</v>
      </c>
      <c r="D365" s="152" t="s">
        <v>2398</v>
      </c>
      <c r="E365" s="152" t="s">
        <v>2705</v>
      </c>
      <c r="F365" s="152" t="s">
        <v>2398</v>
      </c>
      <c r="G365" s="152" t="s">
        <v>2705</v>
      </c>
      <c r="H365" s="152" t="s">
        <v>2398</v>
      </c>
      <c r="I365" s="152" t="s">
        <v>2398</v>
      </c>
      <c r="J365" s="152" t="s">
        <v>2705</v>
      </c>
      <c r="K365" s="152" t="s">
        <v>2705</v>
      </c>
      <c r="L365" s="152" t="s">
        <v>2705</v>
      </c>
      <c r="M365" s="152" t="s">
        <v>2705</v>
      </c>
      <c r="N365" s="152" t="s">
        <v>2705</v>
      </c>
      <c r="O365" s="152" t="s">
        <v>2705</v>
      </c>
      <c r="P365" s="152" t="s">
        <v>2398</v>
      </c>
      <c r="Q365" s="152" t="s">
        <v>2705</v>
      </c>
      <c r="R365" s="152" t="s">
        <v>2705</v>
      </c>
      <c r="S365" s="152" t="s">
        <v>2705</v>
      </c>
      <c r="T365" s="152" t="s">
        <v>2705</v>
      </c>
      <c r="U365" s="152" t="s">
        <v>2398</v>
      </c>
    </row>
    <row r="366" spans="1:21" s="142" customFormat="1" ht="12.75" x14ac:dyDescent="0.2">
      <c r="A366" s="151"/>
      <c r="B366" s="152" t="s">
        <v>2398</v>
      </c>
      <c r="C366" s="152" t="s">
        <v>2705</v>
      </c>
      <c r="D366" s="152" t="s">
        <v>2398</v>
      </c>
      <c r="E366" s="152" t="s">
        <v>2398</v>
      </c>
      <c r="F366" s="152" t="s">
        <v>2705</v>
      </c>
      <c r="G366" s="152" t="s">
        <v>2705</v>
      </c>
      <c r="H366" s="152" t="s">
        <v>2705</v>
      </c>
      <c r="I366" s="152" t="s">
        <v>2705</v>
      </c>
      <c r="J366" s="152" t="s">
        <v>2398</v>
      </c>
      <c r="K366" s="152" t="s">
        <v>2705</v>
      </c>
      <c r="L366" s="152" t="s">
        <v>2705</v>
      </c>
      <c r="M366" s="152" t="s">
        <v>1435</v>
      </c>
      <c r="N366" s="152" t="s">
        <v>2398</v>
      </c>
      <c r="O366" s="152" t="s">
        <v>2705</v>
      </c>
      <c r="P366" s="152" t="s">
        <v>2705</v>
      </c>
      <c r="Q366" s="152" t="s">
        <v>1435</v>
      </c>
      <c r="R366" s="152" t="s">
        <v>1435</v>
      </c>
      <c r="S366" s="152" t="s">
        <v>2705</v>
      </c>
      <c r="T366" s="152" t="s">
        <v>2705</v>
      </c>
      <c r="U366" s="152" t="s">
        <v>2705</v>
      </c>
    </row>
    <row r="367" spans="1:21" s="142" customFormat="1" ht="12.75" customHeight="1" x14ac:dyDescent="0.2">
      <c r="A367" s="151" t="s">
        <v>7500</v>
      </c>
      <c r="B367" s="152" t="s">
        <v>2705</v>
      </c>
      <c r="C367" s="152" t="s">
        <v>2398</v>
      </c>
      <c r="D367" s="152" t="s">
        <v>2675</v>
      </c>
      <c r="E367" s="152" t="s">
        <v>2705</v>
      </c>
      <c r="F367" s="152" t="s">
        <v>2398</v>
      </c>
      <c r="G367" s="152" t="s">
        <v>2705</v>
      </c>
      <c r="H367" s="152" t="s">
        <v>2705</v>
      </c>
      <c r="I367" s="152" t="s">
        <v>2398</v>
      </c>
      <c r="J367" s="152" t="s">
        <v>2675</v>
      </c>
      <c r="K367" s="152" t="s">
        <v>2398</v>
      </c>
      <c r="L367" s="152" t="s">
        <v>2398</v>
      </c>
      <c r="M367" s="152" t="s">
        <v>2398</v>
      </c>
      <c r="N367" s="152" t="s">
        <v>2705</v>
      </c>
      <c r="O367" s="152" t="s">
        <v>2705</v>
      </c>
      <c r="P367" s="152" t="s">
        <v>2398</v>
      </c>
      <c r="Q367" s="152" t="s">
        <v>2705</v>
      </c>
      <c r="R367" s="152" t="s">
        <v>2705</v>
      </c>
      <c r="S367" s="152" t="s">
        <v>2705</v>
      </c>
      <c r="T367" s="152" t="s">
        <v>2398</v>
      </c>
      <c r="U367" s="152" t="s">
        <v>2397</v>
      </c>
    </row>
    <row r="368" spans="1:21" s="142" customFormat="1" ht="12.75" x14ac:dyDescent="0.2">
      <c r="A368" s="151"/>
      <c r="B368" s="152" t="s">
        <v>2398</v>
      </c>
      <c r="C368" s="152" t="s">
        <v>2398</v>
      </c>
      <c r="D368" s="152" t="s">
        <v>1435</v>
      </c>
      <c r="E368" s="152" t="s">
        <v>2675</v>
      </c>
      <c r="F368" s="152" t="s">
        <v>2398</v>
      </c>
      <c r="G368" s="152" t="s">
        <v>2705</v>
      </c>
      <c r="H368" s="152" t="s">
        <v>2705</v>
      </c>
      <c r="I368" s="152" t="s">
        <v>2705</v>
      </c>
      <c r="J368" s="152" t="s">
        <v>2705</v>
      </c>
      <c r="K368" s="152" t="s">
        <v>2398</v>
      </c>
      <c r="L368" s="152" t="s">
        <v>2675</v>
      </c>
      <c r="M368" s="152" t="s">
        <v>2705</v>
      </c>
      <c r="N368" s="152" t="s">
        <v>2705</v>
      </c>
      <c r="O368" s="152" t="s">
        <v>2398</v>
      </c>
      <c r="P368" s="152" t="s">
        <v>2398</v>
      </c>
      <c r="Q368" s="152" t="s">
        <v>2705</v>
      </c>
      <c r="R368" s="152" t="s">
        <v>2397</v>
      </c>
      <c r="S368" s="152" t="s">
        <v>2705</v>
      </c>
      <c r="T368" s="152" t="s">
        <v>2705</v>
      </c>
      <c r="U368" s="152" t="s">
        <v>2705</v>
      </c>
    </row>
    <row r="369" spans="1:21" s="142" customFormat="1" ht="12.75" customHeight="1" x14ac:dyDescent="0.2">
      <c r="A369" s="151" t="s">
        <v>7501</v>
      </c>
      <c r="B369" s="152" t="s">
        <v>2397</v>
      </c>
      <c r="C369" s="152" t="s">
        <v>2705</v>
      </c>
      <c r="D369" s="152" t="s">
        <v>2705</v>
      </c>
      <c r="E369" s="152" t="s">
        <v>2398</v>
      </c>
      <c r="F369" s="152" t="s">
        <v>2705</v>
      </c>
      <c r="G369" s="152" t="s">
        <v>2705</v>
      </c>
      <c r="H369" s="152" t="s">
        <v>2705</v>
      </c>
      <c r="I369" s="152" t="s">
        <v>2398</v>
      </c>
      <c r="J369" s="152" t="s">
        <v>2705</v>
      </c>
      <c r="K369" s="152" t="s">
        <v>2398</v>
      </c>
      <c r="L369" s="152" t="s">
        <v>2705</v>
      </c>
      <c r="M369" s="152" t="s">
        <v>2705</v>
      </c>
      <c r="N369" s="152" t="s">
        <v>2675</v>
      </c>
      <c r="O369" s="152" t="s">
        <v>2398</v>
      </c>
      <c r="P369" s="152" t="s">
        <v>2705</v>
      </c>
      <c r="Q369" s="152" t="s">
        <v>1435</v>
      </c>
      <c r="R369" s="152" t="s">
        <v>2398</v>
      </c>
      <c r="S369" s="152" t="s">
        <v>2705</v>
      </c>
      <c r="T369" s="152" t="s">
        <v>2705</v>
      </c>
      <c r="U369" s="152" t="s">
        <v>2398</v>
      </c>
    </row>
    <row r="370" spans="1:21" s="142" customFormat="1" ht="12.75" x14ac:dyDescent="0.2">
      <c r="A370" s="151"/>
      <c r="B370" s="152" t="s">
        <v>2398</v>
      </c>
      <c r="C370" s="152" t="s">
        <v>2397</v>
      </c>
      <c r="D370" s="152" t="s">
        <v>2675</v>
      </c>
      <c r="E370" s="152" t="s">
        <v>2705</v>
      </c>
      <c r="F370" s="152" t="s">
        <v>2705</v>
      </c>
      <c r="G370" s="152" t="s">
        <v>2398</v>
      </c>
      <c r="H370" s="152" t="s">
        <v>2675</v>
      </c>
      <c r="I370" s="152" t="s">
        <v>2705</v>
      </c>
      <c r="J370" s="152" t="s">
        <v>2705</v>
      </c>
      <c r="K370" s="152" t="s">
        <v>2398</v>
      </c>
      <c r="L370" s="152" t="s">
        <v>2705</v>
      </c>
      <c r="M370" s="152" t="s">
        <v>2398</v>
      </c>
      <c r="N370" s="152" t="s">
        <v>2705</v>
      </c>
      <c r="O370" s="152" t="s">
        <v>2705</v>
      </c>
      <c r="P370" s="152" t="s">
        <v>2397</v>
      </c>
      <c r="Q370" s="152" t="s">
        <v>1435</v>
      </c>
      <c r="R370" s="152" t="s">
        <v>2398</v>
      </c>
      <c r="S370" s="152" t="s">
        <v>2705</v>
      </c>
      <c r="T370" s="152" t="s">
        <v>2705</v>
      </c>
      <c r="U370" s="152" t="s">
        <v>2705</v>
      </c>
    </row>
    <row r="371" spans="1:21" s="142" customFormat="1" ht="12.75" customHeight="1" x14ac:dyDescent="0.2">
      <c r="A371" s="151" t="s">
        <v>7502</v>
      </c>
      <c r="B371" s="152" t="s">
        <v>2705</v>
      </c>
      <c r="C371" s="152" t="s">
        <v>2705</v>
      </c>
      <c r="D371" s="152" t="s">
        <v>2398</v>
      </c>
      <c r="E371" s="152" t="s">
        <v>2705</v>
      </c>
      <c r="F371" s="152" t="s">
        <v>1435</v>
      </c>
      <c r="G371" s="152" t="s">
        <v>2705</v>
      </c>
      <c r="H371" s="152" t="s">
        <v>2705</v>
      </c>
      <c r="I371" s="152" t="s">
        <v>2398</v>
      </c>
      <c r="J371" s="152" t="s">
        <v>2675</v>
      </c>
      <c r="K371" s="152" t="s">
        <v>2705</v>
      </c>
      <c r="L371" s="152" t="s">
        <v>2705</v>
      </c>
      <c r="M371" s="152" t="s">
        <v>2705</v>
      </c>
      <c r="N371" s="152" t="s">
        <v>2705</v>
      </c>
      <c r="O371" s="152" t="s">
        <v>2398</v>
      </c>
      <c r="P371" s="152" t="s">
        <v>2398</v>
      </c>
      <c r="Q371" s="152" t="s">
        <v>2398</v>
      </c>
      <c r="R371" s="152" t="s">
        <v>2705</v>
      </c>
      <c r="S371" s="152" t="s">
        <v>2705</v>
      </c>
      <c r="T371" s="152" t="s">
        <v>2398</v>
      </c>
      <c r="U371" s="152" t="s">
        <v>2398</v>
      </c>
    </row>
    <row r="372" spans="1:21" s="142" customFormat="1" ht="12.75" x14ac:dyDescent="0.2">
      <c r="A372" s="151"/>
      <c r="B372" s="152" t="s">
        <v>2705</v>
      </c>
      <c r="C372" s="152" t="s">
        <v>2398</v>
      </c>
      <c r="D372" s="152" t="s">
        <v>2705</v>
      </c>
      <c r="E372" s="152" t="s">
        <v>2398</v>
      </c>
      <c r="F372" s="152" t="s">
        <v>2705</v>
      </c>
      <c r="G372" s="152" t="s">
        <v>2398</v>
      </c>
      <c r="H372" s="152" t="s">
        <v>2398</v>
      </c>
      <c r="I372" s="152" t="s">
        <v>2705</v>
      </c>
      <c r="J372" s="152" t="s">
        <v>2398</v>
      </c>
      <c r="K372" s="152" t="s">
        <v>2398</v>
      </c>
      <c r="L372" s="152" t="s">
        <v>2398</v>
      </c>
      <c r="M372" s="152" t="s">
        <v>1435</v>
      </c>
      <c r="N372" s="152" t="s">
        <v>2398</v>
      </c>
      <c r="O372" s="152" t="s">
        <v>2705</v>
      </c>
      <c r="P372" s="152" t="s">
        <v>2705</v>
      </c>
      <c r="Q372" s="152" t="s">
        <v>2705</v>
      </c>
      <c r="R372" s="152" t="s">
        <v>1435</v>
      </c>
      <c r="S372" s="152" t="s">
        <v>2398</v>
      </c>
      <c r="T372" s="152" t="s">
        <v>2398</v>
      </c>
      <c r="U372" s="152" t="s">
        <v>2397</v>
      </c>
    </row>
    <row r="373" spans="1:21" s="142" customFormat="1" ht="12.75" customHeight="1" x14ac:dyDescent="0.2">
      <c r="A373" s="151" t="s">
        <v>7503</v>
      </c>
      <c r="B373" s="152" t="s">
        <v>2675</v>
      </c>
      <c r="C373" s="152" t="s">
        <v>2705</v>
      </c>
      <c r="D373" s="152" t="s">
        <v>1435</v>
      </c>
      <c r="E373" s="152" t="s">
        <v>1435</v>
      </c>
      <c r="F373" s="152" t="s">
        <v>2675</v>
      </c>
      <c r="G373" s="152" t="s">
        <v>2705</v>
      </c>
      <c r="H373" s="152" t="s">
        <v>2705</v>
      </c>
      <c r="I373" s="152" t="s">
        <v>2397</v>
      </c>
      <c r="J373" s="152" t="s">
        <v>2705</v>
      </c>
      <c r="K373" s="152" t="s">
        <v>1435</v>
      </c>
      <c r="L373" s="152" t="s">
        <v>1435</v>
      </c>
      <c r="M373" s="152" t="s">
        <v>2705</v>
      </c>
      <c r="N373" s="152" t="s">
        <v>2705</v>
      </c>
      <c r="O373" s="152" t="s">
        <v>2705</v>
      </c>
      <c r="P373" s="152" t="s">
        <v>2705</v>
      </c>
      <c r="Q373" s="152" t="s">
        <v>2705</v>
      </c>
      <c r="R373" s="152" t="s">
        <v>2705</v>
      </c>
      <c r="S373" s="152" t="s">
        <v>2675</v>
      </c>
      <c r="T373" s="152" t="s">
        <v>2705</v>
      </c>
      <c r="U373" s="152" t="s">
        <v>2705</v>
      </c>
    </row>
    <row r="374" spans="1:21" s="142" customFormat="1" ht="12.75" x14ac:dyDescent="0.2">
      <c r="A374" s="151"/>
      <c r="B374" s="152" t="s">
        <v>2705</v>
      </c>
      <c r="C374" s="152" t="s">
        <v>2705</v>
      </c>
      <c r="D374" s="152" t="s">
        <v>2705</v>
      </c>
      <c r="E374" s="152" t="s">
        <v>2705</v>
      </c>
      <c r="F374" s="152" t="s">
        <v>2705</v>
      </c>
      <c r="G374" s="152" t="s">
        <v>2398</v>
      </c>
      <c r="H374" s="152" t="s">
        <v>2398</v>
      </c>
      <c r="I374" s="152" t="s">
        <v>1435</v>
      </c>
      <c r="J374" s="152" t="s">
        <v>2398</v>
      </c>
      <c r="K374" s="152" t="s">
        <v>2705</v>
      </c>
      <c r="L374" s="152" t="s">
        <v>2398</v>
      </c>
      <c r="M374" s="152" t="s">
        <v>2705</v>
      </c>
      <c r="N374" s="152" t="s">
        <v>2398</v>
      </c>
      <c r="O374" s="152" t="s">
        <v>2398</v>
      </c>
      <c r="P374" s="152" t="s">
        <v>2705</v>
      </c>
      <c r="Q374" s="152" t="s">
        <v>2705</v>
      </c>
      <c r="R374" s="152" t="s">
        <v>2705</v>
      </c>
      <c r="S374" s="152" t="s">
        <v>2397</v>
      </c>
      <c r="T374" s="152" t="s">
        <v>2705</v>
      </c>
      <c r="U374" s="152" t="s">
        <v>2705</v>
      </c>
    </row>
    <row r="375" spans="1:21" s="142" customFormat="1" ht="12.75" customHeight="1" x14ac:dyDescent="0.2">
      <c r="A375" s="151" t="s">
        <v>7504</v>
      </c>
      <c r="B375" s="152" t="s">
        <v>2398</v>
      </c>
      <c r="C375" s="152" t="s">
        <v>2398</v>
      </c>
      <c r="D375" s="152" t="s">
        <v>2398</v>
      </c>
      <c r="E375" s="152" t="s">
        <v>1435</v>
      </c>
      <c r="F375" s="152" t="s">
        <v>2705</v>
      </c>
      <c r="G375" s="152" t="s">
        <v>2705</v>
      </c>
      <c r="H375" s="152" t="s">
        <v>2705</v>
      </c>
      <c r="I375" s="152" t="s">
        <v>2675</v>
      </c>
      <c r="J375" s="152" t="s">
        <v>2705</v>
      </c>
      <c r="K375" s="152" t="s">
        <v>2705</v>
      </c>
      <c r="L375" s="152" t="s">
        <v>2705</v>
      </c>
      <c r="M375" s="152" t="s">
        <v>2705</v>
      </c>
      <c r="N375" s="152" t="s">
        <v>2705</v>
      </c>
      <c r="O375" s="152" t="s">
        <v>2705</v>
      </c>
      <c r="P375" s="152" t="s">
        <v>2705</v>
      </c>
      <c r="Q375" s="152" t="s">
        <v>2705</v>
      </c>
      <c r="R375" s="152" t="s">
        <v>2398</v>
      </c>
      <c r="S375" s="152" t="s">
        <v>2705</v>
      </c>
      <c r="T375" s="152" t="s">
        <v>2705</v>
      </c>
      <c r="U375" s="152" t="s">
        <v>2675</v>
      </c>
    </row>
    <row r="376" spans="1:21" s="142" customFormat="1" ht="12.75" x14ac:dyDescent="0.2">
      <c r="A376" s="151"/>
      <c r="B376" s="152" t="s">
        <v>2398</v>
      </c>
      <c r="C376" s="152" t="s">
        <v>2675</v>
      </c>
      <c r="D376" s="152" t="s">
        <v>2705</v>
      </c>
      <c r="E376" s="152" t="s">
        <v>2398</v>
      </c>
      <c r="F376" s="152" t="s">
        <v>2705</v>
      </c>
      <c r="G376" s="152" t="s">
        <v>2398</v>
      </c>
      <c r="H376" s="152" t="s">
        <v>2398</v>
      </c>
      <c r="I376" s="152" t="s">
        <v>2705</v>
      </c>
      <c r="J376" s="152" t="s">
        <v>2398</v>
      </c>
      <c r="K376" s="152" t="s">
        <v>2705</v>
      </c>
      <c r="L376" s="152" t="s">
        <v>2705</v>
      </c>
      <c r="M376" s="152" t="s">
        <v>2705</v>
      </c>
      <c r="N376" s="152" t="s">
        <v>2705</v>
      </c>
      <c r="O376" s="152" t="s">
        <v>2705</v>
      </c>
      <c r="P376" s="152" t="s">
        <v>2675</v>
      </c>
      <c r="Q376" s="152" t="s">
        <v>2705</v>
      </c>
      <c r="R376" s="152" t="s">
        <v>2705</v>
      </c>
      <c r="S376" s="152" t="s">
        <v>2705</v>
      </c>
      <c r="T376" s="152" t="s">
        <v>2398</v>
      </c>
      <c r="U376" s="152" t="s">
        <v>2398</v>
      </c>
    </row>
    <row r="377" spans="1:21" s="142" customFormat="1" ht="12.75" customHeight="1" x14ac:dyDescent="0.2">
      <c r="A377" s="151" t="s">
        <v>7505</v>
      </c>
      <c r="B377" s="152" t="s">
        <v>2398</v>
      </c>
      <c r="C377" s="152" t="s">
        <v>2675</v>
      </c>
      <c r="D377" s="152" t="s">
        <v>2705</v>
      </c>
      <c r="E377" s="152" t="s">
        <v>2398</v>
      </c>
      <c r="F377" s="152" t="s">
        <v>1435</v>
      </c>
      <c r="G377" s="152" t="s">
        <v>2705</v>
      </c>
      <c r="H377" s="152" t="s">
        <v>2705</v>
      </c>
      <c r="I377" s="152" t="s">
        <v>1435</v>
      </c>
      <c r="J377" s="152" t="s">
        <v>1435</v>
      </c>
      <c r="K377" s="152" t="s">
        <v>2705</v>
      </c>
      <c r="L377" s="152" t="s">
        <v>2705</v>
      </c>
      <c r="M377" s="152" t="s">
        <v>2675</v>
      </c>
      <c r="N377" s="152" t="s">
        <v>2705</v>
      </c>
      <c r="O377" s="152" t="s">
        <v>1435</v>
      </c>
      <c r="P377" s="152" t="s">
        <v>2705</v>
      </c>
      <c r="Q377" s="152" t="s">
        <v>1435</v>
      </c>
      <c r="R377" s="152" t="s">
        <v>2675</v>
      </c>
      <c r="S377" s="152" t="s">
        <v>2675</v>
      </c>
      <c r="T377" s="152" t="s">
        <v>2705</v>
      </c>
      <c r="U377" s="152" t="s">
        <v>2675</v>
      </c>
    </row>
    <row r="378" spans="1:21" s="142" customFormat="1" ht="12.75" x14ac:dyDescent="0.2">
      <c r="A378" s="151"/>
      <c r="B378" s="152" t="s">
        <v>2397</v>
      </c>
      <c r="C378" s="152" t="s">
        <v>2705</v>
      </c>
      <c r="D378" s="152" t="s">
        <v>2705</v>
      </c>
      <c r="E378" s="152" t="s">
        <v>2398</v>
      </c>
      <c r="F378" s="152" t="s">
        <v>2705</v>
      </c>
      <c r="G378" s="152" t="s">
        <v>1435</v>
      </c>
      <c r="H378" s="152" t="s">
        <v>2397</v>
      </c>
      <c r="I378" s="152" t="s">
        <v>2705</v>
      </c>
      <c r="J378" s="152" t="s">
        <v>2705</v>
      </c>
      <c r="K378" s="152" t="s">
        <v>1435</v>
      </c>
      <c r="L378" s="152" t="s">
        <v>1435</v>
      </c>
      <c r="M378" s="152" t="s">
        <v>2675</v>
      </c>
      <c r="N378" s="152" t="s">
        <v>2675</v>
      </c>
      <c r="O378" s="152" t="s">
        <v>2398</v>
      </c>
      <c r="P378" s="152" t="s">
        <v>2675</v>
      </c>
      <c r="Q378" s="152" t="s">
        <v>2705</v>
      </c>
      <c r="R378" s="152" t="s">
        <v>1435</v>
      </c>
      <c r="S378" s="152" t="s">
        <v>2675</v>
      </c>
      <c r="T378" s="152" t="s">
        <v>1435</v>
      </c>
      <c r="U378" s="152" t="s">
        <v>2397</v>
      </c>
    </row>
    <row r="379" spans="1:21" s="142" customFormat="1" ht="12.75" customHeight="1" x14ac:dyDescent="0.2">
      <c r="A379" s="151" t="s">
        <v>7506</v>
      </c>
      <c r="B379" s="152" t="s">
        <v>2705</v>
      </c>
      <c r="C379" s="152" t="s">
        <v>2705</v>
      </c>
      <c r="D379" s="152" t="s">
        <v>2675</v>
      </c>
      <c r="E379" s="152" t="s">
        <v>2705</v>
      </c>
      <c r="F379" s="152" t="s">
        <v>2705</v>
      </c>
      <c r="G379" s="152" t="s">
        <v>2705</v>
      </c>
      <c r="H379" s="152" t="s">
        <v>2705</v>
      </c>
      <c r="I379" s="152" t="s">
        <v>2705</v>
      </c>
      <c r="J379" s="152" t="s">
        <v>2398</v>
      </c>
      <c r="K379" s="152" t="s">
        <v>2705</v>
      </c>
      <c r="L379" s="152" t="s">
        <v>2675</v>
      </c>
      <c r="M379" s="152" t="s">
        <v>2705</v>
      </c>
      <c r="N379" s="152" t="s">
        <v>2705</v>
      </c>
      <c r="O379" s="152" t="s">
        <v>2398</v>
      </c>
      <c r="P379" s="152" t="s">
        <v>2705</v>
      </c>
      <c r="Q379" s="152" t="s">
        <v>2705</v>
      </c>
      <c r="R379" s="152" t="s">
        <v>2705</v>
      </c>
      <c r="S379" s="152" t="s">
        <v>2705</v>
      </c>
      <c r="T379" s="152" t="s">
        <v>2705</v>
      </c>
      <c r="U379" s="152" t="s">
        <v>2398</v>
      </c>
    </row>
    <row r="380" spans="1:21" s="142" customFormat="1" ht="12.75" x14ac:dyDescent="0.2">
      <c r="A380" s="151"/>
      <c r="B380" s="152" t="s">
        <v>2398</v>
      </c>
      <c r="C380" s="152" t="s">
        <v>2398</v>
      </c>
      <c r="D380" s="152" t="s">
        <v>2398</v>
      </c>
      <c r="E380" s="152" t="s">
        <v>2398</v>
      </c>
      <c r="F380" s="152" t="s">
        <v>2398</v>
      </c>
      <c r="G380" s="152" t="s">
        <v>1435</v>
      </c>
      <c r="H380" s="152" t="s">
        <v>2705</v>
      </c>
      <c r="I380" s="152" t="s">
        <v>2398</v>
      </c>
      <c r="J380" s="152" t="s">
        <v>2398</v>
      </c>
      <c r="K380" s="152" t="s">
        <v>2705</v>
      </c>
      <c r="L380" s="152" t="s">
        <v>2705</v>
      </c>
      <c r="M380" s="152" t="s">
        <v>2705</v>
      </c>
      <c r="N380" s="152" t="s">
        <v>2675</v>
      </c>
      <c r="O380" s="152" t="s">
        <v>2705</v>
      </c>
      <c r="P380" s="152" t="s">
        <v>2705</v>
      </c>
      <c r="Q380" s="152" t="s">
        <v>2705</v>
      </c>
      <c r="R380" s="152" t="s">
        <v>1435</v>
      </c>
      <c r="S380" s="152" t="s">
        <v>2705</v>
      </c>
      <c r="T380" s="152" t="s">
        <v>2398</v>
      </c>
      <c r="U380" s="152" t="s">
        <v>2705</v>
      </c>
    </row>
    <row r="381" spans="1:21" s="142" customFormat="1" ht="12.75" customHeight="1" x14ac:dyDescent="0.2">
      <c r="A381" s="151" t="s">
        <v>7507</v>
      </c>
      <c r="B381" s="152" t="s">
        <v>2705</v>
      </c>
      <c r="C381" s="152" t="s">
        <v>2705</v>
      </c>
      <c r="D381" s="152" t="s">
        <v>2705</v>
      </c>
      <c r="E381" s="152" t="s">
        <v>2705</v>
      </c>
      <c r="F381" s="152" t="s">
        <v>1435</v>
      </c>
      <c r="G381" s="152" t="s">
        <v>2398</v>
      </c>
      <c r="H381" s="152" t="s">
        <v>2705</v>
      </c>
      <c r="I381" s="152" t="s">
        <v>2705</v>
      </c>
      <c r="J381" s="152" t="s">
        <v>2705</v>
      </c>
      <c r="K381" s="152" t="s">
        <v>2705</v>
      </c>
      <c r="L381" s="152" t="s">
        <v>2705</v>
      </c>
      <c r="M381" s="152" t="s">
        <v>2705</v>
      </c>
      <c r="N381" s="152" t="s">
        <v>2705</v>
      </c>
      <c r="O381" s="152" t="s">
        <v>1435</v>
      </c>
      <c r="P381" s="152" t="s">
        <v>2705</v>
      </c>
      <c r="Q381" s="152" t="s">
        <v>2398</v>
      </c>
      <c r="R381" s="152" t="s">
        <v>2675</v>
      </c>
      <c r="S381" s="152" t="s">
        <v>2705</v>
      </c>
      <c r="T381" s="152" t="s">
        <v>2705</v>
      </c>
      <c r="U381" s="152" t="s">
        <v>2705</v>
      </c>
    </row>
    <row r="382" spans="1:21" s="142" customFormat="1" ht="12.75" x14ac:dyDescent="0.2">
      <c r="A382" s="151"/>
      <c r="B382" s="152" t="s">
        <v>2705</v>
      </c>
      <c r="C382" s="152" t="s">
        <v>2398</v>
      </c>
      <c r="D382" s="152" t="s">
        <v>2398</v>
      </c>
      <c r="E382" s="152" t="s">
        <v>2705</v>
      </c>
      <c r="F382" s="152" t="s">
        <v>2705</v>
      </c>
      <c r="G382" s="152" t="s">
        <v>2705</v>
      </c>
      <c r="H382" s="152" t="s">
        <v>2398</v>
      </c>
      <c r="I382" s="152" t="s">
        <v>2705</v>
      </c>
      <c r="J382" s="152" t="s">
        <v>2398</v>
      </c>
      <c r="K382" s="152" t="s">
        <v>2675</v>
      </c>
      <c r="L382" s="152" t="s">
        <v>2705</v>
      </c>
      <c r="M382" s="152" t="s">
        <v>2398</v>
      </c>
      <c r="N382" s="152" t="s">
        <v>2705</v>
      </c>
      <c r="O382" s="152" t="s">
        <v>2705</v>
      </c>
      <c r="P382" s="152" t="s">
        <v>2397</v>
      </c>
      <c r="Q382" s="152" t="s">
        <v>2705</v>
      </c>
      <c r="R382" s="152" t="s">
        <v>2398</v>
      </c>
      <c r="S382" s="152" t="s">
        <v>2705</v>
      </c>
      <c r="T382" s="152" t="s">
        <v>2705</v>
      </c>
      <c r="U382" s="152" t="s">
        <v>2705</v>
      </c>
    </row>
    <row r="383" spans="1:21" s="142" customFormat="1" ht="12.75" customHeight="1" x14ac:dyDescent="0.2">
      <c r="A383" s="151" t="s">
        <v>7508</v>
      </c>
      <c r="B383" s="152" t="s">
        <v>2705</v>
      </c>
      <c r="C383" s="152" t="s">
        <v>2705</v>
      </c>
      <c r="D383" s="152" t="s">
        <v>2705</v>
      </c>
      <c r="E383" s="152" t="s">
        <v>2705</v>
      </c>
      <c r="F383" s="152" t="s">
        <v>2705</v>
      </c>
      <c r="G383" s="152" t="s">
        <v>2705</v>
      </c>
      <c r="H383" s="152" t="s">
        <v>2705</v>
      </c>
      <c r="I383" s="152" t="s">
        <v>2705</v>
      </c>
      <c r="J383" s="152" t="s">
        <v>2705</v>
      </c>
      <c r="K383" s="152" t="s">
        <v>1435</v>
      </c>
      <c r="L383" s="152" t="s">
        <v>2705</v>
      </c>
      <c r="M383" s="152" t="s">
        <v>2705</v>
      </c>
      <c r="N383" s="152" t="s">
        <v>2705</v>
      </c>
      <c r="O383" s="152" t="s">
        <v>2705</v>
      </c>
      <c r="P383" s="152" t="s">
        <v>2705</v>
      </c>
      <c r="Q383" s="152" t="s">
        <v>2398</v>
      </c>
      <c r="R383" s="152" t="s">
        <v>2675</v>
      </c>
      <c r="S383" s="152" t="s">
        <v>2705</v>
      </c>
      <c r="T383" s="152" t="s">
        <v>1435</v>
      </c>
      <c r="U383" s="152" t="s">
        <v>2705</v>
      </c>
    </row>
    <row r="384" spans="1:21" s="142" customFormat="1" ht="12.75" x14ac:dyDescent="0.2">
      <c r="A384" s="151"/>
      <c r="B384" s="152" t="s">
        <v>2705</v>
      </c>
      <c r="C384" s="152" t="s">
        <v>2705</v>
      </c>
      <c r="D384" s="152" t="s">
        <v>2705</v>
      </c>
      <c r="E384" s="152" t="s">
        <v>2705</v>
      </c>
      <c r="F384" s="152" t="s">
        <v>2398</v>
      </c>
      <c r="G384" s="152" t="s">
        <v>2675</v>
      </c>
      <c r="H384" s="152" t="s">
        <v>2705</v>
      </c>
      <c r="I384" s="152" t="s">
        <v>2705</v>
      </c>
      <c r="J384" s="152" t="s">
        <v>2705</v>
      </c>
      <c r="K384" s="152" t="s">
        <v>2398</v>
      </c>
      <c r="L384" s="152" t="s">
        <v>2705</v>
      </c>
      <c r="M384" s="152" t="s">
        <v>2705</v>
      </c>
      <c r="N384" s="152" t="s">
        <v>2705</v>
      </c>
      <c r="O384" s="152" t="s">
        <v>2705</v>
      </c>
      <c r="P384" s="152" t="s">
        <v>2705</v>
      </c>
      <c r="Q384" s="152" t="s">
        <v>2705</v>
      </c>
      <c r="R384" s="152" t="s">
        <v>2705</v>
      </c>
      <c r="S384" s="152" t="s">
        <v>2705</v>
      </c>
      <c r="T384" s="152" t="s">
        <v>2705</v>
      </c>
      <c r="U384" s="152" t="s">
        <v>2705</v>
      </c>
    </row>
    <row r="385" spans="1:21" s="142" customFormat="1" ht="12.75" customHeight="1" x14ac:dyDescent="0.2">
      <c r="A385" s="151" t="s">
        <v>7509</v>
      </c>
      <c r="B385" s="152" t="s">
        <v>2705</v>
      </c>
      <c r="C385" s="152" t="s">
        <v>2705</v>
      </c>
      <c r="D385" s="152" t="s">
        <v>2705</v>
      </c>
      <c r="E385" s="152" t="s">
        <v>2705</v>
      </c>
      <c r="F385" s="152" t="s">
        <v>2398</v>
      </c>
      <c r="G385" s="152" t="s">
        <v>2705</v>
      </c>
      <c r="H385" s="152" t="s">
        <v>2398</v>
      </c>
      <c r="I385" s="152" t="s">
        <v>2398</v>
      </c>
      <c r="J385" s="152" t="s">
        <v>2705</v>
      </c>
      <c r="K385" s="152" t="s">
        <v>2398</v>
      </c>
      <c r="L385" s="152" t="s">
        <v>2705</v>
      </c>
      <c r="M385" s="152" t="s">
        <v>2398</v>
      </c>
      <c r="N385" s="152" t="s">
        <v>2705</v>
      </c>
      <c r="O385" s="152" t="s">
        <v>2398</v>
      </c>
      <c r="P385" s="152" t="s">
        <v>2398</v>
      </c>
      <c r="Q385" s="152" t="s">
        <v>2705</v>
      </c>
      <c r="R385" s="152" t="s">
        <v>2398</v>
      </c>
      <c r="S385" s="152" t="s">
        <v>2705</v>
      </c>
      <c r="T385" s="152" t="s">
        <v>2705</v>
      </c>
      <c r="U385" s="152" t="s">
        <v>2398</v>
      </c>
    </row>
    <row r="386" spans="1:21" s="142" customFormat="1" ht="12.75" x14ac:dyDescent="0.2">
      <c r="A386" s="151"/>
      <c r="B386" s="152" t="s">
        <v>2705</v>
      </c>
      <c r="C386" s="152" t="s">
        <v>2705</v>
      </c>
      <c r="D386" s="152" t="s">
        <v>2705</v>
      </c>
      <c r="E386" s="152" t="s">
        <v>2705</v>
      </c>
      <c r="F386" s="152" t="s">
        <v>2705</v>
      </c>
      <c r="G386" s="152" t="s">
        <v>2397</v>
      </c>
      <c r="H386" s="152" t="s">
        <v>2705</v>
      </c>
      <c r="I386" s="152" t="s">
        <v>2705</v>
      </c>
      <c r="J386" s="152" t="s">
        <v>2705</v>
      </c>
      <c r="K386" s="152" t="s">
        <v>2398</v>
      </c>
      <c r="L386" s="152" t="s">
        <v>2705</v>
      </c>
      <c r="M386" s="152" t="s">
        <v>1435</v>
      </c>
      <c r="N386" s="152" t="s">
        <v>2705</v>
      </c>
      <c r="O386" s="152" t="s">
        <v>2705</v>
      </c>
      <c r="P386" s="152" t="s">
        <v>2705</v>
      </c>
      <c r="Q386" s="152" t="s">
        <v>2705</v>
      </c>
      <c r="R386" s="152" t="s">
        <v>2705</v>
      </c>
      <c r="S386" s="152" t="s">
        <v>2398</v>
      </c>
      <c r="T386" s="152" t="s">
        <v>1435</v>
      </c>
      <c r="U386" s="152" t="s">
        <v>2397</v>
      </c>
    </row>
    <row r="387" spans="1:21" s="142" customFormat="1" ht="12.75" customHeight="1" x14ac:dyDescent="0.2">
      <c r="A387" s="151" t="s">
        <v>7510</v>
      </c>
      <c r="B387" s="152" t="s">
        <v>2398</v>
      </c>
      <c r="C387" s="152" t="s">
        <v>2398</v>
      </c>
      <c r="D387" s="152" t="s">
        <v>2705</v>
      </c>
      <c r="E387" s="152" t="s">
        <v>2705</v>
      </c>
      <c r="F387" s="152" t="s">
        <v>2705</v>
      </c>
      <c r="G387" s="152" t="s">
        <v>2705</v>
      </c>
      <c r="H387" s="152" t="s">
        <v>2398</v>
      </c>
      <c r="I387" s="152" t="s">
        <v>2675</v>
      </c>
      <c r="J387" s="152" t="s">
        <v>2675</v>
      </c>
      <c r="K387" s="152" t="s">
        <v>2705</v>
      </c>
      <c r="L387" s="152" t="s">
        <v>2705</v>
      </c>
      <c r="M387" s="152" t="s">
        <v>2705</v>
      </c>
      <c r="N387" s="152" t="s">
        <v>2705</v>
      </c>
      <c r="O387" s="152" t="s">
        <v>2705</v>
      </c>
      <c r="P387" s="152" t="s">
        <v>2705</v>
      </c>
      <c r="Q387" s="152" t="s">
        <v>2705</v>
      </c>
      <c r="R387" s="152" t="s">
        <v>2705</v>
      </c>
      <c r="S387" s="152" t="s">
        <v>2705</v>
      </c>
      <c r="T387" s="152" t="s">
        <v>2705</v>
      </c>
      <c r="U387" s="152" t="s">
        <v>2705</v>
      </c>
    </row>
    <row r="388" spans="1:21" s="142" customFormat="1" ht="12.75" x14ac:dyDescent="0.2">
      <c r="A388" s="151"/>
      <c r="B388" s="152" t="s">
        <v>2705</v>
      </c>
      <c r="C388" s="152" t="s">
        <v>2398</v>
      </c>
      <c r="D388" s="152" t="s">
        <v>2398</v>
      </c>
      <c r="E388" s="152" t="s">
        <v>2705</v>
      </c>
      <c r="F388" s="152" t="s">
        <v>2705</v>
      </c>
      <c r="G388" s="152" t="s">
        <v>2705</v>
      </c>
      <c r="H388" s="152" t="s">
        <v>2705</v>
      </c>
      <c r="I388" s="152" t="s">
        <v>2705</v>
      </c>
      <c r="J388" s="152" t="s">
        <v>2705</v>
      </c>
      <c r="K388" s="152" t="s">
        <v>2705</v>
      </c>
      <c r="L388" s="152" t="s">
        <v>2705</v>
      </c>
      <c r="M388" s="152" t="s">
        <v>2705</v>
      </c>
      <c r="N388" s="152" t="s">
        <v>2705</v>
      </c>
      <c r="O388" s="152" t="s">
        <v>2705</v>
      </c>
      <c r="P388" s="152" t="s">
        <v>2705</v>
      </c>
      <c r="Q388" s="152" t="s">
        <v>2705</v>
      </c>
      <c r="R388" s="152" t="s">
        <v>2705</v>
      </c>
      <c r="S388" s="152" t="s">
        <v>2705</v>
      </c>
      <c r="T388" s="152" t="s">
        <v>2705</v>
      </c>
      <c r="U388" s="152" t="s">
        <v>2705</v>
      </c>
    </row>
    <row r="389" spans="1:21" s="142" customFormat="1" ht="12.75" customHeight="1" x14ac:dyDescent="0.2">
      <c r="A389" s="151" t="s">
        <v>7511</v>
      </c>
      <c r="B389" s="152" t="s">
        <v>2398</v>
      </c>
      <c r="C389" s="152" t="s">
        <v>2398</v>
      </c>
      <c r="D389" s="152" t="s">
        <v>2398</v>
      </c>
      <c r="E389" s="152" t="s">
        <v>2705</v>
      </c>
      <c r="F389" s="152" t="s">
        <v>2705</v>
      </c>
      <c r="G389" s="152" t="s">
        <v>2398</v>
      </c>
      <c r="H389" s="152" t="s">
        <v>2675</v>
      </c>
      <c r="I389" s="152" t="s">
        <v>2398</v>
      </c>
      <c r="J389" s="152" t="s">
        <v>2705</v>
      </c>
      <c r="K389" s="152" t="s">
        <v>2398</v>
      </c>
      <c r="L389" s="152" t="s">
        <v>2705</v>
      </c>
      <c r="M389" s="152" t="s">
        <v>2705</v>
      </c>
      <c r="N389" s="152" t="s">
        <v>2398</v>
      </c>
      <c r="O389" s="152" t="s">
        <v>2705</v>
      </c>
      <c r="P389" s="152" t="s">
        <v>2398</v>
      </c>
      <c r="Q389" s="152" t="s">
        <v>2705</v>
      </c>
      <c r="R389" s="152" t="s">
        <v>2398</v>
      </c>
      <c r="S389" s="152" t="s">
        <v>2705</v>
      </c>
      <c r="T389" s="152" t="s">
        <v>2675</v>
      </c>
      <c r="U389" s="152" t="s">
        <v>2398</v>
      </c>
    </row>
    <row r="390" spans="1:21" s="142" customFormat="1" ht="12.75" x14ac:dyDescent="0.2">
      <c r="A390" s="151"/>
      <c r="B390" s="152" t="s">
        <v>2398</v>
      </c>
      <c r="C390" s="152" t="s">
        <v>2705</v>
      </c>
      <c r="D390" s="152" t="s">
        <v>2398</v>
      </c>
      <c r="E390" s="152" t="s">
        <v>2705</v>
      </c>
      <c r="F390" s="152" t="s">
        <v>2705</v>
      </c>
      <c r="G390" s="152" t="s">
        <v>2398</v>
      </c>
      <c r="H390" s="152" t="s">
        <v>2398</v>
      </c>
      <c r="I390" s="152" t="s">
        <v>2398</v>
      </c>
      <c r="J390" s="152" t="s">
        <v>2675</v>
      </c>
      <c r="K390" s="152" t="s">
        <v>2705</v>
      </c>
      <c r="L390" s="152" t="s">
        <v>2705</v>
      </c>
      <c r="M390" s="152" t="s">
        <v>2705</v>
      </c>
      <c r="N390" s="152" t="s">
        <v>2705</v>
      </c>
      <c r="O390" s="152" t="s">
        <v>2705</v>
      </c>
      <c r="P390" s="152" t="s">
        <v>2398</v>
      </c>
      <c r="Q390" s="152" t="s">
        <v>2705</v>
      </c>
      <c r="R390" s="152" t="s">
        <v>2398</v>
      </c>
      <c r="S390" s="152" t="s">
        <v>2705</v>
      </c>
      <c r="T390" s="152" t="s">
        <v>2398</v>
      </c>
      <c r="U390" s="152" t="s">
        <v>2705</v>
      </c>
    </row>
    <row r="391" spans="1:21" s="142" customFormat="1" ht="12.75" customHeight="1" x14ac:dyDescent="0.2">
      <c r="A391" s="151" t="s">
        <v>7512</v>
      </c>
      <c r="B391" s="152" t="s">
        <v>2705</v>
      </c>
      <c r="C391" s="152" t="s">
        <v>2705</v>
      </c>
      <c r="D391" s="152" t="s">
        <v>2705</v>
      </c>
      <c r="E391" s="152" t="s">
        <v>2397</v>
      </c>
      <c r="F391" s="152" t="s">
        <v>2398</v>
      </c>
      <c r="G391" s="152" t="s">
        <v>2705</v>
      </c>
      <c r="H391" s="152" t="s">
        <v>1435</v>
      </c>
      <c r="I391" s="152" t="s">
        <v>2705</v>
      </c>
      <c r="J391" s="152" t="s">
        <v>2675</v>
      </c>
      <c r="K391" s="152" t="s">
        <v>2705</v>
      </c>
      <c r="L391" s="152" t="s">
        <v>2705</v>
      </c>
      <c r="M391" s="152" t="s">
        <v>1435</v>
      </c>
      <c r="N391" s="152" t="s">
        <v>2705</v>
      </c>
      <c r="O391" s="152" t="s">
        <v>2398</v>
      </c>
      <c r="P391" s="152" t="s">
        <v>2398</v>
      </c>
      <c r="Q391" s="152" t="s">
        <v>2675</v>
      </c>
      <c r="R391" s="152" t="s">
        <v>2398</v>
      </c>
      <c r="S391" s="152" t="s">
        <v>2398</v>
      </c>
      <c r="T391" s="152" t="s">
        <v>2398</v>
      </c>
      <c r="U391" s="152" t="s">
        <v>2705</v>
      </c>
    </row>
    <row r="392" spans="1:21" s="142" customFormat="1" ht="12.75" x14ac:dyDescent="0.2">
      <c r="A392" s="151"/>
      <c r="B392" s="152" t="s">
        <v>2705</v>
      </c>
      <c r="C392" s="152" t="s">
        <v>2705</v>
      </c>
      <c r="D392" s="152" t="s">
        <v>2398</v>
      </c>
      <c r="E392" s="152" t="s">
        <v>2398</v>
      </c>
      <c r="F392" s="152" t="s">
        <v>2705</v>
      </c>
      <c r="G392" s="152" t="s">
        <v>1435</v>
      </c>
      <c r="H392" s="152" t="s">
        <v>2398</v>
      </c>
      <c r="I392" s="152" t="s">
        <v>2705</v>
      </c>
      <c r="J392" s="152" t="s">
        <v>2398</v>
      </c>
      <c r="K392" s="152" t="s">
        <v>2705</v>
      </c>
      <c r="L392" s="152" t="s">
        <v>2398</v>
      </c>
      <c r="M392" s="152" t="s">
        <v>2675</v>
      </c>
      <c r="N392" s="152" t="s">
        <v>2398</v>
      </c>
      <c r="O392" s="152" t="s">
        <v>2705</v>
      </c>
      <c r="P392" s="152" t="s">
        <v>2398</v>
      </c>
      <c r="Q392" s="152" t="s">
        <v>2398</v>
      </c>
      <c r="R392" s="152" t="s">
        <v>2398</v>
      </c>
      <c r="S392" s="152" t="s">
        <v>2398</v>
      </c>
      <c r="T392" s="152" t="s">
        <v>1435</v>
      </c>
      <c r="U392" s="152" t="s">
        <v>2705</v>
      </c>
    </row>
    <row r="393" spans="1:21" s="142" customFormat="1" ht="12.75" customHeight="1" x14ac:dyDescent="0.2">
      <c r="A393" s="151" t="s">
        <v>7513</v>
      </c>
      <c r="B393" s="152" t="s">
        <v>2705</v>
      </c>
      <c r="C393" s="152" t="s">
        <v>2398</v>
      </c>
      <c r="D393" s="152" t="s">
        <v>2705</v>
      </c>
      <c r="E393" s="152" t="s">
        <v>2705</v>
      </c>
      <c r="F393" s="152" t="s">
        <v>2705</v>
      </c>
      <c r="G393" s="152" t="s">
        <v>1435</v>
      </c>
      <c r="H393" s="152" t="s">
        <v>2398</v>
      </c>
      <c r="I393" s="152" t="s">
        <v>2705</v>
      </c>
      <c r="J393" s="152" t="s">
        <v>2675</v>
      </c>
      <c r="K393" s="152" t="s">
        <v>2705</v>
      </c>
      <c r="L393" s="152" t="s">
        <v>2705</v>
      </c>
      <c r="M393" s="152" t="s">
        <v>2705</v>
      </c>
      <c r="N393" s="152" t="s">
        <v>2705</v>
      </c>
      <c r="O393" s="152" t="s">
        <v>2705</v>
      </c>
      <c r="P393" s="152" t="s">
        <v>2398</v>
      </c>
      <c r="Q393" s="152" t="s">
        <v>2675</v>
      </c>
      <c r="R393" s="152" t="s">
        <v>2705</v>
      </c>
      <c r="S393" s="152" t="s">
        <v>2705</v>
      </c>
      <c r="T393" s="152" t="s">
        <v>2705</v>
      </c>
      <c r="U393" s="152" t="s">
        <v>2705</v>
      </c>
    </row>
    <row r="394" spans="1:21" s="142" customFormat="1" ht="12.75" x14ac:dyDescent="0.2">
      <c r="A394" s="151"/>
      <c r="B394" s="152" t="s">
        <v>2398</v>
      </c>
      <c r="C394" s="152" t="s">
        <v>2675</v>
      </c>
      <c r="D394" s="152" t="s">
        <v>2705</v>
      </c>
      <c r="E394" s="152" t="s">
        <v>2705</v>
      </c>
      <c r="F394" s="152" t="s">
        <v>2705</v>
      </c>
      <c r="G394" s="152" t="s">
        <v>1435</v>
      </c>
      <c r="H394" s="152" t="s">
        <v>2705</v>
      </c>
      <c r="I394" s="152" t="s">
        <v>2705</v>
      </c>
      <c r="J394" s="152" t="s">
        <v>2398</v>
      </c>
      <c r="K394" s="152" t="s">
        <v>2705</v>
      </c>
      <c r="L394" s="152" t="s">
        <v>1435</v>
      </c>
      <c r="M394" s="152" t="s">
        <v>2705</v>
      </c>
      <c r="N394" s="152" t="s">
        <v>2705</v>
      </c>
      <c r="O394" s="152" t="s">
        <v>2705</v>
      </c>
      <c r="P394" s="152" t="s">
        <v>2705</v>
      </c>
      <c r="Q394" s="152" t="s">
        <v>2705</v>
      </c>
      <c r="R394" s="152" t="s">
        <v>2705</v>
      </c>
      <c r="S394" s="152" t="s">
        <v>2705</v>
      </c>
      <c r="T394" s="152" t="s">
        <v>2705</v>
      </c>
      <c r="U394" s="152" t="s">
        <v>2705</v>
      </c>
    </row>
    <row r="395" spans="1:21" s="142" customFormat="1" ht="12.75" customHeight="1" x14ac:dyDescent="0.2">
      <c r="A395" s="151" t="s">
        <v>7514</v>
      </c>
      <c r="B395" s="152" t="s">
        <v>2705</v>
      </c>
      <c r="C395" s="152" t="s">
        <v>2705</v>
      </c>
      <c r="D395" s="152" t="s">
        <v>2398</v>
      </c>
      <c r="E395" s="152" t="s">
        <v>2397</v>
      </c>
      <c r="F395" s="152" t="s">
        <v>2705</v>
      </c>
      <c r="G395" s="152" t="s">
        <v>2705</v>
      </c>
      <c r="H395" s="152" t="s">
        <v>2705</v>
      </c>
      <c r="I395" s="152" t="s">
        <v>2398</v>
      </c>
      <c r="J395" s="152" t="s">
        <v>2705</v>
      </c>
      <c r="K395" s="152" t="s">
        <v>2705</v>
      </c>
      <c r="L395" s="152" t="s">
        <v>2705</v>
      </c>
      <c r="M395" s="152" t="s">
        <v>1435</v>
      </c>
      <c r="N395" s="152" t="s">
        <v>2705</v>
      </c>
      <c r="O395" s="152" t="s">
        <v>2705</v>
      </c>
      <c r="P395" s="152" t="s">
        <v>2705</v>
      </c>
      <c r="Q395" s="152" t="s">
        <v>2675</v>
      </c>
      <c r="R395" s="152" t="s">
        <v>2398</v>
      </c>
      <c r="S395" s="152" t="s">
        <v>2705</v>
      </c>
      <c r="T395" s="152" t="s">
        <v>2675</v>
      </c>
      <c r="U395" s="152" t="s">
        <v>2398</v>
      </c>
    </row>
    <row r="396" spans="1:21" s="142" customFormat="1" ht="12.75" x14ac:dyDescent="0.2">
      <c r="A396" s="151"/>
      <c r="B396" s="152" t="s">
        <v>2705</v>
      </c>
      <c r="C396" s="152" t="s">
        <v>2705</v>
      </c>
      <c r="D396" s="152" t="s">
        <v>2397</v>
      </c>
      <c r="E396" s="152" t="s">
        <v>2705</v>
      </c>
      <c r="F396" s="152" t="s">
        <v>2705</v>
      </c>
      <c r="G396" s="152" t="s">
        <v>1435</v>
      </c>
      <c r="H396" s="152" t="s">
        <v>2398</v>
      </c>
      <c r="I396" s="152" t="s">
        <v>2705</v>
      </c>
      <c r="J396" s="152" t="s">
        <v>2705</v>
      </c>
      <c r="K396" s="152" t="s">
        <v>2705</v>
      </c>
      <c r="L396" s="152" t="s">
        <v>2398</v>
      </c>
      <c r="M396" s="152" t="s">
        <v>1435</v>
      </c>
      <c r="N396" s="152" t="s">
        <v>2398</v>
      </c>
      <c r="O396" s="152" t="s">
        <v>2705</v>
      </c>
      <c r="P396" s="152" t="s">
        <v>2398</v>
      </c>
      <c r="Q396" s="152" t="s">
        <v>2705</v>
      </c>
      <c r="R396" s="152" t="s">
        <v>1435</v>
      </c>
      <c r="S396" s="152" t="s">
        <v>2705</v>
      </c>
      <c r="T396" s="152" t="s">
        <v>2705</v>
      </c>
      <c r="U396" s="152" t="s">
        <v>2705</v>
      </c>
    </row>
    <row r="397" spans="1:21" s="142" customFormat="1" ht="12.75" customHeight="1" x14ac:dyDescent="0.2">
      <c r="A397" s="151" t="s">
        <v>7515</v>
      </c>
      <c r="B397" s="152" t="s">
        <v>2705</v>
      </c>
      <c r="C397" s="152" t="s">
        <v>1435</v>
      </c>
      <c r="D397" s="152" t="s">
        <v>2705</v>
      </c>
      <c r="E397" s="152" t="s">
        <v>2705</v>
      </c>
      <c r="F397" s="152" t="s">
        <v>2705</v>
      </c>
      <c r="G397" s="152" t="s">
        <v>2705</v>
      </c>
      <c r="H397" s="152" t="s">
        <v>2705</v>
      </c>
      <c r="I397" s="152" t="s">
        <v>2705</v>
      </c>
      <c r="J397" s="152" t="s">
        <v>2705</v>
      </c>
      <c r="K397" s="152" t="s">
        <v>1435</v>
      </c>
      <c r="L397" s="152" t="s">
        <v>2705</v>
      </c>
      <c r="M397" s="152" t="s">
        <v>2398</v>
      </c>
      <c r="N397" s="152" t="s">
        <v>2675</v>
      </c>
      <c r="O397" s="152" t="s">
        <v>2398</v>
      </c>
      <c r="P397" s="152" t="s">
        <v>2705</v>
      </c>
      <c r="Q397" s="152" t="s">
        <v>2398</v>
      </c>
      <c r="R397" s="152" t="s">
        <v>2675</v>
      </c>
      <c r="S397" s="152" t="s">
        <v>2705</v>
      </c>
      <c r="T397" s="152" t="s">
        <v>2705</v>
      </c>
      <c r="U397" s="152" t="s">
        <v>2705</v>
      </c>
    </row>
    <row r="398" spans="1:21" s="142" customFormat="1" ht="12.75" x14ac:dyDescent="0.2">
      <c r="A398" s="151"/>
      <c r="B398" s="152" t="s">
        <v>2398</v>
      </c>
      <c r="C398" s="152" t="s">
        <v>2705</v>
      </c>
      <c r="D398" s="152" t="s">
        <v>2705</v>
      </c>
      <c r="E398" s="152" t="s">
        <v>2705</v>
      </c>
      <c r="F398" s="152" t="s">
        <v>2705</v>
      </c>
      <c r="G398" s="152" t="s">
        <v>2398</v>
      </c>
      <c r="H398" s="152" t="s">
        <v>2675</v>
      </c>
      <c r="I398" s="152" t="s">
        <v>2705</v>
      </c>
      <c r="J398" s="152" t="s">
        <v>2705</v>
      </c>
      <c r="K398" s="152" t="s">
        <v>2398</v>
      </c>
      <c r="L398" s="152" t="s">
        <v>2398</v>
      </c>
      <c r="M398" s="152" t="s">
        <v>2705</v>
      </c>
      <c r="N398" s="152" t="s">
        <v>2398</v>
      </c>
      <c r="O398" s="152" t="s">
        <v>2705</v>
      </c>
      <c r="P398" s="152" t="s">
        <v>2705</v>
      </c>
      <c r="Q398" s="152" t="s">
        <v>2705</v>
      </c>
      <c r="R398" s="152" t="s">
        <v>2705</v>
      </c>
      <c r="S398" s="152" t="s">
        <v>2705</v>
      </c>
      <c r="T398" s="152" t="s">
        <v>2705</v>
      </c>
      <c r="U398" s="152" t="s">
        <v>2705</v>
      </c>
    </row>
    <row r="399" spans="1:21" s="142" customFormat="1" ht="12.75" customHeight="1" x14ac:dyDescent="0.2">
      <c r="A399" s="151" t="s">
        <v>7516</v>
      </c>
      <c r="B399" s="152" t="s">
        <v>2398</v>
      </c>
      <c r="C399" s="152" t="s">
        <v>2397</v>
      </c>
      <c r="D399" s="152" t="s">
        <v>2705</v>
      </c>
      <c r="E399" s="152" t="s">
        <v>1435</v>
      </c>
      <c r="F399" s="152" t="s">
        <v>2398</v>
      </c>
      <c r="G399" s="152" t="s">
        <v>1435</v>
      </c>
      <c r="H399" s="152" t="s">
        <v>2705</v>
      </c>
      <c r="I399" s="152" t="s">
        <v>2398</v>
      </c>
      <c r="J399" s="152" t="s">
        <v>2398</v>
      </c>
      <c r="K399" s="152" t="s">
        <v>2398</v>
      </c>
      <c r="L399" s="152" t="s">
        <v>2705</v>
      </c>
      <c r="M399" s="152" t="s">
        <v>1435</v>
      </c>
      <c r="N399" s="152" t="s">
        <v>2705</v>
      </c>
      <c r="O399" s="152" t="s">
        <v>2705</v>
      </c>
      <c r="P399" s="152" t="s">
        <v>2397</v>
      </c>
      <c r="Q399" s="152" t="s">
        <v>1435</v>
      </c>
      <c r="R399" s="152" t="s">
        <v>2675</v>
      </c>
      <c r="S399" s="152" t="s">
        <v>2675</v>
      </c>
      <c r="T399" s="152" t="s">
        <v>2397</v>
      </c>
      <c r="U399" s="152" t="s">
        <v>2398</v>
      </c>
    </row>
    <row r="400" spans="1:21" s="142" customFormat="1" ht="12.75" x14ac:dyDescent="0.2">
      <c r="A400" s="151"/>
      <c r="B400" s="152" t="s">
        <v>2398</v>
      </c>
      <c r="C400" s="152" t="s">
        <v>2398</v>
      </c>
      <c r="D400" s="152" t="s">
        <v>2705</v>
      </c>
      <c r="E400" s="152" t="s">
        <v>2705</v>
      </c>
      <c r="F400" s="152" t="s">
        <v>2398</v>
      </c>
      <c r="G400" s="152" t="s">
        <v>2705</v>
      </c>
      <c r="H400" s="152" t="s">
        <v>2398</v>
      </c>
      <c r="I400" s="152" t="s">
        <v>2675</v>
      </c>
      <c r="J400" s="152" t="s">
        <v>2705</v>
      </c>
      <c r="K400" s="152" t="s">
        <v>2398</v>
      </c>
      <c r="L400" s="152" t="s">
        <v>2705</v>
      </c>
      <c r="M400" s="152" t="s">
        <v>2398</v>
      </c>
      <c r="N400" s="152" t="s">
        <v>2397</v>
      </c>
      <c r="O400" s="152" t="s">
        <v>2675</v>
      </c>
      <c r="P400" s="152" t="s">
        <v>2398</v>
      </c>
      <c r="Q400" s="152" t="s">
        <v>2705</v>
      </c>
      <c r="R400" s="152" t="s">
        <v>2705</v>
      </c>
      <c r="S400" s="152" t="s">
        <v>2705</v>
      </c>
      <c r="T400" s="152" t="s">
        <v>2705</v>
      </c>
      <c r="U400" s="152" t="s">
        <v>2705</v>
      </c>
    </row>
    <row r="401" spans="1:21" s="142" customFormat="1" ht="12.75" customHeight="1" x14ac:dyDescent="0.2">
      <c r="A401" s="151" t="s">
        <v>7517</v>
      </c>
      <c r="B401" s="152" t="s">
        <v>2705</v>
      </c>
      <c r="C401" s="152" t="s">
        <v>2398</v>
      </c>
      <c r="D401" s="152" t="s">
        <v>2705</v>
      </c>
      <c r="E401" s="152" t="s">
        <v>1435</v>
      </c>
      <c r="F401" s="152" t="s">
        <v>2705</v>
      </c>
      <c r="G401" s="152" t="s">
        <v>2705</v>
      </c>
      <c r="H401" s="152" t="s">
        <v>2705</v>
      </c>
      <c r="I401" s="152" t="s">
        <v>2398</v>
      </c>
      <c r="J401" s="152" t="s">
        <v>2675</v>
      </c>
      <c r="K401" s="152" t="s">
        <v>1435</v>
      </c>
      <c r="L401" s="152" t="s">
        <v>2705</v>
      </c>
      <c r="M401" s="152" t="s">
        <v>1435</v>
      </c>
      <c r="N401" s="152" t="s">
        <v>2675</v>
      </c>
      <c r="O401" s="152" t="s">
        <v>2398</v>
      </c>
      <c r="P401" s="152" t="s">
        <v>2398</v>
      </c>
      <c r="Q401" s="152" t="s">
        <v>2398</v>
      </c>
      <c r="R401" s="152" t="s">
        <v>2398</v>
      </c>
      <c r="S401" s="152" t="s">
        <v>2705</v>
      </c>
      <c r="T401" s="152" t="s">
        <v>2705</v>
      </c>
      <c r="U401" s="152" t="s">
        <v>2705</v>
      </c>
    </row>
    <row r="402" spans="1:21" s="142" customFormat="1" ht="12.75" x14ac:dyDescent="0.2">
      <c r="A402" s="151"/>
      <c r="B402" s="152" t="s">
        <v>2397</v>
      </c>
      <c r="C402" s="152" t="s">
        <v>2397</v>
      </c>
      <c r="D402" s="152" t="s">
        <v>2705</v>
      </c>
      <c r="E402" s="152" t="s">
        <v>2705</v>
      </c>
      <c r="F402" s="152" t="s">
        <v>2705</v>
      </c>
      <c r="G402" s="152" t="s">
        <v>2398</v>
      </c>
      <c r="H402" s="152" t="s">
        <v>2675</v>
      </c>
      <c r="I402" s="152" t="s">
        <v>2705</v>
      </c>
      <c r="J402" s="152" t="s">
        <v>2705</v>
      </c>
      <c r="K402" s="152" t="s">
        <v>2398</v>
      </c>
      <c r="L402" s="152" t="s">
        <v>2398</v>
      </c>
      <c r="M402" s="152" t="s">
        <v>2398</v>
      </c>
      <c r="N402" s="152" t="s">
        <v>1435</v>
      </c>
      <c r="O402" s="152" t="s">
        <v>2705</v>
      </c>
      <c r="P402" s="152" t="s">
        <v>2398</v>
      </c>
      <c r="Q402" s="152" t="s">
        <v>2398</v>
      </c>
      <c r="R402" s="152" t="s">
        <v>2398</v>
      </c>
      <c r="S402" s="152" t="s">
        <v>2705</v>
      </c>
      <c r="T402" s="152" t="s">
        <v>2398</v>
      </c>
      <c r="U402" s="152" t="s">
        <v>2705</v>
      </c>
    </row>
    <row r="403" spans="1:21" s="142" customFormat="1" ht="12.75" customHeight="1" x14ac:dyDescent="0.2">
      <c r="A403" s="151" t="s">
        <v>7518</v>
      </c>
      <c r="B403" s="152" t="s">
        <v>2398</v>
      </c>
      <c r="C403" s="152" t="s">
        <v>2398</v>
      </c>
      <c r="D403" s="152" t="s">
        <v>2398</v>
      </c>
      <c r="E403" s="152" t="s">
        <v>2705</v>
      </c>
      <c r="F403" s="152" t="s">
        <v>2398</v>
      </c>
      <c r="G403" s="152" t="s">
        <v>2705</v>
      </c>
      <c r="H403" s="152" t="s">
        <v>2398</v>
      </c>
      <c r="I403" s="152" t="s">
        <v>2398</v>
      </c>
      <c r="J403" s="152" t="s">
        <v>2705</v>
      </c>
      <c r="K403" s="152" t="s">
        <v>2398</v>
      </c>
      <c r="L403" s="152" t="s">
        <v>2675</v>
      </c>
      <c r="M403" s="152" t="s">
        <v>2398</v>
      </c>
      <c r="N403" s="152" t="s">
        <v>2705</v>
      </c>
      <c r="O403" s="152" t="s">
        <v>2705</v>
      </c>
      <c r="P403" s="152" t="s">
        <v>2398</v>
      </c>
      <c r="Q403" s="152" t="s">
        <v>2705</v>
      </c>
      <c r="R403" s="152" t="s">
        <v>2705</v>
      </c>
      <c r="S403" s="152" t="s">
        <v>2705</v>
      </c>
      <c r="T403" s="152" t="s">
        <v>2398</v>
      </c>
      <c r="U403" s="152" t="s">
        <v>2398</v>
      </c>
    </row>
    <row r="404" spans="1:21" s="142" customFormat="1" ht="12.75" x14ac:dyDescent="0.2">
      <c r="A404" s="151"/>
      <c r="B404" s="152" t="s">
        <v>2398</v>
      </c>
      <c r="C404" s="152" t="s">
        <v>2705</v>
      </c>
      <c r="D404" s="152" t="s">
        <v>1435</v>
      </c>
      <c r="E404" s="152" t="s">
        <v>1435</v>
      </c>
      <c r="F404" s="152" t="s">
        <v>2398</v>
      </c>
      <c r="G404" s="152" t="s">
        <v>2705</v>
      </c>
      <c r="H404" s="152" t="s">
        <v>2705</v>
      </c>
      <c r="I404" s="152" t="s">
        <v>2398</v>
      </c>
      <c r="J404" s="152" t="s">
        <v>2705</v>
      </c>
      <c r="K404" s="152" t="s">
        <v>2397</v>
      </c>
      <c r="L404" s="152" t="s">
        <v>2705</v>
      </c>
      <c r="M404" s="152" t="s">
        <v>2705</v>
      </c>
      <c r="N404" s="152" t="s">
        <v>2675</v>
      </c>
      <c r="O404" s="152" t="s">
        <v>2705</v>
      </c>
      <c r="P404" s="152" t="s">
        <v>2675</v>
      </c>
      <c r="Q404" s="152" t="s">
        <v>2398</v>
      </c>
      <c r="R404" s="152" t="s">
        <v>1435</v>
      </c>
      <c r="S404" s="152" t="s">
        <v>2705</v>
      </c>
      <c r="T404" s="152" t="s">
        <v>2705</v>
      </c>
      <c r="U404" s="152" t="s">
        <v>2705</v>
      </c>
    </row>
    <row r="405" spans="1:21" s="142" customFormat="1" ht="12.75" customHeight="1" x14ac:dyDescent="0.2">
      <c r="A405" s="151" t="s">
        <v>7519</v>
      </c>
      <c r="B405" s="152" t="s">
        <v>2398</v>
      </c>
      <c r="C405" s="152" t="s">
        <v>2705</v>
      </c>
      <c r="D405" s="152" t="s">
        <v>2705</v>
      </c>
      <c r="E405" s="152" t="s">
        <v>2705</v>
      </c>
      <c r="F405" s="152" t="s">
        <v>2398</v>
      </c>
      <c r="G405" s="152" t="s">
        <v>1435</v>
      </c>
      <c r="H405" s="152" t="s">
        <v>1435</v>
      </c>
      <c r="I405" s="152" t="s">
        <v>2398</v>
      </c>
      <c r="J405" s="152" t="s">
        <v>2675</v>
      </c>
      <c r="K405" s="152" t="s">
        <v>2398</v>
      </c>
      <c r="L405" s="152" t="s">
        <v>1435</v>
      </c>
      <c r="M405" s="152" t="s">
        <v>1435</v>
      </c>
      <c r="N405" s="152" t="s">
        <v>1435</v>
      </c>
      <c r="O405" s="152" t="s">
        <v>2705</v>
      </c>
      <c r="P405" s="152" t="s">
        <v>2705</v>
      </c>
      <c r="Q405" s="152" t="s">
        <v>2675</v>
      </c>
      <c r="R405" s="152" t="s">
        <v>2705</v>
      </c>
      <c r="S405" s="152" t="s">
        <v>2705</v>
      </c>
      <c r="T405" s="152" t="s">
        <v>2398</v>
      </c>
      <c r="U405" s="152" t="s">
        <v>2705</v>
      </c>
    </row>
    <row r="406" spans="1:21" s="142" customFormat="1" ht="12.75" x14ac:dyDescent="0.2">
      <c r="A406" s="151"/>
      <c r="B406" s="152" t="s">
        <v>2705</v>
      </c>
      <c r="C406" s="152" t="s">
        <v>2705</v>
      </c>
      <c r="D406" s="152" t="s">
        <v>1435</v>
      </c>
      <c r="E406" s="152" t="s">
        <v>2705</v>
      </c>
      <c r="F406" s="152" t="s">
        <v>2675</v>
      </c>
      <c r="G406" s="152" t="s">
        <v>2705</v>
      </c>
      <c r="H406" s="152" t="s">
        <v>2705</v>
      </c>
      <c r="I406" s="152" t="s">
        <v>2675</v>
      </c>
      <c r="J406" s="152" t="s">
        <v>2705</v>
      </c>
      <c r="K406" s="152" t="s">
        <v>2397</v>
      </c>
      <c r="L406" s="152" t="s">
        <v>2705</v>
      </c>
      <c r="M406" s="152" t="s">
        <v>2705</v>
      </c>
      <c r="N406" s="152" t="s">
        <v>2705</v>
      </c>
      <c r="O406" s="152" t="s">
        <v>1435</v>
      </c>
      <c r="P406" s="152" t="s">
        <v>2705</v>
      </c>
      <c r="Q406" s="152" t="s">
        <v>2705</v>
      </c>
      <c r="R406" s="152" t="s">
        <v>1435</v>
      </c>
      <c r="S406" s="152" t="s">
        <v>2705</v>
      </c>
      <c r="T406" s="152" t="s">
        <v>2705</v>
      </c>
      <c r="U406" s="152" t="s">
        <v>2705</v>
      </c>
    </row>
    <row r="407" spans="1:21" s="142" customFormat="1" ht="12.75" customHeight="1" x14ac:dyDescent="0.2">
      <c r="A407" s="151" t="s">
        <v>7520</v>
      </c>
      <c r="B407" s="152" t="s">
        <v>2675</v>
      </c>
      <c r="C407" s="152" t="s">
        <v>2705</v>
      </c>
      <c r="D407" s="152" t="s">
        <v>2397</v>
      </c>
      <c r="E407" s="152" t="s">
        <v>1435</v>
      </c>
      <c r="F407" s="152" t="s">
        <v>2705</v>
      </c>
      <c r="G407" s="152" t="s">
        <v>2705</v>
      </c>
      <c r="H407" s="152" t="s">
        <v>2705</v>
      </c>
      <c r="I407" s="152" t="s">
        <v>2675</v>
      </c>
      <c r="J407" s="152" t="s">
        <v>2398</v>
      </c>
      <c r="K407" s="152" t="s">
        <v>2398</v>
      </c>
      <c r="L407" s="152" t="s">
        <v>2705</v>
      </c>
      <c r="M407" s="152" t="s">
        <v>1435</v>
      </c>
      <c r="N407" s="152" t="s">
        <v>2705</v>
      </c>
      <c r="O407" s="152" t="s">
        <v>2705</v>
      </c>
      <c r="P407" s="152" t="s">
        <v>2705</v>
      </c>
      <c r="Q407" s="152" t="s">
        <v>2705</v>
      </c>
      <c r="R407" s="152" t="s">
        <v>2398</v>
      </c>
      <c r="S407" s="152" t="s">
        <v>2705</v>
      </c>
      <c r="T407" s="152" t="s">
        <v>2705</v>
      </c>
      <c r="U407" s="152" t="s">
        <v>2705</v>
      </c>
    </row>
    <row r="408" spans="1:21" s="142" customFormat="1" ht="12.75" x14ac:dyDescent="0.2">
      <c r="A408" s="151"/>
      <c r="B408" s="152" t="s">
        <v>2705</v>
      </c>
      <c r="C408" s="152" t="s">
        <v>2398</v>
      </c>
      <c r="D408" s="152" t="s">
        <v>2705</v>
      </c>
      <c r="E408" s="152" t="s">
        <v>2398</v>
      </c>
      <c r="F408" s="152" t="s">
        <v>2705</v>
      </c>
      <c r="G408" s="152" t="s">
        <v>2705</v>
      </c>
      <c r="H408" s="152" t="s">
        <v>2398</v>
      </c>
      <c r="I408" s="152" t="s">
        <v>2705</v>
      </c>
      <c r="J408" s="152" t="s">
        <v>2398</v>
      </c>
      <c r="K408" s="152" t="s">
        <v>2705</v>
      </c>
      <c r="L408" s="152" t="s">
        <v>2705</v>
      </c>
      <c r="M408" s="152" t="s">
        <v>2398</v>
      </c>
      <c r="N408" s="152" t="s">
        <v>2705</v>
      </c>
      <c r="O408" s="152" t="s">
        <v>2705</v>
      </c>
      <c r="P408" s="152" t="s">
        <v>2675</v>
      </c>
      <c r="Q408" s="152" t="s">
        <v>2705</v>
      </c>
      <c r="R408" s="152" t="s">
        <v>2705</v>
      </c>
      <c r="S408" s="152" t="s">
        <v>2705</v>
      </c>
      <c r="T408" s="152" t="s">
        <v>2705</v>
      </c>
      <c r="U408" s="152" t="s">
        <v>2705</v>
      </c>
    </row>
    <row r="409" spans="1:21" s="142" customFormat="1" ht="12.75" customHeight="1" x14ac:dyDescent="0.2">
      <c r="A409" s="151" t="s">
        <v>7521</v>
      </c>
      <c r="B409" s="152" t="s">
        <v>1435</v>
      </c>
      <c r="C409" s="152" t="s">
        <v>2675</v>
      </c>
      <c r="D409" s="152" t="s">
        <v>2705</v>
      </c>
      <c r="E409" s="152" t="s">
        <v>2705</v>
      </c>
      <c r="F409" s="152" t="s">
        <v>1435</v>
      </c>
      <c r="G409" s="152" t="s">
        <v>2705</v>
      </c>
      <c r="H409" s="152" t="s">
        <v>2675</v>
      </c>
      <c r="I409" s="152" t="s">
        <v>2705</v>
      </c>
      <c r="J409" s="152" t="s">
        <v>2675</v>
      </c>
      <c r="K409" s="152" t="s">
        <v>2398</v>
      </c>
      <c r="L409" s="152" t="s">
        <v>2398</v>
      </c>
      <c r="M409" s="152" t="s">
        <v>2705</v>
      </c>
      <c r="N409" s="152" t="s">
        <v>1435</v>
      </c>
      <c r="O409" s="152" t="s">
        <v>2398</v>
      </c>
      <c r="P409" s="152" t="s">
        <v>2398</v>
      </c>
      <c r="Q409" s="152" t="s">
        <v>2705</v>
      </c>
      <c r="R409" s="152" t="s">
        <v>1435</v>
      </c>
      <c r="S409" s="152" t="s">
        <v>2705</v>
      </c>
      <c r="T409" s="152" t="s">
        <v>2398</v>
      </c>
      <c r="U409" s="152" t="s">
        <v>2675</v>
      </c>
    </row>
    <row r="410" spans="1:21" s="142" customFormat="1" ht="12.75" x14ac:dyDescent="0.2">
      <c r="A410" s="151"/>
      <c r="B410" s="152" t="s">
        <v>1435</v>
      </c>
      <c r="C410" s="152" t="s">
        <v>2675</v>
      </c>
      <c r="D410" s="152" t="s">
        <v>2398</v>
      </c>
      <c r="E410" s="152" t="s">
        <v>2705</v>
      </c>
      <c r="F410" s="152" t="s">
        <v>2675</v>
      </c>
      <c r="G410" s="152" t="s">
        <v>2705</v>
      </c>
      <c r="H410" s="152" t="s">
        <v>2705</v>
      </c>
      <c r="I410" s="152" t="s">
        <v>2398</v>
      </c>
      <c r="J410" s="152" t="s">
        <v>2397</v>
      </c>
      <c r="K410" s="152" t="s">
        <v>2397</v>
      </c>
      <c r="L410" s="152" t="s">
        <v>2675</v>
      </c>
      <c r="M410" s="152" t="s">
        <v>2398</v>
      </c>
      <c r="N410" s="152" t="s">
        <v>2705</v>
      </c>
      <c r="O410" s="152" t="s">
        <v>1435</v>
      </c>
      <c r="P410" s="152" t="s">
        <v>2398</v>
      </c>
      <c r="Q410" s="152" t="s">
        <v>1435</v>
      </c>
      <c r="R410" s="152" t="s">
        <v>1435</v>
      </c>
      <c r="S410" s="152" t="s">
        <v>2705</v>
      </c>
      <c r="T410" s="152" t="s">
        <v>2398</v>
      </c>
      <c r="U410" s="152" t="s">
        <v>2675</v>
      </c>
    </row>
    <row r="411" spans="1:21" s="142" customFormat="1" ht="12.75" customHeight="1" x14ac:dyDescent="0.2">
      <c r="A411" s="151" t="s">
        <v>7522</v>
      </c>
      <c r="B411" s="152" t="s">
        <v>2705</v>
      </c>
      <c r="C411" s="152" t="s">
        <v>2705</v>
      </c>
      <c r="D411" s="152" t="s">
        <v>2705</v>
      </c>
      <c r="E411" s="152" t="s">
        <v>2705</v>
      </c>
      <c r="F411" s="152" t="s">
        <v>2398</v>
      </c>
      <c r="G411" s="152" t="s">
        <v>2705</v>
      </c>
      <c r="H411" s="152" t="s">
        <v>1435</v>
      </c>
      <c r="I411" s="152" t="s">
        <v>2705</v>
      </c>
      <c r="J411" s="152" t="s">
        <v>1435</v>
      </c>
      <c r="K411" s="152" t="s">
        <v>2705</v>
      </c>
      <c r="L411" s="152" t="s">
        <v>2705</v>
      </c>
      <c r="M411" s="152" t="s">
        <v>2675</v>
      </c>
      <c r="N411" s="152" t="s">
        <v>2705</v>
      </c>
      <c r="O411" s="152" t="s">
        <v>2397</v>
      </c>
      <c r="P411" s="152" t="s">
        <v>2675</v>
      </c>
      <c r="Q411" s="152" t="s">
        <v>2705</v>
      </c>
      <c r="R411" s="152" t="s">
        <v>2705</v>
      </c>
      <c r="S411" s="152" t="s">
        <v>2675</v>
      </c>
      <c r="T411" s="152" t="s">
        <v>2398</v>
      </c>
      <c r="U411" s="152" t="s">
        <v>2398</v>
      </c>
    </row>
    <row r="412" spans="1:21" s="142" customFormat="1" ht="12.75" x14ac:dyDescent="0.2">
      <c r="A412" s="151"/>
      <c r="B412" s="152" t="s">
        <v>2705</v>
      </c>
      <c r="C412" s="152" t="s">
        <v>1435</v>
      </c>
      <c r="D412" s="152" t="s">
        <v>2705</v>
      </c>
      <c r="E412" s="152" t="s">
        <v>2397</v>
      </c>
      <c r="F412" s="152" t="s">
        <v>2705</v>
      </c>
      <c r="G412" s="152" t="s">
        <v>1435</v>
      </c>
      <c r="H412" s="152" t="s">
        <v>2398</v>
      </c>
      <c r="I412" s="152" t="s">
        <v>2705</v>
      </c>
      <c r="J412" s="152" t="s">
        <v>1435</v>
      </c>
      <c r="K412" s="152" t="s">
        <v>2398</v>
      </c>
      <c r="L412" s="152" t="s">
        <v>2705</v>
      </c>
      <c r="M412" s="152" t="s">
        <v>2675</v>
      </c>
      <c r="N412" s="152" t="s">
        <v>2398</v>
      </c>
      <c r="O412" s="152" t="s">
        <v>2705</v>
      </c>
      <c r="P412" s="152" t="s">
        <v>2705</v>
      </c>
      <c r="Q412" s="152" t="s">
        <v>2705</v>
      </c>
      <c r="R412" s="152" t="s">
        <v>1435</v>
      </c>
      <c r="S412" s="152" t="s">
        <v>2675</v>
      </c>
      <c r="T412" s="152" t="s">
        <v>2705</v>
      </c>
      <c r="U412" s="152" t="s">
        <v>2398</v>
      </c>
    </row>
    <row r="413" spans="1:21" s="142" customFormat="1" ht="12.75" customHeight="1" x14ac:dyDescent="0.2">
      <c r="A413" s="151" t="s">
        <v>7523</v>
      </c>
      <c r="B413" s="152" t="s">
        <v>2398</v>
      </c>
      <c r="C413" s="152" t="s">
        <v>2705</v>
      </c>
      <c r="D413" s="152" t="s">
        <v>2398</v>
      </c>
      <c r="E413" s="152" t="s">
        <v>2705</v>
      </c>
      <c r="F413" s="152" t="s">
        <v>1435</v>
      </c>
      <c r="G413" s="152" t="s">
        <v>2398</v>
      </c>
      <c r="H413" s="152" t="s">
        <v>2705</v>
      </c>
      <c r="I413" s="152" t="s">
        <v>2705</v>
      </c>
      <c r="J413" s="152" t="s">
        <v>2705</v>
      </c>
      <c r="K413" s="152" t="s">
        <v>2705</v>
      </c>
      <c r="L413" s="152" t="s">
        <v>2705</v>
      </c>
      <c r="M413" s="152" t="s">
        <v>2398</v>
      </c>
      <c r="N413" s="152" t="s">
        <v>2705</v>
      </c>
      <c r="O413" s="152" t="s">
        <v>2398</v>
      </c>
      <c r="P413" s="152" t="s">
        <v>2675</v>
      </c>
      <c r="Q413" s="152" t="s">
        <v>2398</v>
      </c>
      <c r="R413" s="152" t="s">
        <v>2398</v>
      </c>
      <c r="S413" s="152" t="s">
        <v>2398</v>
      </c>
      <c r="T413" s="152" t="s">
        <v>2705</v>
      </c>
      <c r="U413" s="152" t="s">
        <v>2675</v>
      </c>
    </row>
    <row r="414" spans="1:21" s="142" customFormat="1" ht="12.75" x14ac:dyDescent="0.2">
      <c r="A414" s="151"/>
      <c r="B414" s="152" t="s">
        <v>2398</v>
      </c>
      <c r="C414" s="152" t="s">
        <v>1435</v>
      </c>
      <c r="D414" s="152" t="s">
        <v>2675</v>
      </c>
      <c r="E414" s="152" t="s">
        <v>2705</v>
      </c>
      <c r="F414" s="152" t="s">
        <v>2705</v>
      </c>
      <c r="G414" s="152" t="s">
        <v>2705</v>
      </c>
      <c r="H414" s="152" t="s">
        <v>2398</v>
      </c>
      <c r="I414" s="152" t="s">
        <v>1435</v>
      </c>
      <c r="J414" s="152" t="s">
        <v>2705</v>
      </c>
      <c r="K414" s="152" t="s">
        <v>2398</v>
      </c>
      <c r="L414" s="152" t="s">
        <v>2705</v>
      </c>
      <c r="M414" s="152" t="s">
        <v>1435</v>
      </c>
      <c r="N414" s="152" t="s">
        <v>2398</v>
      </c>
      <c r="O414" s="152" t="s">
        <v>2705</v>
      </c>
      <c r="P414" s="152" t="s">
        <v>2398</v>
      </c>
      <c r="Q414" s="152" t="s">
        <v>2705</v>
      </c>
      <c r="R414" s="152" t="s">
        <v>2397</v>
      </c>
      <c r="S414" s="152" t="s">
        <v>2398</v>
      </c>
      <c r="T414" s="152" t="s">
        <v>1435</v>
      </c>
      <c r="U414" s="152" t="s">
        <v>2397</v>
      </c>
    </row>
    <row r="415" spans="1:21" s="142" customFormat="1" ht="12.75" customHeight="1" x14ac:dyDescent="0.2">
      <c r="A415" s="151" t="s">
        <v>7524</v>
      </c>
      <c r="B415" s="152" t="s">
        <v>2398</v>
      </c>
      <c r="C415" s="152" t="s">
        <v>2398</v>
      </c>
      <c r="D415" s="152" t="s">
        <v>2398</v>
      </c>
      <c r="E415" s="152" t="s">
        <v>2705</v>
      </c>
      <c r="F415" s="152" t="s">
        <v>2705</v>
      </c>
      <c r="G415" s="152" t="s">
        <v>2398</v>
      </c>
      <c r="H415" s="152" t="s">
        <v>1435</v>
      </c>
      <c r="I415" s="152" t="s">
        <v>2705</v>
      </c>
      <c r="J415" s="152" t="s">
        <v>2398</v>
      </c>
      <c r="K415" s="152" t="s">
        <v>2705</v>
      </c>
      <c r="L415" s="152" t="s">
        <v>2398</v>
      </c>
      <c r="M415" s="152" t="s">
        <v>2705</v>
      </c>
      <c r="N415" s="152" t="s">
        <v>2398</v>
      </c>
      <c r="O415" s="152" t="s">
        <v>2398</v>
      </c>
      <c r="P415" s="152" t="s">
        <v>2398</v>
      </c>
      <c r="Q415" s="152" t="s">
        <v>2675</v>
      </c>
      <c r="R415" s="152" t="s">
        <v>2398</v>
      </c>
      <c r="S415" s="152" t="s">
        <v>2705</v>
      </c>
      <c r="T415" s="152" t="s">
        <v>2398</v>
      </c>
      <c r="U415" s="152" t="s">
        <v>2705</v>
      </c>
    </row>
    <row r="416" spans="1:21" s="142" customFormat="1" ht="12.75" x14ac:dyDescent="0.2">
      <c r="A416" s="151"/>
      <c r="B416" s="152" t="s">
        <v>2398</v>
      </c>
      <c r="C416" s="152" t="s">
        <v>2398</v>
      </c>
      <c r="D416" s="152" t="s">
        <v>2398</v>
      </c>
      <c r="E416" s="152" t="s">
        <v>2398</v>
      </c>
      <c r="F416" s="152" t="s">
        <v>2705</v>
      </c>
      <c r="G416" s="152" t="s">
        <v>2705</v>
      </c>
      <c r="H416" s="152" t="s">
        <v>2705</v>
      </c>
      <c r="I416" s="152" t="s">
        <v>2705</v>
      </c>
      <c r="J416" s="152" t="s">
        <v>2398</v>
      </c>
      <c r="K416" s="152" t="s">
        <v>2705</v>
      </c>
      <c r="L416" s="152" t="s">
        <v>2705</v>
      </c>
      <c r="M416" s="152" t="s">
        <v>2705</v>
      </c>
      <c r="N416" s="152" t="s">
        <v>2705</v>
      </c>
      <c r="O416" s="152" t="s">
        <v>2705</v>
      </c>
      <c r="P416" s="152" t="s">
        <v>2398</v>
      </c>
      <c r="Q416" s="152" t="s">
        <v>2705</v>
      </c>
      <c r="R416" s="152" t="s">
        <v>1435</v>
      </c>
      <c r="S416" s="152" t="s">
        <v>2705</v>
      </c>
      <c r="T416" s="152" t="s">
        <v>2705</v>
      </c>
      <c r="U416" s="152" t="s">
        <v>2398</v>
      </c>
    </row>
    <row r="417" spans="1:21" s="142" customFormat="1" ht="12.75" customHeight="1" x14ac:dyDescent="0.2">
      <c r="A417" s="151" t="s">
        <v>7525</v>
      </c>
      <c r="B417" s="152" t="s">
        <v>2705</v>
      </c>
      <c r="C417" s="152" t="s">
        <v>2705</v>
      </c>
      <c r="D417" s="152" t="s">
        <v>2675</v>
      </c>
      <c r="E417" s="152" t="s">
        <v>2705</v>
      </c>
      <c r="F417" s="152" t="s">
        <v>2398</v>
      </c>
      <c r="G417" s="152" t="s">
        <v>2705</v>
      </c>
      <c r="H417" s="152" t="s">
        <v>2705</v>
      </c>
      <c r="I417" s="152" t="s">
        <v>2705</v>
      </c>
      <c r="J417" s="152" t="s">
        <v>2705</v>
      </c>
      <c r="K417" s="152" t="s">
        <v>2705</v>
      </c>
      <c r="L417" s="152" t="s">
        <v>2398</v>
      </c>
      <c r="M417" s="152" t="s">
        <v>2705</v>
      </c>
      <c r="N417" s="152" t="s">
        <v>2705</v>
      </c>
      <c r="O417" s="152" t="s">
        <v>2705</v>
      </c>
      <c r="P417" s="152" t="s">
        <v>2705</v>
      </c>
      <c r="Q417" s="152" t="s">
        <v>2398</v>
      </c>
      <c r="R417" s="152" t="s">
        <v>2705</v>
      </c>
      <c r="S417" s="152" t="s">
        <v>2705</v>
      </c>
      <c r="T417" s="152" t="s">
        <v>2705</v>
      </c>
      <c r="U417" s="152" t="s">
        <v>2705</v>
      </c>
    </row>
    <row r="418" spans="1:21" s="142" customFormat="1" ht="12.75" x14ac:dyDescent="0.2">
      <c r="A418" s="151"/>
      <c r="B418" s="152" t="s">
        <v>2398</v>
      </c>
      <c r="C418" s="152" t="s">
        <v>2398</v>
      </c>
      <c r="D418" s="152" t="s">
        <v>2398</v>
      </c>
      <c r="E418" s="152" t="s">
        <v>2705</v>
      </c>
      <c r="F418" s="152" t="s">
        <v>2398</v>
      </c>
      <c r="G418" s="152" t="s">
        <v>2705</v>
      </c>
      <c r="H418" s="152" t="s">
        <v>2705</v>
      </c>
      <c r="I418" s="152" t="s">
        <v>2675</v>
      </c>
      <c r="J418" s="152" t="s">
        <v>2705</v>
      </c>
      <c r="K418" s="152" t="s">
        <v>2705</v>
      </c>
      <c r="L418" s="152" t="s">
        <v>2705</v>
      </c>
      <c r="M418" s="152" t="s">
        <v>1435</v>
      </c>
      <c r="N418" s="152" t="s">
        <v>2705</v>
      </c>
      <c r="O418" s="152" t="s">
        <v>2705</v>
      </c>
      <c r="P418" s="152" t="s">
        <v>2705</v>
      </c>
      <c r="Q418" s="152" t="s">
        <v>2705</v>
      </c>
      <c r="R418" s="152" t="s">
        <v>1435</v>
      </c>
      <c r="S418" s="152" t="s">
        <v>2705</v>
      </c>
      <c r="T418" s="152" t="s">
        <v>2705</v>
      </c>
      <c r="U418" s="152" t="s">
        <v>2705</v>
      </c>
    </row>
    <row r="419" spans="1:21" s="142" customFormat="1" ht="12.75" customHeight="1" x14ac:dyDescent="0.2">
      <c r="A419" s="151" t="s">
        <v>7526</v>
      </c>
      <c r="B419" s="152" t="s">
        <v>2705</v>
      </c>
      <c r="C419" s="152" t="s">
        <v>2705</v>
      </c>
      <c r="D419" s="152" t="s">
        <v>2398</v>
      </c>
      <c r="E419" s="152" t="s">
        <v>1435</v>
      </c>
      <c r="F419" s="152" t="s">
        <v>2398</v>
      </c>
      <c r="G419" s="152" t="s">
        <v>2705</v>
      </c>
      <c r="H419" s="152" t="s">
        <v>1435</v>
      </c>
      <c r="I419" s="152" t="s">
        <v>2705</v>
      </c>
      <c r="J419" s="152" t="s">
        <v>2675</v>
      </c>
      <c r="K419" s="152" t="s">
        <v>2705</v>
      </c>
      <c r="L419" s="152" t="s">
        <v>1435</v>
      </c>
      <c r="M419" s="152" t="s">
        <v>2705</v>
      </c>
      <c r="N419" s="152" t="s">
        <v>2705</v>
      </c>
      <c r="O419" s="152" t="s">
        <v>2675</v>
      </c>
      <c r="P419" s="152" t="s">
        <v>2705</v>
      </c>
      <c r="Q419" s="152" t="s">
        <v>2705</v>
      </c>
      <c r="R419" s="152" t="s">
        <v>2398</v>
      </c>
      <c r="S419" s="152" t="s">
        <v>2705</v>
      </c>
      <c r="T419" s="152" t="s">
        <v>2397</v>
      </c>
      <c r="U419" s="152" t="s">
        <v>2705</v>
      </c>
    </row>
    <row r="420" spans="1:21" s="142" customFormat="1" ht="12.75" x14ac:dyDescent="0.2">
      <c r="A420" s="151"/>
      <c r="B420" s="152" t="s">
        <v>2398</v>
      </c>
      <c r="C420" s="152" t="s">
        <v>2398</v>
      </c>
      <c r="D420" s="152" t="s">
        <v>2705</v>
      </c>
      <c r="E420" s="152" t="s">
        <v>2705</v>
      </c>
      <c r="F420" s="152" t="s">
        <v>2705</v>
      </c>
      <c r="G420" s="152" t="s">
        <v>2705</v>
      </c>
      <c r="H420" s="152" t="s">
        <v>2398</v>
      </c>
      <c r="I420" s="152" t="s">
        <v>2705</v>
      </c>
      <c r="J420" s="152" t="s">
        <v>2398</v>
      </c>
      <c r="K420" s="152" t="s">
        <v>2705</v>
      </c>
      <c r="L420" s="152" t="s">
        <v>2705</v>
      </c>
      <c r="M420" s="152" t="s">
        <v>2398</v>
      </c>
      <c r="N420" s="152" t="s">
        <v>2705</v>
      </c>
      <c r="O420" s="152" t="s">
        <v>2705</v>
      </c>
      <c r="P420" s="152" t="s">
        <v>2705</v>
      </c>
      <c r="Q420" s="152" t="s">
        <v>2705</v>
      </c>
      <c r="R420" s="152" t="s">
        <v>2705</v>
      </c>
      <c r="S420" s="152" t="s">
        <v>2705</v>
      </c>
      <c r="T420" s="152" t="s">
        <v>2398</v>
      </c>
      <c r="U420" s="152" t="s">
        <v>2398</v>
      </c>
    </row>
    <row r="421" spans="1:21" s="142" customFormat="1" ht="12.75" customHeight="1" x14ac:dyDescent="0.2">
      <c r="A421" s="151" t="s">
        <v>7527</v>
      </c>
      <c r="B421" s="152" t="s">
        <v>2705</v>
      </c>
      <c r="C421" s="152" t="s">
        <v>2398</v>
      </c>
      <c r="D421" s="152" t="s">
        <v>2705</v>
      </c>
      <c r="E421" s="152" t="s">
        <v>2705</v>
      </c>
      <c r="F421" s="152" t="s">
        <v>2705</v>
      </c>
      <c r="G421" s="152" t="s">
        <v>2705</v>
      </c>
      <c r="H421" s="152" t="s">
        <v>1435</v>
      </c>
      <c r="I421" s="152" t="s">
        <v>2705</v>
      </c>
      <c r="J421" s="152" t="s">
        <v>2675</v>
      </c>
      <c r="K421" s="152" t="s">
        <v>1435</v>
      </c>
      <c r="L421" s="152" t="s">
        <v>2398</v>
      </c>
      <c r="M421" s="152" t="s">
        <v>2705</v>
      </c>
      <c r="N421" s="152" t="s">
        <v>2705</v>
      </c>
      <c r="O421" s="152" t="s">
        <v>2705</v>
      </c>
      <c r="P421" s="152" t="s">
        <v>2705</v>
      </c>
      <c r="Q421" s="152" t="s">
        <v>2675</v>
      </c>
      <c r="R421" s="152" t="s">
        <v>2705</v>
      </c>
      <c r="S421" s="152" t="s">
        <v>2398</v>
      </c>
      <c r="T421" s="152" t="s">
        <v>2675</v>
      </c>
      <c r="U421" s="152" t="s">
        <v>2675</v>
      </c>
    </row>
    <row r="422" spans="1:21" s="142" customFormat="1" ht="12.75" x14ac:dyDescent="0.2">
      <c r="A422" s="151"/>
      <c r="B422" s="152" t="s">
        <v>2705</v>
      </c>
      <c r="C422" s="152" t="s">
        <v>2675</v>
      </c>
      <c r="D422" s="152" t="s">
        <v>2397</v>
      </c>
      <c r="E422" s="152" t="s">
        <v>2675</v>
      </c>
      <c r="F422" s="152" t="s">
        <v>2705</v>
      </c>
      <c r="G422" s="152" t="s">
        <v>2398</v>
      </c>
      <c r="H422" s="152" t="s">
        <v>2675</v>
      </c>
      <c r="I422" s="152" t="s">
        <v>2705</v>
      </c>
      <c r="J422" s="152" t="s">
        <v>2705</v>
      </c>
      <c r="K422" s="152" t="s">
        <v>2705</v>
      </c>
      <c r="L422" s="152" t="s">
        <v>2705</v>
      </c>
      <c r="M422" s="152" t="s">
        <v>2705</v>
      </c>
      <c r="N422" s="152" t="s">
        <v>2705</v>
      </c>
      <c r="O422" s="152" t="s">
        <v>2705</v>
      </c>
      <c r="P422" s="152" t="s">
        <v>1435</v>
      </c>
      <c r="Q422" s="152" t="s">
        <v>2705</v>
      </c>
      <c r="R422" s="152" t="s">
        <v>2705</v>
      </c>
      <c r="S422" s="152" t="s">
        <v>2705</v>
      </c>
      <c r="T422" s="152" t="s">
        <v>2705</v>
      </c>
      <c r="U422" s="152" t="s">
        <v>2705</v>
      </c>
    </row>
    <row r="423" spans="1:21" s="142" customFormat="1" ht="12.75" customHeight="1" x14ac:dyDescent="0.2">
      <c r="A423" s="151" t="s">
        <v>7528</v>
      </c>
      <c r="B423" s="152" t="s">
        <v>2705</v>
      </c>
      <c r="C423" s="152" t="s">
        <v>2398</v>
      </c>
      <c r="D423" s="152" t="s">
        <v>2398</v>
      </c>
      <c r="E423" s="152" t="s">
        <v>2705</v>
      </c>
      <c r="F423" s="152" t="s">
        <v>2705</v>
      </c>
      <c r="G423" s="152" t="s">
        <v>2398</v>
      </c>
      <c r="H423" s="152" t="s">
        <v>1435</v>
      </c>
      <c r="I423" s="152" t="s">
        <v>2705</v>
      </c>
      <c r="J423" s="152" t="s">
        <v>2705</v>
      </c>
      <c r="K423" s="152" t="s">
        <v>2398</v>
      </c>
      <c r="L423" s="152" t="s">
        <v>2705</v>
      </c>
      <c r="M423" s="152" t="s">
        <v>2705</v>
      </c>
      <c r="N423" s="152" t="s">
        <v>1435</v>
      </c>
      <c r="O423" s="152" t="s">
        <v>2705</v>
      </c>
      <c r="P423" s="152" t="s">
        <v>1435</v>
      </c>
      <c r="Q423" s="152" t="s">
        <v>2705</v>
      </c>
      <c r="R423" s="152" t="s">
        <v>1435</v>
      </c>
      <c r="S423" s="152" t="s">
        <v>2705</v>
      </c>
      <c r="T423" s="152" t="s">
        <v>2398</v>
      </c>
      <c r="U423" s="152" t="s">
        <v>2675</v>
      </c>
    </row>
    <row r="424" spans="1:21" s="142" customFormat="1" ht="12.75" x14ac:dyDescent="0.2">
      <c r="A424" s="151"/>
      <c r="B424" s="152" t="s">
        <v>1435</v>
      </c>
      <c r="C424" s="152" t="s">
        <v>2398</v>
      </c>
      <c r="D424" s="152" t="s">
        <v>2397</v>
      </c>
      <c r="E424" s="152" t="s">
        <v>2675</v>
      </c>
      <c r="F424" s="152" t="s">
        <v>2675</v>
      </c>
      <c r="G424" s="152" t="s">
        <v>2705</v>
      </c>
      <c r="H424" s="152" t="s">
        <v>1435</v>
      </c>
      <c r="I424" s="152" t="s">
        <v>2675</v>
      </c>
      <c r="J424" s="152" t="s">
        <v>2397</v>
      </c>
      <c r="K424" s="152" t="s">
        <v>2705</v>
      </c>
      <c r="L424" s="152" t="s">
        <v>2705</v>
      </c>
      <c r="M424" s="152" t="s">
        <v>2705</v>
      </c>
      <c r="N424" s="152" t="s">
        <v>2705</v>
      </c>
      <c r="O424" s="152" t="s">
        <v>2397</v>
      </c>
      <c r="P424" s="152" t="s">
        <v>2398</v>
      </c>
      <c r="Q424" s="152" t="s">
        <v>2705</v>
      </c>
      <c r="R424" s="152" t="s">
        <v>1435</v>
      </c>
      <c r="S424" s="152" t="s">
        <v>2398</v>
      </c>
      <c r="T424" s="152" t="s">
        <v>2705</v>
      </c>
      <c r="U424" s="152" t="s">
        <v>2397</v>
      </c>
    </row>
    <row r="425" spans="1:21" s="142" customFormat="1" ht="12.75" customHeight="1" x14ac:dyDescent="0.2">
      <c r="A425" s="151" t="s">
        <v>7529</v>
      </c>
      <c r="B425" s="152" t="s">
        <v>2705</v>
      </c>
      <c r="C425" s="152" t="s">
        <v>2705</v>
      </c>
      <c r="D425" s="152" t="s">
        <v>2705</v>
      </c>
      <c r="E425" s="152" t="s">
        <v>2705</v>
      </c>
      <c r="F425" s="152" t="s">
        <v>2705</v>
      </c>
      <c r="G425" s="152" t="s">
        <v>1435</v>
      </c>
      <c r="H425" s="152" t="s">
        <v>2705</v>
      </c>
      <c r="I425" s="152" t="s">
        <v>2705</v>
      </c>
      <c r="J425" s="152" t="s">
        <v>2705</v>
      </c>
      <c r="K425" s="152" t="s">
        <v>2705</v>
      </c>
      <c r="L425" s="152" t="s">
        <v>2705</v>
      </c>
      <c r="M425" s="152" t="s">
        <v>2705</v>
      </c>
      <c r="N425" s="152" t="s">
        <v>2705</v>
      </c>
      <c r="O425" s="152" t="s">
        <v>1435</v>
      </c>
      <c r="P425" s="152" t="s">
        <v>2705</v>
      </c>
      <c r="Q425" s="152" t="s">
        <v>2705</v>
      </c>
      <c r="R425" s="152" t="s">
        <v>2705</v>
      </c>
      <c r="S425" s="152" t="s">
        <v>2705</v>
      </c>
      <c r="T425" s="152" t="s">
        <v>2705</v>
      </c>
      <c r="U425" s="152" t="s">
        <v>2705</v>
      </c>
    </row>
    <row r="426" spans="1:21" s="142" customFormat="1" ht="12.75" x14ac:dyDescent="0.2">
      <c r="A426" s="151"/>
      <c r="B426" s="152" t="s">
        <v>2705</v>
      </c>
      <c r="C426" s="152" t="s">
        <v>2705</v>
      </c>
      <c r="D426" s="152" t="s">
        <v>1435</v>
      </c>
      <c r="E426" s="152" t="s">
        <v>2705</v>
      </c>
      <c r="F426" s="152" t="s">
        <v>2705</v>
      </c>
      <c r="G426" s="152" t="s">
        <v>1435</v>
      </c>
      <c r="H426" s="152" t="s">
        <v>2705</v>
      </c>
      <c r="I426" s="152" t="s">
        <v>2705</v>
      </c>
      <c r="J426" s="152" t="s">
        <v>2705</v>
      </c>
      <c r="K426" s="152" t="s">
        <v>2705</v>
      </c>
      <c r="L426" s="152" t="s">
        <v>2705</v>
      </c>
      <c r="M426" s="152" t="s">
        <v>2705</v>
      </c>
      <c r="N426" s="152" t="s">
        <v>2705</v>
      </c>
      <c r="O426" s="152" t="s">
        <v>2705</v>
      </c>
      <c r="P426" s="152" t="s">
        <v>2705</v>
      </c>
      <c r="Q426" s="152" t="s">
        <v>2705</v>
      </c>
      <c r="R426" s="152" t="s">
        <v>2705</v>
      </c>
      <c r="S426" s="152" t="s">
        <v>2705</v>
      </c>
      <c r="T426" s="152" t="s">
        <v>2705</v>
      </c>
      <c r="U426" s="152" t="s">
        <v>2705</v>
      </c>
    </row>
    <row r="427" spans="1:21" s="142" customFormat="1" ht="12.75" customHeight="1" x14ac:dyDescent="0.2">
      <c r="A427" s="151" t="s">
        <v>7530</v>
      </c>
      <c r="B427" s="152" t="s">
        <v>2705</v>
      </c>
      <c r="C427" s="152" t="s">
        <v>2705</v>
      </c>
      <c r="D427" s="152" t="s">
        <v>2705</v>
      </c>
      <c r="E427" s="152" t="s">
        <v>2398</v>
      </c>
      <c r="F427" s="152" t="s">
        <v>2398</v>
      </c>
      <c r="G427" s="152" t="s">
        <v>1435</v>
      </c>
      <c r="H427" s="152" t="s">
        <v>1435</v>
      </c>
      <c r="I427" s="152" t="s">
        <v>2705</v>
      </c>
      <c r="J427" s="152" t="s">
        <v>2675</v>
      </c>
      <c r="K427" s="152" t="s">
        <v>2705</v>
      </c>
      <c r="L427" s="152" t="s">
        <v>2705</v>
      </c>
      <c r="M427" s="152" t="s">
        <v>2705</v>
      </c>
      <c r="N427" s="152" t="s">
        <v>2705</v>
      </c>
      <c r="O427" s="152" t="s">
        <v>2705</v>
      </c>
      <c r="P427" s="152" t="s">
        <v>2705</v>
      </c>
      <c r="Q427" s="152" t="s">
        <v>2398</v>
      </c>
      <c r="R427" s="152" t="s">
        <v>2705</v>
      </c>
      <c r="S427" s="152" t="s">
        <v>2398</v>
      </c>
      <c r="T427" s="152" t="s">
        <v>2398</v>
      </c>
      <c r="U427" s="152" t="s">
        <v>2705</v>
      </c>
    </row>
    <row r="428" spans="1:21" s="142" customFormat="1" ht="12.75" x14ac:dyDescent="0.2">
      <c r="A428" s="151"/>
      <c r="B428" s="152" t="s">
        <v>2705</v>
      </c>
      <c r="C428" s="152" t="s">
        <v>2705</v>
      </c>
      <c r="D428" s="152" t="s">
        <v>2705</v>
      </c>
      <c r="E428" s="152" t="s">
        <v>2398</v>
      </c>
      <c r="F428" s="152" t="s">
        <v>2675</v>
      </c>
      <c r="G428" s="152" t="s">
        <v>2705</v>
      </c>
      <c r="H428" s="152" t="s">
        <v>2675</v>
      </c>
      <c r="I428" s="152" t="s">
        <v>2705</v>
      </c>
      <c r="J428" s="152" t="s">
        <v>2705</v>
      </c>
      <c r="K428" s="152" t="s">
        <v>2705</v>
      </c>
      <c r="L428" s="152" t="s">
        <v>2398</v>
      </c>
      <c r="M428" s="152" t="s">
        <v>2705</v>
      </c>
      <c r="N428" s="152" t="s">
        <v>2705</v>
      </c>
      <c r="O428" s="152" t="s">
        <v>2398</v>
      </c>
      <c r="P428" s="152" t="s">
        <v>2705</v>
      </c>
      <c r="Q428" s="152" t="s">
        <v>2705</v>
      </c>
      <c r="R428" s="152" t="s">
        <v>2398</v>
      </c>
      <c r="S428" s="152" t="s">
        <v>2675</v>
      </c>
      <c r="T428" s="152" t="s">
        <v>2705</v>
      </c>
      <c r="U428" s="152" t="s">
        <v>2705</v>
      </c>
    </row>
    <row r="429" spans="1:21" s="142" customFormat="1" ht="12.75" customHeight="1" x14ac:dyDescent="0.2">
      <c r="A429" s="151" t="s">
        <v>7531</v>
      </c>
      <c r="B429" s="152" t="s">
        <v>2397</v>
      </c>
      <c r="C429" s="152" t="s">
        <v>2398</v>
      </c>
      <c r="D429" s="152" t="s">
        <v>2705</v>
      </c>
      <c r="E429" s="152" t="s">
        <v>2705</v>
      </c>
      <c r="F429" s="152" t="s">
        <v>2397</v>
      </c>
      <c r="G429" s="152" t="s">
        <v>2705</v>
      </c>
      <c r="H429" s="152" t="s">
        <v>2705</v>
      </c>
      <c r="I429" s="152" t="s">
        <v>2705</v>
      </c>
      <c r="J429" s="152" t="s">
        <v>2398</v>
      </c>
      <c r="K429" s="152" t="s">
        <v>2397</v>
      </c>
      <c r="L429" s="152" t="s">
        <v>2675</v>
      </c>
      <c r="M429" s="152" t="s">
        <v>2675</v>
      </c>
      <c r="N429" s="152" t="s">
        <v>2398</v>
      </c>
      <c r="O429" s="152" t="s">
        <v>2705</v>
      </c>
      <c r="P429" s="152" t="s">
        <v>2398</v>
      </c>
      <c r="Q429" s="152" t="s">
        <v>1435</v>
      </c>
      <c r="R429" s="152" t="s">
        <v>2398</v>
      </c>
      <c r="S429" s="152" t="s">
        <v>2675</v>
      </c>
      <c r="T429" s="152" t="s">
        <v>2398</v>
      </c>
      <c r="U429" s="152" t="s">
        <v>2675</v>
      </c>
    </row>
    <row r="430" spans="1:21" s="142" customFormat="1" ht="12.75" x14ac:dyDescent="0.2">
      <c r="A430" s="151"/>
      <c r="B430" s="152" t="s">
        <v>2398</v>
      </c>
      <c r="C430" s="152" t="s">
        <v>2398</v>
      </c>
      <c r="D430" s="152" t="s">
        <v>2398</v>
      </c>
      <c r="E430" s="152" t="s">
        <v>2675</v>
      </c>
      <c r="F430" s="152" t="s">
        <v>2398</v>
      </c>
      <c r="G430" s="152" t="s">
        <v>2705</v>
      </c>
      <c r="H430" s="152" t="s">
        <v>2705</v>
      </c>
      <c r="I430" s="152" t="s">
        <v>2675</v>
      </c>
      <c r="J430" s="152" t="s">
        <v>2398</v>
      </c>
      <c r="K430" s="152" t="s">
        <v>1435</v>
      </c>
      <c r="L430" s="152" t="s">
        <v>2675</v>
      </c>
      <c r="M430" s="152" t="s">
        <v>2705</v>
      </c>
      <c r="N430" s="152" t="s">
        <v>2705</v>
      </c>
      <c r="O430" s="152" t="s">
        <v>2705</v>
      </c>
      <c r="P430" s="152" t="s">
        <v>2705</v>
      </c>
      <c r="Q430" s="152" t="s">
        <v>2398</v>
      </c>
      <c r="R430" s="152" t="s">
        <v>2398</v>
      </c>
      <c r="S430" s="152" t="s">
        <v>2705</v>
      </c>
      <c r="T430" s="152" t="s">
        <v>2705</v>
      </c>
      <c r="U430" s="152" t="s">
        <v>2398</v>
      </c>
    </row>
    <row r="431" spans="1:21" s="142" customFormat="1" ht="12.75" customHeight="1" x14ac:dyDescent="0.2">
      <c r="A431" s="151" t="s">
        <v>7532</v>
      </c>
      <c r="B431" s="152" t="s">
        <v>2398</v>
      </c>
      <c r="C431" s="152" t="s">
        <v>2705</v>
      </c>
      <c r="D431" s="152" t="s">
        <v>2398</v>
      </c>
      <c r="E431" s="152" t="s">
        <v>2398</v>
      </c>
      <c r="F431" s="152" t="s">
        <v>2397</v>
      </c>
      <c r="G431" s="152" t="s">
        <v>2705</v>
      </c>
      <c r="H431" s="152" t="s">
        <v>2705</v>
      </c>
      <c r="I431" s="152" t="s">
        <v>2398</v>
      </c>
      <c r="J431" s="152" t="s">
        <v>2675</v>
      </c>
      <c r="K431" s="152" t="s">
        <v>2705</v>
      </c>
      <c r="L431" s="152" t="s">
        <v>2398</v>
      </c>
      <c r="M431" s="152" t="s">
        <v>1435</v>
      </c>
      <c r="N431" s="152" t="s">
        <v>2398</v>
      </c>
      <c r="O431" s="152" t="s">
        <v>2705</v>
      </c>
      <c r="P431" s="152" t="s">
        <v>1435</v>
      </c>
      <c r="Q431" s="152" t="s">
        <v>2705</v>
      </c>
      <c r="R431" s="152" t="s">
        <v>2705</v>
      </c>
      <c r="S431" s="152" t="s">
        <v>2705</v>
      </c>
      <c r="T431" s="152" t="s">
        <v>2398</v>
      </c>
      <c r="U431" s="152" t="s">
        <v>2705</v>
      </c>
    </row>
    <row r="432" spans="1:21" s="142" customFormat="1" ht="12.75" x14ac:dyDescent="0.2">
      <c r="A432" s="151"/>
      <c r="B432" s="152" t="s">
        <v>2675</v>
      </c>
      <c r="C432" s="152" t="s">
        <v>2398</v>
      </c>
      <c r="D432" s="152" t="s">
        <v>2398</v>
      </c>
      <c r="E432" s="152" t="s">
        <v>2675</v>
      </c>
      <c r="F432" s="152" t="s">
        <v>2705</v>
      </c>
      <c r="G432" s="152" t="s">
        <v>2705</v>
      </c>
      <c r="H432" s="152" t="s">
        <v>2398</v>
      </c>
      <c r="I432" s="152" t="s">
        <v>1435</v>
      </c>
      <c r="J432" s="152" t="s">
        <v>2398</v>
      </c>
      <c r="K432" s="152" t="s">
        <v>2705</v>
      </c>
      <c r="L432" s="152" t="s">
        <v>2705</v>
      </c>
      <c r="M432" s="152" t="s">
        <v>2705</v>
      </c>
      <c r="N432" s="152" t="s">
        <v>2705</v>
      </c>
      <c r="O432" s="152" t="s">
        <v>1435</v>
      </c>
      <c r="P432" s="152" t="s">
        <v>2705</v>
      </c>
      <c r="Q432" s="152" t="s">
        <v>2705</v>
      </c>
      <c r="R432" s="152" t="s">
        <v>2398</v>
      </c>
      <c r="S432" s="152" t="s">
        <v>2705</v>
      </c>
      <c r="T432" s="152" t="s">
        <v>2705</v>
      </c>
      <c r="U432" s="152" t="s">
        <v>2398</v>
      </c>
    </row>
    <row r="433" spans="1:21" s="142" customFormat="1" ht="12.75" customHeight="1" x14ac:dyDescent="0.2">
      <c r="A433" s="151" t="s">
        <v>7533</v>
      </c>
      <c r="B433" s="152" t="s">
        <v>2705</v>
      </c>
      <c r="C433" s="152" t="s">
        <v>2705</v>
      </c>
      <c r="D433" s="152" t="s">
        <v>2705</v>
      </c>
      <c r="E433" s="152" t="s">
        <v>1435</v>
      </c>
      <c r="F433" s="152" t="s">
        <v>2705</v>
      </c>
      <c r="G433" s="152" t="s">
        <v>2705</v>
      </c>
      <c r="H433" s="152" t="s">
        <v>2705</v>
      </c>
      <c r="I433" s="152" t="s">
        <v>2705</v>
      </c>
      <c r="J433" s="152" t="s">
        <v>2705</v>
      </c>
      <c r="K433" s="152" t="s">
        <v>1435</v>
      </c>
      <c r="L433" s="152" t="s">
        <v>2705</v>
      </c>
      <c r="M433" s="152" t="s">
        <v>2705</v>
      </c>
      <c r="N433" s="152" t="s">
        <v>2675</v>
      </c>
      <c r="O433" s="152" t="s">
        <v>2398</v>
      </c>
      <c r="P433" s="152" t="s">
        <v>2705</v>
      </c>
      <c r="Q433" s="152" t="s">
        <v>1435</v>
      </c>
      <c r="R433" s="152" t="s">
        <v>2675</v>
      </c>
      <c r="S433" s="152" t="s">
        <v>2398</v>
      </c>
      <c r="T433" s="152" t="s">
        <v>2397</v>
      </c>
      <c r="U433" s="152" t="s">
        <v>2705</v>
      </c>
    </row>
    <row r="434" spans="1:21" s="142" customFormat="1" ht="12.75" x14ac:dyDescent="0.2">
      <c r="A434" s="151"/>
      <c r="B434" s="152" t="s">
        <v>2397</v>
      </c>
      <c r="C434" s="152" t="s">
        <v>1435</v>
      </c>
      <c r="D434" s="152" t="s">
        <v>2705</v>
      </c>
      <c r="E434" s="152" t="s">
        <v>2705</v>
      </c>
      <c r="F434" s="152" t="s">
        <v>2398</v>
      </c>
      <c r="G434" s="152" t="s">
        <v>2705</v>
      </c>
      <c r="H434" s="152" t="s">
        <v>1435</v>
      </c>
      <c r="I434" s="152" t="s">
        <v>2705</v>
      </c>
      <c r="J434" s="152" t="s">
        <v>2705</v>
      </c>
      <c r="K434" s="152" t="s">
        <v>2398</v>
      </c>
      <c r="L434" s="152" t="s">
        <v>2705</v>
      </c>
      <c r="M434" s="152" t="s">
        <v>2398</v>
      </c>
      <c r="N434" s="152" t="s">
        <v>1435</v>
      </c>
      <c r="O434" s="152" t="s">
        <v>2705</v>
      </c>
      <c r="P434" s="152" t="s">
        <v>2705</v>
      </c>
      <c r="Q434" s="152" t="s">
        <v>2705</v>
      </c>
      <c r="R434" s="152" t="s">
        <v>2398</v>
      </c>
      <c r="S434" s="152" t="s">
        <v>2705</v>
      </c>
      <c r="T434" s="152" t="s">
        <v>2398</v>
      </c>
      <c r="U434" s="152" t="s">
        <v>2705</v>
      </c>
    </row>
    <row r="435" spans="1:21" s="142" customFormat="1" ht="12.75" customHeight="1" x14ac:dyDescent="0.2">
      <c r="A435" s="151" t="s">
        <v>7534</v>
      </c>
      <c r="B435" s="152" t="s">
        <v>2705</v>
      </c>
      <c r="C435" s="152" t="s">
        <v>2705</v>
      </c>
      <c r="D435" s="152" t="s">
        <v>2675</v>
      </c>
      <c r="E435" s="152" t="s">
        <v>2705</v>
      </c>
      <c r="F435" s="152" t="s">
        <v>2705</v>
      </c>
      <c r="G435" s="152" t="s">
        <v>2705</v>
      </c>
      <c r="H435" s="152" t="s">
        <v>2705</v>
      </c>
      <c r="I435" s="152" t="s">
        <v>2705</v>
      </c>
      <c r="J435" s="152" t="s">
        <v>2705</v>
      </c>
      <c r="K435" s="152" t="s">
        <v>2705</v>
      </c>
      <c r="L435" s="152" t="s">
        <v>2705</v>
      </c>
      <c r="M435" s="152" t="s">
        <v>2705</v>
      </c>
      <c r="N435" s="152" t="s">
        <v>2705</v>
      </c>
      <c r="O435" s="152" t="s">
        <v>1435</v>
      </c>
      <c r="P435" s="152" t="s">
        <v>2397</v>
      </c>
      <c r="Q435" s="152" t="s">
        <v>2705</v>
      </c>
      <c r="R435" s="152" t="s">
        <v>2675</v>
      </c>
      <c r="S435" s="152" t="s">
        <v>2397</v>
      </c>
      <c r="T435" s="152" t="s">
        <v>2705</v>
      </c>
      <c r="U435" s="152" t="s">
        <v>2705</v>
      </c>
    </row>
    <row r="436" spans="1:21" s="142" customFormat="1" ht="12.75" x14ac:dyDescent="0.2">
      <c r="A436" s="151"/>
      <c r="B436" s="152" t="s">
        <v>2398</v>
      </c>
      <c r="C436" s="152" t="s">
        <v>2398</v>
      </c>
      <c r="D436" s="152" t="s">
        <v>2705</v>
      </c>
      <c r="E436" s="152" t="s">
        <v>2705</v>
      </c>
      <c r="F436" s="152" t="s">
        <v>2398</v>
      </c>
      <c r="G436" s="152" t="s">
        <v>2705</v>
      </c>
      <c r="H436" s="152" t="s">
        <v>2398</v>
      </c>
      <c r="I436" s="152" t="s">
        <v>2705</v>
      </c>
      <c r="J436" s="152" t="s">
        <v>2675</v>
      </c>
      <c r="K436" s="152" t="s">
        <v>2398</v>
      </c>
      <c r="L436" s="152" t="s">
        <v>2705</v>
      </c>
      <c r="M436" s="152" t="s">
        <v>2398</v>
      </c>
      <c r="N436" s="152" t="s">
        <v>1435</v>
      </c>
      <c r="O436" s="152" t="s">
        <v>2705</v>
      </c>
      <c r="P436" s="152" t="s">
        <v>2398</v>
      </c>
      <c r="Q436" s="152" t="s">
        <v>2705</v>
      </c>
      <c r="R436" s="152" t="s">
        <v>2705</v>
      </c>
      <c r="S436" s="152" t="s">
        <v>2398</v>
      </c>
      <c r="T436" s="152" t="s">
        <v>2398</v>
      </c>
      <c r="U436" s="152" t="s">
        <v>2398</v>
      </c>
    </row>
    <row r="437" spans="1:21" s="142" customFormat="1" ht="12.75" customHeight="1" x14ac:dyDescent="0.2">
      <c r="A437" s="151" t="s">
        <v>7535</v>
      </c>
      <c r="B437" s="152" t="s">
        <v>2398</v>
      </c>
      <c r="C437" s="152" t="s">
        <v>2705</v>
      </c>
      <c r="D437" s="152" t="s">
        <v>2398</v>
      </c>
      <c r="E437" s="152" t="s">
        <v>1435</v>
      </c>
      <c r="F437" s="152" t="s">
        <v>2705</v>
      </c>
      <c r="G437" s="152" t="s">
        <v>2705</v>
      </c>
      <c r="H437" s="152" t="s">
        <v>2705</v>
      </c>
      <c r="I437" s="152" t="s">
        <v>2398</v>
      </c>
      <c r="J437" s="152" t="s">
        <v>2398</v>
      </c>
      <c r="K437" s="152" t="s">
        <v>2705</v>
      </c>
      <c r="L437" s="152" t="s">
        <v>2398</v>
      </c>
      <c r="M437" s="152" t="s">
        <v>2705</v>
      </c>
      <c r="N437" s="152" t="s">
        <v>2398</v>
      </c>
      <c r="O437" s="152" t="s">
        <v>2705</v>
      </c>
      <c r="P437" s="152" t="s">
        <v>2705</v>
      </c>
      <c r="Q437" s="152" t="s">
        <v>2705</v>
      </c>
      <c r="R437" s="152" t="s">
        <v>2398</v>
      </c>
      <c r="S437" s="152" t="s">
        <v>2705</v>
      </c>
      <c r="T437" s="152" t="s">
        <v>2705</v>
      </c>
      <c r="U437" s="152" t="s">
        <v>2705</v>
      </c>
    </row>
    <row r="438" spans="1:21" s="142" customFormat="1" ht="12.75" x14ac:dyDescent="0.2">
      <c r="A438" s="151"/>
      <c r="B438" s="152" t="s">
        <v>2398</v>
      </c>
      <c r="C438" s="152" t="s">
        <v>2398</v>
      </c>
      <c r="D438" s="152" t="s">
        <v>2705</v>
      </c>
      <c r="E438" s="152" t="s">
        <v>2705</v>
      </c>
      <c r="F438" s="152" t="s">
        <v>2705</v>
      </c>
      <c r="G438" s="152" t="s">
        <v>2398</v>
      </c>
      <c r="H438" s="152" t="s">
        <v>2705</v>
      </c>
      <c r="I438" s="152" t="s">
        <v>2398</v>
      </c>
      <c r="J438" s="152" t="s">
        <v>2398</v>
      </c>
      <c r="K438" s="152" t="s">
        <v>2705</v>
      </c>
      <c r="L438" s="152" t="s">
        <v>2705</v>
      </c>
      <c r="M438" s="152" t="s">
        <v>2705</v>
      </c>
      <c r="N438" s="152" t="s">
        <v>2705</v>
      </c>
      <c r="O438" s="152" t="s">
        <v>2705</v>
      </c>
      <c r="P438" s="152" t="s">
        <v>2398</v>
      </c>
      <c r="Q438" s="152" t="s">
        <v>2705</v>
      </c>
      <c r="R438" s="152" t="s">
        <v>2705</v>
      </c>
      <c r="S438" s="152" t="s">
        <v>2705</v>
      </c>
      <c r="T438" s="152" t="s">
        <v>2705</v>
      </c>
      <c r="U438" s="152" t="s">
        <v>2705</v>
      </c>
    </row>
    <row r="439" spans="1:21" s="142" customFormat="1" ht="12.75" customHeight="1" x14ac:dyDescent="0.2">
      <c r="A439" s="151" t="s">
        <v>7536</v>
      </c>
      <c r="B439" s="152" t="s">
        <v>2705</v>
      </c>
      <c r="C439" s="152" t="s">
        <v>2675</v>
      </c>
      <c r="D439" s="152" t="s">
        <v>2398</v>
      </c>
      <c r="E439" s="152" t="s">
        <v>2705</v>
      </c>
      <c r="F439" s="152" t="s">
        <v>2675</v>
      </c>
      <c r="G439" s="152" t="s">
        <v>2705</v>
      </c>
      <c r="H439" s="152" t="s">
        <v>2398</v>
      </c>
      <c r="I439" s="152" t="s">
        <v>2675</v>
      </c>
      <c r="J439" s="152" t="s">
        <v>2675</v>
      </c>
      <c r="K439" s="152" t="s">
        <v>2705</v>
      </c>
      <c r="L439" s="152" t="s">
        <v>1435</v>
      </c>
      <c r="M439" s="152" t="s">
        <v>2398</v>
      </c>
      <c r="N439" s="152" t="s">
        <v>2705</v>
      </c>
      <c r="O439" s="152" t="s">
        <v>2397</v>
      </c>
      <c r="P439" s="152" t="s">
        <v>2398</v>
      </c>
      <c r="Q439" s="152" t="s">
        <v>2705</v>
      </c>
      <c r="R439" s="152" t="s">
        <v>2398</v>
      </c>
      <c r="S439" s="152" t="s">
        <v>2675</v>
      </c>
      <c r="T439" s="152" t="s">
        <v>2705</v>
      </c>
      <c r="U439" s="152" t="s">
        <v>2705</v>
      </c>
    </row>
    <row r="440" spans="1:21" s="142" customFormat="1" ht="12.75" x14ac:dyDescent="0.2">
      <c r="A440" s="151"/>
      <c r="B440" s="152" t="s">
        <v>2705</v>
      </c>
      <c r="C440" s="152" t="s">
        <v>2398</v>
      </c>
      <c r="D440" s="152" t="s">
        <v>2675</v>
      </c>
      <c r="E440" s="152" t="s">
        <v>2398</v>
      </c>
      <c r="F440" s="152" t="s">
        <v>2398</v>
      </c>
      <c r="G440" s="152" t="s">
        <v>2398</v>
      </c>
      <c r="H440" s="152" t="s">
        <v>2398</v>
      </c>
      <c r="I440" s="152" t="s">
        <v>1435</v>
      </c>
      <c r="J440" s="152" t="s">
        <v>2397</v>
      </c>
      <c r="K440" s="152" t="s">
        <v>2705</v>
      </c>
      <c r="L440" s="152" t="s">
        <v>2398</v>
      </c>
      <c r="M440" s="152" t="s">
        <v>2398</v>
      </c>
      <c r="N440" s="152" t="s">
        <v>2705</v>
      </c>
      <c r="O440" s="152" t="s">
        <v>2398</v>
      </c>
      <c r="P440" s="152" t="s">
        <v>2705</v>
      </c>
      <c r="Q440" s="152" t="s">
        <v>2705</v>
      </c>
      <c r="R440" s="152" t="s">
        <v>2398</v>
      </c>
      <c r="S440" s="152" t="s">
        <v>2705</v>
      </c>
      <c r="T440" s="152" t="s">
        <v>2705</v>
      </c>
      <c r="U440" s="152" t="s">
        <v>2675</v>
      </c>
    </row>
    <row r="441" spans="1:21" s="142" customFormat="1" ht="12.75" customHeight="1" x14ac:dyDescent="0.2">
      <c r="A441" s="151" t="s">
        <v>7537</v>
      </c>
      <c r="B441" s="152" t="s">
        <v>1435</v>
      </c>
      <c r="C441" s="152" t="s">
        <v>2705</v>
      </c>
      <c r="D441" s="152" t="s">
        <v>2675</v>
      </c>
      <c r="E441" s="152" t="s">
        <v>2398</v>
      </c>
      <c r="F441" s="152" t="s">
        <v>2705</v>
      </c>
      <c r="G441" s="152" t="s">
        <v>2705</v>
      </c>
      <c r="H441" s="152" t="s">
        <v>1435</v>
      </c>
      <c r="I441" s="152" t="s">
        <v>2398</v>
      </c>
      <c r="J441" s="152" t="s">
        <v>2705</v>
      </c>
      <c r="K441" s="152" t="s">
        <v>2398</v>
      </c>
      <c r="L441" s="152" t="s">
        <v>2398</v>
      </c>
      <c r="M441" s="152" t="s">
        <v>2675</v>
      </c>
      <c r="N441" s="152" t="s">
        <v>2705</v>
      </c>
      <c r="O441" s="152" t="s">
        <v>2705</v>
      </c>
      <c r="P441" s="152" t="s">
        <v>2397</v>
      </c>
      <c r="Q441" s="152" t="s">
        <v>2675</v>
      </c>
      <c r="R441" s="152" t="s">
        <v>2705</v>
      </c>
      <c r="S441" s="152" t="s">
        <v>2705</v>
      </c>
      <c r="T441" s="152" t="s">
        <v>2398</v>
      </c>
      <c r="U441" s="152" t="s">
        <v>2705</v>
      </c>
    </row>
    <row r="442" spans="1:21" s="142" customFormat="1" ht="12.75" x14ac:dyDescent="0.2">
      <c r="A442" s="151"/>
      <c r="B442" s="152" t="s">
        <v>2705</v>
      </c>
      <c r="C442" s="152" t="s">
        <v>2397</v>
      </c>
      <c r="D442" s="152" t="s">
        <v>2705</v>
      </c>
      <c r="E442" s="152" t="s">
        <v>2675</v>
      </c>
      <c r="F442" s="152" t="s">
        <v>2398</v>
      </c>
      <c r="G442" s="152" t="s">
        <v>2705</v>
      </c>
      <c r="H442" s="152" t="s">
        <v>2705</v>
      </c>
      <c r="I442" s="152" t="s">
        <v>2705</v>
      </c>
      <c r="J442" s="152" t="s">
        <v>2398</v>
      </c>
      <c r="K442" s="152" t="s">
        <v>1435</v>
      </c>
      <c r="L442" s="152" t="s">
        <v>2398</v>
      </c>
      <c r="M442" s="152" t="s">
        <v>1435</v>
      </c>
      <c r="N442" s="152" t="s">
        <v>2675</v>
      </c>
      <c r="O442" s="152" t="s">
        <v>2397</v>
      </c>
      <c r="P442" s="152" t="s">
        <v>1435</v>
      </c>
      <c r="Q442" s="152" t="s">
        <v>2398</v>
      </c>
      <c r="R442" s="152" t="s">
        <v>1435</v>
      </c>
      <c r="S442" s="152" t="s">
        <v>2398</v>
      </c>
      <c r="T442" s="152" t="s">
        <v>2675</v>
      </c>
      <c r="U442" s="152" t="s">
        <v>2705</v>
      </c>
    </row>
    <row r="443" spans="1:21" s="142" customFormat="1" ht="12.75" customHeight="1" x14ac:dyDescent="0.2">
      <c r="A443" s="151" t="s">
        <v>7538</v>
      </c>
      <c r="B443" s="152" t="s">
        <v>2398</v>
      </c>
      <c r="C443" s="152" t="s">
        <v>2398</v>
      </c>
      <c r="D443" s="152" t="s">
        <v>2398</v>
      </c>
      <c r="E443" s="152" t="s">
        <v>1435</v>
      </c>
      <c r="F443" s="152" t="s">
        <v>2705</v>
      </c>
      <c r="G443" s="152" t="s">
        <v>2705</v>
      </c>
      <c r="H443" s="152" t="s">
        <v>1435</v>
      </c>
      <c r="I443" s="152" t="s">
        <v>2398</v>
      </c>
      <c r="J443" s="152" t="s">
        <v>2705</v>
      </c>
      <c r="K443" s="152" t="s">
        <v>2705</v>
      </c>
      <c r="L443" s="152" t="s">
        <v>2398</v>
      </c>
      <c r="M443" s="152" t="s">
        <v>2705</v>
      </c>
      <c r="N443" s="152" t="s">
        <v>2705</v>
      </c>
      <c r="O443" s="152" t="s">
        <v>2675</v>
      </c>
      <c r="P443" s="152" t="s">
        <v>2705</v>
      </c>
      <c r="Q443" s="152" t="s">
        <v>2705</v>
      </c>
      <c r="R443" s="152" t="s">
        <v>1435</v>
      </c>
      <c r="S443" s="152" t="s">
        <v>2705</v>
      </c>
      <c r="T443" s="152" t="s">
        <v>2705</v>
      </c>
      <c r="U443" s="152" t="s">
        <v>2705</v>
      </c>
    </row>
    <row r="444" spans="1:21" s="142" customFormat="1" ht="12.75" x14ac:dyDescent="0.2">
      <c r="A444" s="151"/>
      <c r="B444" s="152" t="s">
        <v>2705</v>
      </c>
      <c r="C444" s="152" t="s">
        <v>2398</v>
      </c>
      <c r="D444" s="152" t="s">
        <v>2398</v>
      </c>
      <c r="E444" s="152" t="s">
        <v>1435</v>
      </c>
      <c r="F444" s="152" t="s">
        <v>2705</v>
      </c>
      <c r="G444" s="152" t="s">
        <v>2675</v>
      </c>
      <c r="H444" s="152" t="s">
        <v>2398</v>
      </c>
      <c r="I444" s="152" t="s">
        <v>2705</v>
      </c>
      <c r="J444" s="152" t="s">
        <v>2398</v>
      </c>
      <c r="K444" s="152" t="s">
        <v>2398</v>
      </c>
      <c r="L444" s="152" t="s">
        <v>2398</v>
      </c>
      <c r="M444" s="152" t="s">
        <v>2705</v>
      </c>
      <c r="N444" s="152" t="s">
        <v>2705</v>
      </c>
      <c r="O444" s="152" t="s">
        <v>2398</v>
      </c>
      <c r="P444" s="152" t="s">
        <v>1435</v>
      </c>
      <c r="Q444" s="152" t="s">
        <v>2398</v>
      </c>
      <c r="R444" s="152" t="s">
        <v>2705</v>
      </c>
      <c r="S444" s="152" t="s">
        <v>2705</v>
      </c>
      <c r="T444" s="152" t="s">
        <v>2398</v>
      </c>
      <c r="U444" s="152" t="s">
        <v>2705</v>
      </c>
    </row>
    <row r="445" spans="1:21" s="142" customFormat="1" ht="12.75" customHeight="1" x14ac:dyDescent="0.2">
      <c r="A445" s="151" t="s">
        <v>7539</v>
      </c>
      <c r="B445" s="152" t="s">
        <v>2398</v>
      </c>
      <c r="C445" s="152" t="s">
        <v>2675</v>
      </c>
      <c r="D445" s="152" t="s">
        <v>2398</v>
      </c>
      <c r="E445" s="152" t="s">
        <v>2398</v>
      </c>
      <c r="F445" s="152" t="s">
        <v>2397</v>
      </c>
      <c r="G445" s="152" t="s">
        <v>2705</v>
      </c>
      <c r="H445" s="152" t="s">
        <v>2398</v>
      </c>
      <c r="I445" s="152" t="s">
        <v>2675</v>
      </c>
      <c r="J445" s="152" t="s">
        <v>2705</v>
      </c>
      <c r="K445" s="152" t="s">
        <v>2705</v>
      </c>
      <c r="L445" s="152" t="s">
        <v>2398</v>
      </c>
      <c r="M445" s="152" t="s">
        <v>2398</v>
      </c>
      <c r="N445" s="152" t="s">
        <v>2675</v>
      </c>
      <c r="O445" s="152" t="s">
        <v>2675</v>
      </c>
      <c r="P445" s="152" t="s">
        <v>1435</v>
      </c>
      <c r="Q445" s="152" t="s">
        <v>1435</v>
      </c>
      <c r="R445" s="152" t="s">
        <v>2398</v>
      </c>
      <c r="S445" s="152" t="s">
        <v>2705</v>
      </c>
      <c r="T445" s="152" t="s">
        <v>2705</v>
      </c>
      <c r="U445" s="152" t="s">
        <v>2705</v>
      </c>
    </row>
    <row r="446" spans="1:21" s="142" customFormat="1" ht="12.75" x14ac:dyDescent="0.2">
      <c r="A446" s="151"/>
      <c r="B446" s="152" t="s">
        <v>2705</v>
      </c>
      <c r="C446" s="152" t="s">
        <v>2675</v>
      </c>
      <c r="D446" s="152" t="s">
        <v>2705</v>
      </c>
      <c r="E446" s="152" t="s">
        <v>2705</v>
      </c>
      <c r="F446" s="152" t="s">
        <v>2705</v>
      </c>
      <c r="G446" s="152" t="s">
        <v>1435</v>
      </c>
      <c r="H446" s="152" t="s">
        <v>2705</v>
      </c>
      <c r="I446" s="152" t="s">
        <v>2398</v>
      </c>
      <c r="J446" s="152" t="s">
        <v>2705</v>
      </c>
      <c r="K446" s="152" t="s">
        <v>2398</v>
      </c>
      <c r="L446" s="152" t="s">
        <v>1435</v>
      </c>
      <c r="M446" s="152" t="s">
        <v>2398</v>
      </c>
      <c r="N446" s="152" t="s">
        <v>2397</v>
      </c>
      <c r="O446" s="152" t="s">
        <v>2675</v>
      </c>
      <c r="P446" s="152" t="s">
        <v>2398</v>
      </c>
      <c r="Q446" s="152" t="s">
        <v>2675</v>
      </c>
      <c r="R446" s="152" t="s">
        <v>2398</v>
      </c>
      <c r="S446" s="152" t="s">
        <v>2705</v>
      </c>
      <c r="T446" s="152" t="s">
        <v>2398</v>
      </c>
      <c r="U446" s="152" t="s">
        <v>2398</v>
      </c>
    </row>
    <row r="447" spans="1:21" s="142" customFormat="1" ht="12.75" customHeight="1" x14ac:dyDescent="0.2">
      <c r="A447" s="151" t="s">
        <v>7540</v>
      </c>
      <c r="B447" s="152" t="s">
        <v>2705</v>
      </c>
      <c r="C447" s="152" t="s">
        <v>2398</v>
      </c>
      <c r="D447" s="152" t="s">
        <v>2705</v>
      </c>
      <c r="E447" s="152" t="s">
        <v>1435</v>
      </c>
      <c r="F447" s="152" t="s">
        <v>1435</v>
      </c>
      <c r="G447" s="152" t="s">
        <v>2705</v>
      </c>
      <c r="H447" s="152" t="s">
        <v>2705</v>
      </c>
      <c r="I447" s="152" t="s">
        <v>2398</v>
      </c>
      <c r="J447" s="152" t="s">
        <v>2705</v>
      </c>
      <c r="K447" s="152" t="s">
        <v>1435</v>
      </c>
      <c r="L447" s="152" t="s">
        <v>2705</v>
      </c>
      <c r="M447" s="152" t="s">
        <v>2398</v>
      </c>
      <c r="N447" s="152" t="s">
        <v>2705</v>
      </c>
      <c r="O447" s="152" t="s">
        <v>1435</v>
      </c>
      <c r="P447" s="152" t="s">
        <v>2705</v>
      </c>
      <c r="Q447" s="152" t="s">
        <v>1435</v>
      </c>
      <c r="R447" s="152" t="s">
        <v>2398</v>
      </c>
      <c r="S447" s="152" t="s">
        <v>2398</v>
      </c>
      <c r="T447" s="152" t="s">
        <v>2705</v>
      </c>
      <c r="U447" s="152" t="s">
        <v>2705</v>
      </c>
    </row>
    <row r="448" spans="1:21" s="142" customFormat="1" ht="12.75" x14ac:dyDescent="0.2">
      <c r="A448" s="151"/>
      <c r="B448" s="152" t="s">
        <v>2705</v>
      </c>
      <c r="C448" s="152" t="s">
        <v>2705</v>
      </c>
      <c r="D448" s="152" t="s">
        <v>2705</v>
      </c>
      <c r="E448" s="152" t="s">
        <v>2705</v>
      </c>
      <c r="F448" s="152" t="s">
        <v>2705</v>
      </c>
      <c r="G448" s="152" t="s">
        <v>2705</v>
      </c>
      <c r="H448" s="152" t="s">
        <v>2705</v>
      </c>
      <c r="I448" s="152" t="s">
        <v>2705</v>
      </c>
      <c r="J448" s="152" t="s">
        <v>2705</v>
      </c>
      <c r="K448" s="152" t="s">
        <v>2705</v>
      </c>
      <c r="L448" s="152" t="s">
        <v>2705</v>
      </c>
      <c r="M448" s="152" t="s">
        <v>2705</v>
      </c>
      <c r="N448" s="152" t="s">
        <v>2705</v>
      </c>
      <c r="O448" s="152" t="s">
        <v>2705</v>
      </c>
      <c r="P448" s="152" t="s">
        <v>2705</v>
      </c>
      <c r="Q448" s="152" t="s">
        <v>2705</v>
      </c>
      <c r="R448" s="152" t="s">
        <v>2398</v>
      </c>
      <c r="S448" s="152" t="s">
        <v>2705</v>
      </c>
      <c r="T448" s="152" t="s">
        <v>2398</v>
      </c>
      <c r="U448" s="152" t="s">
        <v>2398</v>
      </c>
    </row>
    <row r="449" spans="1:21" s="142" customFormat="1" ht="12.75" customHeight="1" x14ac:dyDescent="0.2">
      <c r="A449" s="151" t="s">
        <v>7541</v>
      </c>
      <c r="B449" s="152" t="s">
        <v>2705</v>
      </c>
      <c r="C449" s="152" t="s">
        <v>2705</v>
      </c>
      <c r="D449" s="152" t="s">
        <v>2398</v>
      </c>
      <c r="E449" s="152" t="s">
        <v>2397</v>
      </c>
      <c r="F449" s="152" t="s">
        <v>2398</v>
      </c>
      <c r="G449" s="152" t="s">
        <v>1435</v>
      </c>
      <c r="H449" s="152" t="s">
        <v>2705</v>
      </c>
      <c r="I449" s="152" t="s">
        <v>2398</v>
      </c>
      <c r="J449" s="152" t="s">
        <v>2705</v>
      </c>
      <c r="K449" s="152" t="s">
        <v>2705</v>
      </c>
      <c r="L449" s="152" t="s">
        <v>2705</v>
      </c>
      <c r="M449" s="152" t="s">
        <v>2705</v>
      </c>
      <c r="N449" s="152" t="s">
        <v>2705</v>
      </c>
      <c r="O449" s="152" t="s">
        <v>2398</v>
      </c>
      <c r="P449" s="152" t="s">
        <v>2398</v>
      </c>
      <c r="Q449" s="152" t="s">
        <v>2675</v>
      </c>
      <c r="R449" s="152" t="s">
        <v>2398</v>
      </c>
      <c r="S449" s="152" t="s">
        <v>2675</v>
      </c>
      <c r="T449" s="152" t="s">
        <v>2398</v>
      </c>
      <c r="U449" s="152" t="s">
        <v>2398</v>
      </c>
    </row>
    <row r="450" spans="1:21" s="142" customFormat="1" ht="12.75" x14ac:dyDescent="0.2">
      <c r="A450" s="151"/>
      <c r="B450" s="152" t="s">
        <v>2397</v>
      </c>
      <c r="C450" s="152" t="s">
        <v>2398</v>
      </c>
      <c r="D450" s="152" t="s">
        <v>2398</v>
      </c>
      <c r="E450" s="152" t="s">
        <v>2675</v>
      </c>
      <c r="F450" s="152" t="s">
        <v>2675</v>
      </c>
      <c r="G450" s="152" t="s">
        <v>2398</v>
      </c>
      <c r="H450" s="152" t="s">
        <v>2397</v>
      </c>
      <c r="I450" s="152" t="s">
        <v>2705</v>
      </c>
      <c r="J450" s="152" t="s">
        <v>2705</v>
      </c>
      <c r="K450" s="152" t="s">
        <v>2705</v>
      </c>
      <c r="L450" s="152" t="s">
        <v>2398</v>
      </c>
      <c r="M450" s="152" t="s">
        <v>2705</v>
      </c>
      <c r="N450" s="152" t="s">
        <v>2398</v>
      </c>
      <c r="O450" s="152" t="s">
        <v>2705</v>
      </c>
      <c r="P450" s="152" t="s">
        <v>2398</v>
      </c>
      <c r="Q450" s="152" t="s">
        <v>2705</v>
      </c>
      <c r="R450" s="152" t="s">
        <v>2705</v>
      </c>
      <c r="S450" s="152" t="s">
        <v>2705</v>
      </c>
      <c r="T450" s="152" t="s">
        <v>2398</v>
      </c>
      <c r="U450" s="152" t="s">
        <v>2705</v>
      </c>
    </row>
    <row r="451" spans="1:21" s="142" customFormat="1" ht="12.75" customHeight="1" x14ac:dyDescent="0.2">
      <c r="A451" s="151" t="s">
        <v>7542</v>
      </c>
      <c r="B451" s="152" t="s">
        <v>2397</v>
      </c>
      <c r="C451" s="152" t="s">
        <v>2398</v>
      </c>
      <c r="D451" s="152" t="s">
        <v>2705</v>
      </c>
      <c r="E451" s="152" t="s">
        <v>2705</v>
      </c>
      <c r="F451" s="152" t="s">
        <v>2705</v>
      </c>
      <c r="G451" s="152" t="s">
        <v>2705</v>
      </c>
      <c r="H451" s="152" t="s">
        <v>2705</v>
      </c>
      <c r="I451" s="152" t="s">
        <v>2675</v>
      </c>
      <c r="J451" s="152" t="s">
        <v>2398</v>
      </c>
      <c r="K451" s="152" t="s">
        <v>2675</v>
      </c>
      <c r="L451" s="152" t="s">
        <v>2675</v>
      </c>
      <c r="M451" s="152" t="s">
        <v>1435</v>
      </c>
      <c r="N451" s="152" t="s">
        <v>2705</v>
      </c>
      <c r="O451" s="152" t="s">
        <v>1435</v>
      </c>
      <c r="P451" s="152" t="s">
        <v>2705</v>
      </c>
      <c r="Q451" s="152" t="s">
        <v>2705</v>
      </c>
      <c r="R451" s="152" t="s">
        <v>2398</v>
      </c>
      <c r="S451" s="152" t="s">
        <v>2705</v>
      </c>
      <c r="T451" s="152" t="s">
        <v>2705</v>
      </c>
      <c r="U451" s="152" t="s">
        <v>2705</v>
      </c>
    </row>
    <row r="452" spans="1:21" s="142" customFormat="1" ht="12.75" x14ac:dyDescent="0.2">
      <c r="A452" s="151"/>
      <c r="B452" s="152" t="s">
        <v>2705</v>
      </c>
      <c r="C452" s="152" t="s">
        <v>2398</v>
      </c>
      <c r="D452" s="152" t="s">
        <v>2397</v>
      </c>
      <c r="E452" s="152" t="s">
        <v>2705</v>
      </c>
      <c r="F452" s="152" t="s">
        <v>2705</v>
      </c>
      <c r="G452" s="152" t="s">
        <v>1435</v>
      </c>
      <c r="H452" s="152" t="s">
        <v>2705</v>
      </c>
      <c r="I452" s="152" t="s">
        <v>2705</v>
      </c>
      <c r="J452" s="152" t="s">
        <v>2397</v>
      </c>
      <c r="K452" s="152" t="s">
        <v>2397</v>
      </c>
      <c r="L452" s="152" t="s">
        <v>2397</v>
      </c>
      <c r="M452" s="152" t="s">
        <v>2705</v>
      </c>
      <c r="N452" s="152" t="s">
        <v>2705</v>
      </c>
      <c r="O452" s="152" t="s">
        <v>2705</v>
      </c>
      <c r="P452" s="152" t="s">
        <v>1435</v>
      </c>
      <c r="Q452" s="152" t="s">
        <v>1435</v>
      </c>
      <c r="R452" s="152" t="s">
        <v>1435</v>
      </c>
      <c r="S452" s="152" t="s">
        <v>2705</v>
      </c>
      <c r="T452" s="152" t="s">
        <v>2705</v>
      </c>
      <c r="U452" s="152" t="s">
        <v>2398</v>
      </c>
    </row>
    <row r="453" spans="1:21" s="142" customFormat="1" ht="12.75" customHeight="1" x14ac:dyDescent="0.2">
      <c r="A453" s="151" t="s">
        <v>7543</v>
      </c>
      <c r="B453" s="152" t="s">
        <v>2705</v>
      </c>
      <c r="C453" s="152" t="s">
        <v>2397</v>
      </c>
      <c r="D453" s="152" t="s">
        <v>2675</v>
      </c>
      <c r="E453" s="152" t="s">
        <v>2398</v>
      </c>
      <c r="F453" s="152" t="s">
        <v>2397</v>
      </c>
      <c r="G453" s="152" t="s">
        <v>2705</v>
      </c>
      <c r="H453" s="152" t="s">
        <v>2398</v>
      </c>
      <c r="I453" s="152" t="s">
        <v>2675</v>
      </c>
      <c r="J453" s="152" t="s">
        <v>2398</v>
      </c>
      <c r="K453" s="152" t="s">
        <v>2398</v>
      </c>
      <c r="L453" s="152" t="s">
        <v>2705</v>
      </c>
      <c r="M453" s="152" t="s">
        <v>2705</v>
      </c>
      <c r="N453" s="152" t="s">
        <v>2705</v>
      </c>
      <c r="O453" s="152" t="s">
        <v>2398</v>
      </c>
      <c r="P453" s="152" t="s">
        <v>2398</v>
      </c>
      <c r="Q453" s="152" t="s">
        <v>2705</v>
      </c>
      <c r="R453" s="152" t="s">
        <v>2705</v>
      </c>
      <c r="S453" s="152" t="s">
        <v>2398</v>
      </c>
      <c r="T453" s="152" t="s">
        <v>2398</v>
      </c>
      <c r="U453" s="152" t="s">
        <v>2705</v>
      </c>
    </row>
    <row r="454" spans="1:21" s="142" customFormat="1" ht="12.75" x14ac:dyDescent="0.2">
      <c r="A454" s="151"/>
      <c r="B454" s="152" t="s">
        <v>2705</v>
      </c>
      <c r="C454" s="152" t="s">
        <v>2398</v>
      </c>
      <c r="D454" s="152" t="s">
        <v>2675</v>
      </c>
      <c r="E454" s="152" t="s">
        <v>2675</v>
      </c>
      <c r="F454" s="152" t="s">
        <v>2398</v>
      </c>
      <c r="G454" s="152" t="s">
        <v>1435</v>
      </c>
      <c r="H454" s="152" t="s">
        <v>2398</v>
      </c>
      <c r="I454" s="152" t="s">
        <v>2705</v>
      </c>
      <c r="J454" s="152" t="s">
        <v>2705</v>
      </c>
      <c r="K454" s="152" t="s">
        <v>2705</v>
      </c>
      <c r="L454" s="152" t="s">
        <v>2705</v>
      </c>
      <c r="M454" s="152" t="s">
        <v>2705</v>
      </c>
      <c r="N454" s="152" t="s">
        <v>2397</v>
      </c>
      <c r="O454" s="152" t="s">
        <v>2398</v>
      </c>
      <c r="P454" s="152" t="s">
        <v>2705</v>
      </c>
      <c r="Q454" s="152" t="s">
        <v>1435</v>
      </c>
      <c r="R454" s="152" t="s">
        <v>2398</v>
      </c>
      <c r="S454" s="152" t="s">
        <v>2398</v>
      </c>
      <c r="T454" s="152" t="s">
        <v>2398</v>
      </c>
      <c r="U454" s="152" t="s">
        <v>2705</v>
      </c>
    </row>
    <row r="455" spans="1:21" s="142" customFormat="1" ht="12.75" customHeight="1" x14ac:dyDescent="0.2">
      <c r="A455" s="151" t="s">
        <v>7544</v>
      </c>
      <c r="B455" s="152" t="s">
        <v>2705</v>
      </c>
      <c r="C455" s="152" t="s">
        <v>2398</v>
      </c>
      <c r="D455" s="152" t="s">
        <v>2675</v>
      </c>
      <c r="E455" s="152" t="s">
        <v>1435</v>
      </c>
      <c r="F455" s="152" t="s">
        <v>1435</v>
      </c>
      <c r="G455" s="152" t="s">
        <v>2397</v>
      </c>
      <c r="H455" s="152" t="s">
        <v>2398</v>
      </c>
      <c r="I455" s="152" t="s">
        <v>2398</v>
      </c>
      <c r="J455" s="152" t="s">
        <v>2398</v>
      </c>
      <c r="K455" s="152" t="s">
        <v>1435</v>
      </c>
      <c r="L455" s="152" t="s">
        <v>2705</v>
      </c>
      <c r="M455" s="152" t="s">
        <v>1435</v>
      </c>
      <c r="N455" s="152" t="s">
        <v>2398</v>
      </c>
      <c r="O455" s="152" t="s">
        <v>2705</v>
      </c>
      <c r="P455" s="152" t="s">
        <v>2675</v>
      </c>
      <c r="Q455" s="152" t="s">
        <v>2397</v>
      </c>
      <c r="R455" s="152" t="s">
        <v>2397</v>
      </c>
      <c r="S455" s="152" t="s">
        <v>2398</v>
      </c>
      <c r="T455" s="152" t="s">
        <v>2397</v>
      </c>
      <c r="U455" s="152" t="s">
        <v>2675</v>
      </c>
    </row>
    <row r="456" spans="1:21" s="142" customFormat="1" ht="12.75" x14ac:dyDescent="0.2">
      <c r="A456" s="151"/>
      <c r="B456" s="152" t="s">
        <v>2397</v>
      </c>
      <c r="C456" s="152" t="s">
        <v>1435</v>
      </c>
      <c r="D456" s="152" t="s">
        <v>2705</v>
      </c>
      <c r="E456" s="152" t="s">
        <v>2705</v>
      </c>
      <c r="F456" s="152" t="s">
        <v>2398</v>
      </c>
      <c r="G456" s="152" t="s">
        <v>2675</v>
      </c>
      <c r="H456" s="152" t="s">
        <v>2398</v>
      </c>
      <c r="I456" s="152" t="s">
        <v>2705</v>
      </c>
      <c r="J456" s="152" t="s">
        <v>2675</v>
      </c>
      <c r="K456" s="152" t="s">
        <v>2705</v>
      </c>
      <c r="L456" s="152" t="s">
        <v>2705</v>
      </c>
      <c r="M456" s="152" t="s">
        <v>2398</v>
      </c>
      <c r="N456" s="152" t="s">
        <v>1435</v>
      </c>
      <c r="O456" s="152" t="s">
        <v>2398</v>
      </c>
      <c r="P456" s="152" t="s">
        <v>2705</v>
      </c>
      <c r="Q456" s="152" t="s">
        <v>1435</v>
      </c>
      <c r="R456" s="152" t="s">
        <v>2398</v>
      </c>
      <c r="S456" s="152" t="s">
        <v>1435</v>
      </c>
      <c r="T456" s="152" t="s">
        <v>2705</v>
      </c>
      <c r="U456" s="152" t="s">
        <v>2705</v>
      </c>
    </row>
    <row r="457" spans="1:21" s="142" customFormat="1" ht="12.75" customHeight="1" x14ac:dyDescent="0.2">
      <c r="A457" s="151" t="s">
        <v>7545</v>
      </c>
      <c r="B457" s="152" t="s">
        <v>2675</v>
      </c>
      <c r="C457" s="152" t="s">
        <v>2705</v>
      </c>
      <c r="D457" s="152" t="s">
        <v>2705</v>
      </c>
      <c r="E457" s="152" t="s">
        <v>2675</v>
      </c>
      <c r="F457" s="152" t="s">
        <v>2705</v>
      </c>
      <c r="G457" s="152" t="s">
        <v>2705</v>
      </c>
      <c r="H457" s="152" t="s">
        <v>2705</v>
      </c>
      <c r="I457" s="152" t="s">
        <v>2675</v>
      </c>
      <c r="J457" s="152" t="s">
        <v>2705</v>
      </c>
      <c r="K457" s="152" t="s">
        <v>1435</v>
      </c>
      <c r="L457" s="152" t="s">
        <v>2705</v>
      </c>
      <c r="M457" s="152" t="s">
        <v>2705</v>
      </c>
      <c r="N457" s="152" t="s">
        <v>2675</v>
      </c>
      <c r="O457" s="152" t="s">
        <v>2398</v>
      </c>
      <c r="P457" s="152" t="s">
        <v>2705</v>
      </c>
      <c r="Q457" s="152" t="s">
        <v>1435</v>
      </c>
      <c r="R457" s="152" t="s">
        <v>2398</v>
      </c>
      <c r="S457" s="152" t="s">
        <v>2705</v>
      </c>
      <c r="T457" s="152" t="s">
        <v>2398</v>
      </c>
      <c r="U457" s="152" t="s">
        <v>2675</v>
      </c>
    </row>
    <row r="458" spans="1:21" s="142" customFormat="1" ht="12.75" x14ac:dyDescent="0.2">
      <c r="A458" s="151"/>
      <c r="B458" s="152" t="s">
        <v>2397</v>
      </c>
      <c r="C458" s="152" t="s">
        <v>2398</v>
      </c>
      <c r="D458" s="152" t="s">
        <v>2705</v>
      </c>
      <c r="E458" s="152" t="s">
        <v>2398</v>
      </c>
      <c r="F458" s="152" t="s">
        <v>2398</v>
      </c>
      <c r="G458" s="152" t="s">
        <v>2705</v>
      </c>
      <c r="H458" s="152" t="s">
        <v>2398</v>
      </c>
      <c r="I458" s="152" t="s">
        <v>2705</v>
      </c>
      <c r="J458" s="152" t="s">
        <v>2705</v>
      </c>
      <c r="K458" s="152" t="s">
        <v>2675</v>
      </c>
      <c r="L458" s="152" t="s">
        <v>2705</v>
      </c>
      <c r="M458" s="152" t="s">
        <v>2398</v>
      </c>
      <c r="N458" s="152" t="s">
        <v>2398</v>
      </c>
      <c r="O458" s="152" t="s">
        <v>2705</v>
      </c>
      <c r="P458" s="152" t="s">
        <v>2675</v>
      </c>
      <c r="Q458" s="152" t="s">
        <v>2705</v>
      </c>
      <c r="R458" s="152" t="s">
        <v>2398</v>
      </c>
      <c r="S458" s="152" t="s">
        <v>2705</v>
      </c>
      <c r="T458" s="152" t="s">
        <v>2398</v>
      </c>
      <c r="U458" s="152" t="s">
        <v>2705</v>
      </c>
    </row>
    <row r="459" spans="1:21" s="142" customFormat="1" ht="12.75" customHeight="1" x14ac:dyDescent="0.2">
      <c r="A459" s="151" t="s">
        <v>7546</v>
      </c>
      <c r="B459" s="152" t="s">
        <v>2398</v>
      </c>
      <c r="C459" s="152" t="s">
        <v>2675</v>
      </c>
      <c r="D459" s="152" t="s">
        <v>1435</v>
      </c>
      <c r="E459" s="152" t="s">
        <v>2705</v>
      </c>
      <c r="F459" s="152" t="s">
        <v>2397</v>
      </c>
      <c r="G459" s="152" t="s">
        <v>2705</v>
      </c>
      <c r="H459" s="152" t="s">
        <v>2705</v>
      </c>
      <c r="I459" s="152" t="s">
        <v>2675</v>
      </c>
      <c r="J459" s="152" t="s">
        <v>2398</v>
      </c>
      <c r="K459" s="152" t="s">
        <v>2705</v>
      </c>
      <c r="L459" s="152" t="s">
        <v>2398</v>
      </c>
      <c r="M459" s="152" t="s">
        <v>1435</v>
      </c>
      <c r="N459" s="152" t="s">
        <v>2705</v>
      </c>
      <c r="O459" s="152" t="s">
        <v>2398</v>
      </c>
      <c r="P459" s="152" t="s">
        <v>2397</v>
      </c>
      <c r="Q459" s="152" t="s">
        <v>2705</v>
      </c>
      <c r="R459" s="152" t="s">
        <v>1435</v>
      </c>
      <c r="S459" s="152" t="s">
        <v>2705</v>
      </c>
      <c r="T459" s="152" t="s">
        <v>2398</v>
      </c>
      <c r="U459" s="152" t="s">
        <v>2705</v>
      </c>
    </row>
    <row r="460" spans="1:21" s="142" customFormat="1" ht="12.75" x14ac:dyDescent="0.2">
      <c r="A460" s="151"/>
      <c r="B460" s="152" t="s">
        <v>2705</v>
      </c>
      <c r="C460" s="152" t="s">
        <v>2705</v>
      </c>
      <c r="D460" s="152" t="s">
        <v>2675</v>
      </c>
      <c r="E460" s="152" t="s">
        <v>2675</v>
      </c>
      <c r="F460" s="152" t="s">
        <v>2398</v>
      </c>
      <c r="G460" s="152" t="s">
        <v>2675</v>
      </c>
      <c r="H460" s="152" t="s">
        <v>2398</v>
      </c>
      <c r="I460" s="152" t="s">
        <v>2398</v>
      </c>
      <c r="J460" s="152" t="s">
        <v>2398</v>
      </c>
      <c r="K460" s="152" t="s">
        <v>2705</v>
      </c>
      <c r="L460" s="152" t="s">
        <v>2398</v>
      </c>
      <c r="M460" s="152" t="s">
        <v>2398</v>
      </c>
      <c r="N460" s="152" t="s">
        <v>2705</v>
      </c>
      <c r="O460" s="152" t="s">
        <v>2398</v>
      </c>
      <c r="P460" s="152" t="s">
        <v>2705</v>
      </c>
      <c r="Q460" s="152" t="s">
        <v>2398</v>
      </c>
      <c r="R460" s="152" t="s">
        <v>2705</v>
      </c>
      <c r="S460" s="152" t="s">
        <v>2705</v>
      </c>
      <c r="T460" s="152" t="s">
        <v>2398</v>
      </c>
      <c r="U460" s="152" t="s">
        <v>2398</v>
      </c>
    </row>
    <row r="461" spans="1:21" s="142" customFormat="1" ht="12.75" customHeight="1" x14ac:dyDescent="0.2">
      <c r="A461" s="151" t="s">
        <v>7547</v>
      </c>
      <c r="B461" s="152" t="s">
        <v>2705</v>
      </c>
      <c r="C461" s="152" t="s">
        <v>2705</v>
      </c>
      <c r="D461" s="152" t="s">
        <v>2705</v>
      </c>
      <c r="E461" s="152" t="s">
        <v>2705</v>
      </c>
      <c r="F461" s="152" t="s">
        <v>2398</v>
      </c>
      <c r="G461" s="152" t="s">
        <v>2705</v>
      </c>
      <c r="H461" s="152" t="s">
        <v>2705</v>
      </c>
      <c r="I461" s="152" t="s">
        <v>2705</v>
      </c>
      <c r="J461" s="152" t="s">
        <v>2705</v>
      </c>
      <c r="K461" s="152" t="s">
        <v>2398</v>
      </c>
      <c r="L461" s="152" t="s">
        <v>2398</v>
      </c>
      <c r="M461" s="152" t="s">
        <v>2398</v>
      </c>
      <c r="N461" s="152" t="s">
        <v>2705</v>
      </c>
      <c r="O461" s="152" t="s">
        <v>2705</v>
      </c>
      <c r="P461" s="152" t="s">
        <v>2705</v>
      </c>
      <c r="Q461" s="152" t="s">
        <v>2705</v>
      </c>
      <c r="R461" s="152" t="s">
        <v>2705</v>
      </c>
      <c r="S461" s="152" t="s">
        <v>2705</v>
      </c>
      <c r="T461" s="152" t="s">
        <v>2398</v>
      </c>
      <c r="U461" s="152" t="s">
        <v>2398</v>
      </c>
    </row>
    <row r="462" spans="1:21" s="142" customFormat="1" ht="12.75" x14ac:dyDescent="0.2">
      <c r="A462" s="151"/>
      <c r="B462" s="152" t="s">
        <v>2705</v>
      </c>
      <c r="C462" s="152" t="s">
        <v>2398</v>
      </c>
      <c r="D462" s="152" t="s">
        <v>1435</v>
      </c>
      <c r="E462" s="152" t="s">
        <v>2398</v>
      </c>
      <c r="F462" s="152" t="s">
        <v>2398</v>
      </c>
      <c r="G462" s="152" t="s">
        <v>2398</v>
      </c>
      <c r="H462" s="152" t="s">
        <v>2705</v>
      </c>
      <c r="I462" s="152" t="s">
        <v>2705</v>
      </c>
      <c r="J462" s="152" t="s">
        <v>2705</v>
      </c>
      <c r="K462" s="152" t="s">
        <v>2705</v>
      </c>
      <c r="L462" s="152" t="s">
        <v>2398</v>
      </c>
      <c r="M462" s="152" t="s">
        <v>2705</v>
      </c>
      <c r="N462" s="152" t="s">
        <v>2705</v>
      </c>
      <c r="O462" s="152" t="s">
        <v>2705</v>
      </c>
      <c r="P462" s="152" t="s">
        <v>2398</v>
      </c>
      <c r="Q462" s="152" t="s">
        <v>2705</v>
      </c>
      <c r="R462" s="152" t="s">
        <v>1435</v>
      </c>
      <c r="S462" s="152" t="s">
        <v>2705</v>
      </c>
      <c r="T462" s="152" t="s">
        <v>2398</v>
      </c>
      <c r="U462" s="152" t="s">
        <v>2705</v>
      </c>
    </row>
    <row r="463" spans="1:21" s="142" customFormat="1" ht="12.75" customHeight="1" x14ac:dyDescent="0.2">
      <c r="A463" s="151" t="s">
        <v>7548</v>
      </c>
      <c r="B463" s="152" t="s">
        <v>2705</v>
      </c>
      <c r="C463" s="152" t="s">
        <v>2705</v>
      </c>
      <c r="D463" s="152" t="s">
        <v>2705</v>
      </c>
      <c r="E463" s="152" t="s">
        <v>1435</v>
      </c>
      <c r="F463" s="152" t="s">
        <v>2398</v>
      </c>
      <c r="G463" s="152" t="s">
        <v>1435</v>
      </c>
      <c r="H463" s="152" t="s">
        <v>2705</v>
      </c>
      <c r="I463" s="152" t="s">
        <v>2397</v>
      </c>
      <c r="J463" s="152" t="s">
        <v>2398</v>
      </c>
      <c r="K463" s="152" t="s">
        <v>1435</v>
      </c>
      <c r="L463" s="152" t="s">
        <v>2705</v>
      </c>
      <c r="M463" s="152" t="s">
        <v>1435</v>
      </c>
      <c r="N463" s="152" t="s">
        <v>2675</v>
      </c>
      <c r="O463" s="152" t="s">
        <v>2705</v>
      </c>
      <c r="P463" s="152" t="s">
        <v>2675</v>
      </c>
      <c r="Q463" s="152" t="s">
        <v>2705</v>
      </c>
      <c r="R463" s="152" t="s">
        <v>2398</v>
      </c>
      <c r="S463" s="152" t="s">
        <v>2675</v>
      </c>
      <c r="T463" s="152" t="s">
        <v>2705</v>
      </c>
      <c r="U463" s="152" t="s">
        <v>2675</v>
      </c>
    </row>
    <row r="464" spans="1:21" s="142" customFormat="1" ht="12.75" x14ac:dyDescent="0.2">
      <c r="A464" s="151"/>
      <c r="B464" s="152" t="s">
        <v>2398</v>
      </c>
      <c r="C464" s="152" t="s">
        <v>1435</v>
      </c>
      <c r="D464" s="152" t="s">
        <v>2675</v>
      </c>
      <c r="E464" s="152" t="s">
        <v>2705</v>
      </c>
      <c r="F464" s="152" t="s">
        <v>2398</v>
      </c>
      <c r="G464" s="152" t="s">
        <v>1435</v>
      </c>
      <c r="H464" s="152" t="s">
        <v>1435</v>
      </c>
      <c r="I464" s="152" t="s">
        <v>2705</v>
      </c>
      <c r="J464" s="152" t="s">
        <v>2398</v>
      </c>
      <c r="K464" s="152" t="s">
        <v>2675</v>
      </c>
      <c r="L464" s="152" t="s">
        <v>2398</v>
      </c>
      <c r="M464" s="152" t="s">
        <v>2675</v>
      </c>
      <c r="N464" s="152" t="s">
        <v>2397</v>
      </c>
      <c r="O464" s="152" t="s">
        <v>2675</v>
      </c>
      <c r="P464" s="152" t="s">
        <v>2705</v>
      </c>
      <c r="Q464" s="152" t="s">
        <v>2398</v>
      </c>
      <c r="R464" s="152" t="s">
        <v>2398</v>
      </c>
      <c r="S464" s="152" t="s">
        <v>2397</v>
      </c>
      <c r="T464" s="152" t="s">
        <v>2705</v>
      </c>
      <c r="U464" s="152" t="s">
        <v>2398</v>
      </c>
    </row>
    <row r="465" spans="1:21" s="142" customFormat="1" ht="12.75" customHeight="1" x14ac:dyDescent="0.2">
      <c r="A465" s="151" t="s">
        <v>7549</v>
      </c>
      <c r="B465" s="152" t="s">
        <v>2705</v>
      </c>
      <c r="C465" s="152" t="s">
        <v>2398</v>
      </c>
      <c r="D465" s="152" t="s">
        <v>2398</v>
      </c>
      <c r="E465" s="152" t="s">
        <v>2398</v>
      </c>
      <c r="F465" s="152" t="s">
        <v>2705</v>
      </c>
      <c r="G465" s="152" t="s">
        <v>2705</v>
      </c>
      <c r="H465" s="152" t="s">
        <v>2705</v>
      </c>
      <c r="I465" s="152" t="s">
        <v>2705</v>
      </c>
      <c r="J465" s="152" t="s">
        <v>2398</v>
      </c>
      <c r="K465" s="152" t="s">
        <v>2705</v>
      </c>
      <c r="L465" s="152" t="s">
        <v>2705</v>
      </c>
      <c r="M465" s="152" t="s">
        <v>2705</v>
      </c>
      <c r="N465" s="152" t="s">
        <v>2705</v>
      </c>
      <c r="O465" s="152" t="s">
        <v>2705</v>
      </c>
      <c r="P465" s="152" t="s">
        <v>2675</v>
      </c>
      <c r="Q465" s="152" t="s">
        <v>2675</v>
      </c>
      <c r="R465" s="152" t="s">
        <v>2398</v>
      </c>
      <c r="S465" s="152" t="s">
        <v>2398</v>
      </c>
      <c r="T465" s="152" t="s">
        <v>2705</v>
      </c>
      <c r="U465" s="152" t="s">
        <v>2398</v>
      </c>
    </row>
    <row r="466" spans="1:21" s="142" customFormat="1" ht="12.75" x14ac:dyDescent="0.2">
      <c r="A466" s="151"/>
      <c r="B466" s="152" t="s">
        <v>2398</v>
      </c>
      <c r="C466" s="152" t="s">
        <v>2398</v>
      </c>
      <c r="D466" s="152" t="s">
        <v>2705</v>
      </c>
      <c r="E466" s="152" t="s">
        <v>2398</v>
      </c>
      <c r="F466" s="152" t="s">
        <v>2705</v>
      </c>
      <c r="G466" s="152" t="s">
        <v>2398</v>
      </c>
      <c r="H466" s="152" t="s">
        <v>2705</v>
      </c>
      <c r="I466" s="152" t="s">
        <v>2705</v>
      </c>
      <c r="J466" s="152" t="s">
        <v>2398</v>
      </c>
      <c r="K466" s="152" t="s">
        <v>2705</v>
      </c>
      <c r="L466" s="152" t="s">
        <v>2397</v>
      </c>
      <c r="M466" s="152" t="s">
        <v>2398</v>
      </c>
      <c r="N466" s="152" t="s">
        <v>2398</v>
      </c>
      <c r="O466" s="152" t="s">
        <v>2705</v>
      </c>
      <c r="P466" s="152" t="s">
        <v>2398</v>
      </c>
      <c r="Q466" s="152" t="s">
        <v>2705</v>
      </c>
      <c r="R466" s="152" t="s">
        <v>2398</v>
      </c>
      <c r="S466" s="152" t="s">
        <v>2398</v>
      </c>
      <c r="T466" s="152" t="s">
        <v>2705</v>
      </c>
      <c r="U466" s="152" t="s">
        <v>2705</v>
      </c>
    </row>
    <row r="467" spans="1:21" s="142" customFormat="1" ht="12.75" customHeight="1" x14ac:dyDescent="0.2">
      <c r="A467" s="151" t="s">
        <v>7550</v>
      </c>
      <c r="B467" s="152" t="s">
        <v>2398</v>
      </c>
      <c r="C467" s="152" t="s">
        <v>2398</v>
      </c>
      <c r="D467" s="152" t="s">
        <v>2705</v>
      </c>
      <c r="E467" s="152" t="s">
        <v>2398</v>
      </c>
      <c r="F467" s="152" t="s">
        <v>2705</v>
      </c>
      <c r="G467" s="152" t="s">
        <v>2705</v>
      </c>
      <c r="H467" s="152" t="s">
        <v>2705</v>
      </c>
      <c r="I467" s="152" t="s">
        <v>2675</v>
      </c>
      <c r="J467" s="152" t="s">
        <v>2675</v>
      </c>
      <c r="K467" s="152" t="s">
        <v>2398</v>
      </c>
      <c r="L467" s="152" t="s">
        <v>2398</v>
      </c>
      <c r="M467" s="152" t="s">
        <v>1435</v>
      </c>
      <c r="N467" s="152" t="s">
        <v>2398</v>
      </c>
      <c r="O467" s="152" t="s">
        <v>2675</v>
      </c>
      <c r="P467" s="152" t="s">
        <v>2705</v>
      </c>
      <c r="Q467" s="152" t="s">
        <v>2705</v>
      </c>
      <c r="R467" s="152" t="s">
        <v>2705</v>
      </c>
      <c r="S467" s="152" t="s">
        <v>2705</v>
      </c>
      <c r="T467" s="152" t="s">
        <v>2705</v>
      </c>
      <c r="U467" s="152" t="s">
        <v>2398</v>
      </c>
    </row>
    <row r="468" spans="1:21" s="142" customFormat="1" ht="12.75" x14ac:dyDescent="0.2">
      <c r="A468" s="151"/>
      <c r="B468" s="152" t="s">
        <v>2705</v>
      </c>
      <c r="C468" s="152" t="s">
        <v>2675</v>
      </c>
      <c r="D468" s="152" t="s">
        <v>2398</v>
      </c>
      <c r="E468" s="152" t="s">
        <v>2705</v>
      </c>
      <c r="F468" s="152" t="s">
        <v>2705</v>
      </c>
      <c r="G468" s="152" t="s">
        <v>2705</v>
      </c>
      <c r="H468" s="152" t="s">
        <v>2398</v>
      </c>
      <c r="I468" s="152" t="s">
        <v>2398</v>
      </c>
      <c r="J468" s="152" t="s">
        <v>2398</v>
      </c>
      <c r="K468" s="152" t="s">
        <v>2398</v>
      </c>
      <c r="L468" s="152" t="s">
        <v>2398</v>
      </c>
      <c r="M468" s="152" t="s">
        <v>1435</v>
      </c>
      <c r="N468" s="152" t="s">
        <v>2705</v>
      </c>
      <c r="O468" s="152" t="s">
        <v>2705</v>
      </c>
      <c r="P468" s="152" t="s">
        <v>2398</v>
      </c>
      <c r="Q468" s="152" t="s">
        <v>2705</v>
      </c>
      <c r="R468" s="152" t="s">
        <v>2398</v>
      </c>
      <c r="S468" s="152" t="s">
        <v>2705</v>
      </c>
      <c r="T468" s="152" t="s">
        <v>2705</v>
      </c>
      <c r="U468" s="152" t="s">
        <v>2398</v>
      </c>
    </row>
    <row r="469" spans="1:21" s="142" customFormat="1" ht="12.75" customHeight="1" x14ac:dyDescent="0.2">
      <c r="A469" s="151" t="s">
        <v>7551</v>
      </c>
      <c r="B469" s="152" t="s">
        <v>2705</v>
      </c>
      <c r="C469" s="152" t="s">
        <v>2398</v>
      </c>
      <c r="D469" s="152" t="s">
        <v>2705</v>
      </c>
      <c r="E469" s="152" t="s">
        <v>2397</v>
      </c>
      <c r="F469" s="152" t="s">
        <v>2398</v>
      </c>
      <c r="G469" s="152" t="s">
        <v>2705</v>
      </c>
      <c r="H469" s="152" t="s">
        <v>2398</v>
      </c>
      <c r="I469" s="152" t="s">
        <v>2398</v>
      </c>
      <c r="J469" s="152" t="s">
        <v>1435</v>
      </c>
      <c r="K469" s="152" t="s">
        <v>2705</v>
      </c>
      <c r="L469" s="152" t="s">
        <v>2398</v>
      </c>
      <c r="M469" s="152" t="s">
        <v>2705</v>
      </c>
      <c r="N469" s="152" t="s">
        <v>2705</v>
      </c>
      <c r="O469" s="152" t="s">
        <v>2675</v>
      </c>
      <c r="P469" s="152" t="s">
        <v>2705</v>
      </c>
      <c r="Q469" s="152" t="s">
        <v>2705</v>
      </c>
      <c r="R469" s="152" t="s">
        <v>2675</v>
      </c>
      <c r="S469" s="152" t="s">
        <v>2705</v>
      </c>
      <c r="T469" s="152" t="s">
        <v>2705</v>
      </c>
      <c r="U469" s="152" t="s">
        <v>2705</v>
      </c>
    </row>
    <row r="470" spans="1:21" s="142" customFormat="1" ht="12.75" x14ac:dyDescent="0.2">
      <c r="A470" s="151"/>
      <c r="B470" s="152" t="s">
        <v>2705</v>
      </c>
      <c r="C470" s="152" t="s">
        <v>2398</v>
      </c>
      <c r="D470" s="152" t="s">
        <v>2398</v>
      </c>
      <c r="E470" s="152" t="s">
        <v>1435</v>
      </c>
      <c r="F470" s="152" t="s">
        <v>2397</v>
      </c>
      <c r="G470" s="152" t="s">
        <v>2705</v>
      </c>
      <c r="H470" s="152" t="s">
        <v>2675</v>
      </c>
      <c r="I470" s="152" t="s">
        <v>1435</v>
      </c>
      <c r="J470" s="152" t="s">
        <v>2398</v>
      </c>
      <c r="K470" s="152" t="s">
        <v>2705</v>
      </c>
      <c r="L470" s="152" t="s">
        <v>2705</v>
      </c>
      <c r="M470" s="152" t="s">
        <v>2705</v>
      </c>
      <c r="N470" s="152" t="s">
        <v>2705</v>
      </c>
      <c r="O470" s="152" t="s">
        <v>2398</v>
      </c>
      <c r="P470" s="152" t="s">
        <v>2705</v>
      </c>
      <c r="Q470" s="152" t="s">
        <v>1435</v>
      </c>
      <c r="R470" s="152" t="s">
        <v>2398</v>
      </c>
      <c r="S470" s="152" t="s">
        <v>2705</v>
      </c>
      <c r="T470" s="152" t="s">
        <v>2705</v>
      </c>
      <c r="U470" s="152" t="s">
        <v>1435</v>
      </c>
    </row>
    <row r="471" spans="1:21" s="142" customFormat="1" ht="12.75" customHeight="1" x14ac:dyDescent="0.2">
      <c r="A471" s="151" t="s">
        <v>7552</v>
      </c>
      <c r="B471" s="152" t="s">
        <v>2398</v>
      </c>
      <c r="C471" s="152" t="s">
        <v>2398</v>
      </c>
      <c r="D471" s="152" t="s">
        <v>2398</v>
      </c>
      <c r="E471" s="152" t="s">
        <v>2705</v>
      </c>
      <c r="F471" s="152" t="s">
        <v>2705</v>
      </c>
      <c r="G471" s="152" t="s">
        <v>2705</v>
      </c>
      <c r="H471" s="152" t="s">
        <v>2398</v>
      </c>
      <c r="I471" s="152" t="s">
        <v>2398</v>
      </c>
      <c r="J471" s="152" t="s">
        <v>2398</v>
      </c>
      <c r="K471" s="152" t="s">
        <v>2398</v>
      </c>
      <c r="L471" s="152" t="s">
        <v>2675</v>
      </c>
      <c r="M471" s="152" t="s">
        <v>1435</v>
      </c>
      <c r="N471" s="152" t="s">
        <v>2705</v>
      </c>
      <c r="O471" s="152" t="s">
        <v>2705</v>
      </c>
      <c r="P471" s="152" t="s">
        <v>2705</v>
      </c>
      <c r="Q471" s="152" t="s">
        <v>2705</v>
      </c>
      <c r="R471" s="152" t="s">
        <v>2705</v>
      </c>
      <c r="S471" s="152" t="s">
        <v>2705</v>
      </c>
      <c r="T471" s="152" t="s">
        <v>1435</v>
      </c>
      <c r="U471" s="152" t="s">
        <v>2705</v>
      </c>
    </row>
    <row r="472" spans="1:21" s="142" customFormat="1" ht="12.75" x14ac:dyDescent="0.2">
      <c r="A472" s="151"/>
      <c r="B472" s="152" t="s">
        <v>2398</v>
      </c>
      <c r="C472" s="152" t="s">
        <v>2675</v>
      </c>
      <c r="D472" s="152" t="s">
        <v>2398</v>
      </c>
      <c r="E472" s="152" t="s">
        <v>2675</v>
      </c>
      <c r="F472" s="152" t="s">
        <v>2398</v>
      </c>
      <c r="G472" s="152" t="s">
        <v>2705</v>
      </c>
      <c r="H472" s="152" t="s">
        <v>2705</v>
      </c>
      <c r="I472" s="152" t="s">
        <v>2675</v>
      </c>
      <c r="J472" s="152" t="s">
        <v>2398</v>
      </c>
      <c r="K472" s="152" t="s">
        <v>2705</v>
      </c>
      <c r="L472" s="152" t="s">
        <v>2705</v>
      </c>
      <c r="M472" s="152" t="s">
        <v>2705</v>
      </c>
      <c r="N472" s="152" t="s">
        <v>2705</v>
      </c>
      <c r="O472" s="152" t="s">
        <v>2705</v>
      </c>
      <c r="P472" s="152" t="s">
        <v>2398</v>
      </c>
      <c r="Q472" s="152" t="s">
        <v>2398</v>
      </c>
      <c r="R472" s="152" t="s">
        <v>2398</v>
      </c>
      <c r="S472" s="152" t="s">
        <v>2705</v>
      </c>
      <c r="T472" s="152" t="s">
        <v>2705</v>
      </c>
      <c r="U472" s="152" t="s">
        <v>2398</v>
      </c>
    </row>
    <row r="473" spans="1:21" s="142" customFormat="1" ht="12.75" customHeight="1" x14ac:dyDescent="0.2">
      <c r="A473" s="151" t="s">
        <v>7553</v>
      </c>
      <c r="B473" s="152" t="s">
        <v>2705</v>
      </c>
      <c r="C473" s="152" t="s">
        <v>2705</v>
      </c>
      <c r="D473" s="152" t="s">
        <v>2397</v>
      </c>
      <c r="E473" s="152" t="s">
        <v>2398</v>
      </c>
      <c r="F473" s="152" t="s">
        <v>2705</v>
      </c>
      <c r="G473" s="152" t="s">
        <v>2705</v>
      </c>
      <c r="H473" s="152" t="s">
        <v>2705</v>
      </c>
      <c r="I473" s="152" t="s">
        <v>2705</v>
      </c>
      <c r="J473" s="152" t="s">
        <v>2675</v>
      </c>
      <c r="K473" s="152" t="s">
        <v>1435</v>
      </c>
      <c r="L473" s="152" t="s">
        <v>2705</v>
      </c>
      <c r="M473" s="152" t="s">
        <v>2705</v>
      </c>
      <c r="N473" s="152" t="s">
        <v>2705</v>
      </c>
      <c r="O473" s="152" t="s">
        <v>2705</v>
      </c>
      <c r="P473" s="152" t="s">
        <v>2705</v>
      </c>
      <c r="Q473" s="152" t="s">
        <v>2705</v>
      </c>
      <c r="R473" s="152" t="s">
        <v>2705</v>
      </c>
      <c r="S473" s="152" t="s">
        <v>2705</v>
      </c>
      <c r="T473" s="152" t="s">
        <v>2705</v>
      </c>
      <c r="U473" s="152" t="s">
        <v>2398</v>
      </c>
    </row>
    <row r="474" spans="1:21" s="142" customFormat="1" ht="12.75" x14ac:dyDescent="0.2">
      <c r="A474" s="151"/>
      <c r="B474" s="152" t="s">
        <v>2705</v>
      </c>
      <c r="C474" s="152" t="s">
        <v>2705</v>
      </c>
      <c r="D474" s="152" t="s">
        <v>2705</v>
      </c>
      <c r="E474" s="152" t="s">
        <v>2705</v>
      </c>
      <c r="F474" s="152" t="s">
        <v>2705</v>
      </c>
      <c r="G474" s="152" t="s">
        <v>2705</v>
      </c>
      <c r="H474" s="152" t="s">
        <v>2398</v>
      </c>
      <c r="I474" s="152" t="s">
        <v>2398</v>
      </c>
      <c r="J474" s="152" t="s">
        <v>2705</v>
      </c>
      <c r="K474" s="152" t="s">
        <v>2705</v>
      </c>
      <c r="L474" s="152" t="s">
        <v>2705</v>
      </c>
      <c r="M474" s="152" t="s">
        <v>2705</v>
      </c>
      <c r="N474" s="152" t="s">
        <v>2705</v>
      </c>
      <c r="O474" s="152" t="s">
        <v>2705</v>
      </c>
      <c r="P474" s="152" t="s">
        <v>2705</v>
      </c>
      <c r="Q474" s="152" t="s">
        <v>2705</v>
      </c>
      <c r="R474" s="152" t="s">
        <v>2705</v>
      </c>
      <c r="S474" s="152" t="s">
        <v>2705</v>
      </c>
      <c r="T474" s="152" t="s">
        <v>2705</v>
      </c>
      <c r="U474" s="152" t="s">
        <v>2705</v>
      </c>
    </row>
    <row r="475" spans="1:21" s="142" customFormat="1" ht="12.75" customHeight="1" x14ac:dyDescent="0.2">
      <c r="A475" s="151" t="s">
        <v>7554</v>
      </c>
      <c r="B475" s="152" t="s">
        <v>2398</v>
      </c>
      <c r="C475" s="152" t="s">
        <v>2398</v>
      </c>
      <c r="D475" s="152" t="s">
        <v>2398</v>
      </c>
      <c r="E475" s="152" t="s">
        <v>2398</v>
      </c>
      <c r="F475" s="152" t="s">
        <v>2398</v>
      </c>
      <c r="G475" s="152" t="s">
        <v>2705</v>
      </c>
      <c r="H475" s="152" t="s">
        <v>2705</v>
      </c>
      <c r="I475" s="152" t="s">
        <v>2398</v>
      </c>
      <c r="J475" s="152" t="s">
        <v>2398</v>
      </c>
      <c r="K475" s="152" t="s">
        <v>2398</v>
      </c>
      <c r="L475" s="152" t="s">
        <v>2398</v>
      </c>
      <c r="M475" s="152" t="s">
        <v>2398</v>
      </c>
      <c r="N475" s="152" t="s">
        <v>2398</v>
      </c>
      <c r="O475" s="152" t="s">
        <v>2705</v>
      </c>
      <c r="P475" s="152" t="s">
        <v>2705</v>
      </c>
      <c r="Q475" s="152" t="s">
        <v>2705</v>
      </c>
      <c r="R475" s="152" t="s">
        <v>2705</v>
      </c>
      <c r="S475" s="152" t="s">
        <v>2705</v>
      </c>
      <c r="T475" s="152" t="s">
        <v>2705</v>
      </c>
      <c r="U475" s="152" t="s">
        <v>2705</v>
      </c>
    </row>
    <row r="476" spans="1:21" s="142" customFormat="1" ht="12.75" x14ac:dyDescent="0.2">
      <c r="A476" s="151"/>
      <c r="B476" s="152" t="s">
        <v>2397</v>
      </c>
      <c r="C476" s="152" t="s">
        <v>2398</v>
      </c>
      <c r="D476" s="152" t="s">
        <v>2705</v>
      </c>
      <c r="E476" s="152" t="s">
        <v>2705</v>
      </c>
      <c r="F476" s="152" t="s">
        <v>2398</v>
      </c>
      <c r="G476" s="152" t="s">
        <v>2705</v>
      </c>
      <c r="H476" s="152" t="s">
        <v>2705</v>
      </c>
      <c r="I476" s="152" t="s">
        <v>2705</v>
      </c>
      <c r="J476" s="152" t="s">
        <v>2398</v>
      </c>
      <c r="K476" s="152" t="s">
        <v>2705</v>
      </c>
      <c r="L476" s="152" t="s">
        <v>2398</v>
      </c>
      <c r="M476" s="152" t="s">
        <v>2705</v>
      </c>
      <c r="N476" s="152" t="s">
        <v>2705</v>
      </c>
      <c r="O476" s="152" t="s">
        <v>2397</v>
      </c>
      <c r="P476" s="152" t="s">
        <v>2398</v>
      </c>
      <c r="Q476" s="152" t="s">
        <v>1435</v>
      </c>
      <c r="R476" s="152" t="s">
        <v>2398</v>
      </c>
      <c r="S476" s="152" t="s">
        <v>2397</v>
      </c>
      <c r="T476" s="152" t="s">
        <v>2705</v>
      </c>
      <c r="U476" s="152" t="s">
        <v>2705</v>
      </c>
    </row>
    <row r="477" spans="1:21" s="142" customFormat="1" ht="12.75" customHeight="1" x14ac:dyDescent="0.2">
      <c r="A477" s="151" t="s">
        <v>7555</v>
      </c>
      <c r="B477" s="152" t="s">
        <v>2398</v>
      </c>
      <c r="C477" s="152" t="s">
        <v>2398</v>
      </c>
      <c r="D477" s="152" t="s">
        <v>2398</v>
      </c>
      <c r="E477" s="152" t="s">
        <v>2705</v>
      </c>
      <c r="F477" s="152" t="s">
        <v>2705</v>
      </c>
      <c r="G477" s="152" t="s">
        <v>2705</v>
      </c>
      <c r="H477" s="152" t="s">
        <v>2675</v>
      </c>
      <c r="I477" s="152" t="s">
        <v>2705</v>
      </c>
      <c r="J477" s="152" t="s">
        <v>2398</v>
      </c>
      <c r="K477" s="152" t="s">
        <v>2397</v>
      </c>
      <c r="L477" s="152" t="s">
        <v>2675</v>
      </c>
      <c r="M477" s="152" t="s">
        <v>2398</v>
      </c>
      <c r="N477" s="152" t="s">
        <v>2398</v>
      </c>
      <c r="O477" s="152" t="s">
        <v>2705</v>
      </c>
      <c r="P477" s="152" t="s">
        <v>2705</v>
      </c>
      <c r="Q477" s="152" t="s">
        <v>2705</v>
      </c>
      <c r="R477" s="152" t="s">
        <v>2705</v>
      </c>
      <c r="S477" s="152" t="s">
        <v>2705</v>
      </c>
      <c r="T477" s="152" t="s">
        <v>2398</v>
      </c>
      <c r="U477" s="152" t="s">
        <v>2397</v>
      </c>
    </row>
    <row r="478" spans="1:21" s="142" customFormat="1" ht="12.75" x14ac:dyDescent="0.2">
      <c r="A478" s="151"/>
      <c r="B478" s="152" t="s">
        <v>2705</v>
      </c>
      <c r="C478" s="152" t="s">
        <v>2398</v>
      </c>
      <c r="D478" s="152" t="s">
        <v>1435</v>
      </c>
      <c r="E478" s="152" t="s">
        <v>1435</v>
      </c>
      <c r="F478" s="152" t="s">
        <v>2398</v>
      </c>
      <c r="G478" s="152" t="s">
        <v>2398</v>
      </c>
      <c r="H478" s="152" t="s">
        <v>2705</v>
      </c>
      <c r="I478" s="152" t="s">
        <v>2398</v>
      </c>
      <c r="J478" s="152" t="s">
        <v>2675</v>
      </c>
      <c r="K478" s="152" t="s">
        <v>2705</v>
      </c>
      <c r="L478" s="152" t="s">
        <v>2398</v>
      </c>
      <c r="M478" s="152" t="s">
        <v>1435</v>
      </c>
      <c r="N478" s="152" t="s">
        <v>2397</v>
      </c>
      <c r="O478" s="152" t="s">
        <v>2398</v>
      </c>
      <c r="P478" s="152" t="s">
        <v>2675</v>
      </c>
      <c r="Q478" s="152" t="s">
        <v>2705</v>
      </c>
      <c r="R478" s="152" t="s">
        <v>1435</v>
      </c>
      <c r="S478" s="152" t="s">
        <v>2397</v>
      </c>
      <c r="T478" s="152" t="s">
        <v>2705</v>
      </c>
      <c r="U478" s="152" t="s">
        <v>2675</v>
      </c>
    </row>
    <row r="479" spans="1:21" s="142" customFormat="1" ht="12.75" customHeight="1" x14ac:dyDescent="0.2">
      <c r="A479" s="151" t="s">
        <v>7556</v>
      </c>
      <c r="B479" s="152" t="s">
        <v>2398</v>
      </c>
      <c r="C479" s="152" t="s">
        <v>2705</v>
      </c>
      <c r="D479" s="152" t="s">
        <v>2398</v>
      </c>
      <c r="E479" s="152" t="s">
        <v>2398</v>
      </c>
      <c r="F479" s="152" t="s">
        <v>2398</v>
      </c>
      <c r="G479" s="152" t="s">
        <v>2398</v>
      </c>
      <c r="H479" s="152" t="s">
        <v>2705</v>
      </c>
      <c r="I479" s="152" t="s">
        <v>2705</v>
      </c>
      <c r="J479" s="152" t="s">
        <v>1435</v>
      </c>
      <c r="K479" s="152" t="s">
        <v>2705</v>
      </c>
      <c r="L479" s="152" t="s">
        <v>2705</v>
      </c>
      <c r="M479" s="152" t="s">
        <v>2705</v>
      </c>
      <c r="N479" s="152" t="s">
        <v>2705</v>
      </c>
      <c r="O479" s="152" t="s">
        <v>2398</v>
      </c>
      <c r="P479" s="152" t="s">
        <v>2398</v>
      </c>
      <c r="Q479" s="152" t="s">
        <v>2675</v>
      </c>
      <c r="R479" s="152" t="s">
        <v>2398</v>
      </c>
      <c r="S479" s="152" t="s">
        <v>2398</v>
      </c>
      <c r="T479" s="152" t="s">
        <v>2398</v>
      </c>
      <c r="U479" s="152" t="s">
        <v>1435</v>
      </c>
    </row>
    <row r="480" spans="1:21" s="142" customFormat="1" ht="12.75" x14ac:dyDescent="0.2">
      <c r="A480" s="151"/>
      <c r="B480" s="152" t="s">
        <v>2705</v>
      </c>
      <c r="C480" s="152" t="s">
        <v>1435</v>
      </c>
      <c r="D480" s="152" t="s">
        <v>2397</v>
      </c>
      <c r="E480" s="152" t="s">
        <v>2705</v>
      </c>
      <c r="F480" s="152" t="s">
        <v>2397</v>
      </c>
      <c r="G480" s="152" t="s">
        <v>2398</v>
      </c>
      <c r="H480" s="152" t="s">
        <v>2398</v>
      </c>
      <c r="I480" s="152" t="s">
        <v>2705</v>
      </c>
      <c r="J480" s="152" t="s">
        <v>2398</v>
      </c>
      <c r="K480" s="152" t="s">
        <v>2705</v>
      </c>
      <c r="L480" s="152" t="s">
        <v>2398</v>
      </c>
      <c r="M480" s="152" t="s">
        <v>2675</v>
      </c>
      <c r="N480" s="152" t="s">
        <v>2398</v>
      </c>
      <c r="O480" s="152" t="s">
        <v>2705</v>
      </c>
      <c r="P480" s="152" t="s">
        <v>2398</v>
      </c>
      <c r="Q480" s="152" t="s">
        <v>2705</v>
      </c>
      <c r="R480" s="152" t="s">
        <v>2705</v>
      </c>
      <c r="S480" s="152" t="s">
        <v>2398</v>
      </c>
      <c r="T480" s="152" t="s">
        <v>1435</v>
      </c>
      <c r="U480" s="152" t="s">
        <v>2705</v>
      </c>
    </row>
    <row r="481" spans="1:21" s="142" customFormat="1" ht="12.75" customHeight="1" x14ac:dyDescent="0.2">
      <c r="A481" s="151" t="s">
        <v>7557</v>
      </c>
      <c r="B481" s="152" t="s">
        <v>2705</v>
      </c>
      <c r="C481" s="152" t="s">
        <v>1435</v>
      </c>
      <c r="D481" s="152" t="s">
        <v>2705</v>
      </c>
      <c r="E481" s="152" t="s">
        <v>2705</v>
      </c>
      <c r="F481" s="152" t="s">
        <v>2398</v>
      </c>
      <c r="G481" s="152" t="s">
        <v>2705</v>
      </c>
      <c r="H481" s="152" t="s">
        <v>2705</v>
      </c>
      <c r="I481" s="152" t="s">
        <v>2705</v>
      </c>
      <c r="J481" s="152" t="s">
        <v>2675</v>
      </c>
      <c r="K481" s="152" t="s">
        <v>1435</v>
      </c>
      <c r="L481" s="152" t="s">
        <v>2705</v>
      </c>
      <c r="M481" s="152" t="s">
        <v>2705</v>
      </c>
      <c r="N481" s="152" t="s">
        <v>1435</v>
      </c>
      <c r="O481" s="152" t="s">
        <v>2398</v>
      </c>
      <c r="P481" s="152" t="s">
        <v>2705</v>
      </c>
      <c r="Q481" s="152" t="s">
        <v>2705</v>
      </c>
      <c r="R481" s="152" t="s">
        <v>2675</v>
      </c>
      <c r="S481" s="152" t="s">
        <v>2398</v>
      </c>
      <c r="T481" s="152" t="s">
        <v>2397</v>
      </c>
      <c r="U481" s="152" t="s">
        <v>2675</v>
      </c>
    </row>
    <row r="482" spans="1:21" s="142" customFormat="1" ht="12.75" x14ac:dyDescent="0.2">
      <c r="A482" s="151"/>
      <c r="B482" s="152" t="s">
        <v>2398</v>
      </c>
      <c r="C482" s="152" t="s">
        <v>2398</v>
      </c>
      <c r="D482" s="152" t="s">
        <v>2675</v>
      </c>
      <c r="E482" s="152" t="s">
        <v>2705</v>
      </c>
      <c r="F482" s="152" t="s">
        <v>2705</v>
      </c>
      <c r="G482" s="152" t="s">
        <v>2675</v>
      </c>
      <c r="H482" s="152" t="s">
        <v>2398</v>
      </c>
      <c r="I482" s="152" t="s">
        <v>2705</v>
      </c>
      <c r="J482" s="152" t="s">
        <v>2705</v>
      </c>
      <c r="K482" s="152" t="s">
        <v>2398</v>
      </c>
      <c r="L482" s="152" t="s">
        <v>2398</v>
      </c>
      <c r="M482" s="152" t="s">
        <v>2398</v>
      </c>
      <c r="N482" s="152" t="s">
        <v>2397</v>
      </c>
      <c r="O482" s="152" t="s">
        <v>2705</v>
      </c>
      <c r="P482" s="152" t="s">
        <v>2398</v>
      </c>
      <c r="Q482" s="152" t="s">
        <v>1435</v>
      </c>
      <c r="R482" s="152" t="s">
        <v>2705</v>
      </c>
      <c r="S482" s="152" t="s">
        <v>2398</v>
      </c>
      <c r="T482" s="152" t="s">
        <v>2398</v>
      </c>
      <c r="U482" s="152" t="s">
        <v>2705</v>
      </c>
    </row>
    <row r="483" spans="1:21" s="142" customFormat="1" ht="12.75" customHeight="1" x14ac:dyDescent="0.2">
      <c r="A483" s="151" t="s">
        <v>7558</v>
      </c>
      <c r="B483" s="152" t="s">
        <v>2397</v>
      </c>
      <c r="C483" s="152" t="s">
        <v>2705</v>
      </c>
      <c r="D483" s="152" t="s">
        <v>2705</v>
      </c>
      <c r="E483" s="152" t="s">
        <v>1435</v>
      </c>
      <c r="F483" s="152" t="s">
        <v>2705</v>
      </c>
      <c r="G483" s="152" t="s">
        <v>2705</v>
      </c>
      <c r="H483" s="152" t="s">
        <v>2705</v>
      </c>
      <c r="I483" s="152" t="s">
        <v>2675</v>
      </c>
      <c r="J483" s="152" t="s">
        <v>2705</v>
      </c>
      <c r="K483" s="152" t="s">
        <v>1435</v>
      </c>
      <c r="L483" s="152" t="s">
        <v>2705</v>
      </c>
      <c r="M483" s="152" t="s">
        <v>2705</v>
      </c>
      <c r="N483" s="152" t="s">
        <v>1435</v>
      </c>
      <c r="O483" s="152" t="s">
        <v>2397</v>
      </c>
      <c r="P483" s="152" t="s">
        <v>2705</v>
      </c>
      <c r="Q483" s="152" t="s">
        <v>2397</v>
      </c>
      <c r="R483" s="152" t="s">
        <v>2675</v>
      </c>
      <c r="S483" s="152" t="s">
        <v>2705</v>
      </c>
      <c r="T483" s="152" t="s">
        <v>2705</v>
      </c>
      <c r="U483" s="152" t="s">
        <v>2705</v>
      </c>
    </row>
    <row r="484" spans="1:21" s="142" customFormat="1" ht="12.75" x14ac:dyDescent="0.2">
      <c r="A484" s="151"/>
      <c r="B484" s="152" t="s">
        <v>2398</v>
      </c>
      <c r="C484" s="152" t="s">
        <v>2705</v>
      </c>
      <c r="D484" s="152" t="s">
        <v>2705</v>
      </c>
      <c r="E484" s="152" t="s">
        <v>2705</v>
      </c>
      <c r="F484" s="152" t="s">
        <v>2705</v>
      </c>
      <c r="G484" s="152" t="s">
        <v>2675</v>
      </c>
      <c r="H484" s="152" t="s">
        <v>2705</v>
      </c>
      <c r="I484" s="152" t="s">
        <v>2705</v>
      </c>
      <c r="J484" s="152" t="s">
        <v>2675</v>
      </c>
      <c r="K484" s="152" t="s">
        <v>2675</v>
      </c>
      <c r="L484" s="152" t="s">
        <v>2705</v>
      </c>
      <c r="M484" s="152" t="s">
        <v>1435</v>
      </c>
      <c r="N484" s="152" t="s">
        <v>1435</v>
      </c>
      <c r="O484" s="152" t="s">
        <v>2705</v>
      </c>
      <c r="P484" s="152" t="s">
        <v>2705</v>
      </c>
      <c r="Q484" s="152" t="s">
        <v>1435</v>
      </c>
      <c r="R484" s="152" t="s">
        <v>2675</v>
      </c>
      <c r="S484" s="152" t="s">
        <v>2705</v>
      </c>
      <c r="T484" s="152" t="s">
        <v>2398</v>
      </c>
      <c r="U484" s="152" t="s">
        <v>2705</v>
      </c>
    </row>
    <row r="485" spans="1:21" s="142" customFormat="1" ht="12.75" customHeight="1" x14ac:dyDescent="0.2">
      <c r="A485" s="151" t="s">
        <v>7559</v>
      </c>
      <c r="B485" s="152" t="s">
        <v>2705</v>
      </c>
      <c r="C485" s="152" t="s">
        <v>2705</v>
      </c>
      <c r="D485" s="152" t="s">
        <v>2398</v>
      </c>
      <c r="E485" s="152" t="s">
        <v>2398</v>
      </c>
      <c r="F485" s="152" t="s">
        <v>2675</v>
      </c>
      <c r="G485" s="152" t="s">
        <v>2705</v>
      </c>
      <c r="H485" s="152" t="s">
        <v>2705</v>
      </c>
      <c r="I485" s="152" t="s">
        <v>2398</v>
      </c>
      <c r="J485" s="152" t="s">
        <v>2398</v>
      </c>
      <c r="K485" s="152" t="s">
        <v>2705</v>
      </c>
      <c r="L485" s="152" t="s">
        <v>2398</v>
      </c>
      <c r="M485" s="152" t="s">
        <v>2705</v>
      </c>
      <c r="N485" s="152" t="s">
        <v>2705</v>
      </c>
      <c r="O485" s="152" t="s">
        <v>2398</v>
      </c>
      <c r="P485" s="152" t="s">
        <v>2705</v>
      </c>
      <c r="Q485" s="152" t="s">
        <v>2398</v>
      </c>
      <c r="R485" s="152" t="s">
        <v>1435</v>
      </c>
      <c r="S485" s="152" t="s">
        <v>2705</v>
      </c>
      <c r="T485" s="152" t="s">
        <v>2705</v>
      </c>
      <c r="U485" s="152" t="s">
        <v>2705</v>
      </c>
    </row>
    <row r="486" spans="1:21" s="142" customFormat="1" ht="12.75" x14ac:dyDescent="0.2">
      <c r="A486" s="151"/>
      <c r="B486" s="152" t="s">
        <v>2398</v>
      </c>
      <c r="C486" s="152" t="s">
        <v>2675</v>
      </c>
      <c r="D486" s="152" t="s">
        <v>2398</v>
      </c>
      <c r="E486" s="152" t="s">
        <v>2398</v>
      </c>
      <c r="F486" s="152" t="s">
        <v>2705</v>
      </c>
      <c r="G486" s="152" t="s">
        <v>2705</v>
      </c>
      <c r="H486" s="152" t="s">
        <v>2398</v>
      </c>
      <c r="I486" s="152" t="s">
        <v>2705</v>
      </c>
      <c r="J486" s="152" t="s">
        <v>1435</v>
      </c>
      <c r="K486" s="152" t="s">
        <v>2705</v>
      </c>
      <c r="L486" s="152" t="s">
        <v>2398</v>
      </c>
      <c r="M486" s="152" t="s">
        <v>2705</v>
      </c>
      <c r="N486" s="152" t="s">
        <v>2705</v>
      </c>
      <c r="O486" s="152" t="s">
        <v>2398</v>
      </c>
      <c r="P486" s="152" t="s">
        <v>2398</v>
      </c>
      <c r="Q486" s="152" t="s">
        <v>2705</v>
      </c>
      <c r="R486" s="152" t="s">
        <v>2398</v>
      </c>
      <c r="S486" s="152" t="s">
        <v>2705</v>
      </c>
      <c r="T486" s="152" t="s">
        <v>2705</v>
      </c>
      <c r="U486" s="152" t="s">
        <v>2398</v>
      </c>
    </row>
    <row r="487" spans="1:21" s="142" customFormat="1" ht="12.75" customHeight="1" x14ac:dyDescent="0.2">
      <c r="A487" s="151" t="s">
        <v>7560</v>
      </c>
      <c r="B487" s="152" t="s">
        <v>2398</v>
      </c>
      <c r="C487" s="152" t="s">
        <v>2705</v>
      </c>
      <c r="D487" s="152" t="s">
        <v>2705</v>
      </c>
      <c r="E487" s="152" t="s">
        <v>2705</v>
      </c>
      <c r="F487" s="152" t="s">
        <v>2398</v>
      </c>
      <c r="G487" s="152" t="s">
        <v>2398</v>
      </c>
      <c r="H487" s="152" t="s">
        <v>1435</v>
      </c>
      <c r="I487" s="152" t="s">
        <v>2705</v>
      </c>
      <c r="J487" s="152" t="s">
        <v>2705</v>
      </c>
      <c r="K487" s="152" t="s">
        <v>2705</v>
      </c>
      <c r="L487" s="152" t="s">
        <v>2398</v>
      </c>
      <c r="M487" s="152" t="s">
        <v>2705</v>
      </c>
      <c r="N487" s="152" t="s">
        <v>2705</v>
      </c>
      <c r="O487" s="152" t="s">
        <v>2398</v>
      </c>
      <c r="P487" s="152" t="s">
        <v>2398</v>
      </c>
      <c r="Q487" s="152" t="s">
        <v>2675</v>
      </c>
      <c r="R487" s="152" t="s">
        <v>2398</v>
      </c>
      <c r="S487" s="152" t="s">
        <v>2398</v>
      </c>
      <c r="T487" s="152" t="s">
        <v>2705</v>
      </c>
      <c r="U487" s="152" t="s">
        <v>2398</v>
      </c>
    </row>
    <row r="488" spans="1:21" s="142" customFormat="1" ht="12.75" x14ac:dyDescent="0.2">
      <c r="A488" s="151"/>
      <c r="B488" s="152" t="s">
        <v>2397</v>
      </c>
      <c r="C488" s="152" t="s">
        <v>2705</v>
      </c>
      <c r="D488" s="152" t="s">
        <v>2398</v>
      </c>
      <c r="E488" s="152" t="s">
        <v>2397</v>
      </c>
      <c r="F488" s="152" t="s">
        <v>2705</v>
      </c>
      <c r="G488" s="152" t="s">
        <v>1435</v>
      </c>
      <c r="H488" s="152" t="s">
        <v>2705</v>
      </c>
      <c r="I488" s="152" t="s">
        <v>2705</v>
      </c>
      <c r="J488" s="152" t="s">
        <v>2398</v>
      </c>
      <c r="K488" s="152" t="s">
        <v>2705</v>
      </c>
      <c r="L488" s="152" t="s">
        <v>2398</v>
      </c>
      <c r="M488" s="152" t="s">
        <v>2675</v>
      </c>
      <c r="N488" s="152" t="s">
        <v>2705</v>
      </c>
      <c r="O488" s="152" t="s">
        <v>2705</v>
      </c>
      <c r="P488" s="152" t="s">
        <v>2705</v>
      </c>
      <c r="Q488" s="152" t="s">
        <v>2705</v>
      </c>
      <c r="R488" s="152" t="s">
        <v>2398</v>
      </c>
      <c r="S488" s="152" t="s">
        <v>2705</v>
      </c>
      <c r="T488" s="152" t="s">
        <v>2397</v>
      </c>
      <c r="U488" s="152" t="s">
        <v>2398</v>
      </c>
    </row>
    <row r="489" spans="1:21" s="142" customFormat="1" ht="12.75" customHeight="1" x14ac:dyDescent="0.2">
      <c r="A489" s="151" t="s">
        <v>7561</v>
      </c>
      <c r="B489" s="152" t="s">
        <v>2705</v>
      </c>
      <c r="C489" s="152" t="s">
        <v>2705</v>
      </c>
      <c r="D489" s="152" t="s">
        <v>2705</v>
      </c>
      <c r="E489" s="152" t="s">
        <v>2705</v>
      </c>
      <c r="F489" s="152" t="s">
        <v>2705</v>
      </c>
      <c r="G489" s="152" t="s">
        <v>2705</v>
      </c>
      <c r="H489" s="152" t="s">
        <v>2705</v>
      </c>
      <c r="I489" s="152" t="s">
        <v>2705</v>
      </c>
      <c r="J489" s="152" t="s">
        <v>2705</v>
      </c>
      <c r="K489" s="152" t="s">
        <v>2705</v>
      </c>
      <c r="L489" s="152" t="s">
        <v>2705</v>
      </c>
      <c r="M489" s="152" t="s">
        <v>2398</v>
      </c>
      <c r="N489" s="152" t="s">
        <v>2705</v>
      </c>
      <c r="O489" s="152" t="s">
        <v>2398</v>
      </c>
      <c r="P489" s="152" t="s">
        <v>2398</v>
      </c>
      <c r="Q489" s="152" t="s">
        <v>2398</v>
      </c>
      <c r="R489" s="152" t="s">
        <v>2397</v>
      </c>
      <c r="S489" s="152" t="s">
        <v>2705</v>
      </c>
      <c r="T489" s="152" t="s">
        <v>2398</v>
      </c>
      <c r="U489" s="152" t="s">
        <v>2705</v>
      </c>
    </row>
    <row r="490" spans="1:21" s="142" customFormat="1" ht="12.75" x14ac:dyDescent="0.2">
      <c r="A490" s="151"/>
      <c r="B490" s="152" t="s">
        <v>2398</v>
      </c>
      <c r="C490" s="152" t="s">
        <v>2705</v>
      </c>
      <c r="D490" s="152" t="s">
        <v>2398</v>
      </c>
      <c r="E490" s="152" t="s">
        <v>2705</v>
      </c>
      <c r="F490" s="152" t="s">
        <v>2675</v>
      </c>
      <c r="G490" s="152" t="s">
        <v>2398</v>
      </c>
      <c r="H490" s="152" t="s">
        <v>2705</v>
      </c>
      <c r="I490" s="152" t="s">
        <v>2705</v>
      </c>
      <c r="J490" s="152" t="s">
        <v>2705</v>
      </c>
      <c r="K490" s="152" t="s">
        <v>2705</v>
      </c>
      <c r="L490" s="152" t="s">
        <v>2705</v>
      </c>
      <c r="M490" s="152" t="s">
        <v>2398</v>
      </c>
      <c r="N490" s="152" t="s">
        <v>2398</v>
      </c>
      <c r="O490" s="152" t="s">
        <v>2705</v>
      </c>
      <c r="P490" s="152" t="s">
        <v>2705</v>
      </c>
      <c r="Q490" s="152" t="s">
        <v>2705</v>
      </c>
      <c r="R490" s="152" t="s">
        <v>1435</v>
      </c>
      <c r="S490" s="152" t="s">
        <v>2398</v>
      </c>
      <c r="T490" s="152" t="s">
        <v>2705</v>
      </c>
      <c r="U490" s="152" t="s">
        <v>2705</v>
      </c>
    </row>
    <row r="491" spans="1:21" s="142" customFormat="1" ht="12.75" customHeight="1" x14ac:dyDescent="0.2">
      <c r="A491" s="151" t="s">
        <v>7562</v>
      </c>
      <c r="B491" s="152" t="s">
        <v>2705</v>
      </c>
      <c r="C491" s="152" t="s">
        <v>2398</v>
      </c>
      <c r="D491" s="152" t="s">
        <v>2398</v>
      </c>
      <c r="E491" s="152" t="s">
        <v>2397</v>
      </c>
      <c r="F491" s="152" t="s">
        <v>2705</v>
      </c>
      <c r="G491" s="152" t="s">
        <v>2705</v>
      </c>
      <c r="H491" s="152" t="s">
        <v>2705</v>
      </c>
      <c r="I491" s="152" t="s">
        <v>2397</v>
      </c>
      <c r="J491" s="152" t="s">
        <v>2398</v>
      </c>
      <c r="K491" s="152" t="s">
        <v>2705</v>
      </c>
      <c r="L491" s="152" t="s">
        <v>1435</v>
      </c>
      <c r="M491" s="152" t="s">
        <v>1435</v>
      </c>
      <c r="N491" s="152" t="s">
        <v>2397</v>
      </c>
      <c r="O491" s="152" t="s">
        <v>2398</v>
      </c>
      <c r="P491" s="152" t="s">
        <v>1435</v>
      </c>
      <c r="Q491" s="152" t="s">
        <v>2705</v>
      </c>
      <c r="R491" s="152" t="s">
        <v>2705</v>
      </c>
      <c r="S491" s="152" t="s">
        <v>2705</v>
      </c>
      <c r="T491" s="152" t="s">
        <v>2705</v>
      </c>
      <c r="U491" s="152" t="s">
        <v>2705</v>
      </c>
    </row>
    <row r="492" spans="1:21" s="142" customFormat="1" ht="12.75" x14ac:dyDescent="0.2">
      <c r="A492" s="151"/>
      <c r="B492" s="152" t="s">
        <v>2705</v>
      </c>
      <c r="C492" s="152" t="s">
        <v>2398</v>
      </c>
      <c r="D492" s="152" t="s">
        <v>2398</v>
      </c>
      <c r="E492" s="152" t="s">
        <v>2705</v>
      </c>
      <c r="F492" s="152" t="s">
        <v>2705</v>
      </c>
      <c r="G492" s="152" t="s">
        <v>2675</v>
      </c>
      <c r="H492" s="152" t="s">
        <v>2398</v>
      </c>
      <c r="I492" s="152" t="s">
        <v>2705</v>
      </c>
      <c r="J492" s="152" t="s">
        <v>2398</v>
      </c>
      <c r="K492" s="152" t="s">
        <v>2705</v>
      </c>
      <c r="L492" s="152" t="s">
        <v>2705</v>
      </c>
      <c r="M492" s="152" t="s">
        <v>2398</v>
      </c>
      <c r="N492" s="152" t="s">
        <v>2705</v>
      </c>
      <c r="O492" s="152" t="s">
        <v>2398</v>
      </c>
      <c r="P492" s="152" t="s">
        <v>2398</v>
      </c>
      <c r="Q492" s="152" t="s">
        <v>2398</v>
      </c>
      <c r="R492" s="152" t="s">
        <v>2398</v>
      </c>
      <c r="S492" s="152" t="s">
        <v>2705</v>
      </c>
      <c r="T492" s="152" t="s">
        <v>2398</v>
      </c>
      <c r="U492" s="152" t="s">
        <v>2398</v>
      </c>
    </row>
    <row r="493" spans="1:21" s="142" customFormat="1" ht="12.75" customHeight="1" x14ac:dyDescent="0.2">
      <c r="A493" s="151" t="s">
        <v>7563</v>
      </c>
      <c r="B493" s="152" t="s">
        <v>2705</v>
      </c>
      <c r="C493" s="152" t="s">
        <v>2705</v>
      </c>
      <c r="D493" s="152" t="s">
        <v>2675</v>
      </c>
      <c r="E493" s="152" t="s">
        <v>2705</v>
      </c>
      <c r="F493" s="152" t="s">
        <v>2398</v>
      </c>
      <c r="G493" s="152" t="s">
        <v>2705</v>
      </c>
      <c r="H493" s="152" t="s">
        <v>2705</v>
      </c>
      <c r="I493" s="152" t="s">
        <v>2398</v>
      </c>
      <c r="J493" s="152" t="s">
        <v>2398</v>
      </c>
      <c r="K493" s="152" t="s">
        <v>2398</v>
      </c>
      <c r="L493" s="152" t="s">
        <v>2398</v>
      </c>
      <c r="M493" s="152" t="s">
        <v>2398</v>
      </c>
      <c r="N493" s="152" t="s">
        <v>2398</v>
      </c>
      <c r="O493" s="152" t="s">
        <v>2705</v>
      </c>
      <c r="P493" s="152" t="s">
        <v>2398</v>
      </c>
      <c r="Q493" s="152" t="s">
        <v>2705</v>
      </c>
      <c r="R493" s="152" t="s">
        <v>2705</v>
      </c>
      <c r="S493" s="152" t="s">
        <v>2398</v>
      </c>
      <c r="T493" s="152" t="s">
        <v>2398</v>
      </c>
      <c r="U493" s="152" t="s">
        <v>2398</v>
      </c>
    </row>
    <row r="494" spans="1:21" s="142" customFormat="1" ht="12.75" x14ac:dyDescent="0.2">
      <c r="A494" s="151"/>
      <c r="B494" s="152" t="s">
        <v>2398</v>
      </c>
      <c r="C494" s="152" t="s">
        <v>2705</v>
      </c>
      <c r="D494" s="152" t="s">
        <v>2397</v>
      </c>
      <c r="E494" s="152" t="s">
        <v>2398</v>
      </c>
      <c r="F494" s="152" t="s">
        <v>2398</v>
      </c>
      <c r="G494" s="152" t="s">
        <v>2397</v>
      </c>
      <c r="H494" s="152" t="s">
        <v>2705</v>
      </c>
      <c r="I494" s="152" t="s">
        <v>2398</v>
      </c>
      <c r="J494" s="152" t="s">
        <v>2705</v>
      </c>
      <c r="K494" s="152" t="s">
        <v>2705</v>
      </c>
      <c r="L494" s="152" t="s">
        <v>2398</v>
      </c>
      <c r="M494" s="152" t="s">
        <v>2705</v>
      </c>
      <c r="N494" s="152" t="s">
        <v>2705</v>
      </c>
      <c r="O494" s="152" t="s">
        <v>2705</v>
      </c>
      <c r="P494" s="152" t="s">
        <v>1435</v>
      </c>
      <c r="Q494" s="152" t="s">
        <v>2705</v>
      </c>
      <c r="R494" s="152" t="s">
        <v>2398</v>
      </c>
      <c r="S494" s="152" t="s">
        <v>2705</v>
      </c>
      <c r="T494" s="152" t="s">
        <v>2705</v>
      </c>
      <c r="U494" s="152" t="s">
        <v>2705</v>
      </c>
    </row>
    <row r="495" spans="1:21" s="142" customFormat="1" ht="12.75" customHeight="1" x14ac:dyDescent="0.2">
      <c r="A495" s="151" t="s">
        <v>7564</v>
      </c>
      <c r="B495" s="152" t="s">
        <v>2675</v>
      </c>
      <c r="C495" s="152" t="s">
        <v>2705</v>
      </c>
      <c r="D495" s="152" t="s">
        <v>2705</v>
      </c>
      <c r="E495" s="152" t="s">
        <v>2705</v>
      </c>
      <c r="F495" s="152" t="s">
        <v>2705</v>
      </c>
      <c r="G495" s="152" t="s">
        <v>2705</v>
      </c>
      <c r="H495" s="152" t="s">
        <v>2705</v>
      </c>
      <c r="I495" s="152" t="s">
        <v>2398</v>
      </c>
      <c r="J495" s="152" t="s">
        <v>2705</v>
      </c>
      <c r="K495" s="152" t="s">
        <v>2705</v>
      </c>
      <c r="L495" s="152" t="s">
        <v>1435</v>
      </c>
      <c r="M495" s="152" t="s">
        <v>2705</v>
      </c>
      <c r="N495" s="152" t="s">
        <v>2398</v>
      </c>
      <c r="O495" s="152" t="s">
        <v>2675</v>
      </c>
      <c r="P495" s="152" t="s">
        <v>2705</v>
      </c>
      <c r="Q495" s="152" t="s">
        <v>2705</v>
      </c>
      <c r="R495" s="152" t="s">
        <v>2705</v>
      </c>
      <c r="S495" s="152" t="s">
        <v>2705</v>
      </c>
      <c r="T495" s="152" t="s">
        <v>2705</v>
      </c>
      <c r="U495" s="152" t="s">
        <v>2705</v>
      </c>
    </row>
    <row r="496" spans="1:21" s="142" customFormat="1" ht="12.75" x14ac:dyDescent="0.2">
      <c r="A496" s="151"/>
      <c r="B496" s="152" t="s">
        <v>2675</v>
      </c>
      <c r="C496" s="152" t="s">
        <v>2398</v>
      </c>
      <c r="D496" s="152" t="s">
        <v>2705</v>
      </c>
      <c r="E496" s="152" t="s">
        <v>2705</v>
      </c>
      <c r="F496" s="152" t="s">
        <v>2705</v>
      </c>
      <c r="G496" s="152" t="s">
        <v>2705</v>
      </c>
      <c r="H496" s="152" t="s">
        <v>2705</v>
      </c>
      <c r="I496" s="152" t="s">
        <v>1435</v>
      </c>
      <c r="J496" s="152" t="s">
        <v>2705</v>
      </c>
      <c r="K496" s="152" t="s">
        <v>2705</v>
      </c>
      <c r="L496" s="152" t="s">
        <v>2398</v>
      </c>
      <c r="M496" s="152" t="s">
        <v>2398</v>
      </c>
      <c r="N496" s="152" t="s">
        <v>2705</v>
      </c>
      <c r="O496" s="152" t="s">
        <v>2705</v>
      </c>
      <c r="P496" s="152" t="s">
        <v>2675</v>
      </c>
      <c r="Q496" s="152" t="s">
        <v>2705</v>
      </c>
      <c r="R496" s="152" t="s">
        <v>2705</v>
      </c>
      <c r="S496" s="152" t="s">
        <v>2705</v>
      </c>
      <c r="T496" s="152" t="s">
        <v>2705</v>
      </c>
      <c r="U496" s="152" t="s">
        <v>2398</v>
      </c>
    </row>
    <row r="497" spans="1:21" s="142" customFormat="1" ht="12.75" customHeight="1" x14ac:dyDescent="0.2">
      <c r="A497" s="151" t="s">
        <v>7565</v>
      </c>
      <c r="B497" s="152" t="s">
        <v>2705</v>
      </c>
      <c r="C497" s="152" t="s">
        <v>2705</v>
      </c>
      <c r="D497" s="152" t="s">
        <v>2675</v>
      </c>
      <c r="E497" s="152" t="s">
        <v>2705</v>
      </c>
      <c r="F497" s="152" t="s">
        <v>2705</v>
      </c>
      <c r="G497" s="152" t="s">
        <v>2705</v>
      </c>
      <c r="H497" s="152" t="s">
        <v>2705</v>
      </c>
      <c r="I497" s="152" t="s">
        <v>2705</v>
      </c>
      <c r="J497" s="152" t="s">
        <v>2705</v>
      </c>
      <c r="K497" s="152" t="s">
        <v>2705</v>
      </c>
      <c r="L497" s="152" t="s">
        <v>2675</v>
      </c>
      <c r="M497" s="152" t="s">
        <v>2705</v>
      </c>
      <c r="N497" s="152" t="s">
        <v>2675</v>
      </c>
      <c r="O497" s="152" t="s">
        <v>2398</v>
      </c>
      <c r="P497" s="152" t="s">
        <v>2705</v>
      </c>
      <c r="Q497" s="152" t="s">
        <v>2398</v>
      </c>
      <c r="R497" s="152" t="s">
        <v>2398</v>
      </c>
      <c r="S497" s="152" t="s">
        <v>2398</v>
      </c>
      <c r="T497" s="152" t="s">
        <v>1435</v>
      </c>
      <c r="U497" s="152" t="s">
        <v>2705</v>
      </c>
    </row>
    <row r="498" spans="1:21" s="142" customFormat="1" ht="12.75" x14ac:dyDescent="0.2">
      <c r="A498" s="151"/>
      <c r="B498" s="152" t="s">
        <v>2398</v>
      </c>
      <c r="C498" s="152" t="s">
        <v>2705</v>
      </c>
      <c r="D498" s="152" t="s">
        <v>2705</v>
      </c>
      <c r="E498" s="152" t="s">
        <v>2705</v>
      </c>
      <c r="F498" s="152" t="s">
        <v>2398</v>
      </c>
      <c r="G498" s="152" t="s">
        <v>2675</v>
      </c>
      <c r="H498" s="152" t="s">
        <v>2705</v>
      </c>
      <c r="I498" s="152" t="s">
        <v>2705</v>
      </c>
      <c r="J498" s="152" t="s">
        <v>2398</v>
      </c>
      <c r="K498" s="152" t="s">
        <v>2398</v>
      </c>
      <c r="L498" s="152" t="s">
        <v>2705</v>
      </c>
      <c r="M498" s="152" t="s">
        <v>2705</v>
      </c>
      <c r="N498" s="152" t="s">
        <v>2705</v>
      </c>
      <c r="O498" s="152" t="s">
        <v>2705</v>
      </c>
      <c r="P498" s="152" t="s">
        <v>2398</v>
      </c>
      <c r="Q498" s="152" t="s">
        <v>2705</v>
      </c>
      <c r="R498" s="152" t="s">
        <v>2705</v>
      </c>
      <c r="S498" s="152" t="s">
        <v>2705</v>
      </c>
      <c r="T498" s="152" t="s">
        <v>2398</v>
      </c>
      <c r="U498" s="152" t="s">
        <v>2705</v>
      </c>
    </row>
    <row r="499" spans="1:21" s="142" customFormat="1" ht="12.75" customHeight="1" x14ac:dyDescent="0.2">
      <c r="A499" s="151" t="s">
        <v>7566</v>
      </c>
      <c r="B499" s="152" t="s">
        <v>2398</v>
      </c>
      <c r="C499" s="152" t="s">
        <v>2705</v>
      </c>
      <c r="D499" s="152" t="s">
        <v>2398</v>
      </c>
      <c r="E499" s="152" t="s">
        <v>2705</v>
      </c>
      <c r="F499" s="152" t="s">
        <v>2705</v>
      </c>
      <c r="G499" s="152" t="s">
        <v>2705</v>
      </c>
      <c r="H499" s="152" t="s">
        <v>2705</v>
      </c>
      <c r="I499" s="152" t="s">
        <v>2705</v>
      </c>
      <c r="J499" s="152" t="s">
        <v>2705</v>
      </c>
      <c r="K499" s="152" t="s">
        <v>2398</v>
      </c>
      <c r="L499" s="152" t="s">
        <v>2675</v>
      </c>
      <c r="M499" s="152" t="s">
        <v>2705</v>
      </c>
      <c r="N499" s="152" t="s">
        <v>2705</v>
      </c>
      <c r="O499" s="152" t="s">
        <v>2398</v>
      </c>
      <c r="P499" s="152" t="s">
        <v>2398</v>
      </c>
      <c r="Q499" s="152" t="s">
        <v>2705</v>
      </c>
      <c r="R499" s="152" t="s">
        <v>2398</v>
      </c>
      <c r="S499" s="152" t="s">
        <v>2705</v>
      </c>
      <c r="T499" s="152" t="s">
        <v>2705</v>
      </c>
      <c r="U499" s="152" t="s">
        <v>2705</v>
      </c>
    </row>
    <row r="500" spans="1:21" s="142" customFormat="1" ht="12.75" x14ac:dyDescent="0.2">
      <c r="A500" s="151"/>
      <c r="B500" s="152" t="s">
        <v>2398</v>
      </c>
      <c r="C500" s="152" t="s">
        <v>2675</v>
      </c>
      <c r="D500" s="152" t="s">
        <v>2398</v>
      </c>
      <c r="E500" s="152" t="s">
        <v>2675</v>
      </c>
      <c r="F500" s="152" t="s">
        <v>2398</v>
      </c>
      <c r="G500" s="152" t="s">
        <v>2705</v>
      </c>
      <c r="H500" s="152" t="s">
        <v>2398</v>
      </c>
      <c r="I500" s="152" t="s">
        <v>2398</v>
      </c>
      <c r="J500" s="152" t="s">
        <v>2398</v>
      </c>
      <c r="K500" s="152" t="s">
        <v>2705</v>
      </c>
      <c r="L500" s="152" t="s">
        <v>2705</v>
      </c>
      <c r="M500" s="152" t="s">
        <v>2705</v>
      </c>
      <c r="N500" s="152" t="s">
        <v>2705</v>
      </c>
      <c r="O500" s="152" t="s">
        <v>2398</v>
      </c>
      <c r="P500" s="152" t="s">
        <v>2398</v>
      </c>
      <c r="Q500" s="152" t="s">
        <v>1435</v>
      </c>
      <c r="R500" s="152" t="s">
        <v>2398</v>
      </c>
      <c r="S500" s="152" t="s">
        <v>2398</v>
      </c>
      <c r="T500" s="152" t="s">
        <v>2705</v>
      </c>
      <c r="U500" s="152" t="s">
        <v>2398</v>
      </c>
    </row>
    <row r="501" spans="1:21" s="142" customFormat="1" ht="12.75" customHeight="1" x14ac:dyDescent="0.2">
      <c r="A501" s="151" t="s">
        <v>7567</v>
      </c>
      <c r="B501" s="152" t="s">
        <v>2398</v>
      </c>
      <c r="C501" s="152" t="s">
        <v>2705</v>
      </c>
      <c r="D501" s="152" t="s">
        <v>2397</v>
      </c>
      <c r="E501" s="152" t="s">
        <v>2398</v>
      </c>
      <c r="F501" s="152" t="s">
        <v>2705</v>
      </c>
      <c r="G501" s="152" t="s">
        <v>2705</v>
      </c>
      <c r="H501" s="152" t="s">
        <v>2705</v>
      </c>
      <c r="I501" s="152" t="s">
        <v>2398</v>
      </c>
      <c r="J501" s="152" t="s">
        <v>2705</v>
      </c>
      <c r="K501" s="152" t="s">
        <v>2705</v>
      </c>
      <c r="L501" s="152" t="s">
        <v>2398</v>
      </c>
      <c r="M501" s="152" t="s">
        <v>2705</v>
      </c>
      <c r="N501" s="152" t="s">
        <v>2705</v>
      </c>
      <c r="O501" s="152" t="s">
        <v>2705</v>
      </c>
      <c r="P501" s="152" t="s">
        <v>2705</v>
      </c>
      <c r="Q501" s="152" t="s">
        <v>2705</v>
      </c>
      <c r="R501" s="152" t="s">
        <v>2705</v>
      </c>
      <c r="S501" s="152" t="s">
        <v>2705</v>
      </c>
      <c r="T501" s="152" t="s">
        <v>2705</v>
      </c>
      <c r="U501" s="152" t="s">
        <v>2705</v>
      </c>
    </row>
    <row r="502" spans="1:21" s="142" customFormat="1" ht="12.75" x14ac:dyDescent="0.2">
      <c r="A502" s="151"/>
      <c r="B502" s="152" t="s">
        <v>2398</v>
      </c>
      <c r="C502" s="152" t="s">
        <v>2675</v>
      </c>
      <c r="D502" s="152" t="s">
        <v>2705</v>
      </c>
      <c r="E502" s="152" t="s">
        <v>2705</v>
      </c>
      <c r="F502" s="152" t="s">
        <v>2705</v>
      </c>
      <c r="G502" s="152" t="s">
        <v>2705</v>
      </c>
      <c r="H502" s="152" t="s">
        <v>2398</v>
      </c>
      <c r="I502" s="152" t="s">
        <v>2705</v>
      </c>
      <c r="J502" s="152" t="s">
        <v>2705</v>
      </c>
      <c r="K502" s="152" t="s">
        <v>2705</v>
      </c>
      <c r="L502" s="152" t="s">
        <v>2705</v>
      </c>
      <c r="M502" s="152" t="s">
        <v>2398</v>
      </c>
      <c r="N502" s="152" t="s">
        <v>2705</v>
      </c>
      <c r="O502" s="152" t="s">
        <v>2705</v>
      </c>
      <c r="P502" s="152" t="s">
        <v>2705</v>
      </c>
      <c r="Q502" s="152" t="s">
        <v>2705</v>
      </c>
      <c r="R502" s="152" t="s">
        <v>2705</v>
      </c>
      <c r="S502" s="152" t="s">
        <v>2705</v>
      </c>
      <c r="T502" s="152" t="s">
        <v>2705</v>
      </c>
      <c r="U502" s="152" t="s">
        <v>2705</v>
      </c>
    </row>
    <row r="503" spans="1:21" s="142" customFormat="1" ht="12.75" customHeight="1" x14ac:dyDescent="0.2">
      <c r="A503" s="151" t="s">
        <v>7568</v>
      </c>
      <c r="B503" s="152" t="s">
        <v>1435</v>
      </c>
      <c r="C503" s="152" t="s">
        <v>2705</v>
      </c>
      <c r="D503" s="152" t="s">
        <v>2675</v>
      </c>
      <c r="E503" s="152" t="s">
        <v>2705</v>
      </c>
      <c r="F503" s="152" t="s">
        <v>1435</v>
      </c>
      <c r="G503" s="152" t="s">
        <v>2705</v>
      </c>
      <c r="H503" s="152" t="s">
        <v>2705</v>
      </c>
      <c r="I503" s="152" t="s">
        <v>2398</v>
      </c>
      <c r="J503" s="152" t="s">
        <v>2398</v>
      </c>
      <c r="K503" s="152" t="s">
        <v>2398</v>
      </c>
      <c r="L503" s="152" t="s">
        <v>2705</v>
      </c>
      <c r="M503" s="152" t="s">
        <v>2705</v>
      </c>
      <c r="N503" s="152" t="s">
        <v>2705</v>
      </c>
      <c r="O503" s="152" t="s">
        <v>2705</v>
      </c>
      <c r="P503" s="152" t="s">
        <v>2705</v>
      </c>
      <c r="Q503" s="152" t="s">
        <v>2705</v>
      </c>
      <c r="R503" s="152" t="s">
        <v>2705</v>
      </c>
      <c r="S503" s="152" t="s">
        <v>2705</v>
      </c>
      <c r="T503" s="152" t="s">
        <v>2398</v>
      </c>
      <c r="U503" s="152" t="s">
        <v>2705</v>
      </c>
    </row>
    <row r="504" spans="1:21" s="142" customFormat="1" ht="12.75" x14ac:dyDescent="0.2">
      <c r="A504" s="151"/>
      <c r="B504" s="152" t="s">
        <v>2397</v>
      </c>
      <c r="C504" s="152" t="s">
        <v>2675</v>
      </c>
      <c r="D504" s="152" t="s">
        <v>1435</v>
      </c>
      <c r="E504" s="152" t="s">
        <v>2675</v>
      </c>
      <c r="F504" s="152" t="s">
        <v>2398</v>
      </c>
      <c r="G504" s="152" t="s">
        <v>2705</v>
      </c>
      <c r="H504" s="152" t="s">
        <v>2705</v>
      </c>
      <c r="I504" s="152" t="s">
        <v>2705</v>
      </c>
      <c r="J504" s="152" t="s">
        <v>2675</v>
      </c>
      <c r="K504" s="152" t="s">
        <v>2705</v>
      </c>
      <c r="L504" s="152" t="s">
        <v>2398</v>
      </c>
      <c r="M504" s="152" t="s">
        <v>1435</v>
      </c>
      <c r="N504" s="152" t="s">
        <v>2705</v>
      </c>
      <c r="O504" s="152" t="s">
        <v>2397</v>
      </c>
      <c r="P504" s="152" t="s">
        <v>2705</v>
      </c>
      <c r="Q504" s="152" t="s">
        <v>2705</v>
      </c>
      <c r="R504" s="152" t="s">
        <v>1435</v>
      </c>
      <c r="S504" s="152" t="s">
        <v>2705</v>
      </c>
      <c r="T504" s="152" t="s">
        <v>2705</v>
      </c>
      <c r="U504" s="152" t="s">
        <v>2705</v>
      </c>
    </row>
    <row r="505" spans="1:21" s="142" customFormat="1" ht="12.75" customHeight="1" x14ac:dyDescent="0.2">
      <c r="A505" s="151" t="s">
        <v>7569</v>
      </c>
      <c r="B505" s="152" t="s">
        <v>2705</v>
      </c>
      <c r="C505" s="152" t="s">
        <v>2705</v>
      </c>
      <c r="D505" s="152" t="s">
        <v>2705</v>
      </c>
      <c r="E505" s="152" t="s">
        <v>2705</v>
      </c>
      <c r="F505" s="152" t="s">
        <v>2705</v>
      </c>
      <c r="G505" s="152" t="s">
        <v>2705</v>
      </c>
      <c r="H505" s="152" t="s">
        <v>2705</v>
      </c>
      <c r="I505" s="152" t="s">
        <v>2705</v>
      </c>
      <c r="J505" s="152" t="s">
        <v>2705</v>
      </c>
      <c r="K505" s="152" t="s">
        <v>1435</v>
      </c>
      <c r="L505" s="152" t="s">
        <v>2705</v>
      </c>
      <c r="M505" s="152" t="s">
        <v>2705</v>
      </c>
      <c r="N505" s="152" t="s">
        <v>2705</v>
      </c>
      <c r="O505" s="152" t="s">
        <v>2705</v>
      </c>
      <c r="P505" s="152" t="s">
        <v>2705</v>
      </c>
      <c r="Q505" s="152" t="s">
        <v>1435</v>
      </c>
      <c r="R505" s="152" t="s">
        <v>2398</v>
      </c>
      <c r="S505" s="152" t="s">
        <v>2398</v>
      </c>
      <c r="T505" s="152" t="s">
        <v>2705</v>
      </c>
      <c r="U505" s="152" t="s">
        <v>2705</v>
      </c>
    </row>
    <row r="506" spans="1:21" s="142" customFormat="1" ht="12.75" x14ac:dyDescent="0.2">
      <c r="A506" s="151"/>
      <c r="B506" s="152" t="s">
        <v>2705</v>
      </c>
      <c r="C506" s="152" t="s">
        <v>2705</v>
      </c>
      <c r="D506" s="152" t="s">
        <v>2705</v>
      </c>
      <c r="E506" s="152" t="s">
        <v>2705</v>
      </c>
      <c r="F506" s="152" t="s">
        <v>2705</v>
      </c>
      <c r="G506" s="152" t="s">
        <v>2675</v>
      </c>
      <c r="H506" s="152" t="s">
        <v>2705</v>
      </c>
      <c r="I506" s="152" t="s">
        <v>2705</v>
      </c>
      <c r="J506" s="152" t="s">
        <v>2675</v>
      </c>
      <c r="K506" s="152" t="s">
        <v>2675</v>
      </c>
      <c r="L506" s="152" t="s">
        <v>2705</v>
      </c>
      <c r="M506" s="152" t="s">
        <v>2705</v>
      </c>
      <c r="N506" s="152" t="s">
        <v>2705</v>
      </c>
      <c r="O506" s="152" t="s">
        <v>2705</v>
      </c>
      <c r="P506" s="152" t="s">
        <v>2398</v>
      </c>
      <c r="Q506" s="152" t="s">
        <v>2705</v>
      </c>
      <c r="R506" s="152" t="s">
        <v>2705</v>
      </c>
      <c r="S506" s="152" t="s">
        <v>2705</v>
      </c>
      <c r="T506" s="152" t="s">
        <v>2705</v>
      </c>
      <c r="U506" s="152" t="s">
        <v>2705</v>
      </c>
    </row>
    <row r="507" spans="1:21" s="142" customFormat="1" ht="12.75" customHeight="1" x14ac:dyDescent="0.2">
      <c r="A507" s="151" t="s">
        <v>7570</v>
      </c>
      <c r="B507" s="152" t="s">
        <v>2705</v>
      </c>
      <c r="C507" s="152" t="s">
        <v>2398</v>
      </c>
      <c r="D507" s="152" t="s">
        <v>2705</v>
      </c>
      <c r="E507" s="152" t="s">
        <v>2705</v>
      </c>
      <c r="F507" s="152" t="s">
        <v>2398</v>
      </c>
      <c r="G507" s="152" t="s">
        <v>2398</v>
      </c>
      <c r="H507" s="152" t="s">
        <v>2705</v>
      </c>
      <c r="I507" s="152" t="s">
        <v>2705</v>
      </c>
      <c r="J507" s="152" t="s">
        <v>2675</v>
      </c>
      <c r="K507" s="152" t="s">
        <v>2398</v>
      </c>
      <c r="L507" s="152" t="s">
        <v>2397</v>
      </c>
      <c r="M507" s="152" t="s">
        <v>2398</v>
      </c>
      <c r="N507" s="152" t="s">
        <v>2705</v>
      </c>
      <c r="O507" s="152" t="s">
        <v>2398</v>
      </c>
      <c r="P507" s="152" t="s">
        <v>2675</v>
      </c>
      <c r="Q507" s="152" t="s">
        <v>1435</v>
      </c>
      <c r="R507" s="152" t="s">
        <v>2398</v>
      </c>
      <c r="S507" s="152" t="s">
        <v>2705</v>
      </c>
      <c r="T507" s="152" t="s">
        <v>2398</v>
      </c>
      <c r="U507" s="152" t="s">
        <v>2398</v>
      </c>
    </row>
    <row r="508" spans="1:21" s="142" customFormat="1" ht="12.75" x14ac:dyDescent="0.2">
      <c r="A508" s="151"/>
      <c r="B508" s="152" t="s">
        <v>2705</v>
      </c>
      <c r="C508" s="152" t="s">
        <v>2675</v>
      </c>
      <c r="D508" s="152" t="s">
        <v>2705</v>
      </c>
      <c r="E508" s="152" t="s">
        <v>2398</v>
      </c>
      <c r="F508" s="152" t="s">
        <v>2705</v>
      </c>
      <c r="G508" s="152" t="s">
        <v>1435</v>
      </c>
      <c r="H508" s="152" t="s">
        <v>2705</v>
      </c>
      <c r="I508" s="152" t="s">
        <v>2398</v>
      </c>
      <c r="J508" s="152" t="s">
        <v>2705</v>
      </c>
      <c r="K508" s="152" t="s">
        <v>2705</v>
      </c>
      <c r="L508" s="152" t="s">
        <v>2398</v>
      </c>
      <c r="M508" s="152" t="s">
        <v>1435</v>
      </c>
      <c r="N508" s="152" t="s">
        <v>2398</v>
      </c>
      <c r="O508" s="152" t="s">
        <v>2705</v>
      </c>
      <c r="P508" s="152" t="s">
        <v>2675</v>
      </c>
      <c r="Q508" s="152" t="s">
        <v>2705</v>
      </c>
      <c r="R508" s="152" t="s">
        <v>1435</v>
      </c>
      <c r="S508" s="152" t="s">
        <v>2675</v>
      </c>
      <c r="T508" s="152" t="s">
        <v>2705</v>
      </c>
      <c r="U508" s="152" t="s">
        <v>2397</v>
      </c>
    </row>
    <row r="509" spans="1:21" s="142" customFormat="1" ht="12.75" customHeight="1" x14ac:dyDescent="0.2">
      <c r="A509" s="151" t="s">
        <v>7571</v>
      </c>
      <c r="B509" s="152" t="s">
        <v>2398</v>
      </c>
      <c r="C509" s="152" t="s">
        <v>2705</v>
      </c>
      <c r="D509" s="152" t="s">
        <v>2705</v>
      </c>
      <c r="E509" s="152" t="s">
        <v>2398</v>
      </c>
      <c r="F509" s="152" t="s">
        <v>2705</v>
      </c>
      <c r="G509" s="152" t="s">
        <v>2705</v>
      </c>
      <c r="H509" s="152" t="s">
        <v>2705</v>
      </c>
      <c r="I509" s="152" t="s">
        <v>2705</v>
      </c>
      <c r="J509" s="152" t="s">
        <v>2675</v>
      </c>
      <c r="K509" s="152" t="s">
        <v>2398</v>
      </c>
      <c r="L509" s="152" t="s">
        <v>2705</v>
      </c>
      <c r="M509" s="152" t="s">
        <v>2705</v>
      </c>
      <c r="N509" s="152" t="s">
        <v>2675</v>
      </c>
      <c r="O509" s="152" t="s">
        <v>2398</v>
      </c>
      <c r="P509" s="152" t="s">
        <v>2397</v>
      </c>
      <c r="Q509" s="152" t="s">
        <v>2398</v>
      </c>
      <c r="R509" s="152" t="s">
        <v>2398</v>
      </c>
      <c r="S509" s="152" t="s">
        <v>2398</v>
      </c>
      <c r="T509" s="152" t="s">
        <v>2705</v>
      </c>
      <c r="U509" s="152" t="s">
        <v>2398</v>
      </c>
    </row>
    <row r="510" spans="1:21" s="142" customFormat="1" ht="12.75" x14ac:dyDescent="0.2">
      <c r="A510" s="151"/>
      <c r="B510" s="152" t="s">
        <v>2398</v>
      </c>
      <c r="C510" s="152" t="s">
        <v>2705</v>
      </c>
      <c r="D510" s="152" t="s">
        <v>2705</v>
      </c>
      <c r="E510" s="152" t="s">
        <v>2705</v>
      </c>
      <c r="F510" s="152" t="s">
        <v>2398</v>
      </c>
      <c r="G510" s="152" t="s">
        <v>2705</v>
      </c>
      <c r="H510" s="152" t="s">
        <v>2398</v>
      </c>
      <c r="I510" s="152" t="s">
        <v>2705</v>
      </c>
      <c r="J510" s="152" t="s">
        <v>2675</v>
      </c>
      <c r="K510" s="152" t="s">
        <v>2398</v>
      </c>
      <c r="L510" s="152" t="s">
        <v>2705</v>
      </c>
      <c r="M510" s="152" t="s">
        <v>2705</v>
      </c>
      <c r="N510" s="152" t="s">
        <v>2705</v>
      </c>
      <c r="O510" s="152" t="s">
        <v>2705</v>
      </c>
      <c r="P510" s="152" t="s">
        <v>2398</v>
      </c>
      <c r="Q510" s="152" t="s">
        <v>1435</v>
      </c>
      <c r="R510" s="152" t="s">
        <v>2705</v>
      </c>
      <c r="S510" s="152" t="s">
        <v>2705</v>
      </c>
      <c r="T510" s="152" t="s">
        <v>2398</v>
      </c>
      <c r="U510" s="152" t="s">
        <v>2705</v>
      </c>
    </row>
    <row r="511" spans="1:21" s="142" customFormat="1" ht="12.75" customHeight="1" x14ac:dyDescent="0.2">
      <c r="A511" s="151" t="s">
        <v>7572</v>
      </c>
      <c r="B511" s="152" t="s">
        <v>2705</v>
      </c>
      <c r="C511" s="152" t="s">
        <v>2705</v>
      </c>
      <c r="D511" s="152" t="s">
        <v>2705</v>
      </c>
      <c r="E511" s="152" t="s">
        <v>2398</v>
      </c>
      <c r="F511" s="152" t="s">
        <v>2398</v>
      </c>
      <c r="G511" s="152" t="s">
        <v>2705</v>
      </c>
      <c r="H511" s="152" t="s">
        <v>2705</v>
      </c>
      <c r="I511" s="152" t="s">
        <v>2398</v>
      </c>
      <c r="J511" s="152" t="s">
        <v>1435</v>
      </c>
      <c r="K511" s="152" t="s">
        <v>2705</v>
      </c>
      <c r="L511" s="152" t="s">
        <v>2398</v>
      </c>
      <c r="M511" s="152" t="s">
        <v>2705</v>
      </c>
      <c r="N511" s="152" t="s">
        <v>2705</v>
      </c>
      <c r="O511" s="152" t="s">
        <v>2398</v>
      </c>
      <c r="P511" s="152" t="s">
        <v>2398</v>
      </c>
      <c r="Q511" s="152" t="s">
        <v>2705</v>
      </c>
      <c r="R511" s="152" t="s">
        <v>2398</v>
      </c>
      <c r="S511" s="152" t="s">
        <v>2398</v>
      </c>
      <c r="T511" s="152" t="s">
        <v>2398</v>
      </c>
      <c r="U511" s="152" t="s">
        <v>2398</v>
      </c>
    </row>
    <row r="512" spans="1:21" s="142" customFormat="1" ht="12.75" x14ac:dyDescent="0.2">
      <c r="A512" s="151"/>
      <c r="B512" s="152" t="s">
        <v>2705</v>
      </c>
      <c r="C512" s="152" t="s">
        <v>2705</v>
      </c>
      <c r="D512" s="152" t="s">
        <v>2705</v>
      </c>
      <c r="E512" s="152" t="s">
        <v>2397</v>
      </c>
      <c r="F512" s="152" t="s">
        <v>2705</v>
      </c>
      <c r="G512" s="152" t="s">
        <v>2398</v>
      </c>
      <c r="H512" s="152" t="s">
        <v>2705</v>
      </c>
      <c r="I512" s="152" t="s">
        <v>2705</v>
      </c>
      <c r="J512" s="152" t="s">
        <v>2705</v>
      </c>
      <c r="K512" s="152" t="s">
        <v>2705</v>
      </c>
      <c r="L512" s="152" t="s">
        <v>2398</v>
      </c>
      <c r="M512" s="152" t="s">
        <v>1435</v>
      </c>
      <c r="N512" s="152" t="s">
        <v>2705</v>
      </c>
      <c r="O512" s="152" t="s">
        <v>2705</v>
      </c>
      <c r="P512" s="152" t="s">
        <v>2398</v>
      </c>
      <c r="Q512" s="152" t="s">
        <v>2705</v>
      </c>
      <c r="R512" s="152" t="s">
        <v>2398</v>
      </c>
      <c r="S512" s="152" t="s">
        <v>2705</v>
      </c>
      <c r="T512" s="152" t="s">
        <v>2705</v>
      </c>
      <c r="U512" s="152" t="s">
        <v>2705</v>
      </c>
    </row>
    <row r="513" spans="1:21" s="142" customFormat="1" ht="12.75" customHeight="1" x14ac:dyDescent="0.2">
      <c r="A513" s="151" t="s">
        <v>7573</v>
      </c>
      <c r="B513" s="152" t="s">
        <v>1435</v>
      </c>
      <c r="C513" s="152" t="s">
        <v>2675</v>
      </c>
      <c r="D513" s="152" t="s">
        <v>2705</v>
      </c>
      <c r="E513" s="152" t="s">
        <v>2705</v>
      </c>
      <c r="F513" s="152" t="s">
        <v>2398</v>
      </c>
      <c r="G513" s="152" t="s">
        <v>2705</v>
      </c>
      <c r="H513" s="152" t="s">
        <v>1435</v>
      </c>
      <c r="I513" s="152" t="s">
        <v>2398</v>
      </c>
      <c r="J513" s="152" t="s">
        <v>2705</v>
      </c>
      <c r="K513" s="152" t="s">
        <v>2705</v>
      </c>
      <c r="L513" s="152" t="s">
        <v>2675</v>
      </c>
      <c r="M513" s="152" t="s">
        <v>2705</v>
      </c>
      <c r="N513" s="152" t="s">
        <v>2705</v>
      </c>
      <c r="O513" s="152" t="s">
        <v>2398</v>
      </c>
      <c r="P513" s="152" t="s">
        <v>2705</v>
      </c>
      <c r="Q513" s="152" t="s">
        <v>2675</v>
      </c>
      <c r="R513" s="152" t="s">
        <v>2705</v>
      </c>
      <c r="S513" s="152" t="s">
        <v>2398</v>
      </c>
      <c r="T513" s="152" t="s">
        <v>2705</v>
      </c>
      <c r="U513" s="152" t="s">
        <v>2705</v>
      </c>
    </row>
    <row r="514" spans="1:21" s="142" customFormat="1" ht="12.75" x14ac:dyDescent="0.2">
      <c r="A514" s="151"/>
      <c r="B514" s="152" t="s">
        <v>2398</v>
      </c>
      <c r="C514" s="152" t="s">
        <v>2705</v>
      </c>
      <c r="D514" s="152" t="s">
        <v>2705</v>
      </c>
      <c r="E514" s="152" t="s">
        <v>2705</v>
      </c>
      <c r="F514" s="152" t="s">
        <v>2705</v>
      </c>
      <c r="G514" s="152" t="s">
        <v>1435</v>
      </c>
      <c r="H514" s="152" t="s">
        <v>2705</v>
      </c>
      <c r="I514" s="152" t="s">
        <v>2705</v>
      </c>
      <c r="J514" s="152" t="s">
        <v>2705</v>
      </c>
      <c r="K514" s="152" t="s">
        <v>2705</v>
      </c>
      <c r="L514" s="152" t="s">
        <v>2398</v>
      </c>
      <c r="M514" s="152" t="s">
        <v>2705</v>
      </c>
      <c r="N514" s="152" t="s">
        <v>2398</v>
      </c>
      <c r="O514" s="152" t="s">
        <v>2398</v>
      </c>
      <c r="P514" s="152" t="s">
        <v>2398</v>
      </c>
      <c r="Q514" s="152" t="s">
        <v>2705</v>
      </c>
      <c r="R514" s="152" t="s">
        <v>2398</v>
      </c>
      <c r="S514" s="152" t="s">
        <v>2398</v>
      </c>
      <c r="T514" s="152" t="s">
        <v>2705</v>
      </c>
      <c r="U514" s="152" t="s">
        <v>2705</v>
      </c>
    </row>
    <row r="515" spans="1:21" s="142" customFormat="1" ht="12.75" customHeight="1" x14ac:dyDescent="0.2">
      <c r="A515" s="151" t="s">
        <v>7574</v>
      </c>
      <c r="B515" s="152" t="s">
        <v>2398</v>
      </c>
      <c r="C515" s="152" t="s">
        <v>2705</v>
      </c>
      <c r="D515" s="152" t="s">
        <v>2398</v>
      </c>
      <c r="E515" s="152" t="s">
        <v>2397</v>
      </c>
      <c r="F515" s="152" t="s">
        <v>2397</v>
      </c>
      <c r="G515" s="152" t="s">
        <v>2705</v>
      </c>
      <c r="H515" s="152" t="s">
        <v>2705</v>
      </c>
      <c r="I515" s="152" t="s">
        <v>2397</v>
      </c>
      <c r="J515" s="152" t="s">
        <v>1435</v>
      </c>
      <c r="K515" s="152" t="s">
        <v>2705</v>
      </c>
      <c r="L515" s="152" t="s">
        <v>2398</v>
      </c>
      <c r="M515" s="152" t="s">
        <v>2705</v>
      </c>
      <c r="N515" s="152" t="s">
        <v>2705</v>
      </c>
      <c r="O515" s="152" t="s">
        <v>2705</v>
      </c>
      <c r="P515" s="152" t="s">
        <v>2705</v>
      </c>
      <c r="Q515" s="152" t="s">
        <v>2705</v>
      </c>
      <c r="R515" s="152" t="s">
        <v>2675</v>
      </c>
      <c r="S515" s="152" t="s">
        <v>2705</v>
      </c>
      <c r="T515" s="152" t="s">
        <v>2705</v>
      </c>
      <c r="U515" s="152" t="s">
        <v>2705</v>
      </c>
    </row>
    <row r="516" spans="1:21" s="142" customFormat="1" ht="12.75" x14ac:dyDescent="0.2">
      <c r="A516" s="151"/>
      <c r="B516" s="152" t="s">
        <v>2398</v>
      </c>
      <c r="C516" s="152" t="s">
        <v>2398</v>
      </c>
      <c r="D516" s="152" t="s">
        <v>2398</v>
      </c>
      <c r="E516" s="152" t="s">
        <v>2398</v>
      </c>
      <c r="F516" s="152" t="s">
        <v>2705</v>
      </c>
      <c r="G516" s="152" t="s">
        <v>2675</v>
      </c>
      <c r="H516" s="152" t="s">
        <v>2398</v>
      </c>
      <c r="I516" s="152" t="s">
        <v>2705</v>
      </c>
      <c r="J516" s="152" t="s">
        <v>2398</v>
      </c>
      <c r="K516" s="152" t="s">
        <v>2398</v>
      </c>
      <c r="L516" s="152" t="s">
        <v>2398</v>
      </c>
      <c r="M516" s="152" t="s">
        <v>2398</v>
      </c>
      <c r="N516" s="152" t="s">
        <v>2705</v>
      </c>
      <c r="O516" s="152" t="s">
        <v>2398</v>
      </c>
      <c r="P516" s="152" t="s">
        <v>2398</v>
      </c>
      <c r="Q516" s="152" t="s">
        <v>2398</v>
      </c>
      <c r="R516" s="152" t="s">
        <v>2398</v>
      </c>
      <c r="S516" s="152" t="s">
        <v>2705</v>
      </c>
      <c r="T516" s="152" t="s">
        <v>2705</v>
      </c>
      <c r="U516" s="152" t="s">
        <v>2398</v>
      </c>
    </row>
    <row r="517" spans="1:21" s="142" customFormat="1" ht="12.75" customHeight="1" x14ac:dyDescent="0.2">
      <c r="A517" s="151" t="s">
        <v>7575</v>
      </c>
      <c r="B517" s="152" t="s">
        <v>2675</v>
      </c>
      <c r="C517" s="152" t="s">
        <v>2398</v>
      </c>
      <c r="D517" s="152" t="s">
        <v>2398</v>
      </c>
      <c r="E517" s="152" t="s">
        <v>1435</v>
      </c>
      <c r="F517" s="152" t="s">
        <v>2397</v>
      </c>
      <c r="G517" s="152" t="s">
        <v>1435</v>
      </c>
      <c r="H517" s="152" t="s">
        <v>2398</v>
      </c>
      <c r="I517" s="152" t="s">
        <v>2675</v>
      </c>
      <c r="J517" s="152" t="s">
        <v>2705</v>
      </c>
      <c r="K517" s="152" t="s">
        <v>2705</v>
      </c>
      <c r="L517" s="152" t="s">
        <v>2398</v>
      </c>
      <c r="M517" s="152" t="s">
        <v>2705</v>
      </c>
      <c r="N517" s="152" t="s">
        <v>2705</v>
      </c>
      <c r="O517" s="152" t="s">
        <v>2398</v>
      </c>
      <c r="P517" s="152" t="s">
        <v>2398</v>
      </c>
      <c r="Q517" s="152" t="s">
        <v>2705</v>
      </c>
      <c r="R517" s="152" t="s">
        <v>1435</v>
      </c>
      <c r="S517" s="152" t="s">
        <v>2705</v>
      </c>
      <c r="T517" s="152" t="s">
        <v>1435</v>
      </c>
      <c r="U517" s="152" t="s">
        <v>2705</v>
      </c>
    </row>
    <row r="518" spans="1:21" s="142" customFormat="1" ht="12.75" x14ac:dyDescent="0.2">
      <c r="A518" s="151"/>
      <c r="B518" s="152" t="s">
        <v>2675</v>
      </c>
      <c r="C518" s="152" t="s">
        <v>2675</v>
      </c>
      <c r="D518" s="152" t="s">
        <v>2398</v>
      </c>
      <c r="E518" s="152" t="s">
        <v>2398</v>
      </c>
      <c r="F518" s="152" t="s">
        <v>2398</v>
      </c>
      <c r="G518" s="152" t="s">
        <v>2675</v>
      </c>
      <c r="H518" s="152" t="s">
        <v>2398</v>
      </c>
      <c r="I518" s="152" t="s">
        <v>2705</v>
      </c>
      <c r="J518" s="152" t="s">
        <v>2397</v>
      </c>
      <c r="K518" s="152" t="s">
        <v>2398</v>
      </c>
      <c r="L518" s="152" t="s">
        <v>2705</v>
      </c>
      <c r="M518" s="152" t="s">
        <v>1435</v>
      </c>
      <c r="N518" s="152" t="s">
        <v>2705</v>
      </c>
      <c r="O518" s="152" t="s">
        <v>2705</v>
      </c>
      <c r="P518" s="152" t="s">
        <v>2398</v>
      </c>
      <c r="Q518" s="152" t="s">
        <v>2398</v>
      </c>
      <c r="R518" s="152" t="s">
        <v>2705</v>
      </c>
      <c r="S518" s="152" t="s">
        <v>2705</v>
      </c>
      <c r="T518" s="152" t="s">
        <v>2705</v>
      </c>
      <c r="U518" s="152" t="s">
        <v>2398</v>
      </c>
    </row>
    <row r="519" spans="1:21" s="142" customFormat="1" ht="12.75" customHeight="1" x14ac:dyDescent="0.2">
      <c r="A519" s="151" t="s">
        <v>7576</v>
      </c>
      <c r="B519" s="152" t="s">
        <v>2705</v>
      </c>
      <c r="C519" s="152" t="s">
        <v>2705</v>
      </c>
      <c r="D519" s="152" t="s">
        <v>2398</v>
      </c>
      <c r="E519" s="152" t="s">
        <v>2705</v>
      </c>
      <c r="F519" s="152" t="s">
        <v>2397</v>
      </c>
      <c r="G519" s="152" t="s">
        <v>2705</v>
      </c>
      <c r="H519" s="152" t="s">
        <v>2705</v>
      </c>
      <c r="I519" s="152" t="s">
        <v>2705</v>
      </c>
      <c r="J519" s="152" t="s">
        <v>2675</v>
      </c>
      <c r="K519" s="152" t="s">
        <v>2705</v>
      </c>
      <c r="L519" s="152" t="s">
        <v>2675</v>
      </c>
      <c r="M519" s="152" t="s">
        <v>2398</v>
      </c>
      <c r="N519" s="152" t="s">
        <v>2705</v>
      </c>
      <c r="O519" s="152" t="s">
        <v>1435</v>
      </c>
      <c r="P519" s="152" t="s">
        <v>2705</v>
      </c>
      <c r="Q519" s="152" t="s">
        <v>2705</v>
      </c>
      <c r="R519" s="152" t="s">
        <v>2705</v>
      </c>
      <c r="S519" s="152" t="s">
        <v>2705</v>
      </c>
      <c r="T519" s="152" t="s">
        <v>2398</v>
      </c>
      <c r="U519" s="152" t="s">
        <v>2705</v>
      </c>
    </row>
    <row r="520" spans="1:21" s="142" customFormat="1" ht="12.75" x14ac:dyDescent="0.2">
      <c r="A520" s="151"/>
      <c r="B520" s="152" t="s">
        <v>2705</v>
      </c>
      <c r="C520" s="152" t="s">
        <v>2397</v>
      </c>
      <c r="D520" s="152" t="s">
        <v>1435</v>
      </c>
      <c r="E520" s="152" t="s">
        <v>2705</v>
      </c>
      <c r="F520" s="152" t="s">
        <v>2398</v>
      </c>
      <c r="G520" s="152" t="s">
        <v>2705</v>
      </c>
      <c r="H520" s="152" t="s">
        <v>2705</v>
      </c>
      <c r="I520" s="152" t="s">
        <v>2705</v>
      </c>
      <c r="J520" s="152" t="s">
        <v>2705</v>
      </c>
      <c r="K520" s="152" t="s">
        <v>2398</v>
      </c>
      <c r="L520" s="152" t="s">
        <v>2705</v>
      </c>
      <c r="M520" s="152" t="s">
        <v>2705</v>
      </c>
      <c r="N520" s="152" t="s">
        <v>2705</v>
      </c>
      <c r="O520" s="152" t="s">
        <v>2705</v>
      </c>
      <c r="P520" s="152" t="s">
        <v>2705</v>
      </c>
      <c r="Q520" s="152" t="s">
        <v>2705</v>
      </c>
      <c r="R520" s="152" t="s">
        <v>2705</v>
      </c>
      <c r="S520" s="152" t="s">
        <v>2705</v>
      </c>
      <c r="T520" s="152" t="s">
        <v>2705</v>
      </c>
      <c r="U520" s="152" t="s">
        <v>2705</v>
      </c>
    </row>
    <row r="521" spans="1:21" s="142" customFormat="1" ht="12.75" customHeight="1" x14ac:dyDescent="0.2">
      <c r="A521" s="151" t="s">
        <v>7577</v>
      </c>
      <c r="B521" s="152" t="s">
        <v>2705</v>
      </c>
      <c r="C521" s="152" t="s">
        <v>2398</v>
      </c>
      <c r="D521" s="152" t="s">
        <v>2705</v>
      </c>
      <c r="E521" s="152" t="s">
        <v>2705</v>
      </c>
      <c r="F521" s="152" t="s">
        <v>2398</v>
      </c>
      <c r="G521" s="152" t="s">
        <v>2705</v>
      </c>
      <c r="H521" s="152" t="s">
        <v>2705</v>
      </c>
      <c r="I521" s="152" t="s">
        <v>2705</v>
      </c>
      <c r="J521" s="152" t="s">
        <v>2705</v>
      </c>
      <c r="K521" s="152" t="s">
        <v>2705</v>
      </c>
      <c r="L521" s="152" t="s">
        <v>2398</v>
      </c>
      <c r="M521" s="152" t="s">
        <v>2705</v>
      </c>
      <c r="N521" s="152" t="s">
        <v>2705</v>
      </c>
      <c r="O521" s="152" t="s">
        <v>2705</v>
      </c>
      <c r="P521" s="152" t="s">
        <v>2398</v>
      </c>
      <c r="Q521" s="152" t="s">
        <v>2705</v>
      </c>
      <c r="R521" s="152" t="s">
        <v>2705</v>
      </c>
      <c r="S521" s="152" t="s">
        <v>2705</v>
      </c>
      <c r="T521" s="152" t="s">
        <v>2398</v>
      </c>
      <c r="U521" s="152" t="s">
        <v>2398</v>
      </c>
    </row>
    <row r="522" spans="1:21" s="142" customFormat="1" ht="12.75" x14ac:dyDescent="0.2">
      <c r="A522" s="151"/>
      <c r="B522" s="152" t="s">
        <v>1435</v>
      </c>
      <c r="C522" s="152" t="s">
        <v>2675</v>
      </c>
      <c r="D522" s="152" t="s">
        <v>2398</v>
      </c>
      <c r="E522" s="152" t="s">
        <v>2398</v>
      </c>
      <c r="F522" s="152" t="s">
        <v>2705</v>
      </c>
      <c r="G522" s="152" t="s">
        <v>2398</v>
      </c>
      <c r="H522" s="152" t="s">
        <v>2705</v>
      </c>
      <c r="I522" s="152" t="s">
        <v>2398</v>
      </c>
      <c r="J522" s="152" t="s">
        <v>2398</v>
      </c>
      <c r="K522" s="152" t="s">
        <v>2705</v>
      </c>
      <c r="L522" s="152" t="s">
        <v>2675</v>
      </c>
      <c r="M522" s="152" t="s">
        <v>2398</v>
      </c>
      <c r="N522" s="152" t="s">
        <v>2705</v>
      </c>
      <c r="O522" s="152" t="s">
        <v>2705</v>
      </c>
      <c r="P522" s="152" t="s">
        <v>2398</v>
      </c>
      <c r="Q522" s="152" t="s">
        <v>2705</v>
      </c>
      <c r="R522" s="152" t="s">
        <v>1435</v>
      </c>
      <c r="S522" s="152" t="s">
        <v>2705</v>
      </c>
      <c r="T522" s="152" t="s">
        <v>2705</v>
      </c>
      <c r="U522" s="152" t="s">
        <v>2398</v>
      </c>
    </row>
    <row r="523" spans="1:21" s="142" customFormat="1" ht="12.75" customHeight="1" x14ac:dyDescent="0.2">
      <c r="A523" s="151" t="s">
        <v>7578</v>
      </c>
      <c r="B523" s="152" t="s">
        <v>2705</v>
      </c>
      <c r="C523" s="152" t="s">
        <v>2705</v>
      </c>
      <c r="D523" s="152" t="s">
        <v>2705</v>
      </c>
      <c r="E523" s="152" t="s">
        <v>2705</v>
      </c>
      <c r="F523" s="152" t="s">
        <v>2398</v>
      </c>
      <c r="G523" s="152" t="s">
        <v>2398</v>
      </c>
      <c r="H523" s="152" t="s">
        <v>2398</v>
      </c>
      <c r="I523" s="152" t="s">
        <v>2675</v>
      </c>
      <c r="J523" s="152" t="s">
        <v>2705</v>
      </c>
      <c r="K523" s="152" t="s">
        <v>2398</v>
      </c>
      <c r="L523" s="152" t="s">
        <v>2398</v>
      </c>
      <c r="M523" s="152" t="s">
        <v>2705</v>
      </c>
      <c r="N523" s="152" t="s">
        <v>2705</v>
      </c>
      <c r="O523" s="152" t="s">
        <v>1435</v>
      </c>
      <c r="P523" s="152" t="s">
        <v>2705</v>
      </c>
      <c r="Q523" s="152" t="s">
        <v>2398</v>
      </c>
      <c r="R523" s="152" t="s">
        <v>2705</v>
      </c>
      <c r="S523" s="152" t="s">
        <v>2705</v>
      </c>
      <c r="T523" s="152" t="s">
        <v>2705</v>
      </c>
      <c r="U523" s="152" t="s">
        <v>2705</v>
      </c>
    </row>
    <row r="524" spans="1:21" s="142" customFormat="1" ht="12.75" x14ac:dyDescent="0.2">
      <c r="A524" s="151"/>
      <c r="B524" s="152" t="s">
        <v>2398</v>
      </c>
      <c r="C524" s="152" t="s">
        <v>2397</v>
      </c>
      <c r="D524" s="152" t="s">
        <v>1435</v>
      </c>
      <c r="E524" s="152" t="s">
        <v>2398</v>
      </c>
      <c r="F524" s="152" t="s">
        <v>2675</v>
      </c>
      <c r="G524" s="152" t="s">
        <v>1435</v>
      </c>
      <c r="H524" s="152" t="s">
        <v>2705</v>
      </c>
      <c r="I524" s="152" t="s">
        <v>2398</v>
      </c>
      <c r="J524" s="152" t="s">
        <v>2705</v>
      </c>
      <c r="K524" s="152" t="s">
        <v>2705</v>
      </c>
      <c r="L524" s="152" t="s">
        <v>2705</v>
      </c>
      <c r="M524" s="152" t="s">
        <v>2705</v>
      </c>
      <c r="N524" s="152" t="s">
        <v>2675</v>
      </c>
      <c r="O524" s="152" t="s">
        <v>2705</v>
      </c>
      <c r="P524" s="152" t="s">
        <v>2705</v>
      </c>
      <c r="Q524" s="152" t="s">
        <v>2705</v>
      </c>
      <c r="R524" s="152" t="s">
        <v>2705</v>
      </c>
      <c r="S524" s="152" t="s">
        <v>2705</v>
      </c>
      <c r="T524" s="152" t="s">
        <v>2398</v>
      </c>
      <c r="U524" s="152" t="s">
        <v>2398</v>
      </c>
    </row>
    <row r="525" spans="1:21" s="142" customFormat="1" ht="12.75" customHeight="1" x14ac:dyDescent="0.2">
      <c r="A525" s="151" t="s">
        <v>7579</v>
      </c>
      <c r="B525" s="152" t="s">
        <v>2398</v>
      </c>
      <c r="C525" s="152" t="s">
        <v>2398</v>
      </c>
      <c r="D525" s="152" t="s">
        <v>2675</v>
      </c>
      <c r="E525" s="152" t="s">
        <v>2705</v>
      </c>
      <c r="F525" s="152" t="s">
        <v>2398</v>
      </c>
      <c r="G525" s="152" t="s">
        <v>2675</v>
      </c>
      <c r="H525" s="152" t="s">
        <v>2398</v>
      </c>
      <c r="I525" s="152" t="s">
        <v>2398</v>
      </c>
      <c r="J525" s="152" t="s">
        <v>2675</v>
      </c>
      <c r="K525" s="152" t="s">
        <v>2398</v>
      </c>
      <c r="L525" s="152" t="s">
        <v>2705</v>
      </c>
      <c r="M525" s="152" t="s">
        <v>2398</v>
      </c>
      <c r="N525" s="152" t="s">
        <v>2705</v>
      </c>
      <c r="O525" s="152" t="s">
        <v>1435</v>
      </c>
      <c r="P525" s="152" t="s">
        <v>2705</v>
      </c>
      <c r="Q525" s="152" t="s">
        <v>2705</v>
      </c>
      <c r="R525" s="152" t="s">
        <v>2705</v>
      </c>
      <c r="S525" s="152" t="s">
        <v>2705</v>
      </c>
      <c r="T525" s="152" t="s">
        <v>2398</v>
      </c>
      <c r="U525" s="152" t="s">
        <v>2398</v>
      </c>
    </row>
    <row r="526" spans="1:21" s="142" customFormat="1" ht="12.75" x14ac:dyDescent="0.2">
      <c r="A526" s="151"/>
      <c r="B526" s="152" t="s">
        <v>2705</v>
      </c>
      <c r="C526" s="152" t="s">
        <v>2398</v>
      </c>
      <c r="D526" s="152" t="s">
        <v>2705</v>
      </c>
      <c r="E526" s="152" t="s">
        <v>2705</v>
      </c>
      <c r="F526" s="152" t="s">
        <v>2398</v>
      </c>
      <c r="G526" s="152" t="s">
        <v>2705</v>
      </c>
      <c r="H526" s="152" t="s">
        <v>2705</v>
      </c>
      <c r="I526" s="152" t="s">
        <v>2705</v>
      </c>
      <c r="J526" s="152" t="s">
        <v>2705</v>
      </c>
      <c r="K526" s="152" t="s">
        <v>2705</v>
      </c>
      <c r="L526" s="152" t="s">
        <v>2398</v>
      </c>
      <c r="M526" s="152" t="s">
        <v>2705</v>
      </c>
      <c r="N526" s="152" t="s">
        <v>2705</v>
      </c>
      <c r="O526" s="152" t="s">
        <v>1435</v>
      </c>
      <c r="P526" s="152" t="s">
        <v>2705</v>
      </c>
      <c r="Q526" s="152" t="s">
        <v>2705</v>
      </c>
      <c r="R526" s="152" t="s">
        <v>2398</v>
      </c>
      <c r="S526" s="152" t="s">
        <v>2398</v>
      </c>
      <c r="T526" s="152" t="s">
        <v>2705</v>
      </c>
      <c r="U526" s="152" t="s">
        <v>2675</v>
      </c>
    </row>
    <row r="527" spans="1:21" s="142" customFormat="1" ht="12.75" customHeight="1" x14ac:dyDescent="0.2">
      <c r="A527" s="151" t="s">
        <v>7580</v>
      </c>
      <c r="B527" s="152" t="s">
        <v>1435</v>
      </c>
      <c r="C527" s="152" t="s">
        <v>2705</v>
      </c>
      <c r="D527" s="152" t="s">
        <v>2675</v>
      </c>
      <c r="E527" s="152" t="s">
        <v>2705</v>
      </c>
      <c r="F527" s="152" t="s">
        <v>2398</v>
      </c>
      <c r="G527" s="152" t="s">
        <v>1435</v>
      </c>
      <c r="H527" s="152" t="s">
        <v>2398</v>
      </c>
      <c r="I527" s="152" t="s">
        <v>2705</v>
      </c>
      <c r="J527" s="152" t="s">
        <v>2705</v>
      </c>
      <c r="K527" s="152" t="s">
        <v>2398</v>
      </c>
      <c r="L527" s="152" t="s">
        <v>2675</v>
      </c>
      <c r="M527" s="152" t="s">
        <v>2705</v>
      </c>
      <c r="N527" s="152" t="s">
        <v>1435</v>
      </c>
      <c r="O527" s="152" t="s">
        <v>2705</v>
      </c>
      <c r="P527" s="152" t="s">
        <v>2398</v>
      </c>
      <c r="Q527" s="152" t="s">
        <v>2705</v>
      </c>
      <c r="R527" s="152" t="s">
        <v>2705</v>
      </c>
      <c r="S527" s="152" t="s">
        <v>2705</v>
      </c>
      <c r="T527" s="152" t="s">
        <v>2398</v>
      </c>
      <c r="U527" s="152" t="s">
        <v>2398</v>
      </c>
    </row>
    <row r="528" spans="1:21" s="142" customFormat="1" ht="12.75" x14ac:dyDescent="0.2">
      <c r="A528" s="151"/>
      <c r="B528" s="152" t="s">
        <v>2705</v>
      </c>
      <c r="C528" s="152" t="s">
        <v>2398</v>
      </c>
      <c r="D528" s="152" t="s">
        <v>1435</v>
      </c>
      <c r="E528" s="152" t="s">
        <v>2705</v>
      </c>
      <c r="F528" s="152" t="s">
        <v>2398</v>
      </c>
      <c r="G528" s="152" t="s">
        <v>1435</v>
      </c>
      <c r="H528" s="152" t="s">
        <v>2705</v>
      </c>
      <c r="I528" s="152" t="s">
        <v>2398</v>
      </c>
      <c r="J528" s="152" t="s">
        <v>2705</v>
      </c>
      <c r="K528" s="152" t="s">
        <v>2398</v>
      </c>
      <c r="L528" s="152" t="s">
        <v>2705</v>
      </c>
      <c r="M528" s="152" t="s">
        <v>2705</v>
      </c>
      <c r="N528" s="152" t="s">
        <v>2705</v>
      </c>
      <c r="O528" s="152" t="s">
        <v>2705</v>
      </c>
      <c r="P528" s="152" t="s">
        <v>2705</v>
      </c>
      <c r="Q528" s="152" t="s">
        <v>2705</v>
      </c>
      <c r="R528" s="152" t="s">
        <v>2398</v>
      </c>
      <c r="S528" s="152" t="s">
        <v>2705</v>
      </c>
      <c r="T528" s="152" t="s">
        <v>2705</v>
      </c>
      <c r="U528" s="152" t="s">
        <v>2705</v>
      </c>
    </row>
    <row r="529" spans="1:21" s="142" customFormat="1" ht="12.75" customHeight="1" x14ac:dyDescent="0.2">
      <c r="A529" s="151" t="s">
        <v>7581</v>
      </c>
      <c r="B529" s="152" t="s">
        <v>2705</v>
      </c>
      <c r="C529" s="152" t="s">
        <v>2675</v>
      </c>
      <c r="D529" s="152" t="s">
        <v>2675</v>
      </c>
      <c r="E529" s="152" t="s">
        <v>2705</v>
      </c>
      <c r="F529" s="152" t="s">
        <v>2398</v>
      </c>
      <c r="G529" s="152" t="s">
        <v>2705</v>
      </c>
      <c r="H529" s="152" t="s">
        <v>2398</v>
      </c>
      <c r="I529" s="152" t="s">
        <v>2705</v>
      </c>
      <c r="J529" s="152" t="s">
        <v>2705</v>
      </c>
      <c r="K529" s="152" t="s">
        <v>2398</v>
      </c>
      <c r="L529" s="152" t="s">
        <v>2675</v>
      </c>
      <c r="M529" s="152" t="s">
        <v>2398</v>
      </c>
      <c r="N529" s="152" t="s">
        <v>2705</v>
      </c>
      <c r="O529" s="152" t="s">
        <v>2398</v>
      </c>
      <c r="P529" s="152" t="s">
        <v>2398</v>
      </c>
      <c r="Q529" s="152" t="s">
        <v>2705</v>
      </c>
      <c r="R529" s="152" t="s">
        <v>2705</v>
      </c>
      <c r="S529" s="152" t="s">
        <v>2398</v>
      </c>
      <c r="T529" s="152" t="s">
        <v>1435</v>
      </c>
      <c r="U529" s="152" t="s">
        <v>2705</v>
      </c>
    </row>
    <row r="530" spans="1:21" s="142" customFormat="1" ht="12.75" x14ac:dyDescent="0.2">
      <c r="A530" s="151"/>
      <c r="B530" s="152" t="s">
        <v>2705</v>
      </c>
      <c r="C530" s="152" t="s">
        <v>2398</v>
      </c>
      <c r="D530" s="152" t="s">
        <v>2705</v>
      </c>
      <c r="E530" s="152" t="s">
        <v>2705</v>
      </c>
      <c r="F530" s="152" t="s">
        <v>2398</v>
      </c>
      <c r="G530" s="152" t="s">
        <v>2398</v>
      </c>
      <c r="H530" s="152" t="s">
        <v>2705</v>
      </c>
      <c r="I530" s="152" t="s">
        <v>2705</v>
      </c>
      <c r="J530" s="152" t="s">
        <v>2705</v>
      </c>
      <c r="K530" s="152" t="s">
        <v>2705</v>
      </c>
      <c r="L530" s="152" t="s">
        <v>2705</v>
      </c>
      <c r="M530" s="152" t="s">
        <v>2398</v>
      </c>
      <c r="N530" s="152" t="s">
        <v>2705</v>
      </c>
      <c r="O530" s="152" t="s">
        <v>2705</v>
      </c>
      <c r="P530" s="152" t="s">
        <v>2398</v>
      </c>
      <c r="Q530" s="152" t="s">
        <v>2398</v>
      </c>
      <c r="R530" s="152" t="s">
        <v>1435</v>
      </c>
      <c r="S530" s="152" t="s">
        <v>2705</v>
      </c>
      <c r="T530" s="152" t="s">
        <v>2397</v>
      </c>
      <c r="U530" s="152" t="s">
        <v>2398</v>
      </c>
    </row>
    <row r="531" spans="1:21" s="142" customFormat="1" ht="12.75" customHeight="1" x14ac:dyDescent="0.2">
      <c r="A531" s="151" t="s">
        <v>7582</v>
      </c>
      <c r="B531" s="152" t="s">
        <v>2705</v>
      </c>
      <c r="C531" s="152" t="s">
        <v>2705</v>
      </c>
      <c r="D531" s="152" t="s">
        <v>2705</v>
      </c>
      <c r="E531" s="152" t="s">
        <v>2705</v>
      </c>
      <c r="F531" s="152" t="s">
        <v>1435</v>
      </c>
      <c r="G531" s="152" t="s">
        <v>2705</v>
      </c>
      <c r="H531" s="152" t="s">
        <v>2398</v>
      </c>
      <c r="I531" s="152" t="s">
        <v>2705</v>
      </c>
      <c r="J531" s="152" t="s">
        <v>2675</v>
      </c>
      <c r="K531" s="152" t="s">
        <v>2705</v>
      </c>
      <c r="L531" s="152" t="s">
        <v>2705</v>
      </c>
      <c r="M531" s="152" t="s">
        <v>2705</v>
      </c>
      <c r="N531" s="152" t="s">
        <v>2705</v>
      </c>
      <c r="O531" s="152" t="s">
        <v>2398</v>
      </c>
      <c r="P531" s="152" t="s">
        <v>2398</v>
      </c>
      <c r="Q531" s="152" t="s">
        <v>2705</v>
      </c>
      <c r="R531" s="152" t="s">
        <v>2705</v>
      </c>
      <c r="S531" s="152" t="s">
        <v>2705</v>
      </c>
      <c r="T531" s="152" t="s">
        <v>2398</v>
      </c>
      <c r="U531" s="152" t="s">
        <v>2705</v>
      </c>
    </row>
    <row r="532" spans="1:21" s="142" customFormat="1" ht="12.75" x14ac:dyDescent="0.2">
      <c r="A532" s="151"/>
      <c r="B532" s="152" t="s">
        <v>2705</v>
      </c>
      <c r="C532" s="152" t="s">
        <v>2705</v>
      </c>
      <c r="D532" s="152" t="s">
        <v>2397</v>
      </c>
      <c r="E532" s="152" t="s">
        <v>2675</v>
      </c>
      <c r="F532" s="152" t="s">
        <v>2705</v>
      </c>
      <c r="G532" s="152" t="s">
        <v>2398</v>
      </c>
      <c r="H532" s="152" t="s">
        <v>2705</v>
      </c>
      <c r="I532" s="152" t="s">
        <v>2705</v>
      </c>
      <c r="J532" s="152" t="s">
        <v>2398</v>
      </c>
      <c r="K532" s="152" t="s">
        <v>2705</v>
      </c>
      <c r="L532" s="152" t="s">
        <v>2705</v>
      </c>
      <c r="M532" s="152" t="s">
        <v>2705</v>
      </c>
      <c r="N532" s="152" t="s">
        <v>2398</v>
      </c>
      <c r="O532" s="152" t="s">
        <v>2705</v>
      </c>
      <c r="P532" s="152" t="s">
        <v>1435</v>
      </c>
      <c r="Q532" s="152" t="s">
        <v>2705</v>
      </c>
      <c r="R532" s="152" t="s">
        <v>2398</v>
      </c>
      <c r="S532" s="152" t="s">
        <v>2398</v>
      </c>
      <c r="T532" s="152" t="s">
        <v>2705</v>
      </c>
      <c r="U532" s="152" t="s">
        <v>2705</v>
      </c>
    </row>
    <row r="533" spans="1:21" s="142" customFormat="1" ht="12.75" customHeight="1" x14ac:dyDescent="0.2">
      <c r="A533" s="151" t="s">
        <v>7583</v>
      </c>
      <c r="B533" s="152" t="s">
        <v>2398</v>
      </c>
      <c r="C533" s="152" t="s">
        <v>2398</v>
      </c>
      <c r="D533" s="152" t="s">
        <v>2705</v>
      </c>
      <c r="E533" s="152" t="s">
        <v>2398</v>
      </c>
      <c r="F533" s="152" t="s">
        <v>2398</v>
      </c>
      <c r="G533" s="152" t="s">
        <v>2705</v>
      </c>
      <c r="H533" s="152" t="s">
        <v>2398</v>
      </c>
      <c r="I533" s="152" t="s">
        <v>2398</v>
      </c>
      <c r="J533" s="152" t="s">
        <v>2675</v>
      </c>
      <c r="K533" s="152" t="s">
        <v>2705</v>
      </c>
      <c r="L533" s="152" t="s">
        <v>2705</v>
      </c>
      <c r="M533" s="152" t="s">
        <v>2398</v>
      </c>
      <c r="N533" s="152" t="s">
        <v>2705</v>
      </c>
      <c r="O533" s="152" t="s">
        <v>2398</v>
      </c>
      <c r="P533" s="152" t="s">
        <v>2398</v>
      </c>
      <c r="Q533" s="152" t="s">
        <v>2398</v>
      </c>
      <c r="R533" s="152" t="s">
        <v>2398</v>
      </c>
      <c r="S533" s="152" t="s">
        <v>2398</v>
      </c>
      <c r="T533" s="152" t="s">
        <v>2705</v>
      </c>
      <c r="U533" s="152" t="s">
        <v>2398</v>
      </c>
    </row>
    <row r="534" spans="1:21" s="142" customFormat="1" ht="12.75" x14ac:dyDescent="0.2">
      <c r="A534" s="151"/>
      <c r="B534" s="152" t="s">
        <v>2705</v>
      </c>
      <c r="C534" s="152" t="s">
        <v>2705</v>
      </c>
      <c r="D534" s="152" t="s">
        <v>2705</v>
      </c>
      <c r="E534" s="152" t="s">
        <v>2705</v>
      </c>
      <c r="F534" s="152" t="s">
        <v>2705</v>
      </c>
      <c r="G534" s="152" t="s">
        <v>2705</v>
      </c>
      <c r="H534" s="152" t="s">
        <v>2705</v>
      </c>
      <c r="I534" s="152" t="s">
        <v>2705</v>
      </c>
      <c r="J534" s="152" t="s">
        <v>2705</v>
      </c>
      <c r="K534" s="152" t="s">
        <v>2705</v>
      </c>
      <c r="L534" s="152" t="s">
        <v>1435</v>
      </c>
      <c r="M534" s="152" t="s">
        <v>1435</v>
      </c>
      <c r="N534" s="152" t="s">
        <v>2398</v>
      </c>
      <c r="O534" s="152" t="s">
        <v>2398</v>
      </c>
      <c r="P534" s="152" t="s">
        <v>2398</v>
      </c>
      <c r="Q534" s="152" t="s">
        <v>2705</v>
      </c>
      <c r="R534" s="152" t="s">
        <v>2398</v>
      </c>
      <c r="S534" s="152" t="s">
        <v>2675</v>
      </c>
      <c r="T534" s="152" t="s">
        <v>2705</v>
      </c>
      <c r="U534" s="152" t="s">
        <v>2705</v>
      </c>
    </row>
    <row r="535" spans="1:21" s="142" customFormat="1" ht="12.75" customHeight="1" x14ac:dyDescent="0.2">
      <c r="A535" s="151" t="s">
        <v>7584</v>
      </c>
      <c r="B535" s="152" t="s">
        <v>2705</v>
      </c>
      <c r="C535" s="152" t="s">
        <v>2705</v>
      </c>
      <c r="D535" s="152" t="s">
        <v>2705</v>
      </c>
      <c r="E535" s="152" t="s">
        <v>2705</v>
      </c>
      <c r="F535" s="152" t="s">
        <v>1435</v>
      </c>
      <c r="G535" s="152" t="s">
        <v>1435</v>
      </c>
      <c r="H535" s="152" t="s">
        <v>2705</v>
      </c>
      <c r="I535" s="152" t="s">
        <v>2705</v>
      </c>
      <c r="J535" s="152" t="s">
        <v>2675</v>
      </c>
      <c r="K535" s="152" t="s">
        <v>1435</v>
      </c>
      <c r="L535" s="152" t="s">
        <v>2705</v>
      </c>
      <c r="M535" s="152" t="s">
        <v>2705</v>
      </c>
      <c r="N535" s="152" t="s">
        <v>2705</v>
      </c>
      <c r="O535" s="152" t="s">
        <v>2705</v>
      </c>
      <c r="P535" s="152" t="s">
        <v>2705</v>
      </c>
      <c r="Q535" s="152" t="s">
        <v>2675</v>
      </c>
      <c r="R535" s="152" t="s">
        <v>2705</v>
      </c>
      <c r="S535" s="152" t="s">
        <v>2705</v>
      </c>
      <c r="T535" s="152" t="s">
        <v>2705</v>
      </c>
      <c r="U535" s="152" t="s">
        <v>2398</v>
      </c>
    </row>
    <row r="536" spans="1:21" s="142" customFormat="1" ht="12.75" x14ac:dyDescent="0.2">
      <c r="A536" s="151"/>
      <c r="B536" s="152" t="s">
        <v>2705</v>
      </c>
      <c r="C536" s="152" t="s">
        <v>2705</v>
      </c>
      <c r="D536" s="152" t="s">
        <v>2705</v>
      </c>
      <c r="E536" s="152" t="s">
        <v>2705</v>
      </c>
      <c r="F536" s="152" t="s">
        <v>2705</v>
      </c>
      <c r="G536" s="152" t="s">
        <v>1435</v>
      </c>
      <c r="H536" s="152" t="s">
        <v>2705</v>
      </c>
      <c r="I536" s="152" t="s">
        <v>2705</v>
      </c>
      <c r="J536" s="152" t="s">
        <v>2705</v>
      </c>
      <c r="K536" s="152" t="s">
        <v>2705</v>
      </c>
      <c r="L536" s="152" t="s">
        <v>1435</v>
      </c>
      <c r="M536" s="152" t="s">
        <v>1435</v>
      </c>
      <c r="N536" s="152" t="s">
        <v>2705</v>
      </c>
      <c r="O536" s="152" t="s">
        <v>2705</v>
      </c>
      <c r="P536" s="152" t="s">
        <v>2705</v>
      </c>
      <c r="Q536" s="152" t="s">
        <v>2705</v>
      </c>
      <c r="R536" s="152" t="s">
        <v>1435</v>
      </c>
      <c r="S536" s="152" t="s">
        <v>2705</v>
      </c>
      <c r="T536" s="152" t="s">
        <v>2705</v>
      </c>
      <c r="U536" s="152" t="s">
        <v>2705</v>
      </c>
    </row>
    <row r="537" spans="1:21" s="142" customFormat="1" ht="12.75" customHeight="1" x14ac:dyDescent="0.2">
      <c r="A537" s="151" t="s">
        <v>7585</v>
      </c>
      <c r="B537" s="152" t="s">
        <v>2705</v>
      </c>
      <c r="C537" s="152" t="s">
        <v>2705</v>
      </c>
      <c r="D537" s="152" t="s">
        <v>2675</v>
      </c>
      <c r="E537" s="152" t="s">
        <v>1435</v>
      </c>
      <c r="F537" s="152" t="s">
        <v>2398</v>
      </c>
      <c r="G537" s="152" t="s">
        <v>2705</v>
      </c>
      <c r="H537" s="152" t="s">
        <v>2705</v>
      </c>
      <c r="I537" s="152" t="s">
        <v>2398</v>
      </c>
      <c r="J537" s="152" t="s">
        <v>2705</v>
      </c>
      <c r="K537" s="152" t="s">
        <v>1435</v>
      </c>
      <c r="L537" s="152" t="s">
        <v>2705</v>
      </c>
      <c r="M537" s="152" t="s">
        <v>2705</v>
      </c>
      <c r="N537" s="152" t="s">
        <v>2675</v>
      </c>
      <c r="O537" s="152" t="s">
        <v>2398</v>
      </c>
      <c r="P537" s="152" t="s">
        <v>2675</v>
      </c>
      <c r="Q537" s="152" t="s">
        <v>2398</v>
      </c>
      <c r="R537" s="152" t="s">
        <v>2397</v>
      </c>
      <c r="S537" s="152" t="s">
        <v>2398</v>
      </c>
      <c r="T537" s="152" t="s">
        <v>2398</v>
      </c>
      <c r="U537" s="152" t="s">
        <v>2705</v>
      </c>
    </row>
    <row r="538" spans="1:21" s="142" customFormat="1" ht="12.75" x14ac:dyDescent="0.2">
      <c r="A538" s="151"/>
      <c r="B538" s="152" t="s">
        <v>2398</v>
      </c>
      <c r="C538" s="152" t="s">
        <v>2397</v>
      </c>
      <c r="D538" s="152" t="s">
        <v>2705</v>
      </c>
      <c r="E538" s="152" t="s">
        <v>2675</v>
      </c>
      <c r="F538" s="152" t="s">
        <v>2705</v>
      </c>
      <c r="G538" s="152" t="s">
        <v>2398</v>
      </c>
      <c r="H538" s="152" t="s">
        <v>2705</v>
      </c>
      <c r="I538" s="152" t="s">
        <v>2705</v>
      </c>
      <c r="J538" s="152" t="s">
        <v>2675</v>
      </c>
      <c r="K538" s="152" t="s">
        <v>2705</v>
      </c>
      <c r="L538" s="152" t="s">
        <v>2705</v>
      </c>
      <c r="M538" s="152" t="s">
        <v>2398</v>
      </c>
      <c r="N538" s="152" t="s">
        <v>2398</v>
      </c>
      <c r="O538" s="152" t="s">
        <v>2705</v>
      </c>
      <c r="P538" s="152" t="s">
        <v>2705</v>
      </c>
      <c r="Q538" s="152" t="s">
        <v>2398</v>
      </c>
      <c r="R538" s="152" t="s">
        <v>2398</v>
      </c>
      <c r="S538" s="152" t="s">
        <v>2705</v>
      </c>
      <c r="T538" s="152" t="s">
        <v>2398</v>
      </c>
      <c r="U538" s="152" t="s">
        <v>2398</v>
      </c>
    </row>
    <row r="539" spans="1:21" s="142" customFormat="1" ht="12.75" customHeight="1" x14ac:dyDescent="0.2">
      <c r="A539" s="151" t="s">
        <v>7586</v>
      </c>
      <c r="B539" s="152" t="s">
        <v>2398</v>
      </c>
      <c r="C539" s="152" t="s">
        <v>2398</v>
      </c>
      <c r="D539" s="152" t="s">
        <v>2398</v>
      </c>
      <c r="E539" s="152" t="s">
        <v>2398</v>
      </c>
      <c r="F539" s="152" t="s">
        <v>2398</v>
      </c>
      <c r="G539" s="152" t="s">
        <v>2705</v>
      </c>
      <c r="H539" s="152" t="s">
        <v>2705</v>
      </c>
      <c r="I539" s="152" t="s">
        <v>2398</v>
      </c>
      <c r="J539" s="152" t="s">
        <v>2398</v>
      </c>
      <c r="K539" s="152" t="s">
        <v>2398</v>
      </c>
      <c r="L539" s="152" t="s">
        <v>2398</v>
      </c>
      <c r="M539" s="152" t="s">
        <v>2705</v>
      </c>
      <c r="N539" s="152" t="s">
        <v>2705</v>
      </c>
      <c r="O539" s="152" t="s">
        <v>2398</v>
      </c>
      <c r="P539" s="152" t="s">
        <v>2705</v>
      </c>
      <c r="Q539" s="152" t="s">
        <v>2705</v>
      </c>
      <c r="R539" s="152" t="s">
        <v>2398</v>
      </c>
      <c r="S539" s="152" t="s">
        <v>2705</v>
      </c>
      <c r="T539" s="152" t="s">
        <v>2705</v>
      </c>
      <c r="U539" s="152" t="s">
        <v>2705</v>
      </c>
    </row>
    <row r="540" spans="1:21" s="142" customFormat="1" ht="12.75" x14ac:dyDescent="0.2">
      <c r="A540" s="151"/>
      <c r="B540" s="152" t="s">
        <v>2705</v>
      </c>
      <c r="C540" s="152" t="s">
        <v>2398</v>
      </c>
      <c r="D540" s="152" t="s">
        <v>2705</v>
      </c>
      <c r="E540" s="152" t="s">
        <v>2398</v>
      </c>
      <c r="F540" s="152" t="s">
        <v>2705</v>
      </c>
      <c r="G540" s="152" t="s">
        <v>2705</v>
      </c>
      <c r="H540" s="152" t="s">
        <v>2398</v>
      </c>
      <c r="I540" s="152" t="s">
        <v>1435</v>
      </c>
      <c r="J540" s="152" t="s">
        <v>2398</v>
      </c>
      <c r="K540" s="152" t="s">
        <v>2705</v>
      </c>
      <c r="L540" s="152" t="s">
        <v>2398</v>
      </c>
      <c r="M540" s="152" t="s">
        <v>2398</v>
      </c>
      <c r="N540" s="152" t="s">
        <v>2705</v>
      </c>
      <c r="O540" s="152" t="s">
        <v>2398</v>
      </c>
      <c r="P540" s="152" t="s">
        <v>2398</v>
      </c>
      <c r="Q540" s="152" t="s">
        <v>2705</v>
      </c>
      <c r="R540" s="152" t="s">
        <v>2705</v>
      </c>
      <c r="S540" s="152" t="s">
        <v>2705</v>
      </c>
      <c r="T540" s="152" t="s">
        <v>2398</v>
      </c>
      <c r="U540" s="152" t="s">
        <v>2705</v>
      </c>
    </row>
    <row r="541" spans="1:21" s="142" customFormat="1" ht="12.75" customHeight="1" x14ac:dyDescent="0.2">
      <c r="A541" s="151" t="s">
        <v>7587</v>
      </c>
      <c r="B541" s="152" t="s">
        <v>2705</v>
      </c>
      <c r="C541" s="152" t="s">
        <v>2705</v>
      </c>
      <c r="D541" s="152" t="s">
        <v>2705</v>
      </c>
      <c r="E541" s="152" t="s">
        <v>2398</v>
      </c>
      <c r="F541" s="152" t="s">
        <v>2705</v>
      </c>
      <c r="G541" s="152" t="s">
        <v>2398</v>
      </c>
      <c r="H541" s="152" t="s">
        <v>2705</v>
      </c>
      <c r="I541" s="152" t="s">
        <v>2398</v>
      </c>
      <c r="J541" s="152" t="s">
        <v>2705</v>
      </c>
      <c r="K541" s="152" t="s">
        <v>2705</v>
      </c>
      <c r="L541" s="152" t="s">
        <v>2705</v>
      </c>
      <c r="M541" s="152" t="s">
        <v>2398</v>
      </c>
      <c r="N541" s="152" t="s">
        <v>2398</v>
      </c>
      <c r="O541" s="152" t="s">
        <v>2398</v>
      </c>
      <c r="P541" s="152" t="s">
        <v>2705</v>
      </c>
      <c r="Q541" s="152" t="s">
        <v>2398</v>
      </c>
      <c r="R541" s="152" t="s">
        <v>2398</v>
      </c>
      <c r="S541" s="152" t="s">
        <v>2705</v>
      </c>
      <c r="T541" s="152" t="s">
        <v>2705</v>
      </c>
      <c r="U541" s="152" t="s">
        <v>2398</v>
      </c>
    </row>
    <row r="542" spans="1:21" s="142" customFormat="1" ht="12.75" x14ac:dyDescent="0.2">
      <c r="A542" s="151"/>
      <c r="B542" s="152" t="s">
        <v>2398</v>
      </c>
      <c r="C542" s="152" t="s">
        <v>2705</v>
      </c>
      <c r="D542" s="152" t="s">
        <v>2398</v>
      </c>
      <c r="E542" s="152" t="s">
        <v>2705</v>
      </c>
      <c r="F542" s="152" t="s">
        <v>2705</v>
      </c>
      <c r="G542" s="152" t="s">
        <v>2675</v>
      </c>
      <c r="H542" s="152" t="s">
        <v>2398</v>
      </c>
      <c r="I542" s="152" t="s">
        <v>2398</v>
      </c>
      <c r="J542" s="152" t="s">
        <v>2705</v>
      </c>
      <c r="K542" s="152" t="s">
        <v>2705</v>
      </c>
      <c r="L542" s="152" t="s">
        <v>2705</v>
      </c>
      <c r="M542" s="152" t="s">
        <v>2705</v>
      </c>
      <c r="N542" s="152" t="s">
        <v>2398</v>
      </c>
      <c r="O542" s="152" t="s">
        <v>2705</v>
      </c>
      <c r="P542" s="152" t="s">
        <v>2398</v>
      </c>
      <c r="Q542" s="152" t="s">
        <v>1435</v>
      </c>
      <c r="R542" s="152" t="s">
        <v>2705</v>
      </c>
      <c r="S542" s="152" t="s">
        <v>2705</v>
      </c>
      <c r="T542" s="152" t="s">
        <v>2705</v>
      </c>
      <c r="U542" s="152" t="s">
        <v>1435</v>
      </c>
    </row>
    <row r="543" spans="1:21" s="142" customFormat="1" ht="12.75" customHeight="1" x14ac:dyDescent="0.2">
      <c r="A543" s="151" t="s">
        <v>7588</v>
      </c>
      <c r="B543" s="152" t="s">
        <v>2398</v>
      </c>
      <c r="C543" s="152" t="s">
        <v>2398</v>
      </c>
      <c r="D543" s="152" t="s">
        <v>2398</v>
      </c>
      <c r="E543" s="152" t="s">
        <v>2398</v>
      </c>
      <c r="F543" s="152" t="s">
        <v>2398</v>
      </c>
      <c r="G543" s="152" t="s">
        <v>1435</v>
      </c>
      <c r="H543" s="152" t="s">
        <v>2398</v>
      </c>
      <c r="I543" s="152" t="s">
        <v>2398</v>
      </c>
      <c r="J543" s="152" t="s">
        <v>2398</v>
      </c>
      <c r="K543" s="152" t="s">
        <v>2398</v>
      </c>
      <c r="L543" s="152" t="s">
        <v>2398</v>
      </c>
      <c r="M543" s="152" t="s">
        <v>2705</v>
      </c>
      <c r="N543" s="152" t="s">
        <v>2705</v>
      </c>
      <c r="O543" s="152" t="s">
        <v>1435</v>
      </c>
      <c r="P543" s="152" t="s">
        <v>2398</v>
      </c>
      <c r="Q543" s="152" t="s">
        <v>2705</v>
      </c>
      <c r="R543" s="152" t="s">
        <v>2705</v>
      </c>
      <c r="S543" s="152" t="s">
        <v>2705</v>
      </c>
      <c r="T543" s="152" t="s">
        <v>2705</v>
      </c>
      <c r="U543" s="152" t="s">
        <v>2705</v>
      </c>
    </row>
    <row r="544" spans="1:21" s="142" customFormat="1" ht="12.75" x14ac:dyDescent="0.2">
      <c r="A544" s="151"/>
      <c r="B544" s="152" t="s">
        <v>2398</v>
      </c>
      <c r="C544" s="152" t="s">
        <v>2705</v>
      </c>
      <c r="D544" s="152" t="s">
        <v>2398</v>
      </c>
      <c r="E544" s="152" t="s">
        <v>2705</v>
      </c>
      <c r="F544" s="152" t="s">
        <v>2398</v>
      </c>
      <c r="G544" s="152" t="s">
        <v>2398</v>
      </c>
      <c r="H544" s="152" t="s">
        <v>2398</v>
      </c>
      <c r="I544" s="152" t="s">
        <v>2705</v>
      </c>
      <c r="J544" s="152" t="s">
        <v>2705</v>
      </c>
      <c r="K544" s="152" t="s">
        <v>2705</v>
      </c>
      <c r="L544" s="152" t="s">
        <v>2705</v>
      </c>
      <c r="M544" s="152" t="s">
        <v>2705</v>
      </c>
      <c r="N544" s="152" t="s">
        <v>2705</v>
      </c>
      <c r="O544" s="152" t="s">
        <v>2705</v>
      </c>
      <c r="P544" s="152" t="s">
        <v>2705</v>
      </c>
      <c r="Q544" s="152" t="s">
        <v>2705</v>
      </c>
      <c r="R544" s="152" t="s">
        <v>2398</v>
      </c>
      <c r="S544" s="152" t="s">
        <v>2705</v>
      </c>
      <c r="T544" s="152" t="s">
        <v>2705</v>
      </c>
      <c r="U544" s="152" t="s">
        <v>2675</v>
      </c>
    </row>
    <row r="545" spans="1:21" s="142" customFormat="1" ht="12.75" customHeight="1" x14ac:dyDescent="0.2">
      <c r="A545" s="151" t="s">
        <v>7589</v>
      </c>
      <c r="B545" s="152" t="s">
        <v>2398</v>
      </c>
      <c r="C545" s="152" t="s">
        <v>2398</v>
      </c>
      <c r="D545" s="152" t="s">
        <v>2705</v>
      </c>
      <c r="E545" s="152" t="s">
        <v>2705</v>
      </c>
      <c r="F545" s="152" t="s">
        <v>2705</v>
      </c>
      <c r="G545" s="152" t="s">
        <v>2398</v>
      </c>
      <c r="H545" s="152" t="s">
        <v>2398</v>
      </c>
      <c r="I545" s="152" t="s">
        <v>2705</v>
      </c>
      <c r="J545" s="152" t="s">
        <v>2398</v>
      </c>
      <c r="K545" s="152" t="s">
        <v>2705</v>
      </c>
      <c r="L545" s="152" t="s">
        <v>2675</v>
      </c>
      <c r="M545" s="152" t="s">
        <v>2398</v>
      </c>
      <c r="N545" s="152" t="s">
        <v>2705</v>
      </c>
      <c r="O545" s="152" t="s">
        <v>2705</v>
      </c>
      <c r="P545" s="152" t="s">
        <v>2398</v>
      </c>
      <c r="Q545" s="152" t="s">
        <v>2675</v>
      </c>
      <c r="R545" s="152" t="s">
        <v>2398</v>
      </c>
      <c r="S545" s="152" t="s">
        <v>2398</v>
      </c>
      <c r="T545" s="152" t="s">
        <v>2398</v>
      </c>
      <c r="U545" s="152" t="s">
        <v>2705</v>
      </c>
    </row>
    <row r="546" spans="1:21" s="142" customFormat="1" ht="12.75" x14ac:dyDescent="0.2">
      <c r="A546" s="151"/>
      <c r="B546" s="152" t="s">
        <v>2705</v>
      </c>
      <c r="C546" s="152" t="s">
        <v>2675</v>
      </c>
      <c r="D546" s="152" t="s">
        <v>1435</v>
      </c>
      <c r="E546" s="152" t="s">
        <v>2675</v>
      </c>
      <c r="F546" s="152" t="s">
        <v>2398</v>
      </c>
      <c r="G546" s="152" t="s">
        <v>2705</v>
      </c>
      <c r="H546" s="152" t="s">
        <v>2705</v>
      </c>
      <c r="I546" s="152" t="s">
        <v>2705</v>
      </c>
      <c r="J546" s="152" t="s">
        <v>2397</v>
      </c>
      <c r="K546" s="152" t="s">
        <v>2397</v>
      </c>
      <c r="L546" s="152" t="s">
        <v>2397</v>
      </c>
      <c r="M546" s="152" t="s">
        <v>2705</v>
      </c>
      <c r="N546" s="152" t="s">
        <v>2675</v>
      </c>
      <c r="O546" s="152" t="s">
        <v>2398</v>
      </c>
      <c r="P546" s="152" t="s">
        <v>1435</v>
      </c>
      <c r="Q546" s="152" t="s">
        <v>2398</v>
      </c>
      <c r="R546" s="152" t="s">
        <v>2705</v>
      </c>
      <c r="S546" s="152" t="s">
        <v>2398</v>
      </c>
      <c r="T546" s="152" t="s">
        <v>2705</v>
      </c>
      <c r="U546" s="152" t="s">
        <v>2398</v>
      </c>
    </row>
    <row r="547" spans="1:21" s="142" customFormat="1" ht="12.75" customHeight="1" x14ac:dyDescent="0.2">
      <c r="A547" s="151" t="s">
        <v>7590</v>
      </c>
      <c r="B547" s="152" t="s">
        <v>2705</v>
      </c>
      <c r="C547" s="152" t="s">
        <v>2705</v>
      </c>
      <c r="D547" s="152" t="s">
        <v>2705</v>
      </c>
      <c r="E547" s="152" t="s">
        <v>2398</v>
      </c>
      <c r="F547" s="152" t="s">
        <v>2705</v>
      </c>
      <c r="G547" s="152" t="s">
        <v>2705</v>
      </c>
      <c r="H547" s="152" t="s">
        <v>1435</v>
      </c>
      <c r="I547" s="152" t="s">
        <v>2398</v>
      </c>
      <c r="J547" s="152" t="s">
        <v>2398</v>
      </c>
      <c r="K547" s="152" t="s">
        <v>2705</v>
      </c>
      <c r="L547" s="152" t="s">
        <v>2705</v>
      </c>
      <c r="M547" s="152" t="s">
        <v>2705</v>
      </c>
      <c r="N547" s="152" t="s">
        <v>2705</v>
      </c>
      <c r="O547" s="152" t="s">
        <v>2705</v>
      </c>
      <c r="P547" s="152" t="s">
        <v>2705</v>
      </c>
      <c r="Q547" s="152" t="s">
        <v>2705</v>
      </c>
      <c r="R547" s="152" t="s">
        <v>2398</v>
      </c>
      <c r="S547" s="152" t="s">
        <v>2705</v>
      </c>
      <c r="T547" s="152" t="s">
        <v>2705</v>
      </c>
      <c r="U547" s="152" t="s">
        <v>2705</v>
      </c>
    </row>
    <row r="548" spans="1:21" s="142" customFormat="1" ht="12.75" x14ac:dyDescent="0.2">
      <c r="A548" s="151"/>
      <c r="B548" s="152" t="s">
        <v>2705</v>
      </c>
      <c r="C548" s="152" t="s">
        <v>2705</v>
      </c>
      <c r="D548" s="152" t="s">
        <v>2705</v>
      </c>
      <c r="E548" s="152" t="s">
        <v>2705</v>
      </c>
      <c r="F548" s="152" t="s">
        <v>2705</v>
      </c>
      <c r="G548" s="152" t="s">
        <v>1435</v>
      </c>
      <c r="H548" s="152" t="s">
        <v>2705</v>
      </c>
      <c r="I548" s="152" t="s">
        <v>2705</v>
      </c>
      <c r="J548" s="152" t="s">
        <v>1435</v>
      </c>
      <c r="K548" s="152" t="s">
        <v>2705</v>
      </c>
      <c r="L548" s="152" t="s">
        <v>2705</v>
      </c>
      <c r="M548" s="152" t="s">
        <v>1435</v>
      </c>
      <c r="N548" s="152" t="s">
        <v>2675</v>
      </c>
      <c r="O548" s="152" t="s">
        <v>2705</v>
      </c>
      <c r="P548" s="152" t="s">
        <v>2705</v>
      </c>
      <c r="Q548" s="152" t="s">
        <v>2705</v>
      </c>
      <c r="R548" s="152" t="s">
        <v>1435</v>
      </c>
      <c r="S548" s="152" t="s">
        <v>2398</v>
      </c>
      <c r="T548" s="152" t="s">
        <v>2705</v>
      </c>
      <c r="U548" s="152" t="s">
        <v>2705</v>
      </c>
    </row>
    <row r="549" spans="1:21" s="142" customFormat="1" ht="12.75" customHeight="1" x14ac:dyDescent="0.2">
      <c r="A549" s="151" t="s">
        <v>7591</v>
      </c>
      <c r="B549" s="152" t="s">
        <v>2705</v>
      </c>
      <c r="C549" s="152" t="s">
        <v>2705</v>
      </c>
      <c r="D549" s="152" t="s">
        <v>2705</v>
      </c>
      <c r="E549" s="152" t="s">
        <v>2398</v>
      </c>
      <c r="F549" s="152" t="s">
        <v>2705</v>
      </c>
      <c r="G549" s="152" t="s">
        <v>2705</v>
      </c>
      <c r="H549" s="152" t="s">
        <v>2705</v>
      </c>
      <c r="I549" s="152" t="s">
        <v>2675</v>
      </c>
      <c r="J549" s="152" t="s">
        <v>2675</v>
      </c>
      <c r="K549" s="152" t="s">
        <v>2705</v>
      </c>
      <c r="L549" s="152" t="s">
        <v>2398</v>
      </c>
      <c r="M549" s="152" t="s">
        <v>2705</v>
      </c>
      <c r="N549" s="152" t="s">
        <v>2705</v>
      </c>
      <c r="O549" s="152" t="s">
        <v>2398</v>
      </c>
      <c r="P549" s="152" t="s">
        <v>2398</v>
      </c>
      <c r="Q549" s="152" t="s">
        <v>2675</v>
      </c>
      <c r="R549" s="152" t="s">
        <v>2398</v>
      </c>
      <c r="S549" s="152" t="s">
        <v>2398</v>
      </c>
      <c r="T549" s="152" t="s">
        <v>2675</v>
      </c>
      <c r="U549" s="152" t="s">
        <v>2705</v>
      </c>
    </row>
    <row r="550" spans="1:21" s="142" customFormat="1" ht="12.75" x14ac:dyDescent="0.2">
      <c r="A550" s="151"/>
      <c r="B550" s="152" t="s">
        <v>2705</v>
      </c>
      <c r="C550" s="152" t="s">
        <v>2705</v>
      </c>
      <c r="D550" s="152" t="s">
        <v>2705</v>
      </c>
      <c r="E550" s="152" t="s">
        <v>2398</v>
      </c>
      <c r="F550" s="152" t="s">
        <v>2705</v>
      </c>
      <c r="G550" s="152" t="s">
        <v>2398</v>
      </c>
      <c r="H550" s="152" t="s">
        <v>2705</v>
      </c>
      <c r="I550" s="152" t="s">
        <v>2705</v>
      </c>
      <c r="J550" s="152" t="s">
        <v>2705</v>
      </c>
      <c r="K550" s="152" t="s">
        <v>2705</v>
      </c>
      <c r="L550" s="152" t="s">
        <v>2398</v>
      </c>
      <c r="M550" s="152" t="s">
        <v>2675</v>
      </c>
      <c r="N550" s="152" t="s">
        <v>2398</v>
      </c>
      <c r="O550" s="152" t="s">
        <v>2705</v>
      </c>
      <c r="P550" s="152" t="s">
        <v>2398</v>
      </c>
      <c r="Q550" s="152" t="s">
        <v>2675</v>
      </c>
      <c r="R550" s="152" t="s">
        <v>2398</v>
      </c>
      <c r="S550" s="152" t="s">
        <v>2398</v>
      </c>
      <c r="T550" s="152" t="s">
        <v>2705</v>
      </c>
      <c r="U550" s="152" t="s">
        <v>2705</v>
      </c>
    </row>
    <row r="551" spans="1:21" s="142" customFormat="1" ht="12.75" customHeight="1" x14ac:dyDescent="0.2">
      <c r="A551" s="151" t="s">
        <v>7592</v>
      </c>
      <c r="B551" s="152" t="s">
        <v>2705</v>
      </c>
      <c r="C551" s="152" t="s">
        <v>2705</v>
      </c>
      <c r="D551" s="152" t="s">
        <v>2398</v>
      </c>
      <c r="E551" s="152" t="s">
        <v>2705</v>
      </c>
      <c r="F551" s="152" t="s">
        <v>2705</v>
      </c>
      <c r="G551" s="152" t="s">
        <v>1435</v>
      </c>
      <c r="H551" s="152" t="s">
        <v>2705</v>
      </c>
      <c r="I551" s="152" t="s">
        <v>2705</v>
      </c>
      <c r="J551" s="152" t="s">
        <v>2705</v>
      </c>
      <c r="K551" s="152" t="s">
        <v>2705</v>
      </c>
      <c r="L551" s="152" t="s">
        <v>2705</v>
      </c>
      <c r="M551" s="152" t="s">
        <v>2705</v>
      </c>
      <c r="N551" s="152" t="s">
        <v>2705</v>
      </c>
      <c r="O551" s="152" t="s">
        <v>2705</v>
      </c>
      <c r="P551" s="152" t="s">
        <v>2675</v>
      </c>
      <c r="Q551" s="152" t="s">
        <v>2675</v>
      </c>
      <c r="R551" s="152" t="s">
        <v>2705</v>
      </c>
      <c r="S551" s="152" t="s">
        <v>2397</v>
      </c>
      <c r="T551" s="152" t="s">
        <v>2705</v>
      </c>
      <c r="U551" s="152" t="s">
        <v>2398</v>
      </c>
    </row>
    <row r="552" spans="1:21" s="142" customFormat="1" ht="12.75" x14ac:dyDescent="0.2">
      <c r="A552" s="151"/>
      <c r="B552" s="152" t="s">
        <v>2398</v>
      </c>
      <c r="C552" s="152" t="s">
        <v>1435</v>
      </c>
      <c r="D552" s="152" t="s">
        <v>2705</v>
      </c>
      <c r="E552" s="152" t="s">
        <v>2705</v>
      </c>
      <c r="F552" s="152" t="s">
        <v>2705</v>
      </c>
      <c r="G552" s="152" t="s">
        <v>2398</v>
      </c>
      <c r="H552" s="152" t="s">
        <v>2705</v>
      </c>
      <c r="I552" s="152" t="s">
        <v>2397</v>
      </c>
      <c r="J552" s="152" t="s">
        <v>1435</v>
      </c>
      <c r="K552" s="152" t="s">
        <v>2705</v>
      </c>
      <c r="L552" s="152" t="s">
        <v>2705</v>
      </c>
      <c r="M552" s="152" t="s">
        <v>1435</v>
      </c>
      <c r="N552" s="152" t="s">
        <v>2705</v>
      </c>
      <c r="O552" s="152" t="s">
        <v>2398</v>
      </c>
      <c r="P552" s="152" t="s">
        <v>1435</v>
      </c>
      <c r="Q552" s="152" t="s">
        <v>2705</v>
      </c>
      <c r="R552" s="152" t="s">
        <v>2705</v>
      </c>
      <c r="S552" s="152" t="s">
        <v>2397</v>
      </c>
      <c r="T552" s="152" t="s">
        <v>1435</v>
      </c>
      <c r="U552" s="152" t="s">
        <v>2705</v>
      </c>
    </row>
    <row r="553" spans="1:21" s="142" customFormat="1" ht="12.75" customHeight="1" x14ac:dyDescent="0.2">
      <c r="A553" s="151" t="s">
        <v>7593</v>
      </c>
      <c r="B553" s="152" t="s">
        <v>2705</v>
      </c>
      <c r="C553" s="152" t="s">
        <v>2398</v>
      </c>
      <c r="D553" s="152" t="s">
        <v>2705</v>
      </c>
      <c r="E553" s="152" t="s">
        <v>2705</v>
      </c>
      <c r="F553" s="152" t="s">
        <v>2705</v>
      </c>
      <c r="G553" s="152" t="s">
        <v>2705</v>
      </c>
      <c r="H553" s="152" t="s">
        <v>1435</v>
      </c>
      <c r="I553" s="152" t="s">
        <v>2397</v>
      </c>
      <c r="J553" s="152" t="s">
        <v>2705</v>
      </c>
      <c r="K553" s="152" t="s">
        <v>2398</v>
      </c>
      <c r="L553" s="152" t="s">
        <v>2675</v>
      </c>
      <c r="M553" s="152" t="s">
        <v>2705</v>
      </c>
      <c r="N553" s="152" t="s">
        <v>2705</v>
      </c>
      <c r="O553" s="152" t="s">
        <v>1435</v>
      </c>
      <c r="P553" s="152" t="s">
        <v>2705</v>
      </c>
      <c r="Q553" s="152" t="s">
        <v>2705</v>
      </c>
      <c r="R553" s="152" t="s">
        <v>2705</v>
      </c>
      <c r="S553" s="152" t="s">
        <v>2705</v>
      </c>
      <c r="T553" s="152" t="s">
        <v>2398</v>
      </c>
      <c r="U553" s="152" t="s">
        <v>2705</v>
      </c>
    </row>
    <row r="554" spans="1:21" s="142" customFormat="1" ht="12.75" x14ac:dyDescent="0.2">
      <c r="A554" s="151"/>
      <c r="B554" s="152" t="s">
        <v>2705</v>
      </c>
      <c r="C554" s="152" t="s">
        <v>2675</v>
      </c>
      <c r="D554" s="152" t="s">
        <v>2398</v>
      </c>
      <c r="E554" s="152" t="s">
        <v>2675</v>
      </c>
      <c r="F554" s="152" t="s">
        <v>2398</v>
      </c>
      <c r="G554" s="152" t="s">
        <v>2705</v>
      </c>
      <c r="H554" s="152" t="s">
        <v>2705</v>
      </c>
      <c r="I554" s="152" t="s">
        <v>2705</v>
      </c>
      <c r="J554" s="152" t="s">
        <v>2705</v>
      </c>
      <c r="K554" s="152" t="s">
        <v>2398</v>
      </c>
      <c r="L554" s="152" t="s">
        <v>2398</v>
      </c>
      <c r="M554" s="152" t="s">
        <v>2705</v>
      </c>
      <c r="N554" s="152" t="s">
        <v>2705</v>
      </c>
      <c r="O554" s="152" t="s">
        <v>2397</v>
      </c>
      <c r="P554" s="152" t="s">
        <v>2705</v>
      </c>
      <c r="Q554" s="152" t="s">
        <v>2705</v>
      </c>
      <c r="R554" s="152" t="s">
        <v>1435</v>
      </c>
      <c r="S554" s="152" t="s">
        <v>2705</v>
      </c>
      <c r="T554" s="152" t="s">
        <v>2705</v>
      </c>
      <c r="U554" s="152" t="s">
        <v>2398</v>
      </c>
    </row>
    <row r="555" spans="1:21" s="142" customFormat="1" ht="12.75" customHeight="1" x14ac:dyDescent="0.2">
      <c r="A555" s="151" t="s">
        <v>7594</v>
      </c>
      <c r="B555" s="152" t="s">
        <v>2705</v>
      </c>
      <c r="C555" s="152" t="s">
        <v>2398</v>
      </c>
      <c r="D555" s="152" t="s">
        <v>2675</v>
      </c>
      <c r="E555" s="152" t="s">
        <v>2675</v>
      </c>
      <c r="F555" s="152" t="s">
        <v>2705</v>
      </c>
      <c r="G555" s="152" t="s">
        <v>2398</v>
      </c>
      <c r="H555" s="152" t="s">
        <v>2705</v>
      </c>
      <c r="I555" s="152" t="s">
        <v>2705</v>
      </c>
      <c r="J555" s="152" t="s">
        <v>2705</v>
      </c>
      <c r="K555" s="152" t="s">
        <v>2398</v>
      </c>
      <c r="L555" s="152" t="s">
        <v>2705</v>
      </c>
      <c r="M555" s="152" t="s">
        <v>2705</v>
      </c>
      <c r="N555" s="152" t="s">
        <v>2398</v>
      </c>
      <c r="O555" s="152" t="s">
        <v>1435</v>
      </c>
      <c r="P555" s="152" t="s">
        <v>2705</v>
      </c>
      <c r="Q555" s="152" t="s">
        <v>2398</v>
      </c>
      <c r="R555" s="152" t="s">
        <v>2398</v>
      </c>
      <c r="S555" s="152" t="s">
        <v>2398</v>
      </c>
      <c r="T555" s="152" t="s">
        <v>2398</v>
      </c>
      <c r="U555" s="152" t="s">
        <v>2675</v>
      </c>
    </row>
    <row r="556" spans="1:21" s="142" customFormat="1" ht="12.75" x14ac:dyDescent="0.2">
      <c r="A556" s="151"/>
      <c r="B556" s="152" t="s">
        <v>2398</v>
      </c>
      <c r="C556" s="152" t="s">
        <v>1435</v>
      </c>
      <c r="D556" s="152" t="s">
        <v>2705</v>
      </c>
      <c r="E556" s="152" t="s">
        <v>2675</v>
      </c>
      <c r="F556" s="152" t="s">
        <v>2705</v>
      </c>
      <c r="G556" s="152" t="s">
        <v>2398</v>
      </c>
      <c r="H556" s="152" t="s">
        <v>2705</v>
      </c>
      <c r="I556" s="152" t="s">
        <v>2705</v>
      </c>
      <c r="J556" s="152" t="s">
        <v>2398</v>
      </c>
      <c r="K556" s="152" t="s">
        <v>2705</v>
      </c>
      <c r="L556" s="152" t="s">
        <v>1435</v>
      </c>
      <c r="M556" s="152" t="s">
        <v>2398</v>
      </c>
      <c r="N556" s="152" t="s">
        <v>2397</v>
      </c>
      <c r="O556" s="152" t="s">
        <v>2705</v>
      </c>
      <c r="P556" s="152" t="s">
        <v>2705</v>
      </c>
      <c r="Q556" s="152" t="s">
        <v>2705</v>
      </c>
      <c r="R556" s="152" t="s">
        <v>2398</v>
      </c>
      <c r="S556" s="152" t="s">
        <v>2705</v>
      </c>
      <c r="T556" s="152" t="s">
        <v>2705</v>
      </c>
      <c r="U556" s="152" t="s">
        <v>1435</v>
      </c>
    </row>
    <row r="557" spans="1:21" s="142" customFormat="1" ht="12.75" customHeight="1" x14ac:dyDescent="0.2">
      <c r="A557" s="151" t="s">
        <v>7595</v>
      </c>
      <c r="B557" s="152" t="s">
        <v>2705</v>
      </c>
      <c r="C557" s="152" t="s">
        <v>2675</v>
      </c>
      <c r="D557" s="152" t="s">
        <v>2705</v>
      </c>
      <c r="E557" s="152" t="s">
        <v>2705</v>
      </c>
      <c r="F557" s="152" t="s">
        <v>2398</v>
      </c>
      <c r="G557" s="152" t="s">
        <v>2705</v>
      </c>
      <c r="H557" s="152" t="s">
        <v>2705</v>
      </c>
      <c r="I557" s="152" t="s">
        <v>2398</v>
      </c>
      <c r="J557" s="152" t="s">
        <v>2705</v>
      </c>
      <c r="K557" s="152" t="s">
        <v>2705</v>
      </c>
      <c r="L557" s="152" t="s">
        <v>2705</v>
      </c>
      <c r="M557" s="152" t="s">
        <v>2675</v>
      </c>
      <c r="N557" s="152" t="s">
        <v>2705</v>
      </c>
      <c r="O557" s="152" t="s">
        <v>2705</v>
      </c>
      <c r="P557" s="152" t="s">
        <v>2675</v>
      </c>
      <c r="Q557" s="152" t="s">
        <v>1435</v>
      </c>
      <c r="R557" s="152" t="s">
        <v>2705</v>
      </c>
      <c r="S557" s="152" t="s">
        <v>2398</v>
      </c>
      <c r="T557" s="152" t="s">
        <v>2705</v>
      </c>
      <c r="U557" s="152" t="s">
        <v>2398</v>
      </c>
    </row>
    <row r="558" spans="1:21" s="142" customFormat="1" ht="12.75" x14ac:dyDescent="0.2">
      <c r="A558" s="151"/>
      <c r="B558" s="152" t="s">
        <v>2705</v>
      </c>
      <c r="C558" s="152" t="s">
        <v>1435</v>
      </c>
      <c r="D558" s="152" t="s">
        <v>2705</v>
      </c>
      <c r="E558" s="152" t="s">
        <v>2705</v>
      </c>
      <c r="F558" s="152" t="s">
        <v>2705</v>
      </c>
      <c r="G558" s="152" t="s">
        <v>2398</v>
      </c>
      <c r="H558" s="152" t="s">
        <v>2398</v>
      </c>
      <c r="I558" s="152" t="s">
        <v>2705</v>
      </c>
      <c r="J558" s="152" t="s">
        <v>2705</v>
      </c>
      <c r="K558" s="152" t="s">
        <v>1435</v>
      </c>
      <c r="L558" s="152" t="s">
        <v>2398</v>
      </c>
      <c r="M558" s="152" t="s">
        <v>2675</v>
      </c>
      <c r="N558" s="152" t="s">
        <v>2398</v>
      </c>
      <c r="O558" s="152" t="s">
        <v>2705</v>
      </c>
      <c r="P558" s="152" t="s">
        <v>2705</v>
      </c>
      <c r="Q558" s="152" t="s">
        <v>2705</v>
      </c>
      <c r="R558" s="152" t="s">
        <v>2397</v>
      </c>
      <c r="S558" s="152" t="s">
        <v>2675</v>
      </c>
      <c r="T558" s="152" t="s">
        <v>2705</v>
      </c>
      <c r="U558" s="152" t="s">
        <v>2398</v>
      </c>
    </row>
    <row r="559" spans="1:21" s="142" customFormat="1" ht="12.75" customHeight="1" x14ac:dyDescent="0.2">
      <c r="A559" s="151" t="s">
        <v>7596</v>
      </c>
      <c r="B559" s="152" t="s">
        <v>2705</v>
      </c>
      <c r="C559" s="152" t="s">
        <v>2398</v>
      </c>
      <c r="D559" s="152" t="s">
        <v>2705</v>
      </c>
      <c r="E559" s="152" t="s">
        <v>2705</v>
      </c>
      <c r="F559" s="152" t="s">
        <v>2705</v>
      </c>
      <c r="G559" s="152" t="s">
        <v>2705</v>
      </c>
      <c r="H559" s="152" t="s">
        <v>2398</v>
      </c>
      <c r="I559" s="152" t="s">
        <v>2705</v>
      </c>
      <c r="J559" s="152" t="s">
        <v>2675</v>
      </c>
      <c r="K559" s="152" t="s">
        <v>2705</v>
      </c>
      <c r="L559" s="152" t="s">
        <v>2705</v>
      </c>
      <c r="M559" s="152" t="s">
        <v>2675</v>
      </c>
      <c r="N559" s="152" t="s">
        <v>2705</v>
      </c>
      <c r="O559" s="152" t="s">
        <v>2705</v>
      </c>
      <c r="P559" s="152" t="s">
        <v>2398</v>
      </c>
      <c r="Q559" s="152" t="s">
        <v>2675</v>
      </c>
      <c r="R559" s="152" t="s">
        <v>2398</v>
      </c>
      <c r="S559" s="152" t="s">
        <v>2398</v>
      </c>
      <c r="T559" s="152" t="s">
        <v>2705</v>
      </c>
      <c r="U559" s="152" t="s">
        <v>2398</v>
      </c>
    </row>
    <row r="560" spans="1:21" s="142" customFormat="1" ht="12.75" x14ac:dyDescent="0.2">
      <c r="A560" s="151"/>
      <c r="B560" s="152" t="s">
        <v>2705</v>
      </c>
      <c r="C560" s="152" t="s">
        <v>2705</v>
      </c>
      <c r="D560" s="152" t="s">
        <v>2675</v>
      </c>
      <c r="E560" s="152" t="s">
        <v>2705</v>
      </c>
      <c r="F560" s="152" t="s">
        <v>2705</v>
      </c>
      <c r="G560" s="152" t="s">
        <v>2705</v>
      </c>
      <c r="H560" s="152" t="s">
        <v>2705</v>
      </c>
      <c r="I560" s="152" t="s">
        <v>2705</v>
      </c>
      <c r="J560" s="152" t="s">
        <v>2705</v>
      </c>
      <c r="K560" s="152" t="s">
        <v>2705</v>
      </c>
      <c r="L560" s="152" t="s">
        <v>2398</v>
      </c>
      <c r="M560" s="152" t="s">
        <v>2398</v>
      </c>
      <c r="N560" s="152" t="s">
        <v>2398</v>
      </c>
      <c r="O560" s="152" t="s">
        <v>2705</v>
      </c>
      <c r="P560" s="152" t="s">
        <v>2398</v>
      </c>
      <c r="Q560" s="152" t="s">
        <v>2705</v>
      </c>
      <c r="R560" s="152" t="s">
        <v>1435</v>
      </c>
      <c r="S560" s="152" t="s">
        <v>2398</v>
      </c>
      <c r="T560" s="152" t="s">
        <v>2705</v>
      </c>
      <c r="U560" s="152" t="s">
        <v>2705</v>
      </c>
    </row>
    <row r="561" spans="1:21" s="142" customFormat="1" ht="12.75" customHeight="1" x14ac:dyDescent="0.2">
      <c r="A561" s="151" t="s">
        <v>7597</v>
      </c>
      <c r="B561" s="152" t="s">
        <v>2705</v>
      </c>
      <c r="C561" s="152" t="s">
        <v>2705</v>
      </c>
      <c r="D561" s="152" t="s">
        <v>2705</v>
      </c>
      <c r="E561" s="152" t="s">
        <v>2705</v>
      </c>
      <c r="F561" s="152" t="s">
        <v>2398</v>
      </c>
      <c r="G561" s="152" t="s">
        <v>2705</v>
      </c>
      <c r="H561" s="152" t="s">
        <v>2705</v>
      </c>
      <c r="I561" s="152" t="s">
        <v>2398</v>
      </c>
      <c r="J561" s="152" t="s">
        <v>2675</v>
      </c>
      <c r="K561" s="152" t="s">
        <v>2398</v>
      </c>
      <c r="L561" s="152" t="s">
        <v>2705</v>
      </c>
      <c r="M561" s="152" t="s">
        <v>2705</v>
      </c>
      <c r="N561" s="152" t="s">
        <v>2675</v>
      </c>
      <c r="O561" s="152" t="s">
        <v>2398</v>
      </c>
      <c r="P561" s="152" t="s">
        <v>2705</v>
      </c>
      <c r="Q561" s="152" t="s">
        <v>2705</v>
      </c>
      <c r="R561" s="152" t="s">
        <v>2705</v>
      </c>
      <c r="S561" s="152" t="s">
        <v>2705</v>
      </c>
      <c r="T561" s="152" t="s">
        <v>2705</v>
      </c>
      <c r="U561" s="152" t="s">
        <v>2398</v>
      </c>
    </row>
    <row r="562" spans="1:21" s="142" customFormat="1" ht="12.75" x14ac:dyDescent="0.2">
      <c r="A562" s="151"/>
      <c r="B562" s="152" t="s">
        <v>2398</v>
      </c>
      <c r="C562" s="152" t="s">
        <v>2397</v>
      </c>
      <c r="D562" s="152" t="s">
        <v>2705</v>
      </c>
      <c r="E562" s="152" t="s">
        <v>1435</v>
      </c>
      <c r="F562" s="152" t="s">
        <v>2705</v>
      </c>
      <c r="G562" s="152" t="s">
        <v>2705</v>
      </c>
      <c r="H562" s="152" t="s">
        <v>2675</v>
      </c>
      <c r="I562" s="152" t="s">
        <v>2398</v>
      </c>
      <c r="J562" s="152" t="s">
        <v>2398</v>
      </c>
      <c r="K562" s="152" t="s">
        <v>2675</v>
      </c>
      <c r="L562" s="152" t="s">
        <v>2705</v>
      </c>
      <c r="M562" s="152" t="s">
        <v>2398</v>
      </c>
      <c r="N562" s="152" t="s">
        <v>1435</v>
      </c>
      <c r="O562" s="152" t="s">
        <v>2705</v>
      </c>
      <c r="P562" s="152" t="s">
        <v>2398</v>
      </c>
      <c r="Q562" s="152" t="s">
        <v>2705</v>
      </c>
      <c r="R562" s="152" t="s">
        <v>2705</v>
      </c>
      <c r="S562" s="152" t="s">
        <v>2705</v>
      </c>
      <c r="T562" s="152" t="s">
        <v>2398</v>
      </c>
      <c r="U562" s="152" t="s">
        <v>1435</v>
      </c>
    </row>
    <row r="563" spans="1:21" s="142" customFormat="1" ht="12.75" customHeight="1" x14ac:dyDescent="0.2">
      <c r="A563" s="151" t="s">
        <v>7598</v>
      </c>
      <c r="B563" s="152" t="s">
        <v>2705</v>
      </c>
      <c r="C563" s="152" t="s">
        <v>2705</v>
      </c>
      <c r="D563" s="152" t="s">
        <v>2705</v>
      </c>
      <c r="E563" s="152" t="s">
        <v>2705</v>
      </c>
      <c r="F563" s="152" t="s">
        <v>2705</v>
      </c>
      <c r="G563" s="152" t="s">
        <v>1435</v>
      </c>
      <c r="H563" s="152" t="s">
        <v>2705</v>
      </c>
      <c r="I563" s="152" t="s">
        <v>2705</v>
      </c>
      <c r="J563" s="152" t="s">
        <v>2705</v>
      </c>
      <c r="K563" s="152" t="s">
        <v>2398</v>
      </c>
      <c r="L563" s="152" t="s">
        <v>2705</v>
      </c>
      <c r="M563" s="152" t="s">
        <v>2705</v>
      </c>
      <c r="N563" s="152" t="s">
        <v>2398</v>
      </c>
      <c r="O563" s="152" t="s">
        <v>2398</v>
      </c>
      <c r="P563" s="152" t="s">
        <v>2705</v>
      </c>
      <c r="Q563" s="152" t="s">
        <v>2398</v>
      </c>
      <c r="R563" s="152" t="s">
        <v>2398</v>
      </c>
      <c r="S563" s="152" t="s">
        <v>2398</v>
      </c>
      <c r="T563" s="152" t="s">
        <v>2398</v>
      </c>
      <c r="U563" s="152" t="s">
        <v>2398</v>
      </c>
    </row>
    <row r="564" spans="1:21" s="142" customFormat="1" ht="12.75" x14ac:dyDescent="0.2">
      <c r="A564" s="151"/>
      <c r="B564" s="152" t="s">
        <v>2398</v>
      </c>
      <c r="C564" s="152" t="s">
        <v>2398</v>
      </c>
      <c r="D564" s="152" t="s">
        <v>2675</v>
      </c>
      <c r="E564" s="152" t="s">
        <v>2705</v>
      </c>
      <c r="F564" s="152" t="s">
        <v>2398</v>
      </c>
      <c r="G564" s="152" t="s">
        <v>2398</v>
      </c>
      <c r="H564" s="152" t="s">
        <v>2398</v>
      </c>
      <c r="I564" s="152" t="s">
        <v>2398</v>
      </c>
      <c r="J564" s="152" t="s">
        <v>2398</v>
      </c>
      <c r="K564" s="152" t="s">
        <v>2675</v>
      </c>
      <c r="L564" s="152" t="s">
        <v>2398</v>
      </c>
      <c r="M564" s="152" t="s">
        <v>2705</v>
      </c>
      <c r="N564" s="152" t="s">
        <v>2705</v>
      </c>
      <c r="O564" s="152" t="s">
        <v>2705</v>
      </c>
      <c r="P564" s="152" t="s">
        <v>2705</v>
      </c>
      <c r="Q564" s="152" t="s">
        <v>2398</v>
      </c>
      <c r="R564" s="152" t="s">
        <v>2705</v>
      </c>
      <c r="S564" s="152" t="s">
        <v>2705</v>
      </c>
      <c r="T564" s="152" t="s">
        <v>1435</v>
      </c>
      <c r="U564" s="152" t="s">
        <v>2705</v>
      </c>
    </row>
    <row r="565" spans="1:21" s="142" customFormat="1" ht="12.75" customHeight="1" x14ac:dyDescent="0.2">
      <c r="A565" s="151" t="s">
        <v>7599</v>
      </c>
      <c r="B565" s="152" t="s">
        <v>2705</v>
      </c>
      <c r="C565" s="152" t="s">
        <v>2398</v>
      </c>
      <c r="D565" s="152" t="s">
        <v>2398</v>
      </c>
      <c r="E565" s="152" t="s">
        <v>2705</v>
      </c>
      <c r="F565" s="152" t="s">
        <v>2705</v>
      </c>
      <c r="G565" s="152" t="s">
        <v>2705</v>
      </c>
      <c r="H565" s="152" t="s">
        <v>2705</v>
      </c>
      <c r="I565" s="152" t="s">
        <v>2705</v>
      </c>
      <c r="J565" s="152" t="s">
        <v>2398</v>
      </c>
      <c r="K565" s="152" t="s">
        <v>2398</v>
      </c>
      <c r="L565" s="152" t="s">
        <v>2398</v>
      </c>
      <c r="M565" s="152" t="s">
        <v>2705</v>
      </c>
      <c r="N565" s="152" t="s">
        <v>2705</v>
      </c>
      <c r="O565" s="152" t="s">
        <v>2705</v>
      </c>
      <c r="P565" s="152" t="s">
        <v>2705</v>
      </c>
      <c r="Q565" s="152" t="s">
        <v>2705</v>
      </c>
      <c r="R565" s="152" t="s">
        <v>2705</v>
      </c>
      <c r="S565" s="152" t="s">
        <v>2705</v>
      </c>
      <c r="T565" s="152" t="s">
        <v>2398</v>
      </c>
      <c r="U565" s="152" t="s">
        <v>2398</v>
      </c>
    </row>
    <row r="566" spans="1:21" s="142" customFormat="1" ht="12.75" x14ac:dyDescent="0.2">
      <c r="A566" s="151"/>
      <c r="B566" s="152" t="s">
        <v>2705</v>
      </c>
      <c r="C566" s="152" t="s">
        <v>2398</v>
      </c>
      <c r="D566" s="152" t="s">
        <v>2398</v>
      </c>
      <c r="E566" s="152" t="s">
        <v>1435</v>
      </c>
      <c r="F566" s="152" t="s">
        <v>2398</v>
      </c>
      <c r="G566" s="152" t="s">
        <v>2705</v>
      </c>
      <c r="H566" s="152" t="s">
        <v>2705</v>
      </c>
      <c r="I566" s="152" t="s">
        <v>2398</v>
      </c>
      <c r="J566" s="152" t="s">
        <v>2705</v>
      </c>
      <c r="K566" s="152" t="s">
        <v>2705</v>
      </c>
      <c r="L566" s="152" t="s">
        <v>2705</v>
      </c>
      <c r="M566" s="152" t="s">
        <v>2398</v>
      </c>
      <c r="N566" s="152" t="s">
        <v>2675</v>
      </c>
      <c r="O566" s="152" t="s">
        <v>1435</v>
      </c>
      <c r="P566" s="152" t="s">
        <v>2705</v>
      </c>
      <c r="Q566" s="152" t="s">
        <v>2705</v>
      </c>
      <c r="R566" s="152" t="s">
        <v>1435</v>
      </c>
      <c r="S566" s="152" t="s">
        <v>2705</v>
      </c>
      <c r="T566" s="152" t="s">
        <v>2705</v>
      </c>
      <c r="U566" s="152" t="s">
        <v>2705</v>
      </c>
    </row>
    <row r="567" spans="1:21" s="142" customFormat="1" ht="12.75" customHeight="1" x14ac:dyDescent="0.2">
      <c r="A567" s="151" t="s">
        <v>7600</v>
      </c>
      <c r="B567" s="152" t="s">
        <v>2705</v>
      </c>
      <c r="C567" s="152" t="s">
        <v>2705</v>
      </c>
      <c r="D567" s="152" t="s">
        <v>2705</v>
      </c>
      <c r="E567" s="152" t="s">
        <v>2705</v>
      </c>
      <c r="F567" s="152" t="s">
        <v>2705</v>
      </c>
      <c r="G567" s="152" t="s">
        <v>2705</v>
      </c>
      <c r="H567" s="152" t="s">
        <v>2705</v>
      </c>
      <c r="I567" s="152" t="s">
        <v>2705</v>
      </c>
      <c r="J567" s="152" t="s">
        <v>2705</v>
      </c>
      <c r="K567" s="152" t="s">
        <v>2705</v>
      </c>
      <c r="L567" s="152" t="s">
        <v>2705</v>
      </c>
      <c r="M567" s="152" t="s">
        <v>2705</v>
      </c>
      <c r="N567" s="152" t="s">
        <v>2705</v>
      </c>
      <c r="O567" s="152" t="s">
        <v>2705</v>
      </c>
      <c r="P567" s="152" t="s">
        <v>2705</v>
      </c>
      <c r="Q567" s="152" t="s">
        <v>2705</v>
      </c>
      <c r="R567" s="152" t="s">
        <v>2705</v>
      </c>
      <c r="S567" s="152" t="s">
        <v>2705</v>
      </c>
      <c r="T567" s="152" t="s">
        <v>2705</v>
      </c>
      <c r="U567" s="152" t="s">
        <v>2705</v>
      </c>
    </row>
    <row r="568" spans="1:21" s="142" customFormat="1" ht="12.75" x14ac:dyDescent="0.2">
      <c r="A568" s="151"/>
      <c r="B568" s="152" t="s">
        <v>2398</v>
      </c>
      <c r="C568" s="152" t="s">
        <v>2705</v>
      </c>
      <c r="D568" s="152" t="s">
        <v>2705</v>
      </c>
      <c r="E568" s="152" t="s">
        <v>2705</v>
      </c>
      <c r="F568" s="152" t="s">
        <v>2675</v>
      </c>
      <c r="G568" s="152" t="s">
        <v>2398</v>
      </c>
      <c r="H568" s="152" t="s">
        <v>2705</v>
      </c>
      <c r="I568" s="152" t="s">
        <v>2705</v>
      </c>
      <c r="J568" s="152" t="s">
        <v>2398</v>
      </c>
      <c r="K568" s="152" t="s">
        <v>2398</v>
      </c>
      <c r="L568" s="152" t="s">
        <v>2398</v>
      </c>
      <c r="M568" s="152" t="s">
        <v>2398</v>
      </c>
      <c r="N568" s="152" t="s">
        <v>2705</v>
      </c>
      <c r="O568" s="152" t="s">
        <v>2705</v>
      </c>
      <c r="P568" s="152" t="s">
        <v>2398</v>
      </c>
      <c r="Q568" s="152" t="s">
        <v>2398</v>
      </c>
      <c r="R568" s="152" t="s">
        <v>2705</v>
      </c>
      <c r="S568" s="152" t="s">
        <v>1435</v>
      </c>
      <c r="T568" s="152" t="s">
        <v>2705</v>
      </c>
      <c r="U568" s="152" t="s">
        <v>2705</v>
      </c>
    </row>
    <row r="569" spans="1:21" s="142" customFormat="1" ht="12.75" customHeight="1" x14ac:dyDescent="0.2">
      <c r="A569" s="151" t="s">
        <v>7601</v>
      </c>
      <c r="B569" s="152" t="s">
        <v>2705</v>
      </c>
      <c r="C569" s="152" t="s">
        <v>2705</v>
      </c>
      <c r="D569" s="152" t="s">
        <v>2705</v>
      </c>
      <c r="E569" s="152" t="s">
        <v>2705</v>
      </c>
      <c r="F569" s="152" t="s">
        <v>2705</v>
      </c>
      <c r="G569" s="152" t="s">
        <v>2705</v>
      </c>
      <c r="H569" s="152" t="s">
        <v>2705</v>
      </c>
      <c r="I569" s="152" t="s">
        <v>2705</v>
      </c>
      <c r="J569" s="152" t="s">
        <v>2705</v>
      </c>
      <c r="K569" s="152" t="s">
        <v>2705</v>
      </c>
      <c r="L569" s="152" t="s">
        <v>2705</v>
      </c>
      <c r="M569" s="152" t="s">
        <v>2705</v>
      </c>
      <c r="N569" s="152" t="s">
        <v>2398</v>
      </c>
      <c r="O569" s="152" t="s">
        <v>2705</v>
      </c>
      <c r="P569" s="152" t="s">
        <v>2705</v>
      </c>
      <c r="Q569" s="152" t="s">
        <v>2398</v>
      </c>
      <c r="R569" s="152" t="s">
        <v>2398</v>
      </c>
      <c r="S569" s="152" t="s">
        <v>2705</v>
      </c>
      <c r="T569" s="152" t="s">
        <v>2705</v>
      </c>
      <c r="U569" s="152" t="s">
        <v>2705</v>
      </c>
    </row>
    <row r="570" spans="1:21" s="142" customFormat="1" ht="12.75" x14ac:dyDescent="0.2">
      <c r="A570" s="151"/>
      <c r="B570" s="152" t="s">
        <v>2398</v>
      </c>
      <c r="C570" s="152" t="s">
        <v>2705</v>
      </c>
      <c r="D570" s="152" t="s">
        <v>2398</v>
      </c>
      <c r="E570" s="152" t="s">
        <v>2705</v>
      </c>
      <c r="F570" s="152" t="s">
        <v>2705</v>
      </c>
      <c r="G570" s="152" t="s">
        <v>2675</v>
      </c>
      <c r="H570" s="152" t="s">
        <v>2705</v>
      </c>
      <c r="I570" s="152" t="s">
        <v>2705</v>
      </c>
      <c r="J570" s="152" t="s">
        <v>2705</v>
      </c>
      <c r="K570" s="152" t="s">
        <v>2398</v>
      </c>
      <c r="L570" s="152" t="s">
        <v>2705</v>
      </c>
      <c r="M570" s="152" t="s">
        <v>2705</v>
      </c>
      <c r="N570" s="152" t="s">
        <v>2705</v>
      </c>
      <c r="O570" s="152" t="s">
        <v>2705</v>
      </c>
      <c r="P570" s="152" t="s">
        <v>2705</v>
      </c>
      <c r="Q570" s="152" t="s">
        <v>2705</v>
      </c>
      <c r="R570" s="152" t="s">
        <v>2398</v>
      </c>
      <c r="S570" s="152" t="s">
        <v>2705</v>
      </c>
      <c r="T570" s="152" t="s">
        <v>2705</v>
      </c>
      <c r="U570" s="152" t="s">
        <v>2705</v>
      </c>
    </row>
    <row r="571" spans="1:21" s="142" customFormat="1" ht="12.75" customHeight="1" x14ac:dyDescent="0.2">
      <c r="A571" s="151" t="s">
        <v>7602</v>
      </c>
      <c r="B571" s="152" t="s">
        <v>2398</v>
      </c>
      <c r="C571" s="152" t="s">
        <v>2705</v>
      </c>
      <c r="D571" s="152" t="s">
        <v>2398</v>
      </c>
      <c r="E571" s="152" t="s">
        <v>2398</v>
      </c>
      <c r="F571" s="152" t="s">
        <v>2705</v>
      </c>
      <c r="G571" s="152" t="s">
        <v>2705</v>
      </c>
      <c r="H571" s="152" t="s">
        <v>2705</v>
      </c>
      <c r="I571" s="152" t="s">
        <v>2675</v>
      </c>
      <c r="J571" s="152" t="s">
        <v>2398</v>
      </c>
      <c r="K571" s="152" t="s">
        <v>2398</v>
      </c>
      <c r="L571" s="152" t="s">
        <v>1435</v>
      </c>
      <c r="M571" s="152" t="s">
        <v>2705</v>
      </c>
      <c r="N571" s="152" t="s">
        <v>2398</v>
      </c>
      <c r="O571" s="152" t="s">
        <v>2398</v>
      </c>
      <c r="P571" s="152" t="s">
        <v>2705</v>
      </c>
      <c r="Q571" s="152" t="s">
        <v>2705</v>
      </c>
      <c r="R571" s="152" t="s">
        <v>2705</v>
      </c>
      <c r="S571" s="152" t="s">
        <v>2705</v>
      </c>
      <c r="T571" s="152" t="s">
        <v>2398</v>
      </c>
      <c r="U571" s="152" t="s">
        <v>2705</v>
      </c>
    </row>
    <row r="572" spans="1:21" s="142" customFormat="1" ht="12.75" x14ac:dyDescent="0.2">
      <c r="A572" s="151"/>
      <c r="B572" s="152" t="s">
        <v>2398</v>
      </c>
      <c r="C572" s="152" t="s">
        <v>2398</v>
      </c>
      <c r="D572" s="152" t="s">
        <v>2398</v>
      </c>
      <c r="E572" s="152" t="s">
        <v>2705</v>
      </c>
      <c r="F572" s="152" t="s">
        <v>2705</v>
      </c>
      <c r="G572" s="152" t="s">
        <v>2705</v>
      </c>
      <c r="H572" s="152" t="s">
        <v>2398</v>
      </c>
      <c r="I572" s="152" t="s">
        <v>1435</v>
      </c>
      <c r="J572" s="152" t="s">
        <v>1435</v>
      </c>
      <c r="K572" s="152" t="s">
        <v>2705</v>
      </c>
      <c r="L572" s="152" t="s">
        <v>2705</v>
      </c>
      <c r="M572" s="152" t="s">
        <v>2705</v>
      </c>
      <c r="N572" s="152" t="s">
        <v>2705</v>
      </c>
      <c r="O572" s="152" t="s">
        <v>2705</v>
      </c>
      <c r="P572" s="152" t="s">
        <v>2398</v>
      </c>
      <c r="Q572" s="152" t="s">
        <v>2705</v>
      </c>
      <c r="R572" s="152" t="s">
        <v>2705</v>
      </c>
      <c r="S572" s="152" t="s">
        <v>2705</v>
      </c>
      <c r="T572" s="152" t="s">
        <v>2398</v>
      </c>
      <c r="U572" s="152" t="s">
        <v>2398</v>
      </c>
    </row>
    <row r="573" spans="1:21" s="142" customFormat="1" ht="12.75" customHeight="1" x14ac:dyDescent="0.2">
      <c r="A573" s="151" t="s">
        <v>7603</v>
      </c>
      <c r="B573" s="152" t="s">
        <v>2398</v>
      </c>
      <c r="C573" s="152" t="s">
        <v>2705</v>
      </c>
      <c r="D573" s="152" t="s">
        <v>2398</v>
      </c>
      <c r="E573" s="152" t="s">
        <v>2398</v>
      </c>
      <c r="F573" s="152" t="s">
        <v>2705</v>
      </c>
      <c r="G573" s="152" t="s">
        <v>2398</v>
      </c>
      <c r="H573" s="152" t="s">
        <v>2705</v>
      </c>
      <c r="I573" s="152" t="s">
        <v>2675</v>
      </c>
      <c r="J573" s="152" t="s">
        <v>2398</v>
      </c>
      <c r="K573" s="152" t="s">
        <v>2705</v>
      </c>
      <c r="L573" s="152" t="s">
        <v>1435</v>
      </c>
      <c r="M573" s="152" t="s">
        <v>2705</v>
      </c>
      <c r="N573" s="152" t="s">
        <v>2705</v>
      </c>
      <c r="O573" s="152" t="s">
        <v>2398</v>
      </c>
      <c r="P573" s="152" t="s">
        <v>2705</v>
      </c>
      <c r="Q573" s="152" t="s">
        <v>2705</v>
      </c>
      <c r="R573" s="152" t="s">
        <v>2675</v>
      </c>
      <c r="S573" s="152" t="s">
        <v>2705</v>
      </c>
      <c r="T573" s="152" t="s">
        <v>2705</v>
      </c>
      <c r="U573" s="152" t="s">
        <v>2705</v>
      </c>
    </row>
    <row r="574" spans="1:21" s="142" customFormat="1" ht="12.75" x14ac:dyDescent="0.2">
      <c r="A574" s="151"/>
      <c r="B574" s="152" t="s">
        <v>2705</v>
      </c>
      <c r="C574" s="152" t="s">
        <v>2398</v>
      </c>
      <c r="D574" s="152" t="s">
        <v>2398</v>
      </c>
      <c r="E574" s="152" t="s">
        <v>2675</v>
      </c>
      <c r="F574" s="152" t="s">
        <v>2705</v>
      </c>
      <c r="G574" s="152" t="s">
        <v>2705</v>
      </c>
      <c r="H574" s="152" t="s">
        <v>2398</v>
      </c>
      <c r="I574" s="152" t="s">
        <v>2705</v>
      </c>
      <c r="J574" s="152" t="s">
        <v>2705</v>
      </c>
      <c r="K574" s="152" t="s">
        <v>2705</v>
      </c>
      <c r="L574" s="152" t="s">
        <v>2398</v>
      </c>
      <c r="M574" s="152" t="s">
        <v>2398</v>
      </c>
      <c r="N574" s="152" t="s">
        <v>2398</v>
      </c>
      <c r="O574" s="152" t="s">
        <v>2705</v>
      </c>
      <c r="P574" s="152" t="s">
        <v>1435</v>
      </c>
      <c r="Q574" s="152" t="s">
        <v>2705</v>
      </c>
      <c r="R574" s="152" t="s">
        <v>2705</v>
      </c>
      <c r="S574" s="152" t="s">
        <v>2705</v>
      </c>
      <c r="T574" s="152" t="s">
        <v>2398</v>
      </c>
      <c r="U574" s="152" t="s">
        <v>2398</v>
      </c>
    </row>
    <row r="575" spans="1:21" s="142" customFormat="1" ht="12.75" customHeight="1" x14ac:dyDescent="0.2">
      <c r="A575" s="151" t="s">
        <v>7604</v>
      </c>
      <c r="B575" s="152" t="s">
        <v>2398</v>
      </c>
      <c r="C575" s="152" t="s">
        <v>2705</v>
      </c>
      <c r="D575" s="152" t="s">
        <v>2398</v>
      </c>
      <c r="E575" s="152" t="s">
        <v>2398</v>
      </c>
      <c r="F575" s="152" t="s">
        <v>2705</v>
      </c>
      <c r="G575" s="152" t="s">
        <v>2705</v>
      </c>
      <c r="H575" s="152" t="s">
        <v>2705</v>
      </c>
      <c r="I575" s="152" t="s">
        <v>2398</v>
      </c>
      <c r="J575" s="152" t="s">
        <v>2705</v>
      </c>
      <c r="K575" s="152" t="s">
        <v>2705</v>
      </c>
      <c r="L575" s="152" t="s">
        <v>2705</v>
      </c>
      <c r="M575" s="152" t="s">
        <v>2705</v>
      </c>
      <c r="N575" s="152" t="s">
        <v>2398</v>
      </c>
      <c r="O575" s="152" t="s">
        <v>2705</v>
      </c>
      <c r="P575" s="152" t="s">
        <v>2705</v>
      </c>
      <c r="Q575" s="152" t="s">
        <v>2705</v>
      </c>
      <c r="R575" s="152" t="s">
        <v>2705</v>
      </c>
      <c r="S575" s="152" t="s">
        <v>2705</v>
      </c>
      <c r="T575" s="152" t="s">
        <v>2705</v>
      </c>
      <c r="U575" s="152" t="s">
        <v>2705</v>
      </c>
    </row>
    <row r="576" spans="1:21" s="142" customFormat="1" ht="12.75" x14ac:dyDescent="0.2">
      <c r="A576" s="151"/>
      <c r="B576" s="152" t="s">
        <v>2705</v>
      </c>
      <c r="C576" s="152" t="s">
        <v>2398</v>
      </c>
      <c r="D576" s="152" t="s">
        <v>2705</v>
      </c>
      <c r="E576" s="152" t="s">
        <v>2398</v>
      </c>
      <c r="F576" s="152" t="s">
        <v>2705</v>
      </c>
      <c r="G576" s="152" t="s">
        <v>2705</v>
      </c>
      <c r="H576" s="152" t="s">
        <v>2398</v>
      </c>
      <c r="I576" s="152" t="s">
        <v>2398</v>
      </c>
      <c r="J576" s="152" t="s">
        <v>2705</v>
      </c>
      <c r="K576" s="152" t="s">
        <v>2398</v>
      </c>
      <c r="L576" s="152" t="s">
        <v>2705</v>
      </c>
      <c r="M576" s="152" t="s">
        <v>2398</v>
      </c>
      <c r="N576" s="152" t="s">
        <v>2705</v>
      </c>
      <c r="O576" s="152" t="s">
        <v>2705</v>
      </c>
      <c r="P576" s="152" t="s">
        <v>2675</v>
      </c>
      <c r="Q576" s="152" t="s">
        <v>2705</v>
      </c>
      <c r="R576" s="152" t="s">
        <v>2398</v>
      </c>
      <c r="S576" s="152" t="s">
        <v>2705</v>
      </c>
      <c r="T576" s="152" t="s">
        <v>2705</v>
      </c>
      <c r="U576" s="152" t="s">
        <v>2705</v>
      </c>
    </row>
    <row r="577" spans="1:21" s="142" customFormat="1" ht="12.75" customHeight="1" x14ac:dyDescent="0.2">
      <c r="A577" s="151" t="s">
        <v>7605</v>
      </c>
      <c r="B577" s="152" t="s">
        <v>2705</v>
      </c>
      <c r="C577" s="152" t="s">
        <v>2398</v>
      </c>
      <c r="D577" s="152" t="s">
        <v>2397</v>
      </c>
      <c r="E577" s="152" t="s">
        <v>2705</v>
      </c>
      <c r="F577" s="152" t="s">
        <v>2705</v>
      </c>
      <c r="G577" s="152" t="s">
        <v>2398</v>
      </c>
      <c r="H577" s="152" t="s">
        <v>2705</v>
      </c>
      <c r="I577" s="152" t="s">
        <v>2675</v>
      </c>
      <c r="J577" s="152" t="s">
        <v>2397</v>
      </c>
      <c r="K577" s="152" t="s">
        <v>1435</v>
      </c>
      <c r="L577" s="152" t="s">
        <v>2705</v>
      </c>
      <c r="M577" s="152" t="s">
        <v>2705</v>
      </c>
      <c r="N577" s="152" t="s">
        <v>2705</v>
      </c>
      <c r="O577" s="152" t="s">
        <v>2705</v>
      </c>
      <c r="P577" s="152" t="s">
        <v>2675</v>
      </c>
      <c r="Q577" s="152" t="s">
        <v>1435</v>
      </c>
      <c r="R577" s="152" t="s">
        <v>2705</v>
      </c>
      <c r="S577" s="152" t="s">
        <v>2705</v>
      </c>
      <c r="T577" s="152" t="s">
        <v>2705</v>
      </c>
      <c r="U577" s="152" t="s">
        <v>1435</v>
      </c>
    </row>
    <row r="578" spans="1:21" s="142" customFormat="1" ht="12.75" x14ac:dyDescent="0.2">
      <c r="A578" s="151"/>
      <c r="B578" s="152" t="s">
        <v>2398</v>
      </c>
      <c r="C578" s="152" t="s">
        <v>1435</v>
      </c>
      <c r="D578" s="152" t="s">
        <v>1435</v>
      </c>
      <c r="E578" s="152" t="s">
        <v>2398</v>
      </c>
      <c r="F578" s="152" t="s">
        <v>2705</v>
      </c>
      <c r="G578" s="152" t="s">
        <v>2675</v>
      </c>
      <c r="H578" s="152" t="s">
        <v>2675</v>
      </c>
      <c r="I578" s="152" t="s">
        <v>2705</v>
      </c>
      <c r="J578" s="152" t="s">
        <v>2675</v>
      </c>
      <c r="K578" s="152" t="s">
        <v>2675</v>
      </c>
      <c r="L578" s="152" t="s">
        <v>2398</v>
      </c>
      <c r="M578" s="152" t="s">
        <v>2398</v>
      </c>
      <c r="N578" s="152" t="s">
        <v>2705</v>
      </c>
      <c r="O578" s="152" t="s">
        <v>2705</v>
      </c>
      <c r="P578" s="152" t="s">
        <v>2397</v>
      </c>
      <c r="Q578" s="152" t="s">
        <v>2705</v>
      </c>
      <c r="R578" s="152" t="s">
        <v>2705</v>
      </c>
      <c r="S578" s="152" t="s">
        <v>2705</v>
      </c>
      <c r="T578" s="152" t="s">
        <v>2705</v>
      </c>
      <c r="U578" s="152" t="s">
        <v>2675</v>
      </c>
    </row>
    <row r="579" spans="1:21" s="142" customFormat="1" ht="12.75" customHeight="1" x14ac:dyDescent="0.2">
      <c r="A579" s="151" t="s">
        <v>7606</v>
      </c>
      <c r="B579" s="152" t="s">
        <v>2705</v>
      </c>
      <c r="C579" s="152" t="s">
        <v>2398</v>
      </c>
      <c r="D579" s="152" t="s">
        <v>2705</v>
      </c>
      <c r="E579" s="152" t="s">
        <v>1435</v>
      </c>
      <c r="F579" s="152" t="s">
        <v>2398</v>
      </c>
      <c r="G579" s="152" t="s">
        <v>2705</v>
      </c>
      <c r="H579" s="152" t="s">
        <v>2705</v>
      </c>
      <c r="I579" s="152" t="s">
        <v>2397</v>
      </c>
      <c r="J579" s="152" t="s">
        <v>2675</v>
      </c>
      <c r="K579" s="152" t="s">
        <v>2398</v>
      </c>
      <c r="L579" s="152" t="s">
        <v>2705</v>
      </c>
      <c r="M579" s="152" t="s">
        <v>2705</v>
      </c>
      <c r="N579" s="152" t="s">
        <v>2397</v>
      </c>
      <c r="O579" s="152" t="s">
        <v>2705</v>
      </c>
      <c r="P579" s="152" t="s">
        <v>2398</v>
      </c>
      <c r="Q579" s="152" t="s">
        <v>2705</v>
      </c>
      <c r="R579" s="152" t="s">
        <v>2398</v>
      </c>
      <c r="S579" s="152" t="s">
        <v>2705</v>
      </c>
      <c r="T579" s="152" t="s">
        <v>2705</v>
      </c>
      <c r="U579" s="152" t="s">
        <v>2705</v>
      </c>
    </row>
    <row r="580" spans="1:21" s="142" customFormat="1" ht="12.75" x14ac:dyDescent="0.2">
      <c r="A580" s="151"/>
      <c r="B580" s="152" t="s">
        <v>2705</v>
      </c>
      <c r="C580" s="152" t="s">
        <v>2675</v>
      </c>
      <c r="D580" s="152" t="s">
        <v>2705</v>
      </c>
      <c r="E580" s="152" t="s">
        <v>2705</v>
      </c>
      <c r="F580" s="152" t="s">
        <v>2705</v>
      </c>
      <c r="G580" s="152" t="s">
        <v>2705</v>
      </c>
      <c r="H580" s="152" t="s">
        <v>2398</v>
      </c>
      <c r="I580" s="152" t="s">
        <v>1435</v>
      </c>
      <c r="J580" s="152" t="s">
        <v>2398</v>
      </c>
      <c r="K580" s="152" t="s">
        <v>2705</v>
      </c>
      <c r="L580" s="152" t="s">
        <v>2705</v>
      </c>
      <c r="M580" s="152" t="s">
        <v>2705</v>
      </c>
      <c r="N580" s="152" t="s">
        <v>2397</v>
      </c>
      <c r="O580" s="152" t="s">
        <v>2398</v>
      </c>
      <c r="P580" s="152" t="s">
        <v>2675</v>
      </c>
      <c r="Q580" s="152" t="s">
        <v>2705</v>
      </c>
      <c r="R580" s="152" t="s">
        <v>2705</v>
      </c>
      <c r="S580" s="152" t="s">
        <v>2705</v>
      </c>
      <c r="T580" s="152" t="s">
        <v>2705</v>
      </c>
      <c r="U580" s="152" t="s">
        <v>2398</v>
      </c>
    </row>
    <row r="581" spans="1:21" s="142" customFormat="1" ht="12.75" customHeight="1" x14ac:dyDescent="0.2">
      <c r="A581" s="151" t="s">
        <v>7607</v>
      </c>
      <c r="B581" s="152" t="s">
        <v>2398</v>
      </c>
      <c r="C581" s="152" t="s">
        <v>2398</v>
      </c>
      <c r="D581" s="152" t="s">
        <v>2705</v>
      </c>
      <c r="E581" s="152" t="s">
        <v>2705</v>
      </c>
      <c r="F581" s="152" t="s">
        <v>2398</v>
      </c>
      <c r="G581" s="152" t="s">
        <v>2705</v>
      </c>
      <c r="H581" s="152" t="s">
        <v>2675</v>
      </c>
      <c r="I581" s="152" t="s">
        <v>2705</v>
      </c>
      <c r="J581" s="152" t="s">
        <v>2398</v>
      </c>
      <c r="K581" s="152" t="s">
        <v>2705</v>
      </c>
      <c r="L581" s="152" t="s">
        <v>2705</v>
      </c>
      <c r="M581" s="152" t="s">
        <v>2705</v>
      </c>
      <c r="N581" s="152" t="s">
        <v>2705</v>
      </c>
      <c r="O581" s="152" t="s">
        <v>2398</v>
      </c>
      <c r="P581" s="152" t="s">
        <v>2398</v>
      </c>
      <c r="Q581" s="152" t="s">
        <v>2705</v>
      </c>
      <c r="R581" s="152" t="s">
        <v>2398</v>
      </c>
      <c r="S581" s="152" t="s">
        <v>2398</v>
      </c>
      <c r="T581" s="152" t="s">
        <v>2398</v>
      </c>
      <c r="U581" s="152" t="s">
        <v>2398</v>
      </c>
    </row>
    <row r="582" spans="1:21" s="142" customFormat="1" ht="12.75" x14ac:dyDescent="0.2">
      <c r="A582" s="151"/>
      <c r="B582" s="152" t="s">
        <v>2705</v>
      </c>
      <c r="C582" s="152" t="s">
        <v>2705</v>
      </c>
      <c r="D582" s="152" t="s">
        <v>2705</v>
      </c>
      <c r="E582" s="152" t="s">
        <v>2705</v>
      </c>
      <c r="F582" s="152" t="s">
        <v>2705</v>
      </c>
      <c r="G582" s="152" t="s">
        <v>2705</v>
      </c>
      <c r="H582" s="152" t="s">
        <v>2397</v>
      </c>
      <c r="I582" s="152" t="s">
        <v>2705</v>
      </c>
      <c r="J582" s="152" t="s">
        <v>2705</v>
      </c>
      <c r="K582" s="152" t="s">
        <v>2705</v>
      </c>
      <c r="L582" s="152" t="s">
        <v>2705</v>
      </c>
      <c r="M582" s="152" t="s">
        <v>2398</v>
      </c>
      <c r="N582" s="152" t="s">
        <v>2398</v>
      </c>
      <c r="O582" s="152" t="s">
        <v>2705</v>
      </c>
      <c r="P582" s="152" t="s">
        <v>2705</v>
      </c>
      <c r="Q582" s="152" t="s">
        <v>2705</v>
      </c>
      <c r="R582" s="152" t="s">
        <v>2398</v>
      </c>
      <c r="S582" s="152" t="s">
        <v>2398</v>
      </c>
      <c r="T582" s="152" t="s">
        <v>2705</v>
      </c>
      <c r="U582" s="152" t="s">
        <v>2705</v>
      </c>
    </row>
    <row r="583" spans="1:21" s="142" customFormat="1" ht="12.75" customHeight="1" x14ac:dyDescent="0.2">
      <c r="A583" s="151" t="s">
        <v>7608</v>
      </c>
      <c r="B583" s="152" t="s">
        <v>1435</v>
      </c>
      <c r="C583" s="152" t="s">
        <v>2398</v>
      </c>
      <c r="D583" s="152" t="s">
        <v>2398</v>
      </c>
      <c r="E583" s="152" t="s">
        <v>2398</v>
      </c>
      <c r="F583" s="152" t="s">
        <v>2398</v>
      </c>
      <c r="G583" s="152" t="s">
        <v>2705</v>
      </c>
      <c r="H583" s="152" t="s">
        <v>2705</v>
      </c>
      <c r="I583" s="152" t="s">
        <v>2398</v>
      </c>
      <c r="J583" s="152" t="s">
        <v>2398</v>
      </c>
      <c r="K583" s="152" t="s">
        <v>2398</v>
      </c>
      <c r="L583" s="152" t="s">
        <v>2398</v>
      </c>
      <c r="M583" s="152" t="s">
        <v>2705</v>
      </c>
      <c r="N583" s="152" t="s">
        <v>2705</v>
      </c>
      <c r="O583" s="152" t="s">
        <v>1435</v>
      </c>
      <c r="P583" s="152" t="s">
        <v>2398</v>
      </c>
      <c r="Q583" s="152" t="s">
        <v>2705</v>
      </c>
      <c r="R583" s="152" t="s">
        <v>2705</v>
      </c>
      <c r="S583" s="152" t="s">
        <v>2705</v>
      </c>
      <c r="T583" s="152" t="s">
        <v>2398</v>
      </c>
      <c r="U583" s="152" t="s">
        <v>2705</v>
      </c>
    </row>
    <row r="584" spans="1:21" s="142" customFormat="1" ht="12.75" x14ac:dyDescent="0.2">
      <c r="A584" s="151"/>
      <c r="B584" s="152" t="s">
        <v>2705</v>
      </c>
      <c r="C584" s="152" t="s">
        <v>2398</v>
      </c>
      <c r="D584" s="152" t="s">
        <v>2398</v>
      </c>
      <c r="E584" s="152" t="s">
        <v>2675</v>
      </c>
      <c r="F584" s="152" t="s">
        <v>2398</v>
      </c>
      <c r="G584" s="152" t="s">
        <v>2705</v>
      </c>
      <c r="H584" s="152" t="s">
        <v>2705</v>
      </c>
      <c r="I584" s="152" t="s">
        <v>2398</v>
      </c>
      <c r="J584" s="152" t="s">
        <v>2705</v>
      </c>
      <c r="K584" s="152" t="s">
        <v>2705</v>
      </c>
      <c r="L584" s="152" t="s">
        <v>2398</v>
      </c>
      <c r="M584" s="152" t="s">
        <v>2705</v>
      </c>
      <c r="N584" s="152" t="s">
        <v>2675</v>
      </c>
      <c r="O584" s="152" t="s">
        <v>2705</v>
      </c>
      <c r="P584" s="152" t="s">
        <v>2705</v>
      </c>
      <c r="Q584" s="152" t="s">
        <v>2705</v>
      </c>
      <c r="R584" s="152" t="s">
        <v>2398</v>
      </c>
      <c r="S584" s="152" t="s">
        <v>2705</v>
      </c>
      <c r="T584" s="152" t="s">
        <v>2705</v>
      </c>
      <c r="U584" s="152" t="s">
        <v>2705</v>
      </c>
    </row>
    <row r="585" spans="1:21" s="142" customFormat="1" ht="12.75" customHeight="1" x14ac:dyDescent="0.2">
      <c r="A585" s="151" t="s">
        <v>7609</v>
      </c>
      <c r="B585" s="152" t="s">
        <v>2675</v>
      </c>
      <c r="C585" s="152" t="s">
        <v>2705</v>
      </c>
      <c r="D585" s="152" t="s">
        <v>2398</v>
      </c>
      <c r="E585" s="152" t="s">
        <v>2705</v>
      </c>
      <c r="F585" s="152" t="s">
        <v>2397</v>
      </c>
      <c r="G585" s="152" t="s">
        <v>2705</v>
      </c>
      <c r="H585" s="152" t="s">
        <v>2705</v>
      </c>
      <c r="I585" s="152" t="s">
        <v>2705</v>
      </c>
      <c r="J585" s="152" t="s">
        <v>2705</v>
      </c>
      <c r="K585" s="152" t="s">
        <v>1435</v>
      </c>
      <c r="L585" s="152" t="s">
        <v>2398</v>
      </c>
      <c r="M585" s="152" t="s">
        <v>2705</v>
      </c>
      <c r="N585" s="152" t="s">
        <v>2397</v>
      </c>
      <c r="O585" s="152" t="s">
        <v>2398</v>
      </c>
      <c r="P585" s="152" t="s">
        <v>2675</v>
      </c>
      <c r="Q585" s="152" t="s">
        <v>2705</v>
      </c>
      <c r="R585" s="152" t="s">
        <v>2397</v>
      </c>
      <c r="S585" s="152" t="s">
        <v>2397</v>
      </c>
      <c r="T585" s="152" t="s">
        <v>1435</v>
      </c>
      <c r="U585" s="152" t="s">
        <v>2398</v>
      </c>
    </row>
    <row r="586" spans="1:21" s="142" customFormat="1" ht="12.75" x14ac:dyDescent="0.2">
      <c r="A586" s="151"/>
      <c r="B586" s="152" t="s">
        <v>2398</v>
      </c>
      <c r="C586" s="152" t="s">
        <v>2705</v>
      </c>
      <c r="D586" s="152" t="s">
        <v>2705</v>
      </c>
      <c r="E586" s="152" t="s">
        <v>2397</v>
      </c>
      <c r="F586" s="152" t="s">
        <v>2675</v>
      </c>
      <c r="G586" s="152" t="s">
        <v>1435</v>
      </c>
      <c r="H586" s="152" t="s">
        <v>2705</v>
      </c>
      <c r="I586" s="152" t="s">
        <v>1435</v>
      </c>
      <c r="J586" s="152" t="s">
        <v>2705</v>
      </c>
      <c r="K586" s="152" t="s">
        <v>2705</v>
      </c>
      <c r="L586" s="152" t="s">
        <v>2398</v>
      </c>
      <c r="M586" s="152" t="s">
        <v>1435</v>
      </c>
      <c r="N586" s="152" t="s">
        <v>2675</v>
      </c>
      <c r="O586" s="152" t="s">
        <v>2705</v>
      </c>
      <c r="P586" s="152" t="s">
        <v>2705</v>
      </c>
      <c r="Q586" s="152" t="s">
        <v>2705</v>
      </c>
      <c r="R586" s="152" t="s">
        <v>1435</v>
      </c>
      <c r="S586" s="152" t="s">
        <v>2705</v>
      </c>
      <c r="T586" s="152" t="s">
        <v>2397</v>
      </c>
      <c r="U586" s="152" t="s">
        <v>2397</v>
      </c>
    </row>
    <row r="587" spans="1:21" s="142" customFormat="1" ht="12.75" customHeight="1" x14ac:dyDescent="0.2">
      <c r="A587" s="151" t="s">
        <v>7610</v>
      </c>
      <c r="B587" s="152" t="s">
        <v>2705</v>
      </c>
      <c r="C587" s="152" t="s">
        <v>2398</v>
      </c>
      <c r="D587" s="152" t="s">
        <v>2705</v>
      </c>
      <c r="E587" s="152" t="s">
        <v>2705</v>
      </c>
      <c r="F587" s="152" t="s">
        <v>2705</v>
      </c>
      <c r="G587" s="152" t="s">
        <v>2705</v>
      </c>
      <c r="H587" s="152" t="s">
        <v>2705</v>
      </c>
      <c r="I587" s="152" t="s">
        <v>2705</v>
      </c>
      <c r="J587" s="152" t="s">
        <v>2705</v>
      </c>
      <c r="K587" s="152" t="s">
        <v>2705</v>
      </c>
      <c r="L587" s="152" t="s">
        <v>2705</v>
      </c>
      <c r="M587" s="152" t="s">
        <v>2705</v>
      </c>
      <c r="N587" s="152" t="s">
        <v>2705</v>
      </c>
      <c r="O587" s="152" t="s">
        <v>2705</v>
      </c>
      <c r="P587" s="152" t="s">
        <v>2398</v>
      </c>
      <c r="Q587" s="152" t="s">
        <v>2398</v>
      </c>
      <c r="R587" s="152" t="s">
        <v>2398</v>
      </c>
      <c r="S587" s="152" t="s">
        <v>2397</v>
      </c>
      <c r="T587" s="152" t="s">
        <v>2398</v>
      </c>
      <c r="U587" s="152" t="s">
        <v>2705</v>
      </c>
    </row>
    <row r="588" spans="1:21" s="142" customFormat="1" ht="12.75" x14ac:dyDescent="0.2">
      <c r="A588" s="151"/>
      <c r="B588" s="152" t="s">
        <v>2705</v>
      </c>
      <c r="C588" s="152" t="s">
        <v>2675</v>
      </c>
      <c r="D588" s="152" t="s">
        <v>2705</v>
      </c>
      <c r="E588" s="152" t="s">
        <v>2705</v>
      </c>
      <c r="F588" s="152" t="s">
        <v>2705</v>
      </c>
      <c r="G588" s="152" t="s">
        <v>2705</v>
      </c>
      <c r="H588" s="152" t="s">
        <v>2705</v>
      </c>
      <c r="I588" s="152" t="s">
        <v>2705</v>
      </c>
      <c r="J588" s="152" t="s">
        <v>2705</v>
      </c>
      <c r="K588" s="152" t="s">
        <v>2705</v>
      </c>
      <c r="L588" s="152" t="s">
        <v>2398</v>
      </c>
      <c r="M588" s="152" t="s">
        <v>2398</v>
      </c>
      <c r="N588" s="152" t="s">
        <v>2705</v>
      </c>
      <c r="O588" s="152" t="s">
        <v>2398</v>
      </c>
      <c r="P588" s="152" t="s">
        <v>2705</v>
      </c>
      <c r="Q588" s="152" t="s">
        <v>2705</v>
      </c>
      <c r="R588" s="152" t="s">
        <v>1435</v>
      </c>
      <c r="S588" s="152" t="s">
        <v>2705</v>
      </c>
      <c r="T588" s="152" t="s">
        <v>2705</v>
      </c>
      <c r="U588" s="152" t="s">
        <v>2705</v>
      </c>
    </row>
    <row r="589" spans="1:21" s="142" customFormat="1" ht="12.75" customHeight="1" x14ac:dyDescent="0.2">
      <c r="A589" s="151" t="s">
        <v>7611</v>
      </c>
      <c r="B589" s="152" t="s">
        <v>2675</v>
      </c>
      <c r="C589" s="152" t="s">
        <v>2705</v>
      </c>
      <c r="D589" s="152" t="s">
        <v>1435</v>
      </c>
      <c r="E589" s="152" t="s">
        <v>1435</v>
      </c>
      <c r="F589" s="152" t="s">
        <v>2705</v>
      </c>
      <c r="G589" s="152" t="s">
        <v>2705</v>
      </c>
      <c r="H589" s="152" t="s">
        <v>2705</v>
      </c>
      <c r="I589" s="152" t="s">
        <v>2398</v>
      </c>
      <c r="J589" s="152" t="s">
        <v>2675</v>
      </c>
      <c r="K589" s="152" t="s">
        <v>2705</v>
      </c>
      <c r="L589" s="152" t="s">
        <v>2398</v>
      </c>
      <c r="M589" s="152" t="s">
        <v>2705</v>
      </c>
      <c r="N589" s="152" t="s">
        <v>2398</v>
      </c>
      <c r="O589" s="152" t="s">
        <v>2398</v>
      </c>
      <c r="P589" s="152" t="s">
        <v>2705</v>
      </c>
      <c r="Q589" s="152" t="s">
        <v>2705</v>
      </c>
      <c r="R589" s="152" t="s">
        <v>2705</v>
      </c>
      <c r="S589" s="152" t="s">
        <v>2705</v>
      </c>
      <c r="T589" s="152" t="s">
        <v>2705</v>
      </c>
      <c r="U589" s="152" t="s">
        <v>2705</v>
      </c>
    </row>
    <row r="590" spans="1:21" s="142" customFormat="1" ht="12.75" x14ac:dyDescent="0.2">
      <c r="A590" s="151"/>
      <c r="B590" s="152" t="s">
        <v>2398</v>
      </c>
      <c r="C590" s="152" t="s">
        <v>2675</v>
      </c>
      <c r="D590" s="152" t="s">
        <v>2398</v>
      </c>
      <c r="E590" s="152" t="s">
        <v>2705</v>
      </c>
      <c r="F590" s="152" t="s">
        <v>2705</v>
      </c>
      <c r="G590" s="152" t="s">
        <v>2675</v>
      </c>
      <c r="H590" s="152" t="s">
        <v>2398</v>
      </c>
      <c r="I590" s="152" t="s">
        <v>2675</v>
      </c>
      <c r="J590" s="152" t="s">
        <v>1435</v>
      </c>
      <c r="K590" s="152" t="s">
        <v>2705</v>
      </c>
      <c r="L590" s="152" t="s">
        <v>2398</v>
      </c>
      <c r="M590" s="152" t="s">
        <v>2705</v>
      </c>
      <c r="N590" s="152" t="s">
        <v>2705</v>
      </c>
      <c r="O590" s="152" t="s">
        <v>2705</v>
      </c>
      <c r="P590" s="152" t="s">
        <v>2675</v>
      </c>
      <c r="Q590" s="152" t="s">
        <v>2705</v>
      </c>
      <c r="R590" s="152" t="s">
        <v>2398</v>
      </c>
      <c r="S590" s="152" t="s">
        <v>2705</v>
      </c>
      <c r="T590" s="152" t="s">
        <v>2705</v>
      </c>
      <c r="U590" s="152" t="s">
        <v>2398</v>
      </c>
    </row>
    <row r="591" spans="1:21" s="142" customFormat="1" ht="12.75" customHeight="1" x14ac:dyDescent="0.2">
      <c r="A591" s="151" t="s">
        <v>7612</v>
      </c>
      <c r="B591" s="152" t="s">
        <v>2398</v>
      </c>
      <c r="C591" s="152" t="s">
        <v>2398</v>
      </c>
      <c r="D591" s="152" t="s">
        <v>2398</v>
      </c>
      <c r="E591" s="152" t="s">
        <v>2705</v>
      </c>
      <c r="F591" s="152" t="s">
        <v>2705</v>
      </c>
      <c r="G591" s="152" t="s">
        <v>2705</v>
      </c>
      <c r="H591" s="152" t="s">
        <v>1435</v>
      </c>
      <c r="I591" s="152" t="s">
        <v>2705</v>
      </c>
      <c r="J591" s="152" t="s">
        <v>2705</v>
      </c>
      <c r="K591" s="152" t="s">
        <v>2398</v>
      </c>
      <c r="L591" s="152" t="s">
        <v>2705</v>
      </c>
      <c r="M591" s="152" t="s">
        <v>2398</v>
      </c>
      <c r="N591" s="152" t="s">
        <v>2705</v>
      </c>
      <c r="O591" s="152" t="s">
        <v>1435</v>
      </c>
      <c r="P591" s="152" t="s">
        <v>2397</v>
      </c>
      <c r="Q591" s="152" t="s">
        <v>2398</v>
      </c>
      <c r="R591" s="152" t="s">
        <v>2705</v>
      </c>
      <c r="S591" s="152" t="s">
        <v>2705</v>
      </c>
      <c r="T591" s="152" t="s">
        <v>2705</v>
      </c>
      <c r="U591" s="152" t="s">
        <v>2705</v>
      </c>
    </row>
    <row r="592" spans="1:21" s="142" customFormat="1" ht="12.75" x14ac:dyDescent="0.2">
      <c r="A592" s="151"/>
      <c r="B592" s="152" t="s">
        <v>2398</v>
      </c>
      <c r="C592" s="152" t="s">
        <v>2398</v>
      </c>
      <c r="D592" s="152" t="s">
        <v>1435</v>
      </c>
      <c r="E592" s="152" t="s">
        <v>2705</v>
      </c>
      <c r="F592" s="152" t="s">
        <v>2398</v>
      </c>
      <c r="G592" s="152" t="s">
        <v>2398</v>
      </c>
      <c r="H592" s="152" t="s">
        <v>2705</v>
      </c>
      <c r="I592" s="152" t="s">
        <v>2398</v>
      </c>
      <c r="J592" s="152" t="s">
        <v>2705</v>
      </c>
      <c r="K592" s="152" t="s">
        <v>2398</v>
      </c>
      <c r="L592" s="152" t="s">
        <v>2705</v>
      </c>
      <c r="M592" s="152" t="s">
        <v>2705</v>
      </c>
      <c r="N592" s="152" t="s">
        <v>2705</v>
      </c>
      <c r="O592" s="152" t="s">
        <v>2398</v>
      </c>
      <c r="P592" s="152" t="s">
        <v>2675</v>
      </c>
      <c r="Q592" s="152" t="s">
        <v>2705</v>
      </c>
      <c r="R592" s="152" t="s">
        <v>2398</v>
      </c>
      <c r="S592" s="152" t="s">
        <v>2398</v>
      </c>
      <c r="T592" s="152" t="s">
        <v>2398</v>
      </c>
      <c r="U592" s="152" t="s">
        <v>2398</v>
      </c>
    </row>
    <row r="593" spans="1:21" s="142" customFormat="1" ht="12.75" customHeight="1" x14ac:dyDescent="0.2">
      <c r="A593" s="151" t="s">
        <v>7613</v>
      </c>
      <c r="B593" s="152" t="s">
        <v>2705</v>
      </c>
      <c r="C593" s="152" t="s">
        <v>2705</v>
      </c>
      <c r="D593" s="152" t="s">
        <v>2705</v>
      </c>
      <c r="E593" s="152" t="s">
        <v>2705</v>
      </c>
      <c r="F593" s="152" t="s">
        <v>2705</v>
      </c>
      <c r="G593" s="152" t="s">
        <v>2705</v>
      </c>
      <c r="H593" s="152" t="s">
        <v>2398</v>
      </c>
      <c r="I593" s="152" t="s">
        <v>2705</v>
      </c>
      <c r="J593" s="152" t="s">
        <v>2705</v>
      </c>
      <c r="K593" s="152" t="s">
        <v>2705</v>
      </c>
      <c r="L593" s="152" t="s">
        <v>2705</v>
      </c>
      <c r="M593" s="152" t="s">
        <v>2705</v>
      </c>
      <c r="N593" s="152" t="s">
        <v>2705</v>
      </c>
      <c r="O593" s="152" t="s">
        <v>2397</v>
      </c>
      <c r="P593" s="152" t="s">
        <v>2705</v>
      </c>
      <c r="Q593" s="152" t="s">
        <v>2675</v>
      </c>
      <c r="R593" s="152" t="s">
        <v>2705</v>
      </c>
      <c r="S593" s="152" t="s">
        <v>2398</v>
      </c>
      <c r="T593" s="152" t="s">
        <v>2705</v>
      </c>
      <c r="U593" s="152" t="s">
        <v>2705</v>
      </c>
    </row>
    <row r="594" spans="1:21" s="142" customFormat="1" ht="12.75" x14ac:dyDescent="0.2">
      <c r="A594" s="151"/>
      <c r="B594" s="152" t="s">
        <v>2705</v>
      </c>
      <c r="C594" s="152" t="s">
        <v>2675</v>
      </c>
      <c r="D594" s="152" t="s">
        <v>2705</v>
      </c>
      <c r="E594" s="152" t="s">
        <v>2705</v>
      </c>
      <c r="F594" s="152" t="s">
        <v>2675</v>
      </c>
      <c r="G594" s="152" t="s">
        <v>2705</v>
      </c>
      <c r="H594" s="152" t="s">
        <v>2397</v>
      </c>
      <c r="I594" s="152" t="s">
        <v>2705</v>
      </c>
      <c r="J594" s="152" t="s">
        <v>2705</v>
      </c>
      <c r="K594" s="152" t="s">
        <v>2705</v>
      </c>
      <c r="L594" s="152" t="s">
        <v>1435</v>
      </c>
      <c r="M594" s="152" t="s">
        <v>2705</v>
      </c>
      <c r="N594" s="152" t="s">
        <v>2705</v>
      </c>
      <c r="O594" s="152" t="s">
        <v>2705</v>
      </c>
      <c r="P594" s="152" t="s">
        <v>2705</v>
      </c>
      <c r="Q594" s="152" t="s">
        <v>2705</v>
      </c>
      <c r="R594" s="152" t="s">
        <v>2397</v>
      </c>
      <c r="S594" s="152" t="s">
        <v>2675</v>
      </c>
      <c r="T594" s="152" t="s">
        <v>2705</v>
      </c>
      <c r="U594" s="152" t="s">
        <v>2705</v>
      </c>
    </row>
    <row r="595" spans="1:21" s="142" customFormat="1" ht="12.75" customHeight="1" x14ac:dyDescent="0.2">
      <c r="A595" s="151" t="s">
        <v>7614</v>
      </c>
      <c r="B595" s="152" t="s">
        <v>2705</v>
      </c>
      <c r="C595" s="152" t="s">
        <v>2705</v>
      </c>
      <c r="D595" s="152" t="s">
        <v>2705</v>
      </c>
      <c r="E595" s="152" t="s">
        <v>2398</v>
      </c>
      <c r="F595" s="152" t="s">
        <v>2705</v>
      </c>
      <c r="G595" s="152" t="s">
        <v>2705</v>
      </c>
      <c r="H595" s="152" t="s">
        <v>2705</v>
      </c>
      <c r="I595" s="152" t="s">
        <v>2397</v>
      </c>
      <c r="J595" s="152" t="s">
        <v>2705</v>
      </c>
      <c r="K595" s="152" t="s">
        <v>2705</v>
      </c>
      <c r="L595" s="152" t="s">
        <v>2705</v>
      </c>
      <c r="M595" s="152" t="s">
        <v>2398</v>
      </c>
      <c r="N595" s="152" t="s">
        <v>2705</v>
      </c>
      <c r="O595" s="152" t="s">
        <v>2705</v>
      </c>
      <c r="P595" s="152" t="s">
        <v>2705</v>
      </c>
      <c r="Q595" s="152" t="s">
        <v>2705</v>
      </c>
      <c r="R595" s="152" t="s">
        <v>2675</v>
      </c>
      <c r="S595" s="152" t="s">
        <v>2705</v>
      </c>
      <c r="T595" s="152" t="s">
        <v>2705</v>
      </c>
      <c r="U595" s="152" t="s">
        <v>2705</v>
      </c>
    </row>
    <row r="596" spans="1:21" s="142" customFormat="1" ht="12.75" x14ac:dyDescent="0.2">
      <c r="A596" s="151"/>
      <c r="B596" s="152" t="s">
        <v>2705</v>
      </c>
      <c r="C596" s="152" t="s">
        <v>2705</v>
      </c>
      <c r="D596" s="152" t="s">
        <v>2705</v>
      </c>
      <c r="E596" s="152" t="s">
        <v>2705</v>
      </c>
      <c r="F596" s="152" t="s">
        <v>2705</v>
      </c>
      <c r="G596" s="152" t="s">
        <v>2705</v>
      </c>
      <c r="H596" s="152" t="s">
        <v>2705</v>
      </c>
      <c r="I596" s="152" t="s">
        <v>2398</v>
      </c>
      <c r="J596" s="152" t="s">
        <v>2705</v>
      </c>
      <c r="K596" s="152" t="s">
        <v>2398</v>
      </c>
      <c r="L596" s="152" t="s">
        <v>2705</v>
      </c>
      <c r="M596" s="152" t="s">
        <v>2705</v>
      </c>
      <c r="N596" s="152" t="s">
        <v>2705</v>
      </c>
      <c r="O596" s="152" t="s">
        <v>2398</v>
      </c>
      <c r="P596" s="152" t="s">
        <v>2398</v>
      </c>
      <c r="Q596" s="152" t="s">
        <v>2705</v>
      </c>
      <c r="R596" s="152" t="s">
        <v>2705</v>
      </c>
      <c r="S596" s="152" t="s">
        <v>2705</v>
      </c>
      <c r="T596" s="152" t="s">
        <v>2705</v>
      </c>
      <c r="U596" s="152" t="s">
        <v>2705</v>
      </c>
    </row>
    <row r="597" spans="1:21" s="142" customFormat="1" ht="12.75" customHeight="1" x14ac:dyDescent="0.2">
      <c r="A597" s="151" t="s">
        <v>7615</v>
      </c>
      <c r="B597" s="152" t="s">
        <v>2705</v>
      </c>
      <c r="C597" s="152" t="s">
        <v>2705</v>
      </c>
      <c r="D597" s="152" t="s">
        <v>2705</v>
      </c>
      <c r="E597" s="152" t="s">
        <v>2398</v>
      </c>
      <c r="F597" s="152" t="s">
        <v>2705</v>
      </c>
      <c r="G597" s="152" t="s">
        <v>2705</v>
      </c>
      <c r="H597" s="152" t="s">
        <v>2705</v>
      </c>
      <c r="I597" s="152" t="s">
        <v>2397</v>
      </c>
      <c r="J597" s="152" t="s">
        <v>2398</v>
      </c>
      <c r="K597" s="152" t="s">
        <v>1435</v>
      </c>
      <c r="L597" s="152" t="s">
        <v>2705</v>
      </c>
      <c r="M597" s="152" t="s">
        <v>2705</v>
      </c>
      <c r="N597" s="152" t="s">
        <v>2398</v>
      </c>
      <c r="O597" s="152" t="s">
        <v>2397</v>
      </c>
      <c r="P597" s="152" t="s">
        <v>2705</v>
      </c>
      <c r="Q597" s="152" t="s">
        <v>1435</v>
      </c>
      <c r="R597" s="152" t="s">
        <v>2398</v>
      </c>
      <c r="S597" s="152" t="s">
        <v>2398</v>
      </c>
      <c r="T597" s="152" t="s">
        <v>2705</v>
      </c>
      <c r="U597" s="152" t="s">
        <v>2705</v>
      </c>
    </row>
    <row r="598" spans="1:21" s="142" customFormat="1" ht="12.75" x14ac:dyDescent="0.2">
      <c r="A598" s="151"/>
      <c r="B598" s="152" t="s">
        <v>2705</v>
      </c>
      <c r="C598" s="152" t="s">
        <v>2397</v>
      </c>
      <c r="D598" s="152" t="s">
        <v>2675</v>
      </c>
      <c r="E598" s="152" t="s">
        <v>2705</v>
      </c>
      <c r="F598" s="152" t="s">
        <v>2705</v>
      </c>
      <c r="G598" s="152" t="s">
        <v>2398</v>
      </c>
      <c r="H598" s="152" t="s">
        <v>2705</v>
      </c>
      <c r="I598" s="152" t="s">
        <v>2705</v>
      </c>
      <c r="J598" s="152" t="s">
        <v>2675</v>
      </c>
      <c r="K598" s="152" t="s">
        <v>2398</v>
      </c>
      <c r="L598" s="152" t="s">
        <v>2705</v>
      </c>
      <c r="M598" s="152" t="s">
        <v>2398</v>
      </c>
      <c r="N598" s="152" t="s">
        <v>2398</v>
      </c>
      <c r="O598" s="152" t="s">
        <v>2705</v>
      </c>
      <c r="P598" s="152" t="s">
        <v>2398</v>
      </c>
      <c r="Q598" s="152" t="s">
        <v>2705</v>
      </c>
      <c r="R598" s="152" t="s">
        <v>2398</v>
      </c>
      <c r="S598" s="152" t="s">
        <v>2705</v>
      </c>
      <c r="T598" s="152" t="s">
        <v>2705</v>
      </c>
      <c r="U598" s="152" t="s">
        <v>2705</v>
      </c>
    </row>
    <row r="599" spans="1:21" s="142" customFormat="1" ht="12.75" customHeight="1" x14ac:dyDescent="0.2">
      <c r="A599" s="151" t="s">
        <v>7616</v>
      </c>
      <c r="B599" s="152" t="s">
        <v>2398</v>
      </c>
      <c r="C599" s="152" t="s">
        <v>2398</v>
      </c>
      <c r="D599" s="152" t="s">
        <v>2675</v>
      </c>
      <c r="E599" s="152" t="s">
        <v>2705</v>
      </c>
      <c r="F599" s="152" t="s">
        <v>2705</v>
      </c>
      <c r="G599" s="152" t="s">
        <v>2398</v>
      </c>
      <c r="H599" s="152" t="s">
        <v>2398</v>
      </c>
      <c r="I599" s="152" t="s">
        <v>2705</v>
      </c>
      <c r="J599" s="152" t="s">
        <v>2398</v>
      </c>
      <c r="K599" s="152" t="s">
        <v>2705</v>
      </c>
      <c r="L599" s="152" t="s">
        <v>2398</v>
      </c>
      <c r="M599" s="152" t="s">
        <v>2398</v>
      </c>
      <c r="N599" s="152" t="s">
        <v>2705</v>
      </c>
      <c r="O599" s="152" t="s">
        <v>2705</v>
      </c>
      <c r="P599" s="152" t="s">
        <v>2705</v>
      </c>
      <c r="Q599" s="152" t="s">
        <v>2398</v>
      </c>
      <c r="R599" s="152" t="s">
        <v>2705</v>
      </c>
      <c r="S599" s="152" t="s">
        <v>2705</v>
      </c>
      <c r="T599" s="152" t="s">
        <v>2398</v>
      </c>
      <c r="U599" s="152" t="s">
        <v>2398</v>
      </c>
    </row>
    <row r="600" spans="1:21" s="142" customFormat="1" ht="12.75" x14ac:dyDescent="0.2">
      <c r="A600" s="151"/>
      <c r="B600" s="152" t="s">
        <v>2705</v>
      </c>
      <c r="C600" s="152" t="s">
        <v>2398</v>
      </c>
      <c r="D600" s="152" t="s">
        <v>2705</v>
      </c>
      <c r="E600" s="152" t="s">
        <v>2398</v>
      </c>
      <c r="F600" s="152" t="s">
        <v>2398</v>
      </c>
      <c r="G600" s="152" t="s">
        <v>2398</v>
      </c>
      <c r="H600" s="152" t="s">
        <v>2705</v>
      </c>
      <c r="I600" s="152" t="s">
        <v>2398</v>
      </c>
      <c r="J600" s="152" t="s">
        <v>2705</v>
      </c>
      <c r="K600" s="152" t="s">
        <v>2705</v>
      </c>
      <c r="L600" s="152" t="s">
        <v>2705</v>
      </c>
      <c r="M600" s="152" t="s">
        <v>2398</v>
      </c>
      <c r="N600" s="152" t="s">
        <v>2675</v>
      </c>
      <c r="O600" s="152" t="s">
        <v>2705</v>
      </c>
      <c r="P600" s="152" t="s">
        <v>2398</v>
      </c>
      <c r="Q600" s="152" t="s">
        <v>2705</v>
      </c>
      <c r="R600" s="152" t="s">
        <v>2705</v>
      </c>
      <c r="S600" s="152" t="s">
        <v>2705</v>
      </c>
      <c r="T600" s="152" t="s">
        <v>2705</v>
      </c>
      <c r="U600" s="152" t="s">
        <v>2705</v>
      </c>
    </row>
    <row r="601" spans="1:21" s="142" customFormat="1" ht="12.75" customHeight="1" x14ac:dyDescent="0.2">
      <c r="A601" s="151" t="s">
        <v>7617</v>
      </c>
      <c r="B601" s="152" t="s">
        <v>2398</v>
      </c>
      <c r="C601" s="152" t="s">
        <v>2705</v>
      </c>
      <c r="D601" s="152" t="s">
        <v>2398</v>
      </c>
      <c r="E601" s="152" t="s">
        <v>2705</v>
      </c>
      <c r="F601" s="152" t="s">
        <v>2398</v>
      </c>
      <c r="G601" s="152" t="s">
        <v>2705</v>
      </c>
      <c r="H601" s="152" t="s">
        <v>2705</v>
      </c>
      <c r="I601" s="152" t="s">
        <v>2705</v>
      </c>
      <c r="J601" s="152" t="s">
        <v>2398</v>
      </c>
      <c r="K601" s="152" t="s">
        <v>2398</v>
      </c>
      <c r="L601" s="152" t="s">
        <v>2398</v>
      </c>
      <c r="M601" s="152" t="s">
        <v>2705</v>
      </c>
      <c r="N601" s="152" t="s">
        <v>2705</v>
      </c>
      <c r="O601" s="152" t="s">
        <v>2705</v>
      </c>
      <c r="P601" s="152" t="s">
        <v>2398</v>
      </c>
      <c r="Q601" s="152" t="s">
        <v>2398</v>
      </c>
      <c r="R601" s="152" t="s">
        <v>2705</v>
      </c>
      <c r="S601" s="152" t="s">
        <v>2705</v>
      </c>
      <c r="T601" s="152" t="s">
        <v>2398</v>
      </c>
      <c r="U601" s="152" t="s">
        <v>2705</v>
      </c>
    </row>
    <row r="602" spans="1:21" s="142" customFormat="1" ht="12.75" x14ac:dyDescent="0.2">
      <c r="A602" s="151"/>
      <c r="B602" s="152" t="s">
        <v>2398</v>
      </c>
      <c r="C602" s="152" t="s">
        <v>2398</v>
      </c>
      <c r="D602" s="152" t="s">
        <v>2398</v>
      </c>
      <c r="E602" s="152" t="s">
        <v>1435</v>
      </c>
      <c r="F602" s="152" t="s">
        <v>2398</v>
      </c>
      <c r="G602" s="152" t="s">
        <v>2705</v>
      </c>
      <c r="H602" s="152" t="s">
        <v>2705</v>
      </c>
      <c r="I602" s="152" t="s">
        <v>2705</v>
      </c>
      <c r="J602" s="152" t="s">
        <v>2705</v>
      </c>
      <c r="K602" s="152" t="s">
        <v>2705</v>
      </c>
      <c r="L602" s="152" t="s">
        <v>2675</v>
      </c>
      <c r="M602" s="152" t="s">
        <v>2705</v>
      </c>
      <c r="N602" s="152" t="s">
        <v>2705</v>
      </c>
      <c r="O602" s="152" t="s">
        <v>2705</v>
      </c>
      <c r="P602" s="152" t="s">
        <v>2705</v>
      </c>
      <c r="Q602" s="152" t="s">
        <v>2705</v>
      </c>
      <c r="R602" s="152" t="s">
        <v>1435</v>
      </c>
      <c r="S602" s="152" t="s">
        <v>2705</v>
      </c>
      <c r="T602" s="152" t="s">
        <v>2705</v>
      </c>
      <c r="U602" s="152" t="s">
        <v>2398</v>
      </c>
    </row>
    <row r="603" spans="1:21" s="142" customFormat="1" ht="12.75" customHeight="1" x14ac:dyDescent="0.2">
      <c r="A603" s="151" t="s">
        <v>7618</v>
      </c>
      <c r="B603" s="152" t="s">
        <v>2705</v>
      </c>
      <c r="C603" s="152" t="s">
        <v>2705</v>
      </c>
      <c r="D603" s="152" t="s">
        <v>2398</v>
      </c>
      <c r="E603" s="152" t="s">
        <v>2705</v>
      </c>
      <c r="F603" s="152" t="s">
        <v>2705</v>
      </c>
      <c r="G603" s="152" t="s">
        <v>2705</v>
      </c>
      <c r="H603" s="152" t="s">
        <v>2705</v>
      </c>
      <c r="I603" s="152" t="s">
        <v>2397</v>
      </c>
      <c r="J603" s="152" t="s">
        <v>2398</v>
      </c>
      <c r="K603" s="152" t="s">
        <v>1435</v>
      </c>
      <c r="L603" s="152" t="s">
        <v>1435</v>
      </c>
      <c r="M603" s="152" t="s">
        <v>2705</v>
      </c>
      <c r="N603" s="152" t="s">
        <v>2705</v>
      </c>
      <c r="O603" s="152" t="s">
        <v>2705</v>
      </c>
      <c r="P603" s="152" t="s">
        <v>2705</v>
      </c>
      <c r="Q603" s="152" t="s">
        <v>2705</v>
      </c>
      <c r="R603" s="152" t="s">
        <v>2705</v>
      </c>
      <c r="S603" s="152" t="s">
        <v>2675</v>
      </c>
      <c r="T603" s="152" t="s">
        <v>2398</v>
      </c>
      <c r="U603" s="152" t="s">
        <v>2705</v>
      </c>
    </row>
    <row r="604" spans="1:21" s="142" customFormat="1" ht="12.75" x14ac:dyDescent="0.2">
      <c r="A604" s="151"/>
      <c r="B604" s="152" t="s">
        <v>2398</v>
      </c>
      <c r="C604" s="152" t="s">
        <v>2705</v>
      </c>
      <c r="D604" s="152" t="s">
        <v>2705</v>
      </c>
      <c r="E604" s="152" t="s">
        <v>2705</v>
      </c>
      <c r="F604" s="152" t="s">
        <v>2705</v>
      </c>
      <c r="G604" s="152" t="s">
        <v>2705</v>
      </c>
      <c r="H604" s="152" t="s">
        <v>2705</v>
      </c>
      <c r="I604" s="152" t="s">
        <v>1435</v>
      </c>
      <c r="J604" s="152" t="s">
        <v>2398</v>
      </c>
      <c r="K604" s="152" t="s">
        <v>2705</v>
      </c>
      <c r="L604" s="152" t="s">
        <v>2705</v>
      </c>
      <c r="M604" s="152" t="s">
        <v>2705</v>
      </c>
      <c r="N604" s="152" t="s">
        <v>2705</v>
      </c>
      <c r="O604" s="152" t="s">
        <v>2705</v>
      </c>
      <c r="P604" s="152" t="s">
        <v>2675</v>
      </c>
      <c r="Q604" s="152" t="s">
        <v>2705</v>
      </c>
      <c r="R604" s="152" t="s">
        <v>2705</v>
      </c>
      <c r="S604" s="152" t="s">
        <v>2705</v>
      </c>
      <c r="T604" s="152" t="s">
        <v>2705</v>
      </c>
      <c r="U604" s="152" t="s">
        <v>2398</v>
      </c>
    </row>
    <row r="605" spans="1:21" s="142" customFormat="1" ht="12.75" customHeight="1" x14ac:dyDescent="0.2">
      <c r="A605" s="151" t="s">
        <v>7619</v>
      </c>
      <c r="B605" s="152" t="s">
        <v>2398</v>
      </c>
      <c r="C605" s="152" t="s">
        <v>2675</v>
      </c>
      <c r="D605" s="152" t="s">
        <v>2705</v>
      </c>
      <c r="E605" s="152" t="s">
        <v>2705</v>
      </c>
      <c r="F605" s="152" t="s">
        <v>2398</v>
      </c>
      <c r="G605" s="152" t="s">
        <v>2398</v>
      </c>
      <c r="H605" s="152" t="s">
        <v>2705</v>
      </c>
      <c r="I605" s="152" t="s">
        <v>2398</v>
      </c>
      <c r="J605" s="152" t="s">
        <v>2705</v>
      </c>
      <c r="K605" s="152" t="s">
        <v>2398</v>
      </c>
      <c r="L605" s="152" t="s">
        <v>2705</v>
      </c>
      <c r="M605" s="152" t="s">
        <v>2398</v>
      </c>
      <c r="N605" s="152" t="s">
        <v>2705</v>
      </c>
      <c r="O605" s="152" t="s">
        <v>1435</v>
      </c>
      <c r="P605" s="152" t="s">
        <v>2705</v>
      </c>
      <c r="Q605" s="152" t="s">
        <v>2398</v>
      </c>
      <c r="R605" s="152" t="s">
        <v>2675</v>
      </c>
      <c r="S605" s="152" t="s">
        <v>2398</v>
      </c>
      <c r="T605" s="152" t="s">
        <v>2705</v>
      </c>
      <c r="U605" s="152" t="s">
        <v>2398</v>
      </c>
    </row>
    <row r="606" spans="1:21" s="142" customFormat="1" ht="12.75" x14ac:dyDescent="0.2">
      <c r="A606" s="151"/>
      <c r="B606" s="152" t="s">
        <v>2705</v>
      </c>
      <c r="C606" s="152" t="s">
        <v>2705</v>
      </c>
      <c r="D606" s="152" t="s">
        <v>2705</v>
      </c>
      <c r="E606" s="152" t="s">
        <v>2705</v>
      </c>
      <c r="F606" s="152" t="s">
        <v>2705</v>
      </c>
      <c r="G606" s="152" t="s">
        <v>2705</v>
      </c>
      <c r="H606" s="152" t="s">
        <v>2705</v>
      </c>
      <c r="I606" s="152" t="s">
        <v>2705</v>
      </c>
      <c r="J606" s="152" t="s">
        <v>2398</v>
      </c>
      <c r="K606" s="152" t="s">
        <v>2705</v>
      </c>
      <c r="L606" s="152" t="s">
        <v>2397</v>
      </c>
      <c r="M606" s="152" t="s">
        <v>2705</v>
      </c>
      <c r="N606" s="152" t="s">
        <v>2398</v>
      </c>
      <c r="O606" s="152" t="s">
        <v>2705</v>
      </c>
      <c r="P606" s="152" t="s">
        <v>2705</v>
      </c>
      <c r="Q606" s="152" t="s">
        <v>2705</v>
      </c>
      <c r="R606" s="152" t="s">
        <v>1435</v>
      </c>
      <c r="S606" s="152" t="s">
        <v>2675</v>
      </c>
      <c r="T606" s="152" t="s">
        <v>2397</v>
      </c>
      <c r="U606" s="152" t="s">
        <v>2705</v>
      </c>
    </row>
    <row r="607" spans="1:21" s="142" customFormat="1" ht="12.75" customHeight="1" x14ac:dyDescent="0.2">
      <c r="A607" s="151" t="s">
        <v>7620</v>
      </c>
      <c r="B607" s="152" t="s">
        <v>1435</v>
      </c>
      <c r="C607" s="152" t="s">
        <v>1435</v>
      </c>
      <c r="D607" s="152" t="s">
        <v>2705</v>
      </c>
      <c r="E607" s="152" t="s">
        <v>2398</v>
      </c>
      <c r="F607" s="152" t="s">
        <v>2398</v>
      </c>
      <c r="G607" s="152" t="s">
        <v>1435</v>
      </c>
      <c r="H607" s="152" t="s">
        <v>2675</v>
      </c>
      <c r="I607" s="152" t="s">
        <v>2705</v>
      </c>
      <c r="J607" s="152" t="s">
        <v>2398</v>
      </c>
      <c r="K607" s="152" t="s">
        <v>2398</v>
      </c>
      <c r="L607" s="152" t="s">
        <v>2675</v>
      </c>
      <c r="M607" s="152" t="s">
        <v>2705</v>
      </c>
      <c r="N607" s="152" t="s">
        <v>2398</v>
      </c>
      <c r="O607" s="152" t="s">
        <v>2705</v>
      </c>
      <c r="P607" s="152" t="s">
        <v>2398</v>
      </c>
      <c r="Q607" s="152" t="s">
        <v>2675</v>
      </c>
      <c r="R607" s="152" t="s">
        <v>2705</v>
      </c>
      <c r="S607" s="152" t="s">
        <v>2705</v>
      </c>
      <c r="T607" s="152" t="s">
        <v>2398</v>
      </c>
      <c r="U607" s="152" t="s">
        <v>2398</v>
      </c>
    </row>
    <row r="608" spans="1:21" s="142" customFormat="1" ht="12.75" x14ac:dyDescent="0.2">
      <c r="A608" s="151"/>
      <c r="B608" s="152" t="s">
        <v>1435</v>
      </c>
      <c r="C608" s="152" t="s">
        <v>2398</v>
      </c>
      <c r="D608" s="152" t="s">
        <v>1435</v>
      </c>
      <c r="E608" s="152" t="s">
        <v>2675</v>
      </c>
      <c r="F608" s="152" t="s">
        <v>2398</v>
      </c>
      <c r="G608" s="152" t="s">
        <v>2705</v>
      </c>
      <c r="H608" s="152" t="s">
        <v>1435</v>
      </c>
      <c r="I608" s="152" t="s">
        <v>1435</v>
      </c>
      <c r="J608" s="152" t="s">
        <v>2705</v>
      </c>
      <c r="K608" s="152" t="s">
        <v>2398</v>
      </c>
      <c r="L608" s="152" t="s">
        <v>2398</v>
      </c>
      <c r="M608" s="152" t="s">
        <v>2398</v>
      </c>
      <c r="N608" s="152" t="s">
        <v>2705</v>
      </c>
      <c r="O608" s="152" t="s">
        <v>2398</v>
      </c>
      <c r="P608" s="152" t="s">
        <v>2675</v>
      </c>
      <c r="Q608" s="152" t="s">
        <v>2398</v>
      </c>
      <c r="R608" s="152" t="s">
        <v>1435</v>
      </c>
      <c r="S608" s="152" t="s">
        <v>2705</v>
      </c>
      <c r="T608" s="152" t="s">
        <v>2705</v>
      </c>
      <c r="U608" s="152" t="s">
        <v>2398</v>
      </c>
    </row>
    <row r="609" spans="1:21" s="142" customFormat="1" ht="12.75" customHeight="1" x14ac:dyDescent="0.2">
      <c r="A609" s="151" t="s">
        <v>7621</v>
      </c>
      <c r="B609" s="152" t="s">
        <v>2705</v>
      </c>
      <c r="C609" s="152" t="s">
        <v>2675</v>
      </c>
      <c r="D609" s="152" t="s">
        <v>2705</v>
      </c>
      <c r="E609" s="152" t="s">
        <v>2398</v>
      </c>
      <c r="F609" s="152" t="s">
        <v>2705</v>
      </c>
      <c r="G609" s="152" t="s">
        <v>2705</v>
      </c>
      <c r="H609" s="152" t="s">
        <v>2705</v>
      </c>
      <c r="I609" s="152" t="s">
        <v>2705</v>
      </c>
      <c r="J609" s="152" t="s">
        <v>2705</v>
      </c>
      <c r="K609" s="152" t="s">
        <v>2705</v>
      </c>
      <c r="L609" s="152" t="s">
        <v>2705</v>
      </c>
      <c r="M609" s="152" t="s">
        <v>2705</v>
      </c>
      <c r="N609" s="152" t="s">
        <v>2705</v>
      </c>
      <c r="O609" s="152" t="s">
        <v>2398</v>
      </c>
      <c r="P609" s="152" t="s">
        <v>2398</v>
      </c>
      <c r="Q609" s="152" t="s">
        <v>2398</v>
      </c>
      <c r="R609" s="152" t="s">
        <v>2398</v>
      </c>
      <c r="S609" s="152" t="s">
        <v>2398</v>
      </c>
      <c r="T609" s="152" t="s">
        <v>2398</v>
      </c>
      <c r="U609" s="152" t="s">
        <v>2705</v>
      </c>
    </row>
    <row r="610" spans="1:21" s="142" customFormat="1" ht="12.75" x14ac:dyDescent="0.2">
      <c r="A610" s="151"/>
      <c r="B610" s="152" t="s">
        <v>2705</v>
      </c>
      <c r="C610" s="152" t="s">
        <v>2705</v>
      </c>
      <c r="D610" s="152" t="s">
        <v>2705</v>
      </c>
      <c r="E610" s="152" t="s">
        <v>2398</v>
      </c>
      <c r="F610" s="152" t="s">
        <v>2675</v>
      </c>
      <c r="G610" s="152" t="s">
        <v>2398</v>
      </c>
      <c r="H610" s="152" t="s">
        <v>2398</v>
      </c>
      <c r="I610" s="152" t="s">
        <v>2705</v>
      </c>
      <c r="J610" s="152" t="s">
        <v>2705</v>
      </c>
      <c r="K610" s="152" t="s">
        <v>2705</v>
      </c>
      <c r="L610" s="152" t="s">
        <v>2705</v>
      </c>
      <c r="M610" s="152" t="s">
        <v>2705</v>
      </c>
      <c r="N610" s="152" t="s">
        <v>2398</v>
      </c>
      <c r="O610" s="152" t="s">
        <v>1435</v>
      </c>
      <c r="P610" s="152" t="s">
        <v>2705</v>
      </c>
      <c r="Q610" s="152" t="s">
        <v>2705</v>
      </c>
      <c r="R610" s="152" t="s">
        <v>2398</v>
      </c>
      <c r="S610" s="152" t="s">
        <v>2398</v>
      </c>
      <c r="T610" s="152" t="s">
        <v>2705</v>
      </c>
      <c r="U610" s="152" t="s">
        <v>2705</v>
      </c>
    </row>
    <row r="611" spans="1:21" s="142" customFormat="1" ht="12.75" customHeight="1" x14ac:dyDescent="0.2">
      <c r="A611" s="151" t="s">
        <v>7622</v>
      </c>
      <c r="B611" s="152" t="s">
        <v>2397</v>
      </c>
      <c r="C611" s="152" t="s">
        <v>2397</v>
      </c>
      <c r="D611" s="152" t="s">
        <v>2705</v>
      </c>
      <c r="E611" s="152" t="s">
        <v>1435</v>
      </c>
      <c r="F611" s="152" t="s">
        <v>2705</v>
      </c>
      <c r="G611" s="152" t="s">
        <v>2705</v>
      </c>
      <c r="H611" s="152" t="s">
        <v>2705</v>
      </c>
      <c r="I611" s="152" t="s">
        <v>2675</v>
      </c>
      <c r="J611" s="152" t="s">
        <v>2398</v>
      </c>
      <c r="K611" s="152" t="s">
        <v>2398</v>
      </c>
      <c r="L611" s="152" t="s">
        <v>2705</v>
      </c>
      <c r="M611" s="152" t="s">
        <v>2705</v>
      </c>
      <c r="N611" s="152" t="s">
        <v>1435</v>
      </c>
      <c r="O611" s="152" t="s">
        <v>2398</v>
      </c>
      <c r="P611" s="152" t="s">
        <v>2705</v>
      </c>
      <c r="Q611" s="152" t="s">
        <v>2398</v>
      </c>
      <c r="R611" s="152" t="s">
        <v>2675</v>
      </c>
      <c r="S611" s="152" t="s">
        <v>2398</v>
      </c>
      <c r="T611" s="152" t="s">
        <v>2398</v>
      </c>
      <c r="U611" s="152" t="s">
        <v>2398</v>
      </c>
    </row>
    <row r="612" spans="1:21" s="142" customFormat="1" ht="12.75" x14ac:dyDescent="0.2">
      <c r="A612" s="151"/>
      <c r="B612" s="152" t="s">
        <v>2398</v>
      </c>
      <c r="C612" s="152" t="s">
        <v>2398</v>
      </c>
      <c r="D612" s="152" t="s">
        <v>2675</v>
      </c>
      <c r="E612" s="152" t="s">
        <v>2398</v>
      </c>
      <c r="F612" s="152" t="s">
        <v>2705</v>
      </c>
      <c r="G612" s="152" t="s">
        <v>2675</v>
      </c>
      <c r="H612" s="152" t="s">
        <v>2705</v>
      </c>
      <c r="I612" s="152" t="s">
        <v>2398</v>
      </c>
      <c r="J612" s="152" t="s">
        <v>2705</v>
      </c>
      <c r="K612" s="152" t="s">
        <v>2705</v>
      </c>
      <c r="L612" s="152" t="s">
        <v>2705</v>
      </c>
      <c r="M612" s="152" t="s">
        <v>2398</v>
      </c>
      <c r="N612" s="152" t="s">
        <v>2398</v>
      </c>
      <c r="O612" s="152" t="s">
        <v>2705</v>
      </c>
      <c r="P612" s="152" t="s">
        <v>2705</v>
      </c>
      <c r="Q612" s="152" t="s">
        <v>2705</v>
      </c>
      <c r="R612" s="152" t="s">
        <v>2398</v>
      </c>
      <c r="S612" s="152" t="s">
        <v>2705</v>
      </c>
      <c r="T612" s="152" t="s">
        <v>2398</v>
      </c>
      <c r="U612" s="152" t="s">
        <v>1435</v>
      </c>
    </row>
    <row r="613" spans="1:21" s="142" customFormat="1" ht="12.75" customHeight="1" x14ac:dyDescent="0.2">
      <c r="A613" s="151" t="s">
        <v>7623</v>
      </c>
      <c r="B613" s="152" t="s">
        <v>2398</v>
      </c>
      <c r="C613" s="152" t="s">
        <v>2398</v>
      </c>
      <c r="D613" s="152" t="s">
        <v>2398</v>
      </c>
      <c r="E613" s="152" t="s">
        <v>2398</v>
      </c>
      <c r="F613" s="152" t="s">
        <v>2705</v>
      </c>
      <c r="G613" s="152" t="s">
        <v>1435</v>
      </c>
      <c r="H613" s="152" t="s">
        <v>2398</v>
      </c>
      <c r="I613" s="152" t="s">
        <v>2705</v>
      </c>
      <c r="J613" s="152" t="s">
        <v>2675</v>
      </c>
      <c r="K613" s="152" t="s">
        <v>2398</v>
      </c>
      <c r="L613" s="152" t="s">
        <v>2398</v>
      </c>
      <c r="M613" s="152" t="s">
        <v>2705</v>
      </c>
      <c r="N613" s="152" t="s">
        <v>2398</v>
      </c>
      <c r="O613" s="152" t="s">
        <v>2675</v>
      </c>
      <c r="P613" s="152" t="s">
        <v>2398</v>
      </c>
      <c r="Q613" s="152" t="s">
        <v>2398</v>
      </c>
      <c r="R613" s="152" t="s">
        <v>2675</v>
      </c>
      <c r="S613" s="152" t="s">
        <v>2705</v>
      </c>
      <c r="T613" s="152" t="s">
        <v>2398</v>
      </c>
      <c r="U613" s="152" t="s">
        <v>2705</v>
      </c>
    </row>
    <row r="614" spans="1:21" s="142" customFormat="1" ht="12.75" x14ac:dyDescent="0.2">
      <c r="A614" s="151"/>
      <c r="B614" s="152" t="s">
        <v>2398</v>
      </c>
      <c r="C614" s="152" t="s">
        <v>2398</v>
      </c>
      <c r="D614" s="152" t="s">
        <v>2705</v>
      </c>
      <c r="E614" s="152" t="s">
        <v>2398</v>
      </c>
      <c r="F614" s="152" t="s">
        <v>2397</v>
      </c>
      <c r="G614" s="152" t="s">
        <v>2398</v>
      </c>
      <c r="H614" s="152" t="s">
        <v>2398</v>
      </c>
      <c r="I614" s="152" t="s">
        <v>2705</v>
      </c>
      <c r="J614" s="152" t="s">
        <v>2398</v>
      </c>
      <c r="K614" s="152" t="s">
        <v>2705</v>
      </c>
      <c r="L614" s="152" t="s">
        <v>2398</v>
      </c>
      <c r="M614" s="152" t="s">
        <v>2398</v>
      </c>
      <c r="N614" s="152" t="s">
        <v>2397</v>
      </c>
      <c r="O614" s="152" t="s">
        <v>2705</v>
      </c>
      <c r="P614" s="152" t="s">
        <v>1435</v>
      </c>
      <c r="Q614" s="152" t="s">
        <v>2705</v>
      </c>
      <c r="R614" s="152" t="s">
        <v>2705</v>
      </c>
      <c r="S614" s="152" t="s">
        <v>2705</v>
      </c>
      <c r="T614" s="152" t="s">
        <v>2397</v>
      </c>
      <c r="U614" s="152" t="s">
        <v>2398</v>
      </c>
    </row>
    <row r="615" spans="1:21" s="142" customFormat="1" ht="12.75" customHeight="1" x14ac:dyDescent="0.2">
      <c r="A615" s="151" t="s">
        <v>7624</v>
      </c>
      <c r="B615" s="152" t="s">
        <v>2398</v>
      </c>
      <c r="C615" s="152" t="s">
        <v>2705</v>
      </c>
      <c r="D615" s="152" t="s">
        <v>2398</v>
      </c>
      <c r="E615" s="152" t="s">
        <v>2705</v>
      </c>
      <c r="F615" s="152" t="s">
        <v>2398</v>
      </c>
      <c r="G615" s="152" t="s">
        <v>2398</v>
      </c>
      <c r="H615" s="152" t="s">
        <v>2398</v>
      </c>
      <c r="I615" s="152" t="s">
        <v>2705</v>
      </c>
      <c r="J615" s="152" t="s">
        <v>2398</v>
      </c>
      <c r="K615" s="152" t="s">
        <v>2705</v>
      </c>
      <c r="L615" s="152" t="s">
        <v>2705</v>
      </c>
      <c r="M615" s="152" t="s">
        <v>2398</v>
      </c>
      <c r="N615" s="152" t="s">
        <v>2705</v>
      </c>
      <c r="O615" s="152" t="s">
        <v>2398</v>
      </c>
      <c r="P615" s="152" t="s">
        <v>2398</v>
      </c>
      <c r="Q615" s="152" t="s">
        <v>2398</v>
      </c>
      <c r="R615" s="152" t="s">
        <v>2398</v>
      </c>
      <c r="S615" s="152" t="s">
        <v>2398</v>
      </c>
      <c r="T615" s="152" t="s">
        <v>2705</v>
      </c>
      <c r="U615" s="152" t="s">
        <v>2705</v>
      </c>
    </row>
    <row r="616" spans="1:21" s="142" customFormat="1" ht="12.75" x14ac:dyDescent="0.2">
      <c r="A616" s="151"/>
      <c r="B616" s="152" t="s">
        <v>2705</v>
      </c>
      <c r="C616" s="152" t="s">
        <v>2398</v>
      </c>
      <c r="D616" s="152" t="s">
        <v>2705</v>
      </c>
      <c r="E616" s="152" t="s">
        <v>2398</v>
      </c>
      <c r="F616" s="152" t="s">
        <v>2705</v>
      </c>
      <c r="G616" s="152" t="s">
        <v>1435</v>
      </c>
      <c r="H616" s="152" t="s">
        <v>2398</v>
      </c>
      <c r="I616" s="152" t="s">
        <v>2705</v>
      </c>
      <c r="J616" s="152" t="s">
        <v>2705</v>
      </c>
      <c r="K616" s="152" t="s">
        <v>2705</v>
      </c>
      <c r="L616" s="152" t="s">
        <v>1435</v>
      </c>
      <c r="M616" s="152" t="s">
        <v>2705</v>
      </c>
      <c r="N616" s="152" t="s">
        <v>2398</v>
      </c>
      <c r="O616" s="152" t="s">
        <v>2398</v>
      </c>
      <c r="P616" s="152" t="s">
        <v>2398</v>
      </c>
      <c r="Q616" s="152" t="s">
        <v>2705</v>
      </c>
      <c r="R616" s="152" t="s">
        <v>2398</v>
      </c>
      <c r="S616" s="152" t="s">
        <v>2675</v>
      </c>
      <c r="T616" s="152" t="s">
        <v>2705</v>
      </c>
      <c r="U616" s="152" t="s">
        <v>2398</v>
      </c>
    </row>
    <row r="617" spans="1:21" s="142" customFormat="1" ht="12.75" customHeight="1" x14ac:dyDescent="0.2">
      <c r="A617" s="151" t="s">
        <v>7625</v>
      </c>
      <c r="B617" s="152" t="s">
        <v>2705</v>
      </c>
      <c r="C617" s="152" t="s">
        <v>2705</v>
      </c>
      <c r="D617" s="152" t="s">
        <v>2705</v>
      </c>
      <c r="E617" s="152" t="s">
        <v>2705</v>
      </c>
      <c r="F617" s="152" t="s">
        <v>2705</v>
      </c>
      <c r="G617" s="152" t="s">
        <v>2705</v>
      </c>
      <c r="H617" s="152" t="s">
        <v>2705</v>
      </c>
      <c r="I617" s="152" t="s">
        <v>2398</v>
      </c>
      <c r="J617" s="152" t="s">
        <v>2705</v>
      </c>
      <c r="K617" s="152" t="s">
        <v>1435</v>
      </c>
      <c r="L617" s="152" t="s">
        <v>2705</v>
      </c>
      <c r="M617" s="152" t="s">
        <v>2398</v>
      </c>
      <c r="N617" s="152" t="s">
        <v>1435</v>
      </c>
      <c r="O617" s="152" t="s">
        <v>2705</v>
      </c>
      <c r="P617" s="152" t="s">
        <v>2398</v>
      </c>
      <c r="Q617" s="152" t="s">
        <v>2398</v>
      </c>
      <c r="R617" s="152" t="s">
        <v>2397</v>
      </c>
      <c r="S617" s="152" t="s">
        <v>2398</v>
      </c>
      <c r="T617" s="152" t="s">
        <v>2398</v>
      </c>
      <c r="U617" s="152" t="s">
        <v>2398</v>
      </c>
    </row>
    <row r="618" spans="1:21" s="142" customFormat="1" ht="12.75" x14ac:dyDescent="0.2">
      <c r="A618" s="151"/>
      <c r="B618" s="152" t="s">
        <v>2705</v>
      </c>
      <c r="C618" s="152" t="s">
        <v>2705</v>
      </c>
      <c r="D618" s="152" t="s">
        <v>1435</v>
      </c>
      <c r="E618" s="152" t="s">
        <v>2398</v>
      </c>
      <c r="F618" s="152" t="s">
        <v>2398</v>
      </c>
      <c r="G618" s="152" t="s">
        <v>2398</v>
      </c>
      <c r="H618" s="152" t="s">
        <v>2675</v>
      </c>
      <c r="I618" s="152" t="s">
        <v>2705</v>
      </c>
      <c r="J618" s="152" t="s">
        <v>2675</v>
      </c>
      <c r="K618" s="152" t="s">
        <v>2398</v>
      </c>
      <c r="L618" s="152" t="s">
        <v>2398</v>
      </c>
      <c r="M618" s="152" t="s">
        <v>2398</v>
      </c>
      <c r="N618" s="152" t="s">
        <v>2398</v>
      </c>
      <c r="O618" s="152" t="s">
        <v>2705</v>
      </c>
      <c r="P618" s="152" t="s">
        <v>2398</v>
      </c>
      <c r="Q618" s="152" t="s">
        <v>2398</v>
      </c>
      <c r="R618" s="152" t="s">
        <v>2398</v>
      </c>
      <c r="S618" s="152" t="s">
        <v>2705</v>
      </c>
      <c r="T618" s="152" t="s">
        <v>2705</v>
      </c>
      <c r="U618" s="152" t="s">
        <v>2398</v>
      </c>
    </row>
    <row r="619" spans="1:21" s="142" customFormat="1" ht="12.75" customHeight="1" x14ac:dyDescent="0.2">
      <c r="A619" s="151" t="s">
        <v>7626</v>
      </c>
      <c r="B619" s="152" t="s">
        <v>2705</v>
      </c>
      <c r="C619" s="152" t="s">
        <v>2705</v>
      </c>
      <c r="D619" s="152" t="s">
        <v>1435</v>
      </c>
      <c r="E619" s="152" t="s">
        <v>2705</v>
      </c>
      <c r="F619" s="152" t="s">
        <v>2705</v>
      </c>
      <c r="G619" s="152" t="s">
        <v>2705</v>
      </c>
      <c r="H619" s="152" t="s">
        <v>2705</v>
      </c>
      <c r="I619" s="152" t="s">
        <v>2705</v>
      </c>
      <c r="J619" s="152" t="s">
        <v>2398</v>
      </c>
      <c r="K619" s="152" t="s">
        <v>2398</v>
      </c>
      <c r="L619" s="152" t="s">
        <v>2398</v>
      </c>
      <c r="M619" s="152" t="s">
        <v>2705</v>
      </c>
      <c r="N619" s="152" t="s">
        <v>2705</v>
      </c>
      <c r="O619" s="152" t="s">
        <v>2398</v>
      </c>
      <c r="P619" s="152" t="s">
        <v>2705</v>
      </c>
      <c r="Q619" s="152" t="s">
        <v>2705</v>
      </c>
      <c r="R619" s="152" t="s">
        <v>2705</v>
      </c>
      <c r="S619" s="152" t="s">
        <v>2705</v>
      </c>
      <c r="T619" s="152" t="s">
        <v>2705</v>
      </c>
      <c r="U619" s="152" t="s">
        <v>2705</v>
      </c>
    </row>
    <row r="620" spans="1:21" s="142" customFormat="1" ht="12.75" x14ac:dyDescent="0.2">
      <c r="A620" s="151"/>
      <c r="B620" s="152" t="s">
        <v>2398</v>
      </c>
      <c r="C620" s="152" t="s">
        <v>2398</v>
      </c>
      <c r="D620" s="152" t="s">
        <v>2398</v>
      </c>
      <c r="E620" s="152" t="s">
        <v>1435</v>
      </c>
      <c r="F620" s="152" t="s">
        <v>2705</v>
      </c>
      <c r="G620" s="152" t="s">
        <v>2398</v>
      </c>
      <c r="H620" s="152" t="s">
        <v>2705</v>
      </c>
      <c r="I620" s="152" t="s">
        <v>2398</v>
      </c>
      <c r="J620" s="152" t="s">
        <v>2705</v>
      </c>
      <c r="K620" s="152" t="s">
        <v>2705</v>
      </c>
      <c r="L620" s="152" t="s">
        <v>2398</v>
      </c>
      <c r="M620" s="152" t="s">
        <v>2705</v>
      </c>
      <c r="N620" s="152" t="s">
        <v>2705</v>
      </c>
      <c r="O620" s="152" t="s">
        <v>2705</v>
      </c>
      <c r="P620" s="152" t="s">
        <v>2705</v>
      </c>
      <c r="Q620" s="152" t="s">
        <v>2705</v>
      </c>
      <c r="R620" s="152" t="s">
        <v>2398</v>
      </c>
      <c r="S620" s="152" t="s">
        <v>2705</v>
      </c>
      <c r="T620" s="152" t="s">
        <v>2705</v>
      </c>
      <c r="U620" s="152" t="s">
        <v>2705</v>
      </c>
    </row>
    <row r="621" spans="1:21" s="142" customFormat="1" ht="12.75" customHeight="1" x14ac:dyDescent="0.2">
      <c r="A621" s="151" t="s">
        <v>7627</v>
      </c>
      <c r="B621" s="152" t="s">
        <v>2398</v>
      </c>
      <c r="C621" s="152" t="s">
        <v>2705</v>
      </c>
      <c r="D621" s="152" t="s">
        <v>2398</v>
      </c>
      <c r="E621" s="152" t="s">
        <v>2705</v>
      </c>
      <c r="F621" s="152" t="s">
        <v>2398</v>
      </c>
      <c r="G621" s="152" t="s">
        <v>2705</v>
      </c>
      <c r="H621" s="152" t="s">
        <v>2398</v>
      </c>
      <c r="I621" s="152" t="s">
        <v>2705</v>
      </c>
      <c r="J621" s="152" t="s">
        <v>2705</v>
      </c>
      <c r="K621" s="152" t="s">
        <v>2398</v>
      </c>
      <c r="L621" s="152" t="s">
        <v>2675</v>
      </c>
      <c r="M621" s="152" t="s">
        <v>2398</v>
      </c>
      <c r="N621" s="152" t="s">
        <v>2705</v>
      </c>
      <c r="O621" s="152" t="s">
        <v>2705</v>
      </c>
      <c r="P621" s="152" t="s">
        <v>2705</v>
      </c>
      <c r="Q621" s="152" t="s">
        <v>2705</v>
      </c>
      <c r="R621" s="152" t="s">
        <v>2705</v>
      </c>
      <c r="S621" s="152" t="s">
        <v>2705</v>
      </c>
      <c r="T621" s="152" t="s">
        <v>2398</v>
      </c>
      <c r="U621" s="152" t="s">
        <v>2705</v>
      </c>
    </row>
    <row r="622" spans="1:21" s="142" customFormat="1" ht="12.75" x14ac:dyDescent="0.2">
      <c r="A622" s="151"/>
      <c r="B622" s="152" t="s">
        <v>2397</v>
      </c>
      <c r="C622" s="152" t="s">
        <v>2398</v>
      </c>
      <c r="D622" s="152" t="s">
        <v>2398</v>
      </c>
      <c r="E622" s="152" t="s">
        <v>2398</v>
      </c>
      <c r="F622" s="152" t="s">
        <v>2398</v>
      </c>
      <c r="G622" s="152" t="s">
        <v>2705</v>
      </c>
      <c r="H622" s="152" t="s">
        <v>2705</v>
      </c>
      <c r="I622" s="152" t="s">
        <v>2398</v>
      </c>
      <c r="J622" s="152" t="s">
        <v>2705</v>
      </c>
      <c r="K622" s="152" t="s">
        <v>2398</v>
      </c>
      <c r="L622" s="152" t="s">
        <v>2398</v>
      </c>
      <c r="M622" s="152" t="s">
        <v>2705</v>
      </c>
      <c r="N622" s="152" t="s">
        <v>2398</v>
      </c>
      <c r="O622" s="152" t="s">
        <v>2398</v>
      </c>
      <c r="P622" s="152" t="s">
        <v>2398</v>
      </c>
      <c r="Q622" s="152" t="s">
        <v>2705</v>
      </c>
      <c r="R622" s="152" t="s">
        <v>1435</v>
      </c>
      <c r="S622" s="152" t="s">
        <v>2705</v>
      </c>
      <c r="T622" s="152" t="s">
        <v>2398</v>
      </c>
      <c r="U622" s="152" t="s">
        <v>2398</v>
      </c>
    </row>
    <row r="623" spans="1:21" s="142" customFormat="1" ht="12.75" customHeight="1" x14ac:dyDescent="0.2">
      <c r="A623" s="151" t="s">
        <v>7628</v>
      </c>
      <c r="B623" s="152" t="s">
        <v>2705</v>
      </c>
      <c r="C623" s="152" t="s">
        <v>2705</v>
      </c>
      <c r="D623" s="152" t="s">
        <v>2705</v>
      </c>
      <c r="E623" s="152" t="s">
        <v>2705</v>
      </c>
      <c r="F623" s="152" t="s">
        <v>2705</v>
      </c>
      <c r="G623" s="152" t="s">
        <v>2705</v>
      </c>
      <c r="H623" s="152" t="s">
        <v>2705</v>
      </c>
      <c r="I623" s="152" t="s">
        <v>2705</v>
      </c>
      <c r="J623" s="152" t="s">
        <v>2705</v>
      </c>
      <c r="K623" s="152" t="s">
        <v>2705</v>
      </c>
      <c r="L623" s="152" t="s">
        <v>2705</v>
      </c>
      <c r="M623" s="152" t="s">
        <v>2705</v>
      </c>
      <c r="N623" s="152" t="s">
        <v>2705</v>
      </c>
      <c r="O623" s="152" t="s">
        <v>2705</v>
      </c>
      <c r="P623" s="152" t="s">
        <v>2705</v>
      </c>
      <c r="Q623" s="152" t="s">
        <v>2705</v>
      </c>
      <c r="R623" s="152" t="s">
        <v>2705</v>
      </c>
      <c r="S623" s="152" t="s">
        <v>2705</v>
      </c>
      <c r="T623" s="152" t="s">
        <v>2705</v>
      </c>
      <c r="U623" s="152" t="s">
        <v>2705</v>
      </c>
    </row>
    <row r="624" spans="1:21" s="142" customFormat="1" ht="12.75" x14ac:dyDescent="0.2">
      <c r="A624" s="151"/>
      <c r="B624" s="152" t="s">
        <v>2705</v>
      </c>
      <c r="C624" s="152" t="s">
        <v>2675</v>
      </c>
      <c r="D624" s="152" t="s">
        <v>1435</v>
      </c>
      <c r="E624" s="152" t="s">
        <v>2705</v>
      </c>
      <c r="F624" s="152" t="s">
        <v>2705</v>
      </c>
      <c r="G624" s="152" t="s">
        <v>2705</v>
      </c>
      <c r="H624" s="152" t="s">
        <v>2705</v>
      </c>
      <c r="I624" s="152" t="s">
        <v>2705</v>
      </c>
      <c r="J624" s="152" t="s">
        <v>2398</v>
      </c>
      <c r="K624" s="152" t="s">
        <v>2397</v>
      </c>
      <c r="L624" s="152" t="s">
        <v>2705</v>
      </c>
      <c r="M624" s="152" t="s">
        <v>2705</v>
      </c>
      <c r="N624" s="152" t="s">
        <v>2705</v>
      </c>
      <c r="O624" s="152" t="s">
        <v>2398</v>
      </c>
      <c r="P624" s="152" t="s">
        <v>2675</v>
      </c>
      <c r="Q624" s="152" t="s">
        <v>2705</v>
      </c>
      <c r="R624" s="152" t="s">
        <v>1435</v>
      </c>
      <c r="S624" s="152" t="s">
        <v>2705</v>
      </c>
      <c r="T624" s="152" t="s">
        <v>2705</v>
      </c>
      <c r="U624" s="152" t="s">
        <v>2705</v>
      </c>
    </row>
    <row r="625" spans="1:21" s="142" customFormat="1" ht="12.75" customHeight="1" x14ac:dyDescent="0.2">
      <c r="A625" s="151" t="s">
        <v>7629</v>
      </c>
      <c r="B625" s="152" t="s">
        <v>2705</v>
      </c>
      <c r="C625" s="152" t="s">
        <v>2705</v>
      </c>
      <c r="D625" s="152" t="s">
        <v>2705</v>
      </c>
      <c r="E625" s="152" t="s">
        <v>2705</v>
      </c>
      <c r="F625" s="152" t="s">
        <v>2705</v>
      </c>
      <c r="G625" s="152" t="s">
        <v>2705</v>
      </c>
      <c r="H625" s="152" t="s">
        <v>1435</v>
      </c>
      <c r="I625" s="152" t="s">
        <v>1435</v>
      </c>
      <c r="J625" s="152" t="s">
        <v>2705</v>
      </c>
      <c r="K625" s="152" t="s">
        <v>2705</v>
      </c>
      <c r="L625" s="152" t="s">
        <v>2705</v>
      </c>
      <c r="M625" s="152" t="s">
        <v>2705</v>
      </c>
      <c r="N625" s="152" t="s">
        <v>2705</v>
      </c>
      <c r="O625" s="152" t="s">
        <v>2705</v>
      </c>
      <c r="P625" s="152" t="s">
        <v>2398</v>
      </c>
      <c r="Q625" s="152" t="s">
        <v>2705</v>
      </c>
      <c r="R625" s="152" t="s">
        <v>2398</v>
      </c>
      <c r="S625" s="152" t="s">
        <v>2397</v>
      </c>
      <c r="T625" s="152" t="s">
        <v>2705</v>
      </c>
      <c r="U625" s="152" t="s">
        <v>2675</v>
      </c>
    </row>
    <row r="626" spans="1:21" s="142" customFormat="1" ht="12.75" x14ac:dyDescent="0.2">
      <c r="A626" s="151"/>
      <c r="B626" s="152" t="s">
        <v>2705</v>
      </c>
      <c r="C626" s="152" t="s">
        <v>2705</v>
      </c>
      <c r="D626" s="152" t="s">
        <v>2705</v>
      </c>
      <c r="E626" s="152" t="s">
        <v>2705</v>
      </c>
      <c r="F626" s="152" t="s">
        <v>2705</v>
      </c>
      <c r="G626" s="152" t="s">
        <v>1435</v>
      </c>
      <c r="H626" s="152" t="s">
        <v>2705</v>
      </c>
      <c r="I626" s="152" t="s">
        <v>2705</v>
      </c>
      <c r="J626" s="152" t="s">
        <v>2705</v>
      </c>
      <c r="K626" s="152" t="s">
        <v>2705</v>
      </c>
      <c r="L626" s="152" t="s">
        <v>2705</v>
      </c>
      <c r="M626" s="152" t="s">
        <v>2705</v>
      </c>
      <c r="N626" s="152" t="s">
        <v>2705</v>
      </c>
      <c r="O626" s="152" t="s">
        <v>2705</v>
      </c>
      <c r="P626" s="152" t="s">
        <v>2398</v>
      </c>
      <c r="Q626" s="152" t="s">
        <v>2705</v>
      </c>
      <c r="R626" s="152" t="s">
        <v>2398</v>
      </c>
      <c r="S626" s="152" t="s">
        <v>2398</v>
      </c>
      <c r="T626" s="152" t="s">
        <v>2705</v>
      </c>
      <c r="U626" s="152" t="s">
        <v>2397</v>
      </c>
    </row>
    <row r="627" spans="1:21" s="142" customFormat="1" ht="12.75" customHeight="1" x14ac:dyDescent="0.2">
      <c r="A627" s="151" t="s">
        <v>7630</v>
      </c>
      <c r="B627" s="152" t="s">
        <v>2398</v>
      </c>
      <c r="C627" s="152" t="s">
        <v>2705</v>
      </c>
      <c r="D627" s="152" t="s">
        <v>2398</v>
      </c>
      <c r="E627" s="152" t="s">
        <v>2705</v>
      </c>
      <c r="F627" s="152" t="s">
        <v>2398</v>
      </c>
      <c r="G627" s="152" t="s">
        <v>2705</v>
      </c>
      <c r="H627" s="152" t="s">
        <v>1435</v>
      </c>
      <c r="I627" s="152" t="s">
        <v>2398</v>
      </c>
      <c r="J627" s="152" t="s">
        <v>2398</v>
      </c>
      <c r="K627" s="152" t="s">
        <v>2705</v>
      </c>
      <c r="L627" s="152" t="s">
        <v>2398</v>
      </c>
      <c r="M627" s="152" t="s">
        <v>2398</v>
      </c>
      <c r="N627" s="152" t="s">
        <v>2705</v>
      </c>
      <c r="O627" s="152" t="s">
        <v>2398</v>
      </c>
      <c r="P627" s="152" t="s">
        <v>2675</v>
      </c>
      <c r="Q627" s="152" t="s">
        <v>2398</v>
      </c>
      <c r="R627" s="152" t="s">
        <v>2675</v>
      </c>
      <c r="S627" s="152" t="s">
        <v>2397</v>
      </c>
      <c r="T627" s="152" t="s">
        <v>2398</v>
      </c>
      <c r="U627" s="152" t="s">
        <v>2398</v>
      </c>
    </row>
    <row r="628" spans="1:21" s="142" customFormat="1" ht="12.75" x14ac:dyDescent="0.2">
      <c r="A628" s="151"/>
      <c r="B628" s="152" t="s">
        <v>2397</v>
      </c>
      <c r="C628" s="152" t="s">
        <v>2705</v>
      </c>
      <c r="D628" s="152" t="s">
        <v>2705</v>
      </c>
      <c r="E628" s="152" t="s">
        <v>2705</v>
      </c>
      <c r="F628" s="152" t="s">
        <v>2705</v>
      </c>
      <c r="G628" s="152" t="s">
        <v>2397</v>
      </c>
      <c r="H628" s="152" t="s">
        <v>2675</v>
      </c>
      <c r="I628" s="152" t="s">
        <v>2705</v>
      </c>
      <c r="J628" s="152" t="s">
        <v>2705</v>
      </c>
      <c r="K628" s="152" t="s">
        <v>2705</v>
      </c>
      <c r="L628" s="152" t="s">
        <v>2705</v>
      </c>
      <c r="M628" s="152" t="s">
        <v>2705</v>
      </c>
      <c r="N628" s="152" t="s">
        <v>2675</v>
      </c>
      <c r="O628" s="152" t="s">
        <v>2705</v>
      </c>
      <c r="P628" s="152" t="s">
        <v>2398</v>
      </c>
      <c r="Q628" s="152" t="s">
        <v>2705</v>
      </c>
      <c r="R628" s="152" t="s">
        <v>2397</v>
      </c>
      <c r="S628" s="152" t="s">
        <v>2398</v>
      </c>
      <c r="T628" s="152" t="s">
        <v>2705</v>
      </c>
      <c r="U628" s="152" t="s">
        <v>2398</v>
      </c>
    </row>
    <row r="629" spans="1:21" s="142" customFormat="1" ht="12.75" customHeight="1" x14ac:dyDescent="0.2">
      <c r="A629" s="151" t="s">
        <v>7631</v>
      </c>
      <c r="B629" s="152" t="s">
        <v>2398</v>
      </c>
      <c r="C629" s="152" t="s">
        <v>2705</v>
      </c>
      <c r="D629" s="152" t="s">
        <v>2398</v>
      </c>
      <c r="E629" s="152" t="s">
        <v>2398</v>
      </c>
      <c r="F629" s="152" t="s">
        <v>2705</v>
      </c>
      <c r="G629" s="152" t="s">
        <v>2705</v>
      </c>
      <c r="H629" s="152" t="s">
        <v>2398</v>
      </c>
      <c r="I629" s="152" t="s">
        <v>2675</v>
      </c>
      <c r="J629" s="152" t="s">
        <v>2675</v>
      </c>
      <c r="K629" s="152" t="s">
        <v>2705</v>
      </c>
      <c r="L629" s="152" t="s">
        <v>2705</v>
      </c>
      <c r="M629" s="152" t="s">
        <v>2398</v>
      </c>
      <c r="N629" s="152" t="s">
        <v>2398</v>
      </c>
      <c r="O629" s="152" t="s">
        <v>2705</v>
      </c>
      <c r="P629" s="152" t="s">
        <v>2705</v>
      </c>
      <c r="Q629" s="152" t="s">
        <v>2705</v>
      </c>
      <c r="R629" s="152" t="s">
        <v>2398</v>
      </c>
      <c r="S629" s="152" t="s">
        <v>2705</v>
      </c>
      <c r="T629" s="152" t="s">
        <v>2705</v>
      </c>
      <c r="U629" s="152" t="s">
        <v>2705</v>
      </c>
    </row>
    <row r="630" spans="1:21" s="142" customFormat="1" ht="12.75" x14ac:dyDescent="0.2">
      <c r="A630" s="151"/>
      <c r="B630" s="152" t="s">
        <v>2675</v>
      </c>
      <c r="C630" s="152" t="s">
        <v>2398</v>
      </c>
      <c r="D630" s="152" t="s">
        <v>2705</v>
      </c>
      <c r="E630" s="152" t="s">
        <v>2675</v>
      </c>
      <c r="F630" s="152" t="s">
        <v>2705</v>
      </c>
      <c r="G630" s="152" t="s">
        <v>2675</v>
      </c>
      <c r="H630" s="152" t="s">
        <v>2398</v>
      </c>
      <c r="I630" s="152" t="s">
        <v>2398</v>
      </c>
      <c r="J630" s="152" t="s">
        <v>2705</v>
      </c>
      <c r="K630" s="152" t="s">
        <v>2705</v>
      </c>
      <c r="L630" s="152" t="s">
        <v>2705</v>
      </c>
      <c r="M630" s="152" t="s">
        <v>2398</v>
      </c>
      <c r="N630" s="152" t="s">
        <v>2398</v>
      </c>
      <c r="O630" s="152" t="s">
        <v>2705</v>
      </c>
      <c r="P630" s="152" t="s">
        <v>2398</v>
      </c>
      <c r="Q630" s="152" t="s">
        <v>2705</v>
      </c>
      <c r="R630" s="152" t="s">
        <v>2398</v>
      </c>
      <c r="S630" s="152" t="s">
        <v>2705</v>
      </c>
      <c r="T630" s="152" t="s">
        <v>2705</v>
      </c>
      <c r="U630" s="152" t="s">
        <v>2398</v>
      </c>
    </row>
    <row r="631" spans="1:21" s="142" customFormat="1" ht="12.75" customHeight="1" x14ac:dyDescent="0.2">
      <c r="A631" s="151" t="s">
        <v>7632</v>
      </c>
      <c r="B631" s="152" t="s">
        <v>2705</v>
      </c>
      <c r="C631" s="152" t="s">
        <v>2705</v>
      </c>
      <c r="D631" s="152" t="s">
        <v>2675</v>
      </c>
      <c r="E631" s="152" t="s">
        <v>1435</v>
      </c>
      <c r="F631" s="152" t="s">
        <v>2398</v>
      </c>
      <c r="G631" s="152" t="s">
        <v>2398</v>
      </c>
      <c r="H631" s="152" t="s">
        <v>2397</v>
      </c>
      <c r="I631" s="152" t="s">
        <v>2675</v>
      </c>
      <c r="J631" s="152" t="s">
        <v>2705</v>
      </c>
      <c r="K631" s="152" t="s">
        <v>2398</v>
      </c>
      <c r="L631" s="152" t="s">
        <v>2705</v>
      </c>
      <c r="M631" s="152" t="s">
        <v>1435</v>
      </c>
      <c r="N631" s="152" t="s">
        <v>2675</v>
      </c>
      <c r="O631" s="152" t="s">
        <v>2398</v>
      </c>
      <c r="P631" s="152" t="s">
        <v>2397</v>
      </c>
      <c r="Q631" s="152" t="s">
        <v>2398</v>
      </c>
      <c r="R631" s="152" t="s">
        <v>2398</v>
      </c>
      <c r="S631" s="152" t="s">
        <v>2398</v>
      </c>
      <c r="T631" s="152" t="s">
        <v>2398</v>
      </c>
      <c r="U631" s="152" t="s">
        <v>2705</v>
      </c>
    </row>
    <row r="632" spans="1:21" s="142" customFormat="1" ht="12.75" x14ac:dyDescent="0.2">
      <c r="A632" s="151"/>
      <c r="B632" s="152" t="s">
        <v>2398</v>
      </c>
      <c r="C632" s="152" t="s">
        <v>2705</v>
      </c>
      <c r="D632" s="152" t="s">
        <v>2675</v>
      </c>
      <c r="E632" s="152" t="s">
        <v>1435</v>
      </c>
      <c r="F632" s="152" t="s">
        <v>2397</v>
      </c>
      <c r="G632" s="152" t="s">
        <v>2398</v>
      </c>
      <c r="H632" s="152" t="s">
        <v>2675</v>
      </c>
      <c r="I632" s="152" t="s">
        <v>2705</v>
      </c>
      <c r="J632" s="152" t="s">
        <v>2398</v>
      </c>
      <c r="K632" s="152" t="s">
        <v>2675</v>
      </c>
      <c r="L632" s="152" t="s">
        <v>2705</v>
      </c>
      <c r="M632" s="152" t="s">
        <v>2398</v>
      </c>
      <c r="N632" s="152" t="s">
        <v>1435</v>
      </c>
      <c r="O632" s="152" t="s">
        <v>2397</v>
      </c>
      <c r="P632" s="152" t="s">
        <v>2398</v>
      </c>
      <c r="Q632" s="152" t="s">
        <v>2705</v>
      </c>
      <c r="R632" s="152" t="s">
        <v>2398</v>
      </c>
      <c r="S632" s="152" t="s">
        <v>2705</v>
      </c>
      <c r="T632" s="152" t="s">
        <v>2398</v>
      </c>
      <c r="U632" s="152" t="s">
        <v>2705</v>
      </c>
    </row>
    <row r="633" spans="1:21" s="142" customFormat="1" ht="12.75" customHeight="1" x14ac:dyDescent="0.2">
      <c r="A633" s="151" t="s">
        <v>7633</v>
      </c>
      <c r="B633" s="152" t="s">
        <v>2705</v>
      </c>
      <c r="C633" s="152" t="s">
        <v>2705</v>
      </c>
      <c r="D633" s="152" t="s">
        <v>2705</v>
      </c>
      <c r="E633" s="152" t="s">
        <v>2675</v>
      </c>
      <c r="F633" s="152" t="s">
        <v>2705</v>
      </c>
      <c r="G633" s="152" t="s">
        <v>2705</v>
      </c>
      <c r="H633" s="152" t="s">
        <v>2705</v>
      </c>
      <c r="I633" s="152" t="s">
        <v>2675</v>
      </c>
      <c r="J633" s="152" t="s">
        <v>2675</v>
      </c>
      <c r="K633" s="152" t="s">
        <v>2398</v>
      </c>
      <c r="L633" s="152" t="s">
        <v>2705</v>
      </c>
      <c r="M633" s="152" t="s">
        <v>2705</v>
      </c>
      <c r="N633" s="152" t="s">
        <v>2705</v>
      </c>
      <c r="O633" s="152" t="s">
        <v>2705</v>
      </c>
      <c r="P633" s="152" t="s">
        <v>2398</v>
      </c>
      <c r="Q633" s="152" t="s">
        <v>2398</v>
      </c>
      <c r="R633" s="152" t="s">
        <v>2398</v>
      </c>
      <c r="S633" s="152" t="s">
        <v>2705</v>
      </c>
      <c r="T633" s="152" t="s">
        <v>2705</v>
      </c>
      <c r="U633" s="152" t="s">
        <v>2398</v>
      </c>
    </row>
    <row r="634" spans="1:21" s="142" customFormat="1" ht="12.75" x14ac:dyDescent="0.2">
      <c r="A634" s="151"/>
      <c r="B634" s="152" t="s">
        <v>2398</v>
      </c>
      <c r="C634" s="152" t="s">
        <v>2705</v>
      </c>
      <c r="D634" s="152" t="s">
        <v>2705</v>
      </c>
      <c r="E634" s="152" t="s">
        <v>1435</v>
      </c>
      <c r="F634" s="152" t="s">
        <v>2705</v>
      </c>
      <c r="G634" s="152" t="s">
        <v>2675</v>
      </c>
      <c r="H634" s="152" t="s">
        <v>2398</v>
      </c>
      <c r="I634" s="152" t="s">
        <v>2705</v>
      </c>
      <c r="J634" s="152" t="s">
        <v>2675</v>
      </c>
      <c r="K634" s="152" t="s">
        <v>2675</v>
      </c>
      <c r="L634" s="152" t="s">
        <v>2705</v>
      </c>
      <c r="M634" s="152" t="s">
        <v>2398</v>
      </c>
      <c r="N634" s="152" t="s">
        <v>2705</v>
      </c>
      <c r="O634" s="152" t="s">
        <v>2705</v>
      </c>
      <c r="P634" s="152" t="s">
        <v>2705</v>
      </c>
      <c r="Q634" s="152" t="s">
        <v>1435</v>
      </c>
      <c r="R634" s="152" t="s">
        <v>2398</v>
      </c>
      <c r="S634" s="152" t="s">
        <v>2705</v>
      </c>
      <c r="T634" s="152" t="s">
        <v>2398</v>
      </c>
      <c r="U634" s="152" t="s">
        <v>2705</v>
      </c>
    </row>
    <row r="635" spans="1:21" s="142" customFormat="1" ht="12.75" customHeight="1" x14ac:dyDescent="0.2">
      <c r="A635" s="151" t="s">
        <v>7634</v>
      </c>
      <c r="B635" s="152" t="s">
        <v>2705</v>
      </c>
      <c r="C635" s="152" t="s">
        <v>2705</v>
      </c>
      <c r="D635" s="152" t="s">
        <v>2705</v>
      </c>
      <c r="E635" s="152" t="s">
        <v>2398</v>
      </c>
      <c r="F635" s="152" t="s">
        <v>2398</v>
      </c>
      <c r="G635" s="152" t="s">
        <v>2705</v>
      </c>
      <c r="H635" s="152" t="s">
        <v>2398</v>
      </c>
      <c r="I635" s="152" t="s">
        <v>2398</v>
      </c>
      <c r="J635" s="152" t="s">
        <v>2398</v>
      </c>
      <c r="K635" s="152" t="s">
        <v>2705</v>
      </c>
      <c r="L635" s="152" t="s">
        <v>2705</v>
      </c>
      <c r="M635" s="152" t="s">
        <v>2705</v>
      </c>
      <c r="N635" s="152" t="s">
        <v>2398</v>
      </c>
      <c r="O635" s="152" t="s">
        <v>1435</v>
      </c>
      <c r="P635" s="152" t="s">
        <v>2397</v>
      </c>
      <c r="Q635" s="152" t="s">
        <v>1435</v>
      </c>
      <c r="R635" s="152" t="s">
        <v>2398</v>
      </c>
      <c r="S635" s="152" t="s">
        <v>2398</v>
      </c>
      <c r="T635" s="152" t="s">
        <v>2705</v>
      </c>
      <c r="U635" s="152" t="s">
        <v>2705</v>
      </c>
    </row>
    <row r="636" spans="1:21" s="142" customFormat="1" ht="12.75" x14ac:dyDescent="0.2">
      <c r="A636" s="151"/>
      <c r="B636" s="152" t="s">
        <v>2705</v>
      </c>
      <c r="C636" s="152" t="s">
        <v>2705</v>
      </c>
      <c r="D636" s="152" t="s">
        <v>2705</v>
      </c>
      <c r="E636" s="152" t="s">
        <v>2705</v>
      </c>
      <c r="F636" s="152" t="s">
        <v>2398</v>
      </c>
      <c r="G636" s="152" t="s">
        <v>2675</v>
      </c>
      <c r="H636" s="152" t="s">
        <v>2705</v>
      </c>
      <c r="I636" s="152" t="s">
        <v>2397</v>
      </c>
      <c r="J636" s="152" t="s">
        <v>2705</v>
      </c>
      <c r="K636" s="152" t="s">
        <v>2675</v>
      </c>
      <c r="L636" s="152" t="s">
        <v>2705</v>
      </c>
      <c r="M636" s="152" t="s">
        <v>2398</v>
      </c>
      <c r="N636" s="152" t="s">
        <v>1435</v>
      </c>
      <c r="O636" s="152" t="s">
        <v>2705</v>
      </c>
      <c r="P636" s="152" t="s">
        <v>2398</v>
      </c>
      <c r="Q636" s="152" t="s">
        <v>2705</v>
      </c>
      <c r="R636" s="152" t="s">
        <v>2398</v>
      </c>
      <c r="S636" s="152" t="s">
        <v>2398</v>
      </c>
      <c r="T636" s="152" t="s">
        <v>2705</v>
      </c>
      <c r="U636" s="152" t="s">
        <v>2398</v>
      </c>
    </row>
    <row r="637" spans="1:21" s="142" customFormat="1" ht="12.75" customHeight="1" x14ac:dyDescent="0.2">
      <c r="A637" s="151" t="s">
        <v>7635</v>
      </c>
      <c r="B637" s="152" t="s">
        <v>2398</v>
      </c>
      <c r="C637" s="152" t="s">
        <v>2705</v>
      </c>
      <c r="D637" s="152" t="s">
        <v>2397</v>
      </c>
      <c r="E637" s="152" t="s">
        <v>1435</v>
      </c>
      <c r="F637" s="152" t="s">
        <v>2705</v>
      </c>
      <c r="G637" s="152" t="s">
        <v>2705</v>
      </c>
      <c r="H637" s="152" t="s">
        <v>2705</v>
      </c>
      <c r="I637" s="152" t="s">
        <v>2675</v>
      </c>
      <c r="J637" s="152" t="s">
        <v>2705</v>
      </c>
      <c r="K637" s="152" t="s">
        <v>2705</v>
      </c>
      <c r="L637" s="152" t="s">
        <v>1435</v>
      </c>
      <c r="M637" s="152" t="s">
        <v>2705</v>
      </c>
      <c r="N637" s="152" t="s">
        <v>2705</v>
      </c>
      <c r="O637" s="152" t="s">
        <v>2705</v>
      </c>
      <c r="P637" s="152" t="s">
        <v>2705</v>
      </c>
      <c r="Q637" s="152" t="s">
        <v>2705</v>
      </c>
      <c r="R637" s="152" t="s">
        <v>2705</v>
      </c>
      <c r="S637" s="152" t="s">
        <v>2705</v>
      </c>
      <c r="T637" s="152" t="s">
        <v>2398</v>
      </c>
      <c r="U637" s="152" t="s">
        <v>2705</v>
      </c>
    </row>
    <row r="638" spans="1:21" s="142" customFormat="1" ht="12.75" x14ac:dyDescent="0.2">
      <c r="A638" s="151"/>
      <c r="B638" s="152" t="s">
        <v>2705</v>
      </c>
      <c r="C638" s="152" t="s">
        <v>2398</v>
      </c>
      <c r="D638" s="152" t="s">
        <v>2705</v>
      </c>
      <c r="E638" s="152" t="s">
        <v>2705</v>
      </c>
      <c r="F638" s="152" t="s">
        <v>2705</v>
      </c>
      <c r="G638" s="152" t="s">
        <v>2398</v>
      </c>
      <c r="H638" s="152" t="s">
        <v>2397</v>
      </c>
      <c r="I638" s="152" t="s">
        <v>1435</v>
      </c>
      <c r="J638" s="152" t="s">
        <v>2705</v>
      </c>
      <c r="K638" s="152" t="s">
        <v>2705</v>
      </c>
      <c r="L638" s="152" t="s">
        <v>2705</v>
      </c>
      <c r="M638" s="152" t="s">
        <v>2398</v>
      </c>
      <c r="N638" s="152" t="s">
        <v>1435</v>
      </c>
      <c r="O638" s="152" t="s">
        <v>2705</v>
      </c>
      <c r="P638" s="152" t="s">
        <v>2705</v>
      </c>
      <c r="Q638" s="152" t="s">
        <v>2705</v>
      </c>
      <c r="R638" s="152" t="s">
        <v>2705</v>
      </c>
      <c r="S638" s="152" t="s">
        <v>2705</v>
      </c>
      <c r="T638" s="152" t="s">
        <v>2705</v>
      </c>
      <c r="U638" s="152" t="s">
        <v>2705</v>
      </c>
    </row>
    <row r="639" spans="1:21" s="142" customFormat="1" ht="12.75" customHeight="1" x14ac:dyDescent="0.2">
      <c r="A639" s="151" t="s">
        <v>7636</v>
      </c>
      <c r="B639" s="152" t="s">
        <v>2705</v>
      </c>
      <c r="C639" s="152" t="s">
        <v>2705</v>
      </c>
      <c r="D639" s="152" t="s">
        <v>2705</v>
      </c>
      <c r="E639" s="152" t="s">
        <v>2705</v>
      </c>
      <c r="F639" s="152" t="s">
        <v>2705</v>
      </c>
      <c r="G639" s="152" t="s">
        <v>2705</v>
      </c>
      <c r="H639" s="152" t="s">
        <v>2705</v>
      </c>
      <c r="I639" s="152" t="s">
        <v>2705</v>
      </c>
      <c r="J639" s="152" t="s">
        <v>2705</v>
      </c>
      <c r="K639" s="152" t="s">
        <v>2705</v>
      </c>
      <c r="L639" s="152" t="s">
        <v>2705</v>
      </c>
      <c r="M639" s="152" t="s">
        <v>2705</v>
      </c>
      <c r="N639" s="152" t="s">
        <v>2705</v>
      </c>
      <c r="O639" s="152" t="s">
        <v>2705</v>
      </c>
      <c r="P639" s="152" t="s">
        <v>2705</v>
      </c>
      <c r="Q639" s="152" t="s">
        <v>2675</v>
      </c>
      <c r="R639" s="152" t="s">
        <v>2398</v>
      </c>
      <c r="S639" s="152" t="s">
        <v>2705</v>
      </c>
      <c r="T639" s="152" t="s">
        <v>2705</v>
      </c>
      <c r="U639" s="152" t="s">
        <v>2705</v>
      </c>
    </row>
    <row r="640" spans="1:21" s="142" customFormat="1" ht="12.75" x14ac:dyDescent="0.2">
      <c r="A640" s="151"/>
      <c r="B640" s="152" t="s">
        <v>2705</v>
      </c>
      <c r="C640" s="152" t="s">
        <v>2705</v>
      </c>
      <c r="D640" s="152" t="s">
        <v>2705</v>
      </c>
      <c r="E640" s="152" t="s">
        <v>2705</v>
      </c>
      <c r="F640" s="152" t="s">
        <v>2705</v>
      </c>
      <c r="G640" s="152" t="s">
        <v>2705</v>
      </c>
      <c r="H640" s="152" t="s">
        <v>2705</v>
      </c>
      <c r="I640" s="152" t="s">
        <v>2705</v>
      </c>
      <c r="J640" s="152" t="s">
        <v>2705</v>
      </c>
      <c r="K640" s="152" t="s">
        <v>2705</v>
      </c>
      <c r="L640" s="152" t="s">
        <v>2705</v>
      </c>
      <c r="M640" s="152" t="s">
        <v>2675</v>
      </c>
      <c r="N640" s="152" t="s">
        <v>2705</v>
      </c>
      <c r="O640" s="152" t="s">
        <v>2705</v>
      </c>
      <c r="P640" s="152" t="s">
        <v>2705</v>
      </c>
      <c r="Q640" s="152" t="s">
        <v>2705</v>
      </c>
      <c r="R640" s="152" t="s">
        <v>2705</v>
      </c>
      <c r="S640" s="152" t="s">
        <v>2398</v>
      </c>
      <c r="T640" s="152" t="s">
        <v>2705</v>
      </c>
      <c r="U640" s="152" t="s">
        <v>2705</v>
      </c>
    </row>
    <row r="641" spans="1:21" s="142" customFormat="1" ht="12.75" customHeight="1" x14ac:dyDescent="0.2">
      <c r="A641" s="151" t="s">
        <v>7637</v>
      </c>
      <c r="B641" s="152" t="s">
        <v>2705</v>
      </c>
      <c r="C641" s="152" t="s">
        <v>2398</v>
      </c>
      <c r="D641" s="152" t="s">
        <v>2675</v>
      </c>
      <c r="E641" s="152" t="s">
        <v>2398</v>
      </c>
      <c r="F641" s="152" t="s">
        <v>2397</v>
      </c>
      <c r="G641" s="152" t="s">
        <v>2398</v>
      </c>
      <c r="H641" s="152" t="s">
        <v>2398</v>
      </c>
      <c r="I641" s="152" t="s">
        <v>2397</v>
      </c>
      <c r="J641" s="152" t="s">
        <v>2398</v>
      </c>
      <c r="K641" s="152" t="s">
        <v>2705</v>
      </c>
      <c r="L641" s="152" t="s">
        <v>2675</v>
      </c>
      <c r="M641" s="152" t="s">
        <v>2398</v>
      </c>
      <c r="N641" s="152" t="s">
        <v>2705</v>
      </c>
      <c r="O641" s="152" t="s">
        <v>2705</v>
      </c>
      <c r="P641" s="152" t="s">
        <v>2398</v>
      </c>
      <c r="Q641" s="152" t="s">
        <v>2398</v>
      </c>
      <c r="R641" s="152" t="s">
        <v>2705</v>
      </c>
      <c r="S641" s="152" t="s">
        <v>2705</v>
      </c>
      <c r="T641" s="152" t="s">
        <v>2705</v>
      </c>
      <c r="U641" s="152" t="s">
        <v>2398</v>
      </c>
    </row>
    <row r="642" spans="1:21" s="142" customFormat="1" ht="12.75" x14ac:dyDescent="0.2">
      <c r="A642" s="151"/>
      <c r="B642" s="152" t="s">
        <v>2398</v>
      </c>
      <c r="C642" s="152" t="s">
        <v>2398</v>
      </c>
      <c r="D642" s="152" t="s">
        <v>2705</v>
      </c>
      <c r="E642" s="152" t="s">
        <v>2675</v>
      </c>
      <c r="F642" s="152" t="s">
        <v>2398</v>
      </c>
      <c r="G642" s="152" t="s">
        <v>2705</v>
      </c>
      <c r="H642" s="152" t="s">
        <v>2705</v>
      </c>
      <c r="I642" s="152" t="s">
        <v>2705</v>
      </c>
      <c r="J642" s="152" t="s">
        <v>2675</v>
      </c>
      <c r="K642" s="152" t="s">
        <v>2705</v>
      </c>
      <c r="L642" s="152" t="s">
        <v>2398</v>
      </c>
      <c r="M642" s="152" t="s">
        <v>2398</v>
      </c>
      <c r="N642" s="152" t="s">
        <v>2705</v>
      </c>
      <c r="O642" s="152" t="s">
        <v>2705</v>
      </c>
      <c r="P642" s="152" t="s">
        <v>2398</v>
      </c>
      <c r="Q642" s="152" t="s">
        <v>1435</v>
      </c>
      <c r="R642" s="152" t="s">
        <v>1435</v>
      </c>
      <c r="S642" s="152" t="s">
        <v>2705</v>
      </c>
      <c r="T642" s="152" t="s">
        <v>2705</v>
      </c>
      <c r="U642" s="152" t="s">
        <v>2398</v>
      </c>
    </row>
    <row r="643" spans="1:21" s="142" customFormat="1" ht="12.75" customHeight="1" x14ac:dyDescent="0.2">
      <c r="A643" s="151" t="s">
        <v>7638</v>
      </c>
      <c r="B643" s="152" t="s">
        <v>2705</v>
      </c>
      <c r="C643" s="152" t="s">
        <v>2705</v>
      </c>
      <c r="D643" s="152" t="s">
        <v>2705</v>
      </c>
      <c r="E643" s="152" t="s">
        <v>2398</v>
      </c>
      <c r="F643" s="152" t="s">
        <v>2705</v>
      </c>
      <c r="G643" s="152" t="s">
        <v>2705</v>
      </c>
      <c r="H643" s="152" t="s">
        <v>2705</v>
      </c>
      <c r="I643" s="152" t="s">
        <v>2398</v>
      </c>
      <c r="J643" s="152" t="s">
        <v>2705</v>
      </c>
      <c r="K643" s="152" t="s">
        <v>2705</v>
      </c>
      <c r="L643" s="152" t="s">
        <v>2705</v>
      </c>
      <c r="M643" s="152" t="s">
        <v>2398</v>
      </c>
      <c r="N643" s="152" t="s">
        <v>2398</v>
      </c>
      <c r="O643" s="152" t="s">
        <v>2398</v>
      </c>
      <c r="P643" s="152" t="s">
        <v>2705</v>
      </c>
      <c r="Q643" s="152" t="s">
        <v>2398</v>
      </c>
      <c r="R643" s="152" t="s">
        <v>2675</v>
      </c>
      <c r="S643" s="152" t="s">
        <v>2675</v>
      </c>
      <c r="T643" s="152" t="s">
        <v>2398</v>
      </c>
      <c r="U643" s="152" t="s">
        <v>2705</v>
      </c>
    </row>
    <row r="644" spans="1:21" s="142" customFormat="1" ht="12.75" x14ac:dyDescent="0.2">
      <c r="A644" s="151"/>
      <c r="B644" s="152" t="s">
        <v>2398</v>
      </c>
      <c r="C644" s="152" t="s">
        <v>2705</v>
      </c>
      <c r="D644" s="152" t="s">
        <v>2705</v>
      </c>
      <c r="E644" s="152" t="s">
        <v>2705</v>
      </c>
      <c r="F644" s="152" t="s">
        <v>2705</v>
      </c>
      <c r="G644" s="152" t="s">
        <v>2398</v>
      </c>
      <c r="H644" s="152" t="s">
        <v>2705</v>
      </c>
      <c r="I644" s="152" t="s">
        <v>2705</v>
      </c>
      <c r="J644" s="152" t="s">
        <v>2675</v>
      </c>
      <c r="K644" s="152" t="s">
        <v>2398</v>
      </c>
      <c r="L644" s="152" t="s">
        <v>2398</v>
      </c>
      <c r="M644" s="152" t="s">
        <v>2705</v>
      </c>
      <c r="N644" s="152" t="s">
        <v>2398</v>
      </c>
      <c r="O644" s="152" t="s">
        <v>2705</v>
      </c>
      <c r="P644" s="152" t="s">
        <v>2398</v>
      </c>
      <c r="Q644" s="152" t="s">
        <v>2675</v>
      </c>
      <c r="R644" s="152" t="s">
        <v>2398</v>
      </c>
      <c r="S644" s="152" t="s">
        <v>2705</v>
      </c>
      <c r="T644" s="152" t="s">
        <v>2398</v>
      </c>
      <c r="U644" s="152" t="s">
        <v>2705</v>
      </c>
    </row>
    <row r="645" spans="1:21" s="142" customFormat="1" ht="12.75" customHeight="1" x14ac:dyDescent="0.2">
      <c r="A645" s="151" t="s">
        <v>7639</v>
      </c>
      <c r="B645" s="152" t="s">
        <v>1435</v>
      </c>
      <c r="C645" s="152" t="s">
        <v>2398</v>
      </c>
      <c r="D645" s="152" t="s">
        <v>2398</v>
      </c>
      <c r="E645" s="152" t="s">
        <v>2705</v>
      </c>
      <c r="F645" s="152" t="s">
        <v>2398</v>
      </c>
      <c r="G645" s="152" t="s">
        <v>2705</v>
      </c>
      <c r="H645" s="152" t="s">
        <v>2675</v>
      </c>
      <c r="I645" s="152" t="s">
        <v>2705</v>
      </c>
      <c r="J645" s="152" t="s">
        <v>2705</v>
      </c>
      <c r="K645" s="152" t="s">
        <v>2705</v>
      </c>
      <c r="L645" s="152" t="s">
        <v>2398</v>
      </c>
      <c r="M645" s="152" t="s">
        <v>2398</v>
      </c>
      <c r="N645" s="152" t="s">
        <v>2705</v>
      </c>
      <c r="O645" s="152" t="s">
        <v>2705</v>
      </c>
      <c r="P645" s="152" t="s">
        <v>2398</v>
      </c>
      <c r="Q645" s="152" t="s">
        <v>2705</v>
      </c>
      <c r="R645" s="152" t="s">
        <v>2398</v>
      </c>
      <c r="S645" s="152" t="s">
        <v>2705</v>
      </c>
      <c r="T645" s="152" t="s">
        <v>2705</v>
      </c>
      <c r="U645" s="152" t="s">
        <v>2398</v>
      </c>
    </row>
    <row r="646" spans="1:21" s="142" customFormat="1" ht="12.75" x14ac:dyDescent="0.2">
      <c r="A646" s="151"/>
      <c r="B646" s="152" t="s">
        <v>2398</v>
      </c>
      <c r="C646" s="152" t="s">
        <v>2397</v>
      </c>
      <c r="D646" s="152" t="s">
        <v>1435</v>
      </c>
      <c r="E646" s="152" t="s">
        <v>2398</v>
      </c>
      <c r="F646" s="152" t="s">
        <v>2398</v>
      </c>
      <c r="G646" s="152" t="s">
        <v>2398</v>
      </c>
      <c r="H646" s="152" t="s">
        <v>2705</v>
      </c>
      <c r="I646" s="152" t="s">
        <v>2705</v>
      </c>
      <c r="J646" s="152" t="s">
        <v>2398</v>
      </c>
      <c r="K646" s="152" t="s">
        <v>2705</v>
      </c>
      <c r="L646" s="152" t="s">
        <v>2398</v>
      </c>
      <c r="M646" s="152" t="s">
        <v>2705</v>
      </c>
      <c r="N646" s="152" t="s">
        <v>2705</v>
      </c>
      <c r="O646" s="152" t="s">
        <v>2705</v>
      </c>
      <c r="P646" s="152" t="s">
        <v>2675</v>
      </c>
      <c r="Q646" s="152" t="s">
        <v>2705</v>
      </c>
      <c r="R646" s="152" t="s">
        <v>2398</v>
      </c>
      <c r="S646" s="152" t="s">
        <v>2705</v>
      </c>
      <c r="T646" s="152" t="s">
        <v>2397</v>
      </c>
      <c r="U646" s="152" t="s">
        <v>2705</v>
      </c>
    </row>
    <row r="647" spans="1:21" s="142" customFormat="1" ht="12.75" customHeight="1" x14ac:dyDescent="0.2">
      <c r="A647" s="151" t="s">
        <v>7640</v>
      </c>
      <c r="B647" s="152" t="s">
        <v>2705</v>
      </c>
      <c r="C647" s="152" t="s">
        <v>2705</v>
      </c>
      <c r="D647" s="152" t="s">
        <v>2705</v>
      </c>
      <c r="E647" s="152" t="s">
        <v>2398</v>
      </c>
      <c r="F647" s="152" t="s">
        <v>2705</v>
      </c>
      <c r="G647" s="152" t="s">
        <v>2705</v>
      </c>
      <c r="H647" s="152" t="s">
        <v>2705</v>
      </c>
      <c r="I647" s="152" t="s">
        <v>2705</v>
      </c>
      <c r="J647" s="152" t="s">
        <v>2675</v>
      </c>
      <c r="K647" s="152" t="s">
        <v>2705</v>
      </c>
      <c r="L647" s="152" t="s">
        <v>2705</v>
      </c>
      <c r="M647" s="152" t="s">
        <v>2705</v>
      </c>
      <c r="N647" s="152" t="s">
        <v>2705</v>
      </c>
      <c r="O647" s="152" t="s">
        <v>2398</v>
      </c>
      <c r="P647" s="152" t="s">
        <v>2705</v>
      </c>
      <c r="Q647" s="152" t="s">
        <v>2398</v>
      </c>
      <c r="R647" s="152" t="s">
        <v>2705</v>
      </c>
      <c r="S647" s="152" t="s">
        <v>2398</v>
      </c>
      <c r="T647" s="152" t="s">
        <v>2705</v>
      </c>
      <c r="U647" s="152" t="s">
        <v>2705</v>
      </c>
    </row>
    <row r="648" spans="1:21" s="142" customFormat="1" ht="12.75" x14ac:dyDescent="0.2">
      <c r="A648" s="151"/>
      <c r="B648" s="152" t="s">
        <v>2398</v>
      </c>
      <c r="C648" s="152" t="s">
        <v>2705</v>
      </c>
      <c r="D648" s="152" t="s">
        <v>2705</v>
      </c>
      <c r="E648" s="152" t="s">
        <v>2705</v>
      </c>
      <c r="F648" s="152" t="s">
        <v>2705</v>
      </c>
      <c r="G648" s="152" t="s">
        <v>2675</v>
      </c>
      <c r="H648" s="152" t="s">
        <v>2675</v>
      </c>
      <c r="I648" s="152" t="s">
        <v>2705</v>
      </c>
      <c r="J648" s="152" t="s">
        <v>2398</v>
      </c>
      <c r="K648" s="152" t="s">
        <v>2398</v>
      </c>
      <c r="L648" s="152" t="s">
        <v>2705</v>
      </c>
      <c r="M648" s="152" t="s">
        <v>2705</v>
      </c>
      <c r="N648" s="152" t="s">
        <v>2705</v>
      </c>
      <c r="O648" s="152" t="s">
        <v>2705</v>
      </c>
      <c r="P648" s="152" t="s">
        <v>2705</v>
      </c>
      <c r="Q648" s="152" t="s">
        <v>2705</v>
      </c>
      <c r="R648" s="152" t="s">
        <v>2705</v>
      </c>
      <c r="S648" s="152" t="s">
        <v>2705</v>
      </c>
      <c r="T648" s="152" t="s">
        <v>2705</v>
      </c>
      <c r="U648" s="152" t="s">
        <v>2705</v>
      </c>
    </row>
    <row r="649" spans="1:21" s="142" customFormat="1" ht="12.75" customHeight="1" x14ac:dyDescent="0.2">
      <c r="A649" s="151" t="s">
        <v>7641</v>
      </c>
      <c r="B649" s="152" t="s">
        <v>2705</v>
      </c>
      <c r="C649" s="152" t="s">
        <v>2705</v>
      </c>
      <c r="D649" s="152" t="s">
        <v>2675</v>
      </c>
      <c r="E649" s="152" t="s">
        <v>2705</v>
      </c>
      <c r="F649" s="152" t="s">
        <v>2705</v>
      </c>
      <c r="G649" s="152" t="s">
        <v>2705</v>
      </c>
      <c r="H649" s="152" t="s">
        <v>2705</v>
      </c>
      <c r="I649" s="152" t="s">
        <v>2705</v>
      </c>
      <c r="J649" s="152" t="s">
        <v>2705</v>
      </c>
      <c r="K649" s="152" t="s">
        <v>2398</v>
      </c>
      <c r="L649" s="152" t="s">
        <v>2705</v>
      </c>
      <c r="M649" s="152" t="s">
        <v>2705</v>
      </c>
      <c r="N649" s="152" t="s">
        <v>2705</v>
      </c>
      <c r="O649" s="152" t="s">
        <v>2705</v>
      </c>
      <c r="P649" s="152" t="s">
        <v>2705</v>
      </c>
      <c r="Q649" s="152" t="s">
        <v>2705</v>
      </c>
      <c r="R649" s="152" t="s">
        <v>2398</v>
      </c>
      <c r="S649" s="152" t="s">
        <v>2675</v>
      </c>
      <c r="T649" s="152" t="s">
        <v>2705</v>
      </c>
      <c r="U649" s="152" t="s">
        <v>2398</v>
      </c>
    </row>
    <row r="650" spans="1:21" s="142" customFormat="1" ht="12.75" x14ac:dyDescent="0.2">
      <c r="A650" s="151"/>
      <c r="B650" s="152" t="s">
        <v>2705</v>
      </c>
      <c r="C650" s="152" t="s">
        <v>2705</v>
      </c>
      <c r="D650" s="152" t="s">
        <v>2705</v>
      </c>
      <c r="E650" s="152" t="s">
        <v>2705</v>
      </c>
      <c r="F650" s="152" t="s">
        <v>2705</v>
      </c>
      <c r="G650" s="152" t="s">
        <v>2675</v>
      </c>
      <c r="H650" s="152" t="s">
        <v>2398</v>
      </c>
      <c r="I650" s="152" t="s">
        <v>2705</v>
      </c>
      <c r="J650" s="152" t="s">
        <v>2705</v>
      </c>
      <c r="K650" s="152" t="s">
        <v>2675</v>
      </c>
      <c r="L650" s="152" t="s">
        <v>2705</v>
      </c>
      <c r="M650" s="152" t="s">
        <v>1435</v>
      </c>
      <c r="N650" s="152" t="s">
        <v>2705</v>
      </c>
      <c r="O650" s="152" t="s">
        <v>2705</v>
      </c>
      <c r="P650" s="152" t="s">
        <v>2705</v>
      </c>
      <c r="Q650" s="152" t="s">
        <v>2705</v>
      </c>
      <c r="R650" s="152" t="s">
        <v>2705</v>
      </c>
      <c r="S650" s="152" t="s">
        <v>2398</v>
      </c>
      <c r="T650" s="152" t="s">
        <v>2705</v>
      </c>
      <c r="U650" s="152" t="s">
        <v>1435</v>
      </c>
    </row>
    <row r="651" spans="1:21" s="142" customFormat="1" ht="12.75" customHeight="1" x14ac:dyDescent="0.2">
      <c r="A651" s="151" t="s">
        <v>7642</v>
      </c>
      <c r="B651" s="152" t="s">
        <v>2705</v>
      </c>
      <c r="C651" s="152" t="s">
        <v>2705</v>
      </c>
      <c r="D651" s="152" t="s">
        <v>2398</v>
      </c>
      <c r="E651" s="152" t="s">
        <v>2705</v>
      </c>
      <c r="F651" s="152" t="s">
        <v>2705</v>
      </c>
      <c r="G651" s="152" t="s">
        <v>2705</v>
      </c>
      <c r="H651" s="152" t="s">
        <v>2705</v>
      </c>
      <c r="I651" s="152" t="s">
        <v>2398</v>
      </c>
      <c r="J651" s="152" t="s">
        <v>2705</v>
      </c>
      <c r="K651" s="152" t="s">
        <v>2398</v>
      </c>
      <c r="L651" s="152" t="s">
        <v>2398</v>
      </c>
      <c r="M651" s="152" t="s">
        <v>2705</v>
      </c>
      <c r="N651" s="152" t="s">
        <v>2705</v>
      </c>
      <c r="O651" s="152" t="s">
        <v>1435</v>
      </c>
      <c r="P651" s="152" t="s">
        <v>2705</v>
      </c>
      <c r="Q651" s="152" t="s">
        <v>2705</v>
      </c>
      <c r="R651" s="152" t="s">
        <v>2705</v>
      </c>
      <c r="S651" s="152" t="s">
        <v>2705</v>
      </c>
      <c r="T651" s="152" t="s">
        <v>2705</v>
      </c>
      <c r="U651" s="152" t="s">
        <v>2705</v>
      </c>
    </row>
    <row r="652" spans="1:21" s="142" customFormat="1" ht="12.75" x14ac:dyDescent="0.2">
      <c r="A652" s="151"/>
      <c r="B652" s="152" t="s">
        <v>2398</v>
      </c>
      <c r="C652" s="152" t="s">
        <v>2398</v>
      </c>
      <c r="D652" s="152" t="s">
        <v>2705</v>
      </c>
      <c r="E652" s="152" t="s">
        <v>2675</v>
      </c>
      <c r="F652" s="152" t="s">
        <v>2398</v>
      </c>
      <c r="G652" s="152" t="s">
        <v>2705</v>
      </c>
      <c r="H652" s="152" t="s">
        <v>2705</v>
      </c>
      <c r="I652" s="152" t="s">
        <v>2398</v>
      </c>
      <c r="J652" s="152" t="s">
        <v>2705</v>
      </c>
      <c r="K652" s="152" t="s">
        <v>2705</v>
      </c>
      <c r="L652" s="152" t="s">
        <v>2705</v>
      </c>
      <c r="M652" s="152" t="s">
        <v>2705</v>
      </c>
      <c r="N652" s="152" t="s">
        <v>2705</v>
      </c>
      <c r="O652" s="152" t="s">
        <v>2398</v>
      </c>
      <c r="P652" s="152" t="s">
        <v>1435</v>
      </c>
      <c r="Q652" s="152" t="s">
        <v>2705</v>
      </c>
      <c r="R652" s="152" t="s">
        <v>2398</v>
      </c>
      <c r="S652" s="152" t="s">
        <v>2705</v>
      </c>
      <c r="T652" s="152" t="s">
        <v>2705</v>
      </c>
      <c r="U652" s="152" t="s">
        <v>2705</v>
      </c>
    </row>
    <row r="653" spans="1:21" s="142" customFormat="1" ht="12.75" customHeight="1" x14ac:dyDescent="0.2">
      <c r="A653" s="151" t="s">
        <v>7643</v>
      </c>
      <c r="B653" s="152" t="s">
        <v>2705</v>
      </c>
      <c r="C653" s="152" t="s">
        <v>2398</v>
      </c>
      <c r="D653" s="152" t="s">
        <v>2705</v>
      </c>
      <c r="E653" s="152" t="s">
        <v>2705</v>
      </c>
      <c r="F653" s="152" t="s">
        <v>2705</v>
      </c>
      <c r="G653" s="152" t="s">
        <v>2705</v>
      </c>
      <c r="H653" s="152" t="s">
        <v>1435</v>
      </c>
      <c r="I653" s="152" t="s">
        <v>2705</v>
      </c>
      <c r="J653" s="152" t="s">
        <v>2398</v>
      </c>
      <c r="K653" s="152" t="s">
        <v>2705</v>
      </c>
      <c r="L653" s="152" t="s">
        <v>2705</v>
      </c>
      <c r="M653" s="152" t="s">
        <v>2705</v>
      </c>
      <c r="N653" s="152" t="s">
        <v>2705</v>
      </c>
      <c r="O653" s="152" t="s">
        <v>2705</v>
      </c>
      <c r="P653" s="152" t="s">
        <v>2398</v>
      </c>
      <c r="Q653" s="152" t="s">
        <v>2675</v>
      </c>
      <c r="R653" s="152" t="s">
        <v>2398</v>
      </c>
      <c r="S653" s="152" t="s">
        <v>2397</v>
      </c>
      <c r="T653" s="152" t="s">
        <v>2398</v>
      </c>
      <c r="U653" s="152" t="s">
        <v>2398</v>
      </c>
    </row>
    <row r="654" spans="1:21" s="142" customFormat="1" ht="12.75" x14ac:dyDescent="0.2">
      <c r="A654" s="151"/>
      <c r="B654" s="152" t="s">
        <v>2705</v>
      </c>
      <c r="C654" s="152" t="s">
        <v>2705</v>
      </c>
      <c r="D654" s="152" t="s">
        <v>2705</v>
      </c>
      <c r="E654" s="152" t="s">
        <v>2705</v>
      </c>
      <c r="F654" s="152" t="s">
        <v>2705</v>
      </c>
      <c r="G654" s="152" t="s">
        <v>2398</v>
      </c>
      <c r="H654" s="152" t="s">
        <v>2705</v>
      </c>
      <c r="I654" s="152" t="s">
        <v>2705</v>
      </c>
      <c r="J654" s="152" t="s">
        <v>2398</v>
      </c>
      <c r="K654" s="152" t="s">
        <v>2705</v>
      </c>
      <c r="L654" s="152" t="s">
        <v>2398</v>
      </c>
      <c r="M654" s="152" t="s">
        <v>2705</v>
      </c>
      <c r="N654" s="152" t="s">
        <v>2705</v>
      </c>
      <c r="O654" s="152" t="s">
        <v>2705</v>
      </c>
      <c r="P654" s="152" t="s">
        <v>2398</v>
      </c>
      <c r="Q654" s="152" t="s">
        <v>2705</v>
      </c>
      <c r="R654" s="152" t="s">
        <v>1435</v>
      </c>
      <c r="S654" s="152" t="s">
        <v>2675</v>
      </c>
      <c r="T654" s="152" t="s">
        <v>2398</v>
      </c>
      <c r="U654" s="152" t="s">
        <v>2705</v>
      </c>
    </row>
    <row r="655" spans="1:21" s="142" customFormat="1" ht="12.75" customHeight="1" x14ac:dyDescent="0.2">
      <c r="A655" s="151" t="s">
        <v>7644</v>
      </c>
      <c r="B655" s="152" t="s">
        <v>2705</v>
      </c>
      <c r="C655" s="152" t="s">
        <v>2705</v>
      </c>
      <c r="D655" s="152" t="s">
        <v>2705</v>
      </c>
      <c r="E655" s="152" t="s">
        <v>2705</v>
      </c>
      <c r="F655" s="152" t="s">
        <v>2705</v>
      </c>
      <c r="G655" s="152" t="s">
        <v>2705</v>
      </c>
      <c r="H655" s="152" t="s">
        <v>2705</v>
      </c>
      <c r="I655" s="152" t="s">
        <v>2705</v>
      </c>
      <c r="J655" s="152" t="s">
        <v>2705</v>
      </c>
      <c r="K655" s="152" t="s">
        <v>1435</v>
      </c>
      <c r="L655" s="152" t="s">
        <v>2705</v>
      </c>
      <c r="M655" s="152" t="s">
        <v>2705</v>
      </c>
      <c r="N655" s="152" t="s">
        <v>2398</v>
      </c>
      <c r="O655" s="152" t="s">
        <v>2705</v>
      </c>
      <c r="P655" s="152" t="s">
        <v>2705</v>
      </c>
      <c r="Q655" s="152" t="s">
        <v>2398</v>
      </c>
      <c r="R655" s="152" t="s">
        <v>2705</v>
      </c>
      <c r="S655" s="152" t="s">
        <v>2705</v>
      </c>
      <c r="T655" s="152" t="s">
        <v>2705</v>
      </c>
      <c r="U655" s="152" t="s">
        <v>2705</v>
      </c>
    </row>
    <row r="656" spans="1:21" s="142" customFormat="1" ht="12.75" x14ac:dyDescent="0.2">
      <c r="A656" s="151"/>
      <c r="B656" s="152" t="s">
        <v>2705</v>
      </c>
      <c r="C656" s="152" t="s">
        <v>2398</v>
      </c>
      <c r="D656" s="152" t="s">
        <v>2705</v>
      </c>
      <c r="E656" s="152" t="s">
        <v>1435</v>
      </c>
      <c r="F656" s="152" t="s">
        <v>2705</v>
      </c>
      <c r="G656" s="152" t="s">
        <v>2398</v>
      </c>
      <c r="H656" s="152" t="s">
        <v>2705</v>
      </c>
      <c r="I656" s="152" t="s">
        <v>2705</v>
      </c>
      <c r="J656" s="152" t="s">
        <v>2705</v>
      </c>
      <c r="K656" s="152" t="s">
        <v>2398</v>
      </c>
      <c r="L656" s="152" t="s">
        <v>2705</v>
      </c>
      <c r="M656" s="152" t="s">
        <v>2398</v>
      </c>
      <c r="N656" s="152" t="s">
        <v>2705</v>
      </c>
      <c r="O656" s="152" t="s">
        <v>2705</v>
      </c>
      <c r="P656" s="152" t="s">
        <v>2705</v>
      </c>
      <c r="Q656" s="152" t="s">
        <v>2705</v>
      </c>
      <c r="R656" s="152" t="s">
        <v>2705</v>
      </c>
      <c r="S656" s="152" t="s">
        <v>2705</v>
      </c>
      <c r="T656" s="152" t="s">
        <v>2398</v>
      </c>
      <c r="U656" s="152" t="s">
        <v>2705</v>
      </c>
    </row>
    <row r="657" spans="1:21" s="142" customFormat="1" ht="12.75" customHeight="1" x14ac:dyDescent="0.2">
      <c r="A657" s="151" t="s">
        <v>7645</v>
      </c>
      <c r="B657" s="152" t="s">
        <v>2705</v>
      </c>
      <c r="C657" s="152" t="s">
        <v>2705</v>
      </c>
      <c r="D657" s="152" t="s">
        <v>2705</v>
      </c>
      <c r="E657" s="152" t="s">
        <v>2705</v>
      </c>
      <c r="F657" s="152" t="s">
        <v>2398</v>
      </c>
      <c r="G657" s="152" t="s">
        <v>2675</v>
      </c>
      <c r="H657" s="152" t="s">
        <v>2675</v>
      </c>
      <c r="I657" s="152" t="s">
        <v>2705</v>
      </c>
      <c r="J657" s="152" t="s">
        <v>2705</v>
      </c>
      <c r="K657" s="152" t="s">
        <v>2705</v>
      </c>
      <c r="L657" s="152" t="s">
        <v>1435</v>
      </c>
      <c r="M657" s="152" t="s">
        <v>2398</v>
      </c>
      <c r="N657" s="152" t="s">
        <v>2705</v>
      </c>
      <c r="O657" s="152" t="s">
        <v>2705</v>
      </c>
      <c r="P657" s="152" t="s">
        <v>2705</v>
      </c>
      <c r="Q657" s="152" t="s">
        <v>2705</v>
      </c>
      <c r="R657" s="152" t="s">
        <v>1435</v>
      </c>
      <c r="S657" s="152" t="s">
        <v>2705</v>
      </c>
      <c r="T657" s="152" t="s">
        <v>2705</v>
      </c>
      <c r="U657" s="152" t="s">
        <v>2398</v>
      </c>
    </row>
    <row r="658" spans="1:21" s="142" customFormat="1" ht="12.75" x14ac:dyDescent="0.2">
      <c r="A658" s="151"/>
      <c r="B658" s="152" t="s">
        <v>2398</v>
      </c>
      <c r="C658" s="152" t="s">
        <v>2675</v>
      </c>
      <c r="D658" s="152" t="s">
        <v>1435</v>
      </c>
      <c r="E658" s="152" t="s">
        <v>2675</v>
      </c>
      <c r="F658" s="152" t="s">
        <v>2675</v>
      </c>
      <c r="G658" s="152" t="s">
        <v>2398</v>
      </c>
      <c r="H658" s="152" t="s">
        <v>1435</v>
      </c>
      <c r="I658" s="152" t="s">
        <v>2398</v>
      </c>
      <c r="J658" s="152" t="s">
        <v>2705</v>
      </c>
      <c r="K658" s="152" t="s">
        <v>2705</v>
      </c>
      <c r="L658" s="152" t="s">
        <v>2398</v>
      </c>
      <c r="M658" s="152" t="s">
        <v>2705</v>
      </c>
      <c r="N658" s="152" t="s">
        <v>2675</v>
      </c>
      <c r="O658" s="152" t="s">
        <v>2705</v>
      </c>
      <c r="P658" s="152" t="s">
        <v>2398</v>
      </c>
      <c r="Q658" s="152" t="s">
        <v>2705</v>
      </c>
      <c r="R658" s="152" t="s">
        <v>1435</v>
      </c>
      <c r="S658" s="152" t="s">
        <v>2397</v>
      </c>
      <c r="T658" s="152" t="s">
        <v>2705</v>
      </c>
      <c r="U658" s="152" t="s">
        <v>2398</v>
      </c>
    </row>
    <row r="659" spans="1:21" s="142" customFormat="1" ht="12.75" customHeight="1" x14ac:dyDescent="0.2">
      <c r="A659" s="151" t="s">
        <v>7646</v>
      </c>
      <c r="B659" s="152" t="s">
        <v>2705</v>
      </c>
      <c r="C659" s="152" t="s">
        <v>2398</v>
      </c>
      <c r="D659" s="152" t="s">
        <v>1435</v>
      </c>
      <c r="E659" s="152" t="s">
        <v>2675</v>
      </c>
      <c r="F659" s="152" t="s">
        <v>2705</v>
      </c>
      <c r="G659" s="152" t="s">
        <v>2705</v>
      </c>
      <c r="H659" s="152" t="s">
        <v>2675</v>
      </c>
      <c r="I659" s="152" t="s">
        <v>2398</v>
      </c>
      <c r="J659" s="152" t="s">
        <v>2398</v>
      </c>
      <c r="K659" s="152" t="s">
        <v>2397</v>
      </c>
      <c r="L659" s="152" t="s">
        <v>2398</v>
      </c>
      <c r="M659" s="152" t="s">
        <v>2705</v>
      </c>
      <c r="N659" s="152" t="s">
        <v>1435</v>
      </c>
      <c r="O659" s="152" t="s">
        <v>2705</v>
      </c>
      <c r="P659" s="152" t="s">
        <v>2705</v>
      </c>
      <c r="Q659" s="152" t="s">
        <v>2705</v>
      </c>
      <c r="R659" s="152" t="s">
        <v>2705</v>
      </c>
      <c r="S659" s="152" t="s">
        <v>2705</v>
      </c>
      <c r="T659" s="152" t="s">
        <v>2398</v>
      </c>
      <c r="U659" s="152" t="s">
        <v>2398</v>
      </c>
    </row>
    <row r="660" spans="1:21" s="142" customFormat="1" ht="12.75" x14ac:dyDescent="0.2">
      <c r="A660" s="151"/>
      <c r="B660" s="152" t="s">
        <v>1435</v>
      </c>
      <c r="C660" s="152" t="s">
        <v>2398</v>
      </c>
      <c r="D660" s="152" t="s">
        <v>1435</v>
      </c>
      <c r="E660" s="152" t="s">
        <v>2675</v>
      </c>
      <c r="F660" s="152" t="s">
        <v>2705</v>
      </c>
      <c r="G660" s="152" t="s">
        <v>1435</v>
      </c>
      <c r="H660" s="152" t="s">
        <v>2705</v>
      </c>
      <c r="I660" s="152" t="s">
        <v>2398</v>
      </c>
      <c r="J660" s="152" t="s">
        <v>2397</v>
      </c>
      <c r="K660" s="152" t="s">
        <v>2398</v>
      </c>
      <c r="L660" s="152" t="s">
        <v>2397</v>
      </c>
      <c r="M660" s="152" t="s">
        <v>2705</v>
      </c>
      <c r="N660" s="152" t="s">
        <v>2705</v>
      </c>
      <c r="O660" s="152" t="s">
        <v>2705</v>
      </c>
      <c r="P660" s="152" t="s">
        <v>2675</v>
      </c>
      <c r="Q660" s="152" t="s">
        <v>2398</v>
      </c>
      <c r="R660" s="152" t="s">
        <v>2705</v>
      </c>
      <c r="S660" s="152" t="s">
        <v>2705</v>
      </c>
      <c r="T660" s="152" t="s">
        <v>2397</v>
      </c>
      <c r="U660" s="152" t="s">
        <v>2675</v>
      </c>
    </row>
    <row r="661" spans="1:21" s="142" customFormat="1" ht="12.75" customHeight="1" x14ac:dyDescent="0.2">
      <c r="A661" s="151" t="s">
        <v>7647</v>
      </c>
      <c r="B661" s="152" t="s">
        <v>2398</v>
      </c>
      <c r="C661" s="152" t="s">
        <v>2705</v>
      </c>
      <c r="D661" s="152" t="s">
        <v>2705</v>
      </c>
      <c r="E661" s="152" t="s">
        <v>2705</v>
      </c>
      <c r="F661" s="152" t="s">
        <v>2705</v>
      </c>
      <c r="G661" s="152" t="s">
        <v>2705</v>
      </c>
      <c r="H661" s="152" t="s">
        <v>2705</v>
      </c>
      <c r="I661" s="152" t="s">
        <v>2705</v>
      </c>
      <c r="J661" s="152" t="s">
        <v>2705</v>
      </c>
      <c r="K661" s="152" t="s">
        <v>1435</v>
      </c>
      <c r="L661" s="152" t="s">
        <v>1435</v>
      </c>
      <c r="M661" s="152" t="s">
        <v>2398</v>
      </c>
      <c r="N661" s="152" t="s">
        <v>2705</v>
      </c>
      <c r="O661" s="152" t="s">
        <v>2398</v>
      </c>
      <c r="P661" s="152" t="s">
        <v>2397</v>
      </c>
      <c r="Q661" s="152" t="s">
        <v>2398</v>
      </c>
      <c r="R661" s="152" t="s">
        <v>2397</v>
      </c>
      <c r="S661" s="152" t="s">
        <v>2705</v>
      </c>
      <c r="T661" s="152" t="s">
        <v>1435</v>
      </c>
      <c r="U661" s="152" t="s">
        <v>2398</v>
      </c>
    </row>
    <row r="662" spans="1:21" s="142" customFormat="1" ht="12.75" x14ac:dyDescent="0.2">
      <c r="A662" s="151"/>
      <c r="B662" s="152" t="s">
        <v>2398</v>
      </c>
      <c r="C662" s="152" t="s">
        <v>2705</v>
      </c>
      <c r="D662" s="152" t="s">
        <v>2398</v>
      </c>
      <c r="E662" s="152" t="s">
        <v>2398</v>
      </c>
      <c r="F662" s="152" t="s">
        <v>2398</v>
      </c>
      <c r="G662" s="152" t="s">
        <v>1435</v>
      </c>
      <c r="H662" s="152" t="s">
        <v>1435</v>
      </c>
      <c r="I662" s="152" t="s">
        <v>2705</v>
      </c>
      <c r="J662" s="152" t="s">
        <v>2705</v>
      </c>
      <c r="K662" s="152" t="s">
        <v>2675</v>
      </c>
      <c r="L662" s="152" t="s">
        <v>2705</v>
      </c>
      <c r="M662" s="152" t="s">
        <v>2398</v>
      </c>
      <c r="N662" s="152" t="s">
        <v>2398</v>
      </c>
      <c r="O662" s="152" t="s">
        <v>2705</v>
      </c>
      <c r="P662" s="152" t="s">
        <v>2398</v>
      </c>
      <c r="Q662" s="152" t="s">
        <v>2705</v>
      </c>
      <c r="R662" s="152" t="s">
        <v>2705</v>
      </c>
      <c r="S662" s="152" t="s">
        <v>2705</v>
      </c>
      <c r="T662" s="152" t="s">
        <v>2705</v>
      </c>
      <c r="U662" s="152" t="s">
        <v>2705</v>
      </c>
    </row>
    <row r="663" spans="1:21" s="142" customFormat="1" ht="12.75" customHeight="1" x14ac:dyDescent="0.2">
      <c r="A663" s="151" t="s">
        <v>7648</v>
      </c>
      <c r="B663" s="152" t="s">
        <v>2705</v>
      </c>
      <c r="C663" s="152" t="s">
        <v>2398</v>
      </c>
      <c r="D663" s="152" t="s">
        <v>2398</v>
      </c>
      <c r="E663" s="152" t="s">
        <v>2397</v>
      </c>
      <c r="F663" s="152" t="s">
        <v>2398</v>
      </c>
      <c r="G663" s="152" t="s">
        <v>2398</v>
      </c>
      <c r="H663" s="152" t="s">
        <v>2398</v>
      </c>
      <c r="I663" s="152" t="s">
        <v>2705</v>
      </c>
      <c r="J663" s="152" t="s">
        <v>2398</v>
      </c>
      <c r="K663" s="152" t="s">
        <v>2398</v>
      </c>
      <c r="L663" s="152" t="s">
        <v>2675</v>
      </c>
      <c r="M663" s="152" t="s">
        <v>2705</v>
      </c>
      <c r="N663" s="152" t="s">
        <v>2705</v>
      </c>
      <c r="O663" s="152" t="s">
        <v>2705</v>
      </c>
      <c r="P663" s="152" t="s">
        <v>1435</v>
      </c>
      <c r="Q663" s="152" t="s">
        <v>2675</v>
      </c>
      <c r="R663" s="152" t="s">
        <v>2705</v>
      </c>
      <c r="S663" s="152" t="s">
        <v>2705</v>
      </c>
      <c r="T663" s="152" t="s">
        <v>2398</v>
      </c>
      <c r="U663" s="152" t="s">
        <v>2675</v>
      </c>
    </row>
    <row r="664" spans="1:21" s="142" customFormat="1" ht="12.75" x14ac:dyDescent="0.2">
      <c r="A664" s="151"/>
      <c r="B664" s="152" t="s">
        <v>1435</v>
      </c>
      <c r="C664" s="152" t="s">
        <v>2398</v>
      </c>
      <c r="D664" s="152" t="s">
        <v>2705</v>
      </c>
      <c r="E664" s="152" t="s">
        <v>2675</v>
      </c>
      <c r="F664" s="152" t="s">
        <v>2705</v>
      </c>
      <c r="G664" s="152" t="s">
        <v>2705</v>
      </c>
      <c r="H664" s="152" t="s">
        <v>2705</v>
      </c>
      <c r="I664" s="152" t="s">
        <v>2398</v>
      </c>
      <c r="J664" s="152" t="s">
        <v>2398</v>
      </c>
      <c r="K664" s="152" t="s">
        <v>2705</v>
      </c>
      <c r="L664" s="152" t="s">
        <v>2398</v>
      </c>
      <c r="M664" s="152" t="s">
        <v>2705</v>
      </c>
      <c r="N664" s="152" t="s">
        <v>2705</v>
      </c>
      <c r="O664" s="152" t="s">
        <v>1435</v>
      </c>
      <c r="P664" s="152" t="s">
        <v>2675</v>
      </c>
      <c r="Q664" s="152" t="s">
        <v>2398</v>
      </c>
      <c r="R664" s="152" t="s">
        <v>1435</v>
      </c>
      <c r="S664" s="152" t="s">
        <v>2705</v>
      </c>
      <c r="T664" s="152" t="s">
        <v>2705</v>
      </c>
      <c r="U664" s="152" t="s">
        <v>2398</v>
      </c>
    </row>
    <row r="665" spans="1:21" s="142" customFormat="1" ht="12.75" customHeight="1" x14ac:dyDescent="0.2">
      <c r="A665" s="151" t="s">
        <v>7649</v>
      </c>
      <c r="B665" s="152" t="s">
        <v>1435</v>
      </c>
      <c r="C665" s="152" t="s">
        <v>2705</v>
      </c>
      <c r="D665" s="152" t="s">
        <v>2398</v>
      </c>
      <c r="E665" s="152" t="s">
        <v>2398</v>
      </c>
      <c r="F665" s="152" t="s">
        <v>2705</v>
      </c>
      <c r="G665" s="152" t="s">
        <v>2398</v>
      </c>
      <c r="H665" s="152" t="s">
        <v>2705</v>
      </c>
      <c r="I665" s="152" t="s">
        <v>2398</v>
      </c>
      <c r="J665" s="152" t="s">
        <v>2705</v>
      </c>
      <c r="K665" s="152" t="s">
        <v>2705</v>
      </c>
      <c r="L665" s="152" t="s">
        <v>2705</v>
      </c>
      <c r="M665" s="152" t="s">
        <v>2398</v>
      </c>
      <c r="N665" s="152" t="s">
        <v>2705</v>
      </c>
      <c r="O665" s="152" t="s">
        <v>2705</v>
      </c>
      <c r="P665" s="152" t="s">
        <v>2675</v>
      </c>
      <c r="Q665" s="152" t="s">
        <v>2398</v>
      </c>
      <c r="R665" s="152" t="s">
        <v>2398</v>
      </c>
      <c r="S665" s="152" t="s">
        <v>2705</v>
      </c>
      <c r="T665" s="152" t="s">
        <v>1435</v>
      </c>
      <c r="U665" s="152" t="s">
        <v>2398</v>
      </c>
    </row>
    <row r="666" spans="1:21" s="142" customFormat="1" ht="12.75" x14ac:dyDescent="0.2">
      <c r="A666" s="151"/>
      <c r="B666" s="152" t="s">
        <v>2397</v>
      </c>
      <c r="C666" s="152" t="s">
        <v>2398</v>
      </c>
      <c r="D666" s="152" t="s">
        <v>2705</v>
      </c>
      <c r="E666" s="152" t="s">
        <v>2675</v>
      </c>
      <c r="F666" s="152" t="s">
        <v>2705</v>
      </c>
      <c r="G666" s="152" t="s">
        <v>1435</v>
      </c>
      <c r="H666" s="152" t="s">
        <v>2398</v>
      </c>
      <c r="I666" s="152" t="s">
        <v>2705</v>
      </c>
      <c r="J666" s="152" t="s">
        <v>2398</v>
      </c>
      <c r="K666" s="152" t="s">
        <v>2398</v>
      </c>
      <c r="L666" s="152" t="s">
        <v>2398</v>
      </c>
      <c r="M666" s="152" t="s">
        <v>1435</v>
      </c>
      <c r="N666" s="152" t="s">
        <v>2398</v>
      </c>
      <c r="O666" s="152" t="s">
        <v>2705</v>
      </c>
      <c r="P666" s="152" t="s">
        <v>1435</v>
      </c>
      <c r="Q666" s="152" t="s">
        <v>2705</v>
      </c>
      <c r="R666" s="152" t="s">
        <v>2397</v>
      </c>
      <c r="S666" s="152" t="s">
        <v>2675</v>
      </c>
      <c r="T666" s="152" t="s">
        <v>2705</v>
      </c>
      <c r="U666" s="152" t="s">
        <v>2397</v>
      </c>
    </row>
    <row r="667" spans="1:21" s="142" customFormat="1" ht="12.75" customHeight="1" x14ac:dyDescent="0.2">
      <c r="A667" s="151" t="s">
        <v>7650</v>
      </c>
      <c r="B667" s="152" t="s">
        <v>2705</v>
      </c>
      <c r="C667" s="152" t="s">
        <v>2397</v>
      </c>
      <c r="D667" s="152" t="s">
        <v>2705</v>
      </c>
      <c r="E667" s="152" t="s">
        <v>2398</v>
      </c>
      <c r="F667" s="152" t="s">
        <v>2398</v>
      </c>
      <c r="G667" s="152" t="s">
        <v>2398</v>
      </c>
      <c r="H667" s="152" t="s">
        <v>2398</v>
      </c>
      <c r="I667" s="152" t="s">
        <v>2398</v>
      </c>
      <c r="J667" s="152" t="s">
        <v>2398</v>
      </c>
      <c r="K667" s="152" t="s">
        <v>2705</v>
      </c>
      <c r="L667" s="152" t="s">
        <v>1435</v>
      </c>
      <c r="M667" s="152" t="s">
        <v>2705</v>
      </c>
      <c r="N667" s="152" t="s">
        <v>2705</v>
      </c>
      <c r="O667" s="152" t="s">
        <v>2398</v>
      </c>
      <c r="P667" s="152" t="s">
        <v>2397</v>
      </c>
      <c r="Q667" s="152" t="s">
        <v>1435</v>
      </c>
      <c r="R667" s="152" t="s">
        <v>2675</v>
      </c>
      <c r="S667" s="152" t="s">
        <v>2705</v>
      </c>
      <c r="T667" s="152" t="s">
        <v>2705</v>
      </c>
      <c r="U667" s="152" t="s">
        <v>2705</v>
      </c>
    </row>
    <row r="668" spans="1:21" s="142" customFormat="1" ht="12.75" x14ac:dyDescent="0.2">
      <c r="A668" s="151"/>
      <c r="B668" s="152" t="s">
        <v>2705</v>
      </c>
      <c r="C668" s="152" t="s">
        <v>2705</v>
      </c>
      <c r="D668" s="152" t="s">
        <v>2675</v>
      </c>
      <c r="E668" s="152" t="s">
        <v>2398</v>
      </c>
      <c r="F668" s="152" t="s">
        <v>2705</v>
      </c>
      <c r="G668" s="152" t="s">
        <v>2675</v>
      </c>
      <c r="H668" s="152" t="s">
        <v>2398</v>
      </c>
      <c r="I668" s="152" t="s">
        <v>2705</v>
      </c>
      <c r="J668" s="152" t="s">
        <v>2705</v>
      </c>
      <c r="K668" s="152" t="s">
        <v>2675</v>
      </c>
      <c r="L668" s="152" t="s">
        <v>2398</v>
      </c>
      <c r="M668" s="152" t="s">
        <v>2675</v>
      </c>
      <c r="N668" s="152" t="s">
        <v>2398</v>
      </c>
      <c r="O668" s="152" t="s">
        <v>2705</v>
      </c>
      <c r="P668" s="152" t="s">
        <v>2705</v>
      </c>
      <c r="Q668" s="152" t="s">
        <v>2705</v>
      </c>
      <c r="R668" s="152" t="s">
        <v>2398</v>
      </c>
      <c r="S668" s="152" t="s">
        <v>2398</v>
      </c>
      <c r="T668" s="152" t="s">
        <v>2705</v>
      </c>
      <c r="U668" s="152" t="s">
        <v>2398</v>
      </c>
    </row>
    <row r="669" spans="1:21" s="142" customFormat="1" ht="12.75" customHeight="1" x14ac:dyDescent="0.2">
      <c r="A669" s="151" t="s">
        <v>7651</v>
      </c>
      <c r="B669" s="152" t="s">
        <v>2705</v>
      </c>
      <c r="C669" s="152" t="s">
        <v>2705</v>
      </c>
      <c r="D669" s="152" t="s">
        <v>2705</v>
      </c>
      <c r="E669" s="152" t="s">
        <v>2705</v>
      </c>
      <c r="F669" s="152" t="s">
        <v>2705</v>
      </c>
      <c r="G669" s="152" t="s">
        <v>2398</v>
      </c>
      <c r="H669" s="152" t="s">
        <v>2705</v>
      </c>
      <c r="I669" s="152" t="s">
        <v>2398</v>
      </c>
      <c r="J669" s="152" t="s">
        <v>2398</v>
      </c>
      <c r="K669" s="152" t="s">
        <v>2398</v>
      </c>
      <c r="L669" s="152" t="s">
        <v>2705</v>
      </c>
      <c r="M669" s="152" t="s">
        <v>2705</v>
      </c>
      <c r="N669" s="152" t="s">
        <v>2675</v>
      </c>
      <c r="O669" s="152" t="s">
        <v>1435</v>
      </c>
      <c r="P669" s="152" t="s">
        <v>2398</v>
      </c>
      <c r="Q669" s="152" t="s">
        <v>1435</v>
      </c>
      <c r="R669" s="152" t="s">
        <v>2397</v>
      </c>
      <c r="S669" s="152" t="s">
        <v>2675</v>
      </c>
      <c r="T669" s="152" t="s">
        <v>2705</v>
      </c>
      <c r="U669" s="152" t="s">
        <v>2675</v>
      </c>
    </row>
    <row r="670" spans="1:21" s="142" customFormat="1" ht="12.75" x14ac:dyDescent="0.2">
      <c r="A670" s="151"/>
      <c r="B670" s="152" t="s">
        <v>2675</v>
      </c>
      <c r="C670" s="152" t="s">
        <v>2398</v>
      </c>
      <c r="D670" s="152" t="s">
        <v>2398</v>
      </c>
      <c r="E670" s="152" t="s">
        <v>1435</v>
      </c>
      <c r="F670" s="152" t="s">
        <v>2705</v>
      </c>
      <c r="G670" s="152" t="s">
        <v>1435</v>
      </c>
      <c r="H670" s="152" t="s">
        <v>2705</v>
      </c>
      <c r="I670" s="152" t="s">
        <v>2705</v>
      </c>
      <c r="J670" s="152" t="s">
        <v>2675</v>
      </c>
      <c r="K670" s="152" t="s">
        <v>2398</v>
      </c>
      <c r="L670" s="152" t="s">
        <v>2705</v>
      </c>
      <c r="M670" s="152" t="s">
        <v>2705</v>
      </c>
      <c r="N670" s="152" t="s">
        <v>2398</v>
      </c>
      <c r="O670" s="152" t="s">
        <v>2705</v>
      </c>
      <c r="P670" s="152" t="s">
        <v>2398</v>
      </c>
      <c r="Q670" s="152" t="s">
        <v>2705</v>
      </c>
      <c r="R670" s="152" t="s">
        <v>2705</v>
      </c>
      <c r="S670" s="152" t="s">
        <v>2705</v>
      </c>
      <c r="T670" s="152" t="s">
        <v>2398</v>
      </c>
      <c r="U670" s="152" t="s">
        <v>2398</v>
      </c>
    </row>
    <row r="671" spans="1:21" s="142" customFormat="1" ht="12.75" customHeight="1" x14ac:dyDescent="0.2">
      <c r="A671" s="151" t="s">
        <v>7652</v>
      </c>
      <c r="B671" s="152" t="s">
        <v>2398</v>
      </c>
      <c r="C671" s="152" t="s">
        <v>2705</v>
      </c>
      <c r="D671" s="152" t="s">
        <v>2705</v>
      </c>
      <c r="E671" s="152" t="s">
        <v>2398</v>
      </c>
      <c r="F671" s="152" t="s">
        <v>2705</v>
      </c>
      <c r="G671" s="152" t="s">
        <v>2705</v>
      </c>
      <c r="H671" s="152" t="s">
        <v>2398</v>
      </c>
      <c r="I671" s="152" t="s">
        <v>1435</v>
      </c>
      <c r="J671" s="152" t="s">
        <v>2705</v>
      </c>
      <c r="K671" s="152" t="s">
        <v>2705</v>
      </c>
      <c r="L671" s="152" t="s">
        <v>2398</v>
      </c>
      <c r="M671" s="152" t="s">
        <v>2398</v>
      </c>
      <c r="N671" s="152" t="s">
        <v>2705</v>
      </c>
      <c r="O671" s="152" t="s">
        <v>2398</v>
      </c>
      <c r="P671" s="152" t="s">
        <v>2705</v>
      </c>
      <c r="Q671" s="152" t="s">
        <v>2705</v>
      </c>
      <c r="R671" s="152" t="s">
        <v>2397</v>
      </c>
      <c r="S671" s="152" t="s">
        <v>2398</v>
      </c>
      <c r="T671" s="152" t="s">
        <v>2705</v>
      </c>
      <c r="U671" s="152" t="s">
        <v>2398</v>
      </c>
    </row>
    <row r="672" spans="1:21" s="142" customFormat="1" ht="12.75" x14ac:dyDescent="0.2">
      <c r="A672" s="151"/>
      <c r="B672" s="152" t="s">
        <v>2397</v>
      </c>
      <c r="C672" s="152" t="s">
        <v>1435</v>
      </c>
      <c r="D672" s="152" t="s">
        <v>2705</v>
      </c>
      <c r="E672" s="152" t="s">
        <v>2398</v>
      </c>
      <c r="F672" s="152" t="s">
        <v>2675</v>
      </c>
      <c r="G672" s="152" t="s">
        <v>2398</v>
      </c>
      <c r="H672" s="152" t="s">
        <v>2705</v>
      </c>
      <c r="I672" s="152" t="s">
        <v>2705</v>
      </c>
      <c r="J672" s="152" t="s">
        <v>2705</v>
      </c>
      <c r="K672" s="152" t="s">
        <v>2705</v>
      </c>
      <c r="L672" s="152" t="s">
        <v>2705</v>
      </c>
      <c r="M672" s="152" t="s">
        <v>2398</v>
      </c>
      <c r="N672" s="152" t="s">
        <v>2705</v>
      </c>
      <c r="O672" s="152" t="s">
        <v>2705</v>
      </c>
      <c r="P672" s="152" t="s">
        <v>2705</v>
      </c>
      <c r="Q672" s="152" t="s">
        <v>2705</v>
      </c>
      <c r="R672" s="152" t="s">
        <v>2398</v>
      </c>
      <c r="S672" s="152" t="s">
        <v>2675</v>
      </c>
      <c r="T672" s="152" t="s">
        <v>2705</v>
      </c>
      <c r="U672" s="152" t="s">
        <v>2705</v>
      </c>
    </row>
    <row r="673" spans="1:21" s="142" customFormat="1" ht="12.75" customHeight="1" x14ac:dyDescent="0.2">
      <c r="A673" s="151" t="s">
        <v>7653</v>
      </c>
      <c r="B673" s="152" t="s">
        <v>2398</v>
      </c>
      <c r="C673" s="152" t="s">
        <v>1435</v>
      </c>
      <c r="D673" s="152" t="s">
        <v>2705</v>
      </c>
      <c r="E673" s="152" t="s">
        <v>2397</v>
      </c>
      <c r="F673" s="152" t="s">
        <v>1435</v>
      </c>
      <c r="G673" s="152" t="s">
        <v>2705</v>
      </c>
      <c r="H673" s="152" t="s">
        <v>2398</v>
      </c>
      <c r="I673" s="152" t="s">
        <v>2705</v>
      </c>
      <c r="J673" s="152" t="s">
        <v>2675</v>
      </c>
      <c r="K673" s="152" t="s">
        <v>2705</v>
      </c>
      <c r="L673" s="152" t="s">
        <v>2705</v>
      </c>
      <c r="M673" s="152" t="s">
        <v>2675</v>
      </c>
      <c r="N673" s="152" t="s">
        <v>1435</v>
      </c>
      <c r="O673" s="152" t="s">
        <v>2705</v>
      </c>
      <c r="P673" s="152" t="s">
        <v>2705</v>
      </c>
      <c r="Q673" s="152" t="s">
        <v>2675</v>
      </c>
      <c r="R673" s="152" t="s">
        <v>2398</v>
      </c>
      <c r="S673" s="152" t="s">
        <v>2398</v>
      </c>
      <c r="T673" s="152" t="s">
        <v>1435</v>
      </c>
      <c r="U673" s="152" t="s">
        <v>2397</v>
      </c>
    </row>
    <row r="674" spans="1:21" s="142" customFormat="1" ht="12.75" x14ac:dyDescent="0.2">
      <c r="A674" s="151"/>
      <c r="B674" s="152" t="s">
        <v>2705</v>
      </c>
      <c r="C674" s="152" t="s">
        <v>2397</v>
      </c>
      <c r="D674" s="152" t="s">
        <v>2705</v>
      </c>
      <c r="E674" s="152" t="s">
        <v>2705</v>
      </c>
      <c r="F674" s="152" t="s">
        <v>2398</v>
      </c>
      <c r="G674" s="152" t="s">
        <v>1435</v>
      </c>
      <c r="H674" s="152" t="s">
        <v>2705</v>
      </c>
      <c r="I674" s="152" t="s">
        <v>1435</v>
      </c>
      <c r="J674" s="152" t="s">
        <v>2397</v>
      </c>
      <c r="K674" s="152" t="s">
        <v>1435</v>
      </c>
      <c r="L674" s="152" t="s">
        <v>2397</v>
      </c>
      <c r="M674" s="152" t="s">
        <v>2705</v>
      </c>
      <c r="N674" s="152" t="s">
        <v>2398</v>
      </c>
      <c r="O674" s="152" t="s">
        <v>2705</v>
      </c>
      <c r="P674" s="152" t="s">
        <v>1435</v>
      </c>
      <c r="Q674" s="152" t="s">
        <v>2705</v>
      </c>
      <c r="R674" s="152" t="s">
        <v>1435</v>
      </c>
      <c r="S674" s="152" t="s">
        <v>2705</v>
      </c>
      <c r="T674" s="152" t="s">
        <v>2675</v>
      </c>
      <c r="U674" s="152" t="s">
        <v>2397</v>
      </c>
    </row>
    <row r="675" spans="1:21" s="142" customFormat="1" ht="12.75" customHeight="1" x14ac:dyDescent="0.2">
      <c r="A675" s="151" t="s">
        <v>7654</v>
      </c>
      <c r="B675" s="152" t="s">
        <v>1435</v>
      </c>
      <c r="C675" s="152" t="s">
        <v>2398</v>
      </c>
      <c r="D675" s="152" t="s">
        <v>2705</v>
      </c>
      <c r="E675" s="152" t="s">
        <v>2705</v>
      </c>
      <c r="F675" s="152" t="s">
        <v>2705</v>
      </c>
      <c r="G675" s="152" t="s">
        <v>2705</v>
      </c>
      <c r="H675" s="152" t="s">
        <v>2398</v>
      </c>
      <c r="I675" s="152" t="s">
        <v>2705</v>
      </c>
      <c r="J675" s="152" t="s">
        <v>2398</v>
      </c>
      <c r="K675" s="152" t="s">
        <v>2705</v>
      </c>
      <c r="L675" s="152" t="s">
        <v>2705</v>
      </c>
      <c r="M675" s="152" t="s">
        <v>2705</v>
      </c>
      <c r="N675" s="152" t="s">
        <v>2705</v>
      </c>
      <c r="O675" s="152" t="s">
        <v>2705</v>
      </c>
      <c r="P675" s="152" t="s">
        <v>2398</v>
      </c>
      <c r="Q675" s="152" t="s">
        <v>2675</v>
      </c>
      <c r="R675" s="152" t="s">
        <v>2398</v>
      </c>
      <c r="S675" s="152" t="s">
        <v>2398</v>
      </c>
      <c r="T675" s="152" t="s">
        <v>2398</v>
      </c>
      <c r="U675" s="152" t="s">
        <v>2398</v>
      </c>
    </row>
    <row r="676" spans="1:21" s="142" customFormat="1" ht="12.75" x14ac:dyDescent="0.2">
      <c r="A676" s="151"/>
      <c r="B676" s="152" t="s">
        <v>2398</v>
      </c>
      <c r="C676" s="152" t="s">
        <v>2705</v>
      </c>
      <c r="D676" s="152" t="s">
        <v>2705</v>
      </c>
      <c r="E676" s="152" t="s">
        <v>2398</v>
      </c>
      <c r="F676" s="152" t="s">
        <v>2705</v>
      </c>
      <c r="G676" s="152" t="s">
        <v>2398</v>
      </c>
      <c r="H676" s="152" t="s">
        <v>2398</v>
      </c>
      <c r="I676" s="152" t="s">
        <v>2705</v>
      </c>
      <c r="J676" s="152" t="s">
        <v>2705</v>
      </c>
      <c r="K676" s="152" t="s">
        <v>2705</v>
      </c>
      <c r="L676" s="152" t="s">
        <v>2398</v>
      </c>
      <c r="M676" s="152" t="s">
        <v>2705</v>
      </c>
      <c r="N676" s="152" t="s">
        <v>2398</v>
      </c>
      <c r="O676" s="152" t="s">
        <v>2705</v>
      </c>
      <c r="P676" s="152" t="s">
        <v>2705</v>
      </c>
      <c r="Q676" s="152" t="s">
        <v>2398</v>
      </c>
      <c r="R676" s="152" t="s">
        <v>2398</v>
      </c>
      <c r="S676" s="152" t="s">
        <v>2705</v>
      </c>
      <c r="T676" s="152" t="s">
        <v>2705</v>
      </c>
      <c r="U676" s="152" t="s">
        <v>2705</v>
      </c>
    </row>
    <row r="677" spans="1:21" s="142" customFormat="1" ht="12.75" customHeight="1" x14ac:dyDescent="0.2">
      <c r="A677" s="151" t="s">
        <v>7655</v>
      </c>
      <c r="B677" s="152" t="s">
        <v>2398</v>
      </c>
      <c r="C677" s="152" t="s">
        <v>2705</v>
      </c>
      <c r="D677" s="152" t="s">
        <v>2398</v>
      </c>
      <c r="E677" s="152" t="s">
        <v>2705</v>
      </c>
      <c r="F677" s="152" t="s">
        <v>1435</v>
      </c>
      <c r="G677" s="152" t="s">
        <v>2705</v>
      </c>
      <c r="H677" s="152" t="s">
        <v>2705</v>
      </c>
      <c r="I677" s="152" t="s">
        <v>2705</v>
      </c>
      <c r="J677" s="152" t="s">
        <v>2675</v>
      </c>
      <c r="K677" s="152" t="s">
        <v>2705</v>
      </c>
      <c r="L677" s="152" t="s">
        <v>2705</v>
      </c>
      <c r="M677" s="152" t="s">
        <v>2398</v>
      </c>
      <c r="N677" s="152" t="s">
        <v>2705</v>
      </c>
      <c r="O677" s="152" t="s">
        <v>1435</v>
      </c>
      <c r="P677" s="152" t="s">
        <v>2398</v>
      </c>
      <c r="Q677" s="152" t="s">
        <v>2398</v>
      </c>
      <c r="R677" s="152" t="s">
        <v>2705</v>
      </c>
      <c r="S677" s="152" t="s">
        <v>2398</v>
      </c>
      <c r="T677" s="152" t="s">
        <v>2398</v>
      </c>
      <c r="U677" s="152" t="s">
        <v>2398</v>
      </c>
    </row>
    <row r="678" spans="1:21" s="142" customFormat="1" ht="12.75" x14ac:dyDescent="0.2">
      <c r="A678" s="151"/>
      <c r="B678" s="152" t="s">
        <v>2705</v>
      </c>
      <c r="C678" s="152" t="s">
        <v>2398</v>
      </c>
      <c r="D678" s="152" t="s">
        <v>2705</v>
      </c>
      <c r="E678" s="152" t="s">
        <v>2398</v>
      </c>
      <c r="F678" s="152" t="s">
        <v>2705</v>
      </c>
      <c r="G678" s="152" t="s">
        <v>2398</v>
      </c>
      <c r="H678" s="152" t="s">
        <v>2705</v>
      </c>
      <c r="I678" s="152" t="s">
        <v>2705</v>
      </c>
      <c r="J678" s="152" t="s">
        <v>2705</v>
      </c>
      <c r="K678" s="152" t="s">
        <v>2705</v>
      </c>
      <c r="L678" s="152" t="s">
        <v>2398</v>
      </c>
      <c r="M678" s="152" t="s">
        <v>2705</v>
      </c>
      <c r="N678" s="152" t="s">
        <v>2398</v>
      </c>
      <c r="O678" s="152" t="s">
        <v>2398</v>
      </c>
      <c r="P678" s="152" t="s">
        <v>2398</v>
      </c>
      <c r="Q678" s="152" t="s">
        <v>2705</v>
      </c>
      <c r="R678" s="152" t="s">
        <v>2398</v>
      </c>
      <c r="S678" s="152" t="s">
        <v>2397</v>
      </c>
      <c r="T678" s="152" t="s">
        <v>2705</v>
      </c>
      <c r="U678" s="152" t="s">
        <v>2705</v>
      </c>
    </row>
    <row r="679" spans="1:21" s="142" customFormat="1" ht="12.75" customHeight="1" x14ac:dyDescent="0.2">
      <c r="A679" s="151" t="s">
        <v>7656</v>
      </c>
      <c r="B679" s="152" t="s">
        <v>2705</v>
      </c>
      <c r="C679" s="152" t="s">
        <v>2705</v>
      </c>
      <c r="D679" s="152" t="s">
        <v>2705</v>
      </c>
      <c r="E679" s="152" t="s">
        <v>2675</v>
      </c>
      <c r="F679" s="152" t="s">
        <v>2705</v>
      </c>
      <c r="G679" s="152" t="s">
        <v>2705</v>
      </c>
      <c r="H679" s="152" t="s">
        <v>2705</v>
      </c>
      <c r="I679" s="152" t="s">
        <v>2705</v>
      </c>
      <c r="J679" s="152" t="s">
        <v>2705</v>
      </c>
      <c r="K679" s="152" t="s">
        <v>1435</v>
      </c>
      <c r="L679" s="152" t="s">
        <v>2705</v>
      </c>
      <c r="M679" s="152" t="s">
        <v>2705</v>
      </c>
      <c r="N679" s="152" t="s">
        <v>1435</v>
      </c>
      <c r="O679" s="152" t="s">
        <v>2398</v>
      </c>
      <c r="P679" s="152" t="s">
        <v>2705</v>
      </c>
      <c r="Q679" s="152" t="s">
        <v>2705</v>
      </c>
      <c r="R679" s="152" t="s">
        <v>2675</v>
      </c>
      <c r="S679" s="152" t="s">
        <v>2398</v>
      </c>
      <c r="T679" s="152" t="s">
        <v>2705</v>
      </c>
      <c r="U679" s="152" t="s">
        <v>2705</v>
      </c>
    </row>
    <row r="680" spans="1:21" s="142" customFormat="1" ht="12.75" x14ac:dyDescent="0.2">
      <c r="A680" s="151"/>
      <c r="B680" s="152" t="s">
        <v>2705</v>
      </c>
      <c r="C680" s="152" t="s">
        <v>2398</v>
      </c>
      <c r="D680" s="152" t="s">
        <v>2705</v>
      </c>
      <c r="E680" s="152" t="s">
        <v>2675</v>
      </c>
      <c r="F680" s="152" t="s">
        <v>2398</v>
      </c>
      <c r="G680" s="152" t="s">
        <v>2675</v>
      </c>
      <c r="H680" s="152" t="s">
        <v>2705</v>
      </c>
      <c r="I680" s="152" t="s">
        <v>2705</v>
      </c>
      <c r="J680" s="152" t="s">
        <v>2705</v>
      </c>
      <c r="K680" s="152" t="s">
        <v>2705</v>
      </c>
      <c r="L680" s="152" t="s">
        <v>2398</v>
      </c>
      <c r="M680" s="152" t="s">
        <v>2398</v>
      </c>
      <c r="N680" s="152" t="s">
        <v>2398</v>
      </c>
      <c r="O680" s="152" t="s">
        <v>2705</v>
      </c>
      <c r="P680" s="152" t="s">
        <v>2705</v>
      </c>
      <c r="Q680" s="152" t="s">
        <v>2398</v>
      </c>
      <c r="R680" s="152" t="s">
        <v>2398</v>
      </c>
      <c r="S680" s="152" t="s">
        <v>2705</v>
      </c>
      <c r="T680" s="152" t="s">
        <v>2398</v>
      </c>
      <c r="U680" s="152" t="s">
        <v>2398</v>
      </c>
    </row>
    <row r="681" spans="1:21" s="142" customFormat="1" ht="12.75" customHeight="1" x14ac:dyDescent="0.2">
      <c r="A681" s="151" t="s">
        <v>7657</v>
      </c>
      <c r="B681" s="152" t="s">
        <v>2705</v>
      </c>
      <c r="C681" s="152" t="s">
        <v>2398</v>
      </c>
      <c r="D681" s="152" t="s">
        <v>2705</v>
      </c>
      <c r="E681" s="152" t="s">
        <v>2705</v>
      </c>
      <c r="F681" s="152" t="s">
        <v>2705</v>
      </c>
      <c r="G681" s="152" t="s">
        <v>1435</v>
      </c>
      <c r="H681" s="152" t="s">
        <v>2675</v>
      </c>
      <c r="I681" s="152" t="s">
        <v>2705</v>
      </c>
      <c r="J681" s="152" t="s">
        <v>2675</v>
      </c>
      <c r="K681" s="152" t="s">
        <v>2705</v>
      </c>
      <c r="L681" s="152" t="s">
        <v>2675</v>
      </c>
      <c r="M681" s="152" t="s">
        <v>2705</v>
      </c>
      <c r="N681" s="152" t="s">
        <v>2705</v>
      </c>
      <c r="O681" s="152" t="s">
        <v>2705</v>
      </c>
      <c r="P681" s="152" t="s">
        <v>2705</v>
      </c>
      <c r="Q681" s="152" t="s">
        <v>2705</v>
      </c>
      <c r="R681" s="152" t="s">
        <v>2705</v>
      </c>
      <c r="S681" s="152" t="s">
        <v>2705</v>
      </c>
      <c r="T681" s="152" t="s">
        <v>2398</v>
      </c>
      <c r="U681" s="152" t="s">
        <v>2705</v>
      </c>
    </row>
    <row r="682" spans="1:21" s="142" customFormat="1" ht="12.75" x14ac:dyDescent="0.2">
      <c r="A682" s="151"/>
      <c r="B682" s="152" t="s">
        <v>2705</v>
      </c>
      <c r="C682" s="152" t="s">
        <v>2675</v>
      </c>
      <c r="D682" s="152" t="s">
        <v>1435</v>
      </c>
      <c r="E682" s="152" t="s">
        <v>1435</v>
      </c>
      <c r="F682" s="152" t="s">
        <v>2705</v>
      </c>
      <c r="G682" s="152" t="s">
        <v>2705</v>
      </c>
      <c r="H682" s="152" t="s">
        <v>2705</v>
      </c>
      <c r="I682" s="152" t="s">
        <v>2705</v>
      </c>
      <c r="J682" s="152" t="s">
        <v>2675</v>
      </c>
      <c r="K682" s="152" t="s">
        <v>2705</v>
      </c>
      <c r="L682" s="152" t="s">
        <v>2705</v>
      </c>
      <c r="M682" s="152" t="s">
        <v>2705</v>
      </c>
      <c r="N682" s="152" t="s">
        <v>2705</v>
      </c>
      <c r="O682" s="152" t="s">
        <v>2705</v>
      </c>
      <c r="P682" s="152" t="s">
        <v>2705</v>
      </c>
      <c r="Q682" s="152" t="s">
        <v>2705</v>
      </c>
      <c r="R682" s="152" t="s">
        <v>2705</v>
      </c>
      <c r="S682" s="152" t="s">
        <v>2705</v>
      </c>
      <c r="T682" s="152" t="s">
        <v>2705</v>
      </c>
      <c r="U682" s="152" t="s">
        <v>2675</v>
      </c>
    </row>
    <row r="683" spans="1:21" s="142" customFormat="1" ht="12.75" customHeight="1" x14ac:dyDescent="0.2">
      <c r="A683" s="151" t="s">
        <v>7658</v>
      </c>
      <c r="B683" s="152" t="s">
        <v>2705</v>
      </c>
      <c r="C683" s="152" t="s">
        <v>2398</v>
      </c>
      <c r="D683" s="152" t="s">
        <v>2398</v>
      </c>
      <c r="E683" s="152" t="s">
        <v>2397</v>
      </c>
      <c r="F683" s="152" t="s">
        <v>1435</v>
      </c>
      <c r="G683" s="152" t="s">
        <v>2398</v>
      </c>
      <c r="H683" s="152" t="s">
        <v>2675</v>
      </c>
      <c r="I683" s="152" t="s">
        <v>2398</v>
      </c>
      <c r="J683" s="152" t="s">
        <v>2705</v>
      </c>
      <c r="K683" s="152" t="s">
        <v>2398</v>
      </c>
      <c r="L683" s="152" t="s">
        <v>2675</v>
      </c>
      <c r="M683" s="152" t="s">
        <v>2675</v>
      </c>
      <c r="N683" s="152" t="s">
        <v>2705</v>
      </c>
      <c r="O683" s="152" t="s">
        <v>1435</v>
      </c>
      <c r="P683" s="152" t="s">
        <v>2398</v>
      </c>
      <c r="Q683" s="152" t="s">
        <v>2675</v>
      </c>
      <c r="R683" s="152" t="s">
        <v>2398</v>
      </c>
      <c r="S683" s="152" t="s">
        <v>2675</v>
      </c>
      <c r="T683" s="152" t="s">
        <v>2675</v>
      </c>
      <c r="U683" s="152" t="s">
        <v>2398</v>
      </c>
    </row>
    <row r="684" spans="1:21" s="142" customFormat="1" ht="12.75" x14ac:dyDescent="0.2">
      <c r="A684" s="151"/>
      <c r="B684" s="152" t="s">
        <v>2398</v>
      </c>
      <c r="C684" s="152" t="s">
        <v>2705</v>
      </c>
      <c r="D684" s="152" t="s">
        <v>1435</v>
      </c>
      <c r="E684" s="152" t="s">
        <v>2675</v>
      </c>
      <c r="F684" s="152" t="s">
        <v>2398</v>
      </c>
      <c r="G684" s="152" t="s">
        <v>2398</v>
      </c>
      <c r="H684" s="152" t="s">
        <v>2675</v>
      </c>
      <c r="I684" s="152" t="s">
        <v>2705</v>
      </c>
      <c r="J684" s="152" t="s">
        <v>2398</v>
      </c>
      <c r="K684" s="152" t="s">
        <v>2398</v>
      </c>
      <c r="L684" s="152" t="s">
        <v>2705</v>
      </c>
      <c r="M684" s="152" t="s">
        <v>2398</v>
      </c>
      <c r="N684" s="152" t="s">
        <v>2705</v>
      </c>
      <c r="O684" s="152" t="s">
        <v>2705</v>
      </c>
      <c r="P684" s="152" t="s">
        <v>2705</v>
      </c>
      <c r="Q684" s="152" t="s">
        <v>2398</v>
      </c>
      <c r="R684" s="152" t="s">
        <v>1435</v>
      </c>
      <c r="S684" s="152" t="s">
        <v>2705</v>
      </c>
      <c r="T684" s="152" t="s">
        <v>2705</v>
      </c>
      <c r="U684" s="152" t="s">
        <v>2398</v>
      </c>
    </row>
    <row r="685" spans="1:21" s="142" customFormat="1" ht="12.75" customHeight="1" x14ac:dyDescent="0.2">
      <c r="A685" s="151" t="s">
        <v>7659</v>
      </c>
      <c r="B685" s="152" t="s">
        <v>2705</v>
      </c>
      <c r="C685" s="152" t="s">
        <v>2705</v>
      </c>
      <c r="D685" s="152" t="s">
        <v>2398</v>
      </c>
      <c r="E685" s="152" t="s">
        <v>2705</v>
      </c>
      <c r="F685" s="152" t="s">
        <v>2705</v>
      </c>
      <c r="G685" s="152" t="s">
        <v>2705</v>
      </c>
      <c r="H685" s="152" t="s">
        <v>2675</v>
      </c>
      <c r="I685" s="152" t="s">
        <v>2398</v>
      </c>
      <c r="J685" s="152" t="s">
        <v>2705</v>
      </c>
      <c r="K685" s="152" t="s">
        <v>2397</v>
      </c>
      <c r="L685" s="152" t="s">
        <v>2398</v>
      </c>
      <c r="M685" s="152" t="s">
        <v>1435</v>
      </c>
      <c r="N685" s="152" t="s">
        <v>2705</v>
      </c>
      <c r="O685" s="152" t="s">
        <v>2705</v>
      </c>
      <c r="P685" s="152" t="s">
        <v>2705</v>
      </c>
      <c r="Q685" s="152" t="s">
        <v>2705</v>
      </c>
      <c r="R685" s="152" t="s">
        <v>2705</v>
      </c>
      <c r="S685" s="152" t="s">
        <v>2705</v>
      </c>
      <c r="T685" s="152" t="s">
        <v>2675</v>
      </c>
      <c r="U685" s="152" t="s">
        <v>2675</v>
      </c>
    </row>
    <row r="686" spans="1:21" s="142" customFormat="1" ht="12.75" x14ac:dyDescent="0.2">
      <c r="A686" s="151"/>
      <c r="B686" s="152" t="s">
        <v>1435</v>
      </c>
      <c r="C686" s="152" t="s">
        <v>2705</v>
      </c>
      <c r="D686" s="152" t="s">
        <v>2705</v>
      </c>
      <c r="E686" s="152" t="s">
        <v>2675</v>
      </c>
      <c r="F686" s="152" t="s">
        <v>2705</v>
      </c>
      <c r="G686" s="152" t="s">
        <v>2398</v>
      </c>
      <c r="H686" s="152" t="s">
        <v>2705</v>
      </c>
      <c r="I686" s="152" t="s">
        <v>2705</v>
      </c>
      <c r="J686" s="152" t="s">
        <v>2705</v>
      </c>
      <c r="K686" s="152" t="s">
        <v>2705</v>
      </c>
      <c r="L686" s="152" t="s">
        <v>2398</v>
      </c>
      <c r="M686" s="152" t="s">
        <v>1435</v>
      </c>
      <c r="N686" s="152" t="s">
        <v>2705</v>
      </c>
      <c r="O686" s="152" t="s">
        <v>2705</v>
      </c>
      <c r="P686" s="152" t="s">
        <v>2398</v>
      </c>
      <c r="Q686" s="152" t="s">
        <v>2705</v>
      </c>
      <c r="R686" s="152" t="s">
        <v>2398</v>
      </c>
      <c r="S686" s="152" t="s">
        <v>2705</v>
      </c>
      <c r="T686" s="152" t="s">
        <v>2705</v>
      </c>
      <c r="U686" s="152" t="s">
        <v>2705</v>
      </c>
    </row>
    <row r="687" spans="1:21" s="142" customFormat="1" ht="12.75" customHeight="1" x14ac:dyDescent="0.2">
      <c r="A687" s="151" t="s">
        <v>7660</v>
      </c>
      <c r="B687" s="152" t="s">
        <v>2675</v>
      </c>
      <c r="C687" s="152" t="s">
        <v>2398</v>
      </c>
      <c r="D687" s="152" t="s">
        <v>2398</v>
      </c>
      <c r="E687" s="152" t="s">
        <v>2705</v>
      </c>
      <c r="F687" s="152" t="s">
        <v>2397</v>
      </c>
      <c r="G687" s="152" t="s">
        <v>2705</v>
      </c>
      <c r="H687" s="152" t="s">
        <v>2398</v>
      </c>
      <c r="I687" s="152" t="s">
        <v>2398</v>
      </c>
      <c r="J687" s="152" t="s">
        <v>2705</v>
      </c>
      <c r="K687" s="152" t="s">
        <v>2398</v>
      </c>
      <c r="L687" s="152" t="s">
        <v>2705</v>
      </c>
      <c r="M687" s="152" t="s">
        <v>2398</v>
      </c>
      <c r="N687" s="152" t="s">
        <v>2398</v>
      </c>
      <c r="O687" s="152" t="s">
        <v>2398</v>
      </c>
      <c r="P687" s="152" t="s">
        <v>2675</v>
      </c>
      <c r="Q687" s="152" t="s">
        <v>2705</v>
      </c>
      <c r="R687" s="152" t="s">
        <v>2398</v>
      </c>
      <c r="S687" s="152" t="s">
        <v>2397</v>
      </c>
      <c r="T687" s="152" t="s">
        <v>2398</v>
      </c>
      <c r="U687" s="152" t="s">
        <v>2398</v>
      </c>
    </row>
    <row r="688" spans="1:21" s="142" customFormat="1" ht="12.75" x14ac:dyDescent="0.2">
      <c r="A688" s="151"/>
      <c r="B688" s="152" t="s">
        <v>2397</v>
      </c>
      <c r="C688" s="152" t="s">
        <v>2675</v>
      </c>
      <c r="D688" s="152" t="s">
        <v>2705</v>
      </c>
      <c r="E688" s="152" t="s">
        <v>2398</v>
      </c>
      <c r="F688" s="152" t="s">
        <v>2675</v>
      </c>
      <c r="G688" s="152" t="s">
        <v>1435</v>
      </c>
      <c r="H688" s="152" t="s">
        <v>2398</v>
      </c>
      <c r="I688" s="152" t="s">
        <v>2705</v>
      </c>
      <c r="J688" s="152" t="s">
        <v>2705</v>
      </c>
      <c r="K688" s="152" t="s">
        <v>2398</v>
      </c>
      <c r="L688" s="152" t="s">
        <v>1435</v>
      </c>
      <c r="M688" s="152" t="s">
        <v>2675</v>
      </c>
      <c r="N688" s="152" t="s">
        <v>2398</v>
      </c>
      <c r="O688" s="152" t="s">
        <v>2398</v>
      </c>
      <c r="P688" s="152" t="s">
        <v>1435</v>
      </c>
      <c r="Q688" s="152" t="s">
        <v>2705</v>
      </c>
      <c r="R688" s="152" t="s">
        <v>2398</v>
      </c>
      <c r="S688" s="152" t="s">
        <v>2705</v>
      </c>
      <c r="T688" s="152" t="s">
        <v>2705</v>
      </c>
      <c r="U688" s="152" t="s">
        <v>2705</v>
      </c>
    </row>
    <row r="689" spans="1:21" s="142" customFormat="1" ht="12.75" customHeight="1" x14ac:dyDescent="0.2">
      <c r="A689" s="151" t="s">
        <v>7661</v>
      </c>
      <c r="B689" s="152" t="s">
        <v>2705</v>
      </c>
      <c r="C689" s="152" t="s">
        <v>2705</v>
      </c>
      <c r="D689" s="152" t="s">
        <v>2398</v>
      </c>
      <c r="E689" s="152" t="s">
        <v>2398</v>
      </c>
      <c r="F689" s="152" t="s">
        <v>2705</v>
      </c>
      <c r="G689" s="152" t="s">
        <v>2705</v>
      </c>
      <c r="H689" s="152" t="s">
        <v>2705</v>
      </c>
      <c r="I689" s="152" t="s">
        <v>2675</v>
      </c>
      <c r="J689" s="152" t="s">
        <v>2675</v>
      </c>
      <c r="K689" s="152" t="s">
        <v>1435</v>
      </c>
      <c r="L689" s="152" t="s">
        <v>1435</v>
      </c>
      <c r="M689" s="152" t="s">
        <v>2705</v>
      </c>
      <c r="N689" s="152" t="s">
        <v>2675</v>
      </c>
      <c r="O689" s="152" t="s">
        <v>2705</v>
      </c>
      <c r="P689" s="152" t="s">
        <v>2705</v>
      </c>
      <c r="Q689" s="152" t="s">
        <v>2705</v>
      </c>
      <c r="R689" s="152" t="s">
        <v>1435</v>
      </c>
      <c r="S689" s="152" t="s">
        <v>2397</v>
      </c>
      <c r="T689" s="152" t="s">
        <v>2705</v>
      </c>
      <c r="U689" s="152" t="s">
        <v>2705</v>
      </c>
    </row>
    <row r="690" spans="1:21" s="142" customFormat="1" ht="12.75" x14ac:dyDescent="0.2">
      <c r="A690" s="151"/>
      <c r="B690" s="152" t="s">
        <v>2398</v>
      </c>
      <c r="C690" s="152" t="s">
        <v>2398</v>
      </c>
      <c r="D690" s="152" t="s">
        <v>2705</v>
      </c>
      <c r="E690" s="152" t="s">
        <v>2705</v>
      </c>
      <c r="F690" s="152" t="s">
        <v>2398</v>
      </c>
      <c r="G690" s="152" t="s">
        <v>2705</v>
      </c>
      <c r="H690" s="152" t="s">
        <v>2398</v>
      </c>
      <c r="I690" s="152" t="s">
        <v>2705</v>
      </c>
      <c r="J690" s="152" t="s">
        <v>2705</v>
      </c>
      <c r="K690" s="152" t="s">
        <v>2705</v>
      </c>
      <c r="L690" s="152" t="s">
        <v>2705</v>
      </c>
      <c r="M690" s="152" t="s">
        <v>2397</v>
      </c>
      <c r="N690" s="152" t="s">
        <v>2705</v>
      </c>
      <c r="O690" s="152" t="s">
        <v>2705</v>
      </c>
      <c r="P690" s="152" t="s">
        <v>2675</v>
      </c>
      <c r="Q690" s="152" t="s">
        <v>2705</v>
      </c>
      <c r="R690" s="152" t="s">
        <v>2705</v>
      </c>
      <c r="S690" s="152" t="s">
        <v>2705</v>
      </c>
      <c r="T690" s="152" t="s">
        <v>2705</v>
      </c>
      <c r="U690" s="152" t="s">
        <v>2675</v>
      </c>
    </row>
    <row r="691" spans="1:21" s="142" customFormat="1" ht="12.75" customHeight="1" x14ac:dyDescent="0.2">
      <c r="A691" s="151" t="s">
        <v>7662</v>
      </c>
      <c r="B691" s="152" t="s">
        <v>2398</v>
      </c>
      <c r="C691" s="152" t="s">
        <v>2675</v>
      </c>
      <c r="D691" s="152" t="s">
        <v>2705</v>
      </c>
      <c r="E691" s="152" t="s">
        <v>2705</v>
      </c>
      <c r="F691" s="152" t="s">
        <v>2398</v>
      </c>
      <c r="G691" s="152" t="s">
        <v>2705</v>
      </c>
      <c r="H691" s="152" t="s">
        <v>2705</v>
      </c>
      <c r="I691" s="152" t="s">
        <v>2397</v>
      </c>
      <c r="J691" s="152" t="s">
        <v>2675</v>
      </c>
      <c r="K691" s="152" t="s">
        <v>2705</v>
      </c>
      <c r="L691" s="152" t="s">
        <v>1435</v>
      </c>
      <c r="M691" s="152" t="s">
        <v>1435</v>
      </c>
      <c r="N691" s="152" t="s">
        <v>2675</v>
      </c>
      <c r="O691" s="152" t="s">
        <v>2397</v>
      </c>
      <c r="P691" s="152" t="s">
        <v>2705</v>
      </c>
      <c r="Q691" s="152" t="s">
        <v>2705</v>
      </c>
      <c r="R691" s="152" t="s">
        <v>1435</v>
      </c>
      <c r="S691" s="152" t="s">
        <v>2705</v>
      </c>
      <c r="T691" s="152" t="s">
        <v>2705</v>
      </c>
      <c r="U691" s="152" t="s">
        <v>2705</v>
      </c>
    </row>
    <row r="692" spans="1:21" s="142" customFormat="1" ht="12.75" x14ac:dyDescent="0.2">
      <c r="A692" s="151"/>
      <c r="B692" s="152" t="s">
        <v>2705</v>
      </c>
      <c r="C692" s="152" t="s">
        <v>2398</v>
      </c>
      <c r="D692" s="152" t="s">
        <v>2398</v>
      </c>
      <c r="E692" s="152" t="s">
        <v>2705</v>
      </c>
      <c r="F692" s="152" t="s">
        <v>2398</v>
      </c>
      <c r="G692" s="152" t="s">
        <v>2705</v>
      </c>
      <c r="H692" s="152" t="s">
        <v>2397</v>
      </c>
      <c r="I692" s="152" t="s">
        <v>2705</v>
      </c>
      <c r="J692" s="152" t="s">
        <v>2398</v>
      </c>
      <c r="K692" s="152" t="s">
        <v>2705</v>
      </c>
      <c r="L692" s="152" t="s">
        <v>1435</v>
      </c>
      <c r="M692" s="152" t="s">
        <v>2398</v>
      </c>
      <c r="N692" s="152" t="s">
        <v>2705</v>
      </c>
      <c r="O692" s="152" t="s">
        <v>2398</v>
      </c>
      <c r="P692" s="152" t="s">
        <v>2705</v>
      </c>
      <c r="Q692" s="152" t="s">
        <v>2705</v>
      </c>
      <c r="R692" s="152" t="s">
        <v>2398</v>
      </c>
      <c r="S692" s="152" t="s">
        <v>2705</v>
      </c>
      <c r="T692" s="152" t="s">
        <v>2398</v>
      </c>
      <c r="U692" s="152" t="s">
        <v>2675</v>
      </c>
    </row>
    <row r="693" spans="1:21" s="142" customFormat="1" ht="12.75" customHeight="1" x14ac:dyDescent="0.2">
      <c r="A693" s="151" t="s">
        <v>7663</v>
      </c>
      <c r="B693" s="152" t="s">
        <v>2398</v>
      </c>
      <c r="C693" s="152" t="s">
        <v>1435</v>
      </c>
      <c r="D693" s="152" t="s">
        <v>1435</v>
      </c>
      <c r="E693" s="152" t="s">
        <v>2705</v>
      </c>
      <c r="F693" s="152" t="s">
        <v>2397</v>
      </c>
      <c r="G693" s="152" t="s">
        <v>2705</v>
      </c>
      <c r="H693" s="152" t="s">
        <v>1435</v>
      </c>
      <c r="I693" s="152" t="s">
        <v>2675</v>
      </c>
      <c r="J693" s="152" t="s">
        <v>2675</v>
      </c>
      <c r="K693" s="152" t="s">
        <v>2705</v>
      </c>
      <c r="L693" s="152" t="s">
        <v>2398</v>
      </c>
      <c r="M693" s="152" t="s">
        <v>1435</v>
      </c>
      <c r="N693" s="152" t="s">
        <v>2397</v>
      </c>
      <c r="O693" s="152" t="s">
        <v>2398</v>
      </c>
      <c r="P693" s="152" t="s">
        <v>2705</v>
      </c>
      <c r="Q693" s="152" t="s">
        <v>2398</v>
      </c>
      <c r="R693" s="152" t="s">
        <v>1435</v>
      </c>
      <c r="S693" s="152" t="s">
        <v>2675</v>
      </c>
      <c r="T693" s="152" t="s">
        <v>2398</v>
      </c>
      <c r="U693" s="152" t="s">
        <v>2675</v>
      </c>
    </row>
    <row r="694" spans="1:21" s="142" customFormat="1" ht="12.75" x14ac:dyDescent="0.2">
      <c r="A694" s="151"/>
      <c r="B694" s="152" t="s">
        <v>2398</v>
      </c>
      <c r="C694" s="152" t="s">
        <v>2398</v>
      </c>
      <c r="D694" s="152" t="s">
        <v>2397</v>
      </c>
      <c r="E694" s="152" t="s">
        <v>1435</v>
      </c>
      <c r="F694" s="152" t="s">
        <v>2705</v>
      </c>
      <c r="G694" s="152" t="s">
        <v>1435</v>
      </c>
      <c r="H694" s="152" t="s">
        <v>2675</v>
      </c>
      <c r="I694" s="152" t="s">
        <v>2705</v>
      </c>
      <c r="J694" s="152" t="s">
        <v>2705</v>
      </c>
      <c r="K694" s="152" t="s">
        <v>2398</v>
      </c>
      <c r="L694" s="152" t="s">
        <v>2675</v>
      </c>
      <c r="M694" s="152" t="s">
        <v>2397</v>
      </c>
      <c r="N694" s="152" t="s">
        <v>2398</v>
      </c>
      <c r="O694" s="152" t="s">
        <v>2398</v>
      </c>
      <c r="P694" s="152" t="s">
        <v>2675</v>
      </c>
      <c r="Q694" s="152" t="s">
        <v>2398</v>
      </c>
      <c r="R694" s="152" t="s">
        <v>2397</v>
      </c>
      <c r="S694" s="152" t="s">
        <v>2705</v>
      </c>
      <c r="T694" s="152" t="s">
        <v>2705</v>
      </c>
      <c r="U694" s="152" t="s">
        <v>2675</v>
      </c>
    </row>
    <row r="695" spans="1:21" s="142" customFormat="1" ht="12.75" customHeight="1" x14ac:dyDescent="0.2">
      <c r="A695" s="151" t="s">
        <v>7664</v>
      </c>
      <c r="B695" s="152" t="s">
        <v>2705</v>
      </c>
      <c r="C695" s="152" t="s">
        <v>2705</v>
      </c>
      <c r="D695" s="152" t="s">
        <v>2397</v>
      </c>
      <c r="E695" s="152" t="s">
        <v>2397</v>
      </c>
      <c r="F695" s="152" t="s">
        <v>2705</v>
      </c>
      <c r="G695" s="152" t="s">
        <v>2705</v>
      </c>
      <c r="H695" s="152" t="s">
        <v>2705</v>
      </c>
      <c r="I695" s="152" t="s">
        <v>2675</v>
      </c>
      <c r="J695" s="152" t="s">
        <v>1435</v>
      </c>
      <c r="K695" s="152" t="s">
        <v>2705</v>
      </c>
      <c r="L695" s="152" t="s">
        <v>2705</v>
      </c>
      <c r="M695" s="152" t="s">
        <v>2705</v>
      </c>
      <c r="N695" s="152" t="s">
        <v>2705</v>
      </c>
      <c r="O695" s="152" t="s">
        <v>2705</v>
      </c>
      <c r="P695" s="152" t="s">
        <v>2705</v>
      </c>
      <c r="Q695" s="152" t="s">
        <v>2705</v>
      </c>
      <c r="R695" s="152" t="s">
        <v>2675</v>
      </c>
      <c r="S695" s="152" t="s">
        <v>2705</v>
      </c>
      <c r="T695" s="152" t="s">
        <v>2705</v>
      </c>
      <c r="U695" s="152" t="s">
        <v>2705</v>
      </c>
    </row>
    <row r="696" spans="1:21" s="142" customFormat="1" ht="12.75" x14ac:dyDescent="0.2">
      <c r="A696" s="151"/>
      <c r="B696" s="152" t="s">
        <v>2398</v>
      </c>
      <c r="C696" s="152" t="s">
        <v>2398</v>
      </c>
      <c r="D696" s="152" t="s">
        <v>2705</v>
      </c>
      <c r="E696" s="152" t="s">
        <v>2705</v>
      </c>
      <c r="F696" s="152" t="s">
        <v>2705</v>
      </c>
      <c r="G696" s="152" t="s">
        <v>2705</v>
      </c>
      <c r="H696" s="152" t="s">
        <v>2705</v>
      </c>
      <c r="I696" s="152" t="s">
        <v>2675</v>
      </c>
      <c r="J696" s="152" t="s">
        <v>2705</v>
      </c>
      <c r="K696" s="152" t="s">
        <v>2705</v>
      </c>
      <c r="L696" s="152" t="s">
        <v>2398</v>
      </c>
      <c r="M696" s="152" t="s">
        <v>2705</v>
      </c>
      <c r="N696" s="152" t="s">
        <v>2705</v>
      </c>
      <c r="O696" s="152" t="s">
        <v>2705</v>
      </c>
      <c r="P696" s="152" t="s">
        <v>2705</v>
      </c>
      <c r="Q696" s="152" t="s">
        <v>2705</v>
      </c>
      <c r="R696" s="152" t="s">
        <v>2397</v>
      </c>
      <c r="S696" s="152" t="s">
        <v>2705</v>
      </c>
      <c r="T696" s="152" t="s">
        <v>2705</v>
      </c>
      <c r="U696" s="152" t="s">
        <v>2705</v>
      </c>
    </row>
    <row r="697" spans="1:21" s="142" customFormat="1" ht="12.75" customHeight="1" x14ac:dyDescent="0.2">
      <c r="A697" s="151" t="s">
        <v>7665</v>
      </c>
      <c r="B697" s="152" t="s">
        <v>2705</v>
      </c>
      <c r="C697" s="152" t="s">
        <v>2705</v>
      </c>
      <c r="D697" s="152" t="s">
        <v>2705</v>
      </c>
      <c r="E697" s="152" t="s">
        <v>1435</v>
      </c>
      <c r="F697" s="152" t="s">
        <v>2705</v>
      </c>
      <c r="G697" s="152" t="s">
        <v>2705</v>
      </c>
      <c r="H697" s="152" t="s">
        <v>2705</v>
      </c>
      <c r="I697" s="152" t="s">
        <v>2398</v>
      </c>
      <c r="J697" s="152" t="s">
        <v>2675</v>
      </c>
      <c r="K697" s="152" t="s">
        <v>2705</v>
      </c>
      <c r="L697" s="152" t="s">
        <v>1435</v>
      </c>
      <c r="M697" s="152" t="s">
        <v>2705</v>
      </c>
      <c r="N697" s="152" t="s">
        <v>2397</v>
      </c>
      <c r="O697" s="152" t="s">
        <v>2675</v>
      </c>
      <c r="P697" s="152" t="s">
        <v>2398</v>
      </c>
      <c r="Q697" s="152" t="s">
        <v>2705</v>
      </c>
      <c r="R697" s="152" t="s">
        <v>2705</v>
      </c>
      <c r="S697" s="152" t="s">
        <v>2705</v>
      </c>
      <c r="T697" s="152" t="s">
        <v>2398</v>
      </c>
      <c r="U697" s="152" t="s">
        <v>2705</v>
      </c>
    </row>
    <row r="698" spans="1:21" s="142" customFormat="1" ht="12.75" x14ac:dyDescent="0.2">
      <c r="A698" s="151"/>
      <c r="B698" s="152" t="s">
        <v>2398</v>
      </c>
      <c r="C698" s="152" t="s">
        <v>2675</v>
      </c>
      <c r="D698" s="152" t="s">
        <v>2705</v>
      </c>
      <c r="E698" s="152" t="s">
        <v>2398</v>
      </c>
      <c r="F698" s="152" t="s">
        <v>2705</v>
      </c>
      <c r="G698" s="152" t="s">
        <v>2705</v>
      </c>
      <c r="H698" s="152" t="s">
        <v>2705</v>
      </c>
      <c r="I698" s="152" t="s">
        <v>2705</v>
      </c>
      <c r="J698" s="152" t="s">
        <v>2398</v>
      </c>
      <c r="K698" s="152" t="s">
        <v>2398</v>
      </c>
      <c r="L698" s="152" t="s">
        <v>2398</v>
      </c>
      <c r="M698" s="152" t="s">
        <v>2398</v>
      </c>
      <c r="N698" s="152" t="s">
        <v>2398</v>
      </c>
      <c r="O698" s="152" t="s">
        <v>2398</v>
      </c>
      <c r="P698" s="152" t="s">
        <v>2398</v>
      </c>
      <c r="Q698" s="152" t="s">
        <v>2705</v>
      </c>
      <c r="R698" s="152" t="s">
        <v>2705</v>
      </c>
      <c r="S698" s="152" t="s">
        <v>2398</v>
      </c>
      <c r="T698" s="152" t="s">
        <v>2398</v>
      </c>
      <c r="U698" s="152" t="s">
        <v>2705</v>
      </c>
    </row>
    <row r="699" spans="1:21" s="142" customFormat="1" ht="12.75" customHeight="1" x14ac:dyDescent="0.2">
      <c r="A699" s="151" t="s">
        <v>7666</v>
      </c>
      <c r="B699" s="152" t="s">
        <v>2705</v>
      </c>
      <c r="C699" s="152" t="s">
        <v>2705</v>
      </c>
      <c r="D699" s="152" t="s">
        <v>2705</v>
      </c>
      <c r="E699" s="152" t="s">
        <v>2705</v>
      </c>
      <c r="F699" s="152" t="s">
        <v>2705</v>
      </c>
      <c r="G699" s="152" t="s">
        <v>2705</v>
      </c>
      <c r="H699" s="152" t="s">
        <v>2705</v>
      </c>
      <c r="I699" s="152" t="s">
        <v>2398</v>
      </c>
      <c r="J699" s="152" t="s">
        <v>2705</v>
      </c>
      <c r="K699" s="152" t="s">
        <v>1435</v>
      </c>
      <c r="L699" s="152" t="s">
        <v>2705</v>
      </c>
      <c r="M699" s="152" t="s">
        <v>2705</v>
      </c>
      <c r="N699" s="152" t="s">
        <v>2675</v>
      </c>
      <c r="O699" s="152" t="s">
        <v>2398</v>
      </c>
      <c r="P699" s="152" t="s">
        <v>2397</v>
      </c>
      <c r="Q699" s="152" t="s">
        <v>2705</v>
      </c>
      <c r="R699" s="152" t="s">
        <v>2705</v>
      </c>
      <c r="S699" s="152" t="s">
        <v>2675</v>
      </c>
      <c r="T699" s="152" t="s">
        <v>2398</v>
      </c>
      <c r="U699" s="152" t="s">
        <v>2705</v>
      </c>
    </row>
    <row r="700" spans="1:21" s="142" customFormat="1" ht="12.75" x14ac:dyDescent="0.2">
      <c r="A700" s="151"/>
      <c r="B700" s="152" t="s">
        <v>2705</v>
      </c>
      <c r="C700" s="152" t="s">
        <v>2705</v>
      </c>
      <c r="D700" s="152" t="s">
        <v>2705</v>
      </c>
      <c r="E700" s="152" t="s">
        <v>2398</v>
      </c>
      <c r="F700" s="152" t="s">
        <v>2398</v>
      </c>
      <c r="G700" s="152" t="s">
        <v>2705</v>
      </c>
      <c r="H700" s="152" t="s">
        <v>2398</v>
      </c>
      <c r="I700" s="152" t="s">
        <v>2705</v>
      </c>
      <c r="J700" s="152" t="s">
        <v>2705</v>
      </c>
      <c r="K700" s="152" t="s">
        <v>2398</v>
      </c>
      <c r="L700" s="152" t="s">
        <v>2398</v>
      </c>
      <c r="M700" s="152" t="s">
        <v>2398</v>
      </c>
      <c r="N700" s="152" t="s">
        <v>2398</v>
      </c>
      <c r="O700" s="152" t="s">
        <v>2705</v>
      </c>
      <c r="P700" s="152" t="s">
        <v>2705</v>
      </c>
      <c r="Q700" s="152" t="s">
        <v>2705</v>
      </c>
      <c r="R700" s="152" t="s">
        <v>2398</v>
      </c>
      <c r="S700" s="152" t="s">
        <v>2705</v>
      </c>
      <c r="T700" s="152" t="s">
        <v>1435</v>
      </c>
      <c r="U700" s="152" t="s">
        <v>2398</v>
      </c>
    </row>
    <row r="701" spans="1:21" s="142" customFormat="1" ht="12.75" customHeight="1" x14ac:dyDescent="0.2">
      <c r="A701" s="151" t="s">
        <v>7667</v>
      </c>
      <c r="B701" s="152" t="s">
        <v>2705</v>
      </c>
      <c r="C701" s="152" t="s">
        <v>2705</v>
      </c>
      <c r="D701" s="152" t="s">
        <v>2705</v>
      </c>
      <c r="E701" s="152" t="s">
        <v>1435</v>
      </c>
      <c r="F701" s="152" t="s">
        <v>2705</v>
      </c>
      <c r="G701" s="152" t="s">
        <v>2705</v>
      </c>
      <c r="H701" s="152" t="s">
        <v>2705</v>
      </c>
      <c r="I701" s="152" t="s">
        <v>2705</v>
      </c>
      <c r="J701" s="152" t="s">
        <v>2705</v>
      </c>
      <c r="K701" s="152" t="s">
        <v>2705</v>
      </c>
      <c r="L701" s="152" t="s">
        <v>1435</v>
      </c>
      <c r="M701" s="152" t="s">
        <v>2705</v>
      </c>
      <c r="N701" s="152" t="s">
        <v>2705</v>
      </c>
      <c r="O701" s="152" t="s">
        <v>2705</v>
      </c>
      <c r="P701" s="152" t="s">
        <v>2705</v>
      </c>
      <c r="Q701" s="152" t="s">
        <v>2705</v>
      </c>
      <c r="R701" s="152" t="s">
        <v>2705</v>
      </c>
      <c r="S701" s="152" t="s">
        <v>2675</v>
      </c>
      <c r="T701" s="152" t="s">
        <v>2705</v>
      </c>
      <c r="U701" s="152" t="s">
        <v>2705</v>
      </c>
    </row>
    <row r="702" spans="1:21" s="142" customFormat="1" ht="12.75" x14ac:dyDescent="0.2">
      <c r="A702" s="151"/>
      <c r="B702" s="152" t="s">
        <v>2705</v>
      </c>
      <c r="C702" s="152" t="s">
        <v>2705</v>
      </c>
      <c r="D702" s="152" t="s">
        <v>2705</v>
      </c>
      <c r="E702" s="152" t="s">
        <v>2705</v>
      </c>
      <c r="F702" s="152" t="s">
        <v>2705</v>
      </c>
      <c r="G702" s="152" t="s">
        <v>2398</v>
      </c>
      <c r="H702" s="152" t="s">
        <v>2397</v>
      </c>
      <c r="I702" s="152" t="s">
        <v>2398</v>
      </c>
      <c r="J702" s="152" t="s">
        <v>2705</v>
      </c>
      <c r="K702" s="152" t="s">
        <v>2398</v>
      </c>
      <c r="L702" s="152" t="s">
        <v>2705</v>
      </c>
      <c r="M702" s="152" t="s">
        <v>2705</v>
      </c>
      <c r="N702" s="152" t="s">
        <v>2705</v>
      </c>
      <c r="O702" s="152" t="s">
        <v>2398</v>
      </c>
      <c r="P702" s="152" t="s">
        <v>2705</v>
      </c>
      <c r="Q702" s="152" t="s">
        <v>2398</v>
      </c>
      <c r="R702" s="152" t="s">
        <v>2397</v>
      </c>
      <c r="S702" s="152" t="s">
        <v>2705</v>
      </c>
      <c r="T702" s="152" t="s">
        <v>2705</v>
      </c>
      <c r="U702" s="152" t="s">
        <v>2705</v>
      </c>
    </row>
    <row r="703" spans="1:21" s="142" customFormat="1" ht="12.75" customHeight="1" x14ac:dyDescent="0.2">
      <c r="A703" s="151" t="s">
        <v>7668</v>
      </c>
      <c r="B703" s="152" t="s">
        <v>2705</v>
      </c>
      <c r="C703" s="152" t="s">
        <v>1435</v>
      </c>
      <c r="D703" s="152" t="s">
        <v>2705</v>
      </c>
      <c r="E703" s="152" t="s">
        <v>2705</v>
      </c>
      <c r="F703" s="152" t="s">
        <v>2705</v>
      </c>
      <c r="G703" s="152" t="s">
        <v>2705</v>
      </c>
      <c r="H703" s="152" t="s">
        <v>2705</v>
      </c>
      <c r="I703" s="152" t="s">
        <v>2705</v>
      </c>
      <c r="J703" s="152" t="s">
        <v>2705</v>
      </c>
      <c r="K703" s="152" t="s">
        <v>2705</v>
      </c>
      <c r="L703" s="152" t="s">
        <v>2705</v>
      </c>
      <c r="M703" s="152" t="s">
        <v>2705</v>
      </c>
      <c r="N703" s="152" t="s">
        <v>2675</v>
      </c>
      <c r="O703" s="152" t="s">
        <v>2398</v>
      </c>
      <c r="P703" s="152" t="s">
        <v>2398</v>
      </c>
      <c r="Q703" s="152" t="s">
        <v>1435</v>
      </c>
      <c r="R703" s="152" t="s">
        <v>2398</v>
      </c>
      <c r="S703" s="152" t="s">
        <v>2705</v>
      </c>
      <c r="T703" s="152" t="s">
        <v>2705</v>
      </c>
      <c r="U703" s="152" t="s">
        <v>2705</v>
      </c>
    </row>
    <row r="704" spans="1:21" s="142" customFormat="1" ht="12.75" x14ac:dyDescent="0.2">
      <c r="A704" s="151"/>
      <c r="B704" s="152" t="s">
        <v>2397</v>
      </c>
      <c r="C704" s="152" t="s">
        <v>2705</v>
      </c>
      <c r="D704" s="152" t="s">
        <v>2675</v>
      </c>
      <c r="E704" s="152" t="s">
        <v>2705</v>
      </c>
      <c r="F704" s="152" t="s">
        <v>2397</v>
      </c>
      <c r="G704" s="152" t="s">
        <v>2675</v>
      </c>
      <c r="H704" s="152" t="s">
        <v>2398</v>
      </c>
      <c r="I704" s="152" t="s">
        <v>2705</v>
      </c>
      <c r="J704" s="152" t="s">
        <v>2705</v>
      </c>
      <c r="K704" s="152" t="s">
        <v>2398</v>
      </c>
      <c r="L704" s="152" t="s">
        <v>2705</v>
      </c>
      <c r="M704" s="152" t="s">
        <v>2398</v>
      </c>
      <c r="N704" s="152" t="s">
        <v>2705</v>
      </c>
      <c r="O704" s="152" t="s">
        <v>2705</v>
      </c>
      <c r="P704" s="152" t="s">
        <v>2398</v>
      </c>
      <c r="Q704" s="152" t="s">
        <v>2705</v>
      </c>
      <c r="R704" s="152" t="s">
        <v>2398</v>
      </c>
      <c r="S704" s="152" t="s">
        <v>2705</v>
      </c>
      <c r="T704" s="152" t="s">
        <v>2398</v>
      </c>
      <c r="U704" s="152" t="s">
        <v>2705</v>
      </c>
    </row>
    <row r="705" spans="1:21" s="142" customFormat="1" ht="12.75" customHeight="1" x14ac:dyDescent="0.2">
      <c r="A705" s="151" t="s">
        <v>7669</v>
      </c>
      <c r="B705" s="152" t="s">
        <v>2705</v>
      </c>
      <c r="C705" s="152" t="s">
        <v>2705</v>
      </c>
      <c r="D705" s="152" t="s">
        <v>2705</v>
      </c>
      <c r="E705" s="152" t="s">
        <v>1435</v>
      </c>
      <c r="F705" s="152" t="s">
        <v>2705</v>
      </c>
      <c r="G705" s="152" t="s">
        <v>2398</v>
      </c>
      <c r="H705" s="152" t="s">
        <v>2398</v>
      </c>
      <c r="I705" s="152" t="s">
        <v>2398</v>
      </c>
      <c r="J705" s="152" t="s">
        <v>2398</v>
      </c>
      <c r="K705" s="152" t="s">
        <v>2705</v>
      </c>
      <c r="L705" s="152" t="s">
        <v>2705</v>
      </c>
      <c r="M705" s="152" t="s">
        <v>2397</v>
      </c>
      <c r="N705" s="152" t="s">
        <v>2675</v>
      </c>
      <c r="O705" s="152" t="s">
        <v>2705</v>
      </c>
      <c r="P705" s="152" t="s">
        <v>2398</v>
      </c>
      <c r="Q705" s="152" t="s">
        <v>1435</v>
      </c>
      <c r="R705" s="152" t="s">
        <v>2397</v>
      </c>
      <c r="S705" s="152" t="s">
        <v>2675</v>
      </c>
      <c r="T705" s="152" t="s">
        <v>2397</v>
      </c>
      <c r="U705" s="152" t="s">
        <v>2398</v>
      </c>
    </row>
    <row r="706" spans="1:21" s="142" customFormat="1" ht="12.75" x14ac:dyDescent="0.2">
      <c r="A706" s="151"/>
      <c r="B706" s="152" t="s">
        <v>2705</v>
      </c>
      <c r="C706" s="152" t="s">
        <v>1435</v>
      </c>
      <c r="D706" s="152" t="s">
        <v>2675</v>
      </c>
      <c r="E706" s="152" t="s">
        <v>2705</v>
      </c>
      <c r="F706" s="152" t="s">
        <v>2398</v>
      </c>
      <c r="G706" s="152" t="s">
        <v>2398</v>
      </c>
      <c r="H706" s="152" t="s">
        <v>2675</v>
      </c>
      <c r="I706" s="152" t="s">
        <v>2705</v>
      </c>
      <c r="J706" s="152" t="s">
        <v>2705</v>
      </c>
      <c r="K706" s="152" t="s">
        <v>2675</v>
      </c>
      <c r="L706" s="152" t="s">
        <v>2705</v>
      </c>
      <c r="M706" s="152" t="s">
        <v>2398</v>
      </c>
      <c r="N706" s="152" t="s">
        <v>2398</v>
      </c>
      <c r="O706" s="152" t="s">
        <v>2705</v>
      </c>
      <c r="P706" s="152" t="s">
        <v>2705</v>
      </c>
      <c r="Q706" s="152" t="s">
        <v>1435</v>
      </c>
      <c r="R706" s="152" t="s">
        <v>2705</v>
      </c>
      <c r="S706" s="152" t="s">
        <v>2705</v>
      </c>
      <c r="T706" s="152" t="s">
        <v>2398</v>
      </c>
      <c r="U706" s="152" t="s">
        <v>2705</v>
      </c>
    </row>
    <row r="707" spans="1:21" s="142" customFormat="1" ht="12.75" customHeight="1" x14ac:dyDescent="0.2">
      <c r="A707" s="151" t="s">
        <v>7670</v>
      </c>
      <c r="B707" s="152" t="s">
        <v>2705</v>
      </c>
      <c r="C707" s="152" t="s">
        <v>2705</v>
      </c>
      <c r="D707" s="152" t="s">
        <v>2398</v>
      </c>
      <c r="E707" s="152" t="s">
        <v>2705</v>
      </c>
      <c r="F707" s="152" t="s">
        <v>2705</v>
      </c>
      <c r="G707" s="152" t="s">
        <v>1435</v>
      </c>
      <c r="H707" s="152" t="s">
        <v>2705</v>
      </c>
      <c r="I707" s="152" t="s">
        <v>2705</v>
      </c>
      <c r="J707" s="152" t="s">
        <v>2675</v>
      </c>
      <c r="K707" s="152" t="s">
        <v>2398</v>
      </c>
      <c r="L707" s="152" t="s">
        <v>2398</v>
      </c>
      <c r="M707" s="152" t="s">
        <v>2705</v>
      </c>
      <c r="N707" s="152" t="s">
        <v>2398</v>
      </c>
      <c r="O707" s="152" t="s">
        <v>2398</v>
      </c>
      <c r="P707" s="152" t="s">
        <v>2705</v>
      </c>
      <c r="Q707" s="152" t="s">
        <v>2398</v>
      </c>
      <c r="R707" s="152" t="s">
        <v>2705</v>
      </c>
      <c r="S707" s="152" t="s">
        <v>2705</v>
      </c>
      <c r="T707" s="152" t="s">
        <v>2398</v>
      </c>
      <c r="U707" s="152" t="s">
        <v>2705</v>
      </c>
    </row>
    <row r="708" spans="1:21" s="142" customFormat="1" ht="12.75" x14ac:dyDescent="0.2">
      <c r="A708" s="151"/>
      <c r="B708" s="152" t="s">
        <v>2398</v>
      </c>
      <c r="C708" s="152" t="s">
        <v>2398</v>
      </c>
      <c r="D708" s="152" t="s">
        <v>2398</v>
      </c>
      <c r="E708" s="152" t="s">
        <v>2675</v>
      </c>
      <c r="F708" s="152" t="s">
        <v>2398</v>
      </c>
      <c r="G708" s="152" t="s">
        <v>2398</v>
      </c>
      <c r="H708" s="152" t="s">
        <v>2705</v>
      </c>
      <c r="I708" s="152" t="s">
        <v>2705</v>
      </c>
      <c r="J708" s="152" t="s">
        <v>2705</v>
      </c>
      <c r="K708" s="152" t="s">
        <v>2705</v>
      </c>
      <c r="L708" s="152" t="s">
        <v>2705</v>
      </c>
      <c r="M708" s="152" t="s">
        <v>2705</v>
      </c>
      <c r="N708" s="152" t="s">
        <v>2705</v>
      </c>
      <c r="O708" s="152" t="s">
        <v>2705</v>
      </c>
      <c r="P708" s="152" t="s">
        <v>2705</v>
      </c>
      <c r="Q708" s="152" t="s">
        <v>2705</v>
      </c>
      <c r="R708" s="152" t="s">
        <v>1435</v>
      </c>
      <c r="S708" s="152" t="s">
        <v>2705</v>
      </c>
      <c r="T708" s="152" t="s">
        <v>2705</v>
      </c>
      <c r="U708" s="152" t="s">
        <v>2705</v>
      </c>
    </row>
    <row r="709" spans="1:21" s="142" customFormat="1" ht="12.75" customHeight="1" x14ac:dyDescent="0.2">
      <c r="A709" s="151" t="s">
        <v>7671</v>
      </c>
      <c r="B709" s="152" t="s">
        <v>2705</v>
      </c>
      <c r="C709" s="152" t="s">
        <v>2675</v>
      </c>
      <c r="D709" s="152" t="s">
        <v>2705</v>
      </c>
      <c r="E709" s="152" t="s">
        <v>2705</v>
      </c>
      <c r="F709" s="152" t="s">
        <v>2398</v>
      </c>
      <c r="G709" s="152" t="s">
        <v>2705</v>
      </c>
      <c r="H709" s="152" t="s">
        <v>2705</v>
      </c>
      <c r="I709" s="152" t="s">
        <v>2705</v>
      </c>
      <c r="J709" s="152" t="s">
        <v>2398</v>
      </c>
      <c r="K709" s="152" t="s">
        <v>2705</v>
      </c>
      <c r="L709" s="152" t="s">
        <v>2705</v>
      </c>
      <c r="M709" s="152" t="s">
        <v>2705</v>
      </c>
      <c r="N709" s="152" t="s">
        <v>2705</v>
      </c>
      <c r="O709" s="152" t="s">
        <v>2398</v>
      </c>
      <c r="P709" s="152" t="s">
        <v>2705</v>
      </c>
      <c r="Q709" s="152" t="s">
        <v>2705</v>
      </c>
      <c r="R709" s="152" t="s">
        <v>2398</v>
      </c>
      <c r="S709" s="152" t="s">
        <v>2398</v>
      </c>
      <c r="T709" s="152" t="s">
        <v>2398</v>
      </c>
      <c r="U709" s="152" t="s">
        <v>2705</v>
      </c>
    </row>
    <row r="710" spans="1:21" s="142" customFormat="1" ht="12.75" x14ac:dyDescent="0.2">
      <c r="A710" s="151"/>
      <c r="B710" s="152" t="s">
        <v>2705</v>
      </c>
      <c r="C710" s="152" t="s">
        <v>2705</v>
      </c>
      <c r="D710" s="152" t="s">
        <v>2398</v>
      </c>
      <c r="E710" s="152" t="s">
        <v>2705</v>
      </c>
      <c r="F710" s="152" t="s">
        <v>2705</v>
      </c>
      <c r="G710" s="152" t="s">
        <v>2398</v>
      </c>
      <c r="H710" s="152" t="s">
        <v>2675</v>
      </c>
      <c r="I710" s="152" t="s">
        <v>2705</v>
      </c>
      <c r="J710" s="152" t="s">
        <v>2705</v>
      </c>
      <c r="K710" s="152" t="s">
        <v>2705</v>
      </c>
      <c r="L710" s="152" t="s">
        <v>2398</v>
      </c>
      <c r="M710" s="152" t="s">
        <v>1435</v>
      </c>
      <c r="N710" s="152" t="s">
        <v>2398</v>
      </c>
      <c r="O710" s="152" t="s">
        <v>2398</v>
      </c>
      <c r="P710" s="152" t="s">
        <v>2705</v>
      </c>
      <c r="Q710" s="152" t="s">
        <v>2705</v>
      </c>
      <c r="R710" s="152" t="s">
        <v>2398</v>
      </c>
      <c r="S710" s="152" t="s">
        <v>2398</v>
      </c>
      <c r="T710" s="152" t="s">
        <v>2705</v>
      </c>
      <c r="U710" s="152" t="s">
        <v>2398</v>
      </c>
    </row>
    <row r="711" spans="1:21" s="142" customFormat="1" ht="12.75" customHeight="1" x14ac:dyDescent="0.2">
      <c r="A711" s="151" t="s">
        <v>7672</v>
      </c>
      <c r="B711" s="152" t="s">
        <v>2705</v>
      </c>
      <c r="C711" s="152" t="s">
        <v>2705</v>
      </c>
      <c r="D711" s="152" t="s">
        <v>2398</v>
      </c>
      <c r="E711" s="152" t="s">
        <v>2398</v>
      </c>
      <c r="F711" s="152" t="s">
        <v>2398</v>
      </c>
      <c r="G711" s="152" t="s">
        <v>2705</v>
      </c>
      <c r="H711" s="152" t="s">
        <v>2705</v>
      </c>
      <c r="I711" s="152" t="s">
        <v>2705</v>
      </c>
      <c r="J711" s="152" t="s">
        <v>2705</v>
      </c>
      <c r="K711" s="152" t="s">
        <v>2705</v>
      </c>
      <c r="L711" s="152" t="s">
        <v>2705</v>
      </c>
      <c r="M711" s="152" t="s">
        <v>2398</v>
      </c>
      <c r="N711" s="152" t="s">
        <v>2705</v>
      </c>
      <c r="O711" s="152" t="s">
        <v>2705</v>
      </c>
      <c r="P711" s="152" t="s">
        <v>2398</v>
      </c>
      <c r="Q711" s="152" t="s">
        <v>2675</v>
      </c>
      <c r="R711" s="152" t="s">
        <v>2705</v>
      </c>
      <c r="S711" s="152" t="s">
        <v>2398</v>
      </c>
      <c r="T711" s="152" t="s">
        <v>2398</v>
      </c>
      <c r="U711" s="152" t="s">
        <v>2675</v>
      </c>
    </row>
    <row r="712" spans="1:21" s="142" customFormat="1" ht="12.75" x14ac:dyDescent="0.2">
      <c r="A712" s="151"/>
      <c r="B712" s="152" t="s">
        <v>2398</v>
      </c>
      <c r="C712" s="152" t="s">
        <v>2398</v>
      </c>
      <c r="D712" s="152" t="s">
        <v>2705</v>
      </c>
      <c r="E712" s="152" t="s">
        <v>2705</v>
      </c>
      <c r="F712" s="152" t="s">
        <v>2705</v>
      </c>
      <c r="G712" s="152" t="s">
        <v>2705</v>
      </c>
      <c r="H712" s="152" t="s">
        <v>2398</v>
      </c>
      <c r="I712" s="152" t="s">
        <v>2705</v>
      </c>
      <c r="J712" s="152" t="s">
        <v>2705</v>
      </c>
      <c r="K712" s="152" t="s">
        <v>2705</v>
      </c>
      <c r="L712" s="152" t="s">
        <v>2398</v>
      </c>
      <c r="M712" s="152" t="s">
        <v>2675</v>
      </c>
      <c r="N712" s="152" t="s">
        <v>2705</v>
      </c>
      <c r="O712" s="152" t="s">
        <v>2705</v>
      </c>
      <c r="P712" s="152" t="s">
        <v>2705</v>
      </c>
      <c r="Q712" s="152" t="s">
        <v>2705</v>
      </c>
      <c r="R712" s="152" t="s">
        <v>2705</v>
      </c>
      <c r="S712" s="152" t="s">
        <v>2705</v>
      </c>
      <c r="T712" s="152" t="s">
        <v>2705</v>
      </c>
      <c r="U712" s="152" t="s">
        <v>2398</v>
      </c>
    </row>
    <row r="713" spans="1:21" s="142" customFormat="1" ht="12.75" customHeight="1" x14ac:dyDescent="0.2">
      <c r="A713" s="151" t="s">
        <v>7673</v>
      </c>
      <c r="B713" s="152" t="s">
        <v>2398</v>
      </c>
      <c r="C713" s="152" t="s">
        <v>2705</v>
      </c>
      <c r="D713" s="152" t="s">
        <v>2398</v>
      </c>
      <c r="E713" s="152" t="s">
        <v>2398</v>
      </c>
      <c r="F713" s="152" t="s">
        <v>2398</v>
      </c>
      <c r="G713" s="152" t="s">
        <v>2705</v>
      </c>
      <c r="H713" s="152" t="s">
        <v>2705</v>
      </c>
      <c r="I713" s="152" t="s">
        <v>2675</v>
      </c>
      <c r="J713" s="152" t="s">
        <v>2398</v>
      </c>
      <c r="K713" s="152" t="s">
        <v>2705</v>
      </c>
      <c r="L713" s="152" t="s">
        <v>2705</v>
      </c>
      <c r="M713" s="152" t="s">
        <v>2398</v>
      </c>
      <c r="N713" s="152" t="s">
        <v>2705</v>
      </c>
      <c r="O713" s="152" t="s">
        <v>2398</v>
      </c>
      <c r="P713" s="152" t="s">
        <v>2398</v>
      </c>
      <c r="Q713" s="152" t="s">
        <v>2705</v>
      </c>
      <c r="R713" s="152" t="s">
        <v>2705</v>
      </c>
      <c r="S713" s="152" t="s">
        <v>2398</v>
      </c>
      <c r="T713" s="152" t="s">
        <v>2705</v>
      </c>
      <c r="U713" s="152" t="s">
        <v>1435</v>
      </c>
    </row>
    <row r="714" spans="1:21" s="142" customFormat="1" ht="12.75" x14ac:dyDescent="0.2">
      <c r="A714" s="151"/>
      <c r="B714" s="152" t="s">
        <v>2397</v>
      </c>
      <c r="C714" s="152" t="s">
        <v>2705</v>
      </c>
      <c r="D714" s="152" t="s">
        <v>2705</v>
      </c>
      <c r="E714" s="152" t="s">
        <v>2398</v>
      </c>
      <c r="F714" s="152" t="s">
        <v>2705</v>
      </c>
      <c r="G714" s="152" t="s">
        <v>2398</v>
      </c>
      <c r="H714" s="152" t="s">
        <v>2398</v>
      </c>
      <c r="I714" s="152" t="s">
        <v>2705</v>
      </c>
      <c r="J714" s="152" t="s">
        <v>2398</v>
      </c>
      <c r="K714" s="152" t="s">
        <v>1435</v>
      </c>
      <c r="L714" s="152" t="s">
        <v>2398</v>
      </c>
      <c r="M714" s="152" t="s">
        <v>2705</v>
      </c>
      <c r="N714" s="152" t="s">
        <v>2398</v>
      </c>
      <c r="O714" s="152" t="s">
        <v>2705</v>
      </c>
      <c r="P714" s="152" t="s">
        <v>2705</v>
      </c>
      <c r="Q714" s="152" t="s">
        <v>2705</v>
      </c>
      <c r="R714" s="152" t="s">
        <v>2398</v>
      </c>
      <c r="S714" s="152" t="s">
        <v>2675</v>
      </c>
      <c r="T714" s="152" t="s">
        <v>2397</v>
      </c>
      <c r="U714" s="152" t="s">
        <v>2397</v>
      </c>
    </row>
    <row r="715" spans="1:21" s="142" customFormat="1" ht="12.75" customHeight="1" x14ac:dyDescent="0.2">
      <c r="A715" s="151" t="s">
        <v>7674</v>
      </c>
      <c r="B715" s="152" t="s">
        <v>2398</v>
      </c>
      <c r="C715" s="152" t="s">
        <v>2705</v>
      </c>
      <c r="D715" s="152" t="s">
        <v>2398</v>
      </c>
      <c r="E715" s="152" t="s">
        <v>2398</v>
      </c>
      <c r="F715" s="152" t="s">
        <v>2705</v>
      </c>
      <c r="G715" s="152" t="s">
        <v>2705</v>
      </c>
      <c r="H715" s="152" t="s">
        <v>2705</v>
      </c>
      <c r="I715" s="152" t="s">
        <v>2705</v>
      </c>
      <c r="J715" s="152" t="s">
        <v>2398</v>
      </c>
      <c r="K715" s="152" t="s">
        <v>2705</v>
      </c>
      <c r="L715" s="152" t="s">
        <v>2705</v>
      </c>
      <c r="M715" s="152" t="s">
        <v>1435</v>
      </c>
      <c r="N715" s="152" t="s">
        <v>2398</v>
      </c>
      <c r="O715" s="152" t="s">
        <v>2675</v>
      </c>
      <c r="P715" s="152" t="s">
        <v>2705</v>
      </c>
      <c r="Q715" s="152" t="s">
        <v>2705</v>
      </c>
      <c r="R715" s="152" t="s">
        <v>2398</v>
      </c>
      <c r="S715" s="152" t="s">
        <v>2675</v>
      </c>
      <c r="T715" s="152" t="s">
        <v>2705</v>
      </c>
      <c r="U715" s="152" t="s">
        <v>2705</v>
      </c>
    </row>
    <row r="716" spans="1:21" s="142" customFormat="1" ht="12.75" x14ac:dyDescent="0.2">
      <c r="A716" s="151"/>
      <c r="B716" s="152" t="s">
        <v>2675</v>
      </c>
      <c r="C716" s="152" t="s">
        <v>2675</v>
      </c>
      <c r="D716" s="152" t="s">
        <v>2705</v>
      </c>
      <c r="E716" s="152" t="s">
        <v>2675</v>
      </c>
      <c r="F716" s="152" t="s">
        <v>2705</v>
      </c>
      <c r="G716" s="152" t="s">
        <v>2398</v>
      </c>
      <c r="H716" s="152" t="s">
        <v>2398</v>
      </c>
      <c r="I716" s="152" t="s">
        <v>2705</v>
      </c>
      <c r="J716" s="152" t="s">
        <v>2705</v>
      </c>
      <c r="K716" s="152" t="s">
        <v>2398</v>
      </c>
      <c r="L716" s="152" t="s">
        <v>2398</v>
      </c>
      <c r="M716" s="152" t="s">
        <v>2705</v>
      </c>
      <c r="N716" s="152" t="s">
        <v>2705</v>
      </c>
      <c r="O716" s="152" t="s">
        <v>2398</v>
      </c>
      <c r="P716" s="152" t="s">
        <v>2398</v>
      </c>
      <c r="Q716" s="152" t="s">
        <v>2398</v>
      </c>
      <c r="R716" s="152" t="s">
        <v>2398</v>
      </c>
      <c r="S716" s="152" t="s">
        <v>2705</v>
      </c>
      <c r="T716" s="152" t="s">
        <v>2398</v>
      </c>
      <c r="U716" s="152" t="s">
        <v>2705</v>
      </c>
    </row>
    <row r="717" spans="1:21" s="142" customFormat="1" ht="12.75" customHeight="1" x14ac:dyDescent="0.2">
      <c r="A717" s="151" t="s">
        <v>7675</v>
      </c>
      <c r="B717" s="152" t="s">
        <v>2705</v>
      </c>
      <c r="C717" s="152" t="s">
        <v>2705</v>
      </c>
      <c r="D717" s="152" t="s">
        <v>2705</v>
      </c>
      <c r="E717" s="152" t="s">
        <v>2398</v>
      </c>
      <c r="F717" s="152" t="s">
        <v>2705</v>
      </c>
      <c r="G717" s="152" t="s">
        <v>2705</v>
      </c>
      <c r="H717" s="152" t="s">
        <v>2705</v>
      </c>
      <c r="I717" s="152" t="s">
        <v>2705</v>
      </c>
      <c r="J717" s="152" t="s">
        <v>2705</v>
      </c>
      <c r="K717" s="152" t="s">
        <v>1435</v>
      </c>
      <c r="L717" s="152" t="s">
        <v>2705</v>
      </c>
      <c r="M717" s="152" t="s">
        <v>2705</v>
      </c>
      <c r="N717" s="152" t="s">
        <v>2705</v>
      </c>
      <c r="O717" s="152" t="s">
        <v>2705</v>
      </c>
      <c r="P717" s="152" t="s">
        <v>2705</v>
      </c>
      <c r="Q717" s="152" t="s">
        <v>2398</v>
      </c>
      <c r="R717" s="152" t="s">
        <v>2398</v>
      </c>
      <c r="S717" s="152" t="s">
        <v>2398</v>
      </c>
      <c r="T717" s="152" t="s">
        <v>2705</v>
      </c>
      <c r="U717" s="152" t="s">
        <v>2398</v>
      </c>
    </row>
    <row r="718" spans="1:21" s="142" customFormat="1" ht="12.75" x14ac:dyDescent="0.2">
      <c r="A718" s="151"/>
      <c r="B718" s="152" t="s">
        <v>2397</v>
      </c>
      <c r="C718" s="152" t="s">
        <v>2398</v>
      </c>
      <c r="D718" s="152" t="s">
        <v>2705</v>
      </c>
      <c r="E718" s="152" t="s">
        <v>2705</v>
      </c>
      <c r="F718" s="152" t="s">
        <v>2705</v>
      </c>
      <c r="G718" s="152" t="s">
        <v>2705</v>
      </c>
      <c r="H718" s="152" t="s">
        <v>2705</v>
      </c>
      <c r="I718" s="152" t="s">
        <v>2705</v>
      </c>
      <c r="J718" s="152" t="s">
        <v>2705</v>
      </c>
      <c r="K718" s="152" t="s">
        <v>2398</v>
      </c>
      <c r="L718" s="152" t="s">
        <v>2705</v>
      </c>
      <c r="M718" s="152" t="s">
        <v>2398</v>
      </c>
      <c r="N718" s="152" t="s">
        <v>2705</v>
      </c>
      <c r="O718" s="152" t="s">
        <v>2705</v>
      </c>
      <c r="P718" s="152" t="s">
        <v>2398</v>
      </c>
      <c r="Q718" s="152" t="s">
        <v>1435</v>
      </c>
      <c r="R718" s="152" t="s">
        <v>2705</v>
      </c>
      <c r="S718" s="152" t="s">
        <v>2705</v>
      </c>
      <c r="T718" s="152" t="s">
        <v>2705</v>
      </c>
      <c r="U718" s="152" t="s">
        <v>2705</v>
      </c>
    </row>
    <row r="719" spans="1:21" s="142" customFormat="1" ht="12.75" customHeight="1" x14ac:dyDescent="0.2">
      <c r="A719" s="151" t="s">
        <v>7676</v>
      </c>
      <c r="B719" s="152" t="s">
        <v>1435</v>
      </c>
      <c r="C719" s="152" t="s">
        <v>2398</v>
      </c>
      <c r="D719" s="152" t="s">
        <v>2675</v>
      </c>
      <c r="E719" s="152" t="s">
        <v>2398</v>
      </c>
      <c r="F719" s="152" t="s">
        <v>2397</v>
      </c>
      <c r="G719" s="152" t="s">
        <v>2705</v>
      </c>
      <c r="H719" s="152" t="s">
        <v>2398</v>
      </c>
      <c r="I719" s="152" t="s">
        <v>2398</v>
      </c>
      <c r="J719" s="152" t="s">
        <v>2705</v>
      </c>
      <c r="K719" s="152" t="s">
        <v>2397</v>
      </c>
      <c r="L719" s="152" t="s">
        <v>2398</v>
      </c>
      <c r="M719" s="152" t="s">
        <v>2705</v>
      </c>
      <c r="N719" s="152" t="s">
        <v>2675</v>
      </c>
      <c r="O719" s="152" t="s">
        <v>2705</v>
      </c>
      <c r="P719" s="152" t="s">
        <v>2705</v>
      </c>
      <c r="Q719" s="152" t="s">
        <v>2705</v>
      </c>
      <c r="R719" s="152" t="s">
        <v>2397</v>
      </c>
      <c r="S719" s="152" t="s">
        <v>2705</v>
      </c>
      <c r="T719" s="152" t="s">
        <v>2398</v>
      </c>
      <c r="U719" s="152" t="s">
        <v>2675</v>
      </c>
    </row>
    <row r="720" spans="1:21" s="142" customFormat="1" ht="12.75" x14ac:dyDescent="0.2">
      <c r="A720" s="151"/>
      <c r="B720" s="152" t="s">
        <v>2705</v>
      </c>
      <c r="C720" s="152" t="s">
        <v>2397</v>
      </c>
      <c r="D720" s="152" t="s">
        <v>2397</v>
      </c>
      <c r="E720" s="152" t="s">
        <v>2398</v>
      </c>
      <c r="F720" s="152" t="s">
        <v>2675</v>
      </c>
      <c r="G720" s="152" t="s">
        <v>2397</v>
      </c>
      <c r="H720" s="152" t="s">
        <v>2705</v>
      </c>
      <c r="I720" s="152" t="s">
        <v>2705</v>
      </c>
      <c r="J720" s="152" t="s">
        <v>2398</v>
      </c>
      <c r="K720" s="152" t="s">
        <v>1435</v>
      </c>
      <c r="L720" s="152" t="s">
        <v>2398</v>
      </c>
      <c r="M720" s="152" t="s">
        <v>2398</v>
      </c>
      <c r="N720" s="152" t="s">
        <v>2675</v>
      </c>
      <c r="O720" s="152" t="s">
        <v>1435</v>
      </c>
      <c r="P720" s="152" t="s">
        <v>2705</v>
      </c>
      <c r="Q720" s="152" t="s">
        <v>1435</v>
      </c>
      <c r="R720" s="152" t="s">
        <v>2398</v>
      </c>
      <c r="S720" s="152" t="s">
        <v>2398</v>
      </c>
      <c r="T720" s="152" t="s">
        <v>2705</v>
      </c>
      <c r="U720" s="152" t="s">
        <v>2397</v>
      </c>
    </row>
    <row r="721" spans="1:21" s="142" customFormat="1" ht="12.75" customHeight="1" x14ac:dyDescent="0.2">
      <c r="A721" s="151" t="s">
        <v>7677</v>
      </c>
      <c r="B721" s="152" t="s">
        <v>2675</v>
      </c>
      <c r="C721" s="152" t="s">
        <v>2705</v>
      </c>
      <c r="D721" s="152" t="s">
        <v>1435</v>
      </c>
      <c r="E721" s="152" t="s">
        <v>2705</v>
      </c>
      <c r="F721" s="152" t="s">
        <v>2705</v>
      </c>
      <c r="G721" s="152" t="s">
        <v>2705</v>
      </c>
      <c r="H721" s="152" t="s">
        <v>2705</v>
      </c>
      <c r="I721" s="152" t="s">
        <v>2675</v>
      </c>
      <c r="J721" s="152" t="s">
        <v>2705</v>
      </c>
      <c r="K721" s="152" t="s">
        <v>2705</v>
      </c>
      <c r="L721" s="152" t="s">
        <v>2705</v>
      </c>
      <c r="M721" s="152" t="s">
        <v>2705</v>
      </c>
      <c r="N721" s="152" t="s">
        <v>2705</v>
      </c>
      <c r="O721" s="152" t="s">
        <v>2705</v>
      </c>
      <c r="P721" s="152" t="s">
        <v>2705</v>
      </c>
      <c r="Q721" s="152" t="s">
        <v>2705</v>
      </c>
      <c r="R721" s="152" t="s">
        <v>2398</v>
      </c>
      <c r="S721" s="152" t="s">
        <v>2675</v>
      </c>
      <c r="T721" s="152" t="s">
        <v>2397</v>
      </c>
      <c r="U721" s="152" t="s">
        <v>2705</v>
      </c>
    </row>
    <row r="722" spans="1:21" s="142" customFormat="1" ht="12.75" x14ac:dyDescent="0.2">
      <c r="A722" s="151"/>
      <c r="B722" s="152" t="s">
        <v>2675</v>
      </c>
      <c r="C722" s="152" t="s">
        <v>2675</v>
      </c>
      <c r="D722" s="152" t="s">
        <v>2705</v>
      </c>
      <c r="E722" s="152" t="s">
        <v>2398</v>
      </c>
      <c r="F722" s="152" t="s">
        <v>2705</v>
      </c>
      <c r="G722" s="152" t="s">
        <v>2705</v>
      </c>
      <c r="H722" s="152" t="s">
        <v>2397</v>
      </c>
      <c r="I722" s="152" t="s">
        <v>2398</v>
      </c>
      <c r="J722" s="152" t="s">
        <v>2705</v>
      </c>
      <c r="K722" s="152" t="s">
        <v>2398</v>
      </c>
      <c r="L722" s="152" t="s">
        <v>2705</v>
      </c>
      <c r="M722" s="152" t="s">
        <v>2705</v>
      </c>
      <c r="N722" s="152" t="s">
        <v>2705</v>
      </c>
      <c r="O722" s="152" t="s">
        <v>2398</v>
      </c>
      <c r="P722" s="152" t="s">
        <v>2705</v>
      </c>
      <c r="Q722" s="152" t="s">
        <v>2398</v>
      </c>
      <c r="R722" s="152" t="s">
        <v>2705</v>
      </c>
      <c r="S722" s="152" t="s">
        <v>2705</v>
      </c>
      <c r="T722" s="152" t="s">
        <v>2398</v>
      </c>
      <c r="U722" s="152" t="s">
        <v>2398</v>
      </c>
    </row>
    <row r="723" spans="1:21" s="142" customFormat="1" ht="12.75" customHeight="1" x14ac:dyDescent="0.2">
      <c r="A723" s="151" t="s">
        <v>7678</v>
      </c>
      <c r="B723" s="152" t="s">
        <v>2705</v>
      </c>
      <c r="C723" s="152" t="s">
        <v>2705</v>
      </c>
      <c r="D723" s="152" t="s">
        <v>2705</v>
      </c>
      <c r="E723" s="152" t="s">
        <v>2705</v>
      </c>
      <c r="F723" s="152" t="s">
        <v>2705</v>
      </c>
      <c r="G723" s="152" t="s">
        <v>2705</v>
      </c>
      <c r="H723" s="152" t="s">
        <v>2705</v>
      </c>
      <c r="I723" s="152" t="s">
        <v>2397</v>
      </c>
      <c r="J723" s="152" t="s">
        <v>2705</v>
      </c>
      <c r="K723" s="152" t="s">
        <v>1435</v>
      </c>
      <c r="L723" s="152" t="s">
        <v>2705</v>
      </c>
      <c r="M723" s="152" t="s">
        <v>2705</v>
      </c>
      <c r="N723" s="152" t="s">
        <v>2705</v>
      </c>
      <c r="O723" s="152" t="s">
        <v>2705</v>
      </c>
      <c r="P723" s="152" t="s">
        <v>2705</v>
      </c>
      <c r="Q723" s="152" t="s">
        <v>1435</v>
      </c>
      <c r="R723" s="152" t="s">
        <v>2705</v>
      </c>
      <c r="S723" s="152" t="s">
        <v>2398</v>
      </c>
      <c r="T723" s="152" t="s">
        <v>2705</v>
      </c>
      <c r="U723" s="152" t="s">
        <v>2398</v>
      </c>
    </row>
    <row r="724" spans="1:21" s="142" customFormat="1" ht="12.75" x14ac:dyDescent="0.2">
      <c r="A724" s="151"/>
      <c r="B724" s="152" t="s">
        <v>2705</v>
      </c>
      <c r="C724" s="152" t="s">
        <v>2398</v>
      </c>
      <c r="D724" s="152" t="s">
        <v>2705</v>
      </c>
      <c r="E724" s="152" t="s">
        <v>2705</v>
      </c>
      <c r="F724" s="152" t="s">
        <v>2398</v>
      </c>
      <c r="G724" s="152" t="s">
        <v>2675</v>
      </c>
      <c r="H724" s="152" t="s">
        <v>2398</v>
      </c>
      <c r="I724" s="152" t="s">
        <v>2705</v>
      </c>
      <c r="J724" s="152" t="s">
        <v>2705</v>
      </c>
      <c r="K724" s="152" t="s">
        <v>2398</v>
      </c>
      <c r="L724" s="152" t="s">
        <v>2705</v>
      </c>
      <c r="M724" s="152" t="s">
        <v>2398</v>
      </c>
      <c r="N724" s="152" t="s">
        <v>2705</v>
      </c>
      <c r="O724" s="152" t="s">
        <v>2705</v>
      </c>
      <c r="P724" s="152" t="s">
        <v>2705</v>
      </c>
      <c r="Q724" s="152" t="s">
        <v>2705</v>
      </c>
      <c r="R724" s="152" t="s">
        <v>2705</v>
      </c>
      <c r="S724" s="152" t="s">
        <v>2705</v>
      </c>
      <c r="T724" s="152" t="s">
        <v>1435</v>
      </c>
      <c r="U724" s="152" t="s">
        <v>2705</v>
      </c>
    </row>
    <row r="725" spans="1:21" s="142" customFormat="1" ht="12.75" customHeight="1" x14ac:dyDescent="0.2">
      <c r="A725" s="151" t="s">
        <v>7679</v>
      </c>
      <c r="B725" s="152" t="s">
        <v>2397</v>
      </c>
      <c r="C725" s="152" t="s">
        <v>2398</v>
      </c>
      <c r="D725" s="152" t="s">
        <v>2675</v>
      </c>
      <c r="E725" s="152" t="s">
        <v>2705</v>
      </c>
      <c r="F725" s="152" t="s">
        <v>2705</v>
      </c>
      <c r="G725" s="152" t="s">
        <v>1435</v>
      </c>
      <c r="H725" s="152" t="s">
        <v>2398</v>
      </c>
      <c r="I725" s="152" t="s">
        <v>2705</v>
      </c>
      <c r="J725" s="152" t="s">
        <v>2705</v>
      </c>
      <c r="K725" s="152" t="s">
        <v>2397</v>
      </c>
      <c r="L725" s="152" t="s">
        <v>2675</v>
      </c>
      <c r="M725" s="152" t="s">
        <v>2705</v>
      </c>
      <c r="N725" s="152" t="s">
        <v>1435</v>
      </c>
      <c r="O725" s="152" t="s">
        <v>1435</v>
      </c>
      <c r="P725" s="152" t="s">
        <v>2705</v>
      </c>
      <c r="Q725" s="152" t="s">
        <v>2705</v>
      </c>
      <c r="R725" s="152" t="s">
        <v>2705</v>
      </c>
      <c r="S725" s="152" t="s">
        <v>2705</v>
      </c>
      <c r="T725" s="152" t="s">
        <v>1435</v>
      </c>
      <c r="U725" s="152" t="s">
        <v>2398</v>
      </c>
    </row>
    <row r="726" spans="1:21" s="142" customFormat="1" ht="12.75" x14ac:dyDescent="0.2">
      <c r="A726" s="151"/>
      <c r="B726" s="152" t="s">
        <v>2705</v>
      </c>
      <c r="C726" s="152" t="s">
        <v>2705</v>
      </c>
      <c r="D726" s="152" t="s">
        <v>2705</v>
      </c>
      <c r="E726" s="152" t="s">
        <v>2705</v>
      </c>
      <c r="F726" s="152" t="s">
        <v>2705</v>
      </c>
      <c r="G726" s="152" t="s">
        <v>2705</v>
      </c>
      <c r="H726" s="152" t="s">
        <v>2705</v>
      </c>
      <c r="I726" s="152" t="s">
        <v>2705</v>
      </c>
      <c r="J726" s="152" t="s">
        <v>2397</v>
      </c>
      <c r="K726" s="152" t="s">
        <v>2705</v>
      </c>
      <c r="L726" s="152" t="s">
        <v>2705</v>
      </c>
      <c r="M726" s="152" t="s">
        <v>2705</v>
      </c>
      <c r="N726" s="152" t="s">
        <v>2397</v>
      </c>
      <c r="O726" s="152" t="s">
        <v>2705</v>
      </c>
      <c r="P726" s="152" t="s">
        <v>1435</v>
      </c>
      <c r="Q726" s="152" t="s">
        <v>2705</v>
      </c>
      <c r="R726" s="152" t="s">
        <v>1435</v>
      </c>
      <c r="S726" s="152" t="s">
        <v>2705</v>
      </c>
      <c r="T726" s="152" t="s">
        <v>2705</v>
      </c>
      <c r="U726" s="152" t="s">
        <v>2705</v>
      </c>
    </row>
    <row r="727" spans="1:21" s="142" customFormat="1" ht="12.75" customHeight="1" x14ac:dyDescent="0.2">
      <c r="A727" s="151" t="s">
        <v>7680</v>
      </c>
      <c r="B727" s="152" t="s">
        <v>2398</v>
      </c>
      <c r="C727" s="152" t="s">
        <v>2705</v>
      </c>
      <c r="D727" s="152" t="s">
        <v>2705</v>
      </c>
      <c r="E727" s="152" t="s">
        <v>1435</v>
      </c>
      <c r="F727" s="152" t="s">
        <v>2705</v>
      </c>
      <c r="G727" s="152" t="s">
        <v>2705</v>
      </c>
      <c r="H727" s="152" t="s">
        <v>2705</v>
      </c>
      <c r="I727" s="152" t="s">
        <v>2398</v>
      </c>
      <c r="J727" s="152" t="s">
        <v>2705</v>
      </c>
      <c r="K727" s="152" t="s">
        <v>2398</v>
      </c>
      <c r="L727" s="152" t="s">
        <v>1435</v>
      </c>
      <c r="M727" s="152" t="s">
        <v>2705</v>
      </c>
      <c r="N727" s="152" t="s">
        <v>2705</v>
      </c>
      <c r="O727" s="152" t="s">
        <v>2398</v>
      </c>
      <c r="P727" s="152" t="s">
        <v>2705</v>
      </c>
      <c r="Q727" s="152" t="s">
        <v>2705</v>
      </c>
      <c r="R727" s="152" t="s">
        <v>2705</v>
      </c>
      <c r="S727" s="152" t="s">
        <v>2705</v>
      </c>
      <c r="T727" s="152" t="s">
        <v>2705</v>
      </c>
      <c r="U727" s="152" t="s">
        <v>2705</v>
      </c>
    </row>
    <row r="728" spans="1:21" s="142" customFormat="1" ht="12.75" x14ac:dyDescent="0.2">
      <c r="A728" s="151"/>
      <c r="B728" s="152" t="s">
        <v>2705</v>
      </c>
      <c r="C728" s="152" t="s">
        <v>2705</v>
      </c>
      <c r="D728" s="152" t="s">
        <v>2705</v>
      </c>
      <c r="E728" s="152" t="s">
        <v>2705</v>
      </c>
      <c r="F728" s="152" t="s">
        <v>2705</v>
      </c>
      <c r="G728" s="152" t="s">
        <v>2705</v>
      </c>
      <c r="H728" s="152" t="s">
        <v>2705</v>
      </c>
      <c r="I728" s="152" t="s">
        <v>1435</v>
      </c>
      <c r="J728" s="152" t="s">
        <v>2705</v>
      </c>
      <c r="K728" s="152" t="s">
        <v>2705</v>
      </c>
      <c r="L728" s="152" t="s">
        <v>2398</v>
      </c>
      <c r="M728" s="152" t="s">
        <v>2705</v>
      </c>
      <c r="N728" s="152" t="s">
        <v>2705</v>
      </c>
      <c r="O728" s="152" t="s">
        <v>2705</v>
      </c>
      <c r="P728" s="152" t="s">
        <v>2398</v>
      </c>
      <c r="Q728" s="152" t="s">
        <v>2705</v>
      </c>
      <c r="R728" s="152" t="s">
        <v>2705</v>
      </c>
      <c r="S728" s="152" t="s">
        <v>2705</v>
      </c>
      <c r="T728" s="152" t="s">
        <v>2705</v>
      </c>
      <c r="U728" s="152" t="s">
        <v>2398</v>
      </c>
    </row>
    <row r="729" spans="1:21" s="142" customFormat="1" ht="12.75" customHeight="1" x14ac:dyDescent="0.2">
      <c r="A729" s="151" t="s">
        <v>7681</v>
      </c>
      <c r="B729" s="152" t="s">
        <v>2398</v>
      </c>
      <c r="C729" s="152" t="s">
        <v>2705</v>
      </c>
      <c r="D729" s="152" t="s">
        <v>2398</v>
      </c>
      <c r="E729" s="152" t="s">
        <v>2398</v>
      </c>
      <c r="F729" s="152" t="s">
        <v>2398</v>
      </c>
      <c r="G729" s="152" t="s">
        <v>2705</v>
      </c>
      <c r="H729" s="152" t="s">
        <v>2705</v>
      </c>
      <c r="I729" s="152" t="s">
        <v>2675</v>
      </c>
      <c r="J729" s="152" t="s">
        <v>2675</v>
      </c>
      <c r="K729" s="152" t="s">
        <v>2398</v>
      </c>
      <c r="L729" s="152" t="s">
        <v>1435</v>
      </c>
      <c r="M729" s="152" t="s">
        <v>2398</v>
      </c>
      <c r="N729" s="152" t="s">
        <v>2705</v>
      </c>
      <c r="O729" s="152" t="s">
        <v>2705</v>
      </c>
      <c r="P729" s="152" t="s">
        <v>2705</v>
      </c>
      <c r="Q729" s="152" t="s">
        <v>2705</v>
      </c>
      <c r="R729" s="152" t="s">
        <v>2705</v>
      </c>
      <c r="S729" s="152" t="s">
        <v>2397</v>
      </c>
      <c r="T729" s="152" t="s">
        <v>2705</v>
      </c>
      <c r="U729" s="152" t="s">
        <v>2705</v>
      </c>
    </row>
    <row r="730" spans="1:21" s="142" customFormat="1" ht="12.75" x14ac:dyDescent="0.2">
      <c r="A730" s="151"/>
      <c r="B730" s="152" t="s">
        <v>2397</v>
      </c>
      <c r="C730" s="152" t="s">
        <v>2398</v>
      </c>
      <c r="D730" s="152" t="s">
        <v>2705</v>
      </c>
      <c r="E730" s="152" t="s">
        <v>2705</v>
      </c>
      <c r="F730" s="152" t="s">
        <v>2705</v>
      </c>
      <c r="G730" s="152" t="s">
        <v>2705</v>
      </c>
      <c r="H730" s="152" t="s">
        <v>2705</v>
      </c>
      <c r="I730" s="152" t="s">
        <v>2398</v>
      </c>
      <c r="J730" s="152" t="s">
        <v>2398</v>
      </c>
      <c r="K730" s="152" t="s">
        <v>2705</v>
      </c>
      <c r="L730" s="152" t="s">
        <v>2398</v>
      </c>
      <c r="M730" s="152" t="s">
        <v>2398</v>
      </c>
      <c r="N730" s="152" t="s">
        <v>2705</v>
      </c>
      <c r="O730" s="152" t="s">
        <v>2398</v>
      </c>
      <c r="P730" s="152" t="s">
        <v>2675</v>
      </c>
      <c r="Q730" s="152" t="s">
        <v>2705</v>
      </c>
      <c r="R730" s="152" t="s">
        <v>2705</v>
      </c>
      <c r="S730" s="152" t="s">
        <v>2398</v>
      </c>
      <c r="T730" s="152" t="s">
        <v>2398</v>
      </c>
      <c r="U730" s="152" t="s">
        <v>2675</v>
      </c>
    </row>
    <row r="731" spans="1:21" s="142" customFormat="1" ht="12.75" customHeight="1" x14ac:dyDescent="0.2">
      <c r="A731" s="151" t="s">
        <v>7682</v>
      </c>
      <c r="B731" s="152" t="s">
        <v>2398</v>
      </c>
      <c r="C731" s="152" t="s">
        <v>2705</v>
      </c>
      <c r="D731" s="152" t="s">
        <v>2705</v>
      </c>
      <c r="E731" s="152" t="s">
        <v>2397</v>
      </c>
      <c r="F731" s="152" t="s">
        <v>2705</v>
      </c>
      <c r="G731" s="152" t="s">
        <v>2705</v>
      </c>
      <c r="H731" s="152" t="s">
        <v>2398</v>
      </c>
      <c r="I731" s="152" t="s">
        <v>2398</v>
      </c>
      <c r="J731" s="152" t="s">
        <v>2705</v>
      </c>
      <c r="K731" s="152" t="s">
        <v>2705</v>
      </c>
      <c r="L731" s="152" t="s">
        <v>2705</v>
      </c>
      <c r="M731" s="152" t="s">
        <v>2705</v>
      </c>
      <c r="N731" s="152" t="s">
        <v>2705</v>
      </c>
      <c r="O731" s="152" t="s">
        <v>2398</v>
      </c>
      <c r="P731" s="152" t="s">
        <v>2675</v>
      </c>
      <c r="Q731" s="152" t="s">
        <v>2398</v>
      </c>
      <c r="R731" s="152" t="s">
        <v>2398</v>
      </c>
      <c r="S731" s="152" t="s">
        <v>2705</v>
      </c>
      <c r="T731" s="152" t="s">
        <v>2398</v>
      </c>
      <c r="U731" s="152" t="s">
        <v>2705</v>
      </c>
    </row>
    <row r="732" spans="1:21" s="142" customFormat="1" ht="12.75" x14ac:dyDescent="0.2">
      <c r="A732" s="151"/>
      <c r="B732" s="152" t="s">
        <v>2398</v>
      </c>
      <c r="C732" s="152" t="s">
        <v>2705</v>
      </c>
      <c r="D732" s="152" t="s">
        <v>2705</v>
      </c>
      <c r="E732" s="152" t="s">
        <v>2705</v>
      </c>
      <c r="F732" s="152" t="s">
        <v>2705</v>
      </c>
      <c r="G732" s="152" t="s">
        <v>2705</v>
      </c>
      <c r="H732" s="152" t="s">
        <v>2705</v>
      </c>
      <c r="I732" s="152" t="s">
        <v>2705</v>
      </c>
      <c r="J732" s="152" t="s">
        <v>2705</v>
      </c>
      <c r="K732" s="152" t="s">
        <v>2398</v>
      </c>
      <c r="L732" s="152" t="s">
        <v>2398</v>
      </c>
      <c r="M732" s="152" t="s">
        <v>2705</v>
      </c>
      <c r="N732" s="152" t="s">
        <v>2705</v>
      </c>
      <c r="O732" s="152" t="s">
        <v>2705</v>
      </c>
      <c r="P732" s="152" t="s">
        <v>2705</v>
      </c>
      <c r="Q732" s="152" t="s">
        <v>2705</v>
      </c>
      <c r="R732" s="152" t="s">
        <v>2705</v>
      </c>
      <c r="S732" s="152" t="s">
        <v>2398</v>
      </c>
      <c r="T732" s="152" t="s">
        <v>2705</v>
      </c>
      <c r="U732" s="152" t="s">
        <v>2705</v>
      </c>
    </row>
    <row r="733" spans="1:21" s="142" customFormat="1" ht="12.75" customHeight="1" x14ac:dyDescent="0.2">
      <c r="A733" s="151" t="s">
        <v>7683</v>
      </c>
      <c r="B733" s="152" t="s">
        <v>2705</v>
      </c>
      <c r="C733" s="152" t="s">
        <v>2398</v>
      </c>
      <c r="D733" s="152" t="s">
        <v>2705</v>
      </c>
      <c r="E733" s="152" t="s">
        <v>1435</v>
      </c>
      <c r="F733" s="152" t="s">
        <v>1435</v>
      </c>
      <c r="G733" s="152" t="s">
        <v>1435</v>
      </c>
      <c r="H733" s="152" t="s">
        <v>1435</v>
      </c>
      <c r="I733" s="152" t="s">
        <v>2675</v>
      </c>
      <c r="J733" s="152" t="s">
        <v>2705</v>
      </c>
      <c r="K733" s="152" t="s">
        <v>2398</v>
      </c>
      <c r="L733" s="152" t="s">
        <v>2397</v>
      </c>
      <c r="M733" s="152" t="s">
        <v>2705</v>
      </c>
      <c r="N733" s="152" t="s">
        <v>2398</v>
      </c>
      <c r="O733" s="152" t="s">
        <v>2398</v>
      </c>
      <c r="P733" s="152" t="s">
        <v>2675</v>
      </c>
      <c r="Q733" s="152" t="s">
        <v>2398</v>
      </c>
      <c r="R733" s="152" t="s">
        <v>2398</v>
      </c>
      <c r="S733" s="152" t="s">
        <v>2705</v>
      </c>
      <c r="T733" s="152" t="s">
        <v>2705</v>
      </c>
      <c r="U733" s="152" t="s">
        <v>2675</v>
      </c>
    </row>
    <row r="734" spans="1:21" s="142" customFormat="1" ht="12.75" x14ac:dyDescent="0.2">
      <c r="A734" s="151"/>
      <c r="B734" s="152" t="s">
        <v>2397</v>
      </c>
      <c r="C734" s="152" t="s">
        <v>1435</v>
      </c>
      <c r="D734" s="152" t="s">
        <v>2705</v>
      </c>
      <c r="E734" s="152" t="s">
        <v>2398</v>
      </c>
      <c r="F734" s="152" t="s">
        <v>2397</v>
      </c>
      <c r="G734" s="152" t="s">
        <v>1435</v>
      </c>
      <c r="H734" s="152" t="s">
        <v>2675</v>
      </c>
      <c r="I734" s="152" t="s">
        <v>2397</v>
      </c>
      <c r="J734" s="152" t="s">
        <v>2705</v>
      </c>
      <c r="K734" s="152" t="s">
        <v>2705</v>
      </c>
      <c r="L734" s="152" t="s">
        <v>1435</v>
      </c>
      <c r="M734" s="152" t="s">
        <v>2705</v>
      </c>
      <c r="N734" s="152" t="s">
        <v>2398</v>
      </c>
      <c r="O734" s="152" t="s">
        <v>2398</v>
      </c>
      <c r="P734" s="152" t="s">
        <v>2398</v>
      </c>
      <c r="Q734" s="152" t="s">
        <v>2705</v>
      </c>
      <c r="R734" s="152" t="s">
        <v>2705</v>
      </c>
      <c r="S734" s="152" t="s">
        <v>2705</v>
      </c>
      <c r="T734" s="152" t="s">
        <v>2397</v>
      </c>
      <c r="U734" s="152" t="s">
        <v>2398</v>
      </c>
    </row>
    <row r="735" spans="1:21" s="142" customFormat="1" ht="12.75" customHeight="1" x14ac:dyDescent="0.2">
      <c r="A735" s="151" t="s">
        <v>7684</v>
      </c>
      <c r="B735" s="152" t="s">
        <v>2675</v>
      </c>
      <c r="C735" s="152" t="s">
        <v>2675</v>
      </c>
      <c r="D735" s="152" t="s">
        <v>1435</v>
      </c>
      <c r="E735" s="152" t="s">
        <v>2398</v>
      </c>
      <c r="F735" s="152" t="s">
        <v>2397</v>
      </c>
      <c r="G735" s="152" t="s">
        <v>2398</v>
      </c>
      <c r="H735" s="152" t="s">
        <v>2705</v>
      </c>
      <c r="I735" s="152" t="s">
        <v>2675</v>
      </c>
      <c r="J735" s="152" t="s">
        <v>2705</v>
      </c>
      <c r="K735" s="152" t="s">
        <v>2397</v>
      </c>
      <c r="L735" s="152" t="s">
        <v>1435</v>
      </c>
      <c r="M735" s="152" t="s">
        <v>2705</v>
      </c>
      <c r="N735" s="152" t="s">
        <v>2397</v>
      </c>
      <c r="O735" s="152" t="s">
        <v>2398</v>
      </c>
      <c r="P735" s="152" t="s">
        <v>1435</v>
      </c>
      <c r="Q735" s="152" t="s">
        <v>2397</v>
      </c>
      <c r="R735" s="152" t="s">
        <v>2705</v>
      </c>
      <c r="S735" s="152" t="s">
        <v>2705</v>
      </c>
      <c r="T735" s="152" t="s">
        <v>2397</v>
      </c>
      <c r="U735" s="152" t="s">
        <v>2675</v>
      </c>
    </row>
    <row r="736" spans="1:21" s="142" customFormat="1" ht="12.75" x14ac:dyDescent="0.2">
      <c r="A736" s="151"/>
      <c r="B736" s="152" t="s">
        <v>2398</v>
      </c>
      <c r="C736" s="152" t="s">
        <v>2398</v>
      </c>
      <c r="D736" s="152" t="s">
        <v>2398</v>
      </c>
      <c r="E736" s="152" t="s">
        <v>2398</v>
      </c>
      <c r="F736" s="152" t="s">
        <v>2675</v>
      </c>
      <c r="G736" s="152" t="s">
        <v>2398</v>
      </c>
      <c r="H736" s="152" t="s">
        <v>2397</v>
      </c>
      <c r="I736" s="152" t="s">
        <v>2705</v>
      </c>
      <c r="J736" s="152" t="s">
        <v>2705</v>
      </c>
      <c r="K736" s="152" t="s">
        <v>2398</v>
      </c>
      <c r="L736" s="152" t="s">
        <v>1435</v>
      </c>
      <c r="M736" s="152" t="s">
        <v>2398</v>
      </c>
      <c r="N736" s="152" t="s">
        <v>2705</v>
      </c>
      <c r="O736" s="152" t="s">
        <v>2675</v>
      </c>
      <c r="P736" s="152" t="s">
        <v>2398</v>
      </c>
      <c r="Q736" s="152" t="s">
        <v>2398</v>
      </c>
      <c r="R736" s="152" t="s">
        <v>2398</v>
      </c>
      <c r="S736" s="152" t="s">
        <v>2397</v>
      </c>
      <c r="T736" s="152" t="s">
        <v>2705</v>
      </c>
      <c r="U736" s="152" t="s">
        <v>2398</v>
      </c>
    </row>
    <row r="737" spans="1:21" s="142" customFormat="1" ht="12.75" customHeight="1" x14ac:dyDescent="0.2">
      <c r="A737" s="151" t="s">
        <v>7685</v>
      </c>
      <c r="B737" s="152" t="s">
        <v>2705</v>
      </c>
      <c r="C737" s="152" t="s">
        <v>2397</v>
      </c>
      <c r="D737" s="152" t="s">
        <v>2675</v>
      </c>
      <c r="E737" s="152" t="s">
        <v>2705</v>
      </c>
      <c r="F737" s="152" t="s">
        <v>2397</v>
      </c>
      <c r="G737" s="152" t="s">
        <v>2705</v>
      </c>
      <c r="H737" s="152" t="s">
        <v>2398</v>
      </c>
      <c r="I737" s="152" t="s">
        <v>2705</v>
      </c>
      <c r="J737" s="152" t="s">
        <v>2675</v>
      </c>
      <c r="K737" s="152" t="s">
        <v>1435</v>
      </c>
      <c r="L737" s="152" t="s">
        <v>2705</v>
      </c>
      <c r="M737" s="152" t="s">
        <v>2397</v>
      </c>
      <c r="N737" s="152" t="s">
        <v>2705</v>
      </c>
      <c r="O737" s="152" t="s">
        <v>2398</v>
      </c>
      <c r="P737" s="152" t="s">
        <v>2397</v>
      </c>
      <c r="Q737" s="152" t="s">
        <v>2705</v>
      </c>
      <c r="R737" s="152" t="s">
        <v>2397</v>
      </c>
      <c r="S737" s="152" t="s">
        <v>2675</v>
      </c>
      <c r="T737" s="152" t="s">
        <v>2397</v>
      </c>
      <c r="U737" s="152" t="s">
        <v>2705</v>
      </c>
    </row>
    <row r="738" spans="1:21" s="142" customFormat="1" ht="12.75" x14ac:dyDescent="0.2">
      <c r="A738" s="151"/>
      <c r="B738" s="152" t="s">
        <v>2705</v>
      </c>
      <c r="C738" s="152" t="s">
        <v>1435</v>
      </c>
      <c r="D738" s="152" t="s">
        <v>2705</v>
      </c>
      <c r="E738" s="152" t="s">
        <v>1435</v>
      </c>
      <c r="F738" s="152" t="s">
        <v>2675</v>
      </c>
      <c r="G738" s="152" t="s">
        <v>2705</v>
      </c>
      <c r="H738" s="152" t="s">
        <v>2705</v>
      </c>
      <c r="I738" s="152" t="s">
        <v>2705</v>
      </c>
      <c r="J738" s="152" t="s">
        <v>2705</v>
      </c>
      <c r="K738" s="152" t="s">
        <v>2675</v>
      </c>
      <c r="L738" s="152" t="s">
        <v>2705</v>
      </c>
      <c r="M738" s="152" t="s">
        <v>2705</v>
      </c>
      <c r="N738" s="152" t="s">
        <v>2398</v>
      </c>
      <c r="O738" s="152" t="s">
        <v>2705</v>
      </c>
      <c r="P738" s="152" t="s">
        <v>2397</v>
      </c>
      <c r="Q738" s="152" t="s">
        <v>2705</v>
      </c>
      <c r="R738" s="152" t="s">
        <v>2398</v>
      </c>
      <c r="S738" s="152" t="s">
        <v>2397</v>
      </c>
      <c r="T738" s="152" t="s">
        <v>1435</v>
      </c>
      <c r="U738" s="152" t="s">
        <v>2398</v>
      </c>
    </row>
    <row r="739" spans="1:21" s="142" customFormat="1" ht="12.75" customHeight="1" x14ac:dyDescent="0.2">
      <c r="A739" s="151" t="s">
        <v>7686</v>
      </c>
      <c r="B739" s="152" t="s">
        <v>2705</v>
      </c>
      <c r="C739" s="152" t="s">
        <v>2705</v>
      </c>
      <c r="D739" s="152" t="s">
        <v>2705</v>
      </c>
      <c r="E739" s="152" t="s">
        <v>1435</v>
      </c>
      <c r="F739" s="152" t="s">
        <v>2398</v>
      </c>
      <c r="G739" s="152" t="s">
        <v>2705</v>
      </c>
      <c r="H739" s="152" t="s">
        <v>2705</v>
      </c>
      <c r="I739" s="152" t="s">
        <v>2675</v>
      </c>
      <c r="J739" s="152" t="s">
        <v>2397</v>
      </c>
      <c r="K739" s="152" t="s">
        <v>2398</v>
      </c>
      <c r="L739" s="152" t="s">
        <v>2705</v>
      </c>
      <c r="M739" s="152" t="s">
        <v>2398</v>
      </c>
      <c r="N739" s="152" t="s">
        <v>2675</v>
      </c>
      <c r="O739" s="152" t="s">
        <v>2397</v>
      </c>
      <c r="P739" s="152" t="s">
        <v>2705</v>
      </c>
      <c r="Q739" s="152" t="s">
        <v>1435</v>
      </c>
      <c r="R739" s="152" t="s">
        <v>2675</v>
      </c>
      <c r="S739" s="152" t="s">
        <v>2675</v>
      </c>
      <c r="T739" s="152" t="s">
        <v>2705</v>
      </c>
      <c r="U739" s="152" t="s">
        <v>2705</v>
      </c>
    </row>
    <row r="740" spans="1:21" s="142" customFormat="1" ht="12.75" x14ac:dyDescent="0.2">
      <c r="A740" s="151"/>
      <c r="B740" s="152" t="s">
        <v>2397</v>
      </c>
      <c r="C740" s="152" t="s">
        <v>2398</v>
      </c>
      <c r="D740" s="152" t="s">
        <v>2705</v>
      </c>
      <c r="E740" s="152" t="s">
        <v>2675</v>
      </c>
      <c r="F740" s="152" t="s">
        <v>2675</v>
      </c>
      <c r="G740" s="152" t="s">
        <v>2398</v>
      </c>
      <c r="H740" s="152" t="s">
        <v>2398</v>
      </c>
      <c r="I740" s="152" t="s">
        <v>2398</v>
      </c>
      <c r="J740" s="152" t="s">
        <v>2398</v>
      </c>
      <c r="K740" s="152" t="s">
        <v>2675</v>
      </c>
      <c r="L740" s="152" t="s">
        <v>2398</v>
      </c>
      <c r="M740" s="152" t="s">
        <v>2398</v>
      </c>
      <c r="N740" s="152" t="s">
        <v>2398</v>
      </c>
      <c r="O740" s="152" t="s">
        <v>2705</v>
      </c>
      <c r="P740" s="152" t="s">
        <v>2398</v>
      </c>
      <c r="Q740" s="152" t="s">
        <v>2705</v>
      </c>
      <c r="R740" s="152" t="s">
        <v>2398</v>
      </c>
      <c r="S740" s="152" t="s">
        <v>2705</v>
      </c>
      <c r="T740" s="152" t="s">
        <v>2398</v>
      </c>
      <c r="U740" s="152" t="s">
        <v>2398</v>
      </c>
    </row>
    <row r="741" spans="1:21" s="142" customFormat="1" ht="12.75" customHeight="1" x14ac:dyDescent="0.2">
      <c r="A741" s="151" t="s">
        <v>7687</v>
      </c>
      <c r="B741" s="152" t="s">
        <v>2705</v>
      </c>
      <c r="C741" s="152" t="s">
        <v>2705</v>
      </c>
      <c r="D741" s="152" t="s">
        <v>2675</v>
      </c>
      <c r="E741" s="152" t="s">
        <v>2705</v>
      </c>
      <c r="F741" s="152" t="s">
        <v>2705</v>
      </c>
      <c r="G741" s="152" t="s">
        <v>2705</v>
      </c>
      <c r="H741" s="152" t="s">
        <v>2705</v>
      </c>
      <c r="I741" s="152" t="s">
        <v>2398</v>
      </c>
      <c r="J741" s="152" t="s">
        <v>2705</v>
      </c>
      <c r="K741" s="152" t="s">
        <v>2705</v>
      </c>
      <c r="L741" s="152" t="s">
        <v>2705</v>
      </c>
      <c r="M741" s="152" t="s">
        <v>2705</v>
      </c>
      <c r="N741" s="152" t="s">
        <v>2705</v>
      </c>
      <c r="O741" s="152" t="s">
        <v>2398</v>
      </c>
      <c r="P741" s="152" t="s">
        <v>2705</v>
      </c>
      <c r="Q741" s="152" t="s">
        <v>2398</v>
      </c>
      <c r="R741" s="152" t="s">
        <v>2675</v>
      </c>
      <c r="S741" s="152" t="s">
        <v>2398</v>
      </c>
      <c r="T741" s="152" t="s">
        <v>2705</v>
      </c>
      <c r="U741" s="152" t="s">
        <v>2705</v>
      </c>
    </row>
    <row r="742" spans="1:21" s="142" customFormat="1" ht="12.75" x14ac:dyDescent="0.2">
      <c r="A742" s="151"/>
      <c r="B742" s="152" t="s">
        <v>2398</v>
      </c>
      <c r="C742" s="152" t="s">
        <v>2705</v>
      </c>
      <c r="D742" s="152" t="s">
        <v>2705</v>
      </c>
      <c r="E742" s="152" t="s">
        <v>2705</v>
      </c>
      <c r="F742" s="152" t="s">
        <v>2705</v>
      </c>
      <c r="G742" s="152" t="s">
        <v>2675</v>
      </c>
      <c r="H742" s="152" t="s">
        <v>2398</v>
      </c>
      <c r="I742" s="152" t="s">
        <v>2705</v>
      </c>
      <c r="J742" s="152" t="s">
        <v>2705</v>
      </c>
      <c r="K742" s="152" t="s">
        <v>2705</v>
      </c>
      <c r="L742" s="152" t="s">
        <v>2705</v>
      </c>
      <c r="M742" s="152" t="s">
        <v>2398</v>
      </c>
      <c r="N742" s="152" t="s">
        <v>2398</v>
      </c>
      <c r="O742" s="152" t="s">
        <v>2705</v>
      </c>
      <c r="P742" s="152" t="s">
        <v>2705</v>
      </c>
      <c r="Q742" s="152" t="s">
        <v>2398</v>
      </c>
      <c r="R742" s="152" t="s">
        <v>2705</v>
      </c>
      <c r="S742" s="152" t="s">
        <v>2705</v>
      </c>
      <c r="T742" s="152" t="s">
        <v>2705</v>
      </c>
      <c r="U742" s="152" t="s">
        <v>2705</v>
      </c>
    </row>
    <row r="743" spans="1:21" s="142" customFormat="1" ht="12.75" customHeight="1" x14ac:dyDescent="0.2">
      <c r="A743" s="151" t="s">
        <v>7688</v>
      </c>
      <c r="B743" s="152" t="s">
        <v>2398</v>
      </c>
      <c r="C743" s="152" t="s">
        <v>2705</v>
      </c>
      <c r="D743" s="152" t="s">
        <v>2398</v>
      </c>
      <c r="E743" s="152" t="s">
        <v>2397</v>
      </c>
      <c r="F743" s="152" t="s">
        <v>2397</v>
      </c>
      <c r="G743" s="152" t="s">
        <v>2705</v>
      </c>
      <c r="H743" s="152" t="s">
        <v>2398</v>
      </c>
      <c r="I743" s="152" t="s">
        <v>2398</v>
      </c>
      <c r="J743" s="152" t="s">
        <v>2398</v>
      </c>
      <c r="K743" s="152" t="s">
        <v>2705</v>
      </c>
      <c r="L743" s="152" t="s">
        <v>1435</v>
      </c>
      <c r="M743" s="152" t="s">
        <v>2705</v>
      </c>
      <c r="N743" s="152" t="s">
        <v>2675</v>
      </c>
      <c r="O743" s="152" t="s">
        <v>2397</v>
      </c>
      <c r="P743" s="152" t="s">
        <v>2705</v>
      </c>
      <c r="Q743" s="152" t="s">
        <v>2398</v>
      </c>
      <c r="R743" s="152" t="s">
        <v>2705</v>
      </c>
      <c r="S743" s="152" t="s">
        <v>2675</v>
      </c>
      <c r="T743" s="152" t="s">
        <v>2398</v>
      </c>
      <c r="U743" s="152" t="s">
        <v>2675</v>
      </c>
    </row>
    <row r="744" spans="1:21" s="142" customFormat="1" ht="12.75" x14ac:dyDescent="0.2">
      <c r="A744" s="151"/>
      <c r="B744" s="152" t="s">
        <v>2398</v>
      </c>
      <c r="C744" s="152" t="s">
        <v>2675</v>
      </c>
      <c r="D744" s="152" t="s">
        <v>2705</v>
      </c>
      <c r="E744" s="152" t="s">
        <v>2675</v>
      </c>
      <c r="F744" s="152" t="s">
        <v>2705</v>
      </c>
      <c r="G744" s="152" t="s">
        <v>2398</v>
      </c>
      <c r="H744" s="152" t="s">
        <v>2705</v>
      </c>
      <c r="I744" s="152" t="s">
        <v>1435</v>
      </c>
      <c r="J744" s="152" t="s">
        <v>2398</v>
      </c>
      <c r="K744" s="152" t="s">
        <v>2705</v>
      </c>
      <c r="L744" s="152" t="s">
        <v>2705</v>
      </c>
      <c r="M744" s="152" t="s">
        <v>1435</v>
      </c>
      <c r="N744" s="152" t="s">
        <v>2397</v>
      </c>
      <c r="O744" s="152" t="s">
        <v>2675</v>
      </c>
      <c r="P744" s="152" t="s">
        <v>2675</v>
      </c>
      <c r="Q744" s="152" t="s">
        <v>2705</v>
      </c>
      <c r="R744" s="152" t="s">
        <v>2705</v>
      </c>
      <c r="S744" s="152" t="s">
        <v>2705</v>
      </c>
      <c r="T744" s="152" t="s">
        <v>2705</v>
      </c>
      <c r="U744" s="152" t="s">
        <v>2675</v>
      </c>
    </row>
    <row r="745" spans="1:21" s="142" customFormat="1" ht="12.75" customHeight="1" x14ac:dyDescent="0.2">
      <c r="A745" s="151" t="s">
        <v>7689</v>
      </c>
      <c r="B745" s="152" t="s">
        <v>2398</v>
      </c>
      <c r="C745" s="152" t="s">
        <v>2705</v>
      </c>
      <c r="D745" s="152" t="s">
        <v>2398</v>
      </c>
      <c r="E745" s="152" t="s">
        <v>1435</v>
      </c>
      <c r="F745" s="152" t="s">
        <v>2397</v>
      </c>
      <c r="G745" s="152" t="s">
        <v>2705</v>
      </c>
      <c r="H745" s="152" t="s">
        <v>2705</v>
      </c>
      <c r="I745" s="152" t="s">
        <v>2675</v>
      </c>
      <c r="J745" s="152" t="s">
        <v>2675</v>
      </c>
      <c r="K745" s="152" t="s">
        <v>2397</v>
      </c>
      <c r="L745" s="152" t="s">
        <v>1435</v>
      </c>
      <c r="M745" s="152" t="s">
        <v>2705</v>
      </c>
      <c r="N745" s="152" t="s">
        <v>2705</v>
      </c>
      <c r="O745" s="152" t="s">
        <v>2705</v>
      </c>
      <c r="P745" s="152" t="s">
        <v>2705</v>
      </c>
      <c r="Q745" s="152" t="s">
        <v>2705</v>
      </c>
      <c r="R745" s="152" t="s">
        <v>2705</v>
      </c>
      <c r="S745" s="152" t="s">
        <v>2705</v>
      </c>
      <c r="T745" s="152" t="s">
        <v>1435</v>
      </c>
      <c r="U745" s="152" t="s">
        <v>2705</v>
      </c>
    </row>
    <row r="746" spans="1:21" s="142" customFormat="1" ht="12.75" x14ac:dyDescent="0.2">
      <c r="A746" s="151"/>
      <c r="B746" s="152" t="s">
        <v>2705</v>
      </c>
      <c r="C746" s="152" t="s">
        <v>2675</v>
      </c>
      <c r="D746" s="152" t="s">
        <v>2705</v>
      </c>
      <c r="E746" s="152" t="s">
        <v>2675</v>
      </c>
      <c r="F746" s="152" t="s">
        <v>2705</v>
      </c>
      <c r="G746" s="152" t="s">
        <v>2705</v>
      </c>
      <c r="H746" s="152" t="s">
        <v>2397</v>
      </c>
      <c r="I746" s="152" t="s">
        <v>2705</v>
      </c>
      <c r="J746" s="152" t="s">
        <v>2398</v>
      </c>
      <c r="K746" s="152" t="s">
        <v>2705</v>
      </c>
      <c r="L746" s="152" t="s">
        <v>2398</v>
      </c>
      <c r="M746" s="152" t="s">
        <v>2705</v>
      </c>
      <c r="N746" s="152" t="s">
        <v>2705</v>
      </c>
      <c r="O746" s="152" t="s">
        <v>2705</v>
      </c>
      <c r="P746" s="152" t="s">
        <v>2675</v>
      </c>
      <c r="Q746" s="152" t="s">
        <v>2705</v>
      </c>
      <c r="R746" s="152" t="s">
        <v>2705</v>
      </c>
      <c r="S746" s="152" t="s">
        <v>2705</v>
      </c>
      <c r="T746" s="152" t="s">
        <v>2397</v>
      </c>
      <c r="U746" s="152" t="s">
        <v>2705</v>
      </c>
    </row>
    <row r="747" spans="1:21" s="142" customFormat="1" ht="12.75" customHeight="1" x14ac:dyDescent="0.2">
      <c r="A747" s="151" t="s">
        <v>7690</v>
      </c>
      <c r="B747" s="152" t="s">
        <v>2705</v>
      </c>
      <c r="C747" s="152" t="s">
        <v>2398</v>
      </c>
      <c r="D747" s="152" t="s">
        <v>2675</v>
      </c>
      <c r="E747" s="152" t="s">
        <v>2705</v>
      </c>
      <c r="F747" s="152" t="s">
        <v>2705</v>
      </c>
      <c r="G747" s="152" t="s">
        <v>2705</v>
      </c>
      <c r="H747" s="152" t="s">
        <v>2705</v>
      </c>
      <c r="I747" s="152" t="s">
        <v>2705</v>
      </c>
      <c r="J747" s="152" t="s">
        <v>2705</v>
      </c>
      <c r="K747" s="152" t="s">
        <v>2705</v>
      </c>
      <c r="L747" s="152" t="s">
        <v>2705</v>
      </c>
      <c r="M747" s="152" t="s">
        <v>2398</v>
      </c>
      <c r="N747" s="152" t="s">
        <v>2705</v>
      </c>
      <c r="O747" s="152" t="s">
        <v>2705</v>
      </c>
      <c r="P747" s="152" t="s">
        <v>2705</v>
      </c>
      <c r="Q747" s="152" t="s">
        <v>2705</v>
      </c>
      <c r="R747" s="152" t="s">
        <v>2705</v>
      </c>
      <c r="S747" s="152" t="s">
        <v>2705</v>
      </c>
      <c r="T747" s="152" t="s">
        <v>2398</v>
      </c>
      <c r="U747" s="152" t="s">
        <v>2675</v>
      </c>
    </row>
    <row r="748" spans="1:21" s="142" customFormat="1" ht="12.75" x14ac:dyDescent="0.2">
      <c r="A748" s="151"/>
      <c r="B748" s="152" t="s">
        <v>2705</v>
      </c>
      <c r="C748" s="152" t="s">
        <v>2397</v>
      </c>
      <c r="D748" s="152" t="s">
        <v>2705</v>
      </c>
      <c r="E748" s="152" t="s">
        <v>2675</v>
      </c>
      <c r="F748" s="152" t="s">
        <v>2705</v>
      </c>
      <c r="G748" s="152" t="s">
        <v>2705</v>
      </c>
      <c r="H748" s="152" t="s">
        <v>2705</v>
      </c>
      <c r="I748" s="152" t="s">
        <v>2705</v>
      </c>
      <c r="J748" s="152" t="s">
        <v>2705</v>
      </c>
      <c r="K748" s="152" t="s">
        <v>2705</v>
      </c>
      <c r="L748" s="152" t="s">
        <v>2705</v>
      </c>
      <c r="M748" s="152" t="s">
        <v>2705</v>
      </c>
      <c r="N748" s="152" t="s">
        <v>2705</v>
      </c>
      <c r="O748" s="152" t="s">
        <v>2398</v>
      </c>
      <c r="P748" s="152" t="s">
        <v>2705</v>
      </c>
      <c r="Q748" s="152" t="s">
        <v>2705</v>
      </c>
      <c r="R748" s="152" t="s">
        <v>1435</v>
      </c>
      <c r="S748" s="152" t="s">
        <v>2705</v>
      </c>
      <c r="T748" s="152" t="s">
        <v>2705</v>
      </c>
      <c r="U748" s="152" t="s">
        <v>2705</v>
      </c>
    </row>
    <row r="749" spans="1:21" s="142" customFormat="1" ht="12.75" customHeight="1" x14ac:dyDescent="0.2">
      <c r="A749" s="151" t="s">
        <v>7691</v>
      </c>
      <c r="B749" s="152" t="s">
        <v>2705</v>
      </c>
      <c r="C749" s="152" t="s">
        <v>2705</v>
      </c>
      <c r="D749" s="152" t="s">
        <v>2398</v>
      </c>
      <c r="E749" s="152" t="s">
        <v>2705</v>
      </c>
      <c r="F749" s="152" t="s">
        <v>2705</v>
      </c>
      <c r="G749" s="152" t="s">
        <v>2705</v>
      </c>
      <c r="H749" s="152" t="s">
        <v>1435</v>
      </c>
      <c r="I749" s="152" t="s">
        <v>1435</v>
      </c>
      <c r="J749" s="152" t="s">
        <v>2705</v>
      </c>
      <c r="K749" s="152" t="s">
        <v>2705</v>
      </c>
      <c r="L749" s="152" t="s">
        <v>2705</v>
      </c>
      <c r="M749" s="152" t="s">
        <v>2705</v>
      </c>
      <c r="N749" s="152" t="s">
        <v>2705</v>
      </c>
      <c r="O749" s="152" t="s">
        <v>2398</v>
      </c>
      <c r="P749" s="152" t="s">
        <v>2675</v>
      </c>
      <c r="Q749" s="152" t="s">
        <v>2705</v>
      </c>
      <c r="R749" s="152" t="s">
        <v>2398</v>
      </c>
      <c r="S749" s="152" t="s">
        <v>2398</v>
      </c>
      <c r="T749" s="152" t="s">
        <v>2705</v>
      </c>
      <c r="U749" s="152" t="s">
        <v>2705</v>
      </c>
    </row>
    <row r="750" spans="1:21" s="142" customFormat="1" ht="12.75" x14ac:dyDescent="0.2">
      <c r="A750" s="151"/>
      <c r="B750" s="152" t="s">
        <v>2705</v>
      </c>
      <c r="C750" s="152" t="s">
        <v>2398</v>
      </c>
      <c r="D750" s="152" t="s">
        <v>2705</v>
      </c>
      <c r="E750" s="152" t="s">
        <v>2398</v>
      </c>
      <c r="F750" s="152" t="s">
        <v>2705</v>
      </c>
      <c r="G750" s="152" t="s">
        <v>1435</v>
      </c>
      <c r="H750" s="152" t="s">
        <v>2705</v>
      </c>
      <c r="I750" s="152" t="s">
        <v>2705</v>
      </c>
      <c r="J750" s="152" t="s">
        <v>2398</v>
      </c>
      <c r="K750" s="152" t="s">
        <v>2705</v>
      </c>
      <c r="L750" s="152" t="s">
        <v>2398</v>
      </c>
      <c r="M750" s="152" t="s">
        <v>1435</v>
      </c>
      <c r="N750" s="152" t="s">
        <v>2705</v>
      </c>
      <c r="O750" s="152" t="s">
        <v>2398</v>
      </c>
      <c r="P750" s="152" t="s">
        <v>2705</v>
      </c>
      <c r="Q750" s="152" t="s">
        <v>2705</v>
      </c>
      <c r="R750" s="152" t="s">
        <v>2398</v>
      </c>
      <c r="S750" s="152" t="s">
        <v>2398</v>
      </c>
      <c r="T750" s="152" t="s">
        <v>2705</v>
      </c>
      <c r="U750" s="152" t="s">
        <v>2675</v>
      </c>
    </row>
    <row r="751" spans="1:21" s="142" customFormat="1" ht="12.75" customHeight="1" x14ac:dyDescent="0.2">
      <c r="A751" s="151" t="s">
        <v>7692</v>
      </c>
      <c r="B751" s="152" t="s">
        <v>2705</v>
      </c>
      <c r="C751" s="152" t="s">
        <v>2705</v>
      </c>
      <c r="D751" s="152" t="s">
        <v>2675</v>
      </c>
      <c r="E751" s="152" t="s">
        <v>2398</v>
      </c>
      <c r="F751" s="152" t="s">
        <v>1435</v>
      </c>
      <c r="G751" s="152" t="s">
        <v>2705</v>
      </c>
      <c r="H751" s="152" t="s">
        <v>2705</v>
      </c>
      <c r="I751" s="152" t="s">
        <v>2705</v>
      </c>
      <c r="J751" s="152" t="s">
        <v>2705</v>
      </c>
      <c r="K751" s="152" t="s">
        <v>2398</v>
      </c>
      <c r="L751" s="152" t="s">
        <v>2705</v>
      </c>
      <c r="M751" s="152" t="s">
        <v>2705</v>
      </c>
      <c r="N751" s="152" t="s">
        <v>1435</v>
      </c>
      <c r="O751" s="152" t="s">
        <v>2705</v>
      </c>
      <c r="P751" s="152" t="s">
        <v>2705</v>
      </c>
      <c r="Q751" s="152" t="s">
        <v>1435</v>
      </c>
      <c r="R751" s="152" t="s">
        <v>2398</v>
      </c>
      <c r="S751" s="152" t="s">
        <v>2398</v>
      </c>
      <c r="T751" s="152" t="s">
        <v>2705</v>
      </c>
      <c r="U751" s="152" t="s">
        <v>2675</v>
      </c>
    </row>
    <row r="752" spans="1:21" s="142" customFormat="1" ht="12.75" x14ac:dyDescent="0.2">
      <c r="A752" s="151"/>
      <c r="B752" s="152" t="s">
        <v>2397</v>
      </c>
      <c r="C752" s="152" t="s">
        <v>2705</v>
      </c>
      <c r="D752" s="152" t="s">
        <v>2705</v>
      </c>
      <c r="E752" s="152" t="s">
        <v>2705</v>
      </c>
      <c r="F752" s="152" t="s">
        <v>2705</v>
      </c>
      <c r="G752" s="152" t="s">
        <v>2675</v>
      </c>
      <c r="H752" s="152" t="s">
        <v>2398</v>
      </c>
      <c r="I752" s="152" t="s">
        <v>2705</v>
      </c>
      <c r="J752" s="152" t="s">
        <v>2705</v>
      </c>
      <c r="K752" s="152" t="s">
        <v>2398</v>
      </c>
      <c r="L752" s="152" t="s">
        <v>2397</v>
      </c>
      <c r="M752" s="152" t="s">
        <v>2705</v>
      </c>
      <c r="N752" s="152" t="s">
        <v>2705</v>
      </c>
      <c r="O752" s="152" t="s">
        <v>2705</v>
      </c>
      <c r="P752" s="152" t="s">
        <v>2398</v>
      </c>
      <c r="Q752" s="152" t="s">
        <v>1435</v>
      </c>
      <c r="R752" s="152" t="s">
        <v>2705</v>
      </c>
      <c r="S752" s="152" t="s">
        <v>2705</v>
      </c>
      <c r="T752" s="152" t="s">
        <v>2398</v>
      </c>
      <c r="U752" s="152" t="s">
        <v>2705</v>
      </c>
    </row>
    <row r="753" spans="1:21" s="142" customFormat="1" ht="12.75" customHeight="1" x14ac:dyDescent="0.2">
      <c r="A753" s="151" t="s">
        <v>7693</v>
      </c>
      <c r="B753" s="152" t="s">
        <v>2705</v>
      </c>
      <c r="C753" s="152" t="s">
        <v>2398</v>
      </c>
      <c r="D753" s="152" t="s">
        <v>2705</v>
      </c>
      <c r="E753" s="152" t="s">
        <v>1435</v>
      </c>
      <c r="F753" s="152" t="s">
        <v>2705</v>
      </c>
      <c r="G753" s="152" t="s">
        <v>1435</v>
      </c>
      <c r="H753" s="152" t="s">
        <v>2705</v>
      </c>
      <c r="I753" s="152" t="s">
        <v>2705</v>
      </c>
      <c r="J753" s="152" t="s">
        <v>2705</v>
      </c>
      <c r="K753" s="152" t="s">
        <v>2705</v>
      </c>
      <c r="L753" s="152" t="s">
        <v>2705</v>
      </c>
      <c r="M753" s="152" t="s">
        <v>2398</v>
      </c>
      <c r="N753" s="152" t="s">
        <v>2398</v>
      </c>
      <c r="O753" s="152" t="s">
        <v>2398</v>
      </c>
      <c r="P753" s="152" t="s">
        <v>2675</v>
      </c>
      <c r="Q753" s="152" t="s">
        <v>2398</v>
      </c>
      <c r="R753" s="152" t="s">
        <v>2398</v>
      </c>
      <c r="S753" s="152" t="s">
        <v>2398</v>
      </c>
      <c r="T753" s="152" t="s">
        <v>2705</v>
      </c>
      <c r="U753" s="152" t="s">
        <v>2398</v>
      </c>
    </row>
    <row r="754" spans="1:21" s="142" customFormat="1" ht="12.75" x14ac:dyDescent="0.2">
      <c r="A754" s="151"/>
      <c r="B754" s="152" t="s">
        <v>2398</v>
      </c>
      <c r="C754" s="152" t="s">
        <v>2705</v>
      </c>
      <c r="D754" s="152" t="s">
        <v>2398</v>
      </c>
      <c r="E754" s="152" t="s">
        <v>2705</v>
      </c>
      <c r="F754" s="152" t="s">
        <v>2705</v>
      </c>
      <c r="G754" s="152" t="s">
        <v>2398</v>
      </c>
      <c r="H754" s="152" t="s">
        <v>2398</v>
      </c>
      <c r="I754" s="152" t="s">
        <v>2705</v>
      </c>
      <c r="J754" s="152" t="s">
        <v>2705</v>
      </c>
      <c r="K754" s="152" t="s">
        <v>2705</v>
      </c>
      <c r="L754" s="152" t="s">
        <v>2397</v>
      </c>
      <c r="M754" s="152" t="s">
        <v>2675</v>
      </c>
      <c r="N754" s="152" t="s">
        <v>2705</v>
      </c>
      <c r="O754" s="152" t="s">
        <v>2705</v>
      </c>
      <c r="P754" s="152" t="s">
        <v>2398</v>
      </c>
      <c r="Q754" s="152" t="s">
        <v>1435</v>
      </c>
      <c r="R754" s="152" t="s">
        <v>2705</v>
      </c>
      <c r="S754" s="152" t="s">
        <v>2705</v>
      </c>
      <c r="T754" s="152" t="s">
        <v>2398</v>
      </c>
      <c r="U754" s="152" t="s">
        <v>2705</v>
      </c>
    </row>
    <row r="755" spans="1:21" s="142" customFormat="1" ht="12.75" customHeight="1" x14ac:dyDescent="0.2">
      <c r="A755" s="151" t="s">
        <v>7694</v>
      </c>
      <c r="B755" s="152" t="s">
        <v>2398</v>
      </c>
      <c r="C755" s="152" t="s">
        <v>2705</v>
      </c>
      <c r="D755" s="152" t="s">
        <v>2705</v>
      </c>
      <c r="E755" s="152" t="s">
        <v>2398</v>
      </c>
      <c r="F755" s="152" t="s">
        <v>2398</v>
      </c>
      <c r="G755" s="152" t="s">
        <v>2705</v>
      </c>
      <c r="H755" s="152" t="s">
        <v>2705</v>
      </c>
      <c r="I755" s="152" t="s">
        <v>2705</v>
      </c>
      <c r="J755" s="152" t="s">
        <v>2705</v>
      </c>
      <c r="K755" s="152" t="s">
        <v>2398</v>
      </c>
      <c r="L755" s="152" t="s">
        <v>2705</v>
      </c>
      <c r="M755" s="152" t="s">
        <v>2398</v>
      </c>
      <c r="N755" s="152" t="s">
        <v>2705</v>
      </c>
      <c r="O755" s="152" t="s">
        <v>2705</v>
      </c>
      <c r="P755" s="152" t="s">
        <v>2705</v>
      </c>
      <c r="Q755" s="152" t="s">
        <v>2398</v>
      </c>
      <c r="R755" s="152" t="s">
        <v>2705</v>
      </c>
      <c r="S755" s="152" t="s">
        <v>2705</v>
      </c>
      <c r="T755" s="152" t="s">
        <v>2705</v>
      </c>
      <c r="U755" s="152" t="s">
        <v>2398</v>
      </c>
    </row>
    <row r="756" spans="1:21" s="142" customFormat="1" ht="12.75" x14ac:dyDescent="0.2">
      <c r="A756" s="151"/>
      <c r="B756" s="152" t="s">
        <v>2398</v>
      </c>
      <c r="C756" s="152" t="s">
        <v>2398</v>
      </c>
      <c r="D756" s="152" t="s">
        <v>2398</v>
      </c>
      <c r="E756" s="152" t="s">
        <v>2705</v>
      </c>
      <c r="F756" s="152" t="s">
        <v>2398</v>
      </c>
      <c r="G756" s="152" t="s">
        <v>1435</v>
      </c>
      <c r="H756" s="152" t="s">
        <v>2398</v>
      </c>
      <c r="I756" s="152" t="s">
        <v>2705</v>
      </c>
      <c r="J756" s="152" t="s">
        <v>2398</v>
      </c>
      <c r="K756" s="152" t="s">
        <v>2705</v>
      </c>
      <c r="L756" s="152" t="s">
        <v>2398</v>
      </c>
      <c r="M756" s="152" t="s">
        <v>2675</v>
      </c>
      <c r="N756" s="152" t="s">
        <v>2398</v>
      </c>
      <c r="O756" s="152" t="s">
        <v>2705</v>
      </c>
      <c r="P756" s="152" t="s">
        <v>2705</v>
      </c>
      <c r="Q756" s="152" t="s">
        <v>2705</v>
      </c>
      <c r="R756" s="152" t="s">
        <v>2398</v>
      </c>
      <c r="S756" s="152" t="s">
        <v>2398</v>
      </c>
      <c r="T756" s="152" t="s">
        <v>2705</v>
      </c>
      <c r="U756" s="152" t="s">
        <v>2705</v>
      </c>
    </row>
    <row r="757" spans="1:21" s="142" customFormat="1" ht="12.75" customHeight="1" x14ac:dyDescent="0.2">
      <c r="A757" s="151" t="s">
        <v>7695</v>
      </c>
      <c r="B757" s="152" t="s">
        <v>2705</v>
      </c>
      <c r="C757" s="152" t="s">
        <v>2705</v>
      </c>
      <c r="D757" s="152" t="s">
        <v>2705</v>
      </c>
      <c r="E757" s="152" t="s">
        <v>2705</v>
      </c>
      <c r="F757" s="152" t="s">
        <v>2705</v>
      </c>
      <c r="G757" s="152" t="s">
        <v>2398</v>
      </c>
      <c r="H757" s="152" t="s">
        <v>2398</v>
      </c>
      <c r="I757" s="152" t="s">
        <v>2675</v>
      </c>
      <c r="J757" s="152" t="s">
        <v>2705</v>
      </c>
      <c r="K757" s="152" t="s">
        <v>2398</v>
      </c>
      <c r="L757" s="152" t="s">
        <v>2705</v>
      </c>
      <c r="M757" s="152" t="s">
        <v>2705</v>
      </c>
      <c r="N757" s="152" t="s">
        <v>2675</v>
      </c>
      <c r="O757" s="152" t="s">
        <v>2397</v>
      </c>
      <c r="P757" s="152" t="s">
        <v>2675</v>
      </c>
      <c r="Q757" s="152" t="s">
        <v>1435</v>
      </c>
      <c r="R757" s="152" t="s">
        <v>2675</v>
      </c>
      <c r="S757" s="152" t="s">
        <v>2398</v>
      </c>
      <c r="T757" s="152" t="s">
        <v>2705</v>
      </c>
      <c r="U757" s="152" t="s">
        <v>2675</v>
      </c>
    </row>
    <row r="758" spans="1:21" s="142" customFormat="1" ht="12.75" x14ac:dyDescent="0.2">
      <c r="A758" s="151"/>
      <c r="B758" s="152" t="s">
        <v>2398</v>
      </c>
      <c r="C758" s="152" t="s">
        <v>2398</v>
      </c>
      <c r="D758" s="152" t="s">
        <v>2675</v>
      </c>
      <c r="E758" s="152" t="s">
        <v>2705</v>
      </c>
      <c r="F758" s="152" t="s">
        <v>2705</v>
      </c>
      <c r="G758" s="152" t="s">
        <v>2675</v>
      </c>
      <c r="H758" s="152" t="s">
        <v>2398</v>
      </c>
      <c r="I758" s="152" t="s">
        <v>2705</v>
      </c>
      <c r="J758" s="152" t="s">
        <v>2398</v>
      </c>
      <c r="K758" s="152" t="s">
        <v>2398</v>
      </c>
      <c r="L758" s="152" t="s">
        <v>2397</v>
      </c>
      <c r="M758" s="152" t="s">
        <v>2705</v>
      </c>
      <c r="N758" s="152" t="s">
        <v>2705</v>
      </c>
      <c r="O758" s="152" t="s">
        <v>2705</v>
      </c>
      <c r="P758" s="152" t="s">
        <v>2398</v>
      </c>
      <c r="Q758" s="152" t="s">
        <v>2705</v>
      </c>
      <c r="R758" s="152" t="s">
        <v>2398</v>
      </c>
      <c r="S758" s="152" t="s">
        <v>2705</v>
      </c>
      <c r="T758" s="152" t="s">
        <v>2705</v>
      </c>
      <c r="U758" s="152" t="s">
        <v>2705</v>
      </c>
    </row>
    <row r="759" spans="1:21" s="142" customFormat="1" ht="12.75" customHeight="1" x14ac:dyDescent="0.2">
      <c r="A759" s="151" t="s">
        <v>7696</v>
      </c>
      <c r="B759" s="152" t="s">
        <v>2705</v>
      </c>
      <c r="C759" s="152" t="s">
        <v>2705</v>
      </c>
      <c r="D759" s="152" t="s">
        <v>2705</v>
      </c>
      <c r="E759" s="152" t="s">
        <v>2705</v>
      </c>
      <c r="F759" s="152" t="s">
        <v>2705</v>
      </c>
      <c r="G759" s="152" t="s">
        <v>2705</v>
      </c>
      <c r="H759" s="152" t="s">
        <v>2398</v>
      </c>
      <c r="I759" s="152" t="s">
        <v>2705</v>
      </c>
      <c r="J759" s="152" t="s">
        <v>2705</v>
      </c>
      <c r="K759" s="152" t="s">
        <v>2705</v>
      </c>
      <c r="L759" s="152" t="s">
        <v>2705</v>
      </c>
      <c r="M759" s="152" t="s">
        <v>2705</v>
      </c>
      <c r="N759" s="152" t="s">
        <v>2705</v>
      </c>
      <c r="O759" s="152" t="s">
        <v>2398</v>
      </c>
      <c r="P759" s="152" t="s">
        <v>2398</v>
      </c>
      <c r="Q759" s="152" t="s">
        <v>2398</v>
      </c>
      <c r="R759" s="152" t="s">
        <v>2398</v>
      </c>
      <c r="S759" s="152" t="s">
        <v>2398</v>
      </c>
      <c r="T759" s="152" t="s">
        <v>2398</v>
      </c>
      <c r="U759" s="152" t="s">
        <v>2705</v>
      </c>
    </row>
    <row r="760" spans="1:21" s="142" customFormat="1" ht="12.75" x14ac:dyDescent="0.2">
      <c r="A760" s="151"/>
      <c r="B760" s="152" t="s">
        <v>2705</v>
      </c>
      <c r="C760" s="152" t="s">
        <v>2705</v>
      </c>
      <c r="D760" s="152" t="s">
        <v>2705</v>
      </c>
      <c r="E760" s="152" t="s">
        <v>2705</v>
      </c>
      <c r="F760" s="152" t="s">
        <v>2705</v>
      </c>
      <c r="G760" s="152" t="s">
        <v>1435</v>
      </c>
      <c r="H760" s="152" t="s">
        <v>2398</v>
      </c>
      <c r="I760" s="152" t="s">
        <v>2705</v>
      </c>
      <c r="J760" s="152" t="s">
        <v>2705</v>
      </c>
      <c r="K760" s="152" t="s">
        <v>2705</v>
      </c>
      <c r="L760" s="152" t="s">
        <v>2398</v>
      </c>
      <c r="M760" s="152" t="s">
        <v>2705</v>
      </c>
      <c r="N760" s="152" t="s">
        <v>2705</v>
      </c>
      <c r="O760" s="152" t="s">
        <v>2705</v>
      </c>
      <c r="P760" s="152" t="s">
        <v>2705</v>
      </c>
      <c r="Q760" s="152" t="s">
        <v>2705</v>
      </c>
      <c r="R760" s="152" t="s">
        <v>2398</v>
      </c>
      <c r="S760" s="152" t="s">
        <v>2675</v>
      </c>
      <c r="T760" s="152" t="s">
        <v>2705</v>
      </c>
      <c r="U760" s="152" t="s">
        <v>2705</v>
      </c>
    </row>
    <row r="761" spans="1:21" s="142" customFormat="1" ht="12.75" customHeight="1" x14ac:dyDescent="0.2">
      <c r="A761" s="151" t="s">
        <v>7697</v>
      </c>
      <c r="B761" s="152" t="s">
        <v>2705</v>
      </c>
      <c r="C761" s="152" t="s">
        <v>2705</v>
      </c>
      <c r="D761" s="152" t="s">
        <v>2705</v>
      </c>
      <c r="E761" s="152" t="s">
        <v>2398</v>
      </c>
      <c r="F761" s="152" t="s">
        <v>2397</v>
      </c>
      <c r="G761" s="152" t="s">
        <v>2705</v>
      </c>
      <c r="H761" s="152" t="s">
        <v>2398</v>
      </c>
      <c r="I761" s="152" t="s">
        <v>2705</v>
      </c>
      <c r="J761" s="152" t="s">
        <v>2705</v>
      </c>
      <c r="K761" s="152" t="s">
        <v>2705</v>
      </c>
      <c r="L761" s="152" t="s">
        <v>2705</v>
      </c>
      <c r="M761" s="152" t="s">
        <v>2705</v>
      </c>
      <c r="N761" s="152" t="s">
        <v>2705</v>
      </c>
      <c r="O761" s="152" t="s">
        <v>2705</v>
      </c>
      <c r="P761" s="152" t="s">
        <v>2675</v>
      </c>
      <c r="Q761" s="152" t="s">
        <v>2398</v>
      </c>
      <c r="R761" s="152" t="s">
        <v>2398</v>
      </c>
      <c r="S761" s="152" t="s">
        <v>2398</v>
      </c>
      <c r="T761" s="152" t="s">
        <v>2398</v>
      </c>
      <c r="U761" s="152" t="s">
        <v>2398</v>
      </c>
    </row>
    <row r="762" spans="1:21" s="142" customFormat="1" ht="12.75" x14ac:dyDescent="0.2">
      <c r="A762" s="151"/>
      <c r="B762" s="152" t="s">
        <v>2398</v>
      </c>
      <c r="C762" s="152" t="s">
        <v>1435</v>
      </c>
      <c r="D762" s="152" t="s">
        <v>2705</v>
      </c>
      <c r="E762" s="152" t="s">
        <v>2675</v>
      </c>
      <c r="F762" s="152" t="s">
        <v>2705</v>
      </c>
      <c r="G762" s="152" t="s">
        <v>2705</v>
      </c>
      <c r="H762" s="152" t="s">
        <v>2705</v>
      </c>
      <c r="I762" s="152" t="s">
        <v>2705</v>
      </c>
      <c r="J762" s="152" t="s">
        <v>2398</v>
      </c>
      <c r="K762" s="152" t="s">
        <v>2705</v>
      </c>
      <c r="L762" s="152" t="s">
        <v>2705</v>
      </c>
      <c r="M762" s="152" t="s">
        <v>2675</v>
      </c>
      <c r="N762" s="152" t="s">
        <v>2705</v>
      </c>
      <c r="O762" s="152" t="s">
        <v>2705</v>
      </c>
      <c r="P762" s="152" t="s">
        <v>2705</v>
      </c>
      <c r="Q762" s="152" t="s">
        <v>2705</v>
      </c>
      <c r="R762" s="152" t="s">
        <v>2705</v>
      </c>
      <c r="S762" s="152" t="s">
        <v>2398</v>
      </c>
      <c r="T762" s="152" t="s">
        <v>2705</v>
      </c>
      <c r="U762" s="152" t="s">
        <v>2398</v>
      </c>
    </row>
    <row r="763" spans="1:21" s="142" customFormat="1" ht="12.75" customHeight="1" x14ac:dyDescent="0.2">
      <c r="A763" s="151" t="s">
        <v>7698</v>
      </c>
      <c r="B763" s="152" t="s">
        <v>2398</v>
      </c>
      <c r="C763" s="152" t="s">
        <v>2398</v>
      </c>
      <c r="D763" s="152" t="s">
        <v>2705</v>
      </c>
      <c r="E763" s="152" t="s">
        <v>2398</v>
      </c>
      <c r="F763" s="152" t="s">
        <v>2398</v>
      </c>
      <c r="G763" s="152" t="s">
        <v>2398</v>
      </c>
      <c r="H763" s="152" t="s">
        <v>2705</v>
      </c>
      <c r="I763" s="152" t="s">
        <v>2398</v>
      </c>
      <c r="J763" s="152" t="s">
        <v>2705</v>
      </c>
      <c r="K763" s="152" t="s">
        <v>2705</v>
      </c>
      <c r="L763" s="152" t="s">
        <v>2705</v>
      </c>
      <c r="M763" s="152" t="s">
        <v>2398</v>
      </c>
      <c r="N763" s="152" t="s">
        <v>2705</v>
      </c>
      <c r="O763" s="152" t="s">
        <v>2397</v>
      </c>
      <c r="P763" s="152" t="s">
        <v>2398</v>
      </c>
      <c r="Q763" s="152" t="s">
        <v>2705</v>
      </c>
      <c r="R763" s="152" t="s">
        <v>2705</v>
      </c>
      <c r="S763" s="152" t="s">
        <v>2398</v>
      </c>
      <c r="T763" s="152" t="s">
        <v>2398</v>
      </c>
      <c r="U763" s="152" t="s">
        <v>2705</v>
      </c>
    </row>
    <row r="764" spans="1:21" s="142" customFormat="1" ht="12.75" x14ac:dyDescent="0.2">
      <c r="A764" s="151"/>
      <c r="B764" s="152" t="s">
        <v>2397</v>
      </c>
      <c r="C764" s="152" t="s">
        <v>2398</v>
      </c>
      <c r="D764" s="152" t="s">
        <v>2705</v>
      </c>
      <c r="E764" s="152" t="s">
        <v>2675</v>
      </c>
      <c r="F764" s="152" t="s">
        <v>2705</v>
      </c>
      <c r="G764" s="152" t="s">
        <v>2705</v>
      </c>
      <c r="H764" s="152" t="s">
        <v>2397</v>
      </c>
      <c r="I764" s="152" t="s">
        <v>2705</v>
      </c>
      <c r="J764" s="152" t="s">
        <v>2705</v>
      </c>
      <c r="K764" s="152" t="s">
        <v>1435</v>
      </c>
      <c r="L764" s="152" t="s">
        <v>2398</v>
      </c>
      <c r="M764" s="152" t="s">
        <v>2675</v>
      </c>
      <c r="N764" s="152" t="s">
        <v>2705</v>
      </c>
      <c r="O764" s="152" t="s">
        <v>2705</v>
      </c>
      <c r="P764" s="152" t="s">
        <v>2675</v>
      </c>
      <c r="Q764" s="152" t="s">
        <v>2398</v>
      </c>
      <c r="R764" s="152" t="s">
        <v>2705</v>
      </c>
      <c r="S764" s="152" t="s">
        <v>2675</v>
      </c>
      <c r="T764" s="152" t="s">
        <v>2705</v>
      </c>
      <c r="U764" s="152" t="s">
        <v>2398</v>
      </c>
    </row>
    <row r="765" spans="1:21" s="142" customFormat="1" ht="12.75" customHeight="1" x14ac:dyDescent="0.2">
      <c r="A765" s="151" t="s">
        <v>7699</v>
      </c>
      <c r="B765" s="152" t="s">
        <v>1435</v>
      </c>
      <c r="C765" s="152" t="s">
        <v>2398</v>
      </c>
      <c r="D765" s="152" t="s">
        <v>2675</v>
      </c>
      <c r="E765" s="152" t="s">
        <v>2705</v>
      </c>
      <c r="F765" s="152" t="s">
        <v>2398</v>
      </c>
      <c r="G765" s="152" t="s">
        <v>2705</v>
      </c>
      <c r="H765" s="152" t="s">
        <v>2675</v>
      </c>
      <c r="I765" s="152" t="s">
        <v>2705</v>
      </c>
      <c r="J765" s="152" t="s">
        <v>2705</v>
      </c>
      <c r="K765" s="152" t="s">
        <v>2705</v>
      </c>
      <c r="L765" s="152" t="s">
        <v>2398</v>
      </c>
      <c r="M765" s="152" t="s">
        <v>2705</v>
      </c>
      <c r="N765" s="152" t="s">
        <v>2705</v>
      </c>
      <c r="O765" s="152" t="s">
        <v>1435</v>
      </c>
      <c r="P765" s="152" t="s">
        <v>2705</v>
      </c>
      <c r="Q765" s="152" t="s">
        <v>2675</v>
      </c>
      <c r="R765" s="152" t="s">
        <v>2705</v>
      </c>
      <c r="S765" s="152" t="s">
        <v>2705</v>
      </c>
      <c r="T765" s="152" t="s">
        <v>2398</v>
      </c>
      <c r="U765" s="152" t="s">
        <v>2705</v>
      </c>
    </row>
    <row r="766" spans="1:21" s="142" customFormat="1" ht="12.75" x14ac:dyDescent="0.2">
      <c r="A766" s="151"/>
      <c r="B766" s="152" t="s">
        <v>2705</v>
      </c>
      <c r="C766" s="152" t="s">
        <v>2675</v>
      </c>
      <c r="D766" s="152" t="s">
        <v>1435</v>
      </c>
      <c r="E766" s="152" t="s">
        <v>2705</v>
      </c>
      <c r="F766" s="152" t="s">
        <v>2705</v>
      </c>
      <c r="G766" s="152" t="s">
        <v>2398</v>
      </c>
      <c r="H766" s="152" t="s">
        <v>2398</v>
      </c>
      <c r="I766" s="152" t="s">
        <v>2705</v>
      </c>
      <c r="J766" s="152" t="s">
        <v>2397</v>
      </c>
      <c r="K766" s="152" t="s">
        <v>2705</v>
      </c>
      <c r="L766" s="152" t="s">
        <v>2705</v>
      </c>
      <c r="M766" s="152" t="s">
        <v>2705</v>
      </c>
      <c r="N766" s="152" t="s">
        <v>2705</v>
      </c>
      <c r="O766" s="152" t="s">
        <v>2705</v>
      </c>
      <c r="P766" s="152" t="s">
        <v>2675</v>
      </c>
      <c r="Q766" s="152" t="s">
        <v>1435</v>
      </c>
      <c r="R766" s="152" t="s">
        <v>2705</v>
      </c>
      <c r="S766" s="152" t="s">
        <v>2705</v>
      </c>
      <c r="T766" s="152" t="s">
        <v>2705</v>
      </c>
      <c r="U766" s="152" t="s">
        <v>2398</v>
      </c>
    </row>
    <row r="767" spans="1:21" s="142" customFormat="1" ht="12.75" customHeight="1" x14ac:dyDescent="0.2">
      <c r="A767" s="151" t="s">
        <v>7700</v>
      </c>
      <c r="B767" s="152" t="s">
        <v>2705</v>
      </c>
      <c r="C767" s="152" t="s">
        <v>2398</v>
      </c>
      <c r="D767" s="152" t="s">
        <v>2705</v>
      </c>
      <c r="E767" s="152" t="s">
        <v>2398</v>
      </c>
      <c r="F767" s="152" t="s">
        <v>2705</v>
      </c>
      <c r="G767" s="152" t="s">
        <v>2397</v>
      </c>
      <c r="H767" s="152" t="s">
        <v>2398</v>
      </c>
      <c r="I767" s="152" t="s">
        <v>2398</v>
      </c>
      <c r="J767" s="152" t="s">
        <v>2398</v>
      </c>
      <c r="K767" s="152" t="s">
        <v>1435</v>
      </c>
      <c r="L767" s="152" t="s">
        <v>2705</v>
      </c>
      <c r="M767" s="152" t="s">
        <v>2705</v>
      </c>
      <c r="N767" s="152" t="s">
        <v>1435</v>
      </c>
      <c r="O767" s="152" t="s">
        <v>1435</v>
      </c>
      <c r="P767" s="152" t="s">
        <v>2398</v>
      </c>
      <c r="Q767" s="152" t="s">
        <v>2398</v>
      </c>
      <c r="R767" s="152" t="s">
        <v>2398</v>
      </c>
      <c r="S767" s="152" t="s">
        <v>2398</v>
      </c>
      <c r="T767" s="152" t="s">
        <v>2705</v>
      </c>
      <c r="U767" s="152" t="s">
        <v>2398</v>
      </c>
    </row>
    <row r="768" spans="1:21" s="142" customFormat="1" ht="12.75" x14ac:dyDescent="0.2">
      <c r="A768" s="151"/>
      <c r="B768" s="152" t="s">
        <v>2398</v>
      </c>
      <c r="C768" s="152" t="s">
        <v>2705</v>
      </c>
      <c r="D768" s="152" t="s">
        <v>2705</v>
      </c>
      <c r="E768" s="152" t="s">
        <v>1435</v>
      </c>
      <c r="F768" s="152" t="s">
        <v>2398</v>
      </c>
      <c r="G768" s="152" t="s">
        <v>2675</v>
      </c>
      <c r="H768" s="152" t="s">
        <v>2705</v>
      </c>
      <c r="I768" s="152" t="s">
        <v>2705</v>
      </c>
      <c r="J768" s="152" t="s">
        <v>2705</v>
      </c>
      <c r="K768" s="152" t="s">
        <v>2675</v>
      </c>
      <c r="L768" s="152" t="s">
        <v>2397</v>
      </c>
      <c r="M768" s="152" t="s">
        <v>2398</v>
      </c>
      <c r="N768" s="152" t="s">
        <v>2398</v>
      </c>
      <c r="O768" s="152" t="s">
        <v>2705</v>
      </c>
      <c r="P768" s="152" t="s">
        <v>2398</v>
      </c>
      <c r="Q768" s="152" t="s">
        <v>1435</v>
      </c>
      <c r="R768" s="152" t="s">
        <v>2398</v>
      </c>
      <c r="S768" s="152" t="s">
        <v>2705</v>
      </c>
      <c r="T768" s="152" t="s">
        <v>2705</v>
      </c>
      <c r="U768" s="152" t="s">
        <v>2398</v>
      </c>
    </row>
    <row r="769" spans="1:21" s="142" customFormat="1" ht="12.75" customHeight="1" x14ac:dyDescent="0.2">
      <c r="A769" s="151" t="s">
        <v>7701</v>
      </c>
      <c r="B769" s="152" t="s">
        <v>2397</v>
      </c>
      <c r="C769" s="152" t="s">
        <v>2398</v>
      </c>
      <c r="D769" s="152" t="s">
        <v>2705</v>
      </c>
      <c r="E769" s="152" t="s">
        <v>1435</v>
      </c>
      <c r="F769" s="152" t="s">
        <v>2397</v>
      </c>
      <c r="G769" s="152" t="s">
        <v>2705</v>
      </c>
      <c r="H769" s="152" t="s">
        <v>2705</v>
      </c>
      <c r="I769" s="152" t="s">
        <v>2675</v>
      </c>
      <c r="J769" s="152" t="s">
        <v>2675</v>
      </c>
      <c r="K769" s="152" t="s">
        <v>2705</v>
      </c>
      <c r="L769" s="152" t="s">
        <v>1435</v>
      </c>
      <c r="M769" s="152" t="s">
        <v>2705</v>
      </c>
      <c r="N769" s="152" t="s">
        <v>2705</v>
      </c>
      <c r="O769" s="152" t="s">
        <v>2675</v>
      </c>
      <c r="P769" s="152" t="s">
        <v>2705</v>
      </c>
      <c r="Q769" s="152" t="s">
        <v>2705</v>
      </c>
      <c r="R769" s="152" t="s">
        <v>2675</v>
      </c>
      <c r="S769" s="152" t="s">
        <v>2705</v>
      </c>
      <c r="T769" s="152" t="s">
        <v>2397</v>
      </c>
      <c r="U769" s="152" t="s">
        <v>2705</v>
      </c>
    </row>
    <row r="770" spans="1:21" s="142" customFormat="1" ht="12.75" x14ac:dyDescent="0.2">
      <c r="A770" s="151"/>
      <c r="B770" s="152" t="s">
        <v>2398</v>
      </c>
      <c r="C770" s="152" t="s">
        <v>2675</v>
      </c>
      <c r="D770" s="152" t="s">
        <v>2705</v>
      </c>
      <c r="E770" s="152" t="s">
        <v>2705</v>
      </c>
      <c r="F770" s="152" t="s">
        <v>2398</v>
      </c>
      <c r="G770" s="152" t="s">
        <v>2705</v>
      </c>
      <c r="H770" s="152" t="s">
        <v>2397</v>
      </c>
      <c r="I770" s="152" t="s">
        <v>2705</v>
      </c>
      <c r="J770" s="152" t="s">
        <v>2398</v>
      </c>
      <c r="K770" s="152" t="s">
        <v>2705</v>
      </c>
      <c r="L770" s="152" t="s">
        <v>2705</v>
      </c>
      <c r="M770" s="152" t="s">
        <v>2705</v>
      </c>
      <c r="N770" s="152" t="s">
        <v>2398</v>
      </c>
      <c r="O770" s="152" t="s">
        <v>2398</v>
      </c>
      <c r="P770" s="152" t="s">
        <v>1435</v>
      </c>
      <c r="Q770" s="152" t="s">
        <v>1435</v>
      </c>
      <c r="R770" s="152" t="s">
        <v>2398</v>
      </c>
      <c r="S770" s="152" t="s">
        <v>2705</v>
      </c>
      <c r="T770" s="152" t="s">
        <v>2705</v>
      </c>
      <c r="U770" s="152" t="s">
        <v>2705</v>
      </c>
    </row>
    <row r="771" spans="1:21" s="142" customFormat="1" ht="12.75" customHeight="1" x14ac:dyDescent="0.2">
      <c r="A771" s="151" t="s">
        <v>7702</v>
      </c>
      <c r="B771" s="152" t="s">
        <v>2398</v>
      </c>
      <c r="C771" s="152" t="s">
        <v>2705</v>
      </c>
      <c r="D771" s="152" t="s">
        <v>1435</v>
      </c>
      <c r="E771" s="152" t="s">
        <v>1435</v>
      </c>
      <c r="F771" s="152" t="s">
        <v>2398</v>
      </c>
      <c r="G771" s="152" t="s">
        <v>2705</v>
      </c>
      <c r="H771" s="152" t="s">
        <v>2705</v>
      </c>
      <c r="I771" s="152" t="s">
        <v>2705</v>
      </c>
      <c r="J771" s="152" t="s">
        <v>2705</v>
      </c>
      <c r="K771" s="152" t="s">
        <v>2397</v>
      </c>
      <c r="L771" s="152" t="s">
        <v>2705</v>
      </c>
      <c r="M771" s="152" t="s">
        <v>2705</v>
      </c>
      <c r="N771" s="152" t="s">
        <v>2675</v>
      </c>
      <c r="O771" s="152" t="s">
        <v>2705</v>
      </c>
      <c r="P771" s="152" t="s">
        <v>2705</v>
      </c>
      <c r="Q771" s="152" t="s">
        <v>1435</v>
      </c>
      <c r="R771" s="152" t="s">
        <v>1435</v>
      </c>
      <c r="S771" s="152" t="s">
        <v>2675</v>
      </c>
      <c r="T771" s="152" t="s">
        <v>2398</v>
      </c>
      <c r="U771" s="152" t="s">
        <v>2705</v>
      </c>
    </row>
    <row r="772" spans="1:21" s="142" customFormat="1" ht="12.75" x14ac:dyDescent="0.2">
      <c r="A772" s="151"/>
      <c r="B772" s="152" t="s">
        <v>2705</v>
      </c>
      <c r="C772" s="152" t="s">
        <v>2675</v>
      </c>
      <c r="D772" s="152" t="s">
        <v>2705</v>
      </c>
      <c r="E772" s="152" t="s">
        <v>2675</v>
      </c>
      <c r="F772" s="152" t="s">
        <v>2705</v>
      </c>
      <c r="G772" s="152" t="s">
        <v>2705</v>
      </c>
      <c r="H772" s="152" t="s">
        <v>2397</v>
      </c>
      <c r="I772" s="152" t="s">
        <v>2705</v>
      </c>
      <c r="J772" s="152" t="s">
        <v>1435</v>
      </c>
      <c r="K772" s="152" t="s">
        <v>2398</v>
      </c>
      <c r="L772" s="152" t="s">
        <v>2705</v>
      </c>
      <c r="M772" s="152" t="s">
        <v>2398</v>
      </c>
      <c r="N772" s="152" t="s">
        <v>2705</v>
      </c>
      <c r="O772" s="152" t="s">
        <v>2705</v>
      </c>
      <c r="P772" s="152" t="s">
        <v>2705</v>
      </c>
      <c r="Q772" s="152" t="s">
        <v>2705</v>
      </c>
      <c r="R772" s="152" t="s">
        <v>2397</v>
      </c>
      <c r="S772" s="152" t="s">
        <v>2705</v>
      </c>
      <c r="T772" s="152" t="s">
        <v>2705</v>
      </c>
      <c r="U772" s="152" t="s">
        <v>2705</v>
      </c>
    </row>
    <row r="773" spans="1:21" s="142" customFormat="1" ht="12.75" customHeight="1" x14ac:dyDescent="0.2">
      <c r="A773" s="151" t="s">
        <v>7703</v>
      </c>
      <c r="B773" s="152" t="s">
        <v>2398</v>
      </c>
      <c r="C773" s="152" t="s">
        <v>2398</v>
      </c>
      <c r="D773" s="152" t="s">
        <v>2705</v>
      </c>
      <c r="E773" s="152" t="s">
        <v>2705</v>
      </c>
      <c r="F773" s="152" t="s">
        <v>2705</v>
      </c>
      <c r="G773" s="152" t="s">
        <v>2705</v>
      </c>
      <c r="H773" s="152" t="s">
        <v>2398</v>
      </c>
      <c r="I773" s="152" t="s">
        <v>2705</v>
      </c>
      <c r="J773" s="152" t="s">
        <v>2705</v>
      </c>
      <c r="K773" s="152" t="s">
        <v>2398</v>
      </c>
      <c r="L773" s="152" t="s">
        <v>2675</v>
      </c>
      <c r="M773" s="152" t="s">
        <v>2705</v>
      </c>
      <c r="N773" s="152" t="s">
        <v>2398</v>
      </c>
      <c r="O773" s="152" t="s">
        <v>2705</v>
      </c>
      <c r="P773" s="152" t="s">
        <v>2705</v>
      </c>
      <c r="Q773" s="152" t="s">
        <v>2705</v>
      </c>
      <c r="R773" s="152" t="s">
        <v>2705</v>
      </c>
      <c r="S773" s="152" t="s">
        <v>2705</v>
      </c>
      <c r="T773" s="152" t="s">
        <v>2398</v>
      </c>
      <c r="U773" s="152" t="s">
        <v>2397</v>
      </c>
    </row>
    <row r="774" spans="1:21" s="142" customFormat="1" ht="12.75" x14ac:dyDescent="0.2">
      <c r="A774" s="151"/>
      <c r="B774" s="152" t="s">
        <v>2398</v>
      </c>
      <c r="C774" s="152" t="s">
        <v>2675</v>
      </c>
      <c r="D774" s="152" t="s">
        <v>1435</v>
      </c>
      <c r="E774" s="152" t="s">
        <v>2705</v>
      </c>
      <c r="F774" s="152" t="s">
        <v>2398</v>
      </c>
      <c r="G774" s="152" t="s">
        <v>2705</v>
      </c>
      <c r="H774" s="152" t="s">
        <v>2705</v>
      </c>
      <c r="I774" s="152" t="s">
        <v>2705</v>
      </c>
      <c r="J774" s="152" t="s">
        <v>2397</v>
      </c>
      <c r="K774" s="152" t="s">
        <v>2705</v>
      </c>
      <c r="L774" s="152" t="s">
        <v>2705</v>
      </c>
      <c r="M774" s="152" t="s">
        <v>2705</v>
      </c>
      <c r="N774" s="152" t="s">
        <v>2705</v>
      </c>
      <c r="O774" s="152" t="s">
        <v>2705</v>
      </c>
      <c r="P774" s="152" t="s">
        <v>2398</v>
      </c>
      <c r="Q774" s="152" t="s">
        <v>2705</v>
      </c>
      <c r="R774" s="152" t="s">
        <v>2398</v>
      </c>
      <c r="S774" s="152" t="s">
        <v>2705</v>
      </c>
      <c r="T774" s="152" t="s">
        <v>2705</v>
      </c>
      <c r="U774" s="152" t="s">
        <v>2705</v>
      </c>
    </row>
    <row r="775" spans="1:21" s="142" customFormat="1" ht="12.75" customHeight="1" x14ac:dyDescent="0.2">
      <c r="A775" s="151" t="s">
        <v>7704</v>
      </c>
      <c r="B775" s="152" t="s">
        <v>2705</v>
      </c>
      <c r="C775" s="152" t="s">
        <v>2397</v>
      </c>
      <c r="D775" s="152" t="s">
        <v>2397</v>
      </c>
      <c r="E775" s="152" t="s">
        <v>2705</v>
      </c>
      <c r="F775" s="152" t="s">
        <v>1435</v>
      </c>
      <c r="G775" s="152" t="s">
        <v>2705</v>
      </c>
      <c r="H775" s="152" t="s">
        <v>2705</v>
      </c>
      <c r="I775" s="152" t="s">
        <v>2397</v>
      </c>
      <c r="J775" s="152" t="s">
        <v>2675</v>
      </c>
      <c r="K775" s="152" t="s">
        <v>1435</v>
      </c>
      <c r="L775" s="152" t="s">
        <v>2675</v>
      </c>
      <c r="M775" s="152" t="s">
        <v>2397</v>
      </c>
      <c r="N775" s="152" t="s">
        <v>2675</v>
      </c>
      <c r="O775" s="152" t="s">
        <v>1435</v>
      </c>
      <c r="P775" s="152" t="s">
        <v>2397</v>
      </c>
      <c r="Q775" s="152" t="s">
        <v>1435</v>
      </c>
      <c r="R775" s="152" t="s">
        <v>2397</v>
      </c>
      <c r="S775" s="152" t="s">
        <v>2397</v>
      </c>
      <c r="T775" s="152" t="s">
        <v>2397</v>
      </c>
      <c r="U775" s="152" t="s">
        <v>2705</v>
      </c>
    </row>
    <row r="776" spans="1:21" s="142" customFormat="1" ht="12.75" x14ac:dyDescent="0.2">
      <c r="A776" s="151"/>
      <c r="B776" s="152" t="s">
        <v>2675</v>
      </c>
      <c r="C776" s="152" t="s">
        <v>2705</v>
      </c>
      <c r="D776" s="152" t="s">
        <v>2705</v>
      </c>
      <c r="E776" s="152" t="s">
        <v>1435</v>
      </c>
      <c r="F776" s="152" t="s">
        <v>2675</v>
      </c>
      <c r="G776" s="152" t="s">
        <v>2705</v>
      </c>
      <c r="H776" s="152" t="s">
        <v>1435</v>
      </c>
      <c r="I776" s="152" t="s">
        <v>2397</v>
      </c>
      <c r="J776" s="152" t="s">
        <v>2675</v>
      </c>
      <c r="K776" s="152" t="s">
        <v>2675</v>
      </c>
      <c r="L776" s="152" t="s">
        <v>2397</v>
      </c>
      <c r="M776" s="152" t="s">
        <v>2705</v>
      </c>
      <c r="N776" s="152" t="s">
        <v>2705</v>
      </c>
      <c r="O776" s="152" t="s">
        <v>2705</v>
      </c>
      <c r="P776" s="152" t="s">
        <v>2705</v>
      </c>
      <c r="Q776" s="152" t="s">
        <v>2705</v>
      </c>
      <c r="R776" s="152" t="s">
        <v>2675</v>
      </c>
      <c r="S776" s="152" t="s">
        <v>1435</v>
      </c>
      <c r="T776" s="152" t="s">
        <v>2705</v>
      </c>
      <c r="U776" s="152" t="s">
        <v>2675</v>
      </c>
    </row>
    <row r="777" spans="1:21" s="142" customFormat="1" ht="12.75" customHeight="1" x14ac:dyDescent="0.2">
      <c r="A777" s="151" t="s">
        <v>7705</v>
      </c>
      <c r="B777" s="152" t="s">
        <v>2705</v>
      </c>
      <c r="C777" s="152" t="s">
        <v>2675</v>
      </c>
      <c r="D777" s="152" t="s">
        <v>2398</v>
      </c>
      <c r="E777" s="152" t="s">
        <v>2398</v>
      </c>
      <c r="F777" s="152" t="s">
        <v>2705</v>
      </c>
      <c r="G777" s="152" t="s">
        <v>2705</v>
      </c>
      <c r="H777" s="152" t="s">
        <v>2705</v>
      </c>
      <c r="I777" s="152" t="s">
        <v>2398</v>
      </c>
      <c r="J777" s="152" t="s">
        <v>1435</v>
      </c>
      <c r="K777" s="152" t="s">
        <v>2705</v>
      </c>
      <c r="L777" s="152" t="s">
        <v>1435</v>
      </c>
      <c r="M777" s="152" t="s">
        <v>2398</v>
      </c>
      <c r="N777" s="152" t="s">
        <v>2398</v>
      </c>
      <c r="O777" s="152" t="s">
        <v>2705</v>
      </c>
      <c r="P777" s="152" t="s">
        <v>2398</v>
      </c>
      <c r="Q777" s="152" t="s">
        <v>2705</v>
      </c>
      <c r="R777" s="152" t="s">
        <v>2398</v>
      </c>
      <c r="S777" s="152" t="s">
        <v>2705</v>
      </c>
      <c r="T777" s="152" t="s">
        <v>2705</v>
      </c>
      <c r="U777" s="152" t="s">
        <v>2705</v>
      </c>
    </row>
    <row r="778" spans="1:21" s="142" customFormat="1" ht="12.75" x14ac:dyDescent="0.2">
      <c r="A778" s="151"/>
      <c r="B778" s="152" t="s">
        <v>2705</v>
      </c>
      <c r="C778" s="152" t="s">
        <v>2398</v>
      </c>
      <c r="D778" s="152" t="s">
        <v>2705</v>
      </c>
      <c r="E778" s="152" t="s">
        <v>2705</v>
      </c>
      <c r="F778" s="152" t="s">
        <v>2705</v>
      </c>
      <c r="G778" s="152" t="s">
        <v>2398</v>
      </c>
      <c r="H778" s="152" t="s">
        <v>2398</v>
      </c>
      <c r="I778" s="152" t="s">
        <v>2705</v>
      </c>
      <c r="J778" s="152" t="s">
        <v>2705</v>
      </c>
      <c r="K778" s="152" t="s">
        <v>2705</v>
      </c>
      <c r="L778" s="152" t="s">
        <v>2398</v>
      </c>
      <c r="M778" s="152" t="s">
        <v>2398</v>
      </c>
      <c r="N778" s="152" t="s">
        <v>2705</v>
      </c>
      <c r="O778" s="152" t="s">
        <v>2705</v>
      </c>
      <c r="P778" s="152" t="s">
        <v>2675</v>
      </c>
      <c r="Q778" s="152" t="s">
        <v>2705</v>
      </c>
      <c r="R778" s="152" t="s">
        <v>2705</v>
      </c>
      <c r="S778" s="152" t="s">
        <v>2705</v>
      </c>
      <c r="T778" s="152" t="s">
        <v>2705</v>
      </c>
      <c r="U778" s="152" t="s">
        <v>2705</v>
      </c>
    </row>
    <row r="779" spans="1:21" s="142" customFormat="1" ht="12.75" customHeight="1" x14ac:dyDescent="0.2">
      <c r="A779" s="151" t="s">
        <v>7706</v>
      </c>
      <c r="B779" s="152" t="s">
        <v>2398</v>
      </c>
      <c r="C779" s="152" t="s">
        <v>2398</v>
      </c>
      <c r="D779" s="152" t="s">
        <v>2398</v>
      </c>
      <c r="E779" s="152" t="s">
        <v>2705</v>
      </c>
      <c r="F779" s="152" t="s">
        <v>2398</v>
      </c>
      <c r="G779" s="152" t="s">
        <v>2398</v>
      </c>
      <c r="H779" s="152" t="s">
        <v>2705</v>
      </c>
      <c r="I779" s="152" t="s">
        <v>2398</v>
      </c>
      <c r="J779" s="152" t="s">
        <v>2705</v>
      </c>
      <c r="K779" s="152" t="s">
        <v>2705</v>
      </c>
      <c r="L779" s="152" t="s">
        <v>2705</v>
      </c>
      <c r="M779" s="152" t="s">
        <v>2705</v>
      </c>
      <c r="N779" s="152" t="s">
        <v>2705</v>
      </c>
      <c r="O779" s="152" t="s">
        <v>2675</v>
      </c>
      <c r="P779" s="152" t="s">
        <v>2398</v>
      </c>
      <c r="Q779" s="152" t="s">
        <v>1435</v>
      </c>
      <c r="R779" s="152" t="s">
        <v>2705</v>
      </c>
      <c r="S779" s="152" t="s">
        <v>2705</v>
      </c>
      <c r="T779" s="152" t="s">
        <v>2705</v>
      </c>
      <c r="U779" s="152" t="s">
        <v>2705</v>
      </c>
    </row>
    <row r="780" spans="1:21" s="142" customFormat="1" ht="12.75" x14ac:dyDescent="0.2">
      <c r="A780" s="151"/>
      <c r="B780" s="152" t="s">
        <v>2705</v>
      </c>
      <c r="C780" s="152" t="s">
        <v>2397</v>
      </c>
      <c r="D780" s="152" t="s">
        <v>2398</v>
      </c>
      <c r="E780" s="152" t="s">
        <v>2705</v>
      </c>
      <c r="F780" s="152" t="s">
        <v>2398</v>
      </c>
      <c r="G780" s="152" t="s">
        <v>2705</v>
      </c>
      <c r="H780" s="152" t="s">
        <v>2705</v>
      </c>
      <c r="I780" s="152" t="s">
        <v>2398</v>
      </c>
      <c r="J780" s="152" t="s">
        <v>2705</v>
      </c>
      <c r="K780" s="152" t="s">
        <v>2398</v>
      </c>
      <c r="L780" s="152" t="s">
        <v>2398</v>
      </c>
      <c r="M780" s="152" t="s">
        <v>2705</v>
      </c>
      <c r="N780" s="152" t="s">
        <v>2705</v>
      </c>
      <c r="O780" s="152" t="s">
        <v>2398</v>
      </c>
      <c r="P780" s="152" t="s">
        <v>2398</v>
      </c>
      <c r="Q780" s="152" t="s">
        <v>2398</v>
      </c>
      <c r="R780" s="152" t="s">
        <v>2398</v>
      </c>
      <c r="S780" s="152" t="s">
        <v>2705</v>
      </c>
      <c r="T780" s="152" t="s">
        <v>2675</v>
      </c>
      <c r="U780" s="152" t="s">
        <v>2398</v>
      </c>
    </row>
    <row r="781" spans="1:21" s="142" customFormat="1" ht="12.75" customHeight="1" x14ac:dyDescent="0.2">
      <c r="A781" s="151" t="s">
        <v>7707</v>
      </c>
      <c r="B781" s="152" t="s">
        <v>2398</v>
      </c>
      <c r="C781" s="152" t="s">
        <v>2398</v>
      </c>
      <c r="D781" s="152" t="s">
        <v>2705</v>
      </c>
      <c r="E781" s="152" t="s">
        <v>1435</v>
      </c>
      <c r="F781" s="152" t="s">
        <v>2397</v>
      </c>
      <c r="G781" s="152" t="s">
        <v>2705</v>
      </c>
      <c r="H781" s="152" t="s">
        <v>1435</v>
      </c>
      <c r="I781" s="152" t="s">
        <v>2397</v>
      </c>
      <c r="J781" s="152" t="s">
        <v>2705</v>
      </c>
      <c r="K781" s="152" t="s">
        <v>2398</v>
      </c>
      <c r="L781" s="152" t="s">
        <v>2398</v>
      </c>
      <c r="M781" s="152" t="s">
        <v>2705</v>
      </c>
      <c r="N781" s="152" t="s">
        <v>2705</v>
      </c>
      <c r="O781" s="152" t="s">
        <v>2705</v>
      </c>
      <c r="P781" s="152" t="s">
        <v>2398</v>
      </c>
      <c r="Q781" s="152" t="s">
        <v>2705</v>
      </c>
      <c r="R781" s="152" t="s">
        <v>2398</v>
      </c>
      <c r="S781" s="152" t="s">
        <v>2675</v>
      </c>
      <c r="T781" s="152" t="s">
        <v>2705</v>
      </c>
      <c r="U781" s="152" t="s">
        <v>2705</v>
      </c>
    </row>
    <row r="782" spans="1:21" s="142" customFormat="1" ht="12.75" x14ac:dyDescent="0.2">
      <c r="A782" s="151"/>
      <c r="B782" s="152" t="s">
        <v>2398</v>
      </c>
      <c r="C782" s="152" t="s">
        <v>2675</v>
      </c>
      <c r="D782" s="152" t="s">
        <v>2398</v>
      </c>
      <c r="E782" s="152" t="s">
        <v>2675</v>
      </c>
      <c r="F782" s="152" t="s">
        <v>2705</v>
      </c>
      <c r="G782" s="152" t="s">
        <v>2705</v>
      </c>
      <c r="H782" s="152" t="s">
        <v>2705</v>
      </c>
      <c r="I782" s="152" t="s">
        <v>1435</v>
      </c>
      <c r="J782" s="152" t="s">
        <v>2397</v>
      </c>
      <c r="K782" s="152" t="s">
        <v>2398</v>
      </c>
      <c r="L782" s="152" t="s">
        <v>2398</v>
      </c>
      <c r="M782" s="152" t="s">
        <v>2705</v>
      </c>
      <c r="N782" s="152" t="s">
        <v>2705</v>
      </c>
      <c r="O782" s="152" t="s">
        <v>2398</v>
      </c>
      <c r="P782" s="152" t="s">
        <v>2398</v>
      </c>
      <c r="Q782" s="152" t="s">
        <v>2705</v>
      </c>
      <c r="R782" s="152" t="s">
        <v>2705</v>
      </c>
      <c r="S782" s="152" t="s">
        <v>2705</v>
      </c>
      <c r="T782" s="152" t="s">
        <v>2398</v>
      </c>
      <c r="U782" s="152" t="s">
        <v>2398</v>
      </c>
    </row>
    <row r="783" spans="1:21" s="142" customFormat="1" ht="12.75" customHeight="1" x14ac:dyDescent="0.2">
      <c r="A783" s="151" t="s">
        <v>7708</v>
      </c>
      <c r="B783" s="152" t="s">
        <v>2705</v>
      </c>
      <c r="C783" s="152" t="s">
        <v>2397</v>
      </c>
      <c r="D783" s="152" t="s">
        <v>2705</v>
      </c>
      <c r="E783" s="152" t="s">
        <v>2705</v>
      </c>
      <c r="F783" s="152" t="s">
        <v>2705</v>
      </c>
      <c r="G783" s="152" t="s">
        <v>2705</v>
      </c>
      <c r="H783" s="152" t="s">
        <v>2705</v>
      </c>
      <c r="I783" s="152" t="s">
        <v>2398</v>
      </c>
      <c r="J783" s="152" t="s">
        <v>2397</v>
      </c>
      <c r="K783" s="152" t="s">
        <v>1435</v>
      </c>
      <c r="L783" s="152" t="s">
        <v>2705</v>
      </c>
      <c r="M783" s="152" t="s">
        <v>2705</v>
      </c>
      <c r="N783" s="152" t="s">
        <v>2398</v>
      </c>
      <c r="O783" s="152" t="s">
        <v>2705</v>
      </c>
      <c r="P783" s="152" t="s">
        <v>2398</v>
      </c>
      <c r="Q783" s="152" t="s">
        <v>1435</v>
      </c>
      <c r="R783" s="152" t="s">
        <v>2675</v>
      </c>
      <c r="S783" s="152" t="s">
        <v>2398</v>
      </c>
      <c r="T783" s="152" t="s">
        <v>2398</v>
      </c>
      <c r="U783" s="152" t="s">
        <v>2398</v>
      </c>
    </row>
    <row r="784" spans="1:21" s="142" customFormat="1" ht="12.75" x14ac:dyDescent="0.2">
      <c r="A784" s="151"/>
      <c r="B784" s="152" t="s">
        <v>2398</v>
      </c>
      <c r="C784" s="152" t="s">
        <v>1435</v>
      </c>
      <c r="D784" s="152" t="s">
        <v>2705</v>
      </c>
      <c r="E784" s="152" t="s">
        <v>1435</v>
      </c>
      <c r="F784" s="152" t="s">
        <v>2398</v>
      </c>
      <c r="G784" s="152" t="s">
        <v>2705</v>
      </c>
      <c r="H784" s="152" t="s">
        <v>2675</v>
      </c>
      <c r="I784" s="152" t="s">
        <v>2398</v>
      </c>
      <c r="J784" s="152" t="s">
        <v>2705</v>
      </c>
      <c r="K784" s="152" t="s">
        <v>2398</v>
      </c>
      <c r="L784" s="152" t="s">
        <v>2398</v>
      </c>
      <c r="M784" s="152" t="s">
        <v>2398</v>
      </c>
      <c r="N784" s="152" t="s">
        <v>1435</v>
      </c>
      <c r="O784" s="152" t="s">
        <v>2705</v>
      </c>
      <c r="P784" s="152" t="s">
        <v>2398</v>
      </c>
      <c r="Q784" s="152" t="s">
        <v>1435</v>
      </c>
      <c r="R784" s="152" t="s">
        <v>2705</v>
      </c>
      <c r="S784" s="152" t="s">
        <v>2705</v>
      </c>
      <c r="T784" s="152" t="s">
        <v>2705</v>
      </c>
      <c r="U784" s="152" t="s">
        <v>2398</v>
      </c>
    </row>
    <row r="785" spans="1:21" s="142" customFormat="1" ht="12.75" customHeight="1" x14ac:dyDescent="0.2">
      <c r="A785" s="151" t="s">
        <v>7709</v>
      </c>
      <c r="B785" s="152" t="s">
        <v>2397</v>
      </c>
      <c r="C785" s="152" t="s">
        <v>2705</v>
      </c>
      <c r="D785" s="152" t="s">
        <v>2675</v>
      </c>
      <c r="E785" s="152" t="s">
        <v>2705</v>
      </c>
      <c r="F785" s="152" t="s">
        <v>1435</v>
      </c>
      <c r="G785" s="152" t="s">
        <v>2705</v>
      </c>
      <c r="H785" s="152" t="s">
        <v>2398</v>
      </c>
      <c r="I785" s="152" t="s">
        <v>2397</v>
      </c>
      <c r="J785" s="152" t="s">
        <v>2705</v>
      </c>
      <c r="K785" s="152" t="s">
        <v>2705</v>
      </c>
      <c r="L785" s="152" t="s">
        <v>2398</v>
      </c>
      <c r="M785" s="152" t="s">
        <v>2705</v>
      </c>
      <c r="N785" s="152" t="s">
        <v>2398</v>
      </c>
      <c r="O785" s="152" t="s">
        <v>2705</v>
      </c>
      <c r="P785" s="152" t="s">
        <v>2705</v>
      </c>
      <c r="Q785" s="152" t="s">
        <v>2675</v>
      </c>
      <c r="R785" s="152" t="s">
        <v>1435</v>
      </c>
      <c r="S785" s="152" t="s">
        <v>2705</v>
      </c>
      <c r="T785" s="152" t="s">
        <v>1435</v>
      </c>
      <c r="U785" s="152" t="s">
        <v>2705</v>
      </c>
    </row>
    <row r="786" spans="1:21" s="142" customFormat="1" ht="12.75" x14ac:dyDescent="0.2">
      <c r="A786" s="151"/>
      <c r="B786" s="152" t="s">
        <v>2705</v>
      </c>
      <c r="C786" s="152" t="s">
        <v>2675</v>
      </c>
      <c r="D786" s="152" t="s">
        <v>1435</v>
      </c>
      <c r="E786" s="152" t="s">
        <v>2675</v>
      </c>
      <c r="F786" s="152" t="s">
        <v>2398</v>
      </c>
      <c r="G786" s="152" t="s">
        <v>2705</v>
      </c>
      <c r="H786" s="152" t="s">
        <v>2705</v>
      </c>
      <c r="I786" s="152" t="s">
        <v>1435</v>
      </c>
      <c r="J786" s="152" t="s">
        <v>2397</v>
      </c>
      <c r="K786" s="152" t="s">
        <v>1435</v>
      </c>
      <c r="L786" s="152" t="s">
        <v>2398</v>
      </c>
      <c r="M786" s="152" t="s">
        <v>1435</v>
      </c>
      <c r="N786" s="152" t="s">
        <v>2705</v>
      </c>
      <c r="O786" s="152" t="s">
        <v>2705</v>
      </c>
      <c r="P786" s="152" t="s">
        <v>2705</v>
      </c>
      <c r="Q786" s="152" t="s">
        <v>2397</v>
      </c>
      <c r="R786" s="152" t="s">
        <v>2705</v>
      </c>
      <c r="S786" s="152" t="s">
        <v>2397</v>
      </c>
      <c r="T786" s="152" t="s">
        <v>2397</v>
      </c>
      <c r="U786" s="152" t="s">
        <v>2675</v>
      </c>
    </row>
    <row r="787" spans="1:21" s="142" customFormat="1" ht="12.75" customHeight="1" x14ac:dyDescent="0.2">
      <c r="A787" s="151" t="s">
        <v>7710</v>
      </c>
      <c r="B787" s="152" t="s">
        <v>2397</v>
      </c>
      <c r="C787" s="152" t="s">
        <v>2397</v>
      </c>
      <c r="D787" s="152" t="s">
        <v>2675</v>
      </c>
      <c r="E787" s="152" t="s">
        <v>2398</v>
      </c>
      <c r="F787" s="152" t="s">
        <v>2398</v>
      </c>
      <c r="G787" s="152" t="s">
        <v>2705</v>
      </c>
      <c r="H787" s="152" t="s">
        <v>2398</v>
      </c>
      <c r="I787" s="152" t="s">
        <v>2397</v>
      </c>
      <c r="J787" s="152" t="s">
        <v>2705</v>
      </c>
      <c r="K787" s="152" t="s">
        <v>1435</v>
      </c>
      <c r="L787" s="152" t="s">
        <v>2705</v>
      </c>
      <c r="M787" s="152" t="s">
        <v>1435</v>
      </c>
      <c r="N787" s="152" t="s">
        <v>2398</v>
      </c>
      <c r="O787" s="152" t="s">
        <v>2705</v>
      </c>
      <c r="P787" s="152" t="s">
        <v>2397</v>
      </c>
      <c r="Q787" s="152" t="s">
        <v>2705</v>
      </c>
      <c r="R787" s="152" t="s">
        <v>2675</v>
      </c>
      <c r="S787" s="152" t="s">
        <v>2705</v>
      </c>
      <c r="T787" s="152" t="s">
        <v>2705</v>
      </c>
      <c r="U787" s="152" t="s">
        <v>2705</v>
      </c>
    </row>
    <row r="788" spans="1:21" s="142" customFormat="1" ht="12.75" x14ac:dyDescent="0.2">
      <c r="A788" s="151"/>
      <c r="B788" s="152" t="s">
        <v>2398</v>
      </c>
      <c r="C788" s="152" t="s">
        <v>2398</v>
      </c>
      <c r="D788" s="152" t="s">
        <v>1435</v>
      </c>
      <c r="E788" s="152" t="s">
        <v>2705</v>
      </c>
      <c r="F788" s="152" t="s">
        <v>2398</v>
      </c>
      <c r="G788" s="152" t="s">
        <v>2675</v>
      </c>
      <c r="H788" s="152" t="s">
        <v>2705</v>
      </c>
      <c r="I788" s="152" t="s">
        <v>2398</v>
      </c>
      <c r="J788" s="152" t="s">
        <v>2398</v>
      </c>
      <c r="K788" s="152" t="s">
        <v>2705</v>
      </c>
      <c r="L788" s="152" t="s">
        <v>2705</v>
      </c>
      <c r="M788" s="152" t="s">
        <v>2398</v>
      </c>
      <c r="N788" s="152" t="s">
        <v>2705</v>
      </c>
      <c r="O788" s="152" t="s">
        <v>2705</v>
      </c>
      <c r="P788" s="152" t="s">
        <v>2705</v>
      </c>
      <c r="Q788" s="152" t="s">
        <v>2705</v>
      </c>
      <c r="R788" s="152" t="s">
        <v>2398</v>
      </c>
      <c r="S788" s="152" t="s">
        <v>1435</v>
      </c>
      <c r="T788" s="152" t="s">
        <v>2398</v>
      </c>
      <c r="U788" s="152" t="s">
        <v>2705</v>
      </c>
    </row>
    <row r="789" spans="1:21" s="142" customFormat="1" ht="12.75" customHeight="1" x14ac:dyDescent="0.2">
      <c r="A789" s="151" t="s">
        <v>7711</v>
      </c>
      <c r="B789" s="152" t="s">
        <v>2705</v>
      </c>
      <c r="C789" s="152" t="s">
        <v>2397</v>
      </c>
      <c r="D789" s="152" t="s">
        <v>2705</v>
      </c>
      <c r="E789" s="152" t="s">
        <v>2675</v>
      </c>
      <c r="F789" s="152" t="s">
        <v>2705</v>
      </c>
      <c r="G789" s="152" t="s">
        <v>2705</v>
      </c>
      <c r="H789" s="152" t="s">
        <v>2705</v>
      </c>
      <c r="I789" s="152" t="s">
        <v>2398</v>
      </c>
      <c r="J789" s="152" t="s">
        <v>2705</v>
      </c>
      <c r="K789" s="152" t="s">
        <v>2397</v>
      </c>
      <c r="L789" s="152" t="s">
        <v>2705</v>
      </c>
      <c r="M789" s="152" t="s">
        <v>2705</v>
      </c>
      <c r="N789" s="152" t="s">
        <v>2398</v>
      </c>
      <c r="O789" s="152" t="s">
        <v>2705</v>
      </c>
      <c r="P789" s="152" t="s">
        <v>2705</v>
      </c>
      <c r="Q789" s="152" t="s">
        <v>2398</v>
      </c>
      <c r="R789" s="152" t="s">
        <v>2397</v>
      </c>
      <c r="S789" s="152" t="s">
        <v>2705</v>
      </c>
      <c r="T789" s="152" t="s">
        <v>2398</v>
      </c>
      <c r="U789" s="152" t="s">
        <v>2675</v>
      </c>
    </row>
    <row r="790" spans="1:21" s="142" customFormat="1" ht="12.75" x14ac:dyDescent="0.2">
      <c r="A790" s="151"/>
      <c r="B790" s="152" t="s">
        <v>2705</v>
      </c>
      <c r="C790" s="152" t="s">
        <v>2398</v>
      </c>
      <c r="D790" s="152" t="s">
        <v>2705</v>
      </c>
      <c r="E790" s="152" t="s">
        <v>1435</v>
      </c>
      <c r="F790" s="152" t="s">
        <v>2398</v>
      </c>
      <c r="G790" s="152" t="s">
        <v>2675</v>
      </c>
      <c r="H790" s="152" t="s">
        <v>2398</v>
      </c>
      <c r="I790" s="152" t="s">
        <v>2705</v>
      </c>
      <c r="J790" s="152" t="s">
        <v>2675</v>
      </c>
      <c r="K790" s="152" t="s">
        <v>2398</v>
      </c>
      <c r="L790" s="152" t="s">
        <v>2705</v>
      </c>
      <c r="M790" s="152" t="s">
        <v>2398</v>
      </c>
      <c r="N790" s="152" t="s">
        <v>1435</v>
      </c>
      <c r="O790" s="152" t="s">
        <v>2705</v>
      </c>
      <c r="P790" s="152" t="s">
        <v>2398</v>
      </c>
      <c r="Q790" s="152" t="s">
        <v>2705</v>
      </c>
      <c r="R790" s="152" t="s">
        <v>2705</v>
      </c>
      <c r="S790" s="152" t="s">
        <v>2398</v>
      </c>
      <c r="T790" s="152" t="s">
        <v>2705</v>
      </c>
      <c r="U790" s="152" t="s">
        <v>2705</v>
      </c>
    </row>
    <row r="791" spans="1:21" s="142" customFormat="1" ht="12.75" customHeight="1" x14ac:dyDescent="0.2">
      <c r="A791" s="151" t="s">
        <v>7712</v>
      </c>
      <c r="B791" s="152" t="s">
        <v>2398</v>
      </c>
      <c r="C791" s="152" t="s">
        <v>2705</v>
      </c>
      <c r="D791" s="152" t="s">
        <v>1435</v>
      </c>
      <c r="E791" s="152" t="s">
        <v>2705</v>
      </c>
      <c r="F791" s="152" t="s">
        <v>2675</v>
      </c>
      <c r="G791" s="152" t="s">
        <v>2705</v>
      </c>
      <c r="H791" s="152" t="s">
        <v>2705</v>
      </c>
      <c r="I791" s="152" t="s">
        <v>2705</v>
      </c>
      <c r="J791" s="152" t="s">
        <v>2398</v>
      </c>
      <c r="K791" s="152" t="s">
        <v>2705</v>
      </c>
      <c r="L791" s="152" t="s">
        <v>1435</v>
      </c>
      <c r="M791" s="152" t="s">
        <v>1435</v>
      </c>
      <c r="N791" s="152" t="s">
        <v>2675</v>
      </c>
      <c r="O791" s="152" t="s">
        <v>2705</v>
      </c>
      <c r="P791" s="152" t="s">
        <v>2705</v>
      </c>
      <c r="Q791" s="152" t="s">
        <v>2705</v>
      </c>
      <c r="R791" s="152" t="s">
        <v>2398</v>
      </c>
      <c r="S791" s="152" t="s">
        <v>2675</v>
      </c>
      <c r="T791" s="152" t="s">
        <v>2705</v>
      </c>
      <c r="U791" s="152" t="s">
        <v>2705</v>
      </c>
    </row>
    <row r="792" spans="1:21" s="142" customFormat="1" ht="12.75" x14ac:dyDescent="0.2">
      <c r="A792" s="151"/>
      <c r="B792" s="152" t="s">
        <v>2398</v>
      </c>
      <c r="C792" s="152" t="s">
        <v>2398</v>
      </c>
      <c r="D792" s="152" t="s">
        <v>2705</v>
      </c>
      <c r="E792" s="152" t="s">
        <v>2705</v>
      </c>
      <c r="F792" s="152" t="s">
        <v>2705</v>
      </c>
      <c r="G792" s="152" t="s">
        <v>2705</v>
      </c>
      <c r="H792" s="152" t="s">
        <v>2705</v>
      </c>
      <c r="I792" s="152" t="s">
        <v>1435</v>
      </c>
      <c r="J792" s="152" t="s">
        <v>2398</v>
      </c>
      <c r="K792" s="152" t="s">
        <v>2705</v>
      </c>
      <c r="L792" s="152" t="s">
        <v>2705</v>
      </c>
      <c r="M792" s="152" t="s">
        <v>1435</v>
      </c>
      <c r="N792" s="152" t="s">
        <v>2705</v>
      </c>
      <c r="O792" s="152" t="s">
        <v>2398</v>
      </c>
      <c r="P792" s="152" t="s">
        <v>2675</v>
      </c>
      <c r="Q792" s="152" t="s">
        <v>2705</v>
      </c>
      <c r="R792" s="152" t="s">
        <v>2398</v>
      </c>
      <c r="S792" s="152" t="s">
        <v>2705</v>
      </c>
      <c r="T792" s="152" t="s">
        <v>2705</v>
      </c>
      <c r="U792" s="152" t="s">
        <v>2675</v>
      </c>
    </row>
    <row r="793" spans="1:21" s="142" customFormat="1" ht="12.75" customHeight="1" x14ac:dyDescent="0.2">
      <c r="A793" s="151" t="s">
        <v>7713</v>
      </c>
      <c r="B793" s="152" t="s">
        <v>2705</v>
      </c>
      <c r="C793" s="152" t="s">
        <v>2397</v>
      </c>
      <c r="D793" s="152" t="s">
        <v>2705</v>
      </c>
      <c r="E793" s="152" t="s">
        <v>2398</v>
      </c>
      <c r="F793" s="152" t="s">
        <v>2398</v>
      </c>
      <c r="G793" s="152" t="s">
        <v>2705</v>
      </c>
      <c r="H793" s="152" t="s">
        <v>2705</v>
      </c>
      <c r="I793" s="152" t="s">
        <v>2705</v>
      </c>
      <c r="J793" s="152" t="s">
        <v>2398</v>
      </c>
      <c r="K793" s="152" t="s">
        <v>1435</v>
      </c>
      <c r="L793" s="152" t="s">
        <v>2705</v>
      </c>
      <c r="M793" s="152" t="s">
        <v>2705</v>
      </c>
      <c r="N793" s="152" t="s">
        <v>1435</v>
      </c>
      <c r="O793" s="152" t="s">
        <v>2398</v>
      </c>
      <c r="P793" s="152" t="s">
        <v>2398</v>
      </c>
      <c r="Q793" s="152" t="s">
        <v>2398</v>
      </c>
      <c r="R793" s="152" t="s">
        <v>2398</v>
      </c>
      <c r="S793" s="152" t="s">
        <v>2675</v>
      </c>
      <c r="T793" s="152" t="s">
        <v>2705</v>
      </c>
      <c r="U793" s="152" t="s">
        <v>2705</v>
      </c>
    </row>
    <row r="794" spans="1:21" s="142" customFormat="1" ht="12.75" x14ac:dyDescent="0.2">
      <c r="A794" s="151"/>
      <c r="B794" s="152" t="s">
        <v>2398</v>
      </c>
      <c r="C794" s="152" t="s">
        <v>2398</v>
      </c>
      <c r="D794" s="152" t="s">
        <v>2705</v>
      </c>
      <c r="E794" s="152" t="s">
        <v>1435</v>
      </c>
      <c r="F794" s="152" t="s">
        <v>2705</v>
      </c>
      <c r="G794" s="152" t="s">
        <v>2675</v>
      </c>
      <c r="H794" s="152" t="s">
        <v>2705</v>
      </c>
      <c r="I794" s="152" t="s">
        <v>2705</v>
      </c>
      <c r="J794" s="152" t="s">
        <v>2705</v>
      </c>
      <c r="K794" s="152" t="s">
        <v>2398</v>
      </c>
      <c r="L794" s="152" t="s">
        <v>2397</v>
      </c>
      <c r="M794" s="152" t="s">
        <v>2398</v>
      </c>
      <c r="N794" s="152" t="s">
        <v>2398</v>
      </c>
      <c r="O794" s="152" t="s">
        <v>2705</v>
      </c>
      <c r="P794" s="152" t="s">
        <v>2705</v>
      </c>
      <c r="Q794" s="152" t="s">
        <v>2398</v>
      </c>
      <c r="R794" s="152" t="s">
        <v>2705</v>
      </c>
      <c r="S794" s="152" t="s">
        <v>2398</v>
      </c>
      <c r="T794" s="152" t="s">
        <v>2675</v>
      </c>
      <c r="U794" s="152" t="s">
        <v>2705</v>
      </c>
    </row>
    <row r="795" spans="1:21" s="142" customFormat="1" ht="12.75" customHeight="1" x14ac:dyDescent="0.2">
      <c r="A795" s="151" t="s">
        <v>7714</v>
      </c>
      <c r="B795" s="152" t="s">
        <v>2398</v>
      </c>
      <c r="C795" s="152" t="s">
        <v>2705</v>
      </c>
      <c r="D795" s="152" t="s">
        <v>2397</v>
      </c>
      <c r="E795" s="152" t="s">
        <v>2705</v>
      </c>
      <c r="F795" s="152" t="s">
        <v>2398</v>
      </c>
      <c r="G795" s="152" t="s">
        <v>2705</v>
      </c>
      <c r="H795" s="152" t="s">
        <v>1435</v>
      </c>
      <c r="I795" s="152" t="s">
        <v>2398</v>
      </c>
      <c r="J795" s="152" t="s">
        <v>2705</v>
      </c>
      <c r="K795" s="152" t="s">
        <v>2705</v>
      </c>
      <c r="L795" s="152" t="s">
        <v>2398</v>
      </c>
      <c r="M795" s="152" t="s">
        <v>2398</v>
      </c>
      <c r="N795" s="152" t="s">
        <v>2705</v>
      </c>
      <c r="O795" s="152" t="s">
        <v>2398</v>
      </c>
      <c r="P795" s="152" t="s">
        <v>2398</v>
      </c>
      <c r="Q795" s="152" t="s">
        <v>2398</v>
      </c>
      <c r="R795" s="152" t="s">
        <v>2705</v>
      </c>
      <c r="S795" s="152" t="s">
        <v>2398</v>
      </c>
      <c r="T795" s="152" t="s">
        <v>2398</v>
      </c>
      <c r="U795" s="152" t="s">
        <v>2705</v>
      </c>
    </row>
    <row r="796" spans="1:21" s="142" customFormat="1" ht="12.75" x14ac:dyDescent="0.2">
      <c r="A796" s="151"/>
      <c r="B796" s="152" t="s">
        <v>2398</v>
      </c>
      <c r="C796" s="152" t="s">
        <v>2705</v>
      </c>
      <c r="D796" s="152" t="s">
        <v>2398</v>
      </c>
      <c r="E796" s="152" t="s">
        <v>2705</v>
      </c>
      <c r="F796" s="152" t="s">
        <v>2675</v>
      </c>
      <c r="G796" s="152" t="s">
        <v>1435</v>
      </c>
      <c r="H796" s="152" t="s">
        <v>2705</v>
      </c>
      <c r="I796" s="152" t="s">
        <v>2705</v>
      </c>
      <c r="J796" s="152" t="s">
        <v>2398</v>
      </c>
      <c r="K796" s="152" t="s">
        <v>2705</v>
      </c>
      <c r="L796" s="152" t="s">
        <v>2397</v>
      </c>
      <c r="M796" s="152" t="s">
        <v>2398</v>
      </c>
      <c r="N796" s="152" t="s">
        <v>2398</v>
      </c>
      <c r="O796" s="152" t="s">
        <v>2398</v>
      </c>
      <c r="P796" s="152" t="s">
        <v>2398</v>
      </c>
      <c r="Q796" s="152" t="s">
        <v>2705</v>
      </c>
      <c r="R796" s="152" t="s">
        <v>1435</v>
      </c>
      <c r="S796" s="152" t="s">
        <v>2705</v>
      </c>
      <c r="T796" s="152" t="s">
        <v>2705</v>
      </c>
      <c r="U796" s="152" t="s">
        <v>2398</v>
      </c>
    </row>
    <row r="797" spans="1:21" s="142" customFormat="1" ht="12.75" customHeight="1" x14ac:dyDescent="0.2">
      <c r="A797" s="151" t="s">
        <v>7715</v>
      </c>
      <c r="B797" s="152" t="s">
        <v>2398</v>
      </c>
      <c r="C797" s="152" t="s">
        <v>2705</v>
      </c>
      <c r="D797" s="152" t="s">
        <v>2705</v>
      </c>
      <c r="E797" s="152" t="s">
        <v>2705</v>
      </c>
      <c r="F797" s="152" t="s">
        <v>2705</v>
      </c>
      <c r="G797" s="152" t="s">
        <v>2705</v>
      </c>
      <c r="H797" s="152" t="s">
        <v>2705</v>
      </c>
      <c r="I797" s="152" t="s">
        <v>2398</v>
      </c>
      <c r="J797" s="152" t="s">
        <v>2705</v>
      </c>
      <c r="K797" s="152" t="s">
        <v>2705</v>
      </c>
      <c r="L797" s="152" t="s">
        <v>2705</v>
      </c>
      <c r="M797" s="152" t="s">
        <v>2398</v>
      </c>
      <c r="N797" s="152" t="s">
        <v>2705</v>
      </c>
      <c r="O797" s="152" t="s">
        <v>1435</v>
      </c>
      <c r="P797" s="152" t="s">
        <v>2398</v>
      </c>
      <c r="Q797" s="152" t="s">
        <v>2398</v>
      </c>
      <c r="R797" s="152" t="s">
        <v>2705</v>
      </c>
      <c r="S797" s="152" t="s">
        <v>2398</v>
      </c>
      <c r="T797" s="152" t="s">
        <v>2705</v>
      </c>
      <c r="U797" s="152" t="s">
        <v>2705</v>
      </c>
    </row>
    <row r="798" spans="1:21" s="142" customFormat="1" ht="12.75" x14ac:dyDescent="0.2">
      <c r="A798" s="151"/>
      <c r="B798" s="152" t="s">
        <v>2705</v>
      </c>
      <c r="C798" s="152" t="s">
        <v>2398</v>
      </c>
      <c r="D798" s="152" t="s">
        <v>2705</v>
      </c>
      <c r="E798" s="152" t="s">
        <v>2705</v>
      </c>
      <c r="F798" s="152" t="s">
        <v>2705</v>
      </c>
      <c r="G798" s="152" t="s">
        <v>2398</v>
      </c>
      <c r="H798" s="152" t="s">
        <v>2398</v>
      </c>
      <c r="I798" s="152" t="s">
        <v>2705</v>
      </c>
      <c r="J798" s="152" t="s">
        <v>2398</v>
      </c>
      <c r="K798" s="152" t="s">
        <v>2705</v>
      </c>
      <c r="L798" s="152" t="s">
        <v>2705</v>
      </c>
      <c r="M798" s="152" t="s">
        <v>2705</v>
      </c>
      <c r="N798" s="152" t="s">
        <v>2398</v>
      </c>
      <c r="O798" s="152" t="s">
        <v>2398</v>
      </c>
      <c r="P798" s="152" t="s">
        <v>2705</v>
      </c>
      <c r="Q798" s="152" t="s">
        <v>2705</v>
      </c>
      <c r="R798" s="152" t="s">
        <v>2398</v>
      </c>
      <c r="S798" s="152" t="s">
        <v>2705</v>
      </c>
      <c r="T798" s="152" t="s">
        <v>2705</v>
      </c>
      <c r="U798" s="152" t="s">
        <v>2705</v>
      </c>
    </row>
    <row r="799" spans="1:21" s="142" customFormat="1" ht="12.75" customHeight="1" x14ac:dyDescent="0.2">
      <c r="A799" s="151" t="s">
        <v>7716</v>
      </c>
      <c r="B799" s="152" t="s">
        <v>2398</v>
      </c>
      <c r="C799" s="152" t="s">
        <v>2675</v>
      </c>
      <c r="D799" s="152" t="s">
        <v>1435</v>
      </c>
      <c r="E799" s="152" t="s">
        <v>1435</v>
      </c>
      <c r="F799" s="152" t="s">
        <v>2398</v>
      </c>
      <c r="G799" s="152" t="s">
        <v>2705</v>
      </c>
      <c r="H799" s="152" t="s">
        <v>1435</v>
      </c>
      <c r="I799" s="152" t="s">
        <v>2398</v>
      </c>
      <c r="J799" s="152" t="s">
        <v>2705</v>
      </c>
      <c r="K799" s="152" t="s">
        <v>2705</v>
      </c>
      <c r="L799" s="152" t="s">
        <v>1435</v>
      </c>
      <c r="M799" s="152" t="s">
        <v>2705</v>
      </c>
      <c r="N799" s="152" t="s">
        <v>2675</v>
      </c>
      <c r="O799" s="152" t="s">
        <v>2705</v>
      </c>
      <c r="P799" s="152" t="s">
        <v>2705</v>
      </c>
      <c r="Q799" s="152" t="s">
        <v>2705</v>
      </c>
      <c r="R799" s="152" t="s">
        <v>1435</v>
      </c>
      <c r="S799" s="152" t="s">
        <v>2705</v>
      </c>
      <c r="T799" s="152" t="s">
        <v>2705</v>
      </c>
      <c r="U799" s="152" t="s">
        <v>2705</v>
      </c>
    </row>
    <row r="800" spans="1:21" s="142" customFormat="1" ht="12.75" x14ac:dyDescent="0.2">
      <c r="A800" s="151"/>
      <c r="B800" s="152" t="s">
        <v>2705</v>
      </c>
      <c r="C800" s="152" t="s">
        <v>2675</v>
      </c>
      <c r="D800" s="152" t="s">
        <v>2705</v>
      </c>
      <c r="E800" s="152" t="s">
        <v>2398</v>
      </c>
      <c r="F800" s="152" t="s">
        <v>2705</v>
      </c>
      <c r="G800" s="152" t="s">
        <v>2705</v>
      </c>
      <c r="H800" s="152" t="s">
        <v>2705</v>
      </c>
      <c r="I800" s="152" t="s">
        <v>2705</v>
      </c>
      <c r="J800" s="152" t="s">
        <v>2398</v>
      </c>
      <c r="K800" s="152" t="s">
        <v>2398</v>
      </c>
      <c r="L800" s="152" t="s">
        <v>2398</v>
      </c>
      <c r="M800" s="152" t="s">
        <v>2705</v>
      </c>
      <c r="N800" s="152" t="s">
        <v>2397</v>
      </c>
      <c r="O800" s="152" t="s">
        <v>2398</v>
      </c>
      <c r="P800" s="152" t="s">
        <v>2398</v>
      </c>
      <c r="Q800" s="152" t="s">
        <v>2398</v>
      </c>
      <c r="R800" s="152" t="s">
        <v>2705</v>
      </c>
      <c r="S800" s="152" t="s">
        <v>2705</v>
      </c>
      <c r="T800" s="152" t="s">
        <v>2398</v>
      </c>
      <c r="U800" s="152" t="s">
        <v>2398</v>
      </c>
    </row>
    <row r="801" spans="1:21" s="142" customFormat="1" ht="12.75" customHeight="1" x14ac:dyDescent="0.2">
      <c r="A801" s="151" t="s">
        <v>7717</v>
      </c>
      <c r="B801" s="152" t="s">
        <v>2705</v>
      </c>
      <c r="C801" s="152" t="s">
        <v>2398</v>
      </c>
      <c r="D801" s="152" t="s">
        <v>2705</v>
      </c>
      <c r="E801" s="152" t="s">
        <v>2705</v>
      </c>
      <c r="F801" s="152" t="s">
        <v>2705</v>
      </c>
      <c r="G801" s="152" t="s">
        <v>2705</v>
      </c>
      <c r="H801" s="152" t="s">
        <v>2398</v>
      </c>
      <c r="I801" s="152" t="s">
        <v>2705</v>
      </c>
      <c r="J801" s="152" t="s">
        <v>2705</v>
      </c>
      <c r="K801" s="152" t="s">
        <v>2705</v>
      </c>
      <c r="L801" s="152" t="s">
        <v>2705</v>
      </c>
      <c r="M801" s="152" t="s">
        <v>2705</v>
      </c>
      <c r="N801" s="152" t="s">
        <v>2705</v>
      </c>
      <c r="O801" s="152" t="s">
        <v>2705</v>
      </c>
      <c r="P801" s="152" t="s">
        <v>2675</v>
      </c>
      <c r="Q801" s="152" t="s">
        <v>2675</v>
      </c>
      <c r="R801" s="152" t="s">
        <v>2398</v>
      </c>
      <c r="S801" s="152" t="s">
        <v>2397</v>
      </c>
      <c r="T801" s="152" t="s">
        <v>2398</v>
      </c>
      <c r="U801" s="152" t="s">
        <v>2398</v>
      </c>
    </row>
    <row r="802" spans="1:21" s="142" customFormat="1" ht="12.75" x14ac:dyDescent="0.2">
      <c r="A802" s="151"/>
      <c r="B802" s="152" t="s">
        <v>2398</v>
      </c>
      <c r="C802" s="152" t="s">
        <v>2398</v>
      </c>
      <c r="D802" s="152" t="s">
        <v>2705</v>
      </c>
      <c r="E802" s="152" t="s">
        <v>2705</v>
      </c>
      <c r="F802" s="152" t="s">
        <v>2705</v>
      </c>
      <c r="G802" s="152" t="s">
        <v>2398</v>
      </c>
      <c r="H802" s="152" t="s">
        <v>2705</v>
      </c>
      <c r="I802" s="152" t="s">
        <v>2705</v>
      </c>
      <c r="J802" s="152" t="s">
        <v>2705</v>
      </c>
      <c r="K802" s="152" t="s">
        <v>2705</v>
      </c>
      <c r="L802" s="152" t="s">
        <v>2398</v>
      </c>
      <c r="M802" s="152" t="s">
        <v>1435</v>
      </c>
      <c r="N802" s="152" t="s">
        <v>2398</v>
      </c>
      <c r="O802" s="152" t="s">
        <v>2398</v>
      </c>
      <c r="P802" s="152" t="s">
        <v>2398</v>
      </c>
      <c r="Q802" s="152" t="s">
        <v>2705</v>
      </c>
      <c r="R802" s="152" t="s">
        <v>2398</v>
      </c>
      <c r="S802" s="152" t="s">
        <v>2398</v>
      </c>
      <c r="T802" s="152" t="s">
        <v>2705</v>
      </c>
      <c r="U802" s="152" t="s">
        <v>2705</v>
      </c>
    </row>
    <row r="803" spans="1:21" s="142" customFormat="1" ht="12.75" customHeight="1" x14ac:dyDescent="0.2">
      <c r="A803" s="151" t="s">
        <v>7718</v>
      </c>
      <c r="B803" s="152" t="s">
        <v>2705</v>
      </c>
      <c r="C803" s="152" t="s">
        <v>2398</v>
      </c>
      <c r="D803" s="152" t="s">
        <v>2398</v>
      </c>
      <c r="E803" s="152" t="s">
        <v>2398</v>
      </c>
      <c r="F803" s="152" t="s">
        <v>2398</v>
      </c>
      <c r="G803" s="152" t="s">
        <v>2705</v>
      </c>
      <c r="H803" s="152" t="s">
        <v>2705</v>
      </c>
      <c r="I803" s="152" t="s">
        <v>2705</v>
      </c>
      <c r="J803" s="152" t="s">
        <v>2398</v>
      </c>
      <c r="K803" s="152" t="s">
        <v>1435</v>
      </c>
      <c r="L803" s="152" t="s">
        <v>2705</v>
      </c>
      <c r="M803" s="152" t="s">
        <v>2705</v>
      </c>
      <c r="N803" s="152" t="s">
        <v>2398</v>
      </c>
      <c r="O803" s="152" t="s">
        <v>2398</v>
      </c>
      <c r="P803" s="152" t="s">
        <v>2705</v>
      </c>
      <c r="Q803" s="152" t="s">
        <v>2398</v>
      </c>
      <c r="R803" s="152" t="s">
        <v>2705</v>
      </c>
      <c r="S803" s="152" t="s">
        <v>2398</v>
      </c>
      <c r="T803" s="152" t="s">
        <v>2398</v>
      </c>
      <c r="U803" s="152" t="s">
        <v>2675</v>
      </c>
    </row>
    <row r="804" spans="1:21" s="142" customFormat="1" ht="12.75" x14ac:dyDescent="0.2">
      <c r="A804" s="151"/>
      <c r="B804" s="152" t="s">
        <v>2397</v>
      </c>
      <c r="C804" s="152" t="s">
        <v>2398</v>
      </c>
      <c r="D804" s="152" t="s">
        <v>2398</v>
      </c>
      <c r="E804" s="152" t="s">
        <v>2705</v>
      </c>
      <c r="F804" s="152" t="s">
        <v>2705</v>
      </c>
      <c r="G804" s="152" t="s">
        <v>2705</v>
      </c>
      <c r="H804" s="152" t="s">
        <v>2705</v>
      </c>
      <c r="I804" s="152" t="s">
        <v>2705</v>
      </c>
      <c r="J804" s="152" t="s">
        <v>2398</v>
      </c>
      <c r="K804" s="152" t="s">
        <v>2398</v>
      </c>
      <c r="L804" s="152" t="s">
        <v>2705</v>
      </c>
      <c r="M804" s="152" t="s">
        <v>2398</v>
      </c>
      <c r="N804" s="152" t="s">
        <v>2705</v>
      </c>
      <c r="O804" s="152" t="s">
        <v>2705</v>
      </c>
      <c r="P804" s="152" t="s">
        <v>2705</v>
      </c>
      <c r="Q804" s="152" t="s">
        <v>2398</v>
      </c>
      <c r="R804" s="152" t="s">
        <v>2705</v>
      </c>
      <c r="S804" s="152" t="s">
        <v>2705</v>
      </c>
      <c r="T804" s="152" t="s">
        <v>2398</v>
      </c>
      <c r="U804" s="152" t="s">
        <v>2705</v>
      </c>
    </row>
    <row r="805" spans="1:21" s="142" customFormat="1" ht="12.75" customHeight="1" x14ac:dyDescent="0.2">
      <c r="A805" s="151" t="s">
        <v>7719</v>
      </c>
      <c r="B805" s="152" t="s">
        <v>2705</v>
      </c>
      <c r="C805" s="152" t="s">
        <v>2398</v>
      </c>
      <c r="D805" s="152" t="s">
        <v>2675</v>
      </c>
      <c r="E805" s="152" t="s">
        <v>2705</v>
      </c>
      <c r="F805" s="152" t="s">
        <v>2398</v>
      </c>
      <c r="G805" s="152" t="s">
        <v>2705</v>
      </c>
      <c r="H805" s="152" t="s">
        <v>2398</v>
      </c>
      <c r="I805" s="152" t="s">
        <v>2705</v>
      </c>
      <c r="J805" s="152" t="s">
        <v>2705</v>
      </c>
      <c r="K805" s="152" t="s">
        <v>2705</v>
      </c>
      <c r="L805" s="152" t="s">
        <v>2398</v>
      </c>
      <c r="M805" s="152" t="s">
        <v>2705</v>
      </c>
      <c r="N805" s="152" t="s">
        <v>2705</v>
      </c>
      <c r="O805" s="152" t="s">
        <v>2398</v>
      </c>
      <c r="P805" s="152" t="s">
        <v>2705</v>
      </c>
      <c r="Q805" s="152" t="s">
        <v>2705</v>
      </c>
      <c r="R805" s="152" t="s">
        <v>2705</v>
      </c>
      <c r="S805" s="152" t="s">
        <v>2398</v>
      </c>
      <c r="T805" s="152" t="s">
        <v>2398</v>
      </c>
      <c r="U805" s="152" t="s">
        <v>2705</v>
      </c>
    </row>
    <row r="806" spans="1:21" s="142" customFormat="1" ht="12.75" x14ac:dyDescent="0.2">
      <c r="A806" s="151"/>
      <c r="B806" s="152" t="s">
        <v>1435</v>
      </c>
      <c r="C806" s="152" t="s">
        <v>2398</v>
      </c>
      <c r="D806" s="152" t="s">
        <v>1435</v>
      </c>
      <c r="E806" s="152" t="s">
        <v>2675</v>
      </c>
      <c r="F806" s="152" t="s">
        <v>2398</v>
      </c>
      <c r="G806" s="152" t="s">
        <v>2398</v>
      </c>
      <c r="H806" s="152" t="s">
        <v>2398</v>
      </c>
      <c r="I806" s="152" t="s">
        <v>2398</v>
      </c>
      <c r="J806" s="152" t="s">
        <v>2398</v>
      </c>
      <c r="K806" s="152" t="s">
        <v>2398</v>
      </c>
      <c r="L806" s="152" t="s">
        <v>2705</v>
      </c>
      <c r="M806" s="152" t="s">
        <v>2705</v>
      </c>
      <c r="N806" s="152" t="s">
        <v>2705</v>
      </c>
      <c r="O806" s="152" t="s">
        <v>2705</v>
      </c>
      <c r="P806" s="152" t="s">
        <v>2675</v>
      </c>
      <c r="Q806" s="152" t="s">
        <v>2705</v>
      </c>
      <c r="R806" s="152" t="s">
        <v>1435</v>
      </c>
      <c r="S806" s="152" t="s">
        <v>2705</v>
      </c>
      <c r="T806" s="152" t="s">
        <v>2705</v>
      </c>
      <c r="U806" s="152" t="s">
        <v>2705</v>
      </c>
    </row>
    <row r="807" spans="1:21" s="142" customFormat="1" ht="12.75" customHeight="1" x14ac:dyDescent="0.2">
      <c r="A807" s="151" t="s">
        <v>7720</v>
      </c>
      <c r="B807" s="152" t="s">
        <v>2397</v>
      </c>
      <c r="C807" s="152" t="s">
        <v>2398</v>
      </c>
      <c r="D807" s="152" t="s">
        <v>2675</v>
      </c>
      <c r="E807" s="152" t="s">
        <v>1435</v>
      </c>
      <c r="F807" s="152" t="s">
        <v>2705</v>
      </c>
      <c r="G807" s="152" t="s">
        <v>2705</v>
      </c>
      <c r="H807" s="152" t="s">
        <v>2705</v>
      </c>
      <c r="I807" s="152" t="s">
        <v>2705</v>
      </c>
      <c r="J807" s="152" t="s">
        <v>2705</v>
      </c>
      <c r="K807" s="152" t="s">
        <v>2397</v>
      </c>
      <c r="L807" s="152" t="s">
        <v>2705</v>
      </c>
      <c r="M807" s="152" t="s">
        <v>2705</v>
      </c>
      <c r="N807" s="152" t="s">
        <v>2705</v>
      </c>
      <c r="O807" s="152" t="s">
        <v>1435</v>
      </c>
      <c r="P807" s="152" t="s">
        <v>2397</v>
      </c>
      <c r="Q807" s="152" t="s">
        <v>2398</v>
      </c>
      <c r="R807" s="152" t="s">
        <v>2675</v>
      </c>
      <c r="S807" s="152" t="s">
        <v>2398</v>
      </c>
      <c r="T807" s="152" t="s">
        <v>2398</v>
      </c>
      <c r="U807" s="152" t="s">
        <v>2398</v>
      </c>
    </row>
    <row r="808" spans="1:21" s="142" customFormat="1" ht="12.75" x14ac:dyDescent="0.2">
      <c r="A808" s="151"/>
      <c r="B808" s="152" t="s">
        <v>2398</v>
      </c>
      <c r="C808" s="152" t="s">
        <v>2398</v>
      </c>
      <c r="D808" s="152" t="s">
        <v>2705</v>
      </c>
      <c r="E808" s="152" t="s">
        <v>2398</v>
      </c>
      <c r="F808" s="152" t="s">
        <v>2398</v>
      </c>
      <c r="G808" s="152" t="s">
        <v>2675</v>
      </c>
      <c r="H808" s="152" t="s">
        <v>2705</v>
      </c>
      <c r="I808" s="152" t="s">
        <v>2705</v>
      </c>
      <c r="J808" s="152" t="s">
        <v>2705</v>
      </c>
      <c r="K808" s="152" t="s">
        <v>2705</v>
      </c>
      <c r="L808" s="152" t="s">
        <v>2705</v>
      </c>
      <c r="M808" s="152" t="s">
        <v>2705</v>
      </c>
      <c r="N808" s="152" t="s">
        <v>2705</v>
      </c>
      <c r="O808" s="152" t="s">
        <v>2398</v>
      </c>
      <c r="P808" s="152" t="s">
        <v>2705</v>
      </c>
      <c r="Q808" s="152" t="s">
        <v>2398</v>
      </c>
      <c r="R808" s="152" t="s">
        <v>2705</v>
      </c>
      <c r="S808" s="152" t="s">
        <v>2398</v>
      </c>
      <c r="T808" s="152" t="s">
        <v>2398</v>
      </c>
      <c r="U808" s="152" t="s">
        <v>2398</v>
      </c>
    </row>
    <row r="809" spans="1:21" s="142" customFormat="1" ht="12.75" customHeight="1" x14ac:dyDescent="0.2">
      <c r="A809" s="151" t="s">
        <v>7721</v>
      </c>
      <c r="B809" s="152" t="s">
        <v>2705</v>
      </c>
      <c r="C809" s="152" t="s">
        <v>2398</v>
      </c>
      <c r="D809" s="152" t="s">
        <v>2705</v>
      </c>
      <c r="E809" s="152" t="s">
        <v>2705</v>
      </c>
      <c r="F809" s="152" t="s">
        <v>2398</v>
      </c>
      <c r="G809" s="152" t="s">
        <v>2705</v>
      </c>
      <c r="H809" s="152" t="s">
        <v>2705</v>
      </c>
      <c r="I809" s="152" t="s">
        <v>2705</v>
      </c>
      <c r="J809" s="152" t="s">
        <v>2675</v>
      </c>
      <c r="K809" s="152" t="s">
        <v>2398</v>
      </c>
      <c r="L809" s="152" t="s">
        <v>2675</v>
      </c>
      <c r="M809" s="152" t="s">
        <v>2398</v>
      </c>
      <c r="N809" s="152" t="s">
        <v>2705</v>
      </c>
      <c r="O809" s="152" t="s">
        <v>2398</v>
      </c>
      <c r="P809" s="152" t="s">
        <v>2705</v>
      </c>
      <c r="Q809" s="152" t="s">
        <v>2705</v>
      </c>
      <c r="R809" s="152" t="s">
        <v>2705</v>
      </c>
      <c r="S809" s="152" t="s">
        <v>2705</v>
      </c>
      <c r="T809" s="152" t="s">
        <v>2398</v>
      </c>
      <c r="U809" s="152" t="s">
        <v>2705</v>
      </c>
    </row>
    <row r="810" spans="1:21" s="142" customFormat="1" ht="12.75" x14ac:dyDescent="0.2">
      <c r="A810" s="151"/>
      <c r="B810" s="152" t="s">
        <v>2705</v>
      </c>
      <c r="C810" s="152" t="s">
        <v>2675</v>
      </c>
      <c r="D810" s="152" t="s">
        <v>2398</v>
      </c>
      <c r="E810" s="152" t="s">
        <v>2705</v>
      </c>
      <c r="F810" s="152" t="s">
        <v>2705</v>
      </c>
      <c r="G810" s="152" t="s">
        <v>2705</v>
      </c>
      <c r="H810" s="152" t="s">
        <v>2705</v>
      </c>
      <c r="I810" s="152" t="s">
        <v>2398</v>
      </c>
      <c r="J810" s="152" t="s">
        <v>2705</v>
      </c>
      <c r="K810" s="152" t="s">
        <v>2705</v>
      </c>
      <c r="L810" s="152" t="s">
        <v>2398</v>
      </c>
      <c r="M810" s="152" t="s">
        <v>2705</v>
      </c>
      <c r="N810" s="152" t="s">
        <v>2705</v>
      </c>
      <c r="O810" s="152" t="s">
        <v>1435</v>
      </c>
      <c r="P810" s="152" t="s">
        <v>2705</v>
      </c>
      <c r="Q810" s="152" t="s">
        <v>2705</v>
      </c>
      <c r="R810" s="152" t="s">
        <v>2398</v>
      </c>
      <c r="S810" s="152" t="s">
        <v>2705</v>
      </c>
      <c r="T810" s="152" t="s">
        <v>2705</v>
      </c>
      <c r="U810" s="152" t="s">
        <v>2705</v>
      </c>
    </row>
    <row r="811" spans="1:21" s="142" customFormat="1" ht="12.75" customHeight="1" x14ac:dyDescent="0.2">
      <c r="A811" s="151" t="s">
        <v>7722</v>
      </c>
      <c r="B811" s="152" t="s">
        <v>2705</v>
      </c>
      <c r="C811" s="152" t="s">
        <v>2398</v>
      </c>
      <c r="D811" s="152" t="s">
        <v>2705</v>
      </c>
      <c r="E811" s="152" t="s">
        <v>2705</v>
      </c>
      <c r="F811" s="152" t="s">
        <v>2398</v>
      </c>
      <c r="G811" s="152" t="s">
        <v>2705</v>
      </c>
      <c r="H811" s="152" t="s">
        <v>2705</v>
      </c>
      <c r="I811" s="152" t="s">
        <v>2705</v>
      </c>
      <c r="J811" s="152" t="s">
        <v>2398</v>
      </c>
      <c r="K811" s="152" t="s">
        <v>2705</v>
      </c>
      <c r="L811" s="152" t="s">
        <v>2398</v>
      </c>
      <c r="M811" s="152" t="s">
        <v>2398</v>
      </c>
      <c r="N811" s="152" t="s">
        <v>2398</v>
      </c>
      <c r="O811" s="152" t="s">
        <v>2705</v>
      </c>
      <c r="P811" s="152" t="s">
        <v>2705</v>
      </c>
      <c r="Q811" s="152" t="s">
        <v>2398</v>
      </c>
      <c r="R811" s="152" t="s">
        <v>2705</v>
      </c>
      <c r="S811" s="152" t="s">
        <v>2705</v>
      </c>
      <c r="T811" s="152" t="s">
        <v>2705</v>
      </c>
      <c r="U811" s="152" t="s">
        <v>2705</v>
      </c>
    </row>
    <row r="812" spans="1:21" s="142" customFormat="1" ht="12.75" x14ac:dyDescent="0.2">
      <c r="A812" s="151"/>
      <c r="B812" s="152" t="s">
        <v>2398</v>
      </c>
      <c r="C812" s="152" t="s">
        <v>2675</v>
      </c>
      <c r="D812" s="152" t="s">
        <v>2397</v>
      </c>
      <c r="E812" s="152" t="s">
        <v>1435</v>
      </c>
      <c r="F812" s="152" t="s">
        <v>2398</v>
      </c>
      <c r="G812" s="152" t="s">
        <v>2398</v>
      </c>
      <c r="H812" s="152" t="s">
        <v>2705</v>
      </c>
      <c r="I812" s="152" t="s">
        <v>2705</v>
      </c>
      <c r="J812" s="152" t="s">
        <v>2705</v>
      </c>
      <c r="K812" s="152" t="s">
        <v>2705</v>
      </c>
      <c r="L812" s="152" t="s">
        <v>2398</v>
      </c>
      <c r="M812" s="152" t="s">
        <v>2705</v>
      </c>
      <c r="N812" s="152" t="s">
        <v>2705</v>
      </c>
      <c r="O812" s="152" t="s">
        <v>2705</v>
      </c>
      <c r="P812" s="152" t="s">
        <v>1435</v>
      </c>
      <c r="Q812" s="152" t="s">
        <v>2705</v>
      </c>
      <c r="R812" s="152" t="s">
        <v>2398</v>
      </c>
      <c r="S812" s="152" t="s">
        <v>2705</v>
      </c>
      <c r="T812" s="152" t="s">
        <v>2705</v>
      </c>
      <c r="U812" s="152" t="s">
        <v>2705</v>
      </c>
    </row>
    <row r="813" spans="1:21" s="142" customFormat="1" ht="12.75" customHeight="1" x14ac:dyDescent="0.2">
      <c r="A813" s="151" t="s">
        <v>7723</v>
      </c>
      <c r="B813" s="152" t="s">
        <v>2705</v>
      </c>
      <c r="C813" s="152" t="s">
        <v>2398</v>
      </c>
      <c r="D813" s="152" t="s">
        <v>2705</v>
      </c>
      <c r="E813" s="152" t="s">
        <v>2398</v>
      </c>
      <c r="F813" s="152" t="s">
        <v>2705</v>
      </c>
      <c r="G813" s="152" t="s">
        <v>2705</v>
      </c>
      <c r="H813" s="152" t="s">
        <v>2705</v>
      </c>
      <c r="I813" s="152" t="s">
        <v>2705</v>
      </c>
      <c r="J813" s="152" t="s">
        <v>2705</v>
      </c>
      <c r="K813" s="152" t="s">
        <v>2398</v>
      </c>
      <c r="L813" s="152" t="s">
        <v>2705</v>
      </c>
      <c r="M813" s="152" t="s">
        <v>2398</v>
      </c>
      <c r="N813" s="152" t="s">
        <v>1435</v>
      </c>
      <c r="O813" s="152" t="s">
        <v>2398</v>
      </c>
      <c r="P813" s="152" t="s">
        <v>2705</v>
      </c>
      <c r="Q813" s="152" t="s">
        <v>1435</v>
      </c>
      <c r="R813" s="152" t="s">
        <v>2705</v>
      </c>
      <c r="S813" s="152" t="s">
        <v>2398</v>
      </c>
      <c r="T813" s="152" t="s">
        <v>2705</v>
      </c>
      <c r="U813" s="152" t="s">
        <v>2398</v>
      </c>
    </row>
    <row r="814" spans="1:21" s="142" customFormat="1" ht="12.75" x14ac:dyDescent="0.2">
      <c r="A814" s="151"/>
      <c r="B814" s="152" t="s">
        <v>2398</v>
      </c>
      <c r="C814" s="152" t="s">
        <v>2397</v>
      </c>
      <c r="D814" s="152" t="s">
        <v>2705</v>
      </c>
      <c r="E814" s="152" t="s">
        <v>2398</v>
      </c>
      <c r="F814" s="152" t="s">
        <v>2705</v>
      </c>
      <c r="G814" s="152" t="s">
        <v>2398</v>
      </c>
      <c r="H814" s="152" t="s">
        <v>2705</v>
      </c>
      <c r="I814" s="152" t="s">
        <v>2398</v>
      </c>
      <c r="J814" s="152" t="s">
        <v>2398</v>
      </c>
      <c r="K814" s="152" t="s">
        <v>2398</v>
      </c>
      <c r="L814" s="152" t="s">
        <v>2398</v>
      </c>
      <c r="M814" s="152" t="s">
        <v>2705</v>
      </c>
      <c r="N814" s="152" t="s">
        <v>1435</v>
      </c>
      <c r="O814" s="152" t="s">
        <v>2705</v>
      </c>
      <c r="P814" s="152" t="s">
        <v>2398</v>
      </c>
      <c r="Q814" s="152" t="s">
        <v>2398</v>
      </c>
      <c r="R814" s="152" t="s">
        <v>2705</v>
      </c>
      <c r="S814" s="152" t="s">
        <v>2398</v>
      </c>
      <c r="T814" s="152" t="s">
        <v>1435</v>
      </c>
      <c r="U814" s="152" t="s">
        <v>1435</v>
      </c>
    </row>
    <row r="815" spans="1:21" s="142" customFormat="1" ht="12.75" customHeight="1" x14ac:dyDescent="0.2">
      <c r="A815" s="151" t="s">
        <v>7724</v>
      </c>
      <c r="B815" s="152" t="s">
        <v>2397</v>
      </c>
      <c r="C815" s="152" t="s">
        <v>2705</v>
      </c>
      <c r="D815" s="152" t="s">
        <v>2675</v>
      </c>
      <c r="E815" s="152" t="s">
        <v>1435</v>
      </c>
      <c r="F815" s="152" t="s">
        <v>2705</v>
      </c>
      <c r="G815" s="152" t="s">
        <v>2398</v>
      </c>
      <c r="H815" s="152" t="s">
        <v>2705</v>
      </c>
      <c r="I815" s="152" t="s">
        <v>2398</v>
      </c>
      <c r="J815" s="152" t="s">
        <v>2398</v>
      </c>
      <c r="K815" s="152" t="s">
        <v>2398</v>
      </c>
      <c r="L815" s="152" t="s">
        <v>2705</v>
      </c>
      <c r="M815" s="152" t="s">
        <v>2705</v>
      </c>
      <c r="N815" s="152" t="s">
        <v>2705</v>
      </c>
      <c r="O815" s="152" t="s">
        <v>2398</v>
      </c>
      <c r="P815" s="152" t="s">
        <v>2705</v>
      </c>
      <c r="Q815" s="152" t="s">
        <v>2397</v>
      </c>
      <c r="R815" s="152" t="s">
        <v>2398</v>
      </c>
      <c r="S815" s="152" t="s">
        <v>2398</v>
      </c>
      <c r="T815" s="152" t="s">
        <v>2705</v>
      </c>
      <c r="U815" s="152" t="s">
        <v>2398</v>
      </c>
    </row>
    <row r="816" spans="1:21" s="142" customFormat="1" ht="12.75" x14ac:dyDescent="0.2">
      <c r="A816" s="151"/>
      <c r="B816" s="152" t="s">
        <v>2398</v>
      </c>
      <c r="C816" s="152" t="s">
        <v>2398</v>
      </c>
      <c r="D816" s="152" t="s">
        <v>1435</v>
      </c>
      <c r="E816" s="152" t="s">
        <v>2705</v>
      </c>
      <c r="F816" s="152" t="s">
        <v>2675</v>
      </c>
      <c r="G816" s="152" t="s">
        <v>2675</v>
      </c>
      <c r="H816" s="152" t="s">
        <v>2398</v>
      </c>
      <c r="I816" s="152" t="s">
        <v>2398</v>
      </c>
      <c r="J816" s="152" t="s">
        <v>2705</v>
      </c>
      <c r="K816" s="152" t="s">
        <v>2398</v>
      </c>
      <c r="L816" s="152" t="s">
        <v>2398</v>
      </c>
      <c r="M816" s="152" t="s">
        <v>2398</v>
      </c>
      <c r="N816" s="152" t="s">
        <v>2398</v>
      </c>
      <c r="O816" s="152" t="s">
        <v>2705</v>
      </c>
      <c r="P816" s="152" t="s">
        <v>2398</v>
      </c>
      <c r="Q816" s="152" t="s">
        <v>2705</v>
      </c>
      <c r="R816" s="152" t="s">
        <v>2398</v>
      </c>
      <c r="S816" s="152" t="s">
        <v>2705</v>
      </c>
      <c r="T816" s="152" t="s">
        <v>2705</v>
      </c>
      <c r="U816" s="152" t="s">
        <v>2705</v>
      </c>
    </row>
    <row r="817" spans="1:21" s="142" customFormat="1" ht="12.75" customHeight="1" x14ac:dyDescent="0.2">
      <c r="A817" s="151" t="s">
        <v>7725</v>
      </c>
      <c r="B817" s="152" t="s">
        <v>2705</v>
      </c>
      <c r="C817" s="152" t="s">
        <v>2675</v>
      </c>
      <c r="D817" s="152" t="s">
        <v>2705</v>
      </c>
      <c r="E817" s="152" t="s">
        <v>2705</v>
      </c>
      <c r="F817" s="152" t="s">
        <v>2397</v>
      </c>
      <c r="G817" s="152" t="s">
        <v>1435</v>
      </c>
      <c r="H817" s="152" t="s">
        <v>2705</v>
      </c>
      <c r="I817" s="152" t="s">
        <v>2705</v>
      </c>
      <c r="J817" s="152" t="s">
        <v>2705</v>
      </c>
      <c r="K817" s="152" t="s">
        <v>2705</v>
      </c>
      <c r="L817" s="152" t="s">
        <v>2675</v>
      </c>
      <c r="M817" s="152" t="s">
        <v>2705</v>
      </c>
      <c r="N817" s="152" t="s">
        <v>2675</v>
      </c>
      <c r="O817" s="152" t="s">
        <v>2675</v>
      </c>
      <c r="P817" s="152" t="s">
        <v>2398</v>
      </c>
      <c r="Q817" s="152" t="s">
        <v>2705</v>
      </c>
      <c r="R817" s="152" t="s">
        <v>2705</v>
      </c>
      <c r="S817" s="152" t="s">
        <v>2705</v>
      </c>
      <c r="T817" s="152" t="s">
        <v>2398</v>
      </c>
      <c r="U817" s="152" t="s">
        <v>2705</v>
      </c>
    </row>
    <row r="818" spans="1:21" s="142" customFormat="1" ht="12.75" x14ac:dyDescent="0.2">
      <c r="A818" s="151"/>
      <c r="B818" s="152" t="s">
        <v>1435</v>
      </c>
      <c r="C818" s="152" t="s">
        <v>2675</v>
      </c>
      <c r="D818" s="152" t="s">
        <v>2705</v>
      </c>
      <c r="E818" s="152" t="s">
        <v>2675</v>
      </c>
      <c r="F818" s="152" t="s">
        <v>2705</v>
      </c>
      <c r="G818" s="152" t="s">
        <v>1435</v>
      </c>
      <c r="H818" s="152" t="s">
        <v>2705</v>
      </c>
      <c r="I818" s="152" t="s">
        <v>2675</v>
      </c>
      <c r="J818" s="152" t="s">
        <v>2675</v>
      </c>
      <c r="K818" s="152" t="s">
        <v>2705</v>
      </c>
      <c r="L818" s="152" t="s">
        <v>2397</v>
      </c>
      <c r="M818" s="152" t="s">
        <v>2705</v>
      </c>
      <c r="N818" s="152" t="s">
        <v>2705</v>
      </c>
      <c r="O818" s="152" t="s">
        <v>2705</v>
      </c>
      <c r="P818" s="152" t="s">
        <v>2705</v>
      </c>
      <c r="Q818" s="152" t="s">
        <v>2705</v>
      </c>
      <c r="R818" s="152" t="s">
        <v>2398</v>
      </c>
      <c r="S818" s="152" t="s">
        <v>2705</v>
      </c>
      <c r="T818" s="152" t="s">
        <v>2705</v>
      </c>
      <c r="U818" s="152" t="s">
        <v>2705</v>
      </c>
    </row>
    <row r="819" spans="1:21" s="142" customFormat="1" ht="12.75" customHeight="1" x14ac:dyDescent="0.2">
      <c r="A819" s="151" t="s">
        <v>7726</v>
      </c>
      <c r="B819" s="152" t="s">
        <v>2705</v>
      </c>
      <c r="C819" s="152" t="s">
        <v>2705</v>
      </c>
      <c r="D819" s="152" t="s">
        <v>2705</v>
      </c>
      <c r="E819" s="152" t="s">
        <v>1435</v>
      </c>
      <c r="F819" s="152" t="s">
        <v>2705</v>
      </c>
      <c r="G819" s="152" t="s">
        <v>2705</v>
      </c>
      <c r="H819" s="152" t="s">
        <v>2705</v>
      </c>
      <c r="I819" s="152" t="s">
        <v>2398</v>
      </c>
      <c r="J819" s="152" t="s">
        <v>2398</v>
      </c>
      <c r="K819" s="152" t="s">
        <v>2398</v>
      </c>
      <c r="L819" s="152" t="s">
        <v>2705</v>
      </c>
      <c r="M819" s="152" t="s">
        <v>2705</v>
      </c>
      <c r="N819" s="152" t="s">
        <v>1435</v>
      </c>
      <c r="O819" s="152" t="s">
        <v>2398</v>
      </c>
      <c r="P819" s="152" t="s">
        <v>2705</v>
      </c>
      <c r="Q819" s="152" t="s">
        <v>1435</v>
      </c>
      <c r="R819" s="152" t="s">
        <v>2398</v>
      </c>
      <c r="S819" s="152" t="s">
        <v>2398</v>
      </c>
      <c r="T819" s="152" t="s">
        <v>2705</v>
      </c>
      <c r="U819" s="152" t="s">
        <v>2398</v>
      </c>
    </row>
    <row r="820" spans="1:21" s="142" customFormat="1" ht="12.75" x14ac:dyDescent="0.2">
      <c r="A820" s="151"/>
      <c r="B820" s="152" t="s">
        <v>2398</v>
      </c>
      <c r="C820" s="152" t="s">
        <v>2705</v>
      </c>
      <c r="D820" s="152" t="s">
        <v>2705</v>
      </c>
      <c r="E820" s="152" t="s">
        <v>2705</v>
      </c>
      <c r="F820" s="152" t="s">
        <v>2398</v>
      </c>
      <c r="G820" s="152" t="s">
        <v>2675</v>
      </c>
      <c r="H820" s="152" t="s">
        <v>2705</v>
      </c>
      <c r="I820" s="152" t="s">
        <v>2705</v>
      </c>
      <c r="J820" s="152" t="s">
        <v>2675</v>
      </c>
      <c r="K820" s="152" t="s">
        <v>2675</v>
      </c>
      <c r="L820" s="152" t="s">
        <v>2397</v>
      </c>
      <c r="M820" s="152" t="s">
        <v>2398</v>
      </c>
      <c r="N820" s="152" t="s">
        <v>2705</v>
      </c>
      <c r="O820" s="152" t="s">
        <v>2705</v>
      </c>
      <c r="P820" s="152" t="s">
        <v>2398</v>
      </c>
      <c r="Q820" s="152" t="s">
        <v>2705</v>
      </c>
      <c r="R820" s="152" t="s">
        <v>2705</v>
      </c>
      <c r="S820" s="152" t="s">
        <v>2705</v>
      </c>
      <c r="T820" s="152" t="s">
        <v>2705</v>
      </c>
      <c r="U820" s="152" t="s">
        <v>2705</v>
      </c>
    </row>
    <row r="821" spans="1:21" s="142" customFormat="1" ht="12.75" customHeight="1" x14ac:dyDescent="0.2">
      <c r="A821" s="151" t="s">
        <v>7727</v>
      </c>
      <c r="B821" s="152" t="s">
        <v>2398</v>
      </c>
      <c r="C821" s="152" t="s">
        <v>2705</v>
      </c>
      <c r="D821" s="152" t="s">
        <v>2705</v>
      </c>
      <c r="E821" s="152" t="s">
        <v>2705</v>
      </c>
      <c r="F821" s="152" t="s">
        <v>2705</v>
      </c>
      <c r="G821" s="152" t="s">
        <v>2398</v>
      </c>
      <c r="H821" s="152" t="s">
        <v>2705</v>
      </c>
      <c r="I821" s="152" t="s">
        <v>2705</v>
      </c>
      <c r="J821" s="152" t="s">
        <v>2705</v>
      </c>
      <c r="K821" s="152" t="s">
        <v>2398</v>
      </c>
      <c r="L821" s="152" t="s">
        <v>2705</v>
      </c>
      <c r="M821" s="152" t="s">
        <v>2705</v>
      </c>
      <c r="N821" s="152" t="s">
        <v>2705</v>
      </c>
      <c r="O821" s="152" t="s">
        <v>2705</v>
      </c>
      <c r="P821" s="152" t="s">
        <v>2398</v>
      </c>
      <c r="Q821" s="152" t="s">
        <v>2675</v>
      </c>
      <c r="R821" s="152" t="s">
        <v>2398</v>
      </c>
      <c r="S821" s="152" t="s">
        <v>2398</v>
      </c>
      <c r="T821" s="152" t="s">
        <v>2398</v>
      </c>
      <c r="U821" s="152" t="s">
        <v>2398</v>
      </c>
    </row>
    <row r="822" spans="1:21" s="142" customFormat="1" ht="12.75" x14ac:dyDescent="0.2">
      <c r="A822" s="151"/>
      <c r="B822" s="152" t="s">
        <v>2705</v>
      </c>
      <c r="C822" s="152" t="s">
        <v>2705</v>
      </c>
      <c r="D822" s="152" t="s">
        <v>2675</v>
      </c>
      <c r="E822" s="152" t="s">
        <v>2398</v>
      </c>
      <c r="F822" s="152" t="s">
        <v>2705</v>
      </c>
      <c r="G822" s="152" t="s">
        <v>1435</v>
      </c>
      <c r="H822" s="152" t="s">
        <v>2705</v>
      </c>
      <c r="I822" s="152" t="s">
        <v>2705</v>
      </c>
      <c r="J822" s="152" t="s">
        <v>2705</v>
      </c>
      <c r="K822" s="152" t="s">
        <v>2705</v>
      </c>
      <c r="L822" s="152" t="s">
        <v>2705</v>
      </c>
      <c r="M822" s="152" t="s">
        <v>2398</v>
      </c>
      <c r="N822" s="152" t="s">
        <v>2705</v>
      </c>
      <c r="O822" s="152" t="s">
        <v>2705</v>
      </c>
      <c r="P822" s="152" t="s">
        <v>2398</v>
      </c>
      <c r="Q822" s="152" t="s">
        <v>2705</v>
      </c>
      <c r="R822" s="152" t="s">
        <v>2705</v>
      </c>
      <c r="S822" s="152" t="s">
        <v>2398</v>
      </c>
      <c r="T822" s="152" t="s">
        <v>2705</v>
      </c>
      <c r="U822" s="152" t="s">
        <v>2705</v>
      </c>
    </row>
    <row r="823" spans="1:21" s="142" customFormat="1" ht="12.75" customHeight="1" x14ac:dyDescent="0.2">
      <c r="A823" s="151" t="s">
        <v>7728</v>
      </c>
      <c r="B823" s="152" t="s">
        <v>2705</v>
      </c>
      <c r="C823" s="152" t="s">
        <v>2398</v>
      </c>
      <c r="D823" s="152" t="s">
        <v>2398</v>
      </c>
      <c r="E823" s="152" t="s">
        <v>2705</v>
      </c>
      <c r="F823" s="152" t="s">
        <v>2705</v>
      </c>
      <c r="G823" s="152" t="s">
        <v>2398</v>
      </c>
      <c r="H823" s="152" t="s">
        <v>2705</v>
      </c>
      <c r="I823" s="152" t="s">
        <v>2705</v>
      </c>
      <c r="J823" s="152" t="s">
        <v>2705</v>
      </c>
      <c r="K823" s="152" t="s">
        <v>2705</v>
      </c>
      <c r="L823" s="152" t="s">
        <v>2675</v>
      </c>
      <c r="M823" s="152" t="s">
        <v>2398</v>
      </c>
      <c r="N823" s="152" t="s">
        <v>2398</v>
      </c>
      <c r="O823" s="152" t="s">
        <v>2705</v>
      </c>
      <c r="P823" s="152" t="s">
        <v>2705</v>
      </c>
      <c r="Q823" s="152" t="s">
        <v>2705</v>
      </c>
      <c r="R823" s="152" t="s">
        <v>1435</v>
      </c>
      <c r="S823" s="152" t="s">
        <v>2705</v>
      </c>
      <c r="T823" s="152" t="s">
        <v>2705</v>
      </c>
      <c r="U823" s="152" t="s">
        <v>2705</v>
      </c>
    </row>
    <row r="824" spans="1:21" s="142" customFormat="1" ht="12.75" x14ac:dyDescent="0.2">
      <c r="A824" s="151"/>
      <c r="B824" s="152" t="s">
        <v>2705</v>
      </c>
      <c r="C824" s="152" t="s">
        <v>2397</v>
      </c>
      <c r="D824" s="152" t="s">
        <v>1435</v>
      </c>
      <c r="E824" s="152" t="s">
        <v>2705</v>
      </c>
      <c r="F824" s="152" t="s">
        <v>2705</v>
      </c>
      <c r="G824" s="152" t="s">
        <v>2705</v>
      </c>
      <c r="H824" s="152" t="s">
        <v>2705</v>
      </c>
      <c r="I824" s="152" t="s">
        <v>2705</v>
      </c>
      <c r="J824" s="152" t="s">
        <v>2705</v>
      </c>
      <c r="K824" s="152" t="s">
        <v>2705</v>
      </c>
      <c r="L824" s="152" t="s">
        <v>2398</v>
      </c>
      <c r="M824" s="152" t="s">
        <v>2398</v>
      </c>
      <c r="N824" s="152" t="s">
        <v>2398</v>
      </c>
      <c r="O824" s="152" t="s">
        <v>2398</v>
      </c>
      <c r="P824" s="152" t="s">
        <v>2705</v>
      </c>
      <c r="Q824" s="152" t="s">
        <v>2398</v>
      </c>
      <c r="R824" s="152" t="s">
        <v>2705</v>
      </c>
      <c r="S824" s="152" t="s">
        <v>2705</v>
      </c>
      <c r="T824" s="152" t="s">
        <v>2705</v>
      </c>
      <c r="U824" s="152" t="s">
        <v>2705</v>
      </c>
    </row>
    <row r="825" spans="1:21" s="142" customFormat="1" ht="12.75" customHeight="1" x14ac:dyDescent="0.2">
      <c r="A825" s="151" t="s">
        <v>7729</v>
      </c>
      <c r="B825" s="152" t="s">
        <v>2398</v>
      </c>
      <c r="C825" s="152" t="s">
        <v>2705</v>
      </c>
      <c r="D825" s="152" t="s">
        <v>2398</v>
      </c>
      <c r="E825" s="152" t="s">
        <v>2398</v>
      </c>
      <c r="F825" s="152" t="s">
        <v>2675</v>
      </c>
      <c r="G825" s="152" t="s">
        <v>2705</v>
      </c>
      <c r="H825" s="152" t="s">
        <v>2705</v>
      </c>
      <c r="I825" s="152" t="s">
        <v>2705</v>
      </c>
      <c r="J825" s="152" t="s">
        <v>2675</v>
      </c>
      <c r="K825" s="152" t="s">
        <v>2705</v>
      </c>
      <c r="L825" s="152" t="s">
        <v>2705</v>
      </c>
      <c r="M825" s="152" t="s">
        <v>1435</v>
      </c>
      <c r="N825" s="152" t="s">
        <v>2398</v>
      </c>
      <c r="O825" s="152" t="s">
        <v>2705</v>
      </c>
      <c r="P825" s="152" t="s">
        <v>2705</v>
      </c>
      <c r="Q825" s="152" t="s">
        <v>2705</v>
      </c>
      <c r="R825" s="152" t="s">
        <v>2675</v>
      </c>
      <c r="S825" s="152" t="s">
        <v>2705</v>
      </c>
      <c r="T825" s="152" t="s">
        <v>2705</v>
      </c>
      <c r="U825" s="152" t="s">
        <v>2398</v>
      </c>
    </row>
    <row r="826" spans="1:21" s="142" customFormat="1" ht="12.75" x14ac:dyDescent="0.2">
      <c r="A826" s="151"/>
      <c r="B826" s="152" t="s">
        <v>2675</v>
      </c>
      <c r="C826" s="152" t="s">
        <v>2675</v>
      </c>
      <c r="D826" s="152" t="s">
        <v>2397</v>
      </c>
      <c r="E826" s="152" t="s">
        <v>2705</v>
      </c>
      <c r="F826" s="152" t="s">
        <v>2705</v>
      </c>
      <c r="G826" s="152" t="s">
        <v>2705</v>
      </c>
      <c r="H826" s="152" t="s">
        <v>2398</v>
      </c>
      <c r="I826" s="152" t="s">
        <v>2705</v>
      </c>
      <c r="J826" s="152" t="s">
        <v>2705</v>
      </c>
      <c r="K826" s="152" t="s">
        <v>2398</v>
      </c>
      <c r="L826" s="152" t="s">
        <v>2398</v>
      </c>
      <c r="M826" s="152" t="s">
        <v>2398</v>
      </c>
      <c r="N826" s="152" t="s">
        <v>2705</v>
      </c>
      <c r="O826" s="152" t="s">
        <v>2398</v>
      </c>
      <c r="P826" s="152" t="s">
        <v>2705</v>
      </c>
      <c r="Q826" s="152" t="s">
        <v>2705</v>
      </c>
      <c r="R826" s="152" t="s">
        <v>2705</v>
      </c>
      <c r="S826" s="152" t="s">
        <v>2705</v>
      </c>
      <c r="T826" s="152" t="s">
        <v>2398</v>
      </c>
      <c r="U826" s="152" t="s">
        <v>2398</v>
      </c>
    </row>
    <row r="827" spans="1:21" s="142" customFormat="1" ht="12.75" customHeight="1" x14ac:dyDescent="0.2">
      <c r="A827" s="151" t="s">
        <v>7730</v>
      </c>
      <c r="B827" s="152" t="s">
        <v>2705</v>
      </c>
      <c r="C827" s="152" t="s">
        <v>2398</v>
      </c>
      <c r="D827" s="152" t="s">
        <v>2705</v>
      </c>
      <c r="E827" s="152" t="s">
        <v>2705</v>
      </c>
      <c r="F827" s="152" t="s">
        <v>2705</v>
      </c>
      <c r="G827" s="152" t="s">
        <v>2705</v>
      </c>
      <c r="H827" s="152" t="s">
        <v>2705</v>
      </c>
      <c r="I827" s="152" t="s">
        <v>2398</v>
      </c>
      <c r="J827" s="152" t="s">
        <v>2705</v>
      </c>
      <c r="K827" s="152" t="s">
        <v>2705</v>
      </c>
      <c r="L827" s="152" t="s">
        <v>2705</v>
      </c>
      <c r="M827" s="152" t="s">
        <v>2705</v>
      </c>
      <c r="N827" s="152" t="s">
        <v>2705</v>
      </c>
      <c r="O827" s="152" t="s">
        <v>2398</v>
      </c>
      <c r="P827" s="152" t="s">
        <v>2398</v>
      </c>
      <c r="Q827" s="152" t="s">
        <v>2705</v>
      </c>
      <c r="R827" s="152" t="s">
        <v>2705</v>
      </c>
      <c r="S827" s="152" t="s">
        <v>2398</v>
      </c>
      <c r="T827" s="152" t="s">
        <v>2705</v>
      </c>
      <c r="U827" s="152" t="s">
        <v>2705</v>
      </c>
    </row>
    <row r="828" spans="1:21" s="142" customFormat="1" ht="12.75" x14ac:dyDescent="0.2">
      <c r="A828" s="151"/>
      <c r="B828" s="152" t="s">
        <v>2705</v>
      </c>
      <c r="C828" s="152" t="s">
        <v>2398</v>
      </c>
      <c r="D828" s="152" t="s">
        <v>2705</v>
      </c>
      <c r="E828" s="152" t="s">
        <v>2705</v>
      </c>
      <c r="F828" s="152" t="s">
        <v>2705</v>
      </c>
      <c r="G828" s="152" t="s">
        <v>2705</v>
      </c>
      <c r="H828" s="152" t="s">
        <v>2398</v>
      </c>
      <c r="I828" s="152" t="s">
        <v>2705</v>
      </c>
      <c r="J828" s="152" t="s">
        <v>2705</v>
      </c>
      <c r="K828" s="152" t="s">
        <v>2705</v>
      </c>
      <c r="L828" s="152" t="s">
        <v>2398</v>
      </c>
      <c r="M828" s="152" t="s">
        <v>2398</v>
      </c>
      <c r="N828" s="152" t="s">
        <v>2398</v>
      </c>
      <c r="O828" s="152" t="s">
        <v>2705</v>
      </c>
      <c r="P828" s="152" t="s">
        <v>2705</v>
      </c>
      <c r="Q828" s="152" t="s">
        <v>2705</v>
      </c>
      <c r="R828" s="152" t="s">
        <v>2705</v>
      </c>
      <c r="S828" s="152" t="s">
        <v>2398</v>
      </c>
      <c r="T828" s="152" t="s">
        <v>2705</v>
      </c>
      <c r="U828" s="152" t="s">
        <v>2705</v>
      </c>
    </row>
    <row r="829" spans="1:21" s="142" customFormat="1" ht="12.75" customHeight="1" x14ac:dyDescent="0.2">
      <c r="A829" s="151" t="s">
        <v>7731</v>
      </c>
      <c r="B829" s="152" t="s">
        <v>2398</v>
      </c>
      <c r="C829" s="152" t="s">
        <v>2398</v>
      </c>
      <c r="D829" s="152" t="s">
        <v>2705</v>
      </c>
      <c r="E829" s="152" t="s">
        <v>2398</v>
      </c>
      <c r="F829" s="152" t="s">
        <v>2705</v>
      </c>
      <c r="G829" s="152" t="s">
        <v>2705</v>
      </c>
      <c r="H829" s="152" t="s">
        <v>2705</v>
      </c>
      <c r="I829" s="152" t="s">
        <v>2398</v>
      </c>
      <c r="J829" s="152" t="s">
        <v>2705</v>
      </c>
      <c r="K829" s="152" t="s">
        <v>2705</v>
      </c>
      <c r="L829" s="152" t="s">
        <v>2705</v>
      </c>
      <c r="M829" s="152" t="s">
        <v>2705</v>
      </c>
      <c r="N829" s="152" t="s">
        <v>2398</v>
      </c>
      <c r="O829" s="152" t="s">
        <v>2398</v>
      </c>
      <c r="P829" s="152" t="s">
        <v>2705</v>
      </c>
      <c r="Q829" s="152" t="s">
        <v>2705</v>
      </c>
      <c r="R829" s="152" t="s">
        <v>2675</v>
      </c>
      <c r="S829" s="152" t="s">
        <v>2705</v>
      </c>
      <c r="T829" s="152" t="s">
        <v>2398</v>
      </c>
      <c r="U829" s="152" t="s">
        <v>2398</v>
      </c>
    </row>
    <row r="830" spans="1:21" s="142" customFormat="1" ht="12.75" x14ac:dyDescent="0.2">
      <c r="A830" s="151"/>
      <c r="B830" s="152" t="s">
        <v>2705</v>
      </c>
      <c r="C830" s="152" t="s">
        <v>2675</v>
      </c>
      <c r="D830" s="152" t="s">
        <v>2705</v>
      </c>
      <c r="E830" s="152" t="s">
        <v>2398</v>
      </c>
      <c r="F830" s="152" t="s">
        <v>2705</v>
      </c>
      <c r="G830" s="152" t="s">
        <v>2705</v>
      </c>
      <c r="H830" s="152" t="s">
        <v>2398</v>
      </c>
      <c r="I830" s="152" t="s">
        <v>1435</v>
      </c>
      <c r="J830" s="152" t="s">
        <v>2398</v>
      </c>
      <c r="K830" s="152" t="s">
        <v>2398</v>
      </c>
      <c r="L830" s="152" t="s">
        <v>2398</v>
      </c>
      <c r="M830" s="152" t="s">
        <v>2705</v>
      </c>
      <c r="N830" s="152" t="s">
        <v>2398</v>
      </c>
      <c r="O830" s="152" t="s">
        <v>2398</v>
      </c>
      <c r="P830" s="152" t="s">
        <v>2675</v>
      </c>
      <c r="Q830" s="152" t="s">
        <v>2705</v>
      </c>
      <c r="R830" s="152" t="s">
        <v>2398</v>
      </c>
      <c r="S830" s="152" t="s">
        <v>2705</v>
      </c>
      <c r="T830" s="152" t="s">
        <v>2705</v>
      </c>
      <c r="U830" s="152" t="s">
        <v>2398</v>
      </c>
    </row>
    <row r="831" spans="1:21" s="142" customFormat="1" ht="12.75" customHeight="1" x14ac:dyDescent="0.2">
      <c r="A831" s="151" t="s">
        <v>7732</v>
      </c>
      <c r="B831" s="152" t="s">
        <v>2398</v>
      </c>
      <c r="C831" s="152" t="s">
        <v>2705</v>
      </c>
      <c r="D831" s="152" t="s">
        <v>2705</v>
      </c>
      <c r="E831" s="152" t="s">
        <v>2398</v>
      </c>
      <c r="F831" s="152" t="s">
        <v>2705</v>
      </c>
      <c r="G831" s="152" t="s">
        <v>2705</v>
      </c>
      <c r="H831" s="152" t="s">
        <v>2705</v>
      </c>
      <c r="I831" s="152" t="s">
        <v>2675</v>
      </c>
      <c r="J831" s="152" t="s">
        <v>2705</v>
      </c>
      <c r="K831" s="152" t="s">
        <v>2705</v>
      </c>
      <c r="L831" s="152" t="s">
        <v>1435</v>
      </c>
      <c r="M831" s="152" t="s">
        <v>2705</v>
      </c>
      <c r="N831" s="152" t="s">
        <v>2705</v>
      </c>
      <c r="O831" s="152" t="s">
        <v>2675</v>
      </c>
      <c r="P831" s="152" t="s">
        <v>2705</v>
      </c>
      <c r="Q831" s="152" t="s">
        <v>2705</v>
      </c>
      <c r="R831" s="152" t="s">
        <v>2705</v>
      </c>
      <c r="S831" s="152" t="s">
        <v>2705</v>
      </c>
      <c r="T831" s="152" t="s">
        <v>2705</v>
      </c>
      <c r="U831" s="152" t="s">
        <v>2705</v>
      </c>
    </row>
    <row r="832" spans="1:21" s="142" customFormat="1" ht="12.75" x14ac:dyDescent="0.2">
      <c r="A832" s="151"/>
      <c r="B832" s="152" t="s">
        <v>2705</v>
      </c>
      <c r="C832" s="152" t="s">
        <v>2705</v>
      </c>
      <c r="D832" s="152" t="s">
        <v>2705</v>
      </c>
      <c r="E832" s="152" t="s">
        <v>2705</v>
      </c>
      <c r="F832" s="152" t="s">
        <v>2705</v>
      </c>
      <c r="G832" s="152" t="s">
        <v>2705</v>
      </c>
      <c r="H832" s="152" t="s">
        <v>2705</v>
      </c>
      <c r="I832" s="152" t="s">
        <v>2705</v>
      </c>
      <c r="J832" s="152" t="s">
        <v>2705</v>
      </c>
      <c r="K832" s="152" t="s">
        <v>2398</v>
      </c>
      <c r="L832" s="152" t="s">
        <v>2705</v>
      </c>
      <c r="M832" s="152" t="s">
        <v>2705</v>
      </c>
      <c r="N832" s="152" t="s">
        <v>2705</v>
      </c>
      <c r="O832" s="152" t="s">
        <v>2705</v>
      </c>
      <c r="P832" s="152" t="s">
        <v>2705</v>
      </c>
      <c r="Q832" s="152" t="s">
        <v>2705</v>
      </c>
      <c r="R832" s="152" t="s">
        <v>2705</v>
      </c>
      <c r="S832" s="152" t="s">
        <v>2705</v>
      </c>
      <c r="T832" s="152" t="s">
        <v>2705</v>
      </c>
      <c r="U832" s="152" t="s">
        <v>2705</v>
      </c>
    </row>
    <row r="833" spans="1:21" s="142" customFormat="1" ht="12.75" customHeight="1" x14ac:dyDescent="0.2">
      <c r="A833" s="151" t="s">
        <v>7733</v>
      </c>
      <c r="B833" s="152" t="s">
        <v>2398</v>
      </c>
      <c r="C833" s="152" t="s">
        <v>2398</v>
      </c>
      <c r="D833" s="152" t="s">
        <v>2398</v>
      </c>
      <c r="E833" s="152" t="s">
        <v>2705</v>
      </c>
      <c r="F833" s="152" t="s">
        <v>2675</v>
      </c>
      <c r="G833" s="152" t="s">
        <v>1435</v>
      </c>
      <c r="H833" s="152" t="s">
        <v>2397</v>
      </c>
      <c r="I833" s="152" t="s">
        <v>2675</v>
      </c>
      <c r="J833" s="152" t="s">
        <v>2675</v>
      </c>
      <c r="K833" s="152" t="s">
        <v>2705</v>
      </c>
      <c r="L833" s="152" t="s">
        <v>1435</v>
      </c>
      <c r="M833" s="152" t="s">
        <v>2398</v>
      </c>
      <c r="N833" s="152" t="s">
        <v>2675</v>
      </c>
      <c r="O833" s="152" t="s">
        <v>2705</v>
      </c>
      <c r="P833" s="152" t="s">
        <v>2705</v>
      </c>
      <c r="Q833" s="152" t="s">
        <v>2397</v>
      </c>
      <c r="R833" s="152" t="s">
        <v>1435</v>
      </c>
      <c r="S833" s="152" t="s">
        <v>2675</v>
      </c>
      <c r="T833" s="152" t="s">
        <v>2397</v>
      </c>
      <c r="U833" s="152" t="s">
        <v>2675</v>
      </c>
    </row>
    <row r="834" spans="1:21" s="142" customFormat="1" ht="12.75" x14ac:dyDescent="0.2">
      <c r="A834" s="151"/>
      <c r="B834" s="152" t="s">
        <v>2398</v>
      </c>
      <c r="C834" s="152" t="s">
        <v>2675</v>
      </c>
      <c r="D834" s="152" t="s">
        <v>2705</v>
      </c>
      <c r="E834" s="152" t="s">
        <v>2675</v>
      </c>
      <c r="F834" s="152" t="s">
        <v>2397</v>
      </c>
      <c r="G834" s="152" t="s">
        <v>2675</v>
      </c>
      <c r="H834" s="152" t="s">
        <v>2398</v>
      </c>
      <c r="I834" s="152" t="s">
        <v>2705</v>
      </c>
      <c r="J834" s="152" t="s">
        <v>2398</v>
      </c>
      <c r="K834" s="152" t="s">
        <v>2398</v>
      </c>
      <c r="L834" s="152" t="s">
        <v>2398</v>
      </c>
      <c r="M834" s="152" t="s">
        <v>2705</v>
      </c>
      <c r="N834" s="152" t="s">
        <v>2705</v>
      </c>
      <c r="O834" s="152" t="s">
        <v>2398</v>
      </c>
      <c r="P834" s="152" t="s">
        <v>2705</v>
      </c>
      <c r="Q834" s="152" t="s">
        <v>2705</v>
      </c>
      <c r="R834" s="152" t="s">
        <v>2705</v>
      </c>
      <c r="S834" s="152" t="s">
        <v>2705</v>
      </c>
      <c r="T834" s="152" t="s">
        <v>2398</v>
      </c>
      <c r="U834" s="152" t="s">
        <v>2398</v>
      </c>
    </row>
    <row r="835" spans="1:21" s="142" customFormat="1" ht="12.75" customHeight="1" x14ac:dyDescent="0.2">
      <c r="A835" s="151" t="s">
        <v>7734</v>
      </c>
      <c r="B835" s="152" t="s">
        <v>2705</v>
      </c>
      <c r="C835" s="152" t="s">
        <v>2398</v>
      </c>
      <c r="D835" s="152" t="s">
        <v>2705</v>
      </c>
      <c r="E835" s="152" t="s">
        <v>2398</v>
      </c>
      <c r="F835" s="152" t="s">
        <v>1435</v>
      </c>
      <c r="G835" s="152" t="s">
        <v>2705</v>
      </c>
      <c r="H835" s="152" t="s">
        <v>2705</v>
      </c>
      <c r="I835" s="152" t="s">
        <v>2398</v>
      </c>
      <c r="J835" s="152" t="s">
        <v>2705</v>
      </c>
      <c r="K835" s="152" t="s">
        <v>1435</v>
      </c>
      <c r="L835" s="152" t="s">
        <v>2705</v>
      </c>
      <c r="M835" s="152" t="s">
        <v>2398</v>
      </c>
      <c r="N835" s="152" t="s">
        <v>2675</v>
      </c>
      <c r="O835" s="152" t="s">
        <v>2398</v>
      </c>
      <c r="P835" s="152" t="s">
        <v>2705</v>
      </c>
      <c r="Q835" s="152" t="s">
        <v>2398</v>
      </c>
      <c r="R835" s="152" t="s">
        <v>2398</v>
      </c>
      <c r="S835" s="152" t="s">
        <v>2398</v>
      </c>
      <c r="T835" s="152" t="s">
        <v>2705</v>
      </c>
      <c r="U835" s="152" t="s">
        <v>2675</v>
      </c>
    </row>
    <row r="836" spans="1:21" s="142" customFormat="1" ht="12.75" x14ac:dyDescent="0.2">
      <c r="A836" s="151"/>
      <c r="B836" s="152" t="s">
        <v>2398</v>
      </c>
      <c r="C836" s="152" t="s">
        <v>2705</v>
      </c>
      <c r="D836" s="152" t="s">
        <v>2705</v>
      </c>
      <c r="E836" s="152" t="s">
        <v>2705</v>
      </c>
      <c r="F836" s="152" t="s">
        <v>2398</v>
      </c>
      <c r="G836" s="152" t="s">
        <v>2705</v>
      </c>
      <c r="H836" s="152" t="s">
        <v>2398</v>
      </c>
      <c r="I836" s="152" t="s">
        <v>2705</v>
      </c>
      <c r="J836" s="152" t="s">
        <v>2705</v>
      </c>
      <c r="K836" s="152" t="s">
        <v>2675</v>
      </c>
      <c r="L836" s="152" t="s">
        <v>2398</v>
      </c>
      <c r="M836" s="152" t="s">
        <v>2398</v>
      </c>
      <c r="N836" s="152" t="s">
        <v>2398</v>
      </c>
      <c r="O836" s="152" t="s">
        <v>2705</v>
      </c>
      <c r="P836" s="152" t="s">
        <v>2705</v>
      </c>
      <c r="Q836" s="152" t="s">
        <v>2398</v>
      </c>
      <c r="R836" s="152" t="s">
        <v>2705</v>
      </c>
      <c r="S836" s="152" t="s">
        <v>2705</v>
      </c>
      <c r="T836" s="152" t="s">
        <v>2398</v>
      </c>
      <c r="U836" s="152" t="s">
        <v>2705</v>
      </c>
    </row>
    <row r="837" spans="1:21" s="142" customFormat="1" ht="12.75" customHeight="1" x14ac:dyDescent="0.2">
      <c r="A837" s="151" t="s">
        <v>7735</v>
      </c>
      <c r="B837" s="152" t="s">
        <v>2705</v>
      </c>
      <c r="C837" s="152" t="s">
        <v>2705</v>
      </c>
      <c r="D837" s="152" t="s">
        <v>2675</v>
      </c>
      <c r="E837" s="152" t="s">
        <v>2705</v>
      </c>
      <c r="F837" s="152" t="s">
        <v>2705</v>
      </c>
      <c r="G837" s="152" t="s">
        <v>2705</v>
      </c>
      <c r="H837" s="152" t="s">
        <v>2705</v>
      </c>
      <c r="I837" s="152" t="s">
        <v>2705</v>
      </c>
      <c r="J837" s="152" t="s">
        <v>2705</v>
      </c>
      <c r="K837" s="152" t="s">
        <v>1435</v>
      </c>
      <c r="L837" s="152" t="s">
        <v>2705</v>
      </c>
      <c r="M837" s="152" t="s">
        <v>2705</v>
      </c>
      <c r="N837" s="152" t="s">
        <v>2398</v>
      </c>
      <c r="O837" s="152" t="s">
        <v>2705</v>
      </c>
      <c r="P837" s="152" t="s">
        <v>2705</v>
      </c>
      <c r="Q837" s="152" t="s">
        <v>2705</v>
      </c>
      <c r="R837" s="152" t="s">
        <v>2675</v>
      </c>
      <c r="S837" s="152" t="s">
        <v>2398</v>
      </c>
      <c r="T837" s="152" t="s">
        <v>2705</v>
      </c>
      <c r="U837" s="152" t="s">
        <v>2705</v>
      </c>
    </row>
    <row r="838" spans="1:21" s="142" customFormat="1" ht="12.75" x14ac:dyDescent="0.2">
      <c r="A838" s="151"/>
      <c r="B838" s="152" t="s">
        <v>2398</v>
      </c>
      <c r="C838" s="152" t="s">
        <v>2398</v>
      </c>
      <c r="D838" s="152" t="s">
        <v>2705</v>
      </c>
      <c r="E838" s="152" t="s">
        <v>2705</v>
      </c>
      <c r="F838" s="152" t="s">
        <v>2398</v>
      </c>
      <c r="G838" s="152" t="s">
        <v>2675</v>
      </c>
      <c r="H838" s="152" t="s">
        <v>2705</v>
      </c>
      <c r="I838" s="152" t="s">
        <v>2705</v>
      </c>
      <c r="J838" s="152" t="s">
        <v>2705</v>
      </c>
      <c r="K838" s="152" t="s">
        <v>2398</v>
      </c>
      <c r="L838" s="152" t="s">
        <v>2705</v>
      </c>
      <c r="M838" s="152" t="s">
        <v>2705</v>
      </c>
      <c r="N838" s="152" t="s">
        <v>2705</v>
      </c>
      <c r="O838" s="152" t="s">
        <v>2705</v>
      </c>
      <c r="P838" s="152" t="s">
        <v>2705</v>
      </c>
      <c r="Q838" s="152" t="s">
        <v>2398</v>
      </c>
      <c r="R838" s="152" t="s">
        <v>2705</v>
      </c>
      <c r="S838" s="152" t="s">
        <v>2705</v>
      </c>
      <c r="T838" s="152" t="s">
        <v>2398</v>
      </c>
      <c r="U838" s="152" t="s">
        <v>2398</v>
      </c>
    </row>
    <row r="839" spans="1:21" s="142" customFormat="1" ht="12.75" customHeight="1" x14ac:dyDescent="0.2">
      <c r="A839" s="151" t="s">
        <v>7736</v>
      </c>
      <c r="B839" s="152" t="s">
        <v>2705</v>
      </c>
      <c r="C839" s="152" t="s">
        <v>2705</v>
      </c>
      <c r="D839" s="152" t="s">
        <v>2398</v>
      </c>
      <c r="E839" s="152" t="s">
        <v>2705</v>
      </c>
      <c r="F839" s="152" t="s">
        <v>2705</v>
      </c>
      <c r="G839" s="152" t="s">
        <v>2705</v>
      </c>
      <c r="H839" s="152" t="s">
        <v>2398</v>
      </c>
      <c r="I839" s="152" t="s">
        <v>2398</v>
      </c>
      <c r="J839" s="152" t="s">
        <v>2398</v>
      </c>
      <c r="K839" s="152" t="s">
        <v>2705</v>
      </c>
      <c r="L839" s="152" t="s">
        <v>2398</v>
      </c>
      <c r="M839" s="152" t="s">
        <v>2705</v>
      </c>
      <c r="N839" s="152" t="s">
        <v>2705</v>
      </c>
      <c r="O839" s="152" t="s">
        <v>2398</v>
      </c>
      <c r="P839" s="152" t="s">
        <v>2398</v>
      </c>
      <c r="Q839" s="152" t="s">
        <v>2675</v>
      </c>
      <c r="R839" s="152" t="s">
        <v>2398</v>
      </c>
      <c r="S839" s="152" t="s">
        <v>2398</v>
      </c>
      <c r="T839" s="152" t="s">
        <v>2705</v>
      </c>
      <c r="U839" s="152" t="s">
        <v>2398</v>
      </c>
    </row>
    <row r="840" spans="1:21" s="142" customFormat="1" ht="12.75" x14ac:dyDescent="0.2">
      <c r="A840" s="151"/>
      <c r="B840" s="152" t="s">
        <v>2705</v>
      </c>
      <c r="C840" s="152" t="s">
        <v>2705</v>
      </c>
      <c r="D840" s="152" t="s">
        <v>2397</v>
      </c>
      <c r="E840" s="152" t="s">
        <v>2675</v>
      </c>
      <c r="F840" s="152" t="s">
        <v>2705</v>
      </c>
      <c r="G840" s="152" t="s">
        <v>2398</v>
      </c>
      <c r="H840" s="152" t="s">
        <v>2705</v>
      </c>
      <c r="I840" s="152" t="s">
        <v>2705</v>
      </c>
      <c r="J840" s="152" t="s">
        <v>2705</v>
      </c>
      <c r="K840" s="152" t="s">
        <v>2705</v>
      </c>
      <c r="L840" s="152" t="s">
        <v>2398</v>
      </c>
      <c r="M840" s="152" t="s">
        <v>2705</v>
      </c>
      <c r="N840" s="152" t="s">
        <v>2705</v>
      </c>
      <c r="O840" s="152" t="s">
        <v>2705</v>
      </c>
      <c r="P840" s="152" t="s">
        <v>2705</v>
      </c>
      <c r="Q840" s="152" t="s">
        <v>2705</v>
      </c>
      <c r="R840" s="152" t="s">
        <v>2398</v>
      </c>
      <c r="S840" s="152" t="s">
        <v>2675</v>
      </c>
      <c r="T840" s="152" t="s">
        <v>2705</v>
      </c>
      <c r="U840" s="152" t="s">
        <v>2705</v>
      </c>
    </row>
    <row r="841" spans="1:21" s="142" customFormat="1" ht="12.75" customHeight="1" x14ac:dyDescent="0.2">
      <c r="A841" s="151" t="s">
        <v>7737</v>
      </c>
      <c r="B841" s="152" t="s">
        <v>2705</v>
      </c>
      <c r="C841" s="152" t="s">
        <v>2398</v>
      </c>
      <c r="D841" s="152" t="s">
        <v>2705</v>
      </c>
      <c r="E841" s="152" t="s">
        <v>2705</v>
      </c>
      <c r="F841" s="152" t="s">
        <v>2705</v>
      </c>
      <c r="G841" s="152" t="s">
        <v>2705</v>
      </c>
      <c r="H841" s="152" t="s">
        <v>2705</v>
      </c>
      <c r="I841" s="152" t="s">
        <v>2705</v>
      </c>
      <c r="J841" s="152" t="s">
        <v>2398</v>
      </c>
      <c r="K841" s="152" t="s">
        <v>2705</v>
      </c>
      <c r="L841" s="152" t="s">
        <v>2705</v>
      </c>
      <c r="M841" s="152" t="s">
        <v>2705</v>
      </c>
      <c r="N841" s="152" t="s">
        <v>2705</v>
      </c>
      <c r="O841" s="152" t="s">
        <v>2705</v>
      </c>
      <c r="P841" s="152" t="s">
        <v>2705</v>
      </c>
      <c r="Q841" s="152" t="s">
        <v>1435</v>
      </c>
      <c r="R841" s="152" t="s">
        <v>2398</v>
      </c>
      <c r="S841" s="152" t="s">
        <v>2398</v>
      </c>
      <c r="T841" s="152" t="s">
        <v>2705</v>
      </c>
      <c r="U841" s="152" t="s">
        <v>2705</v>
      </c>
    </row>
    <row r="842" spans="1:21" s="142" customFormat="1" ht="12.75" x14ac:dyDescent="0.2">
      <c r="A842" s="151"/>
      <c r="B842" s="152" t="s">
        <v>2398</v>
      </c>
      <c r="C842" s="152" t="s">
        <v>2705</v>
      </c>
      <c r="D842" s="152" t="s">
        <v>2705</v>
      </c>
      <c r="E842" s="152" t="s">
        <v>2398</v>
      </c>
      <c r="F842" s="152" t="s">
        <v>2705</v>
      </c>
      <c r="G842" s="152" t="s">
        <v>2398</v>
      </c>
      <c r="H842" s="152" t="s">
        <v>2675</v>
      </c>
      <c r="I842" s="152" t="s">
        <v>2705</v>
      </c>
      <c r="J842" s="152" t="s">
        <v>2675</v>
      </c>
      <c r="K842" s="152" t="s">
        <v>2675</v>
      </c>
      <c r="L842" s="152" t="s">
        <v>2705</v>
      </c>
      <c r="M842" s="152" t="s">
        <v>2398</v>
      </c>
      <c r="N842" s="152" t="s">
        <v>2705</v>
      </c>
      <c r="O842" s="152" t="s">
        <v>2705</v>
      </c>
      <c r="P842" s="152" t="s">
        <v>2398</v>
      </c>
      <c r="Q842" s="152" t="s">
        <v>2398</v>
      </c>
      <c r="R842" s="152" t="s">
        <v>2705</v>
      </c>
      <c r="S842" s="152" t="s">
        <v>2705</v>
      </c>
      <c r="T842" s="152" t="s">
        <v>2398</v>
      </c>
      <c r="U842" s="152" t="s">
        <v>2705</v>
      </c>
    </row>
    <row r="843" spans="1:21" s="142" customFormat="1" ht="12.75" customHeight="1" x14ac:dyDescent="0.2">
      <c r="A843" s="151" t="s">
        <v>7738</v>
      </c>
      <c r="B843" s="152" t="s">
        <v>2705</v>
      </c>
      <c r="C843" s="152" t="s">
        <v>2398</v>
      </c>
      <c r="D843" s="152" t="s">
        <v>2705</v>
      </c>
      <c r="E843" s="152" t="s">
        <v>2398</v>
      </c>
      <c r="F843" s="152" t="s">
        <v>2705</v>
      </c>
      <c r="G843" s="152" t="s">
        <v>2705</v>
      </c>
      <c r="H843" s="152" t="s">
        <v>1435</v>
      </c>
      <c r="I843" s="152" t="s">
        <v>2705</v>
      </c>
      <c r="J843" s="152" t="s">
        <v>2705</v>
      </c>
      <c r="K843" s="152" t="s">
        <v>1435</v>
      </c>
      <c r="L843" s="152" t="s">
        <v>2705</v>
      </c>
      <c r="M843" s="152" t="s">
        <v>2398</v>
      </c>
      <c r="N843" s="152" t="s">
        <v>2705</v>
      </c>
      <c r="O843" s="152" t="s">
        <v>2398</v>
      </c>
      <c r="P843" s="152" t="s">
        <v>2398</v>
      </c>
      <c r="Q843" s="152" t="s">
        <v>2675</v>
      </c>
      <c r="R843" s="152" t="s">
        <v>2398</v>
      </c>
      <c r="S843" s="152" t="s">
        <v>2398</v>
      </c>
      <c r="T843" s="152" t="s">
        <v>2398</v>
      </c>
      <c r="U843" s="152" t="s">
        <v>2705</v>
      </c>
    </row>
    <row r="844" spans="1:21" s="142" customFormat="1" ht="12.75" x14ac:dyDescent="0.2">
      <c r="A844" s="151"/>
      <c r="B844" s="152" t="s">
        <v>2398</v>
      </c>
      <c r="C844" s="152" t="s">
        <v>2705</v>
      </c>
      <c r="D844" s="152" t="s">
        <v>2705</v>
      </c>
      <c r="E844" s="152" t="s">
        <v>2705</v>
      </c>
      <c r="F844" s="152" t="s">
        <v>2705</v>
      </c>
      <c r="G844" s="152" t="s">
        <v>2705</v>
      </c>
      <c r="H844" s="152" t="s">
        <v>2705</v>
      </c>
      <c r="I844" s="152" t="s">
        <v>2705</v>
      </c>
      <c r="J844" s="152" t="s">
        <v>2705</v>
      </c>
      <c r="K844" s="152" t="s">
        <v>2705</v>
      </c>
      <c r="L844" s="152" t="s">
        <v>2398</v>
      </c>
      <c r="M844" s="152" t="s">
        <v>2398</v>
      </c>
      <c r="N844" s="152" t="s">
        <v>2705</v>
      </c>
      <c r="O844" s="152" t="s">
        <v>2705</v>
      </c>
      <c r="P844" s="152" t="s">
        <v>2705</v>
      </c>
      <c r="Q844" s="152" t="s">
        <v>2705</v>
      </c>
      <c r="R844" s="152" t="s">
        <v>1435</v>
      </c>
      <c r="S844" s="152" t="s">
        <v>2675</v>
      </c>
      <c r="T844" s="152" t="s">
        <v>2705</v>
      </c>
      <c r="U844" s="152" t="s">
        <v>2705</v>
      </c>
    </row>
    <row r="845" spans="1:21" s="142" customFormat="1" ht="12.75" customHeight="1" x14ac:dyDescent="0.2">
      <c r="A845" s="151" t="s">
        <v>7739</v>
      </c>
      <c r="B845" s="152" t="s">
        <v>2705</v>
      </c>
      <c r="C845" s="152" t="s">
        <v>2705</v>
      </c>
      <c r="D845" s="152" t="s">
        <v>2398</v>
      </c>
      <c r="E845" s="152" t="s">
        <v>2705</v>
      </c>
      <c r="F845" s="152" t="s">
        <v>2705</v>
      </c>
      <c r="G845" s="152" t="s">
        <v>2705</v>
      </c>
      <c r="H845" s="152" t="s">
        <v>2705</v>
      </c>
      <c r="I845" s="152" t="s">
        <v>2398</v>
      </c>
      <c r="J845" s="152" t="s">
        <v>2705</v>
      </c>
      <c r="K845" s="152" t="s">
        <v>2398</v>
      </c>
      <c r="L845" s="152" t="s">
        <v>2705</v>
      </c>
      <c r="M845" s="152" t="s">
        <v>2705</v>
      </c>
      <c r="N845" s="152" t="s">
        <v>2705</v>
      </c>
      <c r="O845" s="152" t="s">
        <v>2398</v>
      </c>
      <c r="P845" s="152" t="s">
        <v>2705</v>
      </c>
      <c r="Q845" s="152" t="s">
        <v>2705</v>
      </c>
      <c r="R845" s="152" t="s">
        <v>2398</v>
      </c>
      <c r="S845" s="152" t="s">
        <v>2705</v>
      </c>
      <c r="T845" s="152" t="s">
        <v>2705</v>
      </c>
      <c r="U845" s="152" t="s">
        <v>2398</v>
      </c>
    </row>
    <row r="846" spans="1:21" s="142" customFormat="1" ht="12.75" x14ac:dyDescent="0.2">
      <c r="A846" s="151"/>
      <c r="B846" s="152" t="s">
        <v>2705</v>
      </c>
      <c r="C846" s="152" t="s">
        <v>2705</v>
      </c>
      <c r="D846" s="152" t="s">
        <v>2398</v>
      </c>
      <c r="E846" s="152" t="s">
        <v>2705</v>
      </c>
      <c r="F846" s="152" t="s">
        <v>2705</v>
      </c>
      <c r="G846" s="152" t="s">
        <v>2398</v>
      </c>
      <c r="H846" s="152" t="s">
        <v>2398</v>
      </c>
      <c r="I846" s="152" t="s">
        <v>2705</v>
      </c>
      <c r="J846" s="152" t="s">
        <v>2398</v>
      </c>
      <c r="K846" s="152" t="s">
        <v>2398</v>
      </c>
      <c r="L846" s="152" t="s">
        <v>2705</v>
      </c>
      <c r="M846" s="152" t="s">
        <v>2398</v>
      </c>
      <c r="N846" s="152" t="s">
        <v>2705</v>
      </c>
      <c r="O846" s="152" t="s">
        <v>2705</v>
      </c>
      <c r="P846" s="152" t="s">
        <v>2705</v>
      </c>
      <c r="Q846" s="152" t="s">
        <v>2705</v>
      </c>
      <c r="R846" s="152" t="s">
        <v>2398</v>
      </c>
      <c r="S846" s="152" t="s">
        <v>2398</v>
      </c>
      <c r="T846" s="152" t="s">
        <v>2398</v>
      </c>
      <c r="U846" s="152" t="s">
        <v>2705</v>
      </c>
    </row>
    <row r="847" spans="1:21" s="142" customFormat="1" ht="12.75" customHeight="1" x14ac:dyDescent="0.2">
      <c r="A847" s="151" t="s">
        <v>7740</v>
      </c>
      <c r="B847" s="152" t="s">
        <v>2705</v>
      </c>
      <c r="C847" s="152" t="s">
        <v>2705</v>
      </c>
      <c r="D847" s="152" t="s">
        <v>2398</v>
      </c>
      <c r="E847" s="152" t="s">
        <v>2705</v>
      </c>
      <c r="F847" s="152" t="s">
        <v>2398</v>
      </c>
      <c r="G847" s="152" t="s">
        <v>2705</v>
      </c>
      <c r="H847" s="152" t="s">
        <v>1435</v>
      </c>
      <c r="I847" s="152" t="s">
        <v>2398</v>
      </c>
      <c r="J847" s="152" t="s">
        <v>2705</v>
      </c>
      <c r="K847" s="152" t="s">
        <v>2705</v>
      </c>
      <c r="L847" s="152" t="s">
        <v>2705</v>
      </c>
      <c r="M847" s="152" t="s">
        <v>2398</v>
      </c>
      <c r="N847" s="152" t="s">
        <v>2705</v>
      </c>
      <c r="O847" s="152" t="s">
        <v>2705</v>
      </c>
      <c r="P847" s="152" t="s">
        <v>2705</v>
      </c>
      <c r="Q847" s="152" t="s">
        <v>2705</v>
      </c>
      <c r="R847" s="152" t="s">
        <v>2705</v>
      </c>
      <c r="S847" s="152" t="s">
        <v>2705</v>
      </c>
      <c r="T847" s="152" t="s">
        <v>2398</v>
      </c>
      <c r="U847" s="152" t="s">
        <v>2398</v>
      </c>
    </row>
    <row r="848" spans="1:21" s="142" customFormat="1" ht="12.75" x14ac:dyDescent="0.2">
      <c r="A848" s="151"/>
      <c r="B848" s="152" t="s">
        <v>2705</v>
      </c>
      <c r="C848" s="152" t="s">
        <v>2675</v>
      </c>
      <c r="D848" s="152" t="s">
        <v>1435</v>
      </c>
      <c r="E848" s="152" t="s">
        <v>1435</v>
      </c>
      <c r="F848" s="152" t="s">
        <v>2705</v>
      </c>
      <c r="G848" s="152" t="s">
        <v>2705</v>
      </c>
      <c r="H848" s="152" t="s">
        <v>2705</v>
      </c>
      <c r="I848" s="152" t="s">
        <v>2705</v>
      </c>
      <c r="J848" s="152" t="s">
        <v>2675</v>
      </c>
      <c r="K848" s="152" t="s">
        <v>2705</v>
      </c>
      <c r="L848" s="152" t="s">
        <v>2705</v>
      </c>
      <c r="M848" s="152" t="s">
        <v>2705</v>
      </c>
      <c r="N848" s="152" t="s">
        <v>2705</v>
      </c>
      <c r="O848" s="152" t="s">
        <v>1435</v>
      </c>
      <c r="P848" s="152" t="s">
        <v>2705</v>
      </c>
      <c r="Q848" s="152" t="s">
        <v>1435</v>
      </c>
      <c r="R848" s="152" t="s">
        <v>1435</v>
      </c>
      <c r="S848" s="152" t="s">
        <v>2705</v>
      </c>
      <c r="T848" s="152" t="s">
        <v>2705</v>
      </c>
      <c r="U848" s="152" t="s">
        <v>2705</v>
      </c>
    </row>
    <row r="849" spans="1:21" s="142" customFormat="1" ht="12.75" customHeight="1" x14ac:dyDescent="0.2">
      <c r="A849" s="151" t="s">
        <v>7741</v>
      </c>
      <c r="B849" s="152" t="s">
        <v>2398</v>
      </c>
      <c r="C849" s="152" t="s">
        <v>2398</v>
      </c>
      <c r="D849" s="152" t="s">
        <v>2705</v>
      </c>
      <c r="E849" s="152" t="s">
        <v>2398</v>
      </c>
      <c r="F849" s="152" t="s">
        <v>2398</v>
      </c>
      <c r="G849" s="152" t="s">
        <v>2705</v>
      </c>
      <c r="H849" s="152" t="s">
        <v>2705</v>
      </c>
      <c r="I849" s="152" t="s">
        <v>2398</v>
      </c>
      <c r="J849" s="152" t="s">
        <v>2705</v>
      </c>
      <c r="K849" s="152" t="s">
        <v>2705</v>
      </c>
      <c r="L849" s="152" t="s">
        <v>2705</v>
      </c>
      <c r="M849" s="152" t="s">
        <v>2398</v>
      </c>
      <c r="N849" s="152" t="s">
        <v>2705</v>
      </c>
      <c r="O849" s="152" t="s">
        <v>2705</v>
      </c>
      <c r="P849" s="152" t="s">
        <v>2705</v>
      </c>
      <c r="Q849" s="152" t="s">
        <v>2398</v>
      </c>
      <c r="R849" s="152" t="s">
        <v>2398</v>
      </c>
      <c r="S849" s="152" t="s">
        <v>2705</v>
      </c>
      <c r="T849" s="152" t="s">
        <v>2398</v>
      </c>
      <c r="U849" s="152" t="s">
        <v>2398</v>
      </c>
    </row>
    <row r="850" spans="1:21" s="142" customFormat="1" ht="12.75" x14ac:dyDescent="0.2">
      <c r="A850" s="151"/>
      <c r="B850" s="152" t="s">
        <v>2705</v>
      </c>
      <c r="C850" s="152" t="s">
        <v>1435</v>
      </c>
      <c r="D850" s="152" t="s">
        <v>2705</v>
      </c>
      <c r="E850" s="152" t="s">
        <v>2705</v>
      </c>
      <c r="F850" s="152" t="s">
        <v>2705</v>
      </c>
      <c r="G850" s="152" t="s">
        <v>2398</v>
      </c>
      <c r="H850" s="152" t="s">
        <v>2675</v>
      </c>
      <c r="I850" s="152" t="s">
        <v>2705</v>
      </c>
      <c r="J850" s="152" t="s">
        <v>2705</v>
      </c>
      <c r="K850" s="152" t="s">
        <v>2398</v>
      </c>
      <c r="L850" s="152" t="s">
        <v>2398</v>
      </c>
      <c r="M850" s="152" t="s">
        <v>2705</v>
      </c>
      <c r="N850" s="152" t="s">
        <v>2705</v>
      </c>
      <c r="O850" s="152" t="s">
        <v>2705</v>
      </c>
      <c r="P850" s="152" t="s">
        <v>2705</v>
      </c>
      <c r="Q850" s="152" t="s">
        <v>2705</v>
      </c>
      <c r="R850" s="152" t="s">
        <v>2398</v>
      </c>
      <c r="S850" s="152" t="s">
        <v>2705</v>
      </c>
      <c r="T850" s="152" t="s">
        <v>2705</v>
      </c>
      <c r="U850" s="152" t="s">
        <v>2398</v>
      </c>
    </row>
    <row r="851" spans="1:21" s="142" customFormat="1" ht="12.75" customHeight="1" x14ac:dyDescent="0.2">
      <c r="A851" s="151" t="s">
        <v>7742</v>
      </c>
      <c r="B851" s="152" t="s">
        <v>2397</v>
      </c>
      <c r="C851" s="152" t="s">
        <v>2398</v>
      </c>
      <c r="D851" s="152" t="s">
        <v>2675</v>
      </c>
      <c r="E851" s="152" t="s">
        <v>2398</v>
      </c>
      <c r="F851" s="152" t="s">
        <v>2705</v>
      </c>
      <c r="G851" s="152" t="s">
        <v>2398</v>
      </c>
      <c r="H851" s="152" t="s">
        <v>2675</v>
      </c>
      <c r="I851" s="152" t="s">
        <v>2398</v>
      </c>
      <c r="J851" s="152" t="s">
        <v>2705</v>
      </c>
      <c r="K851" s="152" t="s">
        <v>2398</v>
      </c>
      <c r="L851" s="152" t="s">
        <v>2705</v>
      </c>
      <c r="M851" s="152" t="s">
        <v>1435</v>
      </c>
      <c r="N851" s="152" t="s">
        <v>2705</v>
      </c>
      <c r="O851" s="152" t="s">
        <v>2705</v>
      </c>
      <c r="P851" s="152" t="s">
        <v>2705</v>
      </c>
      <c r="Q851" s="152" t="s">
        <v>2705</v>
      </c>
      <c r="R851" s="152" t="s">
        <v>2705</v>
      </c>
      <c r="S851" s="152" t="s">
        <v>2705</v>
      </c>
      <c r="T851" s="152" t="s">
        <v>2398</v>
      </c>
      <c r="U851" s="152" t="s">
        <v>2705</v>
      </c>
    </row>
    <row r="852" spans="1:21" s="142" customFormat="1" ht="12.75" x14ac:dyDescent="0.2">
      <c r="A852" s="151"/>
      <c r="B852" s="152" t="s">
        <v>2398</v>
      </c>
      <c r="C852" s="152" t="s">
        <v>2398</v>
      </c>
      <c r="D852" s="152" t="s">
        <v>2398</v>
      </c>
      <c r="E852" s="152" t="s">
        <v>2675</v>
      </c>
      <c r="F852" s="152" t="s">
        <v>2398</v>
      </c>
      <c r="G852" s="152" t="s">
        <v>2397</v>
      </c>
      <c r="H852" s="152" t="s">
        <v>1435</v>
      </c>
      <c r="I852" s="152" t="s">
        <v>2398</v>
      </c>
      <c r="J852" s="152" t="s">
        <v>2397</v>
      </c>
      <c r="K852" s="152" t="s">
        <v>2705</v>
      </c>
      <c r="L852" s="152" t="s">
        <v>2675</v>
      </c>
      <c r="M852" s="152" t="s">
        <v>2398</v>
      </c>
      <c r="N852" s="152" t="s">
        <v>2675</v>
      </c>
      <c r="O852" s="152" t="s">
        <v>2398</v>
      </c>
      <c r="P852" s="152" t="s">
        <v>2705</v>
      </c>
      <c r="Q852" s="152" t="s">
        <v>2705</v>
      </c>
      <c r="R852" s="152" t="s">
        <v>1435</v>
      </c>
      <c r="S852" s="152" t="s">
        <v>2398</v>
      </c>
      <c r="T852" s="152" t="s">
        <v>2705</v>
      </c>
      <c r="U852" s="152" t="s">
        <v>2705</v>
      </c>
    </row>
    <row r="853" spans="1:21" s="142" customFormat="1" ht="12.75" customHeight="1" x14ac:dyDescent="0.2">
      <c r="A853" s="151" t="s">
        <v>7743</v>
      </c>
      <c r="B853" s="152" t="s">
        <v>2398</v>
      </c>
      <c r="C853" s="152" t="s">
        <v>2398</v>
      </c>
      <c r="D853" s="152" t="s">
        <v>2398</v>
      </c>
      <c r="E853" s="152" t="s">
        <v>2705</v>
      </c>
      <c r="F853" s="152" t="s">
        <v>2398</v>
      </c>
      <c r="G853" s="152" t="s">
        <v>2705</v>
      </c>
      <c r="H853" s="152" t="s">
        <v>2398</v>
      </c>
      <c r="I853" s="152" t="s">
        <v>2397</v>
      </c>
      <c r="J853" s="152" t="s">
        <v>2705</v>
      </c>
      <c r="K853" s="152" t="s">
        <v>2705</v>
      </c>
      <c r="L853" s="152" t="s">
        <v>2705</v>
      </c>
      <c r="M853" s="152" t="s">
        <v>2705</v>
      </c>
      <c r="N853" s="152" t="s">
        <v>2398</v>
      </c>
      <c r="O853" s="152" t="s">
        <v>2705</v>
      </c>
      <c r="P853" s="152" t="s">
        <v>2705</v>
      </c>
      <c r="Q853" s="152" t="s">
        <v>2705</v>
      </c>
      <c r="R853" s="152" t="s">
        <v>2705</v>
      </c>
      <c r="S853" s="152" t="s">
        <v>2398</v>
      </c>
      <c r="T853" s="152" t="s">
        <v>2398</v>
      </c>
      <c r="U853" s="152" t="s">
        <v>2398</v>
      </c>
    </row>
    <row r="854" spans="1:21" s="142" customFormat="1" ht="12.75" x14ac:dyDescent="0.2">
      <c r="A854" s="151"/>
      <c r="B854" s="152" t="s">
        <v>2398</v>
      </c>
      <c r="C854" s="152" t="s">
        <v>2705</v>
      </c>
      <c r="D854" s="152" t="s">
        <v>2398</v>
      </c>
      <c r="E854" s="152" t="s">
        <v>2398</v>
      </c>
      <c r="F854" s="152" t="s">
        <v>2705</v>
      </c>
      <c r="G854" s="152" t="s">
        <v>2398</v>
      </c>
      <c r="H854" s="152" t="s">
        <v>2705</v>
      </c>
      <c r="I854" s="152" t="s">
        <v>2705</v>
      </c>
      <c r="J854" s="152" t="s">
        <v>2675</v>
      </c>
      <c r="K854" s="152" t="s">
        <v>2705</v>
      </c>
      <c r="L854" s="152" t="s">
        <v>2397</v>
      </c>
      <c r="M854" s="152" t="s">
        <v>2705</v>
      </c>
      <c r="N854" s="152" t="s">
        <v>2705</v>
      </c>
      <c r="O854" s="152" t="s">
        <v>2398</v>
      </c>
      <c r="P854" s="152" t="s">
        <v>2398</v>
      </c>
      <c r="Q854" s="152" t="s">
        <v>2398</v>
      </c>
      <c r="R854" s="152" t="s">
        <v>2705</v>
      </c>
      <c r="S854" s="152" t="s">
        <v>2705</v>
      </c>
      <c r="T854" s="152" t="s">
        <v>2705</v>
      </c>
      <c r="U854" s="152" t="s">
        <v>2705</v>
      </c>
    </row>
    <row r="855" spans="1:21" s="142" customFormat="1" ht="12.75" customHeight="1" x14ac:dyDescent="0.2">
      <c r="A855" s="151" t="s">
        <v>7744</v>
      </c>
      <c r="B855" s="152" t="s">
        <v>2675</v>
      </c>
      <c r="C855" s="152" t="s">
        <v>2398</v>
      </c>
      <c r="D855" s="152" t="s">
        <v>2397</v>
      </c>
      <c r="E855" s="152" t="s">
        <v>2398</v>
      </c>
      <c r="F855" s="152" t="s">
        <v>2705</v>
      </c>
      <c r="G855" s="152" t="s">
        <v>2705</v>
      </c>
      <c r="H855" s="152" t="s">
        <v>2705</v>
      </c>
      <c r="I855" s="152" t="s">
        <v>2397</v>
      </c>
      <c r="J855" s="152" t="s">
        <v>2675</v>
      </c>
      <c r="K855" s="152" t="s">
        <v>2705</v>
      </c>
      <c r="L855" s="152" t="s">
        <v>1435</v>
      </c>
      <c r="M855" s="152" t="s">
        <v>2705</v>
      </c>
      <c r="N855" s="152" t="s">
        <v>2675</v>
      </c>
      <c r="O855" s="152" t="s">
        <v>2705</v>
      </c>
      <c r="P855" s="152" t="s">
        <v>2705</v>
      </c>
      <c r="Q855" s="152" t="s">
        <v>2705</v>
      </c>
      <c r="R855" s="152" t="s">
        <v>2705</v>
      </c>
      <c r="S855" s="152" t="s">
        <v>2705</v>
      </c>
      <c r="T855" s="152" t="s">
        <v>2705</v>
      </c>
      <c r="U855" s="152" t="s">
        <v>2705</v>
      </c>
    </row>
    <row r="856" spans="1:21" s="142" customFormat="1" ht="12.75" x14ac:dyDescent="0.2">
      <c r="A856" s="151"/>
      <c r="B856" s="152" t="s">
        <v>2705</v>
      </c>
      <c r="C856" s="152" t="s">
        <v>2398</v>
      </c>
      <c r="D856" s="152" t="s">
        <v>2705</v>
      </c>
      <c r="E856" s="152" t="s">
        <v>2398</v>
      </c>
      <c r="F856" s="152" t="s">
        <v>2705</v>
      </c>
      <c r="G856" s="152" t="s">
        <v>2705</v>
      </c>
      <c r="H856" s="152" t="s">
        <v>2705</v>
      </c>
      <c r="I856" s="152" t="s">
        <v>2705</v>
      </c>
      <c r="J856" s="152" t="s">
        <v>2705</v>
      </c>
      <c r="K856" s="152" t="s">
        <v>2398</v>
      </c>
      <c r="L856" s="152" t="s">
        <v>2705</v>
      </c>
      <c r="M856" s="152" t="s">
        <v>2705</v>
      </c>
      <c r="N856" s="152" t="s">
        <v>2705</v>
      </c>
      <c r="O856" s="152" t="s">
        <v>2398</v>
      </c>
      <c r="P856" s="152" t="s">
        <v>1435</v>
      </c>
      <c r="Q856" s="152" t="s">
        <v>2705</v>
      </c>
      <c r="R856" s="152" t="s">
        <v>2705</v>
      </c>
      <c r="S856" s="152" t="s">
        <v>2705</v>
      </c>
      <c r="T856" s="152" t="s">
        <v>2705</v>
      </c>
      <c r="U856" s="152" t="s">
        <v>2705</v>
      </c>
    </row>
    <row r="857" spans="1:21" s="142" customFormat="1" ht="12.75" customHeight="1" x14ac:dyDescent="0.2">
      <c r="A857" s="151" t="s">
        <v>7745</v>
      </c>
      <c r="B857" s="152" t="s">
        <v>2398</v>
      </c>
      <c r="C857" s="152" t="s">
        <v>2398</v>
      </c>
      <c r="D857" s="152" t="s">
        <v>2705</v>
      </c>
      <c r="E857" s="152" t="s">
        <v>2398</v>
      </c>
      <c r="F857" s="152" t="s">
        <v>2397</v>
      </c>
      <c r="G857" s="152" t="s">
        <v>1435</v>
      </c>
      <c r="H857" s="152" t="s">
        <v>2398</v>
      </c>
      <c r="I857" s="152" t="s">
        <v>2398</v>
      </c>
      <c r="J857" s="152" t="s">
        <v>2675</v>
      </c>
      <c r="K857" s="152" t="s">
        <v>2705</v>
      </c>
      <c r="L857" s="152" t="s">
        <v>2398</v>
      </c>
      <c r="M857" s="152" t="s">
        <v>2705</v>
      </c>
      <c r="N857" s="152" t="s">
        <v>2398</v>
      </c>
      <c r="O857" s="152" t="s">
        <v>2398</v>
      </c>
      <c r="P857" s="152" t="s">
        <v>1435</v>
      </c>
      <c r="Q857" s="152" t="s">
        <v>2705</v>
      </c>
      <c r="R857" s="152" t="s">
        <v>2398</v>
      </c>
      <c r="S857" s="152" t="s">
        <v>2705</v>
      </c>
      <c r="T857" s="152" t="s">
        <v>2397</v>
      </c>
      <c r="U857" s="152" t="s">
        <v>2705</v>
      </c>
    </row>
    <row r="858" spans="1:21" s="142" customFormat="1" ht="12.75" x14ac:dyDescent="0.2">
      <c r="A858" s="151"/>
      <c r="B858" s="152" t="s">
        <v>2398</v>
      </c>
      <c r="C858" s="152" t="s">
        <v>2398</v>
      </c>
      <c r="D858" s="152" t="s">
        <v>2398</v>
      </c>
      <c r="E858" s="152" t="s">
        <v>2675</v>
      </c>
      <c r="F858" s="152" t="s">
        <v>2705</v>
      </c>
      <c r="G858" s="152" t="s">
        <v>2705</v>
      </c>
      <c r="H858" s="152" t="s">
        <v>2398</v>
      </c>
      <c r="I858" s="152" t="s">
        <v>1435</v>
      </c>
      <c r="J858" s="152" t="s">
        <v>2398</v>
      </c>
      <c r="K858" s="152" t="s">
        <v>2705</v>
      </c>
      <c r="L858" s="152" t="s">
        <v>2398</v>
      </c>
      <c r="M858" s="152" t="s">
        <v>2705</v>
      </c>
      <c r="N858" s="152" t="s">
        <v>2705</v>
      </c>
      <c r="O858" s="152" t="s">
        <v>2398</v>
      </c>
      <c r="P858" s="152" t="s">
        <v>2675</v>
      </c>
      <c r="Q858" s="152" t="s">
        <v>2675</v>
      </c>
      <c r="R858" s="152" t="s">
        <v>2398</v>
      </c>
      <c r="S858" s="152" t="s">
        <v>2705</v>
      </c>
      <c r="T858" s="152" t="s">
        <v>2705</v>
      </c>
      <c r="U858" s="152" t="s">
        <v>2398</v>
      </c>
    </row>
    <row r="859" spans="1:21" s="142" customFormat="1" ht="12.75" customHeight="1" x14ac:dyDescent="0.2">
      <c r="A859" s="151" t="s">
        <v>7746</v>
      </c>
      <c r="B859" s="152" t="s">
        <v>2705</v>
      </c>
      <c r="C859" s="152" t="s">
        <v>2705</v>
      </c>
      <c r="D859" s="152" t="s">
        <v>2398</v>
      </c>
      <c r="E859" s="152" t="s">
        <v>1435</v>
      </c>
      <c r="F859" s="152" t="s">
        <v>2675</v>
      </c>
      <c r="G859" s="152" t="s">
        <v>2705</v>
      </c>
      <c r="H859" s="152" t="s">
        <v>2705</v>
      </c>
      <c r="I859" s="152" t="s">
        <v>2397</v>
      </c>
      <c r="J859" s="152" t="s">
        <v>2705</v>
      </c>
      <c r="K859" s="152" t="s">
        <v>2705</v>
      </c>
      <c r="L859" s="152" t="s">
        <v>2705</v>
      </c>
      <c r="M859" s="152" t="s">
        <v>2705</v>
      </c>
      <c r="N859" s="152" t="s">
        <v>2705</v>
      </c>
      <c r="O859" s="152" t="s">
        <v>2705</v>
      </c>
      <c r="P859" s="152" t="s">
        <v>2398</v>
      </c>
      <c r="Q859" s="152" t="s">
        <v>2705</v>
      </c>
      <c r="R859" s="152" t="s">
        <v>1435</v>
      </c>
      <c r="S859" s="152" t="s">
        <v>2705</v>
      </c>
      <c r="T859" s="152" t="s">
        <v>2705</v>
      </c>
      <c r="U859" s="152" t="s">
        <v>2705</v>
      </c>
    </row>
    <row r="860" spans="1:21" s="142" customFormat="1" ht="12.75" x14ac:dyDescent="0.2">
      <c r="A860" s="151"/>
      <c r="B860" s="152" t="s">
        <v>2398</v>
      </c>
      <c r="C860" s="152" t="s">
        <v>2705</v>
      </c>
      <c r="D860" s="152" t="s">
        <v>2398</v>
      </c>
      <c r="E860" s="152" t="s">
        <v>2398</v>
      </c>
      <c r="F860" s="152" t="s">
        <v>2705</v>
      </c>
      <c r="G860" s="152" t="s">
        <v>2675</v>
      </c>
      <c r="H860" s="152" t="s">
        <v>2397</v>
      </c>
      <c r="I860" s="152" t="s">
        <v>2705</v>
      </c>
      <c r="J860" s="152" t="s">
        <v>2705</v>
      </c>
      <c r="K860" s="152" t="s">
        <v>2705</v>
      </c>
      <c r="L860" s="152" t="s">
        <v>2705</v>
      </c>
      <c r="M860" s="152" t="s">
        <v>2398</v>
      </c>
      <c r="N860" s="152" t="s">
        <v>2705</v>
      </c>
      <c r="O860" s="152" t="s">
        <v>1435</v>
      </c>
      <c r="P860" s="152" t="s">
        <v>2675</v>
      </c>
      <c r="Q860" s="152" t="s">
        <v>2705</v>
      </c>
      <c r="R860" s="152" t="s">
        <v>2705</v>
      </c>
      <c r="S860" s="152" t="s">
        <v>2705</v>
      </c>
      <c r="T860" s="152" t="s">
        <v>2398</v>
      </c>
      <c r="U860" s="152" t="s">
        <v>2705</v>
      </c>
    </row>
    <row r="861" spans="1:21" s="142" customFormat="1" ht="12.75" customHeight="1" x14ac:dyDescent="0.2">
      <c r="A861" s="151" t="s">
        <v>7747</v>
      </c>
      <c r="B861" s="152" t="s">
        <v>2705</v>
      </c>
      <c r="C861" s="152" t="s">
        <v>2705</v>
      </c>
      <c r="D861" s="152" t="s">
        <v>2705</v>
      </c>
      <c r="E861" s="152" t="s">
        <v>2705</v>
      </c>
      <c r="F861" s="152" t="s">
        <v>2398</v>
      </c>
      <c r="G861" s="152" t="s">
        <v>2705</v>
      </c>
      <c r="H861" s="152" t="s">
        <v>2398</v>
      </c>
      <c r="I861" s="152" t="s">
        <v>2705</v>
      </c>
      <c r="J861" s="152" t="s">
        <v>2705</v>
      </c>
      <c r="K861" s="152" t="s">
        <v>2705</v>
      </c>
      <c r="L861" s="152" t="s">
        <v>2705</v>
      </c>
      <c r="M861" s="152" t="s">
        <v>2705</v>
      </c>
      <c r="N861" s="152" t="s">
        <v>2705</v>
      </c>
      <c r="O861" s="152" t="s">
        <v>2398</v>
      </c>
      <c r="P861" s="152" t="s">
        <v>2398</v>
      </c>
      <c r="Q861" s="152" t="s">
        <v>2705</v>
      </c>
      <c r="R861" s="152" t="s">
        <v>2398</v>
      </c>
      <c r="S861" s="152" t="s">
        <v>2397</v>
      </c>
      <c r="T861" s="152" t="s">
        <v>2705</v>
      </c>
      <c r="U861" s="152" t="s">
        <v>2705</v>
      </c>
    </row>
    <row r="862" spans="1:21" s="142" customFormat="1" ht="12.75" x14ac:dyDescent="0.2">
      <c r="A862" s="151"/>
      <c r="B862" s="152" t="s">
        <v>2705</v>
      </c>
      <c r="C862" s="152" t="s">
        <v>2398</v>
      </c>
      <c r="D862" s="152" t="s">
        <v>2397</v>
      </c>
      <c r="E862" s="152" t="s">
        <v>2705</v>
      </c>
      <c r="F862" s="152" t="s">
        <v>2705</v>
      </c>
      <c r="G862" s="152" t="s">
        <v>2705</v>
      </c>
      <c r="H862" s="152" t="s">
        <v>2705</v>
      </c>
      <c r="I862" s="152" t="s">
        <v>2705</v>
      </c>
      <c r="J862" s="152" t="s">
        <v>2705</v>
      </c>
      <c r="K862" s="152" t="s">
        <v>2705</v>
      </c>
      <c r="L862" s="152" t="s">
        <v>2398</v>
      </c>
      <c r="M862" s="152" t="s">
        <v>2398</v>
      </c>
      <c r="N862" s="152" t="s">
        <v>2705</v>
      </c>
      <c r="O862" s="152" t="s">
        <v>2398</v>
      </c>
      <c r="P862" s="152" t="s">
        <v>2398</v>
      </c>
      <c r="Q862" s="152" t="s">
        <v>2705</v>
      </c>
      <c r="R862" s="152" t="s">
        <v>2705</v>
      </c>
      <c r="S862" s="152" t="s">
        <v>2397</v>
      </c>
      <c r="T862" s="152" t="s">
        <v>2705</v>
      </c>
      <c r="U862" s="152" t="s">
        <v>2705</v>
      </c>
    </row>
    <row r="863" spans="1:21" s="142" customFormat="1" ht="12.75" customHeight="1" x14ac:dyDescent="0.2">
      <c r="A863" s="151" t="s">
        <v>7748</v>
      </c>
      <c r="B863" s="152" t="s">
        <v>2397</v>
      </c>
      <c r="C863" s="152" t="s">
        <v>2398</v>
      </c>
      <c r="D863" s="152" t="s">
        <v>2398</v>
      </c>
      <c r="E863" s="152" t="s">
        <v>2705</v>
      </c>
      <c r="F863" s="152" t="s">
        <v>2705</v>
      </c>
      <c r="G863" s="152" t="s">
        <v>2398</v>
      </c>
      <c r="H863" s="152" t="s">
        <v>2705</v>
      </c>
      <c r="I863" s="152" t="s">
        <v>2675</v>
      </c>
      <c r="J863" s="152" t="s">
        <v>2705</v>
      </c>
      <c r="K863" s="152" t="s">
        <v>2675</v>
      </c>
      <c r="L863" s="152" t="s">
        <v>2398</v>
      </c>
      <c r="M863" s="152" t="s">
        <v>2705</v>
      </c>
      <c r="N863" s="152" t="s">
        <v>2705</v>
      </c>
      <c r="O863" s="152" t="s">
        <v>2705</v>
      </c>
      <c r="P863" s="152" t="s">
        <v>2705</v>
      </c>
      <c r="Q863" s="152" t="s">
        <v>2705</v>
      </c>
      <c r="R863" s="152" t="s">
        <v>2398</v>
      </c>
      <c r="S863" s="152" t="s">
        <v>2705</v>
      </c>
      <c r="T863" s="152" t="s">
        <v>2398</v>
      </c>
      <c r="U863" s="152" t="s">
        <v>2705</v>
      </c>
    </row>
    <row r="864" spans="1:21" s="142" customFormat="1" ht="12.75" x14ac:dyDescent="0.2">
      <c r="A864" s="151"/>
      <c r="B864" s="152" t="s">
        <v>1435</v>
      </c>
      <c r="C864" s="152" t="s">
        <v>2675</v>
      </c>
      <c r="D864" s="152" t="s">
        <v>1435</v>
      </c>
      <c r="E864" s="152" t="s">
        <v>2705</v>
      </c>
      <c r="F864" s="152" t="s">
        <v>2705</v>
      </c>
      <c r="G864" s="152" t="s">
        <v>2705</v>
      </c>
      <c r="H864" s="152" t="s">
        <v>2705</v>
      </c>
      <c r="I864" s="152" t="s">
        <v>2398</v>
      </c>
      <c r="J864" s="152" t="s">
        <v>2675</v>
      </c>
      <c r="K864" s="152" t="s">
        <v>2705</v>
      </c>
      <c r="L864" s="152" t="s">
        <v>2397</v>
      </c>
      <c r="M864" s="152" t="s">
        <v>2705</v>
      </c>
      <c r="N864" s="152" t="s">
        <v>2705</v>
      </c>
      <c r="O864" s="152" t="s">
        <v>2705</v>
      </c>
      <c r="P864" s="152" t="s">
        <v>2705</v>
      </c>
      <c r="Q864" s="152" t="s">
        <v>2705</v>
      </c>
      <c r="R864" s="152" t="s">
        <v>2705</v>
      </c>
      <c r="S864" s="152" t="s">
        <v>2705</v>
      </c>
      <c r="T864" s="152" t="s">
        <v>2705</v>
      </c>
      <c r="U864" s="152" t="s">
        <v>2398</v>
      </c>
    </row>
    <row r="865" spans="1:21" s="142" customFormat="1" ht="12.75" customHeight="1" x14ac:dyDescent="0.2">
      <c r="A865" s="151" t="s">
        <v>7749</v>
      </c>
      <c r="B865" s="152" t="s">
        <v>2398</v>
      </c>
      <c r="C865" s="152" t="s">
        <v>2675</v>
      </c>
      <c r="D865" s="152" t="s">
        <v>2398</v>
      </c>
      <c r="E865" s="152" t="s">
        <v>2398</v>
      </c>
      <c r="F865" s="152" t="s">
        <v>2705</v>
      </c>
      <c r="G865" s="152" t="s">
        <v>2705</v>
      </c>
      <c r="H865" s="152" t="s">
        <v>2705</v>
      </c>
      <c r="I865" s="152" t="s">
        <v>2398</v>
      </c>
      <c r="J865" s="152" t="s">
        <v>2675</v>
      </c>
      <c r="K865" s="152" t="s">
        <v>1435</v>
      </c>
      <c r="L865" s="152" t="s">
        <v>2705</v>
      </c>
      <c r="M865" s="152" t="s">
        <v>2705</v>
      </c>
      <c r="N865" s="152" t="s">
        <v>2705</v>
      </c>
      <c r="O865" s="152" t="s">
        <v>2705</v>
      </c>
      <c r="P865" s="152" t="s">
        <v>2705</v>
      </c>
      <c r="Q865" s="152" t="s">
        <v>1435</v>
      </c>
      <c r="R865" s="152" t="s">
        <v>2705</v>
      </c>
      <c r="S865" s="152" t="s">
        <v>2705</v>
      </c>
      <c r="T865" s="152" t="s">
        <v>2705</v>
      </c>
      <c r="U865" s="152" t="s">
        <v>2705</v>
      </c>
    </row>
    <row r="866" spans="1:21" s="142" customFormat="1" ht="12.75" x14ac:dyDescent="0.2">
      <c r="A866" s="151"/>
      <c r="B866" s="152" t="s">
        <v>2675</v>
      </c>
      <c r="C866" s="152" t="s">
        <v>2398</v>
      </c>
      <c r="D866" s="152" t="s">
        <v>2705</v>
      </c>
      <c r="E866" s="152" t="s">
        <v>2705</v>
      </c>
      <c r="F866" s="152" t="s">
        <v>2705</v>
      </c>
      <c r="G866" s="152" t="s">
        <v>2705</v>
      </c>
      <c r="H866" s="152" t="s">
        <v>2398</v>
      </c>
      <c r="I866" s="152" t="s">
        <v>1435</v>
      </c>
      <c r="J866" s="152" t="s">
        <v>2705</v>
      </c>
      <c r="K866" s="152" t="s">
        <v>2705</v>
      </c>
      <c r="L866" s="152" t="s">
        <v>2398</v>
      </c>
      <c r="M866" s="152" t="s">
        <v>2398</v>
      </c>
      <c r="N866" s="152" t="s">
        <v>2705</v>
      </c>
      <c r="O866" s="152" t="s">
        <v>2705</v>
      </c>
      <c r="P866" s="152" t="s">
        <v>2705</v>
      </c>
      <c r="Q866" s="152" t="s">
        <v>2705</v>
      </c>
      <c r="R866" s="152" t="s">
        <v>2705</v>
      </c>
      <c r="S866" s="152" t="s">
        <v>2705</v>
      </c>
      <c r="T866" s="152" t="s">
        <v>2705</v>
      </c>
      <c r="U866" s="152" t="s">
        <v>2705</v>
      </c>
    </row>
    <row r="867" spans="1:21" s="142" customFormat="1" ht="12.75" customHeight="1" x14ac:dyDescent="0.2">
      <c r="A867" s="151" t="s">
        <v>7750</v>
      </c>
      <c r="B867" s="152" t="s">
        <v>2705</v>
      </c>
      <c r="C867" s="152" t="s">
        <v>2705</v>
      </c>
      <c r="D867" s="152" t="s">
        <v>2705</v>
      </c>
      <c r="E867" s="152" t="s">
        <v>2705</v>
      </c>
      <c r="F867" s="152" t="s">
        <v>2705</v>
      </c>
      <c r="G867" s="152" t="s">
        <v>2705</v>
      </c>
      <c r="H867" s="152" t="s">
        <v>2705</v>
      </c>
      <c r="I867" s="152" t="s">
        <v>2705</v>
      </c>
      <c r="J867" s="152" t="s">
        <v>2705</v>
      </c>
      <c r="K867" s="152" t="s">
        <v>2705</v>
      </c>
      <c r="L867" s="152" t="s">
        <v>1435</v>
      </c>
      <c r="M867" s="152" t="s">
        <v>1435</v>
      </c>
      <c r="N867" s="152" t="s">
        <v>2705</v>
      </c>
      <c r="O867" s="152" t="s">
        <v>2705</v>
      </c>
      <c r="P867" s="152" t="s">
        <v>2705</v>
      </c>
      <c r="Q867" s="152" t="s">
        <v>2705</v>
      </c>
      <c r="R867" s="152" t="s">
        <v>2705</v>
      </c>
      <c r="S867" s="152" t="s">
        <v>2675</v>
      </c>
      <c r="T867" s="152" t="s">
        <v>1435</v>
      </c>
      <c r="U867" s="152" t="s">
        <v>2705</v>
      </c>
    </row>
    <row r="868" spans="1:21" s="142" customFormat="1" ht="12.75" x14ac:dyDescent="0.2">
      <c r="A868" s="151"/>
      <c r="B868" s="152" t="s">
        <v>2705</v>
      </c>
      <c r="C868" s="152" t="s">
        <v>2705</v>
      </c>
      <c r="D868" s="152" t="s">
        <v>2705</v>
      </c>
      <c r="E868" s="152" t="s">
        <v>2705</v>
      </c>
      <c r="F868" s="152" t="s">
        <v>2705</v>
      </c>
      <c r="G868" s="152" t="s">
        <v>2705</v>
      </c>
      <c r="H868" s="152" t="s">
        <v>2705</v>
      </c>
      <c r="I868" s="152" t="s">
        <v>2705</v>
      </c>
      <c r="J868" s="152" t="s">
        <v>2705</v>
      </c>
      <c r="K868" s="152" t="s">
        <v>2705</v>
      </c>
      <c r="L868" s="152" t="s">
        <v>2705</v>
      </c>
      <c r="M868" s="152" t="s">
        <v>2705</v>
      </c>
      <c r="N868" s="152" t="s">
        <v>2705</v>
      </c>
      <c r="O868" s="152" t="s">
        <v>2705</v>
      </c>
      <c r="P868" s="152" t="s">
        <v>2675</v>
      </c>
      <c r="Q868" s="152" t="s">
        <v>2675</v>
      </c>
      <c r="R868" s="152" t="s">
        <v>2675</v>
      </c>
      <c r="S868" s="152" t="s">
        <v>2705</v>
      </c>
      <c r="T868" s="152" t="s">
        <v>2705</v>
      </c>
      <c r="U868" s="152" t="s">
        <v>2705</v>
      </c>
    </row>
    <row r="869" spans="1:21" s="142" customFormat="1" ht="12.75" customHeight="1" x14ac:dyDescent="0.2">
      <c r="A869" s="151" t="s">
        <v>7751</v>
      </c>
      <c r="B869" s="152" t="s">
        <v>2705</v>
      </c>
      <c r="C869" s="152" t="s">
        <v>2705</v>
      </c>
      <c r="D869" s="152" t="s">
        <v>2705</v>
      </c>
      <c r="E869" s="152" t="s">
        <v>2397</v>
      </c>
      <c r="F869" s="152" t="s">
        <v>2398</v>
      </c>
      <c r="G869" s="152" t="s">
        <v>2398</v>
      </c>
      <c r="H869" s="152" t="s">
        <v>1435</v>
      </c>
      <c r="I869" s="152" t="s">
        <v>2398</v>
      </c>
      <c r="J869" s="152" t="s">
        <v>2705</v>
      </c>
      <c r="K869" s="152" t="s">
        <v>2705</v>
      </c>
      <c r="L869" s="152" t="s">
        <v>2705</v>
      </c>
      <c r="M869" s="152" t="s">
        <v>2398</v>
      </c>
      <c r="N869" s="152" t="s">
        <v>2397</v>
      </c>
      <c r="O869" s="152" t="s">
        <v>2398</v>
      </c>
      <c r="P869" s="152" t="s">
        <v>2705</v>
      </c>
      <c r="Q869" s="152" t="s">
        <v>2675</v>
      </c>
      <c r="R869" s="152" t="s">
        <v>2705</v>
      </c>
      <c r="S869" s="152" t="s">
        <v>2398</v>
      </c>
      <c r="T869" s="152" t="s">
        <v>2705</v>
      </c>
      <c r="U869" s="152" t="s">
        <v>2398</v>
      </c>
    </row>
    <row r="870" spans="1:21" s="142" customFormat="1" ht="12.75" x14ac:dyDescent="0.2">
      <c r="A870" s="151"/>
      <c r="B870" s="152" t="s">
        <v>2705</v>
      </c>
      <c r="C870" s="152" t="s">
        <v>2705</v>
      </c>
      <c r="D870" s="152" t="s">
        <v>2398</v>
      </c>
      <c r="E870" s="152" t="s">
        <v>2398</v>
      </c>
      <c r="F870" s="152" t="s">
        <v>2705</v>
      </c>
      <c r="G870" s="152" t="s">
        <v>2398</v>
      </c>
      <c r="H870" s="152" t="s">
        <v>2398</v>
      </c>
      <c r="I870" s="152" t="s">
        <v>2705</v>
      </c>
      <c r="J870" s="152" t="s">
        <v>1435</v>
      </c>
      <c r="K870" s="152" t="s">
        <v>2705</v>
      </c>
      <c r="L870" s="152" t="s">
        <v>2398</v>
      </c>
      <c r="M870" s="152" t="s">
        <v>2398</v>
      </c>
      <c r="N870" s="152" t="s">
        <v>2398</v>
      </c>
      <c r="O870" s="152" t="s">
        <v>2705</v>
      </c>
      <c r="P870" s="152" t="s">
        <v>2398</v>
      </c>
      <c r="Q870" s="152" t="s">
        <v>2705</v>
      </c>
      <c r="R870" s="152" t="s">
        <v>2398</v>
      </c>
      <c r="S870" s="152" t="s">
        <v>2398</v>
      </c>
      <c r="T870" s="152" t="s">
        <v>2705</v>
      </c>
      <c r="U870" s="152" t="s">
        <v>2705</v>
      </c>
    </row>
    <row r="871" spans="1:21" s="142" customFormat="1" ht="12.75" customHeight="1" x14ac:dyDescent="0.2">
      <c r="A871" s="151" t="s">
        <v>7752</v>
      </c>
      <c r="B871" s="152" t="s">
        <v>2705</v>
      </c>
      <c r="C871" s="152" t="s">
        <v>2705</v>
      </c>
      <c r="D871" s="152" t="s">
        <v>2705</v>
      </c>
      <c r="E871" s="152" t="s">
        <v>2705</v>
      </c>
      <c r="F871" s="152" t="s">
        <v>2705</v>
      </c>
      <c r="G871" s="152" t="s">
        <v>2705</v>
      </c>
      <c r="H871" s="152" t="s">
        <v>2675</v>
      </c>
      <c r="I871" s="152" t="s">
        <v>2705</v>
      </c>
      <c r="J871" s="152" t="s">
        <v>2705</v>
      </c>
      <c r="K871" s="152" t="s">
        <v>2397</v>
      </c>
      <c r="L871" s="152" t="s">
        <v>2675</v>
      </c>
      <c r="M871" s="152" t="s">
        <v>2398</v>
      </c>
      <c r="N871" s="152" t="s">
        <v>2705</v>
      </c>
      <c r="O871" s="152" t="s">
        <v>2398</v>
      </c>
      <c r="P871" s="152" t="s">
        <v>2705</v>
      </c>
      <c r="Q871" s="152" t="s">
        <v>2705</v>
      </c>
      <c r="R871" s="152" t="s">
        <v>2705</v>
      </c>
      <c r="S871" s="152" t="s">
        <v>2705</v>
      </c>
      <c r="T871" s="152" t="s">
        <v>2398</v>
      </c>
      <c r="U871" s="152" t="s">
        <v>2705</v>
      </c>
    </row>
    <row r="872" spans="1:21" s="142" customFormat="1" ht="12.75" x14ac:dyDescent="0.2">
      <c r="A872" s="151"/>
      <c r="B872" s="152" t="s">
        <v>2398</v>
      </c>
      <c r="C872" s="152" t="s">
        <v>2398</v>
      </c>
      <c r="D872" s="152" t="s">
        <v>2398</v>
      </c>
      <c r="E872" s="152" t="s">
        <v>2705</v>
      </c>
      <c r="F872" s="152" t="s">
        <v>2398</v>
      </c>
      <c r="G872" s="152" t="s">
        <v>2705</v>
      </c>
      <c r="H872" s="152" t="s">
        <v>2705</v>
      </c>
      <c r="I872" s="152" t="s">
        <v>2705</v>
      </c>
      <c r="J872" s="152" t="s">
        <v>2675</v>
      </c>
      <c r="K872" s="152" t="s">
        <v>2705</v>
      </c>
      <c r="L872" s="152" t="s">
        <v>2398</v>
      </c>
      <c r="M872" s="152" t="s">
        <v>2705</v>
      </c>
      <c r="N872" s="152" t="s">
        <v>2675</v>
      </c>
      <c r="O872" s="152" t="s">
        <v>2705</v>
      </c>
      <c r="P872" s="152" t="s">
        <v>1435</v>
      </c>
      <c r="Q872" s="152" t="s">
        <v>2705</v>
      </c>
      <c r="R872" s="152" t="s">
        <v>2398</v>
      </c>
      <c r="S872" s="152" t="s">
        <v>2705</v>
      </c>
      <c r="T872" s="152" t="s">
        <v>2705</v>
      </c>
      <c r="U872" s="152" t="s">
        <v>2705</v>
      </c>
    </row>
    <row r="873" spans="1:21" s="142" customFormat="1" ht="12.75" customHeight="1" x14ac:dyDescent="0.2">
      <c r="A873" s="151" t="s">
        <v>7753</v>
      </c>
      <c r="B873" s="152" t="s">
        <v>2675</v>
      </c>
      <c r="C873" s="152" t="s">
        <v>2398</v>
      </c>
      <c r="D873" s="152" t="s">
        <v>2398</v>
      </c>
      <c r="E873" s="152" t="s">
        <v>2398</v>
      </c>
      <c r="F873" s="152" t="s">
        <v>2705</v>
      </c>
      <c r="G873" s="152" t="s">
        <v>2705</v>
      </c>
      <c r="H873" s="152" t="s">
        <v>2705</v>
      </c>
      <c r="I873" s="152" t="s">
        <v>2397</v>
      </c>
      <c r="J873" s="152" t="s">
        <v>2675</v>
      </c>
      <c r="K873" s="152" t="s">
        <v>2705</v>
      </c>
      <c r="L873" s="152" t="s">
        <v>2398</v>
      </c>
      <c r="M873" s="152" t="s">
        <v>2705</v>
      </c>
      <c r="N873" s="152" t="s">
        <v>2675</v>
      </c>
      <c r="O873" s="152" t="s">
        <v>2675</v>
      </c>
      <c r="P873" s="152" t="s">
        <v>2705</v>
      </c>
      <c r="Q873" s="152" t="s">
        <v>2705</v>
      </c>
      <c r="R873" s="152" t="s">
        <v>2675</v>
      </c>
      <c r="S873" s="152" t="s">
        <v>2705</v>
      </c>
      <c r="T873" s="152" t="s">
        <v>2705</v>
      </c>
      <c r="U873" s="152" t="s">
        <v>2705</v>
      </c>
    </row>
    <row r="874" spans="1:21" s="142" customFormat="1" ht="12.75" x14ac:dyDescent="0.2">
      <c r="A874" s="151"/>
      <c r="B874" s="152" t="s">
        <v>2398</v>
      </c>
      <c r="C874" s="152" t="s">
        <v>2675</v>
      </c>
      <c r="D874" s="152" t="s">
        <v>2398</v>
      </c>
      <c r="E874" s="152" t="s">
        <v>1435</v>
      </c>
      <c r="F874" s="152" t="s">
        <v>2705</v>
      </c>
      <c r="G874" s="152" t="s">
        <v>2675</v>
      </c>
      <c r="H874" s="152" t="s">
        <v>2398</v>
      </c>
      <c r="I874" s="152" t="s">
        <v>2705</v>
      </c>
      <c r="J874" s="152" t="s">
        <v>2398</v>
      </c>
      <c r="K874" s="152" t="s">
        <v>2705</v>
      </c>
      <c r="L874" s="152" t="s">
        <v>2705</v>
      </c>
      <c r="M874" s="152" t="s">
        <v>2398</v>
      </c>
      <c r="N874" s="152" t="s">
        <v>2398</v>
      </c>
      <c r="O874" s="152" t="s">
        <v>2398</v>
      </c>
      <c r="P874" s="152" t="s">
        <v>2675</v>
      </c>
      <c r="Q874" s="152" t="s">
        <v>1435</v>
      </c>
      <c r="R874" s="152" t="s">
        <v>2675</v>
      </c>
      <c r="S874" s="152" t="s">
        <v>2398</v>
      </c>
      <c r="T874" s="152" t="s">
        <v>2398</v>
      </c>
      <c r="U874" s="152" t="s">
        <v>2398</v>
      </c>
    </row>
    <row r="875" spans="1:21" s="142" customFormat="1" ht="12.75" customHeight="1" x14ac:dyDescent="0.2">
      <c r="A875" s="151" t="s">
        <v>7754</v>
      </c>
      <c r="B875" s="152" t="s">
        <v>2705</v>
      </c>
      <c r="C875" s="152" t="s">
        <v>2705</v>
      </c>
      <c r="D875" s="152" t="s">
        <v>2675</v>
      </c>
      <c r="E875" s="152" t="s">
        <v>2705</v>
      </c>
      <c r="F875" s="152" t="s">
        <v>2398</v>
      </c>
      <c r="G875" s="152" t="s">
        <v>2705</v>
      </c>
      <c r="H875" s="152" t="s">
        <v>2398</v>
      </c>
      <c r="I875" s="152" t="s">
        <v>2397</v>
      </c>
      <c r="J875" s="152" t="s">
        <v>2398</v>
      </c>
      <c r="K875" s="152" t="s">
        <v>1435</v>
      </c>
      <c r="L875" s="152" t="s">
        <v>2705</v>
      </c>
      <c r="M875" s="152" t="s">
        <v>2705</v>
      </c>
      <c r="N875" s="152" t="s">
        <v>2705</v>
      </c>
      <c r="O875" s="152" t="s">
        <v>2705</v>
      </c>
      <c r="P875" s="152" t="s">
        <v>2705</v>
      </c>
      <c r="Q875" s="152" t="s">
        <v>2705</v>
      </c>
      <c r="R875" s="152" t="s">
        <v>2675</v>
      </c>
      <c r="S875" s="152" t="s">
        <v>2675</v>
      </c>
      <c r="T875" s="152" t="s">
        <v>2705</v>
      </c>
      <c r="U875" s="152" t="s">
        <v>2705</v>
      </c>
    </row>
    <row r="876" spans="1:21" s="142" customFormat="1" ht="12.75" x14ac:dyDescent="0.2">
      <c r="A876" s="151"/>
      <c r="B876" s="152" t="s">
        <v>2705</v>
      </c>
      <c r="C876" s="152" t="s">
        <v>2705</v>
      </c>
      <c r="D876" s="152" t="s">
        <v>2675</v>
      </c>
      <c r="E876" s="152" t="s">
        <v>2705</v>
      </c>
      <c r="F876" s="152" t="s">
        <v>2398</v>
      </c>
      <c r="G876" s="152" t="s">
        <v>2398</v>
      </c>
      <c r="H876" s="152" t="s">
        <v>2675</v>
      </c>
      <c r="I876" s="152" t="s">
        <v>2705</v>
      </c>
      <c r="J876" s="152" t="s">
        <v>2705</v>
      </c>
      <c r="K876" s="152" t="s">
        <v>2675</v>
      </c>
      <c r="L876" s="152" t="s">
        <v>2705</v>
      </c>
      <c r="M876" s="152" t="s">
        <v>2398</v>
      </c>
      <c r="N876" s="152" t="s">
        <v>1435</v>
      </c>
      <c r="O876" s="152" t="s">
        <v>2705</v>
      </c>
      <c r="P876" s="152" t="s">
        <v>2705</v>
      </c>
      <c r="Q876" s="152" t="s">
        <v>2705</v>
      </c>
      <c r="R876" s="152" t="s">
        <v>2398</v>
      </c>
      <c r="S876" s="152" t="s">
        <v>2705</v>
      </c>
      <c r="T876" s="152" t="s">
        <v>2705</v>
      </c>
      <c r="U876" s="152" t="s">
        <v>2398</v>
      </c>
    </row>
    <row r="877" spans="1:21" s="142" customFormat="1" ht="12.75" customHeight="1" x14ac:dyDescent="0.2">
      <c r="A877" s="151" t="s">
        <v>7755</v>
      </c>
      <c r="B877" s="152" t="s">
        <v>2398</v>
      </c>
      <c r="C877" s="152" t="s">
        <v>2675</v>
      </c>
      <c r="D877" s="152" t="s">
        <v>2675</v>
      </c>
      <c r="E877" s="152" t="s">
        <v>2705</v>
      </c>
      <c r="F877" s="152" t="s">
        <v>2398</v>
      </c>
      <c r="G877" s="152" t="s">
        <v>2398</v>
      </c>
      <c r="H877" s="152" t="s">
        <v>2705</v>
      </c>
      <c r="I877" s="152" t="s">
        <v>2705</v>
      </c>
      <c r="J877" s="152" t="s">
        <v>2398</v>
      </c>
      <c r="K877" s="152" t="s">
        <v>2398</v>
      </c>
      <c r="L877" s="152" t="s">
        <v>2398</v>
      </c>
      <c r="M877" s="152" t="s">
        <v>2705</v>
      </c>
      <c r="N877" s="152" t="s">
        <v>2398</v>
      </c>
      <c r="O877" s="152" t="s">
        <v>2705</v>
      </c>
      <c r="P877" s="152" t="s">
        <v>2398</v>
      </c>
      <c r="Q877" s="152" t="s">
        <v>2398</v>
      </c>
      <c r="R877" s="152" t="s">
        <v>2705</v>
      </c>
      <c r="S877" s="152" t="s">
        <v>2705</v>
      </c>
      <c r="T877" s="152" t="s">
        <v>2398</v>
      </c>
      <c r="U877" s="152" t="s">
        <v>2705</v>
      </c>
    </row>
    <row r="878" spans="1:21" s="142" customFormat="1" ht="12.75" x14ac:dyDescent="0.2">
      <c r="A878" s="151"/>
      <c r="B878" s="152" t="s">
        <v>2705</v>
      </c>
      <c r="C878" s="152" t="s">
        <v>2397</v>
      </c>
      <c r="D878" s="152" t="s">
        <v>2705</v>
      </c>
      <c r="E878" s="152" t="s">
        <v>2705</v>
      </c>
      <c r="F878" s="152" t="s">
        <v>2398</v>
      </c>
      <c r="G878" s="152" t="s">
        <v>2705</v>
      </c>
      <c r="H878" s="152" t="s">
        <v>2705</v>
      </c>
      <c r="I878" s="152" t="s">
        <v>2398</v>
      </c>
      <c r="J878" s="152" t="s">
        <v>2397</v>
      </c>
      <c r="K878" s="152" t="s">
        <v>2705</v>
      </c>
      <c r="L878" s="152" t="s">
        <v>2398</v>
      </c>
      <c r="M878" s="152" t="s">
        <v>2398</v>
      </c>
      <c r="N878" s="152" t="s">
        <v>2705</v>
      </c>
      <c r="O878" s="152" t="s">
        <v>2397</v>
      </c>
      <c r="P878" s="152" t="s">
        <v>1435</v>
      </c>
      <c r="Q878" s="152" t="s">
        <v>2398</v>
      </c>
      <c r="R878" s="152" t="s">
        <v>2705</v>
      </c>
      <c r="S878" s="152" t="s">
        <v>2705</v>
      </c>
      <c r="T878" s="152" t="s">
        <v>2398</v>
      </c>
      <c r="U878" s="152" t="s">
        <v>2398</v>
      </c>
    </row>
    <row r="879" spans="1:21" s="142" customFormat="1" ht="12.75" customHeight="1" x14ac:dyDescent="0.2">
      <c r="A879" s="151" t="s">
        <v>7756</v>
      </c>
      <c r="B879" s="152" t="s">
        <v>2398</v>
      </c>
      <c r="C879" s="152" t="s">
        <v>1435</v>
      </c>
      <c r="D879" s="152" t="s">
        <v>2397</v>
      </c>
      <c r="E879" s="152" t="s">
        <v>2398</v>
      </c>
      <c r="F879" s="152" t="s">
        <v>2398</v>
      </c>
      <c r="G879" s="152" t="s">
        <v>2705</v>
      </c>
      <c r="H879" s="152" t="s">
        <v>2398</v>
      </c>
      <c r="I879" s="152" t="s">
        <v>2397</v>
      </c>
      <c r="J879" s="152" t="s">
        <v>2675</v>
      </c>
      <c r="K879" s="152" t="s">
        <v>2705</v>
      </c>
      <c r="L879" s="152" t="s">
        <v>1435</v>
      </c>
      <c r="M879" s="152" t="s">
        <v>2398</v>
      </c>
      <c r="N879" s="152" t="s">
        <v>2705</v>
      </c>
      <c r="O879" s="152" t="s">
        <v>2705</v>
      </c>
      <c r="P879" s="152" t="s">
        <v>2705</v>
      </c>
      <c r="Q879" s="152" t="s">
        <v>2705</v>
      </c>
      <c r="R879" s="152" t="s">
        <v>1435</v>
      </c>
      <c r="S879" s="152" t="s">
        <v>2705</v>
      </c>
      <c r="T879" s="152" t="s">
        <v>2705</v>
      </c>
      <c r="U879" s="152" t="s">
        <v>2705</v>
      </c>
    </row>
    <row r="880" spans="1:21" s="142" customFormat="1" ht="12.75" x14ac:dyDescent="0.2">
      <c r="A880" s="151"/>
      <c r="B880" s="152" t="s">
        <v>2398</v>
      </c>
      <c r="C880" s="152" t="s">
        <v>2705</v>
      </c>
      <c r="D880" s="152" t="s">
        <v>2705</v>
      </c>
      <c r="E880" s="152" t="s">
        <v>1435</v>
      </c>
      <c r="F880" s="152" t="s">
        <v>2398</v>
      </c>
      <c r="G880" s="152" t="s">
        <v>2705</v>
      </c>
      <c r="H880" s="152" t="s">
        <v>2397</v>
      </c>
      <c r="I880" s="152" t="s">
        <v>2398</v>
      </c>
      <c r="J880" s="152" t="s">
        <v>2397</v>
      </c>
      <c r="K880" s="152" t="s">
        <v>2705</v>
      </c>
      <c r="L880" s="152" t="s">
        <v>2398</v>
      </c>
      <c r="M880" s="152" t="s">
        <v>2705</v>
      </c>
      <c r="N880" s="152" t="s">
        <v>2705</v>
      </c>
      <c r="O880" s="152" t="s">
        <v>2398</v>
      </c>
      <c r="P880" s="152" t="s">
        <v>2675</v>
      </c>
      <c r="Q880" s="152" t="s">
        <v>2705</v>
      </c>
      <c r="R880" s="152" t="s">
        <v>2705</v>
      </c>
      <c r="S880" s="152" t="s">
        <v>2705</v>
      </c>
      <c r="T880" s="152" t="s">
        <v>2705</v>
      </c>
      <c r="U880" s="152" t="s">
        <v>2398</v>
      </c>
    </row>
    <row r="881" spans="1:21" s="142" customFormat="1" ht="12.75" customHeight="1" x14ac:dyDescent="0.2">
      <c r="A881" s="151" t="s">
        <v>7757</v>
      </c>
      <c r="B881" s="152" t="s">
        <v>1435</v>
      </c>
      <c r="C881" s="152" t="s">
        <v>2705</v>
      </c>
      <c r="D881" s="152" t="s">
        <v>2705</v>
      </c>
      <c r="E881" s="152" t="s">
        <v>2398</v>
      </c>
      <c r="F881" s="152" t="s">
        <v>2398</v>
      </c>
      <c r="G881" s="152" t="s">
        <v>2705</v>
      </c>
      <c r="H881" s="152" t="s">
        <v>2705</v>
      </c>
      <c r="I881" s="152" t="s">
        <v>2705</v>
      </c>
      <c r="J881" s="152" t="s">
        <v>2705</v>
      </c>
      <c r="K881" s="152" t="s">
        <v>2705</v>
      </c>
      <c r="L881" s="152" t="s">
        <v>2398</v>
      </c>
      <c r="M881" s="152" t="s">
        <v>2398</v>
      </c>
      <c r="N881" s="152" t="s">
        <v>2705</v>
      </c>
      <c r="O881" s="152" t="s">
        <v>2705</v>
      </c>
      <c r="P881" s="152" t="s">
        <v>2705</v>
      </c>
      <c r="Q881" s="152" t="s">
        <v>2398</v>
      </c>
      <c r="R881" s="152" t="s">
        <v>2705</v>
      </c>
      <c r="S881" s="152" t="s">
        <v>2705</v>
      </c>
      <c r="T881" s="152" t="s">
        <v>2705</v>
      </c>
      <c r="U881" s="152" t="s">
        <v>2705</v>
      </c>
    </row>
    <row r="882" spans="1:21" s="142" customFormat="1" ht="12.75" x14ac:dyDescent="0.2">
      <c r="A882" s="151"/>
      <c r="B882" s="152" t="s">
        <v>2398</v>
      </c>
      <c r="C882" s="152" t="s">
        <v>2398</v>
      </c>
      <c r="D882" s="152" t="s">
        <v>2705</v>
      </c>
      <c r="E882" s="152" t="s">
        <v>2675</v>
      </c>
      <c r="F882" s="152" t="s">
        <v>2398</v>
      </c>
      <c r="G882" s="152" t="s">
        <v>2705</v>
      </c>
      <c r="H882" s="152" t="s">
        <v>2705</v>
      </c>
      <c r="I882" s="152" t="s">
        <v>2705</v>
      </c>
      <c r="J882" s="152" t="s">
        <v>2705</v>
      </c>
      <c r="K882" s="152" t="s">
        <v>2398</v>
      </c>
      <c r="L882" s="152" t="s">
        <v>2705</v>
      </c>
      <c r="M882" s="152" t="s">
        <v>2705</v>
      </c>
      <c r="N882" s="152" t="s">
        <v>2705</v>
      </c>
      <c r="O882" s="152" t="s">
        <v>2705</v>
      </c>
      <c r="P882" s="152" t="s">
        <v>1435</v>
      </c>
      <c r="Q882" s="152" t="s">
        <v>2705</v>
      </c>
      <c r="R882" s="152" t="s">
        <v>1435</v>
      </c>
      <c r="S882" s="152" t="s">
        <v>2705</v>
      </c>
      <c r="T882" s="152" t="s">
        <v>2705</v>
      </c>
      <c r="U882" s="152" t="s">
        <v>2705</v>
      </c>
    </row>
    <row r="883" spans="1:21" s="142" customFormat="1" ht="12.75" customHeight="1" x14ac:dyDescent="0.2">
      <c r="A883" s="151" t="s">
        <v>7758</v>
      </c>
      <c r="B883" s="152" t="s">
        <v>2675</v>
      </c>
      <c r="C883" s="152" t="s">
        <v>2398</v>
      </c>
      <c r="D883" s="152" t="s">
        <v>1435</v>
      </c>
      <c r="E883" s="152" t="s">
        <v>2705</v>
      </c>
      <c r="F883" s="152" t="s">
        <v>2398</v>
      </c>
      <c r="G883" s="152" t="s">
        <v>2705</v>
      </c>
      <c r="H883" s="152" t="s">
        <v>1435</v>
      </c>
      <c r="I883" s="152" t="s">
        <v>2675</v>
      </c>
      <c r="J883" s="152" t="s">
        <v>2398</v>
      </c>
      <c r="K883" s="152" t="s">
        <v>2705</v>
      </c>
      <c r="L883" s="152" t="s">
        <v>2398</v>
      </c>
      <c r="M883" s="152" t="s">
        <v>2705</v>
      </c>
      <c r="N883" s="152" t="s">
        <v>2675</v>
      </c>
      <c r="O883" s="152" t="s">
        <v>2398</v>
      </c>
      <c r="P883" s="152" t="s">
        <v>2398</v>
      </c>
      <c r="Q883" s="152" t="s">
        <v>2705</v>
      </c>
      <c r="R883" s="152" t="s">
        <v>2705</v>
      </c>
      <c r="S883" s="152" t="s">
        <v>2705</v>
      </c>
      <c r="T883" s="152" t="s">
        <v>2397</v>
      </c>
      <c r="U883" s="152" t="s">
        <v>2675</v>
      </c>
    </row>
    <row r="884" spans="1:21" s="142" customFormat="1" ht="12.75" x14ac:dyDescent="0.2">
      <c r="A884" s="151"/>
      <c r="B884" s="152" t="s">
        <v>2705</v>
      </c>
      <c r="C884" s="152" t="s">
        <v>2705</v>
      </c>
      <c r="D884" s="152" t="s">
        <v>2398</v>
      </c>
      <c r="E884" s="152" t="s">
        <v>1435</v>
      </c>
      <c r="F884" s="152" t="s">
        <v>2398</v>
      </c>
      <c r="G884" s="152" t="s">
        <v>1435</v>
      </c>
      <c r="H884" s="152" t="s">
        <v>2675</v>
      </c>
      <c r="I884" s="152" t="s">
        <v>2705</v>
      </c>
      <c r="J884" s="152" t="s">
        <v>2397</v>
      </c>
      <c r="K884" s="152" t="s">
        <v>2398</v>
      </c>
      <c r="L884" s="152" t="s">
        <v>2705</v>
      </c>
      <c r="M884" s="152" t="s">
        <v>2398</v>
      </c>
      <c r="N884" s="152" t="s">
        <v>1435</v>
      </c>
      <c r="O884" s="152" t="s">
        <v>2705</v>
      </c>
      <c r="P884" s="152" t="s">
        <v>2675</v>
      </c>
      <c r="Q884" s="152" t="s">
        <v>2675</v>
      </c>
      <c r="R884" s="152" t="s">
        <v>2398</v>
      </c>
      <c r="S884" s="152" t="s">
        <v>2705</v>
      </c>
      <c r="T884" s="152" t="s">
        <v>2398</v>
      </c>
      <c r="U884" s="152" t="s">
        <v>2675</v>
      </c>
    </row>
    <row r="885" spans="1:21" s="142" customFormat="1" ht="12.75" customHeight="1" x14ac:dyDescent="0.2">
      <c r="A885" s="151" t="s">
        <v>7759</v>
      </c>
      <c r="B885" s="152" t="s">
        <v>2705</v>
      </c>
      <c r="C885" s="152" t="s">
        <v>1435</v>
      </c>
      <c r="D885" s="152" t="s">
        <v>2705</v>
      </c>
      <c r="E885" s="152" t="s">
        <v>2705</v>
      </c>
      <c r="F885" s="152" t="s">
        <v>2397</v>
      </c>
      <c r="G885" s="152" t="s">
        <v>1435</v>
      </c>
      <c r="H885" s="152" t="s">
        <v>2398</v>
      </c>
      <c r="I885" s="152" t="s">
        <v>2675</v>
      </c>
      <c r="J885" s="152" t="s">
        <v>1435</v>
      </c>
      <c r="K885" s="152" t="s">
        <v>2705</v>
      </c>
      <c r="L885" s="152" t="s">
        <v>2705</v>
      </c>
      <c r="M885" s="152" t="s">
        <v>1435</v>
      </c>
      <c r="N885" s="152" t="s">
        <v>2398</v>
      </c>
      <c r="O885" s="152" t="s">
        <v>2397</v>
      </c>
      <c r="P885" s="152" t="s">
        <v>1435</v>
      </c>
      <c r="Q885" s="152" t="s">
        <v>2705</v>
      </c>
      <c r="R885" s="152" t="s">
        <v>2705</v>
      </c>
      <c r="S885" s="152" t="s">
        <v>2675</v>
      </c>
      <c r="T885" s="152" t="s">
        <v>2398</v>
      </c>
      <c r="U885" s="152" t="s">
        <v>2705</v>
      </c>
    </row>
    <row r="886" spans="1:21" s="142" customFormat="1" ht="12.75" x14ac:dyDescent="0.2">
      <c r="A886" s="151"/>
      <c r="B886" s="152" t="s">
        <v>2397</v>
      </c>
      <c r="C886" s="152" t="s">
        <v>2675</v>
      </c>
      <c r="D886" s="152" t="s">
        <v>2705</v>
      </c>
      <c r="E886" s="152" t="s">
        <v>2398</v>
      </c>
      <c r="F886" s="152" t="s">
        <v>2397</v>
      </c>
      <c r="G886" s="152" t="s">
        <v>1435</v>
      </c>
      <c r="H886" s="152" t="s">
        <v>2397</v>
      </c>
      <c r="I886" s="152" t="s">
        <v>2705</v>
      </c>
      <c r="J886" s="152" t="s">
        <v>1435</v>
      </c>
      <c r="K886" s="152" t="s">
        <v>2675</v>
      </c>
      <c r="L886" s="152" t="s">
        <v>2705</v>
      </c>
      <c r="M886" s="152" t="s">
        <v>1435</v>
      </c>
      <c r="N886" s="152" t="s">
        <v>1435</v>
      </c>
      <c r="O886" s="152" t="s">
        <v>2398</v>
      </c>
      <c r="P886" s="152" t="s">
        <v>2705</v>
      </c>
      <c r="Q886" s="152" t="s">
        <v>2398</v>
      </c>
      <c r="R886" s="152" t="s">
        <v>2675</v>
      </c>
      <c r="S886" s="152" t="s">
        <v>2397</v>
      </c>
      <c r="T886" s="152" t="s">
        <v>1435</v>
      </c>
      <c r="U886" s="152" t="s">
        <v>2675</v>
      </c>
    </row>
    <row r="887" spans="1:21" s="142" customFormat="1" ht="12.75" customHeight="1" x14ac:dyDescent="0.2">
      <c r="A887" s="151" t="s">
        <v>7760</v>
      </c>
      <c r="B887" s="152" t="s">
        <v>2675</v>
      </c>
      <c r="C887" s="152" t="s">
        <v>2705</v>
      </c>
      <c r="D887" s="152" t="s">
        <v>1435</v>
      </c>
      <c r="E887" s="152" t="s">
        <v>2705</v>
      </c>
      <c r="F887" s="152" t="s">
        <v>2397</v>
      </c>
      <c r="G887" s="152" t="s">
        <v>2705</v>
      </c>
      <c r="H887" s="152" t="s">
        <v>1435</v>
      </c>
      <c r="I887" s="152" t="s">
        <v>2675</v>
      </c>
      <c r="J887" s="152" t="s">
        <v>2675</v>
      </c>
      <c r="K887" s="152" t="s">
        <v>1435</v>
      </c>
      <c r="L887" s="152" t="s">
        <v>1435</v>
      </c>
      <c r="M887" s="152" t="s">
        <v>2705</v>
      </c>
      <c r="N887" s="152" t="s">
        <v>2705</v>
      </c>
      <c r="O887" s="152" t="s">
        <v>2397</v>
      </c>
      <c r="P887" s="152" t="s">
        <v>1435</v>
      </c>
      <c r="Q887" s="152" t="s">
        <v>2705</v>
      </c>
      <c r="R887" s="152" t="s">
        <v>1435</v>
      </c>
      <c r="S887" s="152" t="s">
        <v>2675</v>
      </c>
      <c r="T887" s="152" t="s">
        <v>1435</v>
      </c>
      <c r="U887" s="152" t="s">
        <v>2705</v>
      </c>
    </row>
    <row r="888" spans="1:21" s="142" customFormat="1" ht="12.75" x14ac:dyDescent="0.2">
      <c r="A888" s="151"/>
      <c r="B888" s="152" t="s">
        <v>2675</v>
      </c>
      <c r="C888" s="152" t="s">
        <v>2675</v>
      </c>
      <c r="D888" s="152" t="s">
        <v>2675</v>
      </c>
      <c r="E888" s="152" t="s">
        <v>2398</v>
      </c>
      <c r="F888" s="152" t="s">
        <v>2398</v>
      </c>
      <c r="G888" s="152" t="s">
        <v>1435</v>
      </c>
      <c r="H888" s="152" t="s">
        <v>2397</v>
      </c>
      <c r="I888" s="152" t="s">
        <v>1435</v>
      </c>
      <c r="J888" s="152" t="s">
        <v>2397</v>
      </c>
      <c r="K888" s="152" t="s">
        <v>1435</v>
      </c>
      <c r="L888" s="152" t="s">
        <v>2705</v>
      </c>
      <c r="M888" s="152" t="s">
        <v>2705</v>
      </c>
      <c r="N888" s="152" t="s">
        <v>2705</v>
      </c>
      <c r="O888" s="152" t="s">
        <v>2398</v>
      </c>
      <c r="P888" s="152" t="s">
        <v>2705</v>
      </c>
      <c r="Q888" s="152" t="s">
        <v>2675</v>
      </c>
      <c r="R888" s="152" t="s">
        <v>2705</v>
      </c>
      <c r="S888" s="152" t="s">
        <v>2705</v>
      </c>
      <c r="T888" s="152" t="s">
        <v>2705</v>
      </c>
      <c r="U888" s="152" t="s">
        <v>1435</v>
      </c>
    </row>
    <row r="889" spans="1:21" s="142" customFormat="1" ht="12.75" customHeight="1" x14ac:dyDescent="0.2">
      <c r="A889" s="151" t="s">
        <v>7761</v>
      </c>
      <c r="B889" s="152" t="s">
        <v>2705</v>
      </c>
      <c r="C889" s="152" t="s">
        <v>2398</v>
      </c>
      <c r="D889" s="152" t="s">
        <v>2398</v>
      </c>
      <c r="E889" s="152" t="s">
        <v>2705</v>
      </c>
      <c r="F889" s="152" t="s">
        <v>2705</v>
      </c>
      <c r="G889" s="152" t="s">
        <v>2398</v>
      </c>
      <c r="H889" s="152" t="s">
        <v>2705</v>
      </c>
      <c r="I889" s="152" t="s">
        <v>2398</v>
      </c>
      <c r="J889" s="152" t="s">
        <v>2675</v>
      </c>
      <c r="K889" s="152" t="s">
        <v>2398</v>
      </c>
      <c r="L889" s="152" t="s">
        <v>2705</v>
      </c>
      <c r="M889" s="152" t="s">
        <v>2398</v>
      </c>
      <c r="N889" s="152" t="s">
        <v>2705</v>
      </c>
      <c r="O889" s="152" t="s">
        <v>2705</v>
      </c>
      <c r="P889" s="152" t="s">
        <v>2705</v>
      </c>
      <c r="Q889" s="152" t="s">
        <v>2705</v>
      </c>
      <c r="R889" s="152" t="s">
        <v>2705</v>
      </c>
      <c r="S889" s="152" t="s">
        <v>2705</v>
      </c>
      <c r="T889" s="152" t="s">
        <v>2705</v>
      </c>
      <c r="U889" s="152" t="s">
        <v>2705</v>
      </c>
    </row>
    <row r="890" spans="1:21" s="142" customFormat="1" ht="12.75" x14ac:dyDescent="0.2">
      <c r="A890" s="151"/>
      <c r="B890" s="152" t="s">
        <v>2398</v>
      </c>
      <c r="C890" s="152" t="s">
        <v>2397</v>
      </c>
      <c r="D890" s="152" t="s">
        <v>2705</v>
      </c>
      <c r="E890" s="152" t="s">
        <v>2705</v>
      </c>
      <c r="F890" s="152" t="s">
        <v>2398</v>
      </c>
      <c r="G890" s="152" t="s">
        <v>1435</v>
      </c>
      <c r="H890" s="152" t="s">
        <v>2705</v>
      </c>
      <c r="I890" s="152" t="s">
        <v>2705</v>
      </c>
      <c r="J890" s="152" t="s">
        <v>2398</v>
      </c>
      <c r="K890" s="152" t="s">
        <v>2705</v>
      </c>
      <c r="L890" s="152" t="s">
        <v>2398</v>
      </c>
      <c r="M890" s="152" t="s">
        <v>2705</v>
      </c>
      <c r="N890" s="152" t="s">
        <v>2705</v>
      </c>
      <c r="O890" s="152" t="s">
        <v>2705</v>
      </c>
      <c r="P890" s="152" t="s">
        <v>2398</v>
      </c>
      <c r="Q890" s="152" t="s">
        <v>2398</v>
      </c>
      <c r="R890" s="152" t="s">
        <v>2705</v>
      </c>
      <c r="S890" s="152" t="s">
        <v>2705</v>
      </c>
      <c r="T890" s="152" t="s">
        <v>2398</v>
      </c>
      <c r="U890" s="152" t="s">
        <v>2705</v>
      </c>
    </row>
    <row r="891" spans="1:21" s="142" customFormat="1" ht="12.75" customHeight="1" x14ac:dyDescent="0.2">
      <c r="A891" s="151" t="s">
        <v>7762</v>
      </c>
      <c r="B891" s="152" t="s">
        <v>2705</v>
      </c>
      <c r="C891" s="152" t="s">
        <v>2675</v>
      </c>
      <c r="D891" s="152" t="s">
        <v>2705</v>
      </c>
      <c r="E891" s="152" t="s">
        <v>1435</v>
      </c>
      <c r="F891" s="152" t="s">
        <v>2397</v>
      </c>
      <c r="G891" s="152" t="s">
        <v>2705</v>
      </c>
      <c r="H891" s="152" t="s">
        <v>2398</v>
      </c>
      <c r="I891" s="152" t="s">
        <v>2705</v>
      </c>
      <c r="J891" s="152" t="s">
        <v>2675</v>
      </c>
      <c r="K891" s="152" t="s">
        <v>2705</v>
      </c>
      <c r="L891" s="152" t="s">
        <v>2398</v>
      </c>
      <c r="M891" s="152" t="s">
        <v>2705</v>
      </c>
      <c r="N891" s="152" t="s">
        <v>2398</v>
      </c>
      <c r="O891" s="152" t="s">
        <v>2398</v>
      </c>
      <c r="P891" s="152" t="s">
        <v>2398</v>
      </c>
      <c r="Q891" s="152" t="s">
        <v>2705</v>
      </c>
      <c r="R891" s="152" t="s">
        <v>2398</v>
      </c>
      <c r="S891" s="152" t="s">
        <v>2705</v>
      </c>
      <c r="T891" s="152" t="s">
        <v>2398</v>
      </c>
      <c r="U891" s="152" t="s">
        <v>2705</v>
      </c>
    </row>
    <row r="892" spans="1:21" s="142" customFormat="1" ht="12.75" x14ac:dyDescent="0.2">
      <c r="A892" s="151"/>
      <c r="B892" s="152" t="s">
        <v>2398</v>
      </c>
      <c r="C892" s="152" t="s">
        <v>2675</v>
      </c>
      <c r="D892" s="152" t="s">
        <v>2398</v>
      </c>
      <c r="E892" s="152" t="s">
        <v>1435</v>
      </c>
      <c r="F892" s="152" t="s">
        <v>2705</v>
      </c>
      <c r="G892" s="152" t="s">
        <v>2675</v>
      </c>
      <c r="H892" s="152" t="s">
        <v>2398</v>
      </c>
      <c r="I892" s="152" t="s">
        <v>1435</v>
      </c>
      <c r="J892" s="152" t="s">
        <v>2398</v>
      </c>
      <c r="K892" s="152" t="s">
        <v>2705</v>
      </c>
      <c r="L892" s="152" t="s">
        <v>2705</v>
      </c>
      <c r="M892" s="152" t="s">
        <v>2398</v>
      </c>
      <c r="N892" s="152" t="s">
        <v>2705</v>
      </c>
      <c r="O892" s="152" t="s">
        <v>2398</v>
      </c>
      <c r="P892" s="152" t="s">
        <v>2705</v>
      </c>
      <c r="Q892" s="152" t="s">
        <v>2705</v>
      </c>
      <c r="R892" s="152" t="s">
        <v>2705</v>
      </c>
      <c r="S892" s="152" t="s">
        <v>2705</v>
      </c>
      <c r="T892" s="152" t="s">
        <v>2398</v>
      </c>
      <c r="U892" s="152" t="s">
        <v>2398</v>
      </c>
    </row>
    <row r="893" spans="1:21" s="142" customFormat="1" ht="12.75" customHeight="1" x14ac:dyDescent="0.2">
      <c r="A893" s="151" t="s">
        <v>7763</v>
      </c>
      <c r="B893" s="152" t="s">
        <v>2705</v>
      </c>
      <c r="C893" s="152" t="s">
        <v>2705</v>
      </c>
      <c r="D893" s="152" t="s">
        <v>2705</v>
      </c>
      <c r="E893" s="152" t="s">
        <v>2398</v>
      </c>
      <c r="F893" s="152" t="s">
        <v>2398</v>
      </c>
      <c r="G893" s="152" t="s">
        <v>1435</v>
      </c>
      <c r="H893" s="152" t="s">
        <v>2705</v>
      </c>
      <c r="I893" s="152" t="s">
        <v>2397</v>
      </c>
      <c r="J893" s="152" t="s">
        <v>2705</v>
      </c>
      <c r="K893" s="152" t="s">
        <v>1435</v>
      </c>
      <c r="L893" s="152" t="s">
        <v>2705</v>
      </c>
      <c r="M893" s="152" t="s">
        <v>1435</v>
      </c>
      <c r="N893" s="152" t="s">
        <v>2705</v>
      </c>
      <c r="O893" s="152" t="s">
        <v>2705</v>
      </c>
      <c r="P893" s="152" t="s">
        <v>2397</v>
      </c>
      <c r="Q893" s="152" t="s">
        <v>2705</v>
      </c>
      <c r="R893" s="152" t="s">
        <v>2675</v>
      </c>
      <c r="S893" s="152" t="s">
        <v>2675</v>
      </c>
      <c r="T893" s="152" t="s">
        <v>2705</v>
      </c>
      <c r="U893" s="152" t="s">
        <v>2398</v>
      </c>
    </row>
    <row r="894" spans="1:21" s="142" customFormat="1" ht="12.75" x14ac:dyDescent="0.2">
      <c r="A894" s="151"/>
      <c r="B894" s="152" t="s">
        <v>2398</v>
      </c>
      <c r="C894" s="152" t="s">
        <v>2397</v>
      </c>
      <c r="D894" s="152" t="s">
        <v>1435</v>
      </c>
      <c r="E894" s="152" t="s">
        <v>2675</v>
      </c>
      <c r="F894" s="152" t="s">
        <v>2705</v>
      </c>
      <c r="G894" s="152" t="s">
        <v>2705</v>
      </c>
      <c r="H894" s="152" t="s">
        <v>1435</v>
      </c>
      <c r="I894" s="152" t="s">
        <v>2705</v>
      </c>
      <c r="J894" s="152" t="s">
        <v>2397</v>
      </c>
      <c r="K894" s="152" t="s">
        <v>2675</v>
      </c>
      <c r="L894" s="152" t="s">
        <v>2397</v>
      </c>
      <c r="M894" s="152" t="s">
        <v>2675</v>
      </c>
      <c r="N894" s="152" t="s">
        <v>2397</v>
      </c>
      <c r="O894" s="152" t="s">
        <v>2705</v>
      </c>
      <c r="P894" s="152" t="s">
        <v>2398</v>
      </c>
      <c r="Q894" s="152" t="s">
        <v>2705</v>
      </c>
      <c r="R894" s="152" t="s">
        <v>1435</v>
      </c>
      <c r="S894" s="152" t="s">
        <v>2397</v>
      </c>
      <c r="T894" s="152" t="s">
        <v>2705</v>
      </c>
      <c r="U894" s="152" t="s">
        <v>2705</v>
      </c>
    </row>
    <row r="895" spans="1:21" s="142" customFormat="1" ht="12.75" customHeight="1" x14ac:dyDescent="0.2">
      <c r="A895" s="151" t="s">
        <v>7764</v>
      </c>
      <c r="B895" s="152" t="s">
        <v>2705</v>
      </c>
      <c r="C895" s="152" t="s">
        <v>2398</v>
      </c>
      <c r="D895" s="152" t="s">
        <v>2398</v>
      </c>
      <c r="E895" s="152" t="s">
        <v>2675</v>
      </c>
      <c r="F895" s="152" t="s">
        <v>2398</v>
      </c>
      <c r="G895" s="152" t="s">
        <v>2398</v>
      </c>
      <c r="H895" s="152" t="s">
        <v>2705</v>
      </c>
      <c r="I895" s="152" t="s">
        <v>2675</v>
      </c>
      <c r="J895" s="152" t="s">
        <v>2705</v>
      </c>
      <c r="K895" s="152" t="s">
        <v>1435</v>
      </c>
      <c r="L895" s="152" t="s">
        <v>2705</v>
      </c>
      <c r="M895" s="152" t="s">
        <v>2705</v>
      </c>
      <c r="N895" s="152" t="s">
        <v>2398</v>
      </c>
      <c r="O895" s="152" t="s">
        <v>2705</v>
      </c>
      <c r="P895" s="152" t="s">
        <v>2398</v>
      </c>
      <c r="Q895" s="152" t="s">
        <v>1435</v>
      </c>
      <c r="R895" s="152" t="s">
        <v>2398</v>
      </c>
      <c r="S895" s="152" t="s">
        <v>2398</v>
      </c>
      <c r="T895" s="152" t="s">
        <v>2398</v>
      </c>
      <c r="U895" s="152" t="s">
        <v>2398</v>
      </c>
    </row>
    <row r="896" spans="1:21" s="142" customFormat="1" ht="12.75" x14ac:dyDescent="0.2">
      <c r="A896" s="151"/>
      <c r="B896" s="152" t="s">
        <v>2398</v>
      </c>
      <c r="C896" s="152" t="s">
        <v>2705</v>
      </c>
      <c r="D896" s="152" t="s">
        <v>2398</v>
      </c>
      <c r="E896" s="152" t="s">
        <v>2705</v>
      </c>
      <c r="F896" s="152" t="s">
        <v>2705</v>
      </c>
      <c r="G896" s="152" t="s">
        <v>2398</v>
      </c>
      <c r="H896" s="152" t="s">
        <v>2705</v>
      </c>
      <c r="I896" s="152" t="s">
        <v>2705</v>
      </c>
      <c r="J896" s="152" t="s">
        <v>2675</v>
      </c>
      <c r="K896" s="152" t="s">
        <v>2398</v>
      </c>
      <c r="L896" s="152" t="s">
        <v>2705</v>
      </c>
      <c r="M896" s="152" t="s">
        <v>2705</v>
      </c>
      <c r="N896" s="152" t="s">
        <v>2398</v>
      </c>
      <c r="O896" s="152" t="s">
        <v>2705</v>
      </c>
      <c r="P896" s="152" t="s">
        <v>2705</v>
      </c>
      <c r="Q896" s="152" t="s">
        <v>2398</v>
      </c>
      <c r="R896" s="152" t="s">
        <v>2398</v>
      </c>
      <c r="S896" s="152" t="s">
        <v>2705</v>
      </c>
      <c r="T896" s="152" t="s">
        <v>2705</v>
      </c>
      <c r="U896" s="152" t="s">
        <v>2398</v>
      </c>
    </row>
    <row r="897" spans="1:21" s="142" customFormat="1" ht="12.75" customHeight="1" x14ac:dyDescent="0.2">
      <c r="A897" s="151" t="s">
        <v>7765</v>
      </c>
      <c r="B897" s="152" t="s">
        <v>2398</v>
      </c>
      <c r="C897" s="152" t="s">
        <v>2675</v>
      </c>
      <c r="D897" s="152" t="s">
        <v>2705</v>
      </c>
      <c r="E897" s="152" t="s">
        <v>2705</v>
      </c>
      <c r="F897" s="152" t="s">
        <v>1435</v>
      </c>
      <c r="G897" s="152" t="s">
        <v>2398</v>
      </c>
      <c r="H897" s="152" t="s">
        <v>2675</v>
      </c>
      <c r="I897" s="152" t="s">
        <v>2398</v>
      </c>
      <c r="J897" s="152" t="s">
        <v>2675</v>
      </c>
      <c r="K897" s="152" t="s">
        <v>2397</v>
      </c>
      <c r="L897" s="152" t="s">
        <v>2675</v>
      </c>
      <c r="M897" s="152" t="s">
        <v>1435</v>
      </c>
      <c r="N897" s="152" t="s">
        <v>2675</v>
      </c>
      <c r="O897" s="152" t="s">
        <v>2705</v>
      </c>
      <c r="P897" s="152" t="s">
        <v>1435</v>
      </c>
      <c r="Q897" s="152" t="s">
        <v>2675</v>
      </c>
      <c r="R897" s="152" t="s">
        <v>2398</v>
      </c>
      <c r="S897" s="152" t="s">
        <v>2398</v>
      </c>
      <c r="T897" s="152" t="s">
        <v>2398</v>
      </c>
      <c r="U897" s="152" t="s">
        <v>2705</v>
      </c>
    </row>
    <row r="898" spans="1:21" s="142" customFormat="1" ht="12.75" x14ac:dyDescent="0.2">
      <c r="A898" s="151"/>
      <c r="B898" s="152" t="s">
        <v>1435</v>
      </c>
      <c r="C898" s="152" t="s">
        <v>2397</v>
      </c>
      <c r="D898" s="152" t="s">
        <v>1435</v>
      </c>
      <c r="E898" s="152" t="s">
        <v>2675</v>
      </c>
      <c r="F898" s="152" t="s">
        <v>2705</v>
      </c>
      <c r="G898" s="152" t="s">
        <v>2398</v>
      </c>
      <c r="H898" s="152" t="s">
        <v>2705</v>
      </c>
      <c r="I898" s="152" t="s">
        <v>1435</v>
      </c>
      <c r="J898" s="152" t="s">
        <v>2398</v>
      </c>
      <c r="K898" s="152" t="s">
        <v>2705</v>
      </c>
      <c r="L898" s="152" t="s">
        <v>2398</v>
      </c>
      <c r="M898" s="152" t="s">
        <v>2398</v>
      </c>
      <c r="N898" s="152" t="s">
        <v>2705</v>
      </c>
      <c r="O898" s="152" t="s">
        <v>2398</v>
      </c>
      <c r="P898" s="152" t="s">
        <v>2705</v>
      </c>
      <c r="Q898" s="152" t="s">
        <v>1435</v>
      </c>
      <c r="R898" s="152" t="s">
        <v>2398</v>
      </c>
      <c r="S898" s="152" t="s">
        <v>2398</v>
      </c>
      <c r="T898" s="152" t="s">
        <v>2705</v>
      </c>
      <c r="U898" s="152" t="s">
        <v>2398</v>
      </c>
    </row>
    <row r="899" spans="1:21" s="142" customFormat="1" ht="12.75" customHeight="1" x14ac:dyDescent="0.2">
      <c r="A899" s="151" t="s">
        <v>7766</v>
      </c>
      <c r="B899" s="152" t="s">
        <v>2398</v>
      </c>
      <c r="C899" s="152" t="s">
        <v>2705</v>
      </c>
      <c r="D899" s="152" t="s">
        <v>2398</v>
      </c>
      <c r="E899" s="152" t="s">
        <v>2705</v>
      </c>
      <c r="F899" s="152" t="s">
        <v>2398</v>
      </c>
      <c r="G899" s="152" t="s">
        <v>2398</v>
      </c>
      <c r="H899" s="152" t="s">
        <v>2675</v>
      </c>
      <c r="I899" s="152" t="s">
        <v>2398</v>
      </c>
      <c r="J899" s="152" t="s">
        <v>2705</v>
      </c>
      <c r="K899" s="152" t="s">
        <v>2398</v>
      </c>
      <c r="L899" s="152" t="s">
        <v>2398</v>
      </c>
      <c r="M899" s="152" t="s">
        <v>2705</v>
      </c>
      <c r="N899" s="152" t="s">
        <v>2675</v>
      </c>
      <c r="O899" s="152" t="s">
        <v>1435</v>
      </c>
      <c r="P899" s="152" t="s">
        <v>2398</v>
      </c>
      <c r="Q899" s="152" t="s">
        <v>2705</v>
      </c>
      <c r="R899" s="152" t="s">
        <v>2705</v>
      </c>
      <c r="S899" s="152" t="s">
        <v>2705</v>
      </c>
      <c r="T899" s="152" t="s">
        <v>2398</v>
      </c>
      <c r="U899" s="152" t="s">
        <v>2705</v>
      </c>
    </row>
    <row r="900" spans="1:21" s="142" customFormat="1" ht="12.75" x14ac:dyDescent="0.2">
      <c r="A900" s="151"/>
      <c r="B900" s="152" t="s">
        <v>2398</v>
      </c>
      <c r="C900" s="152" t="s">
        <v>2397</v>
      </c>
      <c r="D900" s="152" t="s">
        <v>1435</v>
      </c>
      <c r="E900" s="152" t="s">
        <v>2705</v>
      </c>
      <c r="F900" s="152" t="s">
        <v>2398</v>
      </c>
      <c r="G900" s="152" t="s">
        <v>2705</v>
      </c>
      <c r="H900" s="152" t="s">
        <v>2705</v>
      </c>
      <c r="I900" s="152" t="s">
        <v>2675</v>
      </c>
      <c r="J900" s="152" t="s">
        <v>2398</v>
      </c>
      <c r="K900" s="152" t="s">
        <v>2705</v>
      </c>
      <c r="L900" s="152" t="s">
        <v>2398</v>
      </c>
      <c r="M900" s="152" t="s">
        <v>2397</v>
      </c>
      <c r="N900" s="152" t="s">
        <v>2705</v>
      </c>
      <c r="O900" s="152" t="s">
        <v>2705</v>
      </c>
      <c r="P900" s="152" t="s">
        <v>2398</v>
      </c>
      <c r="Q900" s="152" t="s">
        <v>2705</v>
      </c>
      <c r="R900" s="152" t="s">
        <v>2705</v>
      </c>
      <c r="S900" s="152" t="s">
        <v>2705</v>
      </c>
      <c r="T900" s="152" t="s">
        <v>2705</v>
      </c>
      <c r="U900" s="152" t="s">
        <v>2705</v>
      </c>
    </row>
    <row r="901" spans="1:21" s="142" customFormat="1" ht="12.75" customHeight="1" x14ac:dyDescent="0.2">
      <c r="A901" s="151" t="s">
        <v>7767</v>
      </c>
      <c r="B901" s="152" t="s">
        <v>2705</v>
      </c>
      <c r="C901" s="152" t="s">
        <v>2398</v>
      </c>
      <c r="D901" s="152" t="s">
        <v>2397</v>
      </c>
      <c r="E901" s="152" t="s">
        <v>2398</v>
      </c>
      <c r="F901" s="152" t="s">
        <v>1435</v>
      </c>
      <c r="G901" s="152" t="s">
        <v>2705</v>
      </c>
      <c r="H901" s="152" t="s">
        <v>2398</v>
      </c>
      <c r="I901" s="152" t="s">
        <v>2398</v>
      </c>
      <c r="J901" s="152" t="s">
        <v>2398</v>
      </c>
      <c r="K901" s="152" t="s">
        <v>2705</v>
      </c>
      <c r="L901" s="152" t="s">
        <v>2705</v>
      </c>
      <c r="M901" s="152" t="s">
        <v>2705</v>
      </c>
      <c r="N901" s="152" t="s">
        <v>2398</v>
      </c>
      <c r="O901" s="152" t="s">
        <v>2705</v>
      </c>
      <c r="P901" s="152" t="s">
        <v>2705</v>
      </c>
      <c r="Q901" s="152" t="s">
        <v>2398</v>
      </c>
      <c r="R901" s="152" t="s">
        <v>2397</v>
      </c>
      <c r="S901" s="152" t="s">
        <v>2398</v>
      </c>
      <c r="T901" s="152" t="s">
        <v>2398</v>
      </c>
      <c r="U901" s="152" t="s">
        <v>2705</v>
      </c>
    </row>
    <row r="902" spans="1:21" s="142" customFormat="1" ht="12.75" x14ac:dyDescent="0.2">
      <c r="A902" s="151"/>
      <c r="B902" s="152" t="s">
        <v>2398</v>
      </c>
      <c r="C902" s="152" t="s">
        <v>2705</v>
      </c>
      <c r="D902" s="152" t="s">
        <v>2705</v>
      </c>
      <c r="E902" s="152" t="s">
        <v>2398</v>
      </c>
      <c r="F902" s="152" t="s">
        <v>2398</v>
      </c>
      <c r="G902" s="152" t="s">
        <v>2398</v>
      </c>
      <c r="H902" s="152" t="s">
        <v>2705</v>
      </c>
      <c r="I902" s="152" t="s">
        <v>2705</v>
      </c>
      <c r="J902" s="152" t="s">
        <v>2705</v>
      </c>
      <c r="K902" s="152" t="s">
        <v>2705</v>
      </c>
      <c r="L902" s="152" t="s">
        <v>2398</v>
      </c>
      <c r="M902" s="152" t="s">
        <v>2705</v>
      </c>
      <c r="N902" s="152" t="s">
        <v>2398</v>
      </c>
      <c r="O902" s="152" t="s">
        <v>2705</v>
      </c>
      <c r="P902" s="152" t="s">
        <v>2705</v>
      </c>
      <c r="Q902" s="152" t="s">
        <v>2705</v>
      </c>
      <c r="R902" s="152" t="s">
        <v>2398</v>
      </c>
      <c r="S902" s="152" t="s">
        <v>2705</v>
      </c>
      <c r="T902" s="152" t="s">
        <v>2398</v>
      </c>
      <c r="U902" s="152" t="s">
        <v>2398</v>
      </c>
    </row>
    <row r="903" spans="1:21" s="142" customFormat="1" ht="12.75" customHeight="1" x14ac:dyDescent="0.2">
      <c r="A903" s="151" t="s">
        <v>7768</v>
      </c>
      <c r="B903" s="152" t="s">
        <v>2705</v>
      </c>
      <c r="C903" s="152" t="s">
        <v>2705</v>
      </c>
      <c r="D903" s="152" t="s">
        <v>2705</v>
      </c>
      <c r="E903" s="152" t="s">
        <v>2705</v>
      </c>
      <c r="F903" s="152" t="s">
        <v>2398</v>
      </c>
      <c r="G903" s="152" t="s">
        <v>2705</v>
      </c>
      <c r="H903" s="152" t="s">
        <v>2705</v>
      </c>
      <c r="I903" s="152" t="s">
        <v>1435</v>
      </c>
      <c r="J903" s="152" t="s">
        <v>2705</v>
      </c>
      <c r="K903" s="152" t="s">
        <v>2705</v>
      </c>
      <c r="L903" s="152" t="s">
        <v>2705</v>
      </c>
      <c r="M903" s="152" t="s">
        <v>2705</v>
      </c>
      <c r="N903" s="152" t="s">
        <v>2705</v>
      </c>
      <c r="O903" s="152" t="s">
        <v>2398</v>
      </c>
      <c r="P903" s="152" t="s">
        <v>2675</v>
      </c>
      <c r="Q903" s="152" t="s">
        <v>2398</v>
      </c>
      <c r="R903" s="152" t="s">
        <v>2705</v>
      </c>
      <c r="S903" s="152" t="s">
        <v>2705</v>
      </c>
      <c r="T903" s="152" t="s">
        <v>2705</v>
      </c>
      <c r="U903" s="152" t="s">
        <v>2705</v>
      </c>
    </row>
    <row r="904" spans="1:21" s="142" customFormat="1" ht="12.75" x14ac:dyDescent="0.2">
      <c r="A904" s="151"/>
      <c r="B904" s="152" t="s">
        <v>2705</v>
      </c>
      <c r="C904" s="152" t="s">
        <v>2705</v>
      </c>
      <c r="D904" s="152" t="s">
        <v>2705</v>
      </c>
      <c r="E904" s="152" t="s">
        <v>2705</v>
      </c>
      <c r="F904" s="152" t="s">
        <v>2705</v>
      </c>
      <c r="G904" s="152" t="s">
        <v>2705</v>
      </c>
      <c r="H904" s="152" t="s">
        <v>2705</v>
      </c>
      <c r="I904" s="152" t="s">
        <v>2705</v>
      </c>
      <c r="J904" s="152" t="s">
        <v>2705</v>
      </c>
      <c r="K904" s="152" t="s">
        <v>2705</v>
      </c>
      <c r="L904" s="152" t="s">
        <v>2398</v>
      </c>
      <c r="M904" s="152" t="s">
        <v>2675</v>
      </c>
      <c r="N904" s="152" t="s">
        <v>2705</v>
      </c>
      <c r="O904" s="152" t="s">
        <v>2705</v>
      </c>
      <c r="P904" s="152" t="s">
        <v>2705</v>
      </c>
      <c r="Q904" s="152" t="s">
        <v>2705</v>
      </c>
      <c r="R904" s="152" t="s">
        <v>2397</v>
      </c>
      <c r="S904" s="152" t="s">
        <v>2398</v>
      </c>
      <c r="T904" s="152" t="s">
        <v>2705</v>
      </c>
      <c r="U904" s="152" t="s">
        <v>2705</v>
      </c>
    </row>
    <row r="905" spans="1:21" s="142" customFormat="1" ht="12.75" customHeight="1" x14ac:dyDescent="0.2">
      <c r="A905" s="151" t="s">
        <v>7769</v>
      </c>
      <c r="B905" s="152" t="s">
        <v>2398</v>
      </c>
      <c r="C905" s="152" t="s">
        <v>2705</v>
      </c>
      <c r="D905" s="152" t="s">
        <v>2705</v>
      </c>
      <c r="E905" s="152" t="s">
        <v>2705</v>
      </c>
      <c r="F905" s="152" t="s">
        <v>2705</v>
      </c>
      <c r="G905" s="152" t="s">
        <v>2398</v>
      </c>
      <c r="H905" s="152" t="s">
        <v>2705</v>
      </c>
      <c r="I905" s="152" t="s">
        <v>2398</v>
      </c>
      <c r="J905" s="152" t="s">
        <v>2705</v>
      </c>
      <c r="K905" s="152" t="s">
        <v>2398</v>
      </c>
      <c r="L905" s="152" t="s">
        <v>2705</v>
      </c>
      <c r="M905" s="152" t="s">
        <v>2398</v>
      </c>
      <c r="N905" s="152" t="s">
        <v>2675</v>
      </c>
      <c r="O905" s="152" t="s">
        <v>2705</v>
      </c>
      <c r="P905" s="152" t="s">
        <v>2675</v>
      </c>
      <c r="Q905" s="152" t="s">
        <v>2705</v>
      </c>
      <c r="R905" s="152" t="s">
        <v>2705</v>
      </c>
      <c r="S905" s="152" t="s">
        <v>2397</v>
      </c>
      <c r="T905" s="152" t="s">
        <v>2398</v>
      </c>
      <c r="U905" s="152" t="s">
        <v>2675</v>
      </c>
    </row>
    <row r="906" spans="1:21" s="142" customFormat="1" ht="12.75" x14ac:dyDescent="0.2">
      <c r="A906" s="151"/>
      <c r="B906" s="152" t="s">
        <v>2705</v>
      </c>
      <c r="C906" s="152" t="s">
        <v>2705</v>
      </c>
      <c r="D906" s="152" t="s">
        <v>2705</v>
      </c>
      <c r="E906" s="152" t="s">
        <v>2398</v>
      </c>
      <c r="F906" s="152" t="s">
        <v>2675</v>
      </c>
      <c r="G906" s="152" t="s">
        <v>2705</v>
      </c>
      <c r="H906" s="152" t="s">
        <v>2705</v>
      </c>
      <c r="I906" s="152" t="s">
        <v>2397</v>
      </c>
      <c r="J906" s="152" t="s">
        <v>2705</v>
      </c>
      <c r="K906" s="152" t="s">
        <v>2398</v>
      </c>
      <c r="L906" s="152" t="s">
        <v>2705</v>
      </c>
      <c r="M906" s="152" t="s">
        <v>2705</v>
      </c>
      <c r="N906" s="152" t="s">
        <v>2675</v>
      </c>
      <c r="O906" s="152" t="s">
        <v>2705</v>
      </c>
      <c r="P906" s="152" t="s">
        <v>2705</v>
      </c>
      <c r="Q906" s="152" t="s">
        <v>1435</v>
      </c>
      <c r="R906" s="152" t="s">
        <v>2398</v>
      </c>
      <c r="S906" s="152" t="s">
        <v>2397</v>
      </c>
      <c r="T906" s="152" t="s">
        <v>2397</v>
      </c>
      <c r="U906" s="152" t="s">
        <v>2675</v>
      </c>
    </row>
    <row r="907" spans="1:21" s="142" customFormat="1" ht="12.75" customHeight="1" x14ac:dyDescent="0.2">
      <c r="A907" s="151" t="s">
        <v>7770</v>
      </c>
      <c r="B907" s="152" t="s">
        <v>2397</v>
      </c>
      <c r="C907" s="152" t="s">
        <v>2398</v>
      </c>
      <c r="D907" s="152" t="s">
        <v>2397</v>
      </c>
      <c r="E907" s="152" t="s">
        <v>2705</v>
      </c>
      <c r="F907" s="152" t="s">
        <v>2675</v>
      </c>
      <c r="G907" s="152" t="s">
        <v>2705</v>
      </c>
      <c r="H907" s="152" t="s">
        <v>2705</v>
      </c>
      <c r="I907" s="152" t="s">
        <v>2397</v>
      </c>
      <c r="J907" s="152" t="s">
        <v>2705</v>
      </c>
      <c r="K907" s="152" t="s">
        <v>2398</v>
      </c>
      <c r="L907" s="152" t="s">
        <v>2398</v>
      </c>
      <c r="M907" s="152" t="s">
        <v>2705</v>
      </c>
      <c r="N907" s="152" t="s">
        <v>2398</v>
      </c>
      <c r="O907" s="152" t="s">
        <v>2398</v>
      </c>
      <c r="P907" s="152" t="s">
        <v>2398</v>
      </c>
      <c r="Q907" s="152" t="s">
        <v>2398</v>
      </c>
      <c r="R907" s="152" t="s">
        <v>2398</v>
      </c>
      <c r="S907" s="152" t="s">
        <v>2705</v>
      </c>
      <c r="T907" s="152" t="s">
        <v>2398</v>
      </c>
      <c r="U907" s="152" t="s">
        <v>2705</v>
      </c>
    </row>
    <row r="908" spans="1:21" s="142" customFormat="1" ht="12.75" x14ac:dyDescent="0.2">
      <c r="A908" s="151"/>
      <c r="B908" s="152" t="s">
        <v>2398</v>
      </c>
      <c r="C908" s="152" t="s">
        <v>2675</v>
      </c>
      <c r="D908" s="152" t="s">
        <v>2398</v>
      </c>
      <c r="E908" s="152" t="s">
        <v>2675</v>
      </c>
      <c r="F908" s="152" t="s">
        <v>2398</v>
      </c>
      <c r="G908" s="152" t="s">
        <v>2675</v>
      </c>
      <c r="H908" s="152" t="s">
        <v>2398</v>
      </c>
      <c r="I908" s="152" t="s">
        <v>1435</v>
      </c>
      <c r="J908" s="152" t="s">
        <v>2398</v>
      </c>
      <c r="K908" s="152" t="s">
        <v>2705</v>
      </c>
      <c r="L908" s="152" t="s">
        <v>2705</v>
      </c>
      <c r="M908" s="152" t="s">
        <v>2398</v>
      </c>
      <c r="N908" s="152" t="s">
        <v>2705</v>
      </c>
      <c r="O908" s="152" t="s">
        <v>2675</v>
      </c>
      <c r="P908" s="152" t="s">
        <v>2675</v>
      </c>
      <c r="Q908" s="152" t="s">
        <v>1435</v>
      </c>
      <c r="R908" s="152" t="s">
        <v>2398</v>
      </c>
      <c r="S908" s="152" t="s">
        <v>2675</v>
      </c>
      <c r="T908" s="152" t="s">
        <v>2705</v>
      </c>
      <c r="U908" s="152" t="s">
        <v>2398</v>
      </c>
    </row>
    <row r="909" spans="1:21" s="142" customFormat="1" ht="12.75" customHeight="1" x14ac:dyDescent="0.2">
      <c r="A909" s="151" t="s">
        <v>7771</v>
      </c>
      <c r="B909" s="152" t="s">
        <v>2705</v>
      </c>
      <c r="C909" s="152" t="s">
        <v>2705</v>
      </c>
      <c r="D909" s="152" t="s">
        <v>2705</v>
      </c>
      <c r="E909" s="152" t="s">
        <v>1435</v>
      </c>
      <c r="F909" s="152" t="s">
        <v>2705</v>
      </c>
      <c r="G909" s="152" t="s">
        <v>2398</v>
      </c>
      <c r="H909" s="152" t="s">
        <v>1435</v>
      </c>
      <c r="I909" s="152" t="s">
        <v>2397</v>
      </c>
      <c r="J909" s="152" t="s">
        <v>2398</v>
      </c>
      <c r="K909" s="152" t="s">
        <v>2398</v>
      </c>
      <c r="L909" s="152" t="s">
        <v>2705</v>
      </c>
      <c r="M909" s="152" t="s">
        <v>1435</v>
      </c>
      <c r="N909" s="152" t="s">
        <v>1435</v>
      </c>
      <c r="O909" s="152" t="s">
        <v>1435</v>
      </c>
      <c r="P909" s="152" t="s">
        <v>2397</v>
      </c>
      <c r="Q909" s="152" t="s">
        <v>1435</v>
      </c>
      <c r="R909" s="152" t="s">
        <v>2398</v>
      </c>
      <c r="S909" s="152" t="s">
        <v>2705</v>
      </c>
      <c r="T909" s="152" t="s">
        <v>2705</v>
      </c>
      <c r="U909" s="152" t="s">
        <v>2675</v>
      </c>
    </row>
    <row r="910" spans="1:21" s="142" customFormat="1" ht="12.75" x14ac:dyDescent="0.2">
      <c r="A910" s="151"/>
      <c r="B910" s="152" t="s">
        <v>2398</v>
      </c>
      <c r="C910" s="152" t="s">
        <v>2705</v>
      </c>
      <c r="D910" s="152" t="s">
        <v>2705</v>
      </c>
      <c r="E910" s="152" t="s">
        <v>2675</v>
      </c>
      <c r="F910" s="152" t="s">
        <v>2397</v>
      </c>
      <c r="G910" s="152" t="s">
        <v>2705</v>
      </c>
      <c r="H910" s="152" t="s">
        <v>2675</v>
      </c>
      <c r="I910" s="152" t="s">
        <v>2397</v>
      </c>
      <c r="J910" s="152" t="s">
        <v>2675</v>
      </c>
      <c r="K910" s="152" t="s">
        <v>2675</v>
      </c>
      <c r="L910" s="152" t="s">
        <v>2397</v>
      </c>
      <c r="M910" s="152" t="s">
        <v>2398</v>
      </c>
      <c r="N910" s="152" t="s">
        <v>2397</v>
      </c>
      <c r="O910" s="152" t="s">
        <v>2705</v>
      </c>
      <c r="P910" s="152" t="s">
        <v>2705</v>
      </c>
      <c r="Q910" s="152" t="s">
        <v>2705</v>
      </c>
      <c r="R910" s="152" t="s">
        <v>2675</v>
      </c>
      <c r="S910" s="152" t="s">
        <v>1435</v>
      </c>
      <c r="T910" s="152" t="s">
        <v>2705</v>
      </c>
      <c r="U910" s="152" t="s">
        <v>2675</v>
      </c>
    </row>
    <row r="911" spans="1:21" s="142" customFormat="1" ht="12.75" customHeight="1" x14ac:dyDescent="0.2">
      <c r="A911" s="151" t="s">
        <v>7772</v>
      </c>
      <c r="B911" s="152" t="s">
        <v>2398</v>
      </c>
      <c r="C911" s="152" t="s">
        <v>2398</v>
      </c>
      <c r="D911" s="152" t="s">
        <v>2705</v>
      </c>
      <c r="E911" s="152" t="s">
        <v>2398</v>
      </c>
      <c r="F911" s="152" t="s">
        <v>2675</v>
      </c>
      <c r="G911" s="152" t="s">
        <v>2705</v>
      </c>
      <c r="H911" s="152" t="s">
        <v>2705</v>
      </c>
      <c r="I911" s="152" t="s">
        <v>2675</v>
      </c>
      <c r="J911" s="152" t="s">
        <v>1435</v>
      </c>
      <c r="K911" s="152" t="s">
        <v>2705</v>
      </c>
      <c r="L911" s="152" t="s">
        <v>1435</v>
      </c>
      <c r="M911" s="152" t="s">
        <v>2398</v>
      </c>
      <c r="N911" s="152" t="s">
        <v>2705</v>
      </c>
      <c r="O911" s="152" t="s">
        <v>2675</v>
      </c>
      <c r="P911" s="152" t="s">
        <v>2705</v>
      </c>
      <c r="Q911" s="152" t="s">
        <v>2705</v>
      </c>
      <c r="R911" s="152" t="s">
        <v>1435</v>
      </c>
      <c r="S911" s="152" t="s">
        <v>2397</v>
      </c>
      <c r="T911" s="152" t="s">
        <v>1435</v>
      </c>
      <c r="U911" s="152" t="s">
        <v>2675</v>
      </c>
    </row>
    <row r="912" spans="1:21" s="142" customFormat="1" ht="12.75" x14ac:dyDescent="0.2">
      <c r="A912" s="151"/>
      <c r="B912" s="152" t="s">
        <v>2675</v>
      </c>
      <c r="C912" s="152" t="s">
        <v>2398</v>
      </c>
      <c r="D912" s="152" t="s">
        <v>2705</v>
      </c>
      <c r="E912" s="152" t="s">
        <v>2675</v>
      </c>
      <c r="F912" s="152" t="s">
        <v>2705</v>
      </c>
      <c r="G912" s="152" t="s">
        <v>2675</v>
      </c>
      <c r="H912" s="152" t="s">
        <v>2397</v>
      </c>
      <c r="I912" s="152" t="s">
        <v>2398</v>
      </c>
      <c r="J912" s="152" t="s">
        <v>1435</v>
      </c>
      <c r="K912" s="152" t="s">
        <v>2398</v>
      </c>
      <c r="L912" s="152" t="s">
        <v>2398</v>
      </c>
      <c r="M912" s="152" t="s">
        <v>2398</v>
      </c>
      <c r="N912" s="152" t="s">
        <v>2705</v>
      </c>
      <c r="O912" s="152" t="s">
        <v>2398</v>
      </c>
      <c r="P912" s="152" t="s">
        <v>2705</v>
      </c>
      <c r="Q912" s="152" t="s">
        <v>2705</v>
      </c>
      <c r="R912" s="152" t="s">
        <v>2398</v>
      </c>
      <c r="S912" s="152" t="s">
        <v>2705</v>
      </c>
      <c r="T912" s="152" t="s">
        <v>2705</v>
      </c>
      <c r="U912" s="152" t="s">
        <v>2398</v>
      </c>
    </row>
    <row r="913" spans="1:21" s="142" customFormat="1" ht="12.75" customHeight="1" x14ac:dyDescent="0.2">
      <c r="A913" s="151" t="s">
        <v>7773</v>
      </c>
      <c r="B913" s="152" t="s">
        <v>1435</v>
      </c>
      <c r="C913" s="152" t="s">
        <v>2398</v>
      </c>
      <c r="D913" s="152" t="s">
        <v>2398</v>
      </c>
      <c r="E913" s="152" t="s">
        <v>2705</v>
      </c>
      <c r="F913" s="152" t="s">
        <v>2397</v>
      </c>
      <c r="G913" s="152" t="s">
        <v>2705</v>
      </c>
      <c r="H913" s="152" t="s">
        <v>2705</v>
      </c>
      <c r="I913" s="152" t="s">
        <v>2705</v>
      </c>
      <c r="J913" s="152" t="s">
        <v>2705</v>
      </c>
      <c r="K913" s="152" t="s">
        <v>2398</v>
      </c>
      <c r="L913" s="152" t="s">
        <v>2675</v>
      </c>
      <c r="M913" s="152" t="s">
        <v>2398</v>
      </c>
      <c r="N913" s="152" t="s">
        <v>2398</v>
      </c>
      <c r="O913" s="152" t="s">
        <v>2705</v>
      </c>
      <c r="P913" s="152" t="s">
        <v>2397</v>
      </c>
      <c r="Q913" s="152" t="s">
        <v>2705</v>
      </c>
      <c r="R913" s="152" t="s">
        <v>2705</v>
      </c>
      <c r="S913" s="152" t="s">
        <v>2705</v>
      </c>
      <c r="T913" s="152" t="s">
        <v>2675</v>
      </c>
      <c r="U913" s="152" t="s">
        <v>2705</v>
      </c>
    </row>
    <row r="914" spans="1:21" s="142" customFormat="1" ht="12.75" x14ac:dyDescent="0.2">
      <c r="A914" s="151"/>
      <c r="B914" s="152" t="s">
        <v>1435</v>
      </c>
      <c r="C914" s="152" t="s">
        <v>2675</v>
      </c>
      <c r="D914" s="152" t="s">
        <v>2398</v>
      </c>
      <c r="E914" s="152" t="s">
        <v>2675</v>
      </c>
      <c r="F914" s="152" t="s">
        <v>2705</v>
      </c>
      <c r="G914" s="152" t="s">
        <v>2705</v>
      </c>
      <c r="H914" s="152" t="s">
        <v>1435</v>
      </c>
      <c r="I914" s="152" t="s">
        <v>2398</v>
      </c>
      <c r="J914" s="152" t="s">
        <v>2397</v>
      </c>
      <c r="K914" s="152" t="s">
        <v>1435</v>
      </c>
      <c r="L914" s="152" t="s">
        <v>2705</v>
      </c>
      <c r="M914" s="152" t="s">
        <v>2705</v>
      </c>
      <c r="N914" s="152" t="s">
        <v>2675</v>
      </c>
      <c r="O914" s="152" t="s">
        <v>2705</v>
      </c>
      <c r="P914" s="152" t="s">
        <v>2675</v>
      </c>
      <c r="Q914" s="152" t="s">
        <v>1435</v>
      </c>
      <c r="R914" s="152" t="s">
        <v>1435</v>
      </c>
      <c r="S914" s="152" t="s">
        <v>2705</v>
      </c>
      <c r="T914" s="152" t="s">
        <v>2705</v>
      </c>
      <c r="U914" s="152" t="s">
        <v>2397</v>
      </c>
    </row>
    <row r="915" spans="1:21" s="142" customFormat="1" ht="12.75" customHeight="1" x14ac:dyDescent="0.2">
      <c r="A915" s="151" t="s">
        <v>7774</v>
      </c>
      <c r="B915" s="152" t="s">
        <v>2398</v>
      </c>
      <c r="C915" s="152" t="s">
        <v>2398</v>
      </c>
      <c r="D915" s="152" t="s">
        <v>2675</v>
      </c>
      <c r="E915" s="152" t="s">
        <v>2398</v>
      </c>
      <c r="F915" s="152" t="s">
        <v>2705</v>
      </c>
      <c r="G915" s="152" t="s">
        <v>2705</v>
      </c>
      <c r="H915" s="152" t="s">
        <v>2398</v>
      </c>
      <c r="I915" s="152" t="s">
        <v>2705</v>
      </c>
      <c r="J915" s="152" t="s">
        <v>2398</v>
      </c>
      <c r="K915" s="152" t="s">
        <v>2705</v>
      </c>
      <c r="L915" s="152" t="s">
        <v>2398</v>
      </c>
      <c r="M915" s="152" t="s">
        <v>2705</v>
      </c>
      <c r="N915" s="152" t="s">
        <v>2705</v>
      </c>
      <c r="O915" s="152" t="s">
        <v>2705</v>
      </c>
      <c r="P915" s="152" t="s">
        <v>2398</v>
      </c>
      <c r="Q915" s="152" t="s">
        <v>2398</v>
      </c>
      <c r="R915" s="152" t="s">
        <v>2705</v>
      </c>
      <c r="S915" s="152" t="s">
        <v>2675</v>
      </c>
      <c r="T915" s="152" t="s">
        <v>2705</v>
      </c>
      <c r="U915" s="152" t="s">
        <v>2705</v>
      </c>
    </row>
    <row r="916" spans="1:21" s="142" customFormat="1" ht="12.75" x14ac:dyDescent="0.2">
      <c r="A916" s="151"/>
      <c r="B916" s="152" t="s">
        <v>2705</v>
      </c>
      <c r="C916" s="152" t="s">
        <v>2675</v>
      </c>
      <c r="D916" s="152" t="s">
        <v>1435</v>
      </c>
      <c r="E916" s="152" t="s">
        <v>2705</v>
      </c>
      <c r="F916" s="152" t="s">
        <v>2398</v>
      </c>
      <c r="G916" s="152" t="s">
        <v>2705</v>
      </c>
      <c r="H916" s="152" t="s">
        <v>2705</v>
      </c>
      <c r="I916" s="152" t="s">
        <v>2675</v>
      </c>
      <c r="J916" s="152" t="s">
        <v>2398</v>
      </c>
      <c r="K916" s="152" t="s">
        <v>2705</v>
      </c>
      <c r="L916" s="152" t="s">
        <v>2675</v>
      </c>
      <c r="M916" s="152" t="s">
        <v>2398</v>
      </c>
      <c r="N916" s="152" t="s">
        <v>2675</v>
      </c>
      <c r="O916" s="152" t="s">
        <v>2397</v>
      </c>
      <c r="P916" s="152" t="s">
        <v>2705</v>
      </c>
      <c r="Q916" s="152" t="s">
        <v>2705</v>
      </c>
      <c r="R916" s="152" t="s">
        <v>1435</v>
      </c>
      <c r="S916" s="152" t="s">
        <v>2705</v>
      </c>
      <c r="T916" s="152" t="s">
        <v>2705</v>
      </c>
      <c r="U916" s="152" t="s">
        <v>2397</v>
      </c>
    </row>
    <row r="917" spans="1:21" s="142" customFormat="1" ht="12.75" customHeight="1" x14ac:dyDescent="0.2">
      <c r="A917" s="151" t="s">
        <v>7775</v>
      </c>
      <c r="B917" s="152" t="s">
        <v>2398</v>
      </c>
      <c r="C917" s="152" t="s">
        <v>2398</v>
      </c>
      <c r="D917" s="152" t="s">
        <v>2675</v>
      </c>
      <c r="E917" s="152" t="s">
        <v>2705</v>
      </c>
      <c r="F917" s="152" t="s">
        <v>2705</v>
      </c>
      <c r="G917" s="152" t="s">
        <v>2705</v>
      </c>
      <c r="H917" s="152" t="s">
        <v>2675</v>
      </c>
      <c r="I917" s="152" t="s">
        <v>2705</v>
      </c>
      <c r="J917" s="152" t="s">
        <v>2705</v>
      </c>
      <c r="K917" s="152" t="s">
        <v>2398</v>
      </c>
      <c r="L917" s="152" t="s">
        <v>1435</v>
      </c>
      <c r="M917" s="152" t="s">
        <v>2705</v>
      </c>
      <c r="N917" s="152" t="s">
        <v>1435</v>
      </c>
      <c r="O917" s="152" t="s">
        <v>2705</v>
      </c>
      <c r="P917" s="152" t="s">
        <v>2398</v>
      </c>
      <c r="Q917" s="152" t="s">
        <v>2705</v>
      </c>
      <c r="R917" s="152" t="s">
        <v>2705</v>
      </c>
      <c r="S917" s="152" t="s">
        <v>2705</v>
      </c>
      <c r="T917" s="152" t="s">
        <v>2398</v>
      </c>
      <c r="U917" s="152" t="s">
        <v>2705</v>
      </c>
    </row>
    <row r="918" spans="1:21" s="142" customFormat="1" ht="12.75" x14ac:dyDescent="0.2">
      <c r="A918" s="151"/>
      <c r="B918" s="152" t="s">
        <v>2398</v>
      </c>
      <c r="C918" s="152" t="s">
        <v>2675</v>
      </c>
      <c r="D918" s="152" t="s">
        <v>1435</v>
      </c>
      <c r="E918" s="152" t="s">
        <v>2675</v>
      </c>
      <c r="F918" s="152" t="s">
        <v>2398</v>
      </c>
      <c r="G918" s="152" t="s">
        <v>2398</v>
      </c>
      <c r="H918" s="152" t="s">
        <v>2705</v>
      </c>
      <c r="I918" s="152" t="s">
        <v>2398</v>
      </c>
      <c r="J918" s="152" t="s">
        <v>2398</v>
      </c>
      <c r="K918" s="152" t="s">
        <v>2398</v>
      </c>
      <c r="L918" s="152" t="s">
        <v>2705</v>
      </c>
      <c r="M918" s="152" t="s">
        <v>2705</v>
      </c>
      <c r="N918" s="152" t="s">
        <v>2675</v>
      </c>
      <c r="O918" s="152" t="s">
        <v>2397</v>
      </c>
      <c r="P918" s="152" t="s">
        <v>1435</v>
      </c>
      <c r="Q918" s="152" t="s">
        <v>2705</v>
      </c>
      <c r="R918" s="152" t="s">
        <v>1435</v>
      </c>
      <c r="S918" s="152" t="s">
        <v>2705</v>
      </c>
      <c r="T918" s="152" t="s">
        <v>2705</v>
      </c>
      <c r="U918" s="152" t="s">
        <v>2675</v>
      </c>
    </row>
    <row r="919" spans="1:21" s="142" customFormat="1" ht="12.75" customHeight="1" x14ac:dyDescent="0.2">
      <c r="A919" s="151" t="s">
        <v>7776</v>
      </c>
      <c r="B919" s="152" t="s">
        <v>1435</v>
      </c>
      <c r="C919" s="152" t="s">
        <v>2705</v>
      </c>
      <c r="D919" s="152" t="s">
        <v>2675</v>
      </c>
      <c r="E919" s="152" t="s">
        <v>2705</v>
      </c>
      <c r="F919" s="152" t="s">
        <v>2705</v>
      </c>
      <c r="G919" s="152" t="s">
        <v>2705</v>
      </c>
      <c r="H919" s="152" t="s">
        <v>2705</v>
      </c>
      <c r="I919" s="152" t="s">
        <v>2705</v>
      </c>
      <c r="J919" s="152" t="s">
        <v>2675</v>
      </c>
      <c r="K919" s="152" t="s">
        <v>2397</v>
      </c>
      <c r="L919" s="152" t="s">
        <v>2398</v>
      </c>
      <c r="M919" s="152" t="s">
        <v>2705</v>
      </c>
      <c r="N919" s="152" t="s">
        <v>2705</v>
      </c>
      <c r="O919" s="152" t="s">
        <v>1435</v>
      </c>
      <c r="P919" s="152" t="s">
        <v>2398</v>
      </c>
      <c r="Q919" s="152" t="s">
        <v>2705</v>
      </c>
      <c r="R919" s="152" t="s">
        <v>2397</v>
      </c>
      <c r="S919" s="152" t="s">
        <v>2705</v>
      </c>
      <c r="T919" s="152" t="s">
        <v>2398</v>
      </c>
      <c r="U919" s="152" t="s">
        <v>2705</v>
      </c>
    </row>
    <row r="920" spans="1:21" s="142" customFormat="1" ht="12.75" x14ac:dyDescent="0.2">
      <c r="A920" s="151"/>
      <c r="B920" s="152" t="s">
        <v>2398</v>
      </c>
      <c r="C920" s="152" t="s">
        <v>2397</v>
      </c>
      <c r="D920" s="152" t="s">
        <v>2397</v>
      </c>
      <c r="E920" s="152" t="s">
        <v>2705</v>
      </c>
      <c r="F920" s="152" t="s">
        <v>2705</v>
      </c>
      <c r="G920" s="152" t="s">
        <v>2705</v>
      </c>
      <c r="H920" s="152" t="s">
        <v>2705</v>
      </c>
      <c r="I920" s="152" t="s">
        <v>2705</v>
      </c>
      <c r="J920" s="152" t="s">
        <v>2398</v>
      </c>
      <c r="K920" s="152" t="s">
        <v>2705</v>
      </c>
      <c r="L920" s="152" t="s">
        <v>2397</v>
      </c>
      <c r="M920" s="152" t="s">
        <v>2705</v>
      </c>
      <c r="N920" s="152" t="s">
        <v>2675</v>
      </c>
      <c r="O920" s="152" t="s">
        <v>2705</v>
      </c>
      <c r="P920" s="152" t="s">
        <v>2705</v>
      </c>
      <c r="Q920" s="152" t="s">
        <v>2398</v>
      </c>
      <c r="R920" s="152" t="s">
        <v>1435</v>
      </c>
      <c r="S920" s="152" t="s">
        <v>2705</v>
      </c>
      <c r="T920" s="152" t="s">
        <v>2705</v>
      </c>
      <c r="U920" s="152" t="s">
        <v>2398</v>
      </c>
    </row>
    <row r="921" spans="1:21" s="142" customFormat="1" ht="12.75" customHeight="1" x14ac:dyDescent="0.2">
      <c r="A921" s="151" t="s">
        <v>7777</v>
      </c>
      <c r="B921" s="152" t="s">
        <v>2705</v>
      </c>
      <c r="C921" s="152" t="s">
        <v>2705</v>
      </c>
      <c r="D921" s="152" t="s">
        <v>2705</v>
      </c>
      <c r="E921" s="152" t="s">
        <v>2705</v>
      </c>
      <c r="F921" s="152" t="s">
        <v>2705</v>
      </c>
      <c r="G921" s="152" t="s">
        <v>2705</v>
      </c>
      <c r="H921" s="152" t="s">
        <v>2705</v>
      </c>
      <c r="I921" s="152" t="s">
        <v>2398</v>
      </c>
      <c r="J921" s="152" t="s">
        <v>2705</v>
      </c>
      <c r="K921" s="152" t="s">
        <v>2705</v>
      </c>
      <c r="L921" s="152" t="s">
        <v>2705</v>
      </c>
      <c r="M921" s="152" t="s">
        <v>2705</v>
      </c>
      <c r="N921" s="152" t="s">
        <v>2705</v>
      </c>
      <c r="O921" s="152" t="s">
        <v>2705</v>
      </c>
      <c r="P921" s="152" t="s">
        <v>2398</v>
      </c>
      <c r="Q921" s="152" t="s">
        <v>2398</v>
      </c>
      <c r="R921" s="152" t="s">
        <v>2705</v>
      </c>
      <c r="S921" s="152" t="s">
        <v>2705</v>
      </c>
      <c r="T921" s="152" t="s">
        <v>2398</v>
      </c>
      <c r="U921" s="152" t="s">
        <v>2705</v>
      </c>
    </row>
    <row r="922" spans="1:21" s="142" customFormat="1" ht="12.75" x14ac:dyDescent="0.2">
      <c r="A922" s="151"/>
      <c r="B922" s="152" t="s">
        <v>2705</v>
      </c>
      <c r="C922" s="152" t="s">
        <v>2398</v>
      </c>
      <c r="D922" s="152" t="s">
        <v>2705</v>
      </c>
      <c r="E922" s="152" t="s">
        <v>2705</v>
      </c>
      <c r="F922" s="152" t="s">
        <v>2705</v>
      </c>
      <c r="G922" s="152" t="s">
        <v>2398</v>
      </c>
      <c r="H922" s="152" t="s">
        <v>2398</v>
      </c>
      <c r="I922" s="152" t="s">
        <v>2705</v>
      </c>
      <c r="J922" s="152" t="s">
        <v>2398</v>
      </c>
      <c r="K922" s="152" t="s">
        <v>2705</v>
      </c>
      <c r="L922" s="152" t="s">
        <v>2398</v>
      </c>
      <c r="M922" s="152" t="s">
        <v>2705</v>
      </c>
      <c r="N922" s="152" t="s">
        <v>2398</v>
      </c>
      <c r="O922" s="152" t="s">
        <v>2705</v>
      </c>
      <c r="P922" s="152" t="s">
        <v>2705</v>
      </c>
      <c r="Q922" s="152" t="s">
        <v>2705</v>
      </c>
      <c r="R922" s="152" t="s">
        <v>2398</v>
      </c>
      <c r="S922" s="152" t="s">
        <v>2398</v>
      </c>
      <c r="T922" s="152" t="s">
        <v>2705</v>
      </c>
      <c r="U922" s="152" t="s">
        <v>2705</v>
      </c>
    </row>
    <row r="923" spans="1:21" s="142" customFormat="1" ht="12.75" customHeight="1" x14ac:dyDescent="0.2">
      <c r="A923" s="151" t="s">
        <v>7778</v>
      </c>
      <c r="B923" s="152" t="s">
        <v>2398</v>
      </c>
      <c r="C923" s="152" t="s">
        <v>2705</v>
      </c>
      <c r="D923" s="152" t="s">
        <v>2705</v>
      </c>
      <c r="E923" s="152" t="s">
        <v>1435</v>
      </c>
      <c r="F923" s="152" t="s">
        <v>2705</v>
      </c>
      <c r="G923" s="152" t="s">
        <v>2705</v>
      </c>
      <c r="H923" s="152" t="s">
        <v>2398</v>
      </c>
      <c r="I923" s="152" t="s">
        <v>2398</v>
      </c>
      <c r="J923" s="152" t="s">
        <v>2398</v>
      </c>
      <c r="K923" s="152" t="s">
        <v>2705</v>
      </c>
      <c r="L923" s="152" t="s">
        <v>2398</v>
      </c>
      <c r="M923" s="152" t="s">
        <v>2705</v>
      </c>
      <c r="N923" s="152" t="s">
        <v>2398</v>
      </c>
      <c r="O923" s="152" t="s">
        <v>2675</v>
      </c>
      <c r="P923" s="152" t="s">
        <v>2398</v>
      </c>
      <c r="Q923" s="152" t="s">
        <v>2705</v>
      </c>
      <c r="R923" s="152" t="s">
        <v>2398</v>
      </c>
      <c r="S923" s="152" t="s">
        <v>2705</v>
      </c>
      <c r="T923" s="152" t="s">
        <v>2705</v>
      </c>
      <c r="U923" s="152" t="s">
        <v>2705</v>
      </c>
    </row>
    <row r="924" spans="1:21" s="142" customFormat="1" ht="12.75" x14ac:dyDescent="0.2">
      <c r="A924" s="151"/>
      <c r="B924" s="152" t="s">
        <v>2398</v>
      </c>
      <c r="C924" s="152" t="s">
        <v>2398</v>
      </c>
      <c r="D924" s="152" t="s">
        <v>2398</v>
      </c>
      <c r="E924" s="152" t="s">
        <v>2398</v>
      </c>
      <c r="F924" s="152" t="s">
        <v>2398</v>
      </c>
      <c r="G924" s="152" t="s">
        <v>2675</v>
      </c>
      <c r="H924" s="152" t="s">
        <v>2705</v>
      </c>
      <c r="I924" s="152" t="s">
        <v>2705</v>
      </c>
      <c r="J924" s="152" t="s">
        <v>2398</v>
      </c>
      <c r="K924" s="152" t="s">
        <v>2705</v>
      </c>
      <c r="L924" s="152" t="s">
        <v>2398</v>
      </c>
      <c r="M924" s="152" t="s">
        <v>2705</v>
      </c>
      <c r="N924" s="152" t="s">
        <v>2705</v>
      </c>
      <c r="O924" s="152" t="s">
        <v>2398</v>
      </c>
      <c r="P924" s="152" t="s">
        <v>2675</v>
      </c>
      <c r="Q924" s="152" t="s">
        <v>2705</v>
      </c>
      <c r="R924" s="152" t="s">
        <v>2705</v>
      </c>
      <c r="S924" s="152" t="s">
        <v>2705</v>
      </c>
      <c r="T924" s="152" t="s">
        <v>2398</v>
      </c>
      <c r="U924" s="152" t="s">
        <v>2705</v>
      </c>
    </row>
    <row r="925" spans="1:21" s="142" customFormat="1" ht="12.75" customHeight="1" x14ac:dyDescent="0.2">
      <c r="A925" s="151" t="s">
        <v>7779</v>
      </c>
      <c r="B925" s="152" t="s">
        <v>2705</v>
      </c>
      <c r="C925" s="152" t="s">
        <v>2397</v>
      </c>
      <c r="D925" s="152" t="s">
        <v>2675</v>
      </c>
      <c r="E925" s="152" t="s">
        <v>2705</v>
      </c>
      <c r="F925" s="152" t="s">
        <v>1435</v>
      </c>
      <c r="G925" s="152" t="s">
        <v>2705</v>
      </c>
      <c r="H925" s="152" t="s">
        <v>2397</v>
      </c>
      <c r="I925" s="152" t="s">
        <v>2705</v>
      </c>
      <c r="J925" s="152" t="s">
        <v>2675</v>
      </c>
      <c r="K925" s="152" t="s">
        <v>2705</v>
      </c>
      <c r="L925" s="152" t="s">
        <v>2705</v>
      </c>
      <c r="M925" s="152" t="s">
        <v>1435</v>
      </c>
      <c r="N925" s="152" t="s">
        <v>2705</v>
      </c>
      <c r="O925" s="152" t="s">
        <v>2705</v>
      </c>
      <c r="P925" s="152" t="s">
        <v>2397</v>
      </c>
      <c r="Q925" s="152" t="s">
        <v>1435</v>
      </c>
      <c r="R925" s="152" t="s">
        <v>2675</v>
      </c>
      <c r="S925" s="152" t="s">
        <v>2398</v>
      </c>
      <c r="T925" s="152" t="s">
        <v>2705</v>
      </c>
      <c r="U925" s="152" t="s">
        <v>2675</v>
      </c>
    </row>
    <row r="926" spans="1:21" s="142" customFormat="1" ht="12.75" x14ac:dyDescent="0.2">
      <c r="A926" s="151"/>
      <c r="B926" s="152" t="s">
        <v>2705</v>
      </c>
      <c r="C926" s="152" t="s">
        <v>2705</v>
      </c>
      <c r="D926" s="152" t="s">
        <v>2705</v>
      </c>
      <c r="E926" s="152" t="s">
        <v>2398</v>
      </c>
      <c r="F926" s="152" t="s">
        <v>2398</v>
      </c>
      <c r="G926" s="152" t="s">
        <v>2705</v>
      </c>
      <c r="H926" s="152" t="s">
        <v>2675</v>
      </c>
      <c r="I926" s="152" t="s">
        <v>2675</v>
      </c>
      <c r="J926" s="152" t="s">
        <v>2398</v>
      </c>
      <c r="K926" s="152" t="s">
        <v>2675</v>
      </c>
      <c r="L926" s="152" t="s">
        <v>2705</v>
      </c>
      <c r="M926" s="152" t="s">
        <v>2675</v>
      </c>
      <c r="N926" s="152" t="s">
        <v>1435</v>
      </c>
      <c r="O926" s="152" t="s">
        <v>2675</v>
      </c>
      <c r="P926" s="152" t="s">
        <v>2705</v>
      </c>
      <c r="Q926" s="152" t="s">
        <v>2705</v>
      </c>
      <c r="R926" s="152" t="s">
        <v>2675</v>
      </c>
      <c r="S926" s="152" t="s">
        <v>2397</v>
      </c>
      <c r="T926" s="152" t="s">
        <v>2705</v>
      </c>
      <c r="U926" s="152" t="s">
        <v>2705</v>
      </c>
    </row>
    <row r="927" spans="1:21" s="142" customFormat="1" ht="12.75" customHeight="1" x14ac:dyDescent="0.2">
      <c r="A927" s="151" t="s">
        <v>7780</v>
      </c>
      <c r="B927" s="152" t="s">
        <v>2398</v>
      </c>
      <c r="C927" s="152" t="s">
        <v>2705</v>
      </c>
      <c r="D927" s="152" t="s">
        <v>2705</v>
      </c>
      <c r="E927" s="152" t="s">
        <v>2705</v>
      </c>
      <c r="F927" s="152" t="s">
        <v>1435</v>
      </c>
      <c r="G927" s="152" t="s">
        <v>2675</v>
      </c>
      <c r="H927" s="152" t="s">
        <v>2705</v>
      </c>
      <c r="I927" s="152" t="s">
        <v>2705</v>
      </c>
      <c r="J927" s="152" t="s">
        <v>2705</v>
      </c>
      <c r="K927" s="152" t="s">
        <v>2705</v>
      </c>
      <c r="L927" s="152" t="s">
        <v>2705</v>
      </c>
      <c r="M927" s="152" t="s">
        <v>2398</v>
      </c>
      <c r="N927" s="152" t="s">
        <v>2705</v>
      </c>
      <c r="O927" s="152" t="s">
        <v>2397</v>
      </c>
      <c r="P927" s="152" t="s">
        <v>2398</v>
      </c>
      <c r="Q927" s="152" t="s">
        <v>2398</v>
      </c>
      <c r="R927" s="152" t="s">
        <v>2398</v>
      </c>
      <c r="S927" s="152" t="s">
        <v>2705</v>
      </c>
      <c r="T927" s="152" t="s">
        <v>2398</v>
      </c>
      <c r="U927" s="152" t="s">
        <v>2398</v>
      </c>
    </row>
    <row r="928" spans="1:21" s="142" customFormat="1" ht="12.75" x14ac:dyDescent="0.2">
      <c r="A928" s="151"/>
      <c r="B928" s="152" t="s">
        <v>2705</v>
      </c>
      <c r="C928" s="152" t="s">
        <v>1435</v>
      </c>
      <c r="D928" s="152" t="s">
        <v>2705</v>
      </c>
      <c r="E928" s="152" t="s">
        <v>2398</v>
      </c>
      <c r="F928" s="152" t="s">
        <v>2705</v>
      </c>
      <c r="G928" s="152" t="s">
        <v>2398</v>
      </c>
      <c r="H928" s="152" t="s">
        <v>2705</v>
      </c>
      <c r="I928" s="152" t="s">
        <v>2398</v>
      </c>
      <c r="J928" s="152" t="s">
        <v>2398</v>
      </c>
      <c r="K928" s="152" t="s">
        <v>2398</v>
      </c>
      <c r="L928" s="152" t="s">
        <v>2705</v>
      </c>
      <c r="M928" s="152" t="s">
        <v>2705</v>
      </c>
      <c r="N928" s="152" t="s">
        <v>2705</v>
      </c>
      <c r="O928" s="152" t="s">
        <v>2705</v>
      </c>
      <c r="P928" s="152" t="s">
        <v>1435</v>
      </c>
      <c r="Q928" s="152" t="s">
        <v>2705</v>
      </c>
      <c r="R928" s="152" t="s">
        <v>2398</v>
      </c>
      <c r="S928" s="152" t="s">
        <v>2705</v>
      </c>
      <c r="T928" s="152" t="s">
        <v>2705</v>
      </c>
      <c r="U928" s="152" t="s">
        <v>2705</v>
      </c>
    </row>
    <row r="929" spans="1:21" s="142" customFormat="1" ht="12.75" customHeight="1" x14ac:dyDescent="0.2">
      <c r="A929" s="151" t="s">
        <v>7781</v>
      </c>
      <c r="B929" s="152" t="s">
        <v>2398</v>
      </c>
      <c r="C929" s="152" t="s">
        <v>2705</v>
      </c>
      <c r="D929" s="152" t="s">
        <v>2675</v>
      </c>
      <c r="E929" s="152" t="s">
        <v>2705</v>
      </c>
      <c r="F929" s="152" t="s">
        <v>2397</v>
      </c>
      <c r="G929" s="152" t="s">
        <v>2398</v>
      </c>
      <c r="H929" s="152" t="s">
        <v>1435</v>
      </c>
      <c r="I929" s="152" t="s">
        <v>2705</v>
      </c>
      <c r="J929" s="152" t="s">
        <v>1435</v>
      </c>
      <c r="K929" s="152" t="s">
        <v>2705</v>
      </c>
      <c r="L929" s="152" t="s">
        <v>2705</v>
      </c>
      <c r="M929" s="152" t="s">
        <v>2398</v>
      </c>
      <c r="N929" s="152" t="s">
        <v>2705</v>
      </c>
      <c r="O929" s="152" t="s">
        <v>2398</v>
      </c>
      <c r="P929" s="152" t="s">
        <v>2675</v>
      </c>
      <c r="Q929" s="152" t="s">
        <v>2398</v>
      </c>
      <c r="R929" s="152" t="s">
        <v>2398</v>
      </c>
      <c r="S929" s="152" t="s">
        <v>2398</v>
      </c>
      <c r="T929" s="152" t="s">
        <v>2705</v>
      </c>
      <c r="U929" s="152" t="s">
        <v>2398</v>
      </c>
    </row>
    <row r="930" spans="1:21" s="142" customFormat="1" ht="12.75" x14ac:dyDescent="0.2">
      <c r="A930" s="151"/>
      <c r="B930" s="152" t="s">
        <v>2397</v>
      </c>
      <c r="C930" s="152" t="s">
        <v>2398</v>
      </c>
      <c r="D930" s="152" t="s">
        <v>2705</v>
      </c>
      <c r="E930" s="152" t="s">
        <v>2705</v>
      </c>
      <c r="F930" s="152" t="s">
        <v>2705</v>
      </c>
      <c r="G930" s="152" t="s">
        <v>2398</v>
      </c>
      <c r="H930" s="152" t="s">
        <v>2675</v>
      </c>
      <c r="I930" s="152" t="s">
        <v>2398</v>
      </c>
      <c r="J930" s="152" t="s">
        <v>2398</v>
      </c>
      <c r="K930" s="152" t="s">
        <v>2398</v>
      </c>
      <c r="L930" s="152" t="s">
        <v>1435</v>
      </c>
      <c r="M930" s="152" t="s">
        <v>2675</v>
      </c>
      <c r="N930" s="152" t="s">
        <v>2398</v>
      </c>
      <c r="O930" s="152" t="s">
        <v>2705</v>
      </c>
      <c r="P930" s="152" t="s">
        <v>2705</v>
      </c>
      <c r="Q930" s="152" t="s">
        <v>2705</v>
      </c>
      <c r="R930" s="152" t="s">
        <v>2398</v>
      </c>
      <c r="S930" s="152" t="s">
        <v>2675</v>
      </c>
      <c r="T930" s="152" t="s">
        <v>1435</v>
      </c>
      <c r="U930" s="152" t="s">
        <v>2398</v>
      </c>
    </row>
    <row r="931" spans="1:21" s="142" customFormat="1" ht="12.75" customHeight="1" x14ac:dyDescent="0.2">
      <c r="A931" s="151" t="s">
        <v>7782</v>
      </c>
      <c r="B931" s="152" t="s">
        <v>2705</v>
      </c>
      <c r="C931" s="152" t="s">
        <v>2675</v>
      </c>
      <c r="D931" s="152" t="s">
        <v>2675</v>
      </c>
      <c r="E931" s="152" t="s">
        <v>2705</v>
      </c>
      <c r="F931" s="152" t="s">
        <v>2398</v>
      </c>
      <c r="G931" s="152" t="s">
        <v>1435</v>
      </c>
      <c r="H931" s="152" t="s">
        <v>2705</v>
      </c>
      <c r="I931" s="152" t="s">
        <v>2705</v>
      </c>
      <c r="J931" s="152" t="s">
        <v>2398</v>
      </c>
      <c r="K931" s="152" t="s">
        <v>2397</v>
      </c>
      <c r="L931" s="152" t="s">
        <v>2705</v>
      </c>
      <c r="M931" s="152" t="s">
        <v>2398</v>
      </c>
      <c r="N931" s="152" t="s">
        <v>2705</v>
      </c>
      <c r="O931" s="152" t="s">
        <v>2705</v>
      </c>
      <c r="P931" s="152" t="s">
        <v>2705</v>
      </c>
      <c r="Q931" s="152" t="s">
        <v>2675</v>
      </c>
      <c r="R931" s="152" t="s">
        <v>2398</v>
      </c>
      <c r="S931" s="152" t="s">
        <v>2705</v>
      </c>
      <c r="T931" s="152" t="s">
        <v>2675</v>
      </c>
      <c r="U931" s="152" t="s">
        <v>2705</v>
      </c>
    </row>
    <row r="932" spans="1:21" s="142" customFormat="1" ht="12.75" x14ac:dyDescent="0.2">
      <c r="A932" s="151"/>
      <c r="B932" s="152" t="s">
        <v>2397</v>
      </c>
      <c r="C932" s="152" t="s">
        <v>2705</v>
      </c>
      <c r="D932" s="152" t="s">
        <v>2705</v>
      </c>
      <c r="E932" s="152" t="s">
        <v>2398</v>
      </c>
      <c r="F932" s="152" t="s">
        <v>2675</v>
      </c>
      <c r="G932" s="152" t="s">
        <v>2705</v>
      </c>
      <c r="H932" s="152" t="s">
        <v>2705</v>
      </c>
      <c r="I932" s="152" t="s">
        <v>2397</v>
      </c>
      <c r="J932" s="152" t="s">
        <v>2705</v>
      </c>
      <c r="K932" s="152" t="s">
        <v>2398</v>
      </c>
      <c r="L932" s="152" t="s">
        <v>2398</v>
      </c>
      <c r="M932" s="152" t="s">
        <v>2705</v>
      </c>
      <c r="N932" s="152" t="s">
        <v>2398</v>
      </c>
      <c r="O932" s="152" t="s">
        <v>2705</v>
      </c>
      <c r="P932" s="152" t="s">
        <v>2705</v>
      </c>
      <c r="Q932" s="152" t="s">
        <v>1435</v>
      </c>
      <c r="R932" s="152" t="s">
        <v>1435</v>
      </c>
      <c r="S932" s="152" t="s">
        <v>2675</v>
      </c>
      <c r="T932" s="152" t="s">
        <v>2705</v>
      </c>
      <c r="U932" s="152" t="s">
        <v>2398</v>
      </c>
    </row>
    <row r="933" spans="1:21" s="142" customFormat="1" ht="12.75" customHeight="1" x14ac:dyDescent="0.2">
      <c r="A933" s="151" t="s">
        <v>7783</v>
      </c>
      <c r="B933" s="152" t="s">
        <v>2398</v>
      </c>
      <c r="C933" s="152" t="s">
        <v>2705</v>
      </c>
      <c r="D933" s="152" t="s">
        <v>2705</v>
      </c>
      <c r="E933" s="152" t="s">
        <v>2705</v>
      </c>
      <c r="F933" s="152" t="s">
        <v>2705</v>
      </c>
      <c r="G933" s="152" t="s">
        <v>2705</v>
      </c>
      <c r="H933" s="152" t="s">
        <v>2398</v>
      </c>
      <c r="I933" s="152" t="s">
        <v>2705</v>
      </c>
      <c r="J933" s="152" t="s">
        <v>2705</v>
      </c>
      <c r="K933" s="152" t="s">
        <v>2398</v>
      </c>
      <c r="L933" s="152" t="s">
        <v>2705</v>
      </c>
      <c r="M933" s="152" t="s">
        <v>2398</v>
      </c>
      <c r="N933" s="152" t="s">
        <v>2705</v>
      </c>
      <c r="O933" s="152" t="s">
        <v>2398</v>
      </c>
      <c r="P933" s="152" t="s">
        <v>2705</v>
      </c>
      <c r="Q933" s="152" t="s">
        <v>2705</v>
      </c>
      <c r="R933" s="152" t="s">
        <v>2705</v>
      </c>
      <c r="S933" s="152" t="s">
        <v>2705</v>
      </c>
      <c r="T933" s="152" t="s">
        <v>2398</v>
      </c>
      <c r="U933" s="152" t="s">
        <v>2705</v>
      </c>
    </row>
    <row r="934" spans="1:21" s="142" customFormat="1" ht="12.75" x14ac:dyDescent="0.2">
      <c r="A934" s="151"/>
      <c r="B934" s="152" t="s">
        <v>2398</v>
      </c>
      <c r="C934" s="152" t="s">
        <v>2675</v>
      </c>
      <c r="D934" s="152" t="s">
        <v>1435</v>
      </c>
      <c r="E934" s="152" t="s">
        <v>2705</v>
      </c>
      <c r="F934" s="152" t="s">
        <v>2398</v>
      </c>
      <c r="G934" s="152" t="s">
        <v>2705</v>
      </c>
      <c r="H934" s="152" t="s">
        <v>2705</v>
      </c>
      <c r="I934" s="152" t="s">
        <v>2705</v>
      </c>
      <c r="J934" s="152" t="s">
        <v>2398</v>
      </c>
      <c r="K934" s="152" t="s">
        <v>2705</v>
      </c>
      <c r="L934" s="152" t="s">
        <v>2398</v>
      </c>
      <c r="M934" s="152" t="s">
        <v>2705</v>
      </c>
      <c r="N934" s="152" t="s">
        <v>2705</v>
      </c>
      <c r="O934" s="152" t="s">
        <v>2705</v>
      </c>
      <c r="P934" s="152" t="s">
        <v>2398</v>
      </c>
      <c r="Q934" s="152" t="s">
        <v>2705</v>
      </c>
      <c r="R934" s="152" t="s">
        <v>1435</v>
      </c>
      <c r="S934" s="152" t="s">
        <v>2705</v>
      </c>
      <c r="T934" s="152" t="s">
        <v>2705</v>
      </c>
      <c r="U934" s="152" t="s">
        <v>2705</v>
      </c>
    </row>
    <row r="935" spans="1:21" s="142" customFormat="1" ht="12.75" customHeight="1" x14ac:dyDescent="0.2">
      <c r="A935" s="151" t="s">
        <v>7784</v>
      </c>
      <c r="B935" s="152" t="s">
        <v>2705</v>
      </c>
      <c r="C935" s="152" t="s">
        <v>1435</v>
      </c>
      <c r="D935" s="152" t="s">
        <v>2675</v>
      </c>
      <c r="E935" s="152" t="s">
        <v>2705</v>
      </c>
      <c r="F935" s="152" t="s">
        <v>1435</v>
      </c>
      <c r="G935" s="152" t="s">
        <v>2705</v>
      </c>
      <c r="H935" s="152" t="s">
        <v>2705</v>
      </c>
      <c r="I935" s="152" t="s">
        <v>2705</v>
      </c>
      <c r="J935" s="152" t="s">
        <v>2397</v>
      </c>
      <c r="K935" s="152" t="s">
        <v>2398</v>
      </c>
      <c r="L935" s="152" t="s">
        <v>2705</v>
      </c>
      <c r="M935" s="152" t="s">
        <v>2705</v>
      </c>
      <c r="N935" s="152" t="s">
        <v>1435</v>
      </c>
      <c r="O935" s="152" t="s">
        <v>2398</v>
      </c>
      <c r="P935" s="152" t="s">
        <v>2705</v>
      </c>
      <c r="Q935" s="152" t="s">
        <v>1435</v>
      </c>
      <c r="R935" s="152" t="s">
        <v>2705</v>
      </c>
      <c r="S935" s="152" t="s">
        <v>2705</v>
      </c>
      <c r="T935" s="152" t="s">
        <v>1435</v>
      </c>
      <c r="U935" s="152" t="s">
        <v>2705</v>
      </c>
    </row>
    <row r="936" spans="1:21" s="142" customFormat="1" ht="12.75" x14ac:dyDescent="0.2">
      <c r="A936" s="151"/>
      <c r="B936" s="152" t="s">
        <v>2397</v>
      </c>
      <c r="C936" s="152" t="s">
        <v>1435</v>
      </c>
      <c r="D936" s="152" t="s">
        <v>2705</v>
      </c>
      <c r="E936" s="152" t="s">
        <v>2705</v>
      </c>
      <c r="F936" s="152" t="s">
        <v>2705</v>
      </c>
      <c r="G936" s="152" t="s">
        <v>2705</v>
      </c>
      <c r="H936" s="152" t="s">
        <v>2705</v>
      </c>
      <c r="I936" s="152" t="s">
        <v>2705</v>
      </c>
      <c r="J936" s="152" t="s">
        <v>2705</v>
      </c>
      <c r="K936" s="152" t="s">
        <v>2675</v>
      </c>
      <c r="L936" s="152" t="s">
        <v>2705</v>
      </c>
      <c r="M936" s="152" t="s">
        <v>2705</v>
      </c>
      <c r="N936" s="152" t="s">
        <v>2705</v>
      </c>
      <c r="O936" s="152" t="s">
        <v>2705</v>
      </c>
      <c r="P936" s="152" t="s">
        <v>2675</v>
      </c>
      <c r="Q936" s="152" t="s">
        <v>2705</v>
      </c>
      <c r="R936" s="152" t="s">
        <v>2398</v>
      </c>
      <c r="S936" s="152" t="s">
        <v>2705</v>
      </c>
      <c r="T936" s="152" t="s">
        <v>2675</v>
      </c>
      <c r="U936" s="152" t="s">
        <v>2675</v>
      </c>
    </row>
    <row r="937" spans="1:21" s="142" customFormat="1" ht="12.75" customHeight="1" x14ac:dyDescent="0.2">
      <c r="A937" s="151" t="s">
        <v>7785</v>
      </c>
      <c r="B937" s="152" t="s">
        <v>2705</v>
      </c>
      <c r="C937" s="152" t="s">
        <v>2705</v>
      </c>
      <c r="D937" s="152" t="s">
        <v>2705</v>
      </c>
      <c r="E937" s="152" t="s">
        <v>2705</v>
      </c>
      <c r="F937" s="152" t="s">
        <v>2398</v>
      </c>
      <c r="G937" s="152" t="s">
        <v>2705</v>
      </c>
      <c r="H937" s="152" t="s">
        <v>2705</v>
      </c>
      <c r="I937" s="152" t="s">
        <v>2397</v>
      </c>
      <c r="J937" s="152" t="s">
        <v>2397</v>
      </c>
      <c r="K937" s="152" t="s">
        <v>1435</v>
      </c>
      <c r="L937" s="152" t="s">
        <v>2705</v>
      </c>
      <c r="M937" s="152" t="s">
        <v>2705</v>
      </c>
      <c r="N937" s="152" t="s">
        <v>2705</v>
      </c>
      <c r="O937" s="152" t="s">
        <v>2705</v>
      </c>
      <c r="P937" s="152" t="s">
        <v>2705</v>
      </c>
      <c r="Q937" s="152" t="s">
        <v>1435</v>
      </c>
      <c r="R937" s="152" t="s">
        <v>2398</v>
      </c>
      <c r="S937" s="152" t="s">
        <v>2398</v>
      </c>
      <c r="T937" s="152" t="s">
        <v>2398</v>
      </c>
      <c r="U937" s="152" t="s">
        <v>2398</v>
      </c>
    </row>
    <row r="938" spans="1:21" s="142" customFormat="1" ht="12.75" x14ac:dyDescent="0.2">
      <c r="A938" s="151"/>
      <c r="B938" s="152" t="s">
        <v>2398</v>
      </c>
      <c r="C938" s="152" t="s">
        <v>2397</v>
      </c>
      <c r="D938" s="152" t="s">
        <v>2675</v>
      </c>
      <c r="E938" s="152" t="s">
        <v>2705</v>
      </c>
      <c r="F938" s="152" t="s">
        <v>2705</v>
      </c>
      <c r="G938" s="152" t="s">
        <v>2675</v>
      </c>
      <c r="H938" s="152" t="s">
        <v>2705</v>
      </c>
      <c r="I938" s="152" t="s">
        <v>2705</v>
      </c>
      <c r="J938" s="152" t="s">
        <v>2398</v>
      </c>
      <c r="K938" s="152" t="s">
        <v>2705</v>
      </c>
      <c r="L938" s="152" t="s">
        <v>2705</v>
      </c>
      <c r="M938" s="152" t="s">
        <v>2398</v>
      </c>
      <c r="N938" s="152" t="s">
        <v>1435</v>
      </c>
      <c r="O938" s="152" t="s">
        <v>2705</v>
      </c>
      <c r="P938" s="152" t="s">
        <v>2398</v>
      </c>
      <c r="Q938" s="152" t="s">
        <v>2705</v>
      </c>
      <c r="R938" s="152" t="s">
        <v>2398</v>
      </c>
      <c r="S938" s="152" t="s">
        <v>2705</v>
      </c>
      <c r="T938" s="152" t="s">
        <v>2705</v>
      </c>
      <c r="U938" s="152" t="s">
        <v>2705</v>
      </c>
    </row>
    <row r="939" spans="1:21" s="142" customFormat="1" ht="12.75" customHeight="1" x14ac:dyDescent="0.2">
      <c r="A939" s="151" t="s">
        <v>7786</v>
      </c>
      <c r="B939" s="152" t="s">
        <v>2705</v>
      </c>
      <c r="C939" s="152" t="s">
        <v>2705</v>
      </c>
      <c r="D939" s="152" t="s">
        <v>2705</v>
      </c>
      <c r="E939" s="152" t="s">
        <v>1435</v>
      </c>
      <c r="F939" s="152" t="s">
        <v>2705</v>
      </c>
      <c r="G939" s="152" t="s">
        <v>2705</v>
      </c>
      <c r="H939" s="152" t="s">
        <v>2705</v>
      </c>
      <c r="I939" s="152" t="s">
        <v>2705</v>
      </c>
      <c r="J939" s="152" t="s">
        <v>2398</v>
      </c>
      <c r="K939" s="152" t="s">
        <v>2705</v>
      </c>
      <c r="L939" s="152" t="s">
        <v>2705</v>
      </c>
      <c r="M939" s="152" t="s">
        <v>1435</v>
      </c>
      <c r="N939" s="152" t="s">
        <v>1435</v>
      </c>
      <c r="O939" s="152" t="s">
        <v>2398</v>
      </c>
      <c r="P939" s="152" t="s">
        <v>2398</v>
      </c>
      <c r="Q939" s="152" t="s">
        <v>1435</v>
      </c>
      <c r="R939" s="152" t="s">
        <v>2398</v>
      </c>
      <c r="S939" s="152" t="s">
        <v>2398</v>
      </c>
      <c r="T939" s="152" t="s">
        <v>2705</v>
      </c>
      <c r="U939" s="152" t="s">
        <v>2705</v>
      </c>
    </row>
    <row r="940" spans="1:21" s="142" customFormat="1" ht="12.75" x14ac:dyDescent="0.2">
      <c r="A940" s="151"/>
      <c r="B940" s="152" t="s">
        <v>2398</v>
      </c>
      <c r="C940" s="152" t="s">
        <v>2398</v>
      </c>
      <c r="D940" s="152" t="s">
        <v>2705</v>
      </c>
      <c r="E940" s="152" t="s">
        <v>2705</v>
      </c>
      <c r="F940" s="152" t="s">
        <v>2398</v>
      </c>
      <c r="G940" s="152" t="s">
        <v>2675</v>
      </c>
      <c r="H940" s="152" t="s">
        <v>2398</v>
      </c>
      <c r="I940" s="152" t="s">
        <v>2705</v>
      </c>
      <c r="J940" s="152" t="s">
        <v>2398</v>
      </c>
      <c r="K940" s="152" t="s">
        <v>2675</v>
      </c>
      <c r="L940" s="152" t="s">
        <v>2398</v>
      </c>
      <c r="M940" s="152" t="s">
        <v>2398</v>
      </c>
      <c r="N940" s="152" t="s">
        <v>2397</v>
      </c>
      <c r="O940" s="152" t="s">
        <v>2705</v>
      </c>
      <c r="P940" s="152" t="s">
        <v>2398</v>
      </c>
      <c r="Q940" s="152" t="s">
        <v>2398</v>
      </c>
      <c r="R940" s="152" t="s">
        <v>2398</v>
      </c>
      <c r="S940" s="152" t="s">
        <v>2398</v>
      </c>
      <c r="T940" s="152" t="s">
        <v>2705</v>
      </c>
      <c r="U940" s="152" t="s">
        <v>2398</v>
      </c>
    </row>
    <row r="941" spans="1:21" s="142" customFormat="1" ht="12.75" customHeight="1" x14ac:dyDescent="0.2">
      <c r="A941" s="151" t="s">
        <v>7787</v>
      </c>
      <c r="B941" s="152" t="s">
        <v>2398</v>
      </c>
      <c r="C941" s="152" t="s">
        <v>2398</v>
      </c>
      <c r="D941" s="152" t="s">
        <v>2705</v>
      </c>
      <c r="E941" s="152" t="s">
        <v>2398</v>
      </c>
      <c r="F941" s="152" t="s">
        <v>2705</v>
      </c>
      <c r="G941" s="152" t="s">
        <v>2705</v>
      </c>
      <c r="H941" s="152" t="s">
        <v>2705</v>
      </c>
      <c r="I941" s="152" t="s">
        <v>2675</v>
      </c>
      <c r="J941" s="152" t="s">
        <v>2398</v>
      </c>
      <c r="K941" s="152" t="s">
        <v>2705</v>
      </c>
      <c r="L941" s="152" t="s">
        <v>2398</v>
      </c>
      <c r="M941" s="152" t="s">
        <v>2705</v>
      </c>
      <c r="N941" s="152" t="s">
        <v>2705</v>
      </c>
      <c r="O941" s="152" t="s">
        <v>2705</v>
      </c>
      <c r="P941" s="152" t="s">
        <v>2705</v>
      </c>
      <c r="Q941" s="152" t="s">
        <v>2705</v>
      </c>
      <c r="R941" s="152" t="s">
        <v>2705</v>
      </c>
      <c r="S941" s="152" t="s">
        <v>2705</v>
      </c>
      <c r="T941" s="152" t="s">
        <v>2705</v>
      </c>
      <c r="U941" s="152" t="s">
        <v>2705</v>
      </c>
    </row>
    <row r="942" spans="1:21" s="142" customFormat="1" ht="12.75" x14ac:dyDescent="0.2">
      <c r="A942" s="151"/>
      <c r="B942" s="152" t="s">
        <v>2675</v>
      </c>
      <c r="C942" s="152" t="s">
        <v>2675</v>
      </c>
      <c r="D942" s="152" t="s">
        <v>2705</v>
      </c>
      <c r="E942" s="152" t="s">
        <v>2705</v>
      </c>
      <c r="F942" s="152" t="s">
        <v>2705</v>
      </c>
      <c r="G942" s="152" t="s">
        <v>2705</v>
      </c>
      <c r="H942" s="152" t="s">
        <v>2397</v>
      </c>
      <c r="I942" s="152" t="s">
        <v>2705</v>
      </c>
      <c r="J942" s="152" t="s">
        <v>2397</v>
      </c>
      <c r="K942" s="152" t="s">
        <v>2705</v>
      </c>
      <c r="L942" s="152" t="s">
        <v>2705</v>
      </c>
      <c r="M942" s="152" t="s">
        <v>2398</v>
      </c>
      <c r="N942" s="152" t="s">
        <v>1435</v>
      </c>
      <c r="O942" s="152" t="s">
        <v>2705</v>
      </c>
      <c r="P942" s="152" t="s">
        <v>1435</v>
      </c>
      <c r="Q942" s="152" t="s">
        <v>2705</v>
      </c>
      <c r="R942" s="152" t="s">
        <v>2398</v>
      </c>
      <c r="S942" s="152" t="s">
        <v>2705</v>
      </c>
      <c r="T942" s="152" t="s">
        <v>2705</v>
      </c>
      <c r="U942" s="152" t="s">
        <v>2398</v>
      </c>
    </row>
    <row r="943" spans="1:21" s="142" customFormat="1" ht="12.75" customHeight="1" x14ac:dyDescent="0.2">
      <c r="A943" s="151" t="s">
        <v>7788</v>
      </c>
      <c r="B943" s="152" t="s">
        <v>2398</v>
      </c>
      <c r="C943" s="152" t="s">
        <v>2705</v>
      </c>
      <c r="D943" s="152" t="s">
        <v>2675</v>
      </c>
      <c r="E943" s="152" t="s">
        <v>2705</v>
      </c>
      <c r="F943" s="152" t="s">
        <v>2705</v>
      </c>
      <c r="G943" s="152" t="s">
        <v>2705</v>
      </c>
      <c r="H943" s="152" t="s">
        <v>2398</v>
      </c>
      <c r="I943" s="152" t="s">
        <v>2398</v>
      </c>
      <c r="J943" s="152" t="s">
        <v>2398</v>
      </c>
      <c r="K943" s="152" t="s">
        <v>2398</v>
      </c>
      <c r="L943" s="152" t="s">
        <v>2398</v>
      </c>
      <c r="M943" s="152" t="s">
        <v>2705</v>
      </c>
      <c r="N943" s="152" t="s">
        <v>2705</v>
      </c>
      <c r="O943" s="152" t="s">
        <v>2705</v>
      </c>
      <c r="P943" s="152" t="s">
        <v>2705</v>
      </c>
      <c r="Q943" s="152" t="s">
        <v>2705</v>
      </c>
      <c r="R943" s="152" t="s">
        <v>2705</v>
      </c>
      <c r="S943" s="152" t="s">
        <v>2705</v>
      </c>
      <c r="T943" s="152" t="s">
        <v>2398</v>
      </c>
      <c r="U943" s="152" t="s">
        <v>2398</v>
      </c>
    </row>
    <row r="944" spans="1:21" s="142" customFormat="1" ht="12.75" x14ac:dyDescent="0.2">
      <c r="A944" s="151"/>
      <c r="B944" s="152" t="s">
        <v>2398</v>
      </c>
      <c r="C944" s="152" t="s">
        <v>2398</v>
      </c>
      <c r="D944" s="152" t="s">
        <v>1435</v>
      </c>
      <c r="E944" s="152" t="s">
        <v>2675</v>
      </c>
      <c r="F944" s="152" t="s">
        <v>2705</v>
      </c>
      <c r="G944" s="152" t="s">
        <v>2705</v>
      </c>
      <c r="H944" s="152" t="s">
        <v>2705</v>
      </c>
      <c r="I944" s="152" t="s">
        <v>2675</v>
      </c>
      <c r="J944" s="152" t="s">
        <v>2675</v>
      </c>
      <c r="K944" s="152" t="s">
        <v>1435</v>
      </c>
      <c r="L944" s="152" t="s">
        <v>2398</v>
      </c>
      <c r="M944" s="152" t="s">
        <v>2705</v>
      </c>
      <c r="N944" s="152" t="s">
        <v>2675</v>
      </c>
      <c r="O944" s="152" t="s">
        <v>2398</v>
      </c>
      <c r="P944" s="152" t="s">
        <v>2398</v>
      </c>
      <c r="Q944" s="152" t="s">
        <v>2398</v>
      </c>
      <c r="R944" s="152" t="s">
        <v>1435</v>
      </c>
      <c r="S944" s="152" t="s">
        <v>2398</v>
      </c>
      <c r="T944" s="152" t="s">
        <v>2705</v>
      </c>
      <c r="U944" s="152" t="s">
        <v>2398</v>
      </c>
    </row>
    <row r="945" spans="1:21" s="142" customFormat="1" ht="12.75" customHeight="1" x14ac:dyDescent="0.2">
      <c r="A945" s="151" t="s">
        <v>7789</v>
      </c>
      <c r="B945" s="152" t="s">
        <v>2705</v>
      </c>
      <c r="C945" s="152" t="s">
        <v>1435</v>
      </c>
      <c r="D945" s="152" t="s">
        <v>2398</v>
      </c>
      <c r="E945" s="152" t="s">
        <v>2398</v>
      </c>
      <c r="F945" s="152" t="s">
        <v>2705</v>
      </c>
      <c r="G945" s="152" t="s">
        <v>2705</v>
      </c>
      <c r="H945" s="152" t="s">
        <v>2705</v>
      </c>
      <c r="I945" s="152" t="s">
        <v>2398</v>
      </c>
      <c r="J945" s="152" t="s">
        <v>2705</v>
      </c>
      <c r="K945" s="152" t="s">
        <v>2705</v>
      </c>
      <c r="L945" s="152" t="s">
        <v>1435</v>
      </c>
      <c r="M945" s="152" t="s">
        <v>2705</v>
      </c>
      <c r="N945" s="152" t="s">
        <v>2705</v>
      </c>
      <c r="O945" s="152" t="s">
        <v>2705</v>
      </c>
      <c r="P945" s="152" t="s">
        <v>2705</v>
      </c>
      <c r="Q945" s="152" t="s">
        <v>2705</v>
      </c>
      <c r="R945" s="152" t="s">
        <v>2705</v>
      </c>
      <c r="S945" s="152" t="s">
        <v>2705</v>
      </c>
      <c r="T945" s="152" t="s">
        <v>1435</v>
      </c>
      <c r="U945" s="152" t="s">
        <v>2705</v>
      </c>
    </row>
    <row r="946" spans="1:21" s="142" customFormat="1" ht="12.75" x14ac:dyDescent="0.2">
      <c r="A946" s="151"/>
      <c r="B946" s="152" t="s">
        <v>2398</v>
      </c>
      <c r="C946" s="152" t="s">
        <v>2398</v>
      </c>
      <c r="D946" s="152" t="s">
        <v>2705</v>
      </c>
      <c r="E946" s="152" t="s">
        <v>2705</v>
      </c>
      <c r="F946" s="152" t="s">
        <v>2705</v>
      </c>
      <c r="G946" s="152" t="s">
        <v>2705</v>
      </c>
      <c r="H946" s="152" t="s">
        <v>2398</v>
      </c>
      <c r="I946" s="152" t="s">
        <v>2705</v>
      </c>
      <c r="J946" s="152" t="s">
        <v>2705</v>
      </c>
      <c r="K946" s="152" t="s">
        <v>2705</v>
      </c>
      <c r="L946" s="152" t="s">
        <v>2705</v>
      </c>
      <c r="M946" s="152" t="s">
        <v>2705</v>
      </c>
      <c r="N946" s="152" t="s">
        <v>2705</v>
      </c>
      <c r="O946" s="152" t="s">
        <v>2705</v>
      </c>
      <c r="P946" s="152" t="s">
        <v>2675</v>
      </c>
      <c r="Q946" s="152" t="s">
        <v>2705</v>
      </c>
      <c r="R946" s="152" t="s">
        <v>2705</v>
      </c>
      <c r="S946" s="152" t="s">
        <v>2705</v>
      </c>
      <c r="T946" s="152" t="s">
        <v>2705</v>
      </c>
      <c r="U946" s="152" t="s">
        <v>2398</v>
      </c>
    </row>
    <row r="947" spans="1:21" s="142" customFormat="1" ht="12.75" customHeight="1" x14ac:dyDescent="0.2">
      <c r="A947" s="151" t="s">
        <v>7790</v>
      </c>
      <c r="B947" s="152" t="s">
        <v>2398</v>
      </c>
      <c r="C947" s="152" t="s">
        <v>2398</v>
      </c>
      <c r="D947" s="152" t="s">
        <v>2398</v>
      </c>
      <c r="E947" s="152" t="s">
        <v>2705</v>
      </c>
      <c r="F947" s="152" t="s">
        <v>2705</v>
      </c>
      <c r="G947" s="152" t="s">
        <v>2705</v>
      </c>
      <c r="H947" s="152" t="s">
        <v>1435</v>
      </c>
      <c r="I947" s="152" t="s">
        <v>2398</v>
      </c>
      <c r="J947" s="152" t="s">
        <v>2675</v>
      </c>
      <c r="K947" s="152" t="s">
        <v>2705</v>
      </c>
      <c r="L947" s="152" t="s">
        <v>2398</v>
      </c>
      <c r="M947" s="152" t="s">
        <v>2705</v>
      </c>
      <c r="N947" s="152" t="s">
        <v>2675</v>
      </c>
      <c r="O947" s="152" t="s">
        <v>2705</v>
      </c>
      <c r="P947" s="152" t="s">
        <v>2398</v>
      </c>
      <c r="Q947" s="152" t="s">
        <v>2705</v>
      </c>
      <c r="R947" s="152" t="s">
        <v>2398</v>
      </c>
      <c r="S947" s="152" t="s">
        <v>2705</v>
      </c>
      <c r="T947" s="152" t="s">
        <v>2398</v>
      </c>
      <c r="U947" s="152" t="s">
        <v>2398</v>
      </c>
    </row>
    <row r="948" spans="1:21" s="142" customFormat="1" ht="12.75" x14ac:dyDescent="0.2">
      <c r="A948" s="151"/>
      <c r="B948" s="152" t="s">
        <v>2675</v>
      </c>
      <c r="C948" s="152" t="s">
        <v>2398</v>
      </c>
      <c r="D948" s="152" t="s">
        <v>2398</v>
      </c>
      <c r="E948" s="152" t="s">
        <v>2675</v>
      </c>
      <c r="F948" s="152" t="s">
        <v>2705</v>
      </c>
      <c r="G948" s="152" t="s">
        <v>2398</v>
      </c>
      <c r="H948" s="152" t="s">
        <v>2705</v>
      </c>
      <c r="I948" s="152" t="s">
        <v>2705</v>
      </c>
      <c r="J948" s="152" t="s">
        <v>2705</v>
      </c>
      <c r="K948" s="152" t="s">
        <v>2705</v>
      </c>
      <c r="L948" s="152" t="s">
        <v>2705</v>
      </c>
      <c r="M948" s="152" t="s">
        <v>2398</v>
      </c>
      <c r="N948" s="152" t="s">
        <v>2705</v>
      </c>
      <c r="O948" s="152" t="s">
        <v>2705</v>
      </c>
      <c r="P948" s="152" t="s">
        <v>2398</v>
      </c>
      <c r="Q948" s="152" t="s">
        <v>1435</v>
      </c>
      <c r="R948" s="152" t="s">
        <v>2705</v>
      </c>
      <c r="S948" s="152" t="s">
        <v>2705</v>
      </c>
      <c r="T948" s="152" t="s">
        <v>2398</v>
      </c>
      <c r="U948" s="152" t="s">
        <v>2398</v>
      </c>
    </row>
    <row r="949" spans="1:21" s="142" customFormat="1" ht="12.75" customHeight="1" x14ac:dyDescent="0.2">
      <c r="A949" s="151" t="s">
        <v>7791</v>
      </c>
      <c r="B949" s="152" t="s">
        <v>2705</v>
      </c>
      <c r="C949" s="152" t="s">
        <v>2398</v>
      </c>
      <c r="D949" s="152" t="s">
        <v>2705</v>
      </c>
      <c r="E949" s="152" t="s">
        <v>2705</v>
      </c>
      <c r="F949" s="152" t="s">
        <v>2705</v>
      </c>
      <c r="G949" s="152" t="s">
        <v>2705</v>
      </c>
      <c r="H949" s="152" t="s">
        <v>2705</v>
      </c>
      <c r="I949" s="152" t="s">
        <v>2398</v>
      </c>
      <c r="J949" s="152" t="s">
        <v>2398</v>
      </c>
      <c r="K949" s="152" t="s">
        <v>2398</v>
      </c>
      <c r="L949" s="152" t="s">
        <v>2705</v>
      </c>
      <c r="M949" s="152" t="s">
        <v>2705</v>
      </c>
      <c r="N949" s="152" t="s">
        <v>2398</v>
      </c>
      <c r="O949" s="152" t="s">
        <v>2398</v>
      </c>
      <c r="P949" s="152" t="s">
        <v>2705</v>
      </c>
      <c r="Q949" s="152" t="s">
        <v>1435</v>
      </c>
      <c r="R949" s="152" t="s">
        <v>2398</v>
      </c>
      <c r="S949" s="152" t="s">
        <v>2705</v>
      </c>
      <c r="T949" s="152" t="s">
        <v>2705</v>
      </c>
      <c r="U949" s="152" t="s">
        <v>2398</v>
      </c>
    </row>
    <row r="950" spans="1:21" s="142" customFormat="1" ht="12.75" x14ac:dyDescent="0.2">
      <c r="A950" s="151"/>
      <c r="B950" s="152" t="s">
        <v>2705</v>
      </c>
      <c r="C950" s="152" t="s">
        <v>2705</v>
      </c>
      <c r="D950" s="152" t="s">
        <v>2705</v>
      </c>
      <c r="E950" s="152" t="s">
        <v>2705</v>
      </c>
      <c r="F950" s="152" t="s">
        <v>2705</v>
      </c>
      <c r="G950" s="152" t="s">
        <v>2675</v>
      </c>
      <c r="H950" s="152" t="s">
        <v>2398</v>
      </c>
      <c r="I950" s="152" t="s">
        <v>2705</v>
      </c>
      <c r="J950" s="152" t="s">
        <v>2705</v>
      </c>
      <c r="K950" s="152" t="s">
        <v>2398</v>
      </c>
      <c r="L950" s="152" t="s">
        <v>2705</v>
      </c>
      <c r="M950" s="152" t="s">
        <v>2398</v>
      </c>
      <c r="N950" s="152" t="s">
        <v>2705</v>
      </c>
      <c r="O950" s="152" t="s">
        <v>2705</v>
      </c>
      <c r="P950" s="152" t="s">
        <v>2705</v>
      </c>
      <c r="Q950" s="152" t="s">
        <v>2705</v>
      </c>
      <c r="R950" s="152" t="s">
        <v>2705</v>
      </c>
      <c r="S950" s="152" t="s">
        <v>2705</v>
      </c>
      <c r="T950" s="152" t="s">
        <v>2705</v>
      </c>
      <c r="U950" s="152" t="s">
        <v>2705</v>
      </c>
    </row>
    <row r="951" spans="1:21" s="142" customFormat="1" ht="12.75" customHeight="1" x14ac:dyDescent="0.2">
      <c r="A951" s="151" t="s">
        <v>7792</v>
      </c>
      <c r="B951" s="152" t="s">
        <v>2705</v>
      </c>
      <c r="C951" s="152" t="s">
        <v>2398</v>
      </c>
      <c r="D951" s="152" t="s">
        <v>2675</v>
      </c>
      <c r="E951" s="152" t="s">
        <v>2705</v>
      </c>
      <c r="F951" s="152" t="s">
        <v>2398</v>
      </c>
      <c r="G951" s="152" t="s">
        <v>2398</v>
      </c>
      <c r="H951" s="152" t="s">
        <v>2675</v>
      </c>
      <c r="I951" s="152" t="s">
        <v>2398</v>
      </c>
      <c r="J951" s="152" t="s">
        <v>2398</v>
      </c>
      <c r="K951" s="152" t="s">
        <v>2398</v>
      </c>
      <c r="L951" s="152" t="s">
        <v>2675</v>
      </c>
      <c r="M951" s="152" t="s">
        <v>2398</v>
      </c>
      <c r="N951" s="152" t="s">
        <v>2398</v>
      </c>
      <c r="O951" s="152" t="s">
        <v>2705</v>
      </c>
      <c r="P951" s="152" t="s">
        <v>2398</v>
      </c>
      <c r="Q951" s="152" t="s">
        <v>1435</v>
      </c>
      <c r="R951" s="152" t="s">
        <v>2398</v>
      </c>
      <c r="S951" s="152" t="s">
        <v>2675</v>
      </c>
      <c r="T951" s="152" t="s">
        <v>1435</v>
      </c>
      <c r="U951" s="152" t="s">
        <v>2398</v>
      </c>
    </row>
    <row r="952" spans="1:21" s="142" customFormat="1" ht="12.75" x14ac:dyDescent="0.2">
      <c r="A952" s="151"/>
      <c r="B952" s="152" t="s">
        <v>1435</v>
      </c>
      <c r="C952" s="152" t="s">
        <v>2398</v>
      </c>
      <c r="D952" s="152" t="s">
        <v>2705</v>
      </c>
      <c r="E952" s="152" t="s">
        <v>2675</v>
      </c>
      <c r="F952" s="152" t="s">
        <v>2398</v>
      </c>
      <c r="G952" s="152" t="s">
        <v>2398</v>
      </c>
      <c r="H952" s="152" t="s">
        <v>2705</v>
      </c>
      <c r="I952" s="152" t="s">
        <v>2398</v>
      </c>
      <c r="J952" s="152" t="s">
        <v>2705</v>
      </c>
      <c r="K952" s="152" t="s">
        <v>2705</v>
      </c>
      <c r="L952" s="152" t="s">
        <v>2398</v>
      </c>
      <c r="M952" s="152" t="s">
        <v>2398</v>
      </c>
      <c r="N952" s="152" t="s">
        <v>2705</v>
      </c>
      <c r="O952" s="152" t="s">
        <v>2705</v>
      </c>
      <c r="P952" s="152" t="s">
        <v>2398</v>
      </c>
      <c r="Q952" s="152" t="s">
        <v>2398</v>
      </c>
      <c r="R952" s="152" t="s">
        <v>2398</v>
      </c>
      <c r="S952" s="152" t="s">
        <v>2705</v>
      </c>
      <c r="T952" s="152" t="s">
        <v>2705</v>
      </c>
      <c r="U952" s="152" t="s">
        <v>2705</v>
      </c>
    </row>
    <row r="953" spans="1:21" s="142" customFormat="1" ht="12.75" customHeight="1" x14ac:dyDescent="0.2">
      <c r="A953" s="151" t="s">
        <v>7793</v>
      </c>
      <c r="B953" s="152" t="s">
        <v>2705</v>
      </c>
      <c r="C953" s="152" t="s">
        <v>2705</v>
      </c>
      <c r="D953" s="152" t="s">
        <v>2705</v>
      </c>
      <c r="E953" s="152" t="s">
        <v>2705</v>
      </c>
      <c r="F953" s="152" t="s">
        <v>2705</v>
      </c>
      <c r="G953" s="152" t="s">
        <v>2705</v>
      </c>
      <c r="H953" s="152" t="s">
        <v>2705</v>
      </c>
      <c r="I953" s="152" t="s">
        <v>2398</v>
      </c>
      <c r="J953" s="152" t="s">
        <v>2705</v>
      </c>
      <c r="K953" s="152" t="s">
        <v>2705</v>
      </c>
      <c r="L953" s="152" t="s">
        <v>2705</v>
      </c>
      <c r="M953" s="152" t="s">
        <v>2398</v>
      </c>
      <c r="N953" s="152" t="s">
        <v>2705</v>
      </c>
      <c r="O953" s="152" t="s">
        <v>2398</v>
      </c>
      <c r="P953" s="152" t="s">
        <v>2398</v>
      </c>
      <c r="Q953" s="152" t="s">
        <v>2675</v>
      </c>
      <c r="R953" s="152" t="s">
        <v>2398</v>
      </c>
      <c r="S953" s="152" t="s">
        <v>2398</v>
      </c>
      <c r="T953" s="152" t="s">
        <v>2398</v>
      </c>
      <c r="U953" s="152" t="s">
        <v>2705</v>
      </c>
    </row>
    <row r="954" spans="1:21" s="142" customFormat="1" ht="12.75" x14ac:dyDescent="0.2">
      <c r="A954" s="151"/>
      <c r="B954" s="152" t="s">
        <v>2705</v>
      </c>
      <c r="C954" s="152" t="s">
        <v>2705</v>
      </c>
      <c r="D954" s="152" t="s">
        <v>2705</v>
      </c>
      <c r="E954" s="152" t="s">
        <v>2705</v>
      </c>
      <c r="F954" s="152" t="s">
        <v>2705</v>
      </c>
      <c r="G954" s="152" t="s">
        <v>1435</v>
      </c>
      <c r="H954" s="152" t="s">
        <v>2398</v>
      </c>
      <c r="I954" s="152" t="s">
        <v>2705</v>
      </c>
      <c r="J954" s="152" t="s">
        <v>2705</v>
      </c>
      <c r="K954" s="152" t="s">
        <v>1435</v>
      </c>
      <c r="L954" s="152" t="s">
        <v>2398</v>
      </c>
      <c r="M954" s="152" t="s">
        <v>2705</v>
      </c>
      <c r="N954" s="152" t="s">
        <v>2398</v>
      </c>
      <c r="O954" s="152" t="s">
        <v>2705</v>
      </c>
      <c r="P954" s="152" t="s">
        <v>2705</v>
      </c>
      <c r="Q954" s="152" t="s">
        <v>2705</v>
      </c>
      <c r="R954" s="152" t="s">
        <v>1435</v>
      </c>
      <c r="S954" s="152" t="s">
        <v>2397</v>
      </c>
      <c r="T954" s="152" t="s">
        <v>2705</v>
      </c>
      <c r="U954" s="152" t="s">
        <v>2705</v>
      </c>
    </row>
    <row r="955" spans="1:21" s="142" customFormat="1" ht="12.75" customHeight="1" x14ac:dyDescent="0.2">
      <c r="A955" s="151" t="s">
        <v>7794</v>
      </c>
      <c r="B955" s="152" t="s">
        <v>2398</v>
      </c>
      <c r="C955" s="152" t="s">
        <v>2705</v>
      </c>
      <c r="D955" s="152" t="s">
        <v>2397</v>
      </c>
      <c r="E955" s="152" t="s">
        <v>2398</v>
      </c>
      <c r="F955" s="152" t="s">
        <v>2705</v>
      </c>
      <c r="G955" s="152" t="s">
        <v>2705</v>
      </c>
      <c r="H955" s="152" t="s">
        <v>2705</v>
      </c>
      <c r="I955" s="152" t="s">
        <v>2675</v>
      </c>
      <c r="J955" s="152" t="s">
        <v>2398</v>
      </c>
      <c r="K955" s="152" t="s">
        <v>2398</v>
      </c>
      <c r="L955" s="152" t="s">
        <v>2705</v>
      </c>
      <c r="M955" s="152" t="s">
        <v>2705</v>
      </c>
      <c r="N955" s="152" t="s">
        <v>2398</v>
      </c>
      <c r="O955" s="152" t="s">
        <v>2705</v>
      </c>
      <c r="P955" s="152" t="s">
        <v>2705</v>
      </c>
      <c r="Q955" s="152" t="s">
        <v>2705</v>
      </c>
      <c r="R955" s="152" t="s">
        <v>2398</v>
      </c>
      <c r="S955" s="152" t="s">
        <v>2705</v>
      </c>
      <c r="T955" s="152" t="s">
        <v>2705</v>
      </c>
      <c r="U955" s="152" t="s">
        <v>2705</v>
      </c>
    </row>
    <row r="956" spans="1:21" s="142" customFormat="1" ht="12.75" x14ac:dyDescent="0.2">
      <c r="A956" s="151"/>
      <c r="B956" s="152" t="s">
        <v>2398</v>
      </c>
      <c r="C956" s="152" t="s">
        <v>2398</v>
      </c>
      <c r="D956" s="152" t="s">
        <v>2398</v>
      </c>
      <c r="E956" s="152" t="s">
        <v>2398</v>
      </c>
      <c r="F956" s="152" t="s">
        <v>2705</v>
      </c>
      <c r="G956" s="152" t="s">
        <v>2398</v>
      </c>
      <c r="H956" s="152" t="s">
        <v>2398</v>
      </c>
      <c r="I956" s="152" t="s">
        <v>2705</v>
      </c>
      <c r="J956" s="152" t="s">
        <v>2705</v>
      </c>
      <c r="K956" s="152" t="s">
        <v>2398</v>
      </c>
      <c r="L956" s="152" t="s">
        <v>2705</v>
      </c>
      <c r="M956" s="152" t="s">
        <v>2705</v>
      </c>
      <c r="N956" s="152" t="s">
        <v>2705</v>
      </c>
      <c r="O956" s="152" t="s">
        <v>2705</v>
      </c>
      <c r="P956" s="152" t="s">
        <v>1435</v>
      </c>
      <c r="Q956" s="152" t="s">
        <v>2398</v>
      </c>
      <c r="R956" s="152" t="s">
        <v>2705</v>
      </c>
      <c r="S956" s="152" t="s">
        <v>2705</v>
      </c>
      <c r="T956" s="152" t="s">
        <v>2705</v>
      </c>
      <c r="U956" s="152" t="s">
        <v>2705</v>
      </c>
    </row>
    <row r="957" spans="1:21" s="142" customFormat="1" ht="12.75" customHeight="1" x14ac:dyDescent="0.2">
      <c r="A957" s="151" t="s">
        <v>7795</v>
      </c>
      <c r="B957" s="152" t="s">
        <v>2705</v>
      </c>
      <c r="C957" s="152" t="s">
        <v>2705</v>
      </c>
      <c r="D957" s="152" t="s">
        <v>2705</v>
      </c>
      <c r="E957" s="152" t="s">
        <v>2397</v>
      </c>
      <c r="F957" s="152" t="s">
        <v>2705</v>
      </c>
      <c r="G957" s="152" t="s">
        <v>2398</v>
      </c>
      <c r="H957" s="152" t="s">
        <v>2705</v>
      </c>
      <c r="I957" s="152" t="s">
        <v>2398</v>
      </c>
      <c r="J957" s="152" t="s">
        <v>2705</v>
      </c>
      <c r="K957" s="152" t="s">
        <v>2705</v>
      </c>
      <c r="L957" s="152" t="s">
        <v>2705</v>
      </c>
      <c r="M957" s="152" t="s">
        <v>2398</v>
      </c>
      <c r="N957" s="152" t="s">
        <v>2705</v>
      </c>
      <c r="O957" s="152" t="s">
        <v>2705</v>
      </c>
      <c r="P957" s="152" t="s">
        <v>2398</v>
      </c>
      <c r="Q957" s="152" t="s">
        <v>2705</v>
      </c>
      <c r="R957" s="152" t="s">
        <v>2705</v>
      </c>
      <c r="S957" s="152" t="s">
        <v>2397</v>
      </c>
      <c r="T957" s="152" t="s">
        <v>2705</v>
      </c>
      <c r="U957" s="152" t="s">
        <v>2705</v>
      </c>
    </row>
    <row r="958" spans="1:21" s="142" customFormat="1" ht="12.75" x14ac:dyDescent="0.2">
      <c r="A958" s="151"/>
      <c r="B958" s="152" t="s">
        <v>2705</v>
      </c>
      <c r="C958" s="152" t="s">
        <v>2705</v>
      </c>
      <c r="D958" s="152" t="s">
        <v>2705</v>
      </c>
      <c r="E958" s="152" t="s">
        <v>2705</v>
      </c>
      <c r="F958" s="152" t="s">
        <v>2397</v>
      </c>
      <c r="G958" s="152" t="s">
        <v>2705</v>
      </c>
      <c r="H958" s="152" t="s">
        <v>2705</v>
      </c>
      <c r="I958" s="152" t="s">
        <v>2397</v>
      </c>
      <c r="J958" s="152" t="s">
        <v>2705</v>
      </c>
      <c r="K958" s="152" t="s">
        <v>2705</v>
      </c>
      <c r="L958" s="152" t="s">
        <v>2398</v>
      </c>
      <c r="M958" s="152" t="s">
        <v>2705</v>
      </c>
      <c r="N958" s="152" t="s">
        <v>2705</v>
      </c>
      <c r="O958" s="152" t="s">
        <v>2705</v>
      </c>
      <c r="P958" s="152" t="s">
        <v>2398</v>
      </c>
      <c r="Q958" s="152" t="s">
        <v>2705</v>
      </c>
      <c r="R958" s="152" t="s">
        <v>2398</v>
      </c>
      <c r="S958" s="152" t="s">
        <v>2398</v>
      </c>
      <c r="T958" s="152" t="s">
        <v>2705</v>
      </c>
      <c r="U958" s="152" t="s">
        <v>2705</v>
      </c>
    </row>
    <row r="959" spans="1:21" s="142" customFormat="1" ht="12.75" customHeight="1" x14ac:dyDescent="0.2">
      <c r="A959" s="151" t="s">
        <v>7796</v>
      </c>
      <c r="B959" s="152" t="s">
        <v>2398</v>
      </c>
      <c r="C959" s="152" t="s">
        <v>2705</v>
      </c>
      <c r="D959" s="152" t="s">
        <v>2398</v>
      </c>
      <c r="E959" s="152" t="s">
        <v>1435</v>
      </c>
      <c r="F959" s="152" t="s">
        <v>2705</v>
      </c>
      <c r="G959" s="152" t="s">
        <v>2705</v>
      </c>
      <c r="H959" s="152" t="s">
        <v>2705</v>
      </c>
      <c r="I959" s="152" t="s">
        <v>2705</v>
      </c>
      <c r="J959" s="152" t="s">
        <v>2398</v>
      </c>
      <c r="K959" s="152" t="s">
        <v>2705</v>
      </c>
      <c r="L959" s="152" t="s">
        <v>2705</v>
      </c>
      <c r="M959" s="152" t="s">
        <v>2398</v>
      </c>
      <c r="N959" s="152" t="s">
        <v>2705</v>
      </c>
      <c r="O959" s="152" t="s">
        <v>2705</v>
      </c>
      <c r="P959" s="152" t="s">
        <v>2705</v>
      </c>
      <c r="Q959" s="152" t="s">
        <v>2705</v>
      </c>
      <c r="R959" s="152" t="s">
        <v>2705</v>
      </c>
      <c r="S959" s="152" t="s">
        <v>2705</v>
      </c>
      <c r="T959" s="152" t="s">
        <v>2705</v>
      </c>
      <c r="U959" s="152" t="s">
        <v>2705</v>
      </c>
    </row>
    <row r="960" spans="1:21" s="142" customFormat="1" ht="12.75" x14ac:dyDescent="0.2">
      <c r="A960" s="151"/>
      <c r="B960" s="152" t="s">
        <v>2705</v>
      </c>
      <c r="C960" s="152" t="s">
        <v>2398</v>
      </c>
      <c r="D960" s="152" t="s">
        <v>2398</v>
      </c>
      <c r="E960" s="152" t="s">
        <v>2705</v>
      </c>
      <c r="F960" s="152" t="s">
        <v>2705</v>
      </c>
      <c r="G960" s="152" t="s">
        <v>2705</v>
      </c>
      <c r="H960" s="152" t="s">
        <v>2705</v>
      </c>
      <c r="I960" s="152" t="s">
        <v>2705</v>
      </c>
      <c r="J960" s="152" t="s">
        <v>2705</v>
      </c>
      <c r="K960" s="152" t="s">
        <v>2705</v>
      </c>
      <c r="L960" s="152" t="s">
        <v>2398</v>
      </c>
      <c r="M960" s="152" t="s">
        <v>2398</v>
      </c>
      <c r="N960" s="152" t="s">
        <v>2705</v>
      </c>
      <c r="O960" s="152" t="s">
        <v>2398</v>
      </c>
      <c r="P960" s="152" t="s">
        <v>2398</v>
      </c>
      <c r="Q960" s="152" t="s">
        <v>2705</v>
      </c>
      <c r="R960" s="152" t="s">
        <v>2398</v>
      </c>
      <c r="S960" s="152" t="s">
        <v>2705</v>
      </c>
      <c r="T960" s="152" t="s">
        <v>2705</v>
      </c>
      <c r="U960" s="152" t="s">
        <v>2705</v>
      </c>
    </row>
    <row r="961" spans="1:21" s="142" customFormat="1" ht="12.75" customHeight="1" x14ac:dyDescent="0.2">
      <c r="A961" s="151" t="s">
        <v>7797</v>
      </c>
      <c r="B961" s="152" t="s">
        <v>2398</v>
      </c>
      <c r="C961" s="152" t="s">
        <v>2705</v>
      </c>
      <c r="D961" s="152" t="s">
        <v>2397</v>
      </c>
      <c r="E961" s="152" t="s">
        <v>2398</v>
      </c>
      <c r="F961" s="152" t="s">
        <v>2398</v>
      </c>
      <c r="G961" s="152" t="s">
        <v>2705</v>
      </c>
      <c r="H961" s="152" t="s">
        <v>2705</v>
      </c>
      <c r="I961" s="152" t="s">
        <v>2398</v>
      </c>
      <c r="J961" s="152" t="s">
        <v>2398</v>
      </c>
      <c r="K961" s="152" t="s">
        <v>2705</v>
      </c>
      <c r="L961" s="152" t="s">
        <v>2705</v>
      </c>
      <c r="M961" s="152" t="s">
        <v>1435</v>
      </c>
      <c r="N961" s="152" t="s">
        <v>2705</v>
      </c>
      <c r="O961" s="152" t="s">
        <v>2675</v>
      </c>
      <c r="P961" s="152" t="s">
        <v>2705</v>
      </c>
      <c r="Q961" s="152" t="s">
        <v>2705</v>
      </c>
      <c r="R961" s="152" t="s">
        <v>2398</v>
      </c>
      <c r="S961" s="152" t="s">
        <v>2705</v>
      </c>
      <c r="T961" s="152" t="s">
        <v>2705</v>
      </c>
      <c r="U961" s="152" t="s">
        <v>2675</v>
      </c>
    </row>
    <row r="962" spans="1:21" s="142" customFormat="1" ht="12.75" x14ac:dyDescent="0.2">
      <c r="A962" s="151"/>
      <c r="B962" s="152" t="s">
        <v>2398</v>
      </c>
      <c r="C962" s="152" t="s">
        <v>2398</v>
      </c>
      <c r="D962" s="152" t="s">
        <v>2705</v>
      </c>
      <c r="E962" s="152" t="s">
        <v>2705</v>
      </c>
      <c r="F962" s="152" t="s">
        <v>2705</v>
      </c>
      <c r="G962" s="152" t="s">
        <v>2675</v>
      </c>
      <c r="H962" s="152" t="s">
        <v>2397</v>
      </c>
      <c r="I962" s="152" t="s">
        <v>2705</v>
      </c>
      <c r="J962" s="152" t="s">
        <v>2705</v>
      </c>
      <c r="K962" s="152" t="s">
        <v>2398</v>
      </c>
      <c r="L962" s="152" t="s">
        <v>2705</v>
      </c>
      <c r="M962" s="152" t="s">
        <v>2705</v>
      </c>
      <c r="N962" s="152" t="s">
        <v>2705</v>
      </c>
      <c r="O962" s="152" t="s">
        <v>2398</v>
      </c>
      <c r="P962" s="152" t="s">
        <v>2398</v>
      </c>
      <c r="Q962" s="152" t="s">
        <v>2398</v>
      </c>
      <c r="R962" s="152" t="s">
        <v>2398</v>
      </c>
      <c r="S962" s="152" t="s">
        <v>2705</v>
      </c>
      <c r="T962" s="152" t="s">
        <v>2397</v>
      </c>
      <c r="U962" s="152" t="s">
        <v>2398</v>
      </c>
    </row>
    <row r="963" spans="1:21" s="142" customFormat="1" ht="12.75" customHeight="1" x14ac:dyDescent="0.2">
      <c r="A963" s="151" t="s">
        <v>7798</v>
      </c>
      <c r="B963" s="152" t="s">
        <v>2705</v>
      </c>
      <c r="C963" s="152" t="s">
        <v>2705</v>
      </c>
      <c r="D963" s="152" t="s">
        <v>2398</v>
      </c>
      <c r="E963" s="152" t="s">
        <v>2705</v>
      </c>
      <c r="F963" s="152" t="s">
        <v>2705</v>
      </c>
      <c r="G963" s="152" t="s">
        <v>2705</v>
      </c>
      <c r="H963" s="152" t="s">
        <v>2398</v>
      </c>
      <c r="I963" s="152" t="s">
        <v>2398</v>
      </c>
      <c r="J963" s="152" t="s">
        <v>2705</v>
      </c>
      <c r="K963" s="152" t="s">
        <v>2705</v>
      </c>
      <c r="L963" s="152" t="s">
        <v>2705</v>
      </c>
      <c r="M963" s="152" t="s">
        <v>2398</v>
      </c>
      <c r="N963" s="152" t="s">
        <v>2705</v>
      </c>
      <c r="O963" s="152" t="s">
        <v>2398</v>
      </c>
      <c r="P963" s="152" t="s">
        <v>2398</v>
      </c>
      <c r="Q963" s="152" t="s">
        <v>2398</v>
      </c>
      <c r="R963" s="152" t="s">
        <v>2705</v>
      </c>
      <c r="S963" s="152" t="s">
        <v>2398</v>
      </c>
      <c r="T963" s="152" t="s">
        <v>2705</v>
      </c>
      <c r="U963" s="152" t="s">
        <v>2398</v>
      </c>
    </row>
    <row r="964" spans="1:21" s="142" customFormat="1" ht="12.75" x14ac:dyDescent="0.2">
      <c r="A964" s="151"/>
      <c r="B964" s="152" t="s">
        <v>2705</v>
      </c>
      <c r="C964" s="152" t="s">
        <v>2398</v>
      </c>
      <c r="D964" s="152" t="s">
        <v>2705</v>
      </c>
      <c r="E964" s="152" t="s">
        <v>2705</v>
      </c>
      <c r="F964" s="152" t="s">
        <v>2675</v>
      </c>
      <c r="G964" s="152" t="s">
        <v>2705</v>
      </c>
      <c r="H964" s="152" t="s">
        <v>2398</v>
      </c>
      <c r="I964" s="152" t="s">
        <v>2705</v>
      </c>
      <c r="J964" s="152" t="s">
        <v>2398</v>
      </c>
      <c r="K964" s="152" t="s">
        <v>2705</v>
      </c>
      <c r="L964" s="152" t="s">
        <v>2398</v>
      </c>
      <c r="M964" s="152" t="s">
        <v>2705</v>
      </c>
      <c r="N964" s="152" t="s">
        <v>2705</v>
      </c>
      <c r="O964" s="152" t="s">
        <v>2705</v>
      </c>
      <c r="P964" s="152" t="s">
        <v>2398</v>
      </c>
      <c r="Q964" s="152" t="s">
        <v>2705</v>
      </c>
      <c r="R964" s="152" t="s">
        <v>1435</v>
      </c>
      <c r="S964" s="152" t="s">
        <v>2398</v>
      </c>
      <c r="T964" s="152" t="s">
        <v>2398</v>
      </c>
      <c r="U964" s="152" t="s">
        <v>2398</v>
      </c>
    </row>
    <row r="965" spans="1:21" s="142" customFormat="1" ht="12.75" customHeight="1" x14ac:dyDescent="0.2">
      <c r="A965" s="151" t="s">
        <v>7799</v>
      </c>
      <c r="B965" s="152" t="s">
        <v>2705</v>
      </c>
      <c r="C965" s="152" t="s">
        <v>2705</v>
      </c>
      <c r="D965" s="152" t="s">
        <v>2398</v>
      </c>
      <c r="E965" s="152" t="s">
        <v>2705</v>
      </c>
      <c r="F965" s="152" t="s">
        <v>2398</v>
      </c>
      <c r="G965" s="152" t="s">
        <v>2705</v>
      </c>
      <c r="H965" s="152" t="s">
        <v>2705</v>
      </c>
      <c r="I965" s="152" t="s">
        <v>2705</v>
      </c>
      <c r="J965" s="152" t="s">
        <v>2398</v>
      </c>
      <c r="K965" s="152" t="s">
        <v>2397</v>
      </c>
      <c r="L965" s="152" t="s">
        <v>2705</v>
      </c>
      <c r="M965" s="152" t="s">
        <v>2398</v>
      </c>
      <c r="N965" s="152" t="s">
        <v>2705</v>
      </c>
      <c r="O965" s="152" t="s">
        <v>2398</v>
      </c>
      <c r="P965" s="152" t="s">
        <v>2705</v>
      </c>
      <c r="Q965" s="152" t="s">
        <v>2675</v>
      </c>
      <c r="R965" s="152" t="s">
        <v>2398</v>
      </c>
      <c r="S965" s="152" t="s">
        <v>2705</v>
      </c>
      <c r="T965" s="152" t="s">
        <v>2398</v>
      </c>
      <c r="U965" s="152" t="s">
        <v>2705</v>
      </c>
    </row>
    <row r="966" spans="1:21" s="142" customFormat="1" ht="12.75" x14ac:dyDescent="0.2">
      <c r="A966" s="151"/>
      <c r="B966" s="152" t="s">
        <v>2705</v>
      </c>
      <c r="C966" s="152" t="s">
        <v>2675</v>
      </c>
      <c r="D966" s="152" t="s">
        <v>2398</v>
      </c>
      <c r="E966" s="152" t="s">
        <v>2675</v>
      </c>
      <c r="F966" s="152" t="s">
        <v>2398</v>
      </c>
      <c r="G966" s="152" t="s">
        <v>2398</v>
      </c>
      <c r="H966" s="152" t="s">
        <v>2705</v>
      </c>
      <c r="I966" s="152" t="s">
        <v>2705</v>
      </c>
      <c r="J966" s="152" t="s">
        <v>2705</v>
      </c>
      <c r="K966" s="152" t="s">
        <v>2705</v>
      </c>
      <c r="L966" s="152" t="s">
        <v>2675</v>
      </c>
      <c r="M966" s="152" t="s">
        <v>2705</v>
      </c>
      <c r="N966" s="152" t="s">
        <v>2675</v>
      </c>
      <c r="O966" s="152" t="s">
        <v>1435</v>
      </c>
      <c r="P966" s="152" t="s">
        <v>2398</v>
      </c>
      <c r="Q966" s="152" t="s">
        <v>2705</v>
      </c>
      <c r="R966" s="152" t="s">
        <v>2705</v>
      </c>
      <c r="S966" s="152" t="s">
        <v>2705</v>
      </c>
      <c r="T966" s="152" t="s">
        <v>2705</v>
      </c>
      <c r="U966" s="152" t="s">
        <v>2705</v>
      </c>
    </row>
    <row r="967" spans="1:21" s="142" customFormat="1" ht="12.75" customHeight="1" x14ac:dyDescent="0.2">
      <c r="A967" s="151" t="s">
        <v>7800</v>
      </c>
      <c r="B967" s="152" t="s">
        <v>2398</v>
      </c>
      <c r="C967" s="152" t="s">
        <v>2705</v>
      </c>
      <c r="D967" s="152" t="s">
        <v>2398</v>
      </c>
      <c r="E967" s="152" t="s">
        <v>2398</v>
      </c>
      <c r="F967" s="152" t="s">
        <v>2705</v>
      </c>
      <c r="G967" s="152" t="s">
        <v>2705</v>
      </c>
      <c r="H967" s="152" t="s">
        <v>2705</v>
      </c>
      <c r="I967" s="152" t="s">
        <v>2398</v>
      </c>
      <c r="J967" s="152" t="s">
        <v>2705</v>
      </c>
      <c r="K967" s="152" t="s">
        <v>2705</v>
      </c>
      <c r="L967" s="152" t="s">
        <v>2398</v>
      </c>
      <c r="M967" s="152" t="s">
        <v>2705</v>
      </c>
      <c r="N967" s="152" t="s">
        <v>2398</v>
      </c>
      <c r="O967" s="152" t="s">
        <v>2705</v>
      </c>
      <c r="P967" s="152" t="s">
        <v>2705</v>
      </c>
      <c r="Q967" s="152" t="s">
        <v>2705</v>
      </c>
      <c r="R967" s="152" t="s">
        <v>2398</v>
      </c>
      <c r="S967" s="152" t="s">
        <v>2705</v>
      </c>
      <c r="T967" s="152" t="s">
        <v>2705</v>
      </c>
      <c r="U967" s="152" t="s">
        <v>2705</v>
      </c>
    </row>
    <row r="968" spans="1:21" s="142" customFormat="1" ht="12.75" x14ac:dyDescent="0.2">
      <c r="A968" s="151"/>
      <c r="B968" s="152" t="s">
        <v>2398</v>
      </c>
      <c r="C968" s="152" t="s">
        <v>2398</v>
      </c>
      <c r="D968" s="152" t="s">
        <v>2705</v>
      </c>
      <c r="E968" s="152" t="s">
        <v>2705</v>
      </c>
      <c r="F968" s="152" t="s">
        <v>2705</v>
      </c>
      <c r="G968" s="152" t="s">
        <v>2705</v>
      </c>
      <c r="H968" s="152" t="s">
        <v>2398</v>
      </c>
      <c r="I968" s="152" t="s">
        <v>2398</v>
      </c>
      <c r="J968" s="152" t="s">
        <v>1435</v>
      </c>
      <c r="K968" s="152" t="s">
        <v>2398</v>
      </c>
      <c r="L968" s="152" t="s">
        <v>2398</v>
      </c>
      <c r="M968" s="152" t="s">
        <v>2398</v>
      </c>
      <c r="N968" s="152" t="s">
        <v>2705</v>
      </c>
      <c r="O968" s="152" t="s">
        <v>1435</v>
      </c>
      <c r="P968" s="152" t="s">
        <v>2705</v>
      </c>
      <c r="Q968" s="152" t="s">
        <v>2705</v>
      </c>
      <c r="R968" s="152" t="s">
        <v>2398</v>
      </c>
      <c r="S968" s="152" t="s">
        <v>2705</v>
      </c>
      <c r="T968" s="152" t="s">
        <v>2705</v>
      </c>
      <c r="U968" s="152" t="s">
        <v>2398</v>
      </c>
    </row>
    <row r="969" spans="1:21" s="142" customFormat="1" ht="12.75" customHeight="1" x14ac:dyDescent="0.2">
      <c r="A969" s="151" t="s">
        <v>7801</v>
      </c>
      <c r="B969" s="152" t="s">
        <v>2705</v>
      </c>
      <c r="C969" s="152" t="s">
        <v>2705</v>
      </c>
      <c r="D969" s="152" t="s">
        <v>2398</v>
      </c>
      <c r="E969" s="152" t="s">
        <v>2705</v>
      </c>
      <c r="F969" s="152" t="s">
        <v>2398</v>
      </c>
      <c r="G969" s="152" t="s">
        <v>1435</v>
      </c>
      <c r="H969" s="152" t="s">
        <v>1435</v>
      </c>
      <c r="I969" s="152" t="s">
        <v>2398</v>
      </c>
      <c r="J969" s="152" t="s">
        <v>2705</v>
      </c>
      <c r="K969" s="152" t="s">
        <v>2705</v>
      </c>
      <c r="L969" s="152" t="s">
        <v>2705</v>
      </c>
      <c r="M969" s="152" t="s">
        <v>2398</v>
      </c>
      <c r="N969" s="152" t="s">
        <v>2705</v>
      </c>
      <c r="O969" s="152" t="s">
        <v>2398</v>
      </c>
      <c r="P969" s="152" t="s">
        <v>2675</v>
      </c>
      <c r="Q969" s="152" t="s">
        <v>2705</v>
      </c>
      <c r="R969" s="152" t="s">
        <v>2705</v>
      </c>
      <c r="S969" s="152" t="s">
        <v>2398</v>
      </c>
      <c r="T969" s="152" t="s">
        <v>2398</v>
      </c>
      <c r="U969" s="152" t="s">
        <v>2705</v>
      </c>
    </row>
    <row r="970" spans="1:21" s="142" customFormat="1" ht="12.75" x14ac:dyDescent="0.2">
      <c r="A970" s="151"/>
      <c r="B970" s="152" t="s">
        <v>2705</v>
      </c>
      <c r="C970" s="152" t="s">
        <v>2705</v>
      </c>
      <c r="D970" s="152" t="s">
        <v>2705</v>
      </c>
      <c r="E970" s="152" t="s">
        <v>2675</v>
      </c>
      <c r="F970" s="152" t="s">
        <v>2705</v>
      </c>
      <c r="G970" s="152" t="s">
        <v>1435</v>
      </c>
      <c r="H970" s="152" t="s">
        <v>2398</v>
      </c>
      <c r="I970" s="152" t="s">
        <v>2705</v>
      </c>
      <c r="J970" s="152" t="s">
        <v>2705</v>
      </c>
      <c r="K970" s="152" t="s">
        <v>1435</v>
      </c>
      <c r="L970" s="152" t="s">
        <v>1435</v>
      </c>
      <c r="M970" s="152" t="s">
        <v>2675</v>
      </c>
      <c r="N970" s="152" t="s">
        <v>2398</v>
      </c>
      <c r="O970" s="152" t="s">
        <v>2705</v>
      </c>
      <c r="P970" s="152" t="s">
        <v>2705</v>
      </c>
      <c r="Q970" s="152" t="s">
        <v>2705</v>
      </c>
      <c r="R970" s="152" t="s">
        <v>2705</v>
      </c>
      <c r="S970" s="152" t="s">
        <v>2675</v>
      </c>
      <c r="T970" s="152" t="s">
        <v>2705</v>
      </c>
      <c r="U970" s="152" t="s">
        <v>2398</v>
      </c>
    </row>
    <row r="971" spans="1:21" s="142" customFormat="1" ht="12.75" customHeight="1" x14ac:dyDescent="0.2">
      <c r="A971" s="151" t="s">
        <v>7802</v>
      </c>
      <c r="B971" s="152" t="s">
        <v>2398</v>
      </c>
      <c r="C971" s="152" t="s">
        <v>2398</v>
      </c>
      <c r="D971" s="152" t="s">
        <v>2398</v>
      </c>
      <c r="E971" s="152" t="s">
        <v>2398</v>
      </c>
      <c r="F971" s="152" t="s">
        <v>2397</v>
      </c>
      <c r="G971" s="152" t="s">
        <v>2705</v>
      </c>
      <c r="H971" s="152" t="s">
        <v>2705</v>
      </c>
      <c r="I971" s="152" t="s">
        <v>2398</v>
      </c>
      <c r="J971" s="152" t="s">
        <v>2705</v>
      </c>
      <c r="K971" s="152" t="s">
        <v>2705</v>
      </c>
      <c r="L971" s="152" t="s">
        <v>2398</v>
      </c>
      <c r="M971" s="152" t="s">
        <v>2705</v>
      </c>
      <c r="N971" s="152" t="s">
        <v>2398</v>
      </c>
      <c r="O971" s="152" t="s">
        <v>2705</v>
      </c>
      <c r="P971" s="152" t="s">
        <v>2705</v>
      </c>
      <c r="Q971" s="152" t="s">
        <v>2705</v>
      </c>
      <c r="R971" s="152" t="s">
        <v>2398</v>
      </c>
      <c r="S971" s="152" t="s">
        <v>2675</v>
      </c>
      <c r="T971" s="152" t="s">
        <v>2705</v>
      </c>
      <c r="U971" s="152" t="s">
        <v>2705</v>
      </c>
    </row>
    <row r="972" spans="1:21" s="142" customFormat="1" ht="12.75" x14ac:dyDescent="0.2">
      <c r="A972" s="151"/>
      <c r="B972" s="152" t="s">
        <v>2705</v>
      </c>
      <c r="C972" s="152" t="s">
        <v>2675</v>
      </c>
      <c r="D972" s="152" t="s">
        <v>2398</v>
      </c>
      <c r="E972" s="152" t="s">
        <v>1435</v>
      </c>
      <c r="F972" s="152" t="s">
        <v>2705</v>
      </c>
      <c r="G972" s="152" t="s">
        <v>2705</v>
      </c>
      <c r="H972" s="152" t="s">
        <v>2397</v>
      </c>
      <c r="I972" s="152" t="s">
        <v>2398</v>
      </c>
      <c r="J972" s="152" t="s">
        <v>2705</v>
      </c>
      <c r="K972" s="152" t="s">
        <v>2705</v>
      </c>
      <c r="L972" s="152" t="s">
        <v>2398</v>
      </c>
      <c r="M972" s="152" t="s">
        <v>2705</v>
      </c>
      <c r="N972" s="152" t="s">
        <v>2705</v>
      </c>
      <c r="O972" s="152" t="s">
        <v>2705</v>
      </c>
      <c r="P972" s="152" t="s">
        <v>2398</v>
      </c>
      <c r="Q972" s="152" t="s">
        <v>1435</v>
      </c>
      <c r="R972" s="152" t="s">
        <v>2705</v>
      </c>
      <c r="S972" s="152" t="s">
        <v>2705</v>
      </c>
      <c r="T972" s="152" t="s">
        <v>2705</v>
      </c>
      <c r="U972" s="152" t="s">
        <v>2398</v>
      </c>
    </row>
    <row r="973" spans="1:21" s="142" customFormat="1" ht="12.75" customHeight="1" x14ac:dyDescent="0.2">
      <c r="A973" s="151" t="s">
        <v>7803</v>
      </c>
      <c r="B973" s="152" t="s">
        <v>2675</v>
      </c>
      <c r="C973" s="152" t="s">
        <v>2398</v>
      </c>
      <c r="D973" s="152" t="s">
        <v>2675</v>
      </c>
      <c r="E973" s="152" t="s">
        <v>2398</v>
      </c>
      <c r="F973" s="152" t="s">
        <v>2705</v>
      </c>
      <c r="G973" s="152" t="s">
        <v>1435</v>
      </c>
      <c r="H973" s="152" t="s">
        <v>2705</v>
      </c>
      <c r="I973" s="152" t="s">
        <v>2397</v>
      </c>
      <c r="J973" s="152" t="s">
        <v>2705</v>
      </c>
      <c r="K973" s="152" t="s">
        <v>1435</v>
      </c>
      <c r="L973" s="152" t="s">
        <v>2705</v>
      </c>
      <c r="M973" s="152" t="s">
        <v>2705</v>
      </c>
      <c r="N973" s="152" t="s">
        <v>1435</v>
      </c>
      <c r="O973" s="152" t="s">
        <v>2398</v>
      </c>
      <c r="P973" s="152" t="s">
        <v>2675</v>
      </c>
      <c r="Q973" s="152" t="s">
        <v>2397</v>
      </c>
      <c r="R973" s="152" t="s">
        <v>2675</v>
      </c>
      <c r="S973" s="152" t="s">
        <v>2398</v>
      </c>
      <c r="T973" s="152" t="s">
        <v>2398</v>
      </c>
      <c r="U973" s="152" t="s">
        <v>1435</v>
      </c>
    </row>
    <row r="974" spans="1:21" s="142" customFormat="1" ht="12.75" x14ac:dyDescent="0.2">
      <c r="A974" s="151"/>
      <c r="B974" s="152" t="s">
        <v>2675</v>
      </c>
      <c r="C974" s="152" t="s">
        <v>1435</v>
      </c>
      <c r="D974" s="152" t="s">
        <v>2675</v>
      </c>
      <c r="E974" s="152" t="s">
        <v>2705</v>
      </c>
      <c r="F974" s="152" t="s">
        <v>2398</v>
      </c>
      <c r="G974" s="152" t="s">
        <v>2705</v>
      </c>
      <c r="H974" s="152" t="s">
        <v>2705</v>
      </c>
      <c r="I974" s="152" t="s">
        <v>2705</v>
      </c>
      <c r="J974" s="152" t="s">
        <v>2705</v>
      </c>
      <c r="K974" s="152" t="s">
        <v>2675</v>
      </c>
      <c r="L974" s="152" t="s">
        <v>2397</v>
      </c>
      <c r="M974" s="152" t="s">
        <v>2398</v>
      </c>
      <c r="N974" s="152" t="s">
        <v>2705</v>
      </c>
      <c r="O974" s="152" t="s">
        <v>2705</v>
      </c>
      <c r="P974" s="152" t="s">
        <v>2705</v>
      </c>
      <c r="Q974" s="152" t="s">
        <v>2705</v>
      </c>
      <c r="R974" s="152" t="s">
        <v>2398</v>
      </c>
      <c r="S974" s="152" t="s">
        <v>2705</v>
      </c>
      <c r="T974" s="152" t="s">
        <v>1435</v>
      </c>
      <c r="U974" s="152" t="s">
        <v>2398</v>
      </c>
    </row>
    <row r="975" spans="1:21" s="142" customFormat="1" ht="12.75" customHeight="1" x14ac:dyDescent="0.2">
      <c r="A975" s="151" t="s">
        <v>7804</v>
      </c>
      <c r="B975" s="152" t="s">
        <v>2705</v>
      </c>
      <c r="C975" s="152" t="s">
        <v>2398</v>
      </c>
      <c r="D975" s="152" t="s">
        <v>2398</v>
      </c>
      <c r="E975" s="152" t="s">
        <v>2705</v>
      </c>
      <c r="F975" s="152" t="s">
        <v>2705</v>
      </c>
      <c r="G975" s="152" t="s">
        <v>2398</v>
      </c>
      <c r="H975" s="152" t="s">
        <v>2705</v>
      </c>
      <c r="I975" s="152" t="s">
        <v>2705</v>
      </c>
      <c r="J975" s="152" t="s">
        <v>2705</v>
      </c>
      <c r="K975" s="152" t="s">
        <v>2705</v>
      </c>
      <c r="L975" s="152" t="s">
        <v>2398</v>
      </c>
      <c r="M975" s="152" t="s">
        <v>2398</v>
      </c>
      <c r="N975" s="152" t="s">
        <v>2705</v>
      </c>
      <c r="O975" s="152" t="s">
        <v>2398</v>
      </c>
      <c r="P975" s="152" t="s">
        <v>2705</v>
      </c>
      <c r="Q975" s="152" t="s">
        <v>2705</v>
      </c>
      <c r="R975" s="152" t="s">
        <v>2705</v>
      </c>
      <c r="S975" s="152" t="s">
        <v>2705</v>
      </c>
      <c r="T975" s="152" t="s">
        <v>2675</v>
      </c>
      <c r="U975" s="152" t="s">
        <v>2705</v>
      </c>
    </row>
    <row r="976" spans="1:21" s="142" customFormat="1" ht="12.75" x14ac:dyDescent="0.2">
      <c r="A976" s="151"/>
      <c r="B976" s="152" t="s">
        <v>2398</v>
      </c>
      <c r="C976" s="152" t="s">
        <v>2398</v>
      </c>
      <c r="D976" s="152" t="s">
        <v>2705</v>
      </c>
      <c r="E976" s="152" t="s">
        <v>2398</v>
      </c>
      <c r="F976" s="152" t="s">
        <v>2398</v>
      </c>
      <c r="G976" s="152" t="s">
        <v>2705</v>
      </c>
      <c r="H976" s="152" t="s">
        <v>2705</v>
      </c>
      <c r="I976" s="152" t="s">
        <v>2705</v>
      </c>
      <c r="J976" s="152" t="s">
        <v>2705</v>
      </c>
      <c r="K976" s="152" t="s">
        <v>2398</v>
      </c>
      <c r="L976" s="152" t="s">
        <v>2398</v>
      </c>
      <c r="M976" s="152" t="s">
        <v>2398</v>
      </c>
      <c r="N976" s="152" t="s">
        <v>2705</v>
      </c>
      <c r="O976" s="152" t="s">
        <v>2705</v>
      </c>
      <c r="P976" s="152" t="s">
        <v>2705</v>
      </c>
      <c r="Q976" s="152" t="s">
        <v>2705</v>
      </c>
      <c r="R976" s="152" t="s">
        <v>1435</v>
      </c>
      <c r="S976" s="152" t="s">
        <v>2705</v>
      </c>
      <c r="T976" s="152" t="s">
        <v>2398</v>
      </c>
      <c r="U976" s="152" t="s">
        <v>2705</v>
      </c>
    </row>
    <row r="977" spans="1:21" s="142" customFormat="1" ht="12.75" customHeight="1" x14ac:dyDescent="0.2">
      <c r="A977" s="151" t="s">
        <v>7805</v>
      </c>
      <c r="B977" s="152" t="s">
        <v>2705</v>
      </c>
      <c r="C977" s="152" t="s">
        <v>2397</v>
      </c>
      <c r="D977" s="152" t="s">
        <v>2705</v>
      </c>
      <c r="E977" s="152" t="s">
        <v>1435</v>
      </c>
      <c r="F977" s="152" t="s">
        <v>2705</v>
      </c>
      <c r="G977" s="152" t="s">
        <v>2705</v>
      </c>
      <c r="H977" s="152" t="s">
        <v>2705</v>
      </c>
      <c r="I977" s="152" t="s">
        <v>2398</v>
      </c>
      <c r="J977" s="152" t="s">
        <v>2398</v>
      </c>
      <c r="K977" s="152" t="s">
        <v>2398</v>
      </c>
      <c r="L977" s="152" t="s">
        <v>2705</v>
      </c>
      <c r="M977" s="152" t="s">
        <v>2397</v>
      </c>
      <c r="N977" s="152" t="s">
        <v>2675</v>
      </c>
      <c r="O977" s="152" t="s">
        <v>2398</v>
      </c>
      <c r="P977" s="152" t="s">
        <v>2705</v>
      </c>
      <c r="Q977" s="152" t="s">
        <v>1435</v>
      </c>
      <c r="R977" s="152" t="s">
        <v>2398</v>
      </c>
      <c r="S977" s="152" t="s">
        <v>2398</v>
      </c>
      <c r="T977" s="152" t="s">
        <v>2398</v>
      </c>
      <c r="U977" s="152" t="s">
        <v>2705</v>
      </c>
    </row>
    <row r="978" spans="1:21" s="142" customFormat="1" ht="12.75" x14ac:dyDescent="0.2">
      <c r="A978" s="151"/>
      <c r="B978" s="152" t="s">
        <v>2398</v>
      </c>
      <c r="C978" s="152" t="s">
        <v>2398</v>
      </c>
      <c r="D978" s="152" t="s">
        <v>2705</v>
      </c>
      <c r="E978" s="152" t="s">
        <v>2705</v>
      </c>
      <c r="F978" s="152" t="s">
        <v>2705</v>
      </c>
      <c r="G978" s="152" t="s">
        <v>2675</v>
      </c>
      <c r="H978" s="152" t="s">
        <v>2398</v>
      </c>
      <c r="I978" s="152" t="s">
        <v>2398</v>
      </c>
      <c r="J978" s="152" t="s">
        <v>2398</v>
      </c>
      <c r="K978" s="152" t="s">
        <v>2398</v>
      </c>
      <c r="L978" s="152" t="s">
        <v>2397</v>
      </c>
      <c r="M978" s="152" t="s">
        <v>2398</v>
      </c>
      <c r="N978" s="152" t="s">
        <v>1435</v>
      </c>
      <c r="O978" s="152" t="s">
        <v>2705</v>
      </c>
      <c r="P978" s="152" t="s">
        <v>2398</v>
      </c>
      <c r="Q978" s="152" t="s">
        <v>2705</v>
      </c>
      <c r="R978" s="152" t="s">
        <v>2398</v>
      </c>
      <c r="S978" s="152" t="s">
        <v>2705</v>
      </c>
      <c r="T978" s="152" t="s">
        <v>2398</v>
      </c>
      <c r="U978" s="152" t="s">
        <v>2705</v>
      </c>
    </row>
    <row r="979" spans="1:21" s="142" customFormat="1" ht="12.75" customHeight="1" x14ac:dyDescent="0.2">
      <c r="A979" s="151" t="s">
        <v>7806</v>
      </c>
      <c r="B979" s="152" t="s">
        <v>2397</v>
      </c>
      <c r="C979" s="152" t="s">
        <v>2398</v>
      </c>
      <c r="D979" s="152" t="s">
        <v>2398</v>
      </c>
      <c r="E979" s="152" t="s">
        <v>2705</v>
      </c>
      <c r="F979" s="152" t="s">
        <v>2705</v>
      </c>
      <c r="G979" s="152" t="s">
        <v>2705</v>
      </c>
      <c r="H979" s="152" t="s">
        <v>2398</v>
      </c>
      <c r="I979" s="152" t="s">
        <v>2705</v>
      </c>
      <c r="J979" s="152" t="s">
        <v>2675</v>
      </c>
      <c r="K979" s="152" t="s">
        <v>2705</v>
      </c>
      <c r="L979" s="152" t="s">
        <v>2705</v>
      </c>
      <c r="M979" s="152" t="s">
        <v>2705</v>
      </c>
      <c r="N979" s="152" t="s">
        <v>2705</v>
      </c>
      <c r="O979" s="152" t="s">
        <v>2398</v>
      </c>
      <c r="P979" s="152" t="s">
        <v>2398</v>
      </c>
      <c r="Q979" s="152" t="s">
        <v>2705</v>
      </c>
      <c r="R979" s="152" t="s">
        <v>2705</v>
      </c>
      <c r="S979" s="152" t="s">
        <v>2705</v>
      </c>
      <c r="T979" s="152" t="s">
        <v>2398</v>
      </c>
      <c r="U979" s="152" t="s">
        <v>2705</v>
      </c>
    </row>
    <row r="980" spans="1:21" s="142" customFormat="1" ht="12.75" x14ac:dyDescent="0.2">
      <c r="A980" s="151"/>
      <c r="B980" s="152" t="s">
        <v>2398</v>
      </c>
      <c r="C980" s="152" t="s">
        <v>2398</v>
      </c>
      <c r="D980" s="152" t="s">
        <v>2398</v>
      </c>
      <c r="E980" s="152" t="s">
        <v>1435</v>
      </c>
      <c r="F980" s="152" t="s">
        <v>2398</v>
      </c>
      <c r="G980" s="152" t="s">
        <v>2705</v>
      </c>
      <c r="H980" s="152" t="s">
        <v>2705</v>
      </c>
      <c r="I980" s="152" t="s">
        <v>2675</v>
      </c>
      <c r="J980" s="152" t="s">
        <v>2705</v>
      </c>
      <c r="K980" s="152" t="s">
        <v>2705</v>
      </c>
      <c r="L980" s="152" t="s">
        <v>2705</v>
      </c>
      <c r="M980" s="152" t="s">
        <v>2705</v>
      </c>
      <c r="N980" s="152" t="s">
        <v>2675</v>
      </c>
      <c r="O980" s="152" t="s">
        <v>2705</v>
      </c>
      <c r="P980" s="152" t="s">
        <v>1435</v>
      </c>
      <c r="Q980" s="152" t="s">
        <v>2705</v>
      </c>
      <c r="R980" s="152" t="s">
        <v>1435</v>
      </c>
      <c r="S980" s="152" t="s">
        <v>2705</v>
      </c>
      <c r="T980" s="152" t="s">
        <v>2705</v>
      </c>
      <c r="U980" s="152" t="s">
        <v>2705</v>
      </c>
    </row>
    <row r="981" spans="1:21" s="142" customFormat="1" ht="12.75" customHeight="1" x14ac:dyDescent="0.2">
      <c r="A981" s="151" t="s">
        <v>7807</v>
      </c>
      <c r="B981" s="152" t="s">
        <v>2705</v>
      </c>
      <c r="C981" s="152" t="s">
        <v>2398</v>
      </c>
      <c r="D981" s="152" t="s">
        <v>2398</v>
      </c>
      <c r="E981" s="152" t="s">
        <v>2705</v>
      </c>
      <c r="F981" s="152" t="s">
        <v>2705</v>
      </c>
      <c r="G981" s="152" t="s">
        <v>2705</v>
      </c>
      <c r="H981" s="152" t="s">
        <v>1435</v>
      </c>
      <c r="I981" s="152" t="s">
        <v>2705</v>
      </c>
      <c r="J981" s="152" t="s">
        <v>2675</v>
      </c>
      <c r="K981" s="152" t="s">
        <v>2705</v>
      </c>
      <c r="L981" s="152" t="s">
        <v>2398</v>
      </c>
      <c r="M981" s="152" t="s">
        <v>2705</v>
      </c>
      <c r="N981" s="152" t="s">
        <v>2705</v>
      </c>
      <c r="O981" s="152" t="s">
        <v>2705</v>
      </c>
      <c r="P981" s="152" t="s">
        <v>2398</v>
      </c>
      <c r="Q981" s="152" t="s">
        <v>2675</v>
      </c>
      <c r="R981" s="152" t="s">
        <v>2398</v>
      </c>
      <c r="S981" s="152" t="s">
        <v>2398</v>
      </c>
      <c r="T981" s="152" t="s">
        <v>2705</v>
      </c>
      <c r="U981" s="152" t="s">
        <v>2705</v>
      </c>
    </row>
    <row r="982" spans="1:21" s="142" customFormat="1" ht="12.75" x14ac:dyDescent="0.2">
      <c r="A982" s="151"/>
      <c r="B982" s="152" t="s">
        <v>2705</v>
      </c>
      <c r="C982" s="152" t="s">
        <v>2705</v>
      </c>
      <c r="D982" s="152" t="s">
        <v>2705</v>
      </c>
      <c r="E982" s="152" t="s">
        <v>2705</v>
      </c>
      <c r="F982" s="152" t="s">
        <v>2705</v>
      </c>
      <c r="G982" s="152" t="s">
        <v>2398</v>
      </c>
      <c r="H982" s="152" t="s">
        <v>2705</v>
      </c>
      <c r="I982" s="152" t="s">
        <v>2705</v>
      </c>
      <c r="J982" s="152" t="s">
        <v>1435</v>
      </c>
      <c r="K982" s="152" t="s">
        <v>2705</v>
      </c>
      <c r="L982" s="152" t="s">
        <v>2398</v>
      </c>
      <c r="M982" s="152" t="s">
        <v>2398</v>
      </c>
      <c r="N982" s="152" t="s">
        <v>2705</v>
      </c>
      <c r="O982" s="152" t="s">
        <v>2705</v>
      </c>
      <c r="P982" s="152" t="s">
        <v>2705</v>
      </c>
      <c r="Q982" s="152" t="s">
        <v>2705</v>
      </c>
      <c r="R982" s="152" t="s">
        <v>1435</v>
      </c>
      <c r="S982" s="152" t="s">
        <v>2398</v>
      </c>
      <c r="T982" s="152" t="s">
        <v>2705</v>
      </c>
      <c r="U982" s="152" t="s">
        <v>2705</v>
      </c>
    </row>
    <row r="983" spans="1:21" s="142" customFormat="1" ht="12.75" customHeight="1" x14ac:dyDescent="0.2">
      <c r="A983" s="151" t="s">
        <v>7808</v>
      </c>
      <c r="B983" s="152" t="s">
        <v>2705</v>
      </c>
      <c r="C983" s="152" t="s">
        <v>2705</v>
      </c>
      <c r="D983" s="152" t="s">
        <v>2705</v>
      </c>
      <c r="E983" s="152" t="s">
        <v>1435</v>
      </c>
      <c r="F983" s="152" t="s">
        <v>2705</v>
      </c>
      <c r="G983" s="152" t="s">
        <v>2705</v>
      </c>
      <c r="H983" s="152" t="s">
        <v>2705</v>
      </c>
      <c r="I983" s="152" t="s">
        <v>2705</v>
      </c>
      <c r="J983" s="152" t="s">
        <v>2398</v>
      </c>
      <c r="K983" s="152" t="s">
        <v>1435</v>
      </c>
      <c r="L983" s="152" t="s">
        <v>2705</v>
      </c>
      <c r="M983" s="152" t="s">
        <v>2705</v>
      </c>
      <c r="N983" s="152" t="s">
        <v>2398</v>
      </c>
      <c r="O983" s="152" t="s">
        <v>2397</v>
      </c>
      <c r="P983" s="152" t="s">
        <v>2705</v>
      </c>
      <c r="Q983" s="152" t="s">
        <v>2398</v>
      </c>
      <c r="R983" s="152" t="s">
        <v>2398</v>
      </c>
      <c r="S983" s="152" t="s">
        <v>2398</v>
      </c>
      <c r="T983" s="152" t="s">
        <v>2398</v>
      </c>
      <c r="U983" s="152" t="s">
        <v>2705</v>
      </c>
    </row>
    <row r="984" spans="1:21" s="142" customFormat="1" ht="12.75" x14ac:dyDescent="0.2">
      <c r="A984" s="151"/>
      <c r="B984" s="152" t="s">
        <v>2397</v>
      </c>
      <c r="C984" s="152" t="s">
        <v>2398</v>
      </c>
      <c r="D984" s="152" t="s">
        <v>2398</v>
      </c>
      <c r="E984" s="152" t="s">
        <v>2705</v>
      </c>
      <c r="F984" s="152" t="s">
        <v>2705</v>
      </c>
      <c r="G984" s="152" t="s">
        <v>2675</v>
      </c>
      <c r="H984" s="152" t="s">
        <v>2398</v>
      </c>
      <c r="I984" s="152" t="s">
        <v>2705</v>
      </c>
      <c r="J984" s="152" t="s">
        <v>2705</v>
      </c>
      <c r="K984" s="152" t="s">
        <v>2398</v>
      </c>
      <c r="L984" s="152" t="s">
        <v>2705</v>
      </c>
      <c r="M984" s="152" t="s">
        <v>2398</v>
      </c>
      <c r="N984" s="152" t="s">
        <v>2705</v>
      </c>
      <c r="O984" s="152" t="s">
        <v>2705</v>
      </c>
      <c r="P984" s="152" t="s">
        <v>2398</v>
      </c>
      <c r="Q984" s="152" t="s">
        <v>2398</v>
      </c>
      <c r="R984" s="152" t="s">
        <v>1435</v>
      </c>
      <c r="S984" s="152" t="s">
        <v>2705</v>
      </c>
      <c r="T984" s="152" t="s">
        <v>2705</v>
      </c>
      <c r="U984" s="152" t="s">
        <v>2705</v>
      </c>
    </row>
    <row r="985" spans="1:21" s="142" customFormat="1" ht="12.75" customHeight="1" x14ac:dyDescent="0.2">
      <c r="A985" s="151" t="s">
        <v>7809</v>
      </c>
      <c r="B985" s="152" t="s">
        <v>2705</v>
      </c>
      <c r="C985" s="152" t="s">
        <v>2675</v>
      </c>
      <c r="D985" s="152" t="s">
        <v>1435</v>
      </c>
      <c r="E985" s="152" t="s">
        <v>1435</v>
      </c>
      <c r="F985" s="152" t="s">
        <v>2398</v>
      </c>
      <c r="G985" s="152" t="s">
        <v>2705</v>
      </c>
      <c r="H985" s="152" t="s">
        <v>2398</v>
      </c>
      <c r="I985" s="152" t="s">
        <v>2705</v>
      </c>
      <c r="J985" s="152" t="s">
        <v>2705</v>
      </c>
      <c r="K985" s="152" t="s">
        <v>2398</v>
      </c>
      <c r="L985" s="152" t="s">
        <v>2705</v>
      </c>
      <c r="M985" s="152" t="s">
        <v>2398</v>
      </c>
      <c r="N985" s="152" t="s">
        <v>2398</v>
      </c>
      <c r="O985" s="152" t="s">
        <v>2398</v>
      </c>
      <c r="P985" s="152" t="s">
        <v>2705</v>
      </c>
      <c r="Q985" s="152" t="s">
        <v>2397</v>
      </c>
      <c r="R985" s="152" t="s">
        <v>2705</v>
      </c>
      <c r="S985" s="152" t="s">
        <v>2705</v>
      </c>
      <c r="T985" s="152" t="s">
        <v>2397</v>
      </c>
      <c r="U985" s="152" t="s">
        <v>2705</v>
      </c>
    </row>
    <row r="986" spans="1:21" s="142" customFormat="1" ht="12.75" x14ac:dyDescent="0.2">
      <c r="A986" s="151"/>
      <c r="B986" s="152" t="s">
        <v>2675</v>
      </c>
      <c r="C986" s="152" t="s">
        <v>2675</v>
      </c>
      <c r="D986" s="152" t="s">
        <v>2705</v>
      </c>
      <c r="E986" s="152" t="s">
        <v>2705</v>
      </c>
      <c r="F986" s="152" t="s">
        <v>2705</v>
      </c>
      <c r="G986" s="152" t="s">
        <v>2675</v>
      </c>
      <c r="H986" s="152" t="s">
        <v>2705</v>
      </c>
      <c r="I986" s="152" t="s">
        <v>2398</v>
      </c>
      <c r="J986" s="152" t="s">
        <v>2397</v>
      </c>
      <c r="K986" s="152" t="s">
        <v>2398</v>
      </c>
      <c r="L986" s="152" t="s">
        <v>2398</v>
      </c>
      <c r="M986" s="152" t="s">
        <v>2705</v>
      </c>
      <c r="N986" s="152" t="s">
        <v>2705</v>
      </c>
      <c r="O986" s="152" t="s">
        <v>2398</v>
      </c>
      <c r="P986" s="152" t="s">
        <v>2705</v>
      </c>
      <c r="Q986" s="152" t="s">
        <v>2398</v>
      </c>
      <c r="R986" s="152" t="s">
        <v>2675</v>
      </c>
      <c r="S986" s="152" t="s">
        <v>2705</v>
      </c>
      <c r="T986" s="152" t="s">
        <v>2397</v>
      </c>
      <c r="U986" s="152" t="s">
        <v>2398</v>
      </c>
    </row>
    <row r="987" spans="1:21" s="142" customFormat="1" ht="12.75" customHeight="1" x14ac:dyDescent="0.2">
      <c r="A987" s="151" t="s">
        <v>7810</v>
      </c>
      <c r="B987" s="152" t="s">
        <v>2398</v>
      </c>
      <c r="C987" s="152" t="s">
        <v>2398</v>
      </c>
      <c r="D987" s="152" t="s">
        <v>2398</v>
      </c>
      <c r="E987" s="152" t="s">
        <v>2397</v>
      </c>
      <c r="F987" s="152" t="s">
        <v>2398</v>
      </c>
      <c r="G987" s="152" t="s">
        <v>2398</v>
      </c>
      <c r="H987" s="152" t="s">
        <v>2675</v>
      </c>
      <c r="I987" s="152" t="s">
        <v>2398</v>
      </c>
      <c r="J987" s="152" t="s">
        <v>2675</v>
      </c>
      <c r="K987" s="152" t="s">
        <v>2398</v>
      </c>
      <c r="L987" s="152" t="s">
        <v>2398</v>
      </c>
      <c r="M987" s="152" t="s">
        <v>2398</v>
      </c>
      <c r="N987" s="152" t="s">
        <v>2398</v>
      </c>
      <c r="O987" s="152" t="s">
        <v>2705</v>
      </c>
      <c r="P987" s="152" t="s">
        <v>2705</v>
      </c>
      <c r="Q987" s="152" t="s">
        <v>2705</v>
      </c>
      <c r="R987" s="152" t="s">
        <v>2705</v>
      </c>
      <c r="S987" s="152" t="s">
        <v>2705</v>
      </c>
      <c r="T987" s="152" t="s">
        <v>2398</v>
      </c>
      <c r="U987" s="152" t="s">
        <v>2398</v>
      </c>
    </row>
    <row r="988" spans="1:21" s="142" customFormat="1" ht="12.75" x14ac:dyDescent="0.2">
      <c r="A988" s="151"/>
      <c r="B988" s="152" t="s">
        <v>2705</v>
      </c>
      <c r="C988" s="152" t="s">
        <v>2398</v>
      </c>
      <c r="D988" s="152" t="s">
        <v>1435</v>
      </c>
      <c r="E988" s="152" t="s">
        <v>2705</v>
      </c>
      <c r="F988" s="152" t="s">
        <v>2398</v>
      </c>
      <c r="G988" s="152" t="s">
        <v>2705</v>
      </c>
      <c r="H988" s="152" t="s">
        <v>1435</v>
      </c>
      <c r="I988" s="152" t="s">
        <v>2705</v>
      </c>
      <c r="J988" s="152" t="s">
        <v>2397</v>
      </c>
      <c r="K988" s="152" t="s">
        <v>2705</v>
      </c>
      <c r="L988" s="152" t="s">
        <v>2705</v>
      </c>
      <c r="M988" s="152" t="s">
        <v>2398</v>
      </c>
      <c r="N988" s="152" t="s">
        <v>2397</v>
      </c>
      <c r="O988" s="152" t="s">
        <v>1435</v>
      </c>
      <c r="P988" s="152" t="s">
        <v>2705</v>
      </c>
      <c r="Q988" s="152" t="s">
        <v>2398</v>
      </c>
      <c r="R988" s="152" t="s">
        <v>2705</v>
      </c>
      <c r="S988" s="152" t="s">
        <v>2705</v>
      </c>
      <c r="T988" s="152" t="s">
        <v>2675</v>
      </c>
      <c r="U988" s="152" t="s">
        <v>2398</v>
      </c>
    </row>
    <row r="989" spans="1:21" s="142" customFormat="1" ht="12.75" customHeight="1" x14ac:dyDescent="0.2">
      <c r="A989" s="151" t="s">
        <v>7811</v>
      </c>
      <c r="B989" s="152" t="s">
        <v>2397</v>
      </c>
      <c r="C989" s="152" t="s">
        <v>2705</v>
      </c>
      <c r="D989" s="152" t="s">
        <v>2398</v>
      </c>
      <c r="E989" s="152" t="s">
        <v>2705</v>
      </c>
      <c r="F989" s="152" t="s">
        <v>2398</v>
      </c>
      <c r="G989" s="152" t="s">
        <v>2705</v>
      </c>
      <c r="H989" s="152" t="s">
        <v>2705</v>
      </c>
      <c r="I989" s="152" t="s">
        <v>2675</v>
      </c>
      <c r="J989" s="152" t="s">
        <v>1435</v>
      </c>
      <c r="K989" s="152" t="s">
        <v>2705</v>
      </c>
      <c r="L989" s="152" t="s">
        <v>2705</v>
      </c>
      <c r="M989" s="152" t="s">
        <v>2705</v>
      </c>
      <c r="N989" s="152" t="s">
        <v>2398</v>
      </c>
      <c r="O989" s="152" t="s">
        <v>2705</v>
      </c>
      <c r="P989" s="152" t="s">
        <v>2705</v>
      </c>
      <c r="Q989" s="152" t="s">
        <v>2705</v>
      </c>
      <c r="R989" s="152" t="s">
        <v>2675</v>
      </c>
      <c r="S989" s="152" t="s">
        <v>2675</v>
      </c>
      <c r="T989" s="152" t="s">
        <v>2705</v>
      </c>
      <c r="U989" s="152" t="s">
        <v>2705</v>
      </c>
    </row>
    <row r="990" spans="1:21" s="142" customFormat="1" ht="12.75" x14ac:dyDescent="0.2">
      <c r="A990" s="151"/>
      <c r="B990" s="152" t="s">
        <v>2705</v>
      </c>
      <c r="C990" s="152" t="s">
        <v>2398</v>
      </c>
      <c r="D990" s="152" t="s">
        <v>2398</v>
      </c>
      <c r="E990" s="152" t="s">
        <v>2398</v>
      </c>
      <c r="F990" s="152" t="s">
        <v>2705</v>
      </c>
      <c r="G990" s="152" t="s">
        <v>2705</v>
      </c>
      <c r="H990" s="152" t="s">
        <v>2397</v>
      </c>
      <c r="I990" s="152" t="s">
        <v>2705</v>
      </c>
      <c r="J990" s="152" t="s">
        <v>2397</v>
      </c>
      <c r="K990" s="152" t="s">
        <v>1435</v>
      </c>
      <c r="L990" s="152" t="s">
        <v>2705</v>
      </c>
      <c r="M990" s="152" t="s">
        <v>2398</v>
      </c>
      <c r="N990" s="152" t="s">
        <v>2705</v>
      </c>
      <c r="O990" s="152" t="s">
        <v>2398</v>
      </c>
      <c r="P990" s="152" t="s">
        <v>1435</v>
      </c>
      <c r="Q990" s="152" t="s">
        <v>2705</v>
      </c>
      <c r="R990" s="152" t="s">
        <v>2705</v>
      </c>
      <c r="S990" s="152" t="s">
        <v>2705</v>
      </c>
      <c r="T990" s="152" t="s">
        <v>2705</v>
      </c>
      <c r="U990" s="152" t="s">
        <v>2398</v>
      </c>
    </row>
    <row r="991" spans="1:21" s="142" customFormat="1" ht="12.75" customHeight="1" x14ac:dyDescent="0.2">
      <c r="A991" s="151" t="s">
        <v>7812</v>
      </c>
      <c r="B991" s="152" t="s">
        <v>2705</v>
      </c>
      <c r="C991" s="152" t="s">
        <v>2398</v>
      </c>
      <c r="D991" s="152" t="s">
        <v>2705</v>
      </c>
      <c r="E991" s="152" t="s">
        <v>2705</v>
      </c>
      <c r="F991" s="152" t="s">
        <v>2705</v>
      </c>
      <c r="G991" s="152" t="s">
        <v>2398</v>
      </c>
      <c r="H991" s="152" t="s">
        <v>2705</v>
      </c>
      <c r="I991" s="152" t="s">
        <v>2705</v>
      </c>
      <c r="J991" s="152" t="s">
        <v>2398</v>
      </c>
      <c r="K991" s="152" t="s">
        <v>2705</v>
      </c>
      <c r="L991" s="152" t="s">
        <v>2705</v>
      </c>
      <c r="M991" s="152" t="s">
        <v>2705</v>
      </c>
      <c r="N991" s="152" t="s">
        <v>2398</v>
      </c>
      <c r="O991" s="152" t="s">
        <v>2398</v>
      </c>
      <c r="P991" s="152" t="s">
        <v>2705</v>
      </c>
      <c r="Q991" s="152" t="s">
        <v>2398</v>
      </c>
      <c r="R991" s="152" t="s">
        <v>2705</v>
      </c>
      <c r="S991" s="152" t="s">
        <v>2398</v>
      </c>
      <c r="T991" s="152" t="s">
        <v>2705</v>
      </c>
      <c r="U991" s="152" t="s">
        <v>2398</v>
      </c>
    </row>
    <row r="992" spans="1:21" s="142" customFormat="1" ht="12.75" x14ac:dyDescent="0.2">
      <c r="A992" s="151"/>
      <c r="B992" s="152" t="s">
        <v>2398</v>
      </c>
      <c r="C992" s="152" t="s">
        <v>2398</v>
      </c>
      <c r="D992" s="152" t="s">
        <v>2705</v>
      </c>
      <c r="E992" s="152" t="s">
        <v>2705</v>
      </c>
      <c r="F992" s="152" t="s">
        <v>2705</v>
      </c>
      <c r="G992" s="152" t="s">
        <v>2398</v>
      </c>
      <c r="H992" s="152" t="s">
        <v>2705</v>
      </c>
      <c r="I992" s="152" t="s">
        <v>2705</v>
      </c>
      <c r="J992" s="152" t="s">
        <v>2705</v>
      </c>
      <c r="K992" s="152" t="s">
        <v>2398</v>
      </c>
      <c r="L992" s="152" t="s">
        <v>2705</v>
      </c>
      <c r="M992" s="152" t="s">
        <v>2398</v>
      </c>
      <c r="N992" s="152" t="s">
        <v>2705</v>
      </c>
      <c r="O992" s="152" t="s">
        <v>2705</v>
      </c>
      <c r="P992" s="152" t="s">
        <v>2705</v>
      </c>
      <c r="Q992" s="152" t="s">
        <v>2398</v>
      </c>
      <c r="R992" s="152" t="s">
        <v>2705</v>
      </c>
      <c r="S992" s="152" t="s">
        <v>2705</v>
      </c>
      <c r="T992" s="152" t="s">
        <v>2705</v>
      </c>
      <c r="U992" s="152" t="s">
        <v>2705</v>
      </c>
    </row>
    <row r="993" spans="1:21" s="142" customFormat="1" ht="12.75" customHeight="1" x14ac:dyDescent="0.2">
      <c r="A993" s="151" t="s">
        <v>7813</v>
      </c>
      <c r="B993" s="152" t="s">
        <v>2705</v>
      </c>
      <c r="C993" s="152" t="s">
        <v>2705</v>
      </c>
      <c r="D993" s="152" t="s">
        <v>2705</v>
      </c>
      <c r="E993" s="152" t="s">
        <v>2705</v>
      </c>
      <c r="F993" s="152" t="s">
        <v>2398</v>
      </c>
      <c r="G993" s="152" t="s">
        <v>2705</v>
      </c>
      <c r="H993" s="152" t="s">
        <v>2398</v>
      </c>
      <c r="I993" s="152" t="s">
        <v>2705</v>
      </c>
      <c r="J993" s="152" t="s">
        <v>2705</v>
      </c>
      <c r="K993" s="152" t="s">
        <v>2398</v>
      </c>
      <c r="L993" s="152" t="s">
        <v>2705</v>
      </c>
      <c r="M993" s="152" t="s">
        <v>2398</v>
      </c>
      <c r="N993" s="152" t="s">
        <v>2705</v>
      </c>
      <c r="O993" s="152" t="s">
        <v>2398</v>
      </c>
      <c r="P993" s="152" t="s">
        <v>2675</v>
      </c>
      <c r="Q993" s="152" t="s">
        <v>2398</v>
      </c>
      <c r="R993" s="152" t="s">
        <v>2398</v>
      </c>
      <c r="S993" s="152" t="s">
        <v>2398</v>
      </c>
      <c r="T993" s="152" t="s">
        <v>2398</v>
      </c>
      <c r="U993" s="152" t="s">
        <v>2705</v>
      </c>
    </row>
    <row r="994" spans="1:21" s="142" customFormat="1" ht="12.75" x14ac:dyDescent="0.2">
      <c r="A994" s="151"/>
      <c r="B994" s="152" t="s">
        <v>2705</v>
      </c>
      <c r="C994" s="152" t="s">
        <v>2398</v>
      </c>
      <c r="D994" s="152" t="s">
        <v>2705</v>
      </c>
      <c r="E994" s="152" t="s">
        <v>2398</v>
      </c>
      <c r="F994" s="152" t="s">
        <v>2705</v>
      </c>
      <c r="G994" s="152" t="s">
        <v>1435</v>
      </c>
      <c r="H994" s="152" t="s">
        <v>2398</v>
      </c>
      <c r="I994" s="152" t="s">
        <v>2705</v>
      </c>
      <c r="J994" s="152" t="s">
        <v>2705</v>
      </c>
      <c r="K994" s="152" t="s">
        <v>1435</v>
      </c>
      <c r="L994" s="152" t="s">
        <v>2398</v>
      </c>
      <c r="M994" s="152" t="s">
        <v>2675</v>
      </c>
      <c r="N994" s="152" t="s">
        <v>2398</v>
      </c>
      <c r="O994" s="152" t="s">
        <v>2705</v>
      </c>
      <c r="P994" s="152" t="s">
        <v>2705</v>
      </c>
      <c r="Q994" s="152" t="s">
        <v>2705</v>
      </c>
      <c r="R994" s="152" t="s">
        <v>2398</v>
      </c>
      <c r="S994" s="152" t="s">
        <v>2398</v>
      </c>
      <c r="T994" s="152" t="s">
        <v>2398</v>
      </c>
      <c r="U994" s="152" t="s">
        <v>2705</v>
      </c>
    </row>
    <row r="995" spans="1:21" s="142" customFormat="1" ht="12.75" customHeight="1" x14ac:dyDescent="0.2">
      <c r="A995" s="151" t="s">
        <v>7814</v>
      </c>
      <c r="B995" s="152" t="s">
        <v>2705</v>
      </c>
      <c r="C995" s="152" t="s">
        <v>2397</v>
      </c>
      <c r="D995" s="152" t="s">
        <v>2675</v>
      </c>
      <c r="E995" s="152" t="s">
        <v>2398</v>
      </c>
      <c r="F995" s="152" t="s">
        <v>2705</v>
      </c>
      <c r="G995" s="152" t="s">
        <v>2398</v>
      </c>
      <c r="H995" s="152" t="s">
        <v>2397</v>
      </c>
      <c r="I995" s="152" t="s">
        <v>2398</v>
      </c>
      <c r="J995" s="152" t="s">
        <v>2398</v>
      </c>
      <c r="K995" s="152" t="s">
        <v>1435</v>
      </c>
      <c r="L995" s="152" t="s">
        <v>2705</v>
      </c>
      <c r="M995" s="152" t="s">
        <v>2705</v>
      </c>
      <c r="N995" s="152" t="s">
        <v>2705</v>
      </c>
      <c r="O995" s="152" t="s">
        <v>2398</v>
      </c>
      <c r="P995" s="152" t="s">
        <v>2675</v>
      </c>
      <c r="Q995" s="152" t="s">
        <v>1435</v>
      </c>
      <c r="R995" s="152" t="s">
        <v>2397</v>
      </c>
      <c r="S995" s="152" t="s">
        <v>2398</v>
      </c>
      <c r="T995" s="152" t="s">
        <v>2398</v>
      </c>
      <c r="U995" s="152" t="s">
        <v>2705</v>
      </c>
    </row>
    <row r="996" spans="1:21" s="142" customFormat="1" ht="12.75" x14ac:dyDescent="0.2">
      <c r="A996" s="151"/>
      <c r="B996" s="152" t="s">
        <v>2398</v>
      </c>
      <c r="C996" s="152" t="s">
        <v>2705</v>
      </c>
      <c r="D996" s="152" t="s">
        <v>1435</v>
      </c>
      <c r="E996" s="152" t="s">
        <v>2705</v>
      </c>
      <c r="F996" s="152" t="s">
        <v>2675</v>
      </c>
      <c r="G996" s="152" t="s">
        <v>2705</v>
      </c>
      <c r="H996" s="152" t="s">
        <v>2705</v>
      </c>
      <c r="I996" s="152" t="s">
        <v>2398</v>
      </c>
      <c r="J996" s="152" t="s">
        <v>2705</v>
      </c>
      <c r="K996" s="152" t="s">
        <v>2398</v>
      </c>
      <c r="L996" s="152" t="s">
        <v>2398</v>
      </c>
      <c r="M996" s="152" t="s">
        <v>2398</v>
      </c>
      <c r="N996" s="152" t="s">
        <v>2705</v>
      </c>
      <c r="O996" s="152" t="s">
        <v>2705</v>
      </c>
      <c r="P996" s="152" t="s">
        <v>2398</v>
      </c>
      <c r="Q996" s="152" t="s">
        <v>2398</v>
      </c>
      <c r="R996" s="152" t="s">
        <v>2675</v>
      </c>
      <c r="S996" s="152" t="s">
        <v>2397</v>
      </c>
      <c r="T996" s="152" t="s">
        <v>2398</v>
      </c>
      <c r="U996" s="152" t="s">
        <v>2705</v>
      </c>
    </row>
    <row r="997" spans="1:21" s="142" customFormat="1" ht="12.75" customHeight="1" x14ac:dyDescent="0.2">
      <c r="A997" s="151" t="s">
        <v>7815</v>
      </c>
      <c r="B997" s="152" t="s">
        <v>2705</v>
      </c>
      <c r="C997" s="152" t="s">
        <v>2705</v>
      </c>
      <c r="D997" s="152" t="s">
        <v>2705</v>
      </c>
      <c r="E997" s="152" t="s">
        <v>2705</v>
      </c>
      <c r="F997" s="152" t="s">
        <v>2705</v>
      </c>
      <c r="G997" s="152" t="s">
        <v>2705</v>
      </c>
      <c r="H997" s="152" t="s">
        <v>2398</v>
      </c>
      <c r="I997" s="152" t="s">
        <v>2705</v>
      </c>
      <c r="J997" s="152" t="s">
        <v>2398</v>
      </c>
      <c r="K997" s="152" t="s">
        <v>2705</v>
      </c>
      <c r="L997" s="152" t="s">
        <v>2397</v>
      </c>
      <c r="M997" s="152" t="s">
        <v>2705</v>
      </c>
      <c r="N997" s="152" t="s">
        <v>2705</v>
      </c>
      <c r="O997" s="152" t="s">
        <v>2705</v>
      </c>
      <c r="P997" s="152" t="s">
        <v>2398</v>
      </c>
      <c r="Q997" s="152" t="s">
        <v>2675</v>
      </c>
      <c r="R997" s="152" t="s">
        <v>2398</v>
      </c>
      <c r="S997" s="152" t="s">
        <v>2398</v>
      </c>
      <c r="T997" s="152" t="s">
        <v>2398</v>
      </c>
      <c r="U997" s="152" t="s">
        <v>2705</v>
      </c>
    </row>
    <row r="998" spans="1:21" s="142" customFormat="1" ht="12.75" x14ac:dyDescent="0.2">
      <c r="A998" s="151"/>
      <c r="B998" s="152" t="s">
        <v>2705</v>
      </c>
      <c r="C998" s="152" t="s">
        <v>2675</v>
      </c>
      <c r="D998" s="152" t="s">
        <v>2398</v>
      </c>
      <c r="E998" s="152" t="s">
        <v>2705</v>
      </c>
      <c r="F998" s="152" t="s">
        <v>2705</v>
      </c>
      <c r="G998" s="152" t="s">
        <v>2705</v>
      </c>
      <c r="H998" s="152" t="s">
        <v>2398</v>
      </c>
      <c r="I998" s="152" t="s">
        <v>2705</v>
      </c>
      <c r="J998" s="152" t="s">
        <v>2705</v>
      </c>
      <c r="K998" s="152" t="s">
        <v>2705</v>
      </c>
      <c r="L998" s="152" t="s">
        <v>2705</v>
      </c>
      <c r="M998" s="152" t="s">
        <v>2705</v>
      </c>
      <c r="N998" s="152" t="s">
        <v>2705</v>
      </c>
      <c r="O998" s="152" t="s">
        <v>2705</v>
      </c>
      <c r="P998" s="152" t="s">
        <v>2705</v>
      </c>
      <c r="Q998" s="152" t="s">
        <v>2705</v>
      </c>
      <c r="R998" s="152" t="s">
        <v>2398</v>
      </c>
      <c r="S998" s="152" t="s">
        <v>2398</v>
      </c>
      <c r="T998" s="152" t="s">
        <v>2705</v>
      </c>
      <c r="U998" s="152" t="s">
        <v>2705</v>
      </c>
    </row>
    <row r="999" spans="1:21" s="142" customFormat="1" ht="12.75" customHeight="1" x14ac:dyDescent="0.2">
      <c r="A999" s="151" t="s">
        <v>7816</v>
      </c>
      <c r="B999" s="152" t="s">
        <v>2398</v>
      </c>
      <c r="C999" s="152" t="s">
        <v>2705</v>
      </c>
      <c r="D999" s="152" t="s">
        <v>2705</v>
      </c>
      <c r="E999" s="152" t="s">
        <v>2397</v>
      </c>
      <c r="F999" s="152" t="s">
        <v>2705</v>
      </c>
      <c r="G999" s="152" t="s">
        <v>2705</v>
      </c>
      <c r="H999" s="152" t="s">
        <v>1435</v>
      </c>
      <c r="I999" s="152" t="s">
        <v>2705</v>
      </c>
      <c r="J999" s="152" t="s">
        <v>2675</v>
      </c>
      <c r="K999" s="152" t="s">
        <v>2398</v>
      </c>
      <c r="L999" s="152" t="s">
        <v>2705</v>
      </c>
      <c r="M999" s="152" t="s">
        <v>2398</v>
      </c>
      <c r="N999" s="152" t="s">
        <v>2705</v>
      </c>
      <c r="O999" s="152" t="s">
        <v>2705</v>
      </c>
      <c r="P999" s="152" t="s">
        <v>2675</v>
      </c>
      <c r="Q999" s="152" t="s">
        <v>2705</v>
      </c>
      <c r="R999" s="152" t="s">
        <v>2675</v>
      </c>
      <c r="S999" s="152" t="s">
        <v>2398</v>
      </c>
      <c r="T999" s="152" t="s">
        <v>2398</v>
      </c>
      <c r="U999" s="152" t="s">
        <v>2705</v>
      </c>
    </row>
    <row r="1000" spans="1:21" s="142" customFormat="1" ht="12.75" x14ac:dyDescent="0.2">
      <c r="A1000" s="151"/>
      <c r="B1000" s="152" t="s">
        <v>2705</v>
      </c>
      <c r="C1000" s="152" t="s">
        <v>1435</v>
      </c>
      <c r="D1000" s="152" t="s">
        <v>2705</v>
      </c>
      <c r="E1000" s="152" t="s">
        <v>2675</v>
      </c>
      <c r="F1000" s="152" t="s">
        <v>2675</v>
      </c>
      <c r="G1000" s="152" t="s">
        <v>2398</v>
      </c>
      <c r="H1000" s="152" t="s">
        <v>2675</v>
      </c>
      <c r="I1000" s="152" t="s">
        <v>2705</v>
      </c>
      <c r="J1000" s="152" t="s">
        <v>2705</v>
      </c>
      <c r="K1000" s="152" t="s">
        <v>2705</v>
      </c>
      <c r="L1000" s="152" t="s">
        <v>2398</v>
      </c>
      <c r="M1000" s="152" t="s">
        <v>2398</v>
      </c>
      <c r="N1000" s="152" t="s">
        <v>2398</v>
      </c>
      <c r="O1000" s="152" t="s">
        <v>2705</v>
      </c>
      <c r="P1000" s="152" t="s">
        <v>2398</v>
      </c>
      <c r="Q1000" s="152" t="s">
        <v>2398</v>
      </c>
      <c r="R1000" s="152" t="s">
        <v>2705</v>
      </c>
      <c r="S1000" s="152" t="s">
        <v>2705</v>
      </c>
      <c r="T1000" s="152" t="s">
        <v>2398</v>
      </c>
      <c r="U1000" s="152" t="s">
        <v>2398</v>
      </c>
    </row>
    <row r="1001" spans="1:21" s="142" customFormat="1" ht="12.75" customHeight="1" x14ac:dyDescent="0.2">
      <c r="A1001" s="151" t="s">
        <v>7817</v>
      </c>
      <c r="B1001" s="152" t="s">
        <v>2398</v>
      </c>
      <c r="C1001" s="152" t="s">
        <v>2398</v>
      </c>
      <c r="D1001" s="152" t="s">
        <v>2398</v>
      </c>
      <c r="E1001" s="152" t="s">
        <v>2705</v>
      </c>
      <c r="F1001" s="152" t="s">
        <v>2705</v>
      </c>
      <c r="G1001" s="152" t="s">
        <v>2398</v>
      </c>
      <c r="H1001" s="152" t="s">
        <v>2398</v>
      </c>
      <c r="I1001" s="152" t="s">
        <v>2398</v>
      </c>
      <c r="J1001" s="152" t="s">
        <v>2398</v>
      </c>
      <c r="K1001" s="152" t="s">
        <v>2398</v>
      </c>
      <c r="L1001" s="152" t="s">
        <v>2705</v>
      </c>
      <c r="M1001" s="152" t="s">
        <v>2705</v>
      </c>
      <c r="N1001" s="152" t="s">
        <v>2398</v>
      </c>
      <c r="O1001" s="152" t="s">
        <v>2705</v>
      </c>
      <c r="P1001" s="152" t="s">
        <v>2398</v>
      </c>
      <c r="Q1001" s="152" t="s">
        <v>2705</v>
      </c>
      <c r="R1001" s="152" t="s">
        <v>2398</v>
      </c>
      <c r="S1001" s="152" t="s">
        <v>2705</v>
      </c>
      <c r="T1001" s="152" t="s">
        <v>2705</v>
      </c>
      <c r="U1001" s="152" t="s">
        <v>2398</v>
      </c>
    </row>
    <row r="1002" spans="1:21" s="142" customFormat="1" ht="12.75" x14ac:dyDescent="0.2">
      <c r="A1002" s="151"/>
      <c r="B1002" s="152" t="s">
        <v>2705</v>
      </c>
      <c r="C1002" s="152" t="s">
        <v>2675</v>
      </c>
      <c r="D1002" s="152" t="s">
        <v>2705</v>
      </c>
      <c r="E1002" s="152" t="s">
        <v>1435</v>
      </c>
      <c r="F1002" s="152" t="s">
        <v>2398</v>
      </c>
      <c r="G1002" s="152" t="s">
        <v>2398</v>
      </c>
      <c r="H1002" s="152" t="s">
        <v>1435</v>
      </c>
      <c r="I1002" s="152" t="s">
        <v>2705</v>
      </c>
      <c r="J1002" s="152" t="s">
        <v>2398</v>
      </c>
      <c r="K1002" s="152" t="s">
        <v>2398</v>
      </c>
      <c r="L1002" s="152" t="s">
        <v>2705</v>
      </c>
      <c r="M1002" s="152" t="s">
        <v>2705</v>
      </c>
      <c r="N1002" s="152" t="s">
        <v>2397</v>
      </c>
      <c r="O1002" s="152" t="s">
        <v>2398</v>
      </c>
      <c r="P1002" s="152" t="s">
        <v>2398</v>
      </c>
      <c r="Q1002" s="152" t="s">
        <v>2397</v>
      </c>
      <c r="R1002" s="152" t="s">
        <v>2705</v>
      </c>
      <c r="S1002" s="152" t="s">
        <v>2705</v>
      </c>
      <c r="T1002" s="152" t="s">
        <v>2705</v>
      </c>
      <c r="U1002" s="152" t="s">
        <v>2705</v>
      </c>
    </row>
    <row r="1003" spans="1:21" s="142" customFormat="1" ht="12.75" customHeight="1" x14ac:dyDescent="0.2">
      <c r="A1003" s="151" t="s">
        <v>7818</v>
      </c>
      <c r="B1003" s="152" t="s">
        <v>2397</v>
      </c>
      <c r="C1003" s="152" t="s">
        <v>1435</v>
      </c>
      <c r="D1003" s="152" t="s">
        <v>2705</v>
      </c>
      <c r="E1003" s="152" t="s">
        <v>2398</v>
      </c>
      <c r="F1003" s="152" t="s">
        <v>2705</v>
      </c>
      <c r="G1003" s="152" t="s">
        <v>2705</v>
      </c>
      <c r="H1003" s="152" t="s">
        <v>2705</v>
      </c>
      <c r="I1003" s="152" t="s">
        <v>2398</v>
      </c>
      <c r="J1003" s="152" t="s">
        <v>2398</v>
      </c>
      <c r="K1003" s="152" t="s">
        <v>2398</v>
      </c>
      <c r="L1003" s="152" t="s">
        <v>2705</v>
      </c>
      <c r="M1003" s="152" t="s">
        <v>2398</v>
      </c>
      <c r="N1003" s="152" t="s">
        <v>2705</v>
      </c>
      <c r="O1003" s="152" t="s">
        <v>2398</v>
      </c>
      <c r="P1003" s="152" t="s">
        <v>2705</v>
      </c>
      <c r="Q1003" s="152" t="s">
        <v>2398</v>
      </c>
      <c r="R1003" s="152" t="s">
        <v>2398</v>
      </c>
      <c r="S1003" s="152" t="s">
        <v>2705</v>
      </c>
      <c r="T1003" s="152" t="s">
        <v>2397</v>
      </c>
      <c r="U1003" s="152" t="s">
        <v>2705</v>
      </c>
    </row>
    <row r="1004" spans="1:21" s="142" customFormat="1" ht="12.75" x14ac:dyDescent="0.2">
      <c r="A1004" s="151"/>
      <c r="B1004" s="152" t="s">
        <v>2705</v>
      </c>
      <c r="C1004" s="152" t="s">
        <v>1435</v>
      </c>
      <c r="D1004" s="152" t="s">
        <v>2705</v>
      </c>
      <c r="E1004" s="152" t="s">
        <v>1435</v>
      </c>
      <c r="F1004" s="152" t="s">
        <v>2705</v>
      </c>
      <c r="G1004" s="152" t="s">
        <v>2675</v>
      </c>
      <c r="H1004" s="152" t="s">
        <v>2398</v>
      </c>
      <c r="I1004" s="152" t="s">
        <v>2705</v>
      </c>
      <c r="J1004" s="152" t="s">
        <v>2398</v>
      </c>
      <c r="K1004" s="152" t="s">
        <v>2675</v>
      </c>
      <c r="L1004" s="152" t="s">
        <v>2705</v>
      </c>
      <c r="M1004" s="152" t="s">
        <v>2705</v>
      </c>
      <c r="N1004" s="152" t="s">
        <v>2705</v>
      </c>
      <c r="O1004" s="152" t="s">
        <v>2705</v>
      </c>
      <c r="P1004" s="152" t="s">
        <v>2705</v>
      </c>
      <c r="Q1004" s="152" t="s">
        <v>2705</v>
      </c>
      <c r="R1004" s="152" t="s">
        <v>2398</v>
      </c>
      <c r="S1004" s="152" t="s">
        <v>2705</v>
      </c>
      <c r="T1004" s="152" t="s">
        <v>2398</v>
      </c>
      <c r="U1004" s="152" t="s">
        <v>2705</v>
      </c>
    </row>
    <row r="1005" spans="1:21" s="142" customFormat="1" ht="12.75" customHeight="1" x14ac:dyDescent="0.2">
      <c r="A1005" s="151" t="s">
        <v>7819</v>
      </c>
      <c r="B1005" s="152" t="s">
        <v>2705</v>
      </c>
      <c r="C1005" s="152" t="s">
        <v>2398</v>
      </c>
      <c r="D1005" s="152" t="s">
        <v>2398</v>
      </c>
      <c r="E1005" s="152" t="s">
        <v>2705</v>
      </c>
      <c r="F1005" s="152" t="s">
        <v>2705</v>
      </c>
      <c r="G1005" s="152" t="s">
        <v>2398</v>
      </c>
      <c r="H1005" s="152" t="s">
        <v>2398</v>
      </c>
      <c r="I1005" s="152" t="s">
        <v>2398</v>
      </c>
      <c r="J1005" s="152" t="s">
        <v>2398</v>
      </c>
      <c r="K1005" s="152" t="s">
        <v>2705</v>
      </c>
      <c r="L1005" s="152" t="s">
        <v>2675</v>
      </c>
      <c r="M1005" s="152" t="s">
        <v>2705</v>
      </c>
      <c r="N1005" s="152" t="s">
        <v>2398</v>
      </c>
      <c r="O1005" s="152" t="s">
        <v>2705</v>
      </c>
      <c r="P1005" s="152" t="s">
        <v>2705</v>
      </c>
      <c r="Q1005" s="152" t="s">
        <v>2705</v>
      </c>
      <c r="R1005" s="152" t="s">
        <v>2705</v>
      </c>
      <c r="S1005" s="152" t="s">
        <v>2705</v>
      </c>
      <c r="T1005" s="152" t="s">
        <v>2398</v>
      </c>
      <c r="U1005" s="152" t="s">
        <v>2398</v>
      </c>
    </row>
    <row r="1006" spans="1:21" s="142" customFormat="1" ht="12.75" x14ac:dyDescent="0.2">
      <c r="A1006" s="151"/>
      <c r="B1006" s="152" t="s">
        <v>2398</v>
      </c>
      <c r="C1006" s="152" t="s">
        <v>2398</v>
      </c>
      <c r="D1006" s="152" t="s">
        <v>2705</v>
      </c>
      <c r="E1006" s="152" t="s">
        <v>1435</v>
      </c>
      <c r="F1006" s="152" t="s">
        <v>2398</v>
      </c>
      <c r="G1006" s="152" t="s">
        <v>2398</v>
      </c>
      <c r="H1006" s="152" t="s">
        <v>2705</v>
      </c>
      <c r="I1006" s="152" t="s">
        <v>2705</v>
      </c>
      <c r="J1006" s="152" t="s">
        <v>2705</v>
      </c>
      <c r="K1006" s="152" t="s">
        <v>2705</v>
      </c>
      <c r="L1006" s="152" t="s">
        <v>2705</v>
      </c>
      <c r="M1006" s="152" t="s">
        <v>2705</v>
      </c>
      <c r="N1006" s="152" t="s">
        <v>2705</v>
      </c>
      <c r="O1006" s="152" t="s">
        <v>2705</v>
      </c>
      <c r="P1006" s="152" t="s">
        <v>2398</v>
      </c>
      <c r="Q1006" s="152" t="s">
        <v>2705</v>
      </c>
      <c r="R1006" s="152" t="s">
        <v>1435</v>
      </c>
      <c r="S1006" s="152" t="s">
        <v>2705</v>
      </c>
      <c r="T1006" s="152" t="s">
        <v>2705</v>
      </c>
      <c r="U1006" s="152" t="s">
        <v>2705</v>
      </c>
    </row>
    <row r="1007" spans="1:21" s="142" customFormat="1" ht="12.75" customHeight="1" x14ac:dyDescent="0.2">
      <c r="A1007" s="151" t="s">
        <v>7820</v>
      </c>
      <c r="B1007" s="152" t="s">
        <v>2705</v>
      </c>
      <c r="C1007" s="152" t="s">
        <v>2675</v>
      </c>
      <c r="D1007" s="152" t="s">
        <v>1435</v>
      </c>
      <c r="E1007" s="152" t="s">
        <v>2398</v>
      </c>
      <c r="F1007" s="152" t="s">
        <v>2397</v>
      </c>
      <c r="G1007" s="152" t="s">
        <v>2705</v>
      </c>
      <c r="H1007" s="152" t="s">
        <v>2705</v>
      </c>
      <c r="I1007" s="152" t="s">
        <v>2705</v>
      </c>
      <c r="J1007" s="152" t="s">
        <v>2705</v>
      </c>
      <c r="K1007" s="152" t="s">
        <v>2398</v>
      </c>
      <c r="L1007" s="152" t="s">
        <v>2705</v>
      </c>
      <c r="M1007" s="152" t="s">
        <v>2705</v>
      </c>
      <c r="N1007" s="152" t="s">
        <v>2705</v>
      </c>
      <c r="O1007" s="152" t="s">
        <v>2398</v>
      </c>
      <c r="P1007" s="152" t="s">
        <v>2398</v>
      </c>
      <c r="Q1007" s="152" t="s">
        <v>2705</v>
      </c>
      <c r="R1007" s="152" t="s">
        <v>2398</v>
      </c>
      <c r="S1007" s="152" t="s">
        <v>2675</v>
      </c>
      <c r="T1007" s="152" t="s">
        <v>2705</v>
      </c>
      <c r="U1007" s="152" t="s">
        <v>2705</v>
      </c>
    </row>
    <row r="1008" spans="1:21" s="142" customFormat="1" ht="12.75" x14ac:dyDescent="0.2">
      <c r="A1008" s="151"/>
      <c r="B1008" s="152" t="s">
        <v>2398</v>
      </c>
      <c r="C1008" s="152" t="s">
        <v>2675</v>
      </c>
      <c r="D1008" s="152" t="s">
        <v>2397</v>
      </c>
      <c r="E1008" s="152" t="s">
        <v>2675</v>
      </c>
      <c r="F1008" s="152" t="s">
        <v>2705</v>
      </c>
      <c r="G1008" s="152" t="s">
        <v>2705</v>
      </c>
      <c r="H1008" s="152" t="s">
        <v>2397</v>
      </c>
      <c r="I1008" s="152" t="s">
        <v>2705</v>
      </c>
      <c r="J1008" s="152" t="s">
        <v>2398</v>
      </c>
      <c r="K1008" s="152" t="s">
        <v>2398</v>
      </c>
      <c r="L1008" s="152" t="s">
        <v>2398</v>
      </c>
      <c r="M1008" s="152" t="s">
        <v>2705</v>
      </c>
      <c r="N1008" s="152" t="s">
        <v>2398</v>
      </c>
      <c r="O1008" s="152" t="s">
        <v>2398</v>
      </c>
      <c r="P1008" s="152" t="s">
        <v>2705</v>
      </c>
      <c r="Q1008" s="152" t="s">
        <v>2705</v>
      </c>
      <c r="R1008" s="152" t="s">
        <v>2398</v>
      </c>
      <c r="S1008" s="152" t="s">
        <v>2398</v>
      </c>
      <c r="T1008" s="152" t="s">
        <v>2705</v>
      </c>
      <c r="U1008" s="152" t="s">
        <v>2398</v>
      </c>
    </row>
    <row r="1009" spans="1:21" s="142" customFormat="1" ht="12.75" customHeight="1" x14ac:dyDescent="0.2">
      <c r="A1009" s="151" t="s">
        <v>7821</v>
      </c>
      <c r="B1009" s="152" t="s">
        <v>2705</v>
      </c>
      <c r="C1009" s="152" t="s">
        <v>2398</v>
      </c>
      <c r="D1009" s="152" t="s">
        <v>2398</v>
      </c>
      <c r="E1009" s="152" t="s">
        <v>2398</v>
      </c>
      <c r="F1009" s="152" t="s">
        <v>2705</v>
      </c>
      <c r="G1009" s="152" t="s">
        <v>2705</v>
      </c>
      <c r="H1009" s="152" t="s">
        <v>2705</v>
      </c>
      <c r="I1009" s="152" t="s">
        <v>2398</v>
      </c>
      <c r="J1009" s="152" t="s">
        <v>1435</v>
      </c>
      <c r="K1009" s="152" t="s">
        <v>2398</v>
      </c>
      <c r="L1009" s="152" t="s">
        <v>1435</v>
      </c>
      <c r="M1009" s="152" t="s">
        <v>2705</v>
      </c>
      <c r="N1009" s="152" t="s">
        <v>2398</v>
      </c>
      <c r="O1009" s="152" t="s">
        <v>2705</v>
      </c>
      <c r="P1009" s="152" t="s">
        <v>2705</v>
      </c>
      <c r="Q1009" s="152" t="s">
        <v>2705</v>
      </c>
      <c r="R1009" s="152" t="s">
        <v>2398</v>
      </c>
      <c r="S1009" s="152" t="s">
        <v>2705</v>
      </c>
      <c r="T1009" s="152" t="s">
        <v>2705</v>
      </c>
      <c r="U1009" s="152" t="s">
        <v>2705</v>
      </c>
    </row>
    <row r="1010" spans="1:21" s="142" customFormat="1" ht="12.75" x14ac:dyDescent="0.2">
      <c r="A1010" s="151"/>
      <c r="B1010" s="152" t="s">
        <v>2398</v>
      </c>
      <c r="C1010" s="152" t="s">
        <v>2398</v>
      </c>
      <c r="D1010" s="152" t="s">
        <v>2705</v>
      </c>
      <c r="E1010" s="152" t="s">
        <v>2398</v>
      </c>
      <c r="F1010" s="152" t="s">
        <v>2705</v>
      </c>
      <c r="G1010" s="152" t="s">
        <v>2705</v>
      </c>
      <c r="H1010" s="152" t="s">
        <v>2398</v>
      </c>
      <c r="I1010" s="152" t="s">
        <v>2398</v>
      </c>
      <c r="J1010" s="152" t="s">
        <v>2705</v>
      </c>
      <c r="K1010" s="152" t="s">
        <v>2705</v>
      </c>
      <c r="L1010" s="152" t="s">
        <v>2705</v>
      </c>
      <c r="M1010" s="152" t="s">
        <v>2398</v>
      </c>
      <c r="N1010" s="152" t="s">
        <v>2705</v>
      </c>
      <c r="O1010" s="152" t="s">
        <v>2398</v>
      </c>
      <c r="P1010" s="152" t="s">
        <v>2705</v>
      </c>
      <c r="Q1010" s="152" t="s">
        <v>2705</v>
      </c>
      <c r="R1010" s="152" t="s">
        <v>2705</v>
      </c>
      <c r="S1010" s="152" t="s">
        <v>2705</v>
      </c>
      <c r="T1010" s="152" t="s">
        <v>2705</v>
      </c>
      <c r="U1010" s="152" t="s">
        <v>2398</v>
      </c>
    </row>
    <row r="1011" spans="1:21" s="142" customFormat="1" ht="12.75" customHeight="1" x14ac:dyDescent="0.2">
      <c r="A1011" s="151" t="s">
        <v>7822</v>
      </c>
      <c r="B1011" s="152" t="s">
        <v>2675</v>
      </c>
      <c r="C1011" s="152" t="s">
        <v>2705</v>
      </c>
      <c r="D1011" s="152" t="s">
        <v>2398</v>
      </c>
      <c r="E1011" s="152" t="s">
        <v>2705</v>
      </c>
      <c r="F1011" s="152" t="s">
        <v>2398</v>
      </c>
      <c r="G1011" s="152" t="s">
        <v>1435</v>
      </c>
      <c r="H1011" s="152" t="s">
        <v>2705</v>
      </c>
      <c r="I1011" s="152" t="s">
        <v>2705</v>
      </c>
      <c r="J1011" s="152" t="s">
        <v>2705</v>
      </c>
      <c r="K1011" s="152" t="s">
        <v>1435</v>
      </c>
      <c r="L1011" s="152" t="s">
        <v>2397</v>
      </c>
      <c r="M1011" s="152" t="s">
        <v>2705</v>
      </c>
      <c r="N1011" s="152" t="s">
        <v>2705</v>
      </c>
      <c r="O1011" s="152" t="s">
        <v>2705</v>
      </c>
      <c r="P1011" s="152" t="s">
        <v>2398</v>
      </c>
      <c r="Q1011" s="152" t="s">
        <v>1435</v>
      </c>
      <c r="R1011" s="152" t="s">
        <v>1435</v>
      </c>
      <c r="S1011" s="152" t="s">
        <v>2397</v>
      </c>
      <c r="T1011" s="152" t="s">
        <v>2397</v>
      </c>
      <c r="U1011" s="152" t="s">
        <v>2705</v>
      </c>
    </row>
    <row r="1012" spans="1:21" s="142" customFormat="1" ht="12.75" x14ac:dyDescent="0.2">
      <c r="A1012" s="151"/>
      <c r="B1012" s="152" t="s">
        <v>2705</v>
      </c>
      <c r="C1012" s="152" t="s">
        <v>2675</v>
      </c>
      <c r="D1012" s="152" t="s">
        <v>2705</v>
      </c>
      <c r="E1012" s="152" t="s">
        <v>2675</v>
      </c>
      <c r="F1012" s="152" t="s">
        <v>2705</v>
      </c>
      <c r="G1012" s="152" t="s">
        <v>2398</v>
      </c>
      <c r="H1012" s="152" t="s">
        <v>2705</v>
      </c>
      <c r="I1012" s="152" t="s">
        <v>2705</v>
      </c>
      <c r="J1012" s="152" t="s">
        <v>2398</v>
      </c>
      <c r="K1012" s="152" t="s">
        <v>2398</v>
      </c>
      <c r="L1012" s="152" t="s">
        <v>2705</v>
      </c>
      <c r="M1012" s="152" t="s">
        <v>2398</v>
      </c>
      <c r="N1012" s="152" t="s">
        <v>2705</v>
      </c>
      <c r="O1012" s="152" t="s">
        <v>2705</v>
      </c>
      <c r="P1012" s="152" t="s">
        <v>2675</v>
      </c>
      <c r="Q1012" s="152" t="s">
        <v>2398</v>
      </c>
      <c r="R1012" s="152" t="s">
        <v>2398</v>
      </c>
      <c r="S1012" s="152" t="s">
        <v>2675</v>
      </c>
      <c r="T1012" s="152" t="s">
        <v>2398</v>
      </c>
      <c r="U1012" s="152" t="s">
        <v>2705</v>
      </c>
    </row>
    <row r="1013" spans="1:21" s="142" customFormat="1" ht="12.75" customHeight="1" x14ac:dyDescent="0.2">
      <c r="A1013" s="151" t="s">
        <v>7823</v>
      </c>
      <c r="B1013" s="152" t="s">
        <v>2398</v>
      </c>
      <c r="C1013" s="152" t="s">
        <v>2398</v>
      </c>
      <c r="D1013" s="152" t="s">
        <v>2705</v>
      </c>
      <c r="E1013" s="152" t="s">
        <v>2705</v>
      </c>
      <c r="F1013" s="152" t="s">
        <v>2705</v>
      </c>
      <c r="G1013" s="152" t="s">
        <v>2705</v>
      </c>
      <c r="H1013" s="152" t="s">
        <v>2705</v>
      </c>
      <c r="I1013" s="152" t="s">
        <v>2705</v>
      </c>
      <c r="J1013" s="152" t="s">
        <v>1435</v>
      </c>
      <c r="K1013" s="152" t="s">
        <v>2705</v>
      </c>
      <c r="L1013" s="152" t="s">
        <v>2705</v>
      </c>
      <c r="M1013" s="152" t="s">
        <v>2705</v>
      </c>
      <c r="N1013" s="152" t="s">
        <v>2705</v>
      </c>
      <c r="O1013" s="152" t="s">
        <v>1435</v>
      </c>
      <c r="P1013" s="152" t="s">
        <v>2705</v>
      </c>
      <c r="Q1013" s="152" t="s">
        <v>2705</v>
      </c>
      <c r="R1013" s="152" t="s">
        <v>2398</v>
      </c>
      <c r="S1013" s="152" t="s">
        <v>2705</v>
      </c>
      <c r="T1013" s="152" t="s">
        <v>1435</v>
      </c>
      <c r="U1013" s="152" t="s">
        <v>2705</v>
      </c>
    </row>
    <row r="1014" spans="1:21" s="142" customFormat="1" ht="12.75" x14ac:dyDescent="0.2">
      <c r="A1014" s="151"/>
      <c r="B1014" s="152" t="s">
        <v>2705</v>
      </c>
      <c r="C1014" s="152" t="s">
        <v>1435</v>
      </c>
      <c r="D1014" s="152" t="s">
        <v>2705</v>
      </c>
      <c r="E1014" s="152" t="s">
        <v>2705</v>
      </c>
      <c r="F1014" s="152" t="s">
        <v>2705</v>
      </c>
      <c r="G1014" s="152" t="s">
        <v>1435</v>
      </c>
      <c r="H1014" s="152" t="s">
        <v>2705</v>
      </c>
      <c r="I1014" s="152" t="s">
        <v>2705</v>
      </c>
      <c r="J1014" s="152" t="s">
        <v>2705</v>
      </c>
      <c r="K1014" s="152" t="s">
        <v>2705</v>
      </c>
      <c r="L1014" s="152" t="s">
        <v>2398</v>
      </c>
      <c r="M1014" s="152" t="s">
        <v>2675</v>
      </c>
      <c r="N1014" s="152" t="s">
        <v>2398</v>
      </c>
      <c r="O1014" s="152" t="s">
        <v>2705</v>
      </c>
      <c r="P1014" s="152" t="s">
        <v>2705</v>
      </c>
      <c r="Q1014" s="152" t="s">
        <v>2705</v>
      </c>
      <c r="R1014" s="152" t="s">
        <v>1435</v>
      </c>
      <c r="S1014" s="152" t="s">
        <v>2398</v>
      </c>
      <c r="T1014" s="152" t="s">
        <v>2398</v>
      </c>
      <c r="U1014" s="152" t="s">
        <v>2398</v>
      </c>
    </row>
    <row r="1015" spans="1:21" s="142" customFormat="1" ht="12.75" customHeight="1" x14ac:dyDescent="0.2">
      <c r="A1015" s="151" t="s">
        <v>7824</v>
      </c>
      <c r="B1015" s="152" t="s">
        <v>1435</v>
      </c>
      <c r="C1015" s="152" t="s">
        <v>2705</v>
      </c>
      <c r="D1015" s="152" t="s">
        <v>2675</v>
      </c>
      <c r="E1015" s="152" t="s">
        <v>2705</v>
      </c>
      <c r="F1015" s="152" t="s">
        <v>2705</v>
      </c>
      <c r="G1015" s="152" t="s">
        <v>2705</v>
      </c>
      <c r="H1015" s="152" t="s">
        <v>2398</v>
      </c>
      <c r="I1015" s="152" t="s">
        <v>2705</v>
      </c>
      <c r="J1015" s="152" t="s">
        <v>2398</v>
      </c>
      <c r="K1015" s="152" t="s">
        <v>2398</v>
      </c>
      <c r="L1015" s="152" t="s">
        <v>2675</v>
      </c>
      <c r="M1015" s="152" t="s">
        <v>2705</v>
      </c>
      <c r="N1015" s="152" t="s">
        <v>2705</v>
      </c>
      <c r="O1015" s="152" t="s">
        <v>2705</v>
      </c>
      <c r="P1015" s="152" t="s">
        <v>2398</v>
      </c>
      <c r="Q1015" s="152" t="s">
        <v>2705</v>
      </c>
      <c r="R1015" s="152" t="s">
        <v>2705</v>
      </c>
      <c r="S1015" s="152" t="s">
        <v>2705</v>
      </c>
      <c r="T1015" s="152" t="s">
        <v>2398</v>
      </c>
      <c r="U1015" s="152" t="s">
        <v>2705</v>
      </c>
    </row>
    <row r="1016" spans="1:21" s="142" customFormat="1" ht="12.75" x14ac:dyDescent="0.2">
      <c r="A1016" s="151"/>
      <c r="B1016" s="152" t="s">
        <v>2398</v>
      </c>
      <c r="C1016" s="152" t="s">
        <v>2675</v>
      </c>
      <c r="D1016" s="152" t="s">
        <v>2705</v>
      </c>
      <c r="E1016" s="152" t="s">
        <v>2675</v>
      </c>
      <c r="F1016" s="152" t="s">
        <v>2398</v>
      </c>
      <c r="G1016" s="152" t="s">
        <v>2705</v>
      </c>
      <c r="H1016" s="152" t="s">
        <v>2705</v>
      </c>
      <c r="I1016" s="152" t="s">
        <v>2398</v>
      </c>
      <c r="J1016" s="152" t="s">
        <v>2398</v>
      </c>
      <c r="K1016" s="152" t="s">
        <v>2705</v>
      </c>
      <c r="L1016" s="152" t="s">
        <v>2675</v>
      </c>
      <c r="M1016" s="152" t="s">
        <v>2398</v>
      </c>
      <c r="N1016" s="152" t="s">
        <v>2705</v>
      </c>
      <c r="O1016" s="152" t="s">
        <v>1435</v>
      </c>
      <c r="P1016" s="152" t="s">
        <v>2398</v>
      </c>
      <c r="Q1016" s="152" t="s">
        <v>2398</v>
      </c>
      <c r="R1016" s="152" t="s">
        <v>1435</v>
      </c>
      <c r="S1016" s="152" t="s">
        <v>2705</v>
      </c>
      <c r="T1016" s="152" t="s">
        <v>2705</v>
      </c>
      <c r="U1016" s="152" t="s">
        <v>2398</v>
      </c>
    </row>
    <row r="1017" spans="1:21" s="142" customFormat="1" ht="12.75" customHeight="1" x14ac:dyDescent="0.2">
      <c r="A1017" s="151" t="s">
        <v>7825</v>
      </c>
      <c r="B1017" s="152" t="s">
        <v>2705</v>
      </c>
      <c r="C1017" s="152" t="s">
        <v>2705</v>
      </c>
      <c r="D1017" s="152" t="s">
        <v>2705</v>
      </c>
      <c r="E1017" s="152" t="s">
        <v>1435</v>
      </c>
      <c r="F1017" s="152" t="s">
        <v>2705</v>
      </c>
      <c r="G1017" s="152" t="s">
        <v>2705</v>
      </c>
      <c r="H1017" s="152" t="s">
        <v>2705</v>
      </c>
      <c r="I1017" s="152" t="s">
        <v>2675</v>
      </c>
      <c r="J1017" s="152" t="s">
        <v>2398</v>
      </c>
      <c r="K1017" s="152" t="s">
        <v>2398</v>
      </c>
      <c r="L1017" s="152" t="s">
        <v>2705</v>
      </c>
      <c r="M1017" s="152" t="s">
        <v>2705</v>
      </c>
      <c r="N1017" s="152" t="s">
        <v>2398</v>
      </c>
      <c r="O1017" s="152" t="s">
        <v>2398</v>
      </c>
      <c r="P1017" s="152" t="s">
        <v>2398</v>
      </c>
      <c r="Q1017" s="152" t="s">
        <v>2398</v>
      </c>
      <c r="R1017" s="152" t="s">
        <v>2397</v>
      </c>
      <c r="S1017" s="152" t="s">
        <v>2705</v>
      </c>
      <c r="T1017" s="152" t="s">
        <v>2705</v>
      </c>
      <c r="U1017" s="152" t="s">
        <v>2398</v>
      </c>
    </row>
    <row r="1018" spans="1:21" s="142" customFormat="1" ht="12.75" x14ac:dyDescent="0.2">
      <c r="A1018" s="151"/>
      <c r="B1018" s="152" t="s">
        <v>2398</v>
      </c>
      <c r="C1018" s="152" t="s">
        <v>2398</v>
      </c>
      <c r="D1018" s="152" t="s">
        <v>2705</v>
      </c>
      <c r="E1018" s="152" t="s">
        <v>2705</v>
      </c>
      <c r="F1018" s="152" t="s">
        <v>2398</v>
      </c>
      <c r="G1018" s="152" t="s">
        <v>2398</v>
      </c>
      <c r="H1018" s="152" t="s">
        <v>2705</v>
      </c>
      <c r="I1018" s="152" t="s">
        <v>2705</v>
      </c>
      <c r="J1018" s="152" t="s">
        <v>2705</v>
      </c>
      <c r="K1018" s="152" t="s">
        <v>2705</v>
      </c>
      <c r="L1018" s="152" t="s">
        <v>2398</v>
      </c>
      <c r="M1018" s="152" t="s">
        <v>2398</v>
      </c>
      <c r="N1018" s="152" t="s">
        <v>2398</v>
      </c>
      <c r="O1018" s="152" t="s">
        <v>2705</v>
      </c>
      <c r="P1018" s="152" t="s">
        <v>2705</v>
      </c>
      <c r="Q1018" s="152" t="s">
        <v>2705</v>
      </c>
      <c r="R1018" s="152" t="s">
        <v>2398</v>
      </c>
      <c r="S1018" s="152" t="s">
        <v>2705</v>
      </c>
      <c r="T1018" s="152" t="s">
        <v>2398</v>
      </c>
      <c r="U1018" s="152" t="s">
        <v>2705</v>
      </c>
    </row>
    <row r="1019" spans="1:21" s="142" customFormat="1" ht="12.75" customHeight="1" x14ac:dyDescent="0.2">
      <c r="A1019" s="151" t="s">
        <v>7826</v>
      </c>
      <c r="B1019" s="152" t="s">
        <v>2398</v>
      </c>
      <c r="C1019" s="152" t="s">
        <v>2398</v>
      </c>
      <c r="D1019" s="152" t="s">
        <v>2705</v>
      </c>
      <c r="E1019" s="152" t="s">
        <v>2705</v>
      </c>
      <c r="F1019" s="152" t="s">
        <v>2398</v>
      </c>
      <c r="G1019" s="152" t="s">
        <v>2705</v>
      </c>
      <c r="H1019" s="152" t="s">
        <v>2398</v>
      </c>
      <c r="I1019" s="152" t="s">
        <v>2705</v>
      </c>
      <c r="J1019" s="152" t="s">
        <v>2705</v>
      </c>
      <c r="K1019" s="152" t="s">
        <v>2705</v>
      </c>
      <c r="L1019" s="152" t="s">
        <v>2705</v>
      </c>
      <c r="M1019" s="152" t="s">
        <v>2398</v>
      </c>
      <c r="N1019" s="152" t="s">
        <v>2705</v>
      </c>
      <c r="O1019" s="152" t="s">
        <v>2398</v>
      </c>
      <c r="P1019" s="152" t="s">
        <v>2675</v>
      </c>
      <c r="Q1019" s="152" t="s">
        <v>1435</v>
      </c>
      <c r="R1019" s="152" t="s">
        <v>2705</v>
      </c>
      <c r="S1019" s="152" t="s">
        <v>2398</v>
      </c>
      <c r="T1019" s="152" t="s">
        <v>2705</v>
      </c>
      <c r="U1019" s="152" t="s">
        <v>2398</v>
      </c>
    </row>
    <row r="1020" spans="1:21" s="142" customFormat="1" ht="12.75" x14ac:dyDescent="0.2">
      <c r="A1020" s="151"/>
      <c r="B1020" s="152" t="s">
        <v>2705</v>
      </c>
      <c r="C1020" s="152" t="s">
        <v>2398</v>
      </c>
      <c r="D1020" s="152" t="s">
        <v>2705</v>
      </c>
      <c r="E1020" s="152" t="s">
        <v>2398</v>
      </c>
      <c r="F1020" s="152" t="s">
        <v>2705</v>
      </c>
      <c r="G1020" s="152" t="s">
        <v>2705</v>
      </c>
      <c r="H1020" s="152" t="s">
        <v>2398</v>
      </c>
      <c r="I1020" s="152" t="s">
        <v>2705</v>
      </c>
      <c r="J1020" s="152" t="s">
        <v>2705</v>
      </c>
      <c r="K1020" s="152" t="s">
        <v>2398</v>
      </c>
      <c r="L1020" s="152" t="s">
        <v>2705</v>
      </c>
      <c r="M1020" s="152" t="s">
        <v>2675</v>
      </c>
      <c r="N1020" s="152" t="s">
        <v>2398</v>
      </c>
      <c r="O1020" s="152" t="s">
        <v>2398</v>
      </c>
      <c r="P1020" s="152" t="s">
        <v>2398</v>
      </c>
      <c r="Q1020" s="152" t="s">
        <v>2705</v>
      </c>
      <c r="R1020" s="152" t="s">
        <v>2397</v>
      </c>
      <c r="S1020" s="152" t="s">
        <v>2398</v>
      </c>
      <c r="T1020" s="152" t="s">
        <v>2705</v>
      </c>
      <c r="U1020" s="152" t="s">
        <v>2398</v>
      </c>
    </row>
    <row r="1021" spans="1:21" s="142" customFormat="1" ht="12.75" customHeight="1" x14ac:dyDescent="0.2">
      <c r="A1021" s="151" t="s">
        <v>7827</v>
      </c>
      <c r="B1021" s="152" t="s">
        <v>2705</v>
      </c>
      <c r="C1021" s="152" t="s">
        <v>2705</v>
      </c>
      <c r="D1021" s="152" t="s">
        <v>2705</v>
      </c>
      <c r="E1021" s="152" t="s">
        <v>1435</v>
      </c>
      <c r="F1021" s="152" t="s">
        <v>2705</v>
      </c>
      <c r="G1021" s="152" t="s">
        <v>2705</v>
      </c>
      <c r="H1021" s="152" t="s">
        <v>2705</v>
      </c>
      <c r="I1021" s="152" t="s">
        <v>2705</v>
      </c>
      <c r="J1021" s="152" t="s">
        <v>2705</v>
      </c>
      <c r="K1021" s="152" t="s">
        <v>1435</v>
      </c>
      <c r="L1021" s="152" t="s">
        <v>2705</v>
      </c>
      <c r="M1021" s="152" t="s">
        <v>2398</v>
      </c>
      <c r="N1021" s="152" t="s">
        <v>2398</v>
      </c>
      <c r="O1021" s="152" t="s">
        <v>2398</v>
      </c>
      <c r="P1021" s="152" t="s">
        <v>2705</v>
      </c>
      <c r="Q1021" s="152" t="s">
        <v>2398</v>
      </c>
      <c r="R1021" s="152" t="s">
        <v>2398</v>
      </c>
      <c r="S1021" s="152" t="s">
        <v>2398</v>
      </c>
      <c r="T1021" s="152" t="s">
        <v>2705</v>
      </c>
      <c r="U1021" s="152" t="s">
        <v>2398</v>
      </c>
    </row>
    <row r="1022" spans="1:21" s="142" customFormat="1" ht="12.75" x14ac:dyDescent="0.2">
      <c r="A1022" s="151"/>
      <c r="B1022" s="152" t="s">
        <v>2705</v>
      </c>
      <c r="C1022" s="152" t="s">
        <v>2705</v>
      </c>
      <c r="D1022" s="152" t="s">
        <v>2705</v>
      </c>
      <c r="E1022" s="152" t="s">
        <v>2705</v>
      </c>
      <c r="F1022" s="152" t="s">
        <v>2705</v>
      </c>
      <c r="G1022" s="152" t="s">
        <v>2675</v>
      </c>
      <c r="H1022" s="152" t="s">
        <v>2398</v>
      </c>
      <c r="I1022" s="152" t="s">
        <v>2705</v>
      </c>
      <c r="J1022" s="152" t="s">
        <v>2398</v>
      </c>
      <c r="K1022" s="152" t="s">
        <v>2398</v>
      </c>
      <c r="L1022" s="152" t="s">
        <v>2398</v>
      </c>
      <c r="M1022" s="152" t="s">
        <v>2398</v>
      </c>
      <c r="N1022" s="152" t="s">
        <v>2705</v>
      </c>
      <c r="O1022" s="152" t="s">
        <v>2705</v>
      </c>
      <c r="P1022" s="152" t="s">
        <v>2398</v>
      </c>
      <c r="Q1022" s="152" t="s">
        <v>1435</v>
      </c>
      <c r="R1022" s="152" t="s">
        <v>2705</v>
      </c>
      <c r="S1022" s="152" t="s">
        <v>2398</v>
      </c>
      <c r="T1022" s="152" t="s">
        <v>2675</v>
      </c>
      <c r="U1022" s="152" t="s">
        <v>2705</v>
      </c>
    </row>
    <row r="1023" spans="1:21" s="142" customFormat="1" ht="12.75" customHeight="1" x14ac:dyDescent="0.2">
      <c r="A1023" s="151" t="s">
        <v>7828</v>
      </c>
      <c r="B1023" s="152" t="s">
        <v>1435</v>
      </c>
      <c r="C1023" s="152" t="s">
        <v>2675</v>
      </c>
      <c r="D1023" s="152" t="s">
        <v>1435</v>
      </c>
      <c r="E1023" s="152" t="s">
        <v>2398</v>
      </c>
      <c r="F1023" s="152" t="s">
        <v>1435</v>
      </c>
      <c r="G1023" s="152" t="s">
        <v>2675</v>
      </c>
      <c r="H1023" s="152" t="s">
        <v>2398</v>
      </c>
      <c r="I1023" s="152" t="s">
        <v>2398</v>
      </c>
      <c r="J1023" s="152" t="s">
        <v>2675</v>
      </c>
      <c r="K1023" s="152" t="s">
        <v>2705</v>
      </c>
      <c r="L1023" s="152" t="s">
        <v>2675</v>
      </c>
      <c r="M1023" s="152" t="s">
        <v>1435</v>
      </c>
      <c r="N1023" s="152" t="s">
        <v>2705</v>
      </c>
      <c r="O1023" s="152" t="s">
        <v>2705</v>
      </c>
      <c r="P1023" s="152" t="s">
        <v>2705</v>
      </c>
      <c r="Q1023" s="152" t="s">
        <v>2705</v>
      </c>
      <c r="R1023" s="152" t="s">
        <v>2397</v>
      </c>
      <c r="S1023" s="152" t="s">
        <v>2675</v>
      </c>
      <c r="T1023" s="152" t="s">
        <v>2675</v>
      </c>
      <c r="U1023" s="152" t="s">
        <v>2675</v>
      </c>
    </row>
    <row r="1024" spans="1:21" s="142" customFormat="1" ht="12.75" x14ac:dyDescent="0.2">
      <c r="A1024" s="151"/>
      <c r="B1024" s="152" t="s">
        <v>2705</v>
      </c>
      <c r="C1024" s="152" t="s">
        <v>2398</v>
      </c>
      <c r="D1024" s="152" t="s">
        <v>1435</v>
      </c>
      <c r="E1024" s="152" t="s">
        <v>2705</v>
      </c>
      <c r="F1024" s="152" t="s">
        <v>2398</v>
      </c>
      <c r="G1024" s="152" t="s">
        <v>2398</v>
      </c>
      <c r="H1024" s="152" t="s">
        <v>1435</v>
      </c>
      <c r="I1024" s="152" t="s">
        <v>1435</v>
      </c>
      <c r="J1024" s="152" t="s">
        <v>2397</v>
      </c>
      <c r="K1024" s="152" t="s">
        <v>2397</v>
      </c>
      <c r="L1024" s="152" t="s">
        <v>2398</v>
      </c>
      <c r="M1024" s="152" t="s">
        <v>2705</v>
      </c>
      <c r="N1024" s="152" t="s">
        <v>2675</v>
      </c>
      <c r="O1024" s="152" t="s">
        <v>2705</v>
      </c>
      <c r="P1024" s="152" t="s">
        <v>2705</v>
      </c>
      <c r="Q1024" s="152" t="s">
        <v>2398</v>
      </c>
      <c r="R1024" s="152" t="s">
        <v>1435</v>
      </c>
      <c r="S1024" s="152" t="s">
        <v>2397</v>
      </c>
      <c r="T1024" s="152" t="s">
        <v>2705</v>
      </c>
      <c r="U1024" s="152" t="s">
        <v>2675</v>
      </c>
    </row>
    <row r="1025" spans="1:21" s="142" customFormat="1" ht="12.75" customHeight="1" x14ac:dyDescent="0.2">
      <c r="A1025" s="151" t="s">
        <v>7829</v>
      </c>
      <c r="B1025" s="152" t="s">
        <v>2398</v>
      </c>
      <c r="C1025" s="152" t="s">
        <v>2398</v>
      </c>
      <c r="D1025" s="152" t="s">
        <v>2398</v>
      </c>
      <c r="E1025" s="152" t="s">
        <v>2398</v>
      </c>
      <c r="F1025" s="152" t="s">
        <v>2705</v>
      </c>
      <c r="G1025" s="152" t="s">
        <v>2705</v>
      </c>
      <c r="H1025" s="152" t="s">
        <v>2705</v>
      </c>
      <c r="I1025" s="152" t="s">
        <v>2398</v>
      </c>
      <c r="J1025" s="152" t="s">
        <v>2705</v>
      </c>
      <c r="K1025" s="152" t="s">
        <v>1435</v>
      </c>
      <c r="L1025" s="152" t="s">
        <v>2398</v>
      </c>
      <c r="M1025" s="152" t="s">
        <v>2398</v>
      </c>
      <c r="N1025" s="152" t="s">
        <v>2705</v>
      </c>
      <c r="O1025" s="152" t="s">
        <v>2705</v>
      </c>
      <c r="P1025" s="152" t="s">
        <v>2705</v>
      </c>
      <c r="Q1025" s="152" t="s">
        <v>2705</v>
      </c>
      <c r="R1025" s="152" t="s">
        <v>2705</v>
      </c>
      <c r="S1025" s="152" t="s">
        <v>2705</v>
      </c>
      <c r="T1025" s="152" t="s">
        <v>2705</v>
      </c>
      <c r="U1025" s="152" t="s">
        <v>2705</v>
      </c>
    </row>
    <row r="1026" spans="1:21" s="142" customFormat="1" ht="12.75" x14ac:dyDescent="0.2">
      <c r="A1026" s="151"/>
      <c r="B1026" s="152" t="s">
        <v>2398</v>
      </c>
      <c r="C1026" s="152" t="s">
        <v>2398</v>
      </c>
      <c r="D1026" s="152" t="s">
        <v>2398</v>
      </c>
      <c r="E1026" s="152" t="s">
        <v>2705</v>
      </c>
      <c r="F1026" s="152" t="s">
        <v>2398</v>
      </c>
      <c r="G1026" s="152" t="s">
        <v>2705</v>
      </c>
      <c r="H1026" s="152" t="s">
        <v>2398</v>
      </c>
      <c r="I1026" s="152" t="s">
        <v>2398</v>
      </c>
      <c r="J1026" s="152" t="s">
        <v>2397</v>
      </c>
      <c r="K1026" s="152" t="s">
        <v>2705</v>
      </c>
      <c r="L1026" s="152" t="s">
        <v>2398</v>
      </c>
      <c r="M1026" s="152" t="s">
        <v>2398</v>
      </c>
      <c r="N1026" s="152" t="s">
        <v>2705</v>
      </c>
      <c r="O1026" s="152" t="s">
        <v>2705</v>
      </c>
      <c r="P1026" s="152" t="s">
        <v>2675</v>
      </c>
      <c r="Q1026" s="152" t="s">
        <v>2705</v>
      </c>
      <c r="R1026" s="152" t="s">
        <v>2705</v>
      </c>
      <c r="S1026" s="152" t="s">
        <v>2705</v>
      </c>
      <c r="T1026" s="152" t="s">
        <v>2705</v>
      </c>
      <c r="U1026" s="152" t="s">
        <v>2398</v>
      </c>
    </row>
    <row r="1027" spans="1:21" s="142" customFormat="1" ht="12.75" customHeight="1" x14ac:dyDescent="0.2">
      <c r="A1027" s="151" t="s">
        <v>7830</v>
      </c>
      <c r="B1027" s="152" t="s">
        <v>2398</v>
      </c>
      <c r="C1027" s="152" t="s">
        <v>2398</v>
      </c>
      <c r="D1027" s="152" t="s">
        <v>2705</v>
      </c>
      <c r="E1027" s="152" t="s">
        <v>2398</v>
      </c>
      <c r="F1027" s="152" t="s">
        <v>2705</v>
      </c>
      <c r="G1027" s="152" t="s">
        <v>2705</v>
      </c>
      <c r="H1027" s="152" t="s">
        <v>2705</v>
      </c>
      <c r="I1027" s="152" t="s">
        <v>2398</v>
      </c>
      <c r="J1027" s="152" t="s">
        <v>2705</v>
      </c>
      <c r="K1027" s="152" t="s">
        <v>2398</v>
      </c>
      <c r="L1027" s="152" t="s">
        <v>2398</v>
      </c>
      <c r="M1027" s="152" t="s">
        <v>2398</v>
      </c>
      <c r="N1027" s="152" t="s">
        <v>2398</v>
      </c>
      <c r="O1027" s="152" t="s">
        <v>2705</v>
      </c>
      <c r="P1027" s="152" t="s">
        <v>2705</v>
      </c>
      <c r="Q1027" s="152" t="s">
        <v>2705</v>
      </c>
      <c r="R1027" s="152" t="s">
        <v>2705</v>
      </c>
      <c r="S1027" s="152" t="s">
        <v>2705</v>
      </c>
      <c r="T1027" s="152" t="s">
        <v>2705</v>
      </c>
      <c r="U1027" s="152" t="s">
        <v>2705</v>
      </c>
    </row>
    <row r="1028" spans="1:21" s="142" customFormat="1" ht="12.75" x14ac:dyDescent="0.2">
      <c r="A1028" s="151"/>
      <c r="B1028" s="152" t="s">
        <v>2398</v>
      </c>
      <c r="C1028" s="152" t="s">
        <v>2398</v>
      </c>
      <c r="D1028" s="152" t="s">
        <v>2705</v>
      </c>
      <c r="E1028" s="152" t="s">
        <v>2398</v>
      </c>
      <c r="F1028" s="152" t="s">
        <v>2705</v>
      </c>
      <c r="G1028" s="152" t="s">
        <v>2705</v>
      </c>
      <c r="H1028" s="152" t="s">
        <v>2398</v>
      </c>
      <c r="I1028" s="152" t="s">
        <v>2398</v>
      </c>
      <c r="J1028" s="152" t="s">
        <v>2705</v>
      </c>
      <c r="K1028" s="152" t="s">
        <v>2705</v>
      </c>
      <c r="L1028" s="152" t="s">
        <v>2398</v>
      </c>
      <c r="M1028" s="152" t="s">
        <v>2705</v>
      </c>
      <c r="N1028" s="152" t="s">
        <v>2705</v>
      </c>
      <c r="O1028" s="152" t="s">
        <v>2398</v>
      </c>
      <c r="P1028" s="152" t="s">
        <v>2398</v>
      </c>
      <c r="Q1028" s="152" t="s">
        <v>2705</v>
      </c>
      <c r="R1028" s="152" t="s">
        <v>2398</v>
      </c>
      <c r="S1028" s="152" t="s">
        <v>2705</v>
      </c>
      <c r="T1028" s="152" t="s">
        <v>2705</v>
      </c>
      <c r="U1028" s="152" t="s">
        <v>2705</v>
      </c>
    </row>
    <row r="1029" spans="1:21" s="142" customFormat="1" ht="12.75" customHeight="1" x14ac:dyDescent="0.2">
      <c r="A1029" s="151" t="s">
        <v>7831</v>
      </c>
      <c r="B1029" s="152" t="s">
        <v>2705</v>
      </c>
      <c r="C1029" s="152" t="s">
        <v>2675</v>
      </c>
      <c r="D1029" s="152" t="s">
        <v>2705</v>
      </c>
      <c r="E1029" s="152" t="s">
        <v>2398</v>
      </c>
      <c r="F1029" s="152" t="s">
        <v>2705</v>
      </c>
      <c r="G1029" s="152" t="s">
        <v>2398</v>
      </c>
      <c r="H1029" s="152" t="s">
        <v>2705</v>
      </c>
      <c r="I1029" s="152" t="s">
        <v>2398</v>
      </c>
      <c r="J1029" s="152" t="s">
        <v>2705</v>
      </c>
      <c r="K1029" s="152" t="s">
        <v>2705</v>
      </c>
      <c r="L1029" s="152" t="s">
        <v>2705</v>
      </c>
      <c r="M1029" s="152" t="s">
        <v>2398</v>
      </c>
      <c r="N1029" s="152" t="s">
        <v>2705</v>
      </c>
      <c r="O1029" s="152" t="s">
        <v>2398</v>
      </c>
      <c r="P1029" s="152" t="s">
        <v>2398</v>
      </c>
      <c r="Q1029" s="152" t="s">
        <v>2705</v>
      </c>
      <c r="R1029" s="152" t="s">
        <v>2705</v>
      </c>
      <c r="S1029" s="152" t="s">
        <v>2705</v>
      </c>
      <c r="T1029" s="152" t="s">
        <v>2398</v>
      </c>
      <c r="U1029" s="152" t="s">
        <v>2398</v>
      </c>
    </row>
    <row r="1030" spans="1:21" s="142" customFormat="1" ht="12.75" x14ac:dyDescent="0.2">
      <c r="A1030" s="151"/>
      <c r="B1030" s="152" t="s">
        <v>2398</v>
      </c>
      <c r="C1030" s="152" t="s">
        <v>2705</v>
      </c>
      <c r="D1030" s="152" t="s">
        <v>2705</v>
      </c>
      <c r="E1030" s="152" t="s">
        <v>2398</v>
      </c>
      <c r="F1030" s="152" t="s">
        <v>2675</v>
      </c>
      <c r="G1030" s="152" t="s">
        <v>2398</v>
      </c>
      <c r="H1030" s="152" t="s">
        <v>2705</v>
      </c>
      <c r="I1030" s="152" t="s">
        <v>2705</v>
      </c>
      <c r="J1030" s="152" t="s">
        <v>2705</v>
      </c>
      <c r="K1030" s="152" t="s">
        <v>2705</v>
      </c>
      <c r="L1030" s="152" t="s">
        <v>2398</v>
      </c>
      <c r="M1030" s="152" t="s">
        <v>2675</v>
      </c>
      <c r="N1030" s="152" t="s">
        <v>2398</v>
      </c>
      <c r="O1030" s="152" t="s">
        <v>2398</v>
      </c>
      <c r="P1030" s="152" t="s">
        <v>2398</v>
      </c>
      <c r="Q1030" s="152" t="s">
        <v>2705</v>
      </c>
      <c r="R1030" s="152" t="s">
        <v>1435</v>
      </c>
      <c r="S1030" s="152" t="s">
        <v>2675</v>
      </c>
      <c r="T1030" s="152" t="s">
        <v>2705</v>
      </c>
      <c r="U1030" s="152" t="s">
        <v>2397</v>
      </c>
    </row>
    <row r="1031" spans="1:21" s="142" customFormat="1" ht="12.75" customHeight="1" x14ac:dyDescent="0.2">
      <c r="A1031" s="151" t="s">
        <v>7832</v>
      </c>
      <c r="B1031" s="152" t="s">
        <v>2705</v>
      </c>
      <c r="C1031" s="152" t="s">
        <v>2705</v>
      </c>
      <c r="D1031" s="152" t="s">
        <v>2705</v>
      </c>
      <c r="E1031" s="152" t="s">
        <v>2398</v>
      </c>
      <c r="F1031" s="152" t="s">
        <v>2705</v>
      </c>
      <c r="G1031" s="152" t="s">
        <v>2705</v>
      </c>
      <c r="H1031" s="152" t="s">
        <v>2705</v>
      </c>
      <c r="I1031" s="152" t="s">
        <v>2705</v>
      </c>
      <c r="J1031" s="152" t="s">
        <v>2705</v>
      </c>
      <c r="K1031" s="152" t="s">
        <v>2398</v>
      </c>
      <c r="L1031" s="152" t="s">
        <v>2705</v>
      </c>
      <c r="M1031" s="152" t="s">
        <v>2705</v>
      </c>
      <c r="N1031" s="152" t="s">
        <v>2398</v>
      </c>
      <c r="O1031" s="152" t="s">
        <v>2705</v>
      </c>
      <c r="P1031" s="152" t="s">
        <v>2705</v>
      </c>
      <c r="Q1031" s="152" t="s">
        <v>2398</v>
      </c>
      <c r="R1031" s="152" t="s">
        <v>2675</v>
      </c>
      <c r="S1031" s="152" t="s">
        <v>2398</v>
      </c>
      <c r="T1031" s="152" t="s">
        <v>2705</v>
      </c>
      <c r="U1031" s="152" t="s">
        <v>2705</v>
      </c>
    </row>
    <row r="1032" spans="1:21" s="142" customFormat="1" ht="12.75" x14ac:dyDescent="0.2">
      <c r="A1032" s="151"/>
      <c r="B1032" s="152" t="s">
        <v>2398</v>
      </c>
      <c r="C1032" s="152" t="s">
        <v>2705</v>
      </c>
      <c r="D1032" s="152" t="s">
        <v>2705</v>
      </c>
      <c r="E1032" s="152" t="s">
        <v>2705</v>
      </c>
      <c r="F1032" s="152" t="s">
        <v>2705</v>
      </c>
      <c r="G1032" s="152" t="s">
        <v>2398</v>
      </c>
      <c r="H1032" s="152" t="s">
        <v>2705</v>
      </c>
      <c r="I1032" s="152" t="s">
        <v>2705</v>
      </c>
      <c r="J1032" s="152" t="s">
        <v>2675</v>
      </c>
      <c r="K1032" s="152" t="s">
        <v>2398</v>
      </c>
      <c r="L1032" s="152" t="s">
        <v>2398</v>
      </c>
      <c r="M1032" s="152" t="s">
        <v>2398</v>
      </c>
      <c r="N1032" s="152" t="s">
        <v>2398</v>
      </c>
      <c r="O1032" s="152" t="s">
        <v>2705</v>
      </c>
      <c r="P1032" s="152" t="s">
        <v>2705</v>
      </c>
      <c r="Q1032" s="152" t="s">
        <v>2398</v>
      </c>
      <c r="R1032" s="152" t="s">
        <v>2705</v>
      </c>
      <c r="S1032" s="152" t="s">
        <v>2705</v>
      </c>
      <c r="T1032" s="152" t="s">
        <v>2398</v>
      </c>
      <c r="U1032" s="152" t="s">
        <v>2705</v>
      </c>
    </row>
    <row r="1033" spans="1:21" s="142" customFormat="1" ht="12.75" customHeight="1" x14ac:dyDescent="0.2">
      <c r="A1033" s="151" t="s">
        <v>7833</v>
      </c>
      <c r="B1033" s="152" t="s">
        <v>2705</v>
      </c>
      <c r="C1033" s="152" t="s">
        <v>2705</v>
      </c>
      <c r="D1033" s="152" t="s">
        <v>2705</v>
      </c>
      <c r="E1033" s="152" t="s">
        <v>2705</v>
      </c>
      <c r="F1033" s="152" t="s">
        <v>2705</v>
      </c>
      <c r="G1033" s="152" t="s">
        <v>2705</v>
      </c>
      <c r="H1033" s="152" t="s">
        <v>2705</v>
      </c>
      <c r="I1033" s="152" t="s">
        <v>2398</v>
      </c>
      <c r="J1033" s="152" t="s">
        <v>2398</v>
      </c>
      <c r="K1033" s="152" t="s">
        <v>2705</v>
      </c>
      <c r="L1033" s="152" t="s">
        <v>2705</v>
      </c>
      <c r="M1033" s="152" t="s">
        <v>2675</v>
      </c>
      <c r="N1033" s="152" t="s">
        <v>2705</v>
      </c>
      <c r="O1033" s="152" t="s">
        <v>2705</v>
      </c>
      <c r="P1033" s="152" t="s">
        <v>2398</v>
      </c>
      <c r="Q1033" s="152" t="s">
        <v>2705</v>
      </c>
      <c r="R1033" s="152" t="s">
        <v>2705</v>
      </c>
      <c r="S1033" s="152" t="s">
        <v>2398</v>
      </c>
      <c r="T1033" s="152" t="s">
        <v>2705</v>
      </c>
      <c r="U1033" s="152" t="s">
        <v>2705</v>
      </c>
    </row>
    <row r="1034" spans="1:21" s="142" customFormat="1" ht="12.75" x14ac:dyDescent="0.2">
      <c r="A1034" s="151"/>
      <c r="B1034" s="152" t="s">
        <v>2398</v>
      </c>
      <c r="C1034" s="152" t="s">
        <v>2675</v>
      </c>
      <c r="D1034" s="152" t="s">
        <v>2675</v>
      </c>
      <c r="E1034" s="152" t="s">
        <v>2398</v>
      </c>
      <c r="F1034" s="152" t="s">
        <v>2705</v>
      </c>
      <c r="G1034" s="152" t="s">
        <v>2705</v>
      </c>
      <c r="H1034" s="152" t="s">
        <v>2705</v>
      </c>
      <c r="I1034" s="152" t="s">
        <v>2705</v>
      </c>
      <c r="J1034" s="152" t="s">
        <v>2705</v>
      </c>
      <c r="K1034" s="152" t="s">
        <v>2705</v>
      </c>
      <c r="L1034" s="152" t="s">
        <v>2398</v>
      </c>
      <c r="M1034" s="152" t="s">
        <v>2675</v>
      </c>
      <c r="N1034" s="152" t="s">
        <v>2705</v>
      </c>
      <c r="O1034" s="152" t="s">
        <v>2705</v>
      </c>
      <c r="P1034" s="152" t="s">
        <v>2705</v>
      </c>
      <c r="Q1034" s="152" t="s">
        <v>1435</v>
      </c>
      <c r="R1034" s="152" t="s">
        <v>1435</v>
      </c>
      <c r="S1034" s="152" t="s">
        <v>2675</v>
      </c>
      <c r="T1034" s="152" t="s">
        <v>2705</v>
      </c>
      <c r="U1034" s="152" t="s">
        <v>2398</v>
      </c>
    </row>
    <row r="1035" spans="1:21" s="142" customFormat="1" ht="12.75" customHeight="1" x14ac:dyDescent="0.2">
      <c r="A1035" s="151" t="s">
        <v>7834</v>
      </c>
      <c r="B1035" s="152" t="s">
        <v>2705</v>
      </c>
      <c r="C1035" s="152" t="s">
        <v>2398</v>
      </c>
      <c r="D1035" s="152" t="s">
        <v>2675</v>
      </c>
      <c r="E1035" s="152" t="s">
        <v>2705</v>
      </c>
      <c r="F1035" s="152" t="s">
        <v>2398</v>
      </c>
      <c r="G1035" s="152" t="s">
        <v>2705</v>
      </c>
      <c r="H1035" s="152" t="s">
        <v>2705</v>
      </c>
      <c r="I1035" s="152" t="s">
        <v>2398</v>
      </c>
      <c r="J1035" s="152" t="s">
        <v>2398</v>
      </c>
      <c r="K1035" s="152" t="s">
        <v>2705</v>
      </c>
      <c r="L1035" s="152" t="s">
        <v>2398</v>
      </c>
      <c r="M1035" s="152" t="s">
        <v>2398</v>
      </c>
      <c r="N1035" s="152" t="s">
        <v>2398</v>
      </c>
      <c r="O1035" s="152" t="s">
        <v>2398</v>
      </c>
      <c r="P1035" s="152" t="s">
        <v>2705</v>
      </c>
      <c r="Q1035" s="152" t="s">
        <v>2398</v>
      </c>
      <c r="R1035" s="152" t="s">
        <v>2705</v>
      </c>
      <c r="S1035" s="152" t="s">
        <v>2705</v>
      </c>
      <c r="T1035" s="152" t="s">
        <v>2398</v>
      </c>
      <c r="U1035" s="152" t="s">
        <v>2398</v>
      </c>
    </row>
    <row r="1036" spans="1:21" s="142" customFormat="1" ht="12.75" x14ac:dyDescent="0.2">
      <c r="A1036" s="151"/>
      <c r="B1036" s="152" t="s">
        <v>2397</v>
      </c>
      <c r="C1036" s="152" t="s">
        <v>2397</v>
      </c>
      <c r="D1036" s="152" t="s">
        <v>2398</v>
      </c>
      <c r="E1036" s="152" t="s">
        <v>2705</v>
      </c>
      <c r="F1036" s="152" t="s">
        <v>2705</v>
      </c>
      <c r="G1036" s="152" t="s">
        <v>2705</v>
      </c>
      <c r="H1036" s="152" t="s">
        <v>2705</v>
      </c>
      <c r="I1036" s="152" t="s">
        <v>2675</v>
      </c>
      <c r="J1036" s="152" t="s">
        <v>2705</v>
      </c>
      <c r="K1036" s="152" t="s">
        <v>2705</v>
      </c>
      <c r="L1036" s="152" t="s">
        <v>2705</v>
      </c>
      <c r="M1036" s="152" t="s">
        <v>1435</v>
      </c>
      <c r="N1036" s="152" t="s">
        <v>2705</v>
      </c>
      <c r="O1036" s="152" t="s">
        <v>2705</v>
      </c>
      <c r="P1036" s="152" t="s">
        <v>2705</v>
      </c>
      <c r="Q1036" s="152" t="s">
        <v>2705</v>
      </c>
      <c r="R1036" s="152" t="s">
        <v>1435</v>
      </c>
      <c r="S1036" s="152" t="s">
        <v>2705</v>
      </c>
      <c r="T1036" s="152" t="s">
        <v>2705</v>
      </c>
      <c r="U1036" s="152" t="s">
        <v>2705</v>
      </c>
    </row>
    <row r="1037" spans="1:21" s="142" customFormat="1" ht="12.75" customHeight="1" x14ac:dyDescent="0.2">
      <c r="A1037" s="151" t="s">
        <v>7835</v>
      </c>
      <c r="B1037" s="152" t="s">
        <v>2397</v>
      </c>
      <c r="C1037" s="152" t="s">
        <v>2705</v>
      </c>
      <c r="D1037" s="152" t="s">
        <v>2705</v>
      </c>
      <c r="E1037" s="152" t="s">
        <v>2398</v>
      </c>
      <c r="F1037" s="152" t="s">
        <v>2398</v>
      </c>
      <c r="G1037" s="152" t="s">
        <v>2705</v>
      </c>
      <c r="H1037" s="152" t="s">
        <v>2705</v>
      </c>
      <c r="I1037" s="152" t="s">
        <v>2675</v>
      </c>
      <c r="J1037" s="152" t="s">
        <v>2675</v>
      </c>
      <c r="K1037" s="152" t="s">
        <v>2705</v>
      </c>
      <c r="L1037" s="152" t="s">
        <v>2705</v>
      </c>
      <c r="M1037" s="152" t="s">
        <v>2398</v>
      </c>
      <c r="N1037" s="152" t="s">
        <v>2675</v>
      </c>
      <c r="O1037" s="152" t="s">
        <v>1435</v>
      </c>
      <c r="P1037" s="152" t="s">
        <v>2705</v>
      </c>
      <c r="Q1037" s="152" t="s">
        <v>1435</v>
      </c>
      <c r="R1037" s="152" t="s">
        <v>2675</v>
      </c>
      <c r="S1037" s="152" t="s">
        <v>2398</v>
      </c>
      <c r="T1037" s="152" t="s">
        <v>2398</v>
      </c>
      <c r="U1037" s="152" t="s">
        <v>2675</v>
      </c>
    </row>
    <row r="1038" spans="1:21" s="142" customFormat="1" ht="12.75" x14ac:dyDescent="0.2">
      <c r="A1038" s="151"/>
      <c r="B1038" s="152" t="s">
        <v>2397</v>
      </c>
      <c r="C1038" s="152" t="s">
        <v>2398</v>
      </c>
      <c r="D1038" s="152" t="s">
        <v>2705</v>
      </c>
      <c r="E1038" s="152" t="s">
        <v>2705</v>
      </c>
      <c r="F1038" s="152" t="s">
        <v>2398</v>
      </c>
      <c r="G1038" s="152" t="s">
        <v>1435</v>
      </c>
      <c r="H1038" s="152" t="s">
        <v>2675</v>
      </c>
      <c r="I1038" s="152" t="s">
        <v>2398</v>
      </c>
      <c r="J1038" s="152" t="s">
        <v>2675</v>
      </c>
      <c r="K1038" s="152" t="s">
        <v>2675</v>
      </c>
      <c r="L1038" s="152" t="s">
        <v>2705</v>
      </c>
      <c r="M1038" s="152" t="s">
        <v>2705</v>
      </c>
      <c r="N1038" s="152" t="s">
        <v>2398</v>
      </c>
      <c r="O1038" s="152" t="s">
        <v>2705</v>
      </c>
      <c r="P1038" s="152" t="s">
        <v>2398</v>
      </c>
      <c r="Q1038" s="152" t="s">
        <v>2398</v>
      </c>
      <c r="R1038" s="152" t="s">
        <v>2705</v>
      </c>
      <c r="S1038" s="152" t="s">
        <v>1435</v>
      </c>
      <c r="T1038" s="152" t="s">
        <v>2705</v>
      </c>
      <c r="U1038" s="152" t="s">
        <v>2705</v>
      </c>
    </row>
    <row r="1039" spans="1:21" s="142" customFormat="1" ht="12.75" customHeight="1" x14ac:dyDescent="0.2">
      <c r="A1039" s="151" t="s">
        <v>7836</v>
      </c>
      <c r="B1039" s="152" t="s">
        <v>2705</v>
      </c>
      <c r="C1039" s="152" t="s">
        <v>2398</v>
      </c>
      <c r="D1039" s="152" t="s">
        <v>2675</v>
      </c>
      <c r="E1039" s="152" t="s">
        <v>2398</v>
      </c>
      <c r="F1039" s="152" t="s">
        <v>2398</v>
      </c>
      <c r="G1039" s="152" t="s">
        <v>2705</v>
      </c>
      <c r="H1039" s="152" t="s">
        <v>2398</v>
      </c>
      <c r="I1039" s="152" t="s">
        <v>2398</v>
      </c>
      <c r="J1039" s="152" t="s">
        <v>2705</v>
      </c>
      <c r="K1039" s="152" t="s">
        <v>2398</v>
      </c>
      <c r="L1039" s="152" t="s">
        <v>2675</v>
      </c>
      <c r="M1039" s="152" t="s">
        <v>2398</v>
      </c>
      <c r="N1039" s="152" t="s">
        <v>2705</v>
      </c>
      <c r="O1039" s="152" t="s">
        <v>2398</v>
      </c>
      <c r="P1039" s="152" t="s">
        <v>2705</v>
      </c>
      <c r="Q1039" s="152" t="s">
        <v>2398</v>
      </c>
      <c r="R1039" s="152" t="s">
        <v>2705</v>
      </c>
      <c r="S1039" s="152" t="s">
        <v>2705</v>
      </c>
      <c r="T1039" s="152" t="s">
        <v>2398</v>
      </c>
      <c r="U1039" s="152" t="s">
        <v>2398</v>
      </c>
    </row>
    <row r="1040" spans="1:21" s="142" customFormat="1" ht="12.75" x14ac:dyDescent="0.2">
      <c r="A1040" s="151"/>
      <c r="B1040" s="152" t="s">
        <v>2398</v>
      </c>
      <c r="C1040" s="152" t="s">
        <v>2398</v>
      </c>
      <c r="D1040" s="152" t="s">
        <v>2398</v>
      </c>
      <c r="E1040" s="152" t="s">
        <v>1435</v>
      </c>
      <c r="F1040" s="152" t="s">
        <v>2705</v>
      </c>
      <c r="G1040" s="152" t="s">
        <v>2705</v>
      </c>
      <c r="H1040" s="152" t="s">
        <v>2705</v>
      </c>
      <c r="I1040" s="152" t="s">
        <v>2398</v>
      </c>
      <c r="J1040" s="152" t="s">
        <v>2705</v>
      </c>
      <c r="K1040" s="152" t="s">
        <v>2705</v>
      </c>
      <c r="L1040" s="152" t="s">
        <v>2398</v>
      </c>
      <c r="M1040" s="152" t="s">
        <v>2705</v>
      </c>
      <c r="N1040" s="152" t="s">
        <v>2705</v>
      </c>
      <c r="O1040" s="152" t="s">
        <v>2705</v>
      </c>
      <c r="P1040" s="152" t="s">
        <v>1435</v>
      </c>
      <c r="Q1040" s="152" t="s">
        <v>1435</v>
      </c>
      <c r="R1040" s="152" t="s">
        <v>2398</v>
      </c>
      <c r="S1040" s="152" t="s">
        <v>2705</v>
      </c>
      <c r="T1040" s="152" t="s">
        <v>2705</v>
      </c>
      <c r="U1040" s="152" t="s">
        <v>2398</v>
      </c>
    </row>
    <row r="1041" spans="1:21" s="142" customFormat="1" ht="12.75" customHeight="1" x14ac:dyDescent="0.2">
      <c r="A1041" s="151" t="s">
        <v>7837</v>
      </c>
      <c r="B1041" s="152" t="s">
        <v>2398</v>
      </c>
      <c r="C1041" s="152" t="s">
        <v>2705</v>
      </c>
      <c r="D1041" s="152" t="s">
        <v>2705</v>
      </c>
      <c r="E1041" s="152" t="s">
        <v>2705</v>
      </c>
      <c r="F1041" s="152" t="s">
        <v>1435</v>
      </c>
      <c r="G1041" s="152" t="s">
        <v>2705</v>
      </c>
      <c r="H1041" s="152" t="s">
        <v>2705</v>
      </c>
      <c r="I1041" s="152" t="s">
        <v>2398</v>
      </c>
      <c r="J1041" s="152" t="s">
        <v>2705</v>
      </c>
      <c r="K1041" s="152" t="s">
        <v>2398</v>
      </c>
      <c r="L1041" s="152" t="s">
        <v>2705</v>
      </c>
      <c r="M1041" s="152" t="s">
        <v>2705</v>
      </c>
      <c r="N1041" s="152" t="s">
        <v>2705</v>
      </c>
      <c r="O1041" s="152" t="s">
        <v>1435</v>
      </c>
      <c r="P1041" s="152" t="s">
        <v>2398</v>
      </c>
      <c r="Q1041" s="152" t="s">
        <v>2398</v>
      </c>
      <c r="R1041" s="152" t="s">
        <v>2397</v>
      </c>
      <c r="S1041" s="152" t="s">
        <v>2398</v>
      </c>
      <c r="T1041" s="152" t="s">
        <v>2705</v>
      </c>
      <c r="U1041" s="152" t="s">
        <v>2398</v>
      </c>
    </row>
    <row r="1042" spans="1:21" s="142" customFormat="1" ht="12.75" x14ac:dyDescent="0.2">
      <c r="A1042" s="151"/>
      <c r="B1042" s="152" t="s">
        <v>2705</v>
      </c>
      <c r="C1042" s="152" t="s">
        <v>2398</v>
      </c>
      <c r="D1042" s="152" t="s">
        <v>2705</v>
      </c>
      <c r="E1042" s="152" t="s">
        <v>2705</v>
      </c>
      <c r="F1042" s="152" t="s">
        <v>2705</v>
      </c>
      <c r="G1042" s="152" t="s">
        <v>2398</v>
      </c>
      <c r="H1042" s="152" t="s">
        <v>2398</v>
      </c>
      <c r="I1042" s="152" t="s">
        <v>2398</v>
      </c>
      <c r="J1042" s="152" t="s">
        <v>2675</v>
      </c>
      <c r="K1042" s="152" t="s">
        <v>2398</v>
      </c>
      <c r="L1042" s="152" t="s">
        <v>2398</v>
      </c>
      <c r="M1042" s="152" t="s">
        <v>2398</v>
      </c>
      <c r="N1042" s="152" t="s">
        <v>2398</v>
      </c>
      <c r="O1042" s="152" t="s">
        <v>2705</v>
      </c>
      <c r="P1042" s="152" t="s">
        <v>2705</v>
      </c>
      <c r="Q1042" s="152" t="s">
        <v>2705</v>
      </c>
      <c r="R1042" s="152" t="s">
        <v>2398</v>
      </c>
      <c r="S1042" s="152" t="s">
        <v>2705</v>
      </c>
      <c r="T1042" s="152" t="s">
        <v>2398</v>
      </c>
      <c r="U1042" s="152" t="s">
        <v>2705</v>
      </c>
    </row>
    <row r="1043" spans="1:21" s="142" customFormat="1" ht="12.75" customHeight="1" x14ac:dyDescent="0.2">
      <c r="A1043" s="151" t="s">
        <v>7838</v>
      </c>
      <c r="B1043" s="152" t="s">
        <v>2705</v>
      </c>
      <c r="C1043" s="152" t="s">
        <v>2398</v>
      </c>
      <c r="D1043" s="152" t="s">
        <v>2705</v>
      </c>
      <c r="E1043" s="152" t="s">
        <v>2398</v>
      </c>
      <c r="F1043" s="152" t="s">
        <v>2705</v>
      </c>
      <c r="G1043" s="152" t="s">
        <v>2705</v>
      </c>
      <c r="H1043" s="152" t="s">
        <v>2705</v>
      </c>
      <c r="I1043" s="152" t="s">
        <v>2705</v>
      </c>
      <c r="J1043" s="152" t="s">
        <v>2705</v>
      </c>
      <c r="K1043" s="152" t="s">
        <v>2398</v>
      </c>
      <c r="L1043" s="152" t="s">
        <v>2705</v>
      </c>
      <c r="M1043" s="152" t="s">
        <v>2705</v>
      </c>
      <c r="N1043" s="152" t="s">
        <v>2398</v>
      </c>
      <c r="O1043" s="152" t="s">
        <v>2398</v>
      </c>
      <c r="P1043" s="152" t="s">
        <v>2398</v>
      </c>
      <c r="Q1043" s="152" t="s">
        <v>2398</v>
      </c>
      <c r="R1043" s="152" t="s">
        <v>2398</v>
      </c>
      <c r="S1043" s="152" t="s">
        <v>2398</v>
      </c>
      <c r="T1043" s="152" t="s">
        <v>2398</v>
      </c>
      <c r="U1043" s="152" t="s">
        <v>2398</v>
      </c>
    </row>
    <row r="1044" spans="1:21" s="142" customFormat="1" ht="12.75" x14ac:dyDescent="0.2">
      <c r="A1044" s="151"/>
      <c r="B1044" s="152" t="s">
        <v>2705</v>
      </c>
      <c r="C1044" s="152" t="s">
        <v>2705</v>
      </c>
      <c r="D1044" s="152" t="s">
        <v>2705</v>
      </c>
      <c r="E1044" s="152" t="s">
        <v>2705</v>
      </c>
      <c r="F1044" s="152" t="s">
        <v>2705</v>
      </c>
      <c r="G1044" s="152" t="s">
        <v>2398</v>
      </c>
      <c r="H1044" s="152" t="s">
        <v>2705</v>
      </c>
      <c r="I1044" s="152" t="s">
        <v>2705</v>
      </c>
      <c r="J1044" s="152" t="s">
        <v>2705</v>
      </c>
      <c r="K1044" s="152" t="s">
        <v>2398</v>
      </c>
      <c r="L1044" s="152" t="s">
        <v>2705</v>
      </c>
      <c r="M1044" s="152" t="s">
        <v>2705</v>
      </c>
      <c r="N1044" s="152" t="s">
        <v>2705</v>
      </c>
      <c r="O1044" s="152" t="s">
        <v>2705</v>
      </c>
      <c r="P1044" s="152" t="s">
        <v>2705</v>
      </c>
      <c r="Q1044" s="152" t="s">
        <v>2398</v>
      </c>
      <c r="R1044" s="152" t="s">
        <v>2705</v>
      </c>
      <c r="S1044" s="152" t="s">
        <v>2705</v>
      </c>
      <c r="T1044" s="152" t="s">
        <v>2705</v>
      </c>
      <c r="U1044" s="152" t="s">
        <v>2705</v>
      </c>
    </row>
    <row r="1045" spans="1:21" s="142" customFormat="1" ht="12.75" customHeight="1" x14ac:dyDescent="0.2">
      <c r="A1045" s="151" t="s">
        <v>7839</v>
      </c>
      <c r="B1045" s="152" t="s">
        <v>2705</v>
      </c>
      <c r="C1045" s="152" t="s">
        <v>2675</v>
      </c>
      <c r="D1045" s="152" t="s">
        <v>2397</v>
      </c>
      <c r="E1045" s="152" t="s">
        <v>2398</v>
      </c>
      <c r="F1045" s="152" t="s">
        <v>2705</v>
      </c>
      <c r="G1045" s="152" t="s">
        <v>1435</v>
      </c>
      <c r="H1045" s="152" t="s">
        <v>2705</v>
      </c>
      <c r="I1045" s="152" t="s">
        <v>2705</v>
      </c>
      <c r="J1045" s="152" t="s">
        <v>2398</v>
      </c>
      <c r="K1045" s="152" t="s">
        <v>2398</v>
      </c>
      <c r="L1045" s="152" t="s">
        <v>2705</v>
      </c>
      <c r="M1045" s="152" t="s">
        <v>2398</v>
      </c>
      <c r="N1045" s="152" t="s">
        <v>2705</v>
      </c>
      <c r="O1045" s="152" t="s">
        <v>2398</v>
      </c>
      <c r="P1045" s="152" t="s">
        <v>2705</v>
      </c>
      <c r="Q1045" s="152" t="s">
        <v>2398</v>
      </c>
      <c r="R1045" s="152" t="s">
        <v>2397</v>
      </c>
      <c r="S1045" s="152" t="s">
        <v>2705</v>
      </c>
      <c r="T1045" s="152" t="s">
        <v>2398</v>
      </c>
      <c r="U1045" s="152" t="s">
        <v>2705</v>
      </c>
    </row>
    <row r="1046" spans="1:21" s="142" customFormat="1" ht="12.75" x14ac:dyDescent="0.2">
      <c r="A1046" s="151"/>
      <c r="B1046" s="152" t="s">
        <v>2705</v>
      </c>
      <c r="C1046" s="152" t="s">
        <v>2675</v>
      </c>
      <c r="D1046" s="152" t="s">
        <v>2705</v>
      </c>
      <c r="E1046" s="152" t="s">
        <v>2675</v>
      </c>
      <c r="F1046" s="152" t="s">
        <v>2675</v>
      </c>
      <c r="G1046" s="152" t="s">
        <v>2398</v>
      </c>
      <c r="H1046" s="152" t="s">
        <v>2398</v>
      </c>
      <c r="I1046" s="152" t="s">
        <v>2705</v>
      </c>
      <c r="J1046" s="152" t="s">
        <v>2705</v>
      </c>
      <c r="K1046" s="152" t="s">
        <v>1435</v>
      </c>
      <c r="L1046" s="152" t="s">
        <v>2397</v>
      </c>
      <c r="M1046" s="152" t="s">
        <v>2675</v>
      </c>
      <c r="N1046" s="152" t="s">
        <v>2398</v>
      </c>
      <c r="O1046" s="152" t="s">
        <v>1435</v>
      </c>
      <c r="P1046" s="152" t="s">
        <v>2705</v>
      </c>
      <c r="Q1046" s="152" t="s">
        <v>2705</v>
      </c>
      <c r="R1046" s="152" t="s">
        <v>2398</v>
      </c>
      <c r="S1046" s="152" t="s">
        <v>2397</v>
      </c>
      <c r="T1046" s="152" t="s">
        <v>2705</v>
      </c>
      <c r="U1046" s="152" t="s">
        <v>2675</v>
      </c>
    </row>
    <row r="1047" spans="1:21" s="142" customFormat="1" ht="12.75" customHeight="1" x14ac:dyDescent="0.2">
      <c r="A1047" s="151" t="s">
        <v>7840</v>
      </c>
      <c r="B1047" s="152" t="s">
        <v>2398</v>
      </c>
      <c r="C1047" s="152" t="s">
        <v>1435</v>
      </c>
      <c r="D1047" s="152" t="s">
        <v>2705</v>
      </c>
      <c r="E1047" s="152" t="s">
        <v>2705</v>
      </c>
      <c r="F1047" s="152" t="s">
        <v>2705</v>
      </c>
      <c r="G1047" s="152" t="s">
        <v>2398</v>
      </c>
      <c r="H1047" s="152" t="s">
        <v>2705</v>
      </c>
      <c r="I1047" s="152" t="s">
        <v>2398</v>
      </c>
      <c r="J1047" s="152" t="s">
        <v>2398</v>
      </c>
      <c r="K1047" s="152" t="s">
        <v>2398</v>
      </c>
      <c r="L1047" s="152" t="s">
        <v>2675</v>
      </c>
      <c r="M1047" s="152" t="s">
        <v>2398</v>
      </c>
      <c r="N1047" s="152" t="s">
        <v>2398</v>
      </c>
      <c r="O1047" s="152" t="s">
        <v>1435</v>
      </c>
      <c r="P1047" s="152" t="s">
        <v>2705</v>
      </c>
      <c r="Q1047" s="152" t="s">
        <v>2705</v>
      </c>
      <c r="R1047" s="152" t="s">
        <v>2398</v>
      </c>
      <c r="S1047" s="152" t="s">
        <v>2398</v>
      </c>
      <c r="T1047" s="152" t="s">
        <v>2675</v>
      </c>
      <c r="U1047" s="152" t="s">
        <v>2705</v>
      </c>
    </row>
    <row r="1048" spans="1:21" s="142" customFormat="1" ht="12.75" x14ac:dyDescent="0.2">
      <c r="A1048" s="151"/>
      <c r="B1048" s="152" t="s">
        <v>2705</v>
      </c>
      <c r="C1048" s="152" t="s">
        <v>2398</v>
      </c>
      <c r="D1048" s="152" t="s">
        <v>2397</v>
      </c>
      <c r="E1048" s="152" t="s">
        <v>2675</v>
      </c>
      <c r="F1048" s="152" t="s">
        <v>2705</v>
      </c>
      <c r="G1048" s="152" t="s">
        <v>2705</v>
      </c>
      <c r="H1048" s="152" t="s">
        <v>2705</v>
      </c>
      <c r="I1048" s="152" t="s">
        <v>1435</v>
      </c>
      <c r="J1048" s="152" t="s">
        <v>2398</v>
      </c>
      <c r="K1048" s="152" t="s">
        <v>2398</v>
      </c>
      <c r="L1048" s="152" t="s">
        <v>2705</v>
      </c>
      <c r="M1048" s="152" t="s">
        <v>2398</v>
      </c>
      <c r="N1048" s="152" t="s">
        <v>2705</v>
      </c>
      <c r="O1048" s="152" t="s">
        <v>2397</v>
      </c>
      <c r="P1048" s="152" t="s">
        <v>2705</v>
      </c>
      <c r="Q1048" s="152" t="s">
        <v>2705</v>
      </c>
      <c r="R1048" s="152" t="s">
        <v>1435</v>
      </c>
      <c r="S1048" s="152" t="s">
        <v>2398</v>
      </c>
      <c r="T1048" s="152" t="s">
        <v>2705</v>
      </c>
      <c r="U1048" s="152" t="s">
        <v>2398</v>
      </c>
    </row>
    <row r="1049" spans="1:21" s="142" customFormat="1" ht="12.75" customHeight="1" x14ac:dyDescent="0.2">
      <c r="A1049" s="151" t="s">
        <v>7841</v>
      </c>
      <c r="B1049" s="152" t="s">
        <v>2398</v>
      </c>
      <c r="C1049" s="152" t="s">
        <v>2705</v>
      </c>
      <c r="D1049" s="152" t="s">
        <v>2398</v>
      </c>
      <c r="E1049" s="152" t="s">
        <v>2398</v>
      </c>
      <c r="F1049" s="152" t="s">
        <v>2397</v>
      </c>
      <c r="G1049" s="152" t="s">
        <v>2705</v>
      </c>
      <c r="H1049" s="152" t="s">
        <v>2705</v>
      </c>
      <c r="I1049" s="152" t="s">
        <v>2675</v>
      </c>
      <c r="J1049" s="152" t="s">
        <v>2705</v>
      </c>
      <c r="K1049" s="152" t="s">
        <v>2705</v>
      </c>
      <c r="L1049" s="152" t="s">
        <v>2398</v>
      </c>
      <c r="M1049" s="152" t="s">
        <v>2705</v>
      </c>
      <c r="N1049" s="152" t="s">
        <v>2398</v>
      </c>
      <c r="O1049" s="152" t="s">
        <v>2705</v>
      </c>
      <c r="P1049" s="152" t="s">
        <v>2705</v>
      </c>
      <c r="Q1049" s="152" t="s">
        <v>2705</v>
      </c>
      <c r="R1049" s="152" t="s">
        <v>2398</v>
      </c>
      <c r="S1049" s="152" t="s">
        <v>2675</v>
      </c>
      <c r="T1049" s="152" t="s">
        <v>2705</v>
      </c>
      <c r="U1049" s="152" t="s">
        <v>2705</v>
      </c>
    </row>
    <row r="1050" spans="1:21" s="142" customFormat="1" ht="12.75" x14ac:dyDescent="0.2">
      <c r="A1050" s="151"/>
      <c r="B1050" s="152" t="s">
        <v>2675</v>
      </c>
      <c r="C1050" s="152" t="s">
        <v>2705</v>
      </c>
      <c r="D1050" s="152" t="s">
        <v>2398</v>
      </c>
      <c r="E1050" s="152" t="s">
        <v>2398</v>
      </c>
      <c r="F1050" s="152" t="s">
        <v>2705</v>
      </c>
      <c r="G1050" s="152" t="s">
        <v>2705</v>
      </c>
      <c r="H1050" s="152" t="s">
        <v>2397</v>
      </c>
      <c r="I1050" s="152" t="s">
        <v>2705</v>
      </c>
      <c r="J1050" s="152" t="s">
        <v>1435</v>
      </c>
      <c r="K1050" s="152" t="s">
        <v>2398</v>
      </c>
      <c r="L1050" s="152" t="s">
        <v>2398</v>
      </c>
      <c r="M1050" s="152" t="s">
        <v>1435</v>
      </c>
      <c r="N1050" s="152" t="s">
        <v>2705</v>
      </c>
      <c r="O1050" s="152" t="s">
        <v>2398</v>
      </c>
      <c r="P1050" s="152" t="s">
        <v>1435</v>
      </c>
      <c r="Q1050" s="152" t="s">
        <v>2398</v>
      </c>
      <c r="R1050" s="152" t="s">
        <v>2705</v>
      </c>
      <c r="S1050" s="152" t="s">
        <v>2705</v>
      </c>
      <c r="T1050" s="152" t="s">
        <v>2705</v>
      </c>
      <c r="U1050" s="152" t="s">
        <v>2398</v>
      </c>
    </row>
    <row r="1051" spans="1:21" s="142" customFormat="1" ht="12.75" customHeight="1" x14ac:dyDescent="0.2">
      <c r="A1051" s="151" t="s">
        <v>7842</v>
      </c>
      <c r="B1051" s="152" t="s">
        <v>2398</v>
      </c>
      <c r="C1051" s="152" t="s">
        <v>2705</v>
      </c>
      <c r="D1051" s="152" t="s">
        <v>2675</v>
      </c>
      <c r="E1051" s="152" t="s">
        <v>2398</v>
      </c>
      <c r="F1051" s="152" t="s">
        <v>2398</v>
      </c>
      <c r="G1051" s="152" t="s">
        <v>1435</v>
      </c>
      <c r="H1051" s="152" t="s">
        <v>2675</v>
      </c>
      <c r="I1051" s="152" t="s">
        <v>2705</v>
      </c>
      <c r="J1051" s="152" t="s">
        <v>2705</v>
      </c>
      <c r="K1051" s="152" t="s">
        <v>2398</v>
      </c>
      <c r="L1051" s="152" t="s">
        <v>2705</v>
      </c>
      <c r="M1051" s="152" t="s">
        <v>2705</v>
      </c>
      <c r="N1051" s="152" t="s">
        <v>2705</v>
      </c>
      <c r="O1051" s="152" t="s">
        <v>2705</v>
      </c>
      <c r="P1051" s="152" t="s">
        <v>1435</v>
      </c>
      <c r="Q1051" s="152" t="s">
        <v>2675</v>
      </c>
      <c r="R1051" s="152" t="s">
        <v>2705</v>
      </c>
      <c r="S1051" s="152" t="s">
        <v>2705</v>
      </c>
      <c r="T1051" s="152" t="s">
        <v>2398</v>
      </c>
      <c r="U1051" s="152" t="s">
        <v>2398</v>
      </c>
    </row>
    <row r="1052" spans="1:21" s="142" customFormat="1" ht="12.75" x14ac:dyDescent="0.2">
      <c r="A1052" s="151"/>
      <c r="B1052" s="152" t="s">
        <v>2398</v>
      </c>
      <c r="C1052" s="152" t="s">
        <v>2705</v>
      </c>
      <c r="D1052" s="152" t="s">
        <v>2398</v>
      </c>
      <c r="E1052" s="152" t="s">
        <v>2398</v>
      </c>
      <c r="F1052" s="152" t="s">
        <v>2398</v>
      </c>
      <c r="G1052" s="152" t="s">
        <v>2398</v>
      </c>
      <c r="H1052" s="152" t="s">
        <v>1435</v>
      </c>
      <c r="I1052" s="152" t="s">
        <v>2398</v>
      </c>
      <c r="J1052" s="152" t="s">
        <v>2398</v>
      </c>
      <c r="K1052" s="152" t="s">
        <v>2398</v>
      </c>
      <c r="L1052" s="152" t="s">
        <v>2705</v>
      </c>
      <c r="M1052" s="152" t="s">
        <v>2705</v>
      </c>
      <c r="N1052" s="152" t="s">
        <v>2705</v>
      </c>
      <c r="O1052" s="152" t="s">
        <v>2398</v>
      </c>
      <c r="P1052" s="152" t="s">
        <v>1435</v>
      </c>
      <c r="Q1052" s="152" t="s">
        <v>1435</v>
      </c>
      <c r="R1052" s="152" t="s">
        <v>1435</v>
      </c>
      <c r="S1052" s="152" t="s">
        <v>2398</v>
      </c>
      <c r="T1052" s="152" t="s">
        <v>2397</v>
      </c>
      <c r="U1052" s="152" t="s">
        <v>2398</v>
      </c>
    </row>
    <row r="1053" spans="1:21" s="142" customFormat="1" ht="12.75" customHeight="1" x14ac:dyDescent="0.2">
      <c r="A1053" s="151" t="s">
        <v>7843</v>
      </c>
      <c r="B1053" s="152" t="s">
        <v>1435</v>
      </c>
      <c r="C1053" s="152" t="s">
        <v>2705</v>
      </c>
      <c r="D1053" s="152" t="s">
        <v>2705</v>
      </c>
      <c r="E1053" s="152" t="s">
        <v>2705</v>
      </c>
      <c r="F1053" s="152" t="s">
        <v>2705</v>
      </c>
      <c r="G1053" s="152" t="s">
        <v>2705</v>
      </c>
      <c r="H1053" s="152" t="s">
        <v>2705</v>
      </c>
      <c r="I1053" s="152" t="s">
        <v>2675</v>
      </c>
      <c r="J1053" s="152" t="s">
        <v>2705</v>
      </c>
      <c r="K1053" s="152" t="s">
        <v>2397</v>
      </c>
      <c r="L1053" s="152" t="s">
        <v>2705</v>
      </c>
      <c r="M1053" s="152" t="s">
        <v>2675</v>
      </c>
      <c r="N1053" s="152" t="s">
        <v>2705</v>
      </c>
      <c r="O1053" s="152" t="s">
        <v>1435</v>
      </c>
      <c r="P1053" s="152" t="s">
        <v>2398</v>
      </c>
      <c r="Q1053" s="152" t="s">
        <v>2705</v>
      </c>
      <c r="R1053" s="152" t="s">
        <v>2675</v>
      </c>
      <c r="S1053" s="152" t="s">
        <v>2705</v>
      </c>
      <c r="T1053" s="152" t="s">
        <v>2675</v>
      </c>
      <c r="U1053" s="152" t="s">
        <v>2398</v>
      </c>
    </row>
    <row r="1054" spans="1:21" s="142" customFormat="1" ht="12.75" x14ac:dyDescent="0.2">
      <c r="A1054" s="151"/>
      <c r="B1054" s="152" t="s">
        <v>2397</v>
      </c>
      <c r="C1054" s="152" t="s">
        <v>2705</v>
      </c>
      <c r="D1054" s="152" t="s">
        <v>2705</v>
      </c>
      <c r="E1054" s="152" t="s">
        <v>2397</v>
      </c>
      <c r="F1054" s="152" t="s">
        <v>2675</v>
      </c>
      <c r="G1054" s="152" t="s">
        <v>1435</v>
      </c>
      <c r="H1054" s="152" t="s">
        <v>2675</v>
      </c>
      <c r="I1054" s="152" t="s">
        <v>1435</v>
      </c>
      <c r="J1054" s="152" t="s">
        <v>2705</v>
      </c>
      <c r="K1054" s="152" t="s">
        <v>2398</v>
      </c>
      <c r="L1054" s="152" t="s">
        <v>2398</v>
      </c>
      <c r="M1054" s="152" t="s">
        <v>2705</v>
      </c>
      <c r="N1054" s="152" t="s">
        <v>2675</v>
      </c>
      <c r="O1054" s="152" t="s">
        <v>2398</v>
      </c>
      <c r="P1054" s="152" t="s">
        <v>2705</v>
      </c>
      <c r="Q1054" s="152" t="s">
        <v>1435</v>
      </c>
      <c r="R1054" s="152" t="s">
        <v>2705</v>
      </c>
      <c r="S1054" s="152" t="s">
        <v>2398</v>
      </c>
      <c r="T1054" s="152" t="s">
        <v>2398</v>
      </c>
      <c r="U1054" s="152" t="s">
        <v>2397</v>
      </c>
    </row>
    <row r="1055" spans="1:21" s="142" customFormat="1" ht="12.75" customHeight="1" x14ac:dyDescent="0.2">
      <c r="A1055" s="151" t="s">
        <v>7844</v>
      </c>
      <c r="B1055" s="152" t="s">
        <v>1435</v>
      </c>
      <c r="C1055" s="152" t="s">
        <v>2705</v>
      </c>
      <c r="D1055" s="152" t="s">
        <v>2705</v>
      </c>
      <c r="E1055" s="152" t="s">
        <v>2398</v>
      </c>
      <c r="F1055" s="152" t="s">
        <v>1435</v>
      </c>
      <c r="G1055" s="152" t="s">
        <v>2705</v>
      </c>
      <c r="H1055" s="152" t="s">
        <v>2705</v>
      </c>
      <c r="I1055" s="152" t="s">
        <v>2705</v>
      </c>
      <c r="J1055" s="152" t="s">
        <v>2675</v>
      </c>
      <c r="K1055" s="152" t="s">
        <v>2705</v>
      </c>
      <c r="L1055" s="152" t="s">
        <v>2398</v>
      </c>
      <c r="M1055" s="152" t="s">
        <v>2705</v>
      </c>
      <c r="N1055" s="152" t="s">
        <v>2705</v>
      </c>
      <c r="O1055" s="152" t="s">
        <v>2398</v>
      </c>
      <c r="P1055" s="152" t="s">
        <v>2398</v>
      </c>
      <c r="Q1055" s="152" t="s">
        <v>2675</v>
      </c>
      <c r="R1055" s="152" t="s">
        <v>2705</v>
      </c>
      <c r="S1055" s="152" t="s">
        <v>2398</v>
      </c>
      <c r="T1055" s="152" t="s">
        <v>2705</v>
      </c>
      <c r="U1055" s="152" t="s">
        <v>1435</v>
      </c>
    </row>
    <row r="1056" spans="1:21" s="142" customFormat="1" ht="12.75" x14ac:dyDescent="0.2">
      <c r="A1056" s="151"/>
      <c r="B1056" s="152" t="s">
        <v>2397</v>
      </c>
      <c r="C1056" s="152" t="s">
        <v>2705</v>
      </c>
      <c r="D1056" s="152" t="s">
        <v>2705</v>
      </c>
      <c r="E1056" s="152" t="s">
        <v>2675</v>
      </c>
      <c r="F1056" s="152" t="s">
        <v>2675</v>
      </c>
      <c r="G1056" s="152" t="s">
        <v>2398</v>
      </c>
      <c r="H1056" s="152" t="s">
        <v>2675</v>
      </c>
      <c r="I1056" s="152" t="s">
        <v>2705</v>
      </c>
      <c r="J1056" s="152" t="s">
        <v>2397</v>
      </c>
      <c r="K1056" s="152" t="s">
        <v>1435</v>
      </c>
      <c r="L1056" s="152" t="s">
        <v>2398</v>
      </c>
      <c r="M1056" s="152" t="s">
        <v>2675</v>
      </c>
      <c r="N1056" s="152" t="s">
        <v>2705</v>
      </c>
      <c r="O1056" s="152" t="s">
        <v>1435</v>
      </c>
      <c r="P1056" s="152" t="s">
        <v>2705</v>
      </c>
      <c r="Q1056" s="152" t="s">
        <v>2705</v>
      </c>
      <c r="R1056" s="152" t="s">
        <v>2398</v>
      </c>
      <c r="S1056" s="152" t="s">
        <v>2398</v>
      </c>
      <c r="T1056" s="152" t="s">
        <v>2705</v>
      </c>
      <c r="U1056" s="152" t="s">
        <v>2705</v>
      </c>
    </row>
    <row r="1057" spans="1:21" s="142" customFormat="1" ht="12.75" customHeight="1" x14ac:dyDescent="0.2">
      <c r="A1057" s="151" t="s">
        <v>7845</v>
      </c>
      <c r="B1057" s="152" t="s">
        <v>2705</v>
      </c>
      <c r="C1057" s="152" t="s">
        <v>2705</v>
      </c>
      <c r="D1057" s="152" t="s">
        <v>2705</v>
      </c>
      <c r="E1057" s="152" t="s">
        <v>2398</v>
      </c>
      <c r="F1057" s="152" t="s">
        <v>2705</v>
      </c>
      <c r="G1057" s="152" t="s">
        <v>1435</v>
      </c>
      <c r="H1057" s="152" t="s">
        <v>2705</v>
      </c>
      <c r="I1057" s="152" t="s">
        <v>2705</v>
      </c>
      <c r="J1057" s="152" t="s">
        <v>2675</v>
      </c>
      <c r="K1057" s="152" t="s">
        <v>2398</v>
      </c>
      <c r="L1057" s="152" t="s">
        <v>2705</v>
      </c>
      <c r="M1057" s="152" t="s">
        <v>2705</v>
      </c>
      <c r="N1057" s="152" t="s">
        <v>2398</v>
      </c>
      <c r="O1057" s="152" t="s">
        <v>2398</v>
      </c>
      <c r="P1057" s="152" t="s">
        <v>2398</v>
      </c>
      <c r="Q1057" s="152" t="s">
        <v>2398</v>
      </c>
      <c r="R1057" s="152" t="s">
        <v>2705</v>
      </c>
      <c r="S1057" s="152" t="s">
        <v>2705</v>
      </c>
      <c r="T1057" s="152" t="s">
        <v>2398</v>
      </c>
      <c r="U1057" s="152" t="s">
        <v>2705</v>
      </c>
    </row>
    <row r="1058" spans="1:21" s="142" customFormat="1" ht="12.75" x14ac:dyDescent="0.2">
      <c r="A1058" s="151"/>
      <c r="B1058" s="152" t="s">
        <v>2705</v>
      </c>
      <c r="C1058" s="152" t="s">
        <v>2398</v>
      </c>
      <c r="D1058" s="152" t="s">
        <v>2705</v>
      </c>
      <c r="E1058" s="152" t="s">
        <v>2398</v>
      </c>
      <c r="F1058" s="152" t="s">
        <v>2705</v>
      </c>
      <c r="G1058" s="152" t="s">
        <v>2398</v>
      </c>
      <c r="H1058" s="152" t="s">
        <v>2675</v>
      </c>
      <c r="I1058" s="152" t="s">
        <v>2705</v>
      </c>
      <c r="J1058" s="152" t="s">
        <v>2398</v>
      </c>
      <c r="K1058" s="152" t="s">
        <v>2705</v>
      </c>
      <c r="L1058" s="152" t="s">
        <v>2705</v>
      </c>
      <c r="M1058" s="152" t="s">
        <v>2398</v>
      </c>
      <c r="N1058" s="152" t="s">
        <v>2398</v>
      </c>
      <c r="O1058" s="152" t="s">
        <v>2705</v>
      </c>
      <c r="P1058" s="152" t="s">
        <v>2398</v>
      </c>
      <c r="Q1058" s="152" t="s">
        <v>2398</v>
      </c>
      <c r="R1058" s="152" t="s">
        <v>2398</v>
      </c>
      <c r="S1058" s="152" t="s">
        <v>2705</v>
      </c>
      <c r="T1058" s="152" t="s">
        <v>2398</v>
      </c>
      <c r="U1058" s="152" t="s">
        <v>2705</v>
      </c>
    </row>
    <row r="1059" spans="1:21" s="142" customFormat="1" ht="12.75" customHeight="1" x14ac:dyDescent="0.2">
      <c r="A1059" s="151" t="s">
        <v>7846</v>
      </c>
      <c r="B1059" s="152" t="s">
        <v>2397</v>
      </c>
      <c r="C1059" s="152" t="s">
        <v>2675</v>
      </c>
      <c r="D1059" s="152" t="s">
        <v>1435</v>
      </c>
      <c r="E1059" s="152" t="s">
        <v>1435</v>
      </c>
      <c r="F1059" s="152" t="s">
        <v>2397</v>
      </c>
      <c r="G1059" s="152" t="s">
        <v>1435</v>
      </c>
      <c r="H1059" s="152" t="s">
        <v>2705</v>
      </c>
      <c r="I1059" s="152" t="s">
        <v>2397</v>
      </c>
      <c r="J1059" s="152" t="s">
        <v>2675</v>
      </c>
      <c r="K1059" s="152" t="s">
        <v>2705</v>
      </c>
      <c r="L1059" s="152" t="s">
        <v>2397</v>
      </c>
      <c r="M1059" s="152" t="s">
        <v>2705</v>
      </c>
      <c r="N1059" s="152" t="s">
        <v>2705</v>
      </c>
      <c r="O1059" s="152" t="s">
        <v>2675</v>
      </c>
      <c r="P1059" s="152" t="s">
        <v>2705</v>
      </c>
      <c r="Q1059" s="152" t="s">
        <v>1435</v>
      </c>
      <c r="R1059" s="152" t="s">
        <v>2675</v>
      </c>
      <c r="S1059" s="152" t="s">
        <v>2705</v>
      </c>
      <c r="T1059" s="152" t="s">
        <v>2705</v>
      </c>
      <c r="U1059" s="152" t="s">
        <v>2675</v>
      </c>
    </row>
    <row r="1060" spans="1:21" s="142" customFormat="1" ht="12.75" x14ac:dyDescent="0.2">
      <c r="A1060" s="151"/>
      <c r="B1060" s="152" t="s">
        <v>2705</v>
      </c>
      <c r="C1060" s="152" t="s">
        <v>2675</v>
      </c>
      <c r="D1060" s="152" t="s">
        <v>2397</v>
      </c>
      <c r="E1060" s="152" t="s">
        <v>2705</v>
      </c>
      <c r="F1060" s="152" t="s">
        <v>2705</v>
      </c>
      <c r="G1060" s="152" t="s">
        <v>2705</v>
      </c>
      <c r="H1060" s="152" t="s">
        <v>2398</v>
      </c>
      <c r="I1060" s="152" t="s">
        <v>2705</v>
      </c>
      <c r="J1060" s="152" t="s">
        <v>2705</v>
      </c>
      <c r="K1060" s="152" t="s">
        <v>2675</v>
      </c>
      <c r="L1060" s="152" t="s">
        <v>2705</v>
      </c>
      <c r="M1060" s="152" t="s">
        <v>1435</v>
      </c>
      <c r="N1060" s="152" t="s">
        <v>1435</v>
      </c>
      <c r="O1060" s="152" t="s">
        <v>2675</v>
      </c>
      <c r="P1060" s="152" t="s">
        <v>2705</v>
      </c>
      <c r="Q1060" s="152" t="s">
        <v>2675</v>
      </c>
      <c r="R1060" s="152" t="s">
        <v>2705</v>
      </c>
      <c r="S1060" s="152" t="s">
        <v>2675</v>
      </c>
      <c r="T1060" s="152" t="s">
        <v>2705</v>
      </c>
      <c r="U1060" s="152" t="s">
        <v>2675</v>
      </c>
    </row>
    <row r="1061" spans="1:21" s="142" customFormat="1" ht="12.75" customHeight="1" x14ac:dyDescent="0.2">
      <c r="A1061" s="151" t="s">
        <v>7847</v>
      </c>
      <c r="B1061" s="152" t="s">
        <v>1435</v>
      </c>
      <c r="C1061" s="152" t="s">
        <v>2705</v>
      </c>
      <c r="D1061" s="152" t="s">
        <v>1435</v>
      </c>
      <c r="E1061" s="152" t="s">
        <v>2705</v>
      </c>
      <c r="F1061" s="152" t="s">
        <v>2397</v>
      </c>
      <c r="G1061" s="152" t="s">
        <v>2398</v>
      </c>
      <c r="H1061" s="152" t="s">
        <v>1435</v>
      </c>
      <c r="I1061" s="152" t="s">
        <v>2398</v>
      </c>
      <c r="J1061" s="152" t="s">
        <v>2705</v>
      </c>
      <c r="K1061" s="152" t="s">
        <v>2705</v>
      </c>
      <c r="L1061" s="152" t="s">
        <v>2705</v>
      </c>
      <c r="M1061" s="152" t="s">
        <v>1435</v>
      </c>
      <c r="N1061" s="152" t="s">
        <v>2705</v>
      </c>
      <c r="O1061" s="152" t="s">
        <v>2705</v>
      </c>
      <c r="P1061" s="152" t="s">
        <v>2397</v>
      </c>
      <c r="Q1061" s="152" t="s">
        <v>1435</v>
      </c>
      <c r="R1061" s="152" t="s">
        <v>1435</v>
      </c>
      <c r="S1061" s="152" t="s">
        <v>2705</v>
      </c>
      <c r="T1061" s="152" t="s">
        <v>2398</v>
      </c>
      <c r="U1061" s="152" t="s">
        <v>2705</v>
      </c>
    </row>
    <row r="1062" spans="1:21" s="142" customFormat="1" ht="12.75" x14ac:dyDescent="0.2">
      <c r="A1062" s="151"/>
      <c r="B1062" s="152" t="s">
        <v>2705</v>
      </c>
      <c r="C1062" s="152" t="s">
        <v>2705</v>
      </c>
      <c r="D1062" s="152" t="s">
        <v>2398</v>
      </c>
      <c r="E1062" s="152" t="s">
        <v>2705</v>
      </c>
      <c r="F1062" s="152" t="s">
        <v>2705</v>
      </c>
      <c r="G1062" s="152" t="s">
        <v>2705</v>
      </c>
      <c r="H1062" s="152" t="s">
        <v>2705</v>
      </c>
      <c r="I1062" s="152" t="s">
        <v>2675</v>
      </c>
      <c r="J1062" s="152" t="s">
        <v>2675</v>
      </c>
      <c r="K1062" s="152" t="s">
        <v>2398</v>
      </c>
      <c r="L1062" s="152" t="s">
        <v>2675</v>
      </c>
      <c r="M1062" s="152" t="s">
        <v>2705</v>
      </c>
      <c r="N1062" s="152" t="s">
        <v>2705</v>
      </c>
      <c r="O1062" s="152" t="s">
        <v>1435</v>
      </c>
      <c r="P1062" s="152" t="s">
        <v>2705</v>
      </c>
      <c r="Q1062" s="152" t="s">
        <v>2705</v>
      </c>
      <c r="R1062" s="152" t="s">
        <v>1435</v>
      </c>
      <c r="S1062" s="152" t="s">
        <v>2705</v>
      </c>
      <c r="T1062" s="152" t="s">
        <v>2705</v>
      </c>
      <c r="U1062" s="152" t="s">
        <v>2398</v>
      </c>
    </row>
    <row r="1063" spans="1:21" s="142" customFormat="1" ht="12.75" customHeight="1" x14ac:dyDescent="0.2">
      <c r="A1063" s="151" t="s">
        <v>7848</v>
      </c>
      <c r="B1063" s="152" t="s">
        <v>2398</v>
      </c>
      <c r="C1063" s="152" t="s">
        <v>2398</v>
      </c>
      <c r="D1063" s="152" t="s">
        <v>2675</v>
      </c>
      <c r="E1063" s="152" t="s">
        <v>2705</v>
      </c>
      <c r="F1063" s="152" t="s">
        <v>2705</v>
      </c>
      <c r="G1063" s="152" t="s">
        <v>1435</v>
      </c>
      <c r="H1063" s="152" t="s">
        <v>2398</v>
      </c>
      <c r="I1063" s="152" t="s">
        <v>2398</v>
      </c>
      <c r="J1063" s="152" t="s">
        <v>2398</v>
      </c>
      <c r="K1063" s="152" t="s">
        <v>2675</v>
      </c>
      <c r="L1063" s="152" t="s">
        <v>2675</v>
      </c>
      <c r="M1063" s="152" t="s">
        <v>2398</v>
      </c>
      <c r="N1063" s="152" t="s">
        <v>2705</v>
      </c>
      <c r="O1063" s="152" t="s">
        <v>2398</v>
      </c>
      <c r="P1063" s="152" t="s">
        <v>2705</v>
      </c>
      <c r="Q1063" s="152" t="s">
        <v>2705</v>
      </c>
      <c r="R1063" s="152" t="s">
        <v>2398</v>
      </c>
      <c r="S1063" s="152" t="s">
        <v>2705</v>
      </c>
      <c r="T1063" s="152" t="s">
        <v>2398</v>
      </c>
      <c r="U1063" s="152" t="s">
        <v>2705</v>
      </c>
    </row>
    <row r="1064" spans="1:21" s="142" customFormat="1" ht="12.75" x14ac:dyDescent="0.2">
      <c r="A1064" s="151"/>
      <c r="B1064" s="152" t="s">
        <v>2398</v>
      </c>
      <c r="C1064" s="152" t="s">
        <v>2675</v>
      </c>
      <c r="D1064" s="152" t="s">
        <v>1435</v>
      </c>
      <c r="E1064" s="152" t="s">
        <v>1435</v>
      </c>
      <c r="F1064" s="152" t="s">
        <v>2398</v>
      </c>
      <c r="G1064" s="152" t="s">
        <v>2705</v>
      </c>
      <c r="H1064" s="152" t="s">
        <v>2705</v>
      </c>
      <c r="I1064" s="152" t="s">
        <v>2705</v>
      </c>
      <c r="J1064" s="152" t="s">
        <v>2398</v>
      </c>
      <c r="K1064" s="152" t="s">
        <v>2705</v>
      </c>
      <c r="L1064" s="152" t="s">
        <v>2675</v>
      </c>
      <c r="M1064" s="152" t="s">
        <v>2705</v>
      </c>
      <c r="N1064" s="152" t="s">
        <v>2675</v>
      </c>
      <c r="O1064" s="152" t="s">
        <v>2398</v>
      </c>
      <c r="P1064" s="152" t="s">
        <v>2705</v>
      </c>
      <c r="Q1064" s="152" t="s">
        <v>2705</v>
      </c>
      <c r="R1064" s="152" t="s">
        <v>1435</v>
      </c>
      <c r="S1064" s="152" t="s">
        <v>2705</v>
      </c>
      <c r="T1064" s="152" t="s">
        <v>2705</v>
      </c>
      <c r="U1064" s="152" t="s">
        <v>2398</v>
      </c>
    </row>
    <row r="1065" spans="1:21" s="142" customFormat="1" ht="12.75" customHeight="1" x14ac:dyDescent="0.2">
      <c r="A1065" s="151" t="s">
        <v>7849</v>
      </c>
      <c r="B1065" s="152" t="s">
        <v>2705</v>
      </c>
      <c r="C1065" s="152" t="s">
        <v>2705</v>
      </c>
      <c r="D1065" s="152" t="s">
        <v>2397</v>
      </c>
      <c r="E1065" s="152" t="s">
        <v>2705</v>
      </c>
      <c r="F1065" s="152" t="s">
        <v>2398</v>
      </c>
      <c r="G1065" s="152" t="s">
        <v>2705</v>
      </c>
      <c r="H1065" s="152" t="s">
        <v>1435</v>
      </c>
      <c r="I1065" s="152" t="s">
        <v>2675</v>
      </c>
      <c r="J1065" s="152" t="s">
        <v>1435</v>
      </c>
      <c r="K1065" s="152" t="s">
        <v>2705</v>
      </c>
      <c r="L1065" s="152" t="s">
        <v>1435</v>
      </c>
      <c r="M1065" s="152" t="s">
        <v>2705</v>
      </c>
      <c r="N1065" s="152" t="s">
        <v>2397</v>
      </c>
      <c r="O1065" s="152" t="s">
        <v>2398</v>
      </c>
      <c r="P1065" s="152" t="s">
        <v>2705</v>
      </c>
      <c r="Q1065" s="152" t="s">
        <v>2705</v>
      </c>
      <c r="R1065" s="152" t="s">
        <v>1435</v>
      </c>
      <c r="S1065" s="152" t="s">
        <v>2705</v>
      </c>
      <c r="T1065" s="152" t="s">
        <v>2705</v>
      </c>
      <c r="U1065" s="152" t="s">
        <v>2705</v>
      </c>
    </row>
    <row r="1066" spans="1:21" s="142" customFormat="1" ht="12.75" x14ac:dyDescent="0.2">
      <c r="A1066" s="151"/>
      <c r="B1066" s="152" t="s">
        <v>2398</v>
      </c>
      <c r="C1066" s="152" t="s">
        <v>2398</v>
      </c>
      <c r="D1066" s="152" t="s">
        <v>2705</v>
      </c>
      <c r="E1066" s="152" t="s">
        <v>2675</v>
      </c>
      <c r="F1066" s="152" t="s">
        <v>2398</v>
      </c>
      <c r="G1066" s="152" t="s">
        <v>2705</v>
      </c>
      <c r="H1066" s="152" t="s">
        <v>2675</v>
      </c>
      <c r="I1066" s="152" t="s">
        <v>2398</v>
      </c>
      <c r="J1066" s="152" t="s">
        <v>2397</v>
      </c>
      <c r="K1066" s="152" t="s">
        <v>2398</v>
      </c>
      <c r="L1066" s="152" t="s">
        <v>2398</v>
      </c>
      <c r="M1066" s="152" t="s">
        <v>2398</v>
      </c>
      <c r="N1066" s="152" t="s">
        <v>1435</v>
      </c>
      <c r="O1066" s="152" t="s">
        <v>2398</v>
      </c>
      <c r="P1066" s="152" t="s">
        <v>2705</v>
      </c>
      <c r="Q1066" s="152" t="s">
        <v>2398</v>
      </c>
      <c r="R1066" s="152" t="s">
        <v>2705</v>
      </c>
      <c r="S1066" s="152" t="s">
        <v>2705</v>
      </c>
      <c r="T1066" s="152" t="s">
        <v>2705</v>
      </c>
      <c r="U1066" s="152" t="s">
        <v>2675</v>
      </c>
    </row>
    <row r="1067" spans="1:21" s="142" customFormat="1" ht="12.75" customHeight="1" x14ac:dyDescent="0.2">
      <c r="A1067" s="151" t="s">
        <v>7850</v>
      </c>
      <c r="B1067" s="152" t="s">
        <v>2705</v>
      </c>
      <c r="C1067" s="152" t="s">
        <v>2705</v>
      </c>
      <c r="D1067" s="152" t="s">
        <v>2705</v>
      </c>
      <c r="E1067" s="152" t="s">
        <v>2705</v>
      </c>
      <c r="F1067" s="152" t="s">
        <v>2398</v>
      </c>
      <c r="G1067" s="152" t="s">
        <v>2705</v>
      </c>
      <c r="H1067" s="152" t="s">
        <v>1435</v>
      </c>
      <c r="I1067" s="152" t="s">
        <v>2397</v>
      </c>
      <c r="J1067" s="152" t="s">
        <v>2398</v>
      </c>
      <c r="K1067" s="152" t="s">
        <v>2398</v>
      </c>
      <c r="L1067" s="152" t="s">
        <v>2398</v>
      </c>
      <c r="M1067" s="152" t="s">
        <v>1435</v>
      </c>
      <c r="N1067" s="152" t="s">
        <v>2705</v>
      </c>
      <c r="O1067" s="152" t="s">
        <v>1435</v>
      </c>
      <c r="P1067" s="152" t="s">
        <v>2397</v>
      </c>
      <c r="Q1067" s="152" t="s">
        <v>1435</v>
      </c>
      <c r="R1067" s="152" t="s">
        <v>2398</v>
      </c>
      <c r="S1067" s="152" t="s">
        <v>2398</v>
      </c>
      <c r="T1067" s="152" t="s">
        <v>2705</v>
      </c>
      <c r="U1067" s="152" t="s">
        <v>2398</v>
      </c>
    </row>
    <row r="1068" spans="1:21" s="142" customFormat="1" ht="12.75" x14ac:dyDescent="0.2">
      <c r="A1068" s="151"/>
      <c r="B1068" s="152" t="s">
        <v>2398</v>
      </c>
      <c r="C1068" s="152" t="s">
        <v>1435</v>
      </c>
      <c r="D1068" s="152" t="s">
        <v>1435</v>
      </c>
      <c r="E1068" s="152" t="s">
        <v>2398</v>
      </c>
      <c r="F1068" s="152" t="s">
        <v>2398</v>
      </c>
      <c r="G1068" s="152" t="s">
        <v>1435</v>
      </c>
      <c r="H1068" s="152" t="s">
        <v>2398</v>
      </c>
      <c r="I1068" s="152" t="s">
        <v>2398</v>
      </c>
      <c r="J1068" s="152" t="s">
        <v>2398</v>
      </c>
      <c r="K1068" s="152" t="s">
        <v>2398</v>
      </c>
      <c r="L1068" s="152" t="s">
        <v>2705</v>
      </c>
      <c r="M1068" s="152" t="s">
        <v>2398</v>
      </c>
      <c r="N1068" s="152" t="s">
        <v>1435</v>
      </c>
      <c r="O1068" s="152" t="s">
        <v>2398</v>
      </c>
      <c r="P1068" s="152" t="s">
        <v>2398</v>
      </c>
      <c r="Q1068" s="152" t="s">
        <v>2705</v>
      </c>
      <c r="R1068" s="152" t="s">
        <v>2398</v>
      </c>
      <c r="S1068" s="152" t="s">
        <v>1435</v>
      </c>
      <c r="T1068" s="152" t="s">
        <v>2675</v>
      </c>
      <c r="U1068" s="152" t="s">
        <v>2398</v>
      </c>
    </row>
    <row r="1069" spans="1:21" s="142" customFormat="1" ht="12.75" customHeight="1" x14ac:dyDescent="0.2">
      <c r="A1069" s="151" t="s">
        <v>7851</v>
      </c>
      <c r="B1069" s="152" t="s">
        <v>2398</v>
      </c>
      <c r="C1069" s="152" t="s">
        <v>2398</v>
      </c>
      <c r="D1069" s="152" t="s">
        <v>2675</v>
      </c>
      <c r="E1069" s="152" t="s">
        <v>2705</v>
      </c>
      <c r="F1069" s="152" t="s">
        <v>2398</v>
      </c>
      <c r="G1069" s="152" t="s">
        <v>2398</v>
      </c>
      <c r="H1069" s="152" t="s">
        <v>2398</v>
      </c>
      <c r="I1069" s="152" t="s">
        <v>2675</v>
      </c>
      <c r="J1069" s="152" t="s">
        <v>2675</v>
      </c>
      <c r="K1069" s="152" t="s">
        <v>2398</v>
      </c>
      <c r="L1069" s="152" t="s">
        <v>2675</v>
      </c>
      <c r="M1069" s="152" t="s">
        <v>2398</v>
      </c>
      <c r="N1069" s="152" t="s">
        <v>2398</v>
      </c>
      <c r="O1069" s="152" t="s">
        <v>2705</v>
      </c>
      <c r="P1069" s="152" t="s">
        <v>2705</v>
      </c>
      <c r="Q1069" s="152" t="s">
        <v>2398</v>
      </c>
      <c r="R1069" s="152" t="s">
        <v>2398</v>
      </c>
      <c r="S1069" s="152" t="s">
        <v>2705</v>
      </c>
      <c r="T1069" s="152" t="s">
        <v>2705</v>
      </c>
      <c r="U1069" s="152" t="s">
        <v>2398</v>
      </c>
    </row>
    <row r="1070" spans="1:21" s="142" customFormat="1" ht="12.75" x14ac:dyDescent="0.2">
      <c r="A1070" s="151"/>
      <c r="B1070" s="152" t="s">
        <v>2705</v>
      </c>
      <c r="C1070" s="152" t="s">
        <v>2705</v>
      </c>
      <c r="D1070" s="152" t="s">
        <v>2705</v>
      </c>
      <c r="E1070" s="152" t="s">
        <v>2705</v>
      </c>
      <c r="F1070" s="152" t="s">
        <v>2705</v>
      </c>
      <c r="G1070" s="152" t="s">
        <v>2398</v>
      </c>
      <c r="H1070" s="152" t="s">
        <v>1435</v>
      </c>
      <c r="I1070" s="152" t="s">
        <v>2675</v>
      </c>
      <c r="J1070" s="152" t="s">
        <v>2397</v>
      </c>
      <c r="K1070" s="152" t="s">
        <v>2398</v>
      </c>
      <c r="L1070" s="152" t="s">
        <v>2398</v>
      </c>
      <c r="M1070" s="152" t="s">
        <v>1435</v>
      </c>
      <c r="N1070" s="152" t="s">
        <v>2675</v>
      </c>
      <c r="O1070" s="152" t="s">
        <v>1435</v>
      </c>
      <c r="P1070" s="152" t="s">
        <v>2398</v>
      </c>
      <c r="Q1070" s="152" t="s">
        <v>2398</v>
      </c>
      <c r="R1070" s="152" t="s">
        <v>2398</v>
      </c>
      <c r="S1070" s="152" t="s">
        <v>2705</v>
      </c>
      <c r="T1070" s="152" t="s">
        <v>2675</v>
      </c>
      <c r="U1070" s="152" t="s">
        <v>2397</v>
      </c>
    </row>
    <row r="1071" spans="1:21" s="142" customFormat="1" ht="12.75" customHeight="1" x14ac:dyDescent="0.2">
      <c r="A1071" s="151" t="s">
        <v>7852</v>
      </c>
      <c r="B1071" s="152" t="s">
        <v>2705</v>
      </c>
      <c r="C1071" s="152" t="s">
        <v>2398</v>
      </c>
      <c r="D1071" s="152" t="s">
        <v>2705</v>
      </c>
      <c r="E1071" s="152" t="s">
        <v>2397</v>
      </c>
      <c r="F1071" s="152" t="s">
        <v>2398</v>
      </c>
      <c r="G1071" s="152" t="s">
        <v>2398</v>
      </c>
      <c r="H1071" s="152" t="s">
        <v>2705</v>
      </c>
      <c r="I1071" s="152" t="s">
        <v>2705</v>
      </c>
      <c r="J1071" s="152" t="s">
        <v>2705</v>
      </c>
      <c r="K1071" s="152" t="s">
        <v>2398</v>
      </c>
      <c r="L1071" s="152" t="s">
        <v>2398</v>
      </c>
      <c r="M1071" s="152" t="s">
        <v>2705</v>
      </c>
      <c r="N1071" s="152" t="s">
        <v>2398</v>
      </c>
      <c r="O1071" s="152" t="s">
        <v>1435</v>
      </c>
      <c r="P1071" s="152" t="s">
        <v>2675</v>
      </c>
      <c r="Q1071" s="152" t="s">
        <v>2705</v>
      </c>
      <c r="R1071" s="152" t="s">
        <v>2398</v>
      </c>
      <c r="S1071" s="152" t="s">
        <v>2398</v>
      </c>
      <c r="T1071" s="152" t="s">
        <v>2705</v>
      </c>
      <c r="U1071" s="152" t="s">
        <v>2705</v>
      </c>
    </row>
    <row r="1072" spans="1:21" s="142" customFormat="1" ht="12.75" x14ac:dyDescent="0.2">
      <c r="A1072" s="151"/>
      <c r="B1072" s="152" t="s">
        <v>1435</v>
      </c>
      <c r="C1072" s="152" t="s">
        <v>1435</v>
      </c>
      <c r="D1072" s="152" t="s">
        <v>2397</v>
      </c>
      <c r="E1072" s="152" t="s">
        <v>2398</v>
      </c>
      <c r="F1072" s="152" t="s">
        <v>2675</v>
      </c>
      <c r="G1072" s="152" t="s">
        <v>2398</v>
      </c>
      <c r="H1072" s="152" t="s">
        <v>2675</v>
      </c>
      <c r="I1072" s="152" t="s">
        <v>2705</v>
      </c>
      <c r="J1072" s="152" t="s">
        <v>2398</v>
      </c>
      <c r="K1072" s="152" t="s">
        <v>2398</v>
      </c>
      <c r="L1072" s="152" t="s">
        <v>2705</v>
      </c>
      <c r="M1072" s="152" t="s">
        <v>2675</v>
      </c>
      <c r="N1072" s="152" t="s">
        <v>2705</v>
      </c>
      <c r="O1072" s="152" t="s">
        <v>2398</v>
      </c>
      <c r="P1072" s="152" t="s">
        <v>2705</v>
      </c>
      <c r="Q1072" s="152" t="s">
        <v>2705</v>
      </c>
      <c r="R1072" s="152" t="s">
        <v>2397</v>
      </c>
      <c r="S1072" s="152" t="s">
        <v>2398</v>
      </c>
      <c r="T1072" s="152" t="s">
        <v>2705</v>
      </c>
      <c r="U1072" s="152" t="s">
        <v>2397</v>
      </c>
    </row>
    <row r="1073" spans="1:21" s="142" customFormat="1" ht="12.75" customHeight="1" x14ac:dyDescent="0.2">
      <c r="A1073" s="151" t="s">
        <v>7853</v>
      </c>
      <c r="B1073" s="152" t="s">
        <v>2705</v>
      </c>
      <c r="C1073" s="152" t="s">
        <v>2705</v>
      </c>
      <c r="D1073" s="152" t="s">
        <v>2705</v>
      </c>
      <c r="E1073" s="152" t="s">
        <v>2705</v>
      </c>
      <c r="F1073" s="152" t="s">
        <v>2705</v>
      </c>
      <c r="G1073" s="152" t="s">
        <v>2705</v>
      </c>
      <c r="H1073" s="152" t="s">
        <v>2705</v>
      </c>
      <c r="I1073" s="152" t="s">
        <v>2705</v>
      </c>
      <c r="J1073" s="152" t="s">
        <v>2705</v>
      </c>
      <c r="K1073" s="152" t="s">
        <v>2398</v>
      </c>
      <c r="L1073" s="152" t="s">
        <v>2398</v>
      </c>
      <c r="M1073" s="152" t="s">
        <v>2705</v>
      </c>
      <c r="N1073" s="152" t="s">
        <v>2705</v>
      </c>
      <c r="O1073" s="152" t="s">
        <v>2398</v>
      </c>
      <c r="P1073" s="152" t="s">
        <v>2705</v>
      </c>
      <c r="Q1073" s="152" t="s">
        <v>2705</v>
      </c>
      <c r="R1073" s="152" t="s">
        <v>2705</v>
      </c>
      <c r="S1073" s="152" t="s">
        <v>2705</v>
      </c>
      <c r="T1073" s="152" t="s">
        <v>2398</v>
      </c>
      <c r="U1073" s="152" t="s">
        <v>2705</v>
      </c>
    </row>
    <row r="1074" spans="1:21" s="142" customFormat="1" ht="12.75" x14ac:dyDescent="0.2">
      <c r="A1074" s="151"/>
      <c r="B1074" s="152" t="s">
        <v>2705</v>
      </c>
      <c r="C1074" s="152" t="s">
        <v>2398</v>
      </c>
      <c r="D1074" s="152" t="s">
        <v>2398</v>
      </c>
      <c r="E1074" s="152" t="s">
        <v>2675</v>
      </c>
      <c r="F1074" s="152" t="s">
        <v>2705</v>
      </c>
      <c r="G1074" s="152" t="s">
        <v>2705</v>
      </c>
      <c r="H1074" s="152" t="s">
        <v>2705</v>
      </c>
      <c r="I1074" s="152" t="s">
        <v>2705</v>
      </c>
      <c r="J1074" s="152" t="s">
        <v>2398</v>
      </c>
      <c r="K1074" s="152" t="s">
        <v>2705</v>
      </c>
      <c r="L1074" s="152" t="s">
        <v>2705</v>
      </c>
      <c r="M1074" s="152" t="s">
        <v>2705</v>
      </c>
      <c r="N1074" s="152" t="s">
        <v>2705</v>
      </c>
      <c r="O1074" s="152" t="s">
        <v>2705</v>
      </c>
      <c r="P1074" s="152" t="s">
        <v>2398</v>
      </c>
      <c r="Q1074" s="152" t="s">
        <v>2705</v>
      </c>
      <c r="R1074" s="152" t="s">
        <v>2705</v>
      </c>
      <c r="S1074" s="152" t="s">
        <v>2705</v>
      </c>
      <c r="T1074" s="152" t="s">
        <v>2705</v>
      </c>
      <c r="U1074" s="152" t="s">
        <v>2705</v>
      </c>
    </row>
    <row r="1075" spans="1:21" s="142" customFormat="1" ht="12.75" customHeight="1" x14ac:dyDescent="0.2">
      <c r="A1075" s="151" t="s">
        <v>7854</v>
      </c>
      <c r="B1075" s="152" t="s">
        <v>2705</v>
      </c>
      <c r="C1075" s="152" t="s">
        <v>2398</v>
      </c>
      <c r="D1075" s="152" t="s">
        <v>2705</v>
      </c>
      <c r="E1075" s="152" t="s">
        <v>2705</v>
      </c>
      <c r="F1075" s="152" t="s">
        <v>2705</v>
      </c>
      <c r="G1075" s="152" t="s">
        <v>2705</v>
      </c>
      <c r="H1075" s="152" t="s">
        <v>2705</v>
      </c>
      <c r="I1075" s="152" t="s">
        <v>2398</v>
      </c>
      <c r="J1075" s="152" t="s">
        <v>2705</v>
      </c>
      <c r="K1075" s="152" t="s">
        <v>2398</v>
      </c>
      <c r="L1075" s="152" t="s">
        <v>2705</v>
      </c>
      <c r="M1075" s="152" t="s">
        <v>2705</v>
      </c>
      <c r="N1075" s="152" t="s">
        <v>2705</v>
      </c>
      <c r="O1075" s="152" t="s">
        <v>2705</v>
      </c>
      <c r="P1075" s="152" t="s">
        <v>2675</v>
      </c>
      <c r="Q1075" s="152" t="s">
        <v>2705</v>
      </c>
      <c r="R1075" s="152" t="s">
        <v>2705</v>
      </c>
      <c r="S1075" s="152" t="s">
        <v>2398</v>
      </c>
      <c r="T1075" s="152" t="s">
        <v>2705</v>
      </c>
      <c r="U1075" s="152" t="s">
        <v>2705</v>
      </c>
    </row>
    <row r="1076" spans="1:21" s="142" customFormat="1" ht="12.75" x14ac:dyDescent="0.2">
      <c r="A1076" s="151"/>
      <c r="B1076" s="152" t="s">
        <v>2705</v>
      </c>
      <c r="C1076" s="152" t="s">
        <v>2705</v>
      </c>
      <c r="D1076" s="152" t="s">
        <v>2705</v>
      </c>
      <c r="E1076" s="152" t="s">
        <v>2705</v>
      </c>
      <c r="F1076" s="152" t="s">
        <v>2705</v>
      </c>
      <c r="G1076" s="152" t="s">
        <v>2398</v>
      </c>
      <c r="H1076" s="152" t="s">
        <v>2398</v>
      </c>
      <c r="I1076" s="152" t="s">
        <v>2705</v>
      </c>
      <c r="J1076" s="152" t="s">
        <v>2705</v>
      </c>
      <c r="K1076" s="152" t="s">
        <v>2705</v>
      </c>
      <c r="L1076" s="152" t="s">
        <v>2398</v>
      </c>
      <c r="M1076" s="152" t="s">
        <v>2398</v>
      </c>
      <c r="N1076" s="152" t="s">
        <v>2398</v>
      </c>
      <c r="O1076" s="152" t="s">
        <v>2705</v>
      </c>
      <c r="P1076" s="152" t="s">
        <v>2705</v>
      </c>
      <c r="Q1076" s="152" t="s">
        <v>2705</v>
      </c>
      <c r="R1076" s="152" t="s">
        <v>2398</v>
      </c>
      <c r="S1076" s="152" t="s">
        <v>2398</v>
      </c>
      <c r="T1076" s="152" t="s">
        <v>2705</v>
      </c>
      <c r="U1076" s="152" t="s">
        <v>2705</v>
      </c>
    </row>
    <row r="1077" spans="1:21" s="142" customFormat="1" ht="12.75" customHeight="1" x14ac:dyDescent="0.2">
      <c r="A1077" s="151" t="s">
        <v>7855</v>
      </c>
      <c r="B1077" s="152" t="s">
        <v>2398</v>
      </c>
      <c r="C1077" s="152" t="s">
        <v>1435</v>
      </c>
      <c r="D1077" s="152" t="s">
        <v>1435</v>
      </c>
      <c r="E1077" s="152" t="s">
        <v>2398</v>
      </c>
      <c r="F1077" s="152" t="s">
        <v>2675</v>
      </c>
      <c r="G1077" s="152" t="s">
        <v>2705</v>
      </c>
      <c r="H1077" s="152" t="s">
        <v>2398</v>
      </c>
      <c r="I1077" s="152" t="s">
        <v>2705</v>
      </c>
      <c r="J1077" s="152" t="s">
        <v>2705</v>
      </c>
      <c r="K1077" s="152" t="s">
        <v>1435</v>
      </c>
      <c r="L1077" s="152" t="s">
        <v>1435</v>
      </c>
      <c r="M1077" s="152" t="s">
        <v>2705</v>
      </c>
      <c r="N1077" s="152" t="s">
        <v>2675</v>
      </c>
      <c r="O1077" s="152" t="s">
        <v>2398</v>
      </c>
      <c r="P1077" s="152" t="s">
        <v>2397</v>
      </c>
      <c r="Q1077" s="152" t="s">
        <v>1435</v>
      </c>
      <c r="R1077" s="152" t="s">
        <v>1435</v>
      </c>
      <c r="S1077" s="152" t="s">
        <v>2705</v>
      </c>
      <c r="T1077" s="152" t="s">
        <v>2397</v>
      </c>
      <c r="U1077" s="152" t="s">
        <v>2675</v>
      </c>
    </row>
    <row r="1078" spans="1:21" s="142" customFormat="1" ht="12.75" x14ac:dyDescent="0.2">
      <c r="A1078" s="151"/>
      <c r="B1078" s="152" t="s">
        <v>2705</v>
      </c>
      <c r="C1078" s="152" t="s">
        <v>2398</v>
      </c>
      <c r="D1078" s="152" t="s">
        <v>2398</v>
      </c>
      <c r="E1078" s="152" t="s">
        <v>2675</v>
      </c>
      <c r="F1078" s="152" t="s">
        <v>2398</v>
      </c>
      <c r="G1078" s="152" t="s">
        <v>2705</v>
      </c>
      <c r="H1078" s="152" t="s">
        <v>2398</v>
      </c>
      <c r="I1078" s="152" t="s">
        <v>2705</v>
      </c>
      <c r="J1078" s="152" t="s">
        <v>2705</v>
      </c>
      <c r="K1078" s="152" t="s">
        <v>2398</v>
      </c>
      <c r="L1078" s="152" t="s">
        <v>2398</v>
      </c>
      <c r="M1078" s="152" t="s">
        <v>2398</v>
      </c>
      <c r="N1078" s="152" t="s">
        <v>2398</v>
      </c>
      <c r="O1078" s="152" t="s">
        <v>2398</v>
      </c>
      <c r="P1078" s="152" t="s">
        <v>2398</v>
      </c>
      <c r="Q1078" s="152" t="s">
        <v>2675</v>
      </c>
      <c r="R1078" s="152" t="s">
        <v>2397</v>
      </c>
      <c r="S1078" s="152" t="s">
        <v>2705</v>
      </c>
      <c r="T1078" s="152" t="s">
        <v>2398</v>
      </c>
      <c r="U1078" s="152" t="s">
        <v>2398</v>
      </c>
    </row>
    <row r="1079" spans="1:21" s="142" customFormat="1" ht="12.75" customHeight="1" x14ac:dyDescent="0.2">
      <c r="A1079" s="151" t="s">
        <v>7856</v>
      </c>
      <c r="B1079" s="152" t="s">
        <v>2397</v>
      </c>
      <c r="C1079" s="152" t="s">
        <v>1435</v>
      </c>
      <c r="D1079" s="152" t="s">
        <v>2705</v>
      </c>
      <c r="E1079" s="152" t="s">
        <v>2705</v>
      </c>
      <c r="F1079" s="152" t="s">
        <v>2398</v>
      </c>
      <c r="G1079" s="152" t="s">
        <v>2705</v>
      </c>
      <c r="H1079" s="152" t="s">
        <v>1435</v>
      </c>
      <c r="I1079" s="152" t="s">
        <v>2705</v>
      </c>
      <c r="J1079" s="152" t="s">
        <v>2705</v>
      </c>
      <c r="K1079" s="152" t="s">
        <v>2705</v>
      </c>
      <c r="L1079" s="152" t="s">
        <v>1435</v>
      </c>
      <c r="M1079" s="152" t="s">
        <v>2705</v>
      </c>
      <c r="N1079" s="152" t="s">
        <v>2398</v>
      </c>
      <c r="O1079" s="152" t="s">
        <v>2397</v>
      </c>
      <c r="P1079" s="152" t="s">
        <v>2397</v>
      </c>
      <c r="Q1079" s="152" t="s">
        <v>2398</v>
      </c>
      <c r="R1079" s="152" t="s">
        <v>2705</v>
      </c>
      <c r="S1079" s="152" t="s">
        <v>2398</v>
      </c>
      <c r="T1079" s="152" t="s">
        <v>2397</v>
      </c>
      <c r="U1079" s="152" t="s">
        <v>2705</v>
      </c>
    </row>
    <row r="1080" spans="1:21" s="142" customFormat="1" ht="12.75" x14ac:dyDescent="0.2">
      <c r="A1080" s="151"/>
      <c r="B1080" s="152" t="s">
        <v>2398</v>
      </c>
      <c r="C1080" s="152" t="s">
        <v>2705</v>
      </c>
      <c r="D1080" s="152" t="s">
        <v>2675</v>
      </c>
      <c r="E1080" s="152" t="s">
        <v>2675</v>
      </c>
      <c r="F1080" s="152" t="s">
        <v>2398</v>
      </c>
      <c r="G1080" s="152" t="s">
        <v>1435</v>
      </c>
      <c r="H1080" s="152" t="s">
        <v>2705</v>
      </c>
      <c r="I1080" s="152" t="s">
        <v>2398</v>
      </c>
      <c r="J1080" s="152" t="s">
        <v>2398</v>
      </c>
      <c r="K1080" s="152" t="s">
        <v>2398</v>
      </c>
      <c r="L1080" s="152" t="s">
        <v>2398</v>
      </c>
      <c r="M1080" s="152" t="s">
        <v>2398</v>
      </c>
      <c r="N1080" s="152" t="s">
        <v>2398</v>
      </c>
      <c r="O1080" s="152" t="s">
        <v>2398</v>
      </c>
      <c r="P1080" s="152" t="s">
        <v>2398</v>
      </c>
      <c r="Q1080" s="152" t="s">
        <v>2398</v>
      </c>
      <c r="R1080" s="152" t="s">
        <v>2675</v>
      </c>
      <c r="S1080" s="152" t="s">
        <v>2705</v>
      </c>
      <c r="T1080" s="152" t="s">
        <v>2398</v>
      </c>
      <c r="U1080" s="152" t="s">
        <v>2398</v>
      </c>
    </row>
    <row r="1081" spans="1:21" s="142" customFormat="1" ht="12.75" customHeight="1" x14ac:dyDescent="0.2">
      <c r="A1081" s="151" t="s">
        <v>7857</v>
      </c>
      <c r="B1081" s="152" t="s">
        <v>2705</v>
      </c>
      <c r="C1081" s="152" t="s">
        <v>2705</v>
      </c>
      <c r="D1081" s="152" t="s">
        <v>2705</v>
      </c>
      <c r="E1081" s="152" t="s">
        <v>2398</v>
      </c>
      <c r="F1081" s="152" t="s">
        <v>2705</v>
      </c>
      <c r="G1081" s="152" t="s">
        <v>2705</v>
      </c>
      <c r="H1081" s="152" t="s">
        <v>2705</v>
      </c>
      <c r="I1081" s="152" t="s">
        <v>2675</v>
      </c>
      <c r="J1081" s="152" t="s">
        <v>2675</v>
      </c>
      <c r="K1081" s="152" t="s">
        <v>2705</v>
      </c>
      <c r="L1081" s="152" t="s">
        <v>2705</v>
      </c>
      <c r="M1081" s="152" t="s">
        <v>2705</v>
      </c>
      <c r="N1081" s="152" t="s">
        <v>2675</v>
      </c>
      <c r="O1081" s="152" t="s">
        <v>2705</v>
      </c>
      <c r="P1081" s="152" t="s">
        <v>2705</v>
      </c>
      <c r="Q1081" s="152" t="s">
        <v>1435</v>
      </c>
      <c r="R1081" s="152" t="s">
        <v>2675</v>
      </c>
      <c r="S1081" s="152" t="s">
        <v>2705</v>
      </c>
      <c r="T1081" s="152" t="s">
        <v>2398</v>
      </c>
      <c r="U1081" s="152" t="s">
        <v>2675</v>
      </c>
    </row>
    <row r="1082" spans="1:21" s="142" customFormat="1" ht="12.75" x14ac:dyDescent="0.2">
      <c r="A1082" s="151"/>
      <c r="B1082" s="152" t="s">
        <v>2398</v>
      </c>
      <c r="C1082" s="152" t="s">
        <v>1435</v>
      </c>
      <c r="D1082" s="152" t="s">
        <v>1435</v>
      </c>
      <c r="E1082" s="152" t="s">
        <v>2398</v>
      </c>
      <c r="F1082" s="152" t="s">
        <v>2705</v>
      </c>
      <c r="G1082" s="152" t="s">
        <v>2675</v>
      </c>
      <c r="H1082" s="152" t="s">
        <v>2398</v>
      </c>
      <c r="I1082" s="152" t="s">
        <v>2705</v>
      </c>
      <c r="J1082" s="152" t="s">
        <v>2705</v>
      </c>
      <c r="K1082" s="152" t="s">
        <v>2675</v>
      </c>
      <c r="L1082" s="152" t="s">
        <v>2705</v>
      </c>
      <c r="M1082" s="152" t="s">
        <v>2398</v>
      </c>
      <c r="N1082" s="152" t="s">
        <v>2397</v>
      </c>
      <c r="O1082" s="152" t="s">
        <v>2398</v>
      </c>
      <c r="P1082" s="152" t="s">
        <v>2675</v>
      </c>
      <c r="Q1082" s="152" t="s">
        <v>2675</v>
      </c>
      <c r="R1082" s="152" t="s">
        <v>2705</v>
      </c>
      <c r="S1082" s="152" t="s">
        <v>2398</v>
      </c>
      <c r="T1082" s="152" t="s">
        <v>2675</v>
      </c>
      <c r="U1082" s="152" t="s">
        <v>2675</v>
      </c>
    </row>
    <row r="1083" spans="1:21" s="142" customFormat="1" ht="12.75" customHeight="1" x14ac:dyDescent="0.2">
      <c r="A1083" s="151" t="s">
        <v>7858</v>
      </c>
      <c r="B1083" s="152" t="s">
        <v>2398</v>
      </c>
      <c r="C1083" s="152" t="s">
        <v>2398</v>
      </c>
      <c r="D1083" s="152" t="s">
        <v>2705</v>
      </c>
      <c r="E1083" s="152" t="s">
        <v>2705</v>
      </c>
      <c r="F1083" s="152" t="s">
        <v>2397</v>
      </c>
      <c r="G1083" s="152" t="s">
        <v>2705</v>
      </c>
      <c r="H1083" s="152" t="s">
        <v>2675</v>
      </c>
      <c r="I1083" s="152" t="s">
        <v>2705</v>
      </c>
      <c r="J1083" s="152" t="s">
        <v>2705</v>
      </c>
      <c r="K1083" s="152" t="s">
        <v>2398</v>
      </c>
      <c r="L1083" s="152" t="s">
        <v>2675</v>
      </c>
      <c r="M1083" s="152" t="s">
        <v>2705</v>
      </c>
      <c r="N1083" s="152" t="s">
        <v>1435</v>
      </c>
      <c r="O1083" s="152" t="s">
        <v>2705</v>
      </c>
      <c r="P1083" s="152" t="s">
        <v>2705</v>
      </c>
      <c r="Q1083" s="152" t="s">
        <v>2705</v>
      </c>
      <c r="R1083" s="152" t="s">
        <v>1435</v>
      </c>
      <c r="S1083" s="152" t="s">
        <v>2705</v>
      </c>
      <c r="T1083" s="152" t="s">
        <v>2398</v>
      </c>
      <c r="U1083" s="152" t="s">
        <v>2398</v>
      </c>
    </row>
    <row r="1084" spans="1:21" s="142" customFormat="1" ht="12.75" x14ac:dyDescent="0.2">
      <c r="A1084" s="151"/>
      <c r="B1084" s="152" t="s">
        <v>2705</v>
      </c>
      <c r="C1084" s="152" t="s">
        <v>2705</v>
      </c>
      <c r="D1084" s="152" t="s">
        <v>1435</v>
      </c>
      <c r="E1084" s="152" t="s">
        <v>2675</v>
      </c>
      <c r="F1084" s="152" t="s">
        <v>2675</v>
      </c>
      <c r="G1084" s="152" t="s">
        <v>2398</v>
      </c>
      <c r="H1084" s="152" t="s">
        <v>1435</v>
      </c>
      <c r="I1084" s="152" t="s">
        <v>2675</v>
      </c>
      <c r="J1084" s="152" t="s">
        <v>2397</v>
      </c>
      <c r="K1084" s="152" t="s">
        <v>2397</v>
      </c>
      <c r="L1084" s="152" t="s">
        <v>2675</v>
      </c>
      <c r="M1084" s="152" t="s">
        <v>2398</v>
      </c>
      <c r="N1084" s="152" t="s">
        <v>2705</v>
      </c>
      <c r="O1084" s="152" t="s">
        <v>2397</v>
      </c>
      <c r="P1084" s="152" t="s">
        <v>2705</v>
      </c>
      <c r="Q1084" s="152" t="s">
        <v>2398</v>
      </c>
      <c r="R1084" s="152" t="s">
        <v>2398</v>
      </c>
      <c r="S1084" s="152" t="s">
        <v>2705</v>
      </c>
      <c r="T1084" s="152" t="s">
        <v>2705</v>
      </c>
      <c r="U1084" s="152" t="s">
        <v>2398</v>
      </c>
    </row>
    <row r="1085" spans="1:21" s="142" customFormat="1" ht="12.75" customHeight="1" x14ac:dyDescent="0.2">
      <c r="A1085" s="151" t="s">
        <v>7859</v>
      </c>
      <c r="B1085" s="152" t="s">
        <v>2398</v>
      </c>
      <c r="C1085" s="152" t="s">
        <v>2705</v>
      </c>
      <c r="D1085" s="152" t="s">
        <v>2675</v>
      </c>
      <c r="E1085" s="152" t="s">
        <v>2705</v>
      </c>
      <c r="F1085" s="152" t="s">
        <v>2705</v>
      </c>
      <c r="G1085" s="152" t="s">
        <v>2705</v>
      </c>
      <c r="H1085" s="152" t="s">
        <v>2705</v>
      </c>
      <c r="I1085" s="152" t="s">
        <v>2398</v>
      </c>
      <c r="J1085" s="152" t="s">
        <v>2398</v>
      </c>
      <c r="K1085" s="152" t="s">
        <v>1435</v>
      </c>
      <c r="L1085" s="152" t="s">
        <v>2705</v>
      </c>
      <c r="M1085" s="152" t="s">
        <v>2705</v>
      </c>
      <c r="N1085" s="152" t="s">
        <v>1435</v>
      </c>
      <c r="O1085" s="152" t="s">
        <v>2398</v>
      </c>
      <c r="P1085" s="152" t="s">
        <v>2705</v>
      </c>
      <c r="Q1085" s="152" t="s">
        <v>2705</v>
      </c>
      <c r="R1085" s="152" t="s">
        <v>2398</v>
      </c>
      <c r="S1085" s="152" t="s">
        <v>2705</v>
      </c>
      <c r="T1085" s="152" t="s">
        <v>2398</v>
      </c>
      <c r="U1085" s="152" t="s">
        <v>2398</v>
      </c>
    </row>
    <row r="1086" spans="1:21" s="142" customFormat="1" ht="12.75" x14ac:dyDescent="0.2">
      <c r="A1086" s="151"/>
      <c r="B1086" s="152" t="s">
        <v>2398</v>
      </c>
      <c r="C1086" s="152" t="s">
        <v>2705</v>
      </c>
      <c r="D1086" s="152" t="s">
        <v>2705</v>
      </c>
      <c r="E1086" s="152" t="s">
        <v>2705</v>
      </c>
      <c r="F1086" s="152" t="s">
        <v>2705</v>
      </c>
      <c r="G1086" s="152" t="s">
        <v>2705</v>
      </c>
      <c r="H1086" s="152" t="s">
        <v>2398</v>
      </c>
      <c r="I1086" s="152" t="s">
        <v>2705</v>
      </c>
      <c r="J1086" s="152" t="s">
        <v>2705</v>
      </c>
      <c r="K1086" s="152" t="s">
        <v>2675</v>
      </c>
      <c r="L1086" s="152" t="s">
        <v>2398</v>
      </c>
      <c r="M1086" s="152" t="s">
        <v>2398</v>
      </c>
      <c r="N1086" s="152" t="s">
        <v>2705</v>
      </c>
      <c r="O1086" s="152" t="s">
        <v>2705</v>
      </c>
      <c r="P1086" s="152" t="s">
        <v>2398</v>
      </c>
      <c r="Q1086" s="152" t="s">
        <v>2705</v>
      </c>
      <c r="R1086" s="152" t="s">
        <v>2705</v>
      </c>
      <c r="S1086" s="152" t="s">
        <v>2705</v>
      </c>
      <c r="T1086" s="152" t="s">
        <v>2705</v>
      </c>
      <c r="U1086" s="152" t="s">
        <v>2705</v>
      </c>
    </row>
    <row r="1087" spans="1:21" s="142" customFormat="1" ht="12.75" customHeight="1" x14ac:dyDescent="0.2">
      <c r="A1087" s="151" t="s">
        <v>7860</v>
      </c>
      <c r="B1087" s="152" t="s">
        <v>2398</v>
      </c>
      <c r="C1087" s="152" t="s">
        <v>2398</v>
      </c>
      <c r="D1087" s="152" t="s">
        <v>2675</v>
      </c>
      <c r="E1087" s="152" t="s">
        <v>2398</v>
      </c>
      <c r="F1087" s="152" t="s">
        <v>1435</v>
      </c>
      <c r="G1087" s="152" t="s">
        <v>1435</v>
      </c>
      <c r="H1087" s="152" t="s">
        <v>2675</v>
      </c>
      <c r="I1087" s="152" t="s">
        <v>2398</v>
      </c>
      <c r="J1087" s="152" t="s">
        <v>2675</v>
      </c>
      <c r="K1087" s="152" t="s">
        <v>2397</v>
      </c>
      <c r="L1087" s="152" t="s">
        <v>2398</v>
      </c>
      <c r="M1087" s="152" t="s">
        <v>2398</v>
      </c>
      <c r="N1087" s="152" t="s">
        <v>2705</v>
      </c>
      <c r="O1087" s="152" t="s">
        <v>2398</v>
      </c>
      <c r="P1087" s="152" t="s">
        <v>2398</v>
      </c>
      <c r="Q1087" s="152" t="s">
        <v>2675</v>
      </c>
      <c r="R1087" s="152" t="s">
        <v>2705</v>
      </c>
      <c r="S1087" s="152" t="s">
        <v>2705</v>
      </c>
      <c r="T1087" s="152" t="s">
        <v>2398</v>
      </c>
      <c r="U1087" s="152" t="s">
        <v>2398</v>
      </c>
    </row>
    <row r="1088" spans="1:21" s="142" customFormat="1" ht="12.75" x14ac:dyDescent="0.2">
      <c r="A1088" s="151"/>
      <c r="B1088" s="152" t="s">
        <v>2705</v>
      </c>
      <c r="C1088" s="152" t="s">
        <v>2705</v>
      </c>
      <c r="D1088" s="152" t="s">
        <v>2398</v>
      </c>
      <c r="E1088" s="152" t="s">
        <v>2705</v>
      </c>
      <c r="F1088" s="152" t="s">
        <v>2398</v>
      </c>
      <c r="G1088" s="152" t="s">
        <v>2705</v>
      </c>
      <c r="H1088" s="152" t="s">
        <v>2705</v>
      </c>
      <c r="I1088" s="152" t="s">
        <v>2398</v>
      </c>
      <c r="J1088" s="152" t="s">
        <v>2675</v>
      </c>
      <c r="K1088" s="152" t="s">
        <v>1435</v>
      </c>
      <c r="L1088" s="152" t="s">
        <v>2675</v>
      </c>
      <c r="M1088" s="152" t="s">
        <v>2705</v>
      </c>
      <c r="N1088" s="152" t="s">
        <v>2705</v>
      </c>
      <c r="O1088" s="152" t="s">
        <v>2398</v>
      </c>
      <c r="P1088" s="152" t="s">
        <v>2398</v>
      </c>
      <c r="Q1088" s="152" t="s">
        <v>2705</v>
      </c>
      <c r="R1088" s="152" t="s">
        <v>1435</v>
      </c>
      <c r="S1088" s="152" t="s">
        <v>2398</v>
      </c>
      <c r="T1088" s="152" t="s">
        <v>2398</v>
      </c>
      <c r="U1088" s="152" t="s">
        <v>2675</v>
      </c>
    </row>
    <row r="1089" spans="1:21" s="142" customFormat="1" ht="12.75" customHeight="1" x14ac:dyDescent="0.2">
      <c r="A1089" s="151" t="s">
        <v>7861</v>
      </c>
      <c r="B1089" s="152" t="s">
        <v>2705</v>
      </c>
      <c r="C1089" s="152" t="s">
        <v>2705</v>
      </c>
      <c r="D1089" s="152" t="s">
        <v>2705</v>
      </c>
      <c r="E1089" s="152" t="s">
        <v>2675</v>
      </c>
      <c r="F1089" s="152" t="s">
        <v>2705</v>
      </c>
      <c r="G1089" s="152" t="s">
        <v>2705</v>
      </c>
      <c r="H1089" s="152" t="s">
        <v>2705</v>
      </c>
      <c r="I1089" s="152" t="s">
        <v>2397</v>
      </c>
      <c r="J1089" s="152" t="s">
        <v>2675</v>
      </c>
      <c r="K1089" s="152" t="s">
        <v>2398</v>
      </c>
      <c r="L1089" s="152" t="s">
        <v>2705</v>
      </c>
      <c r="M1089" s="152" t="s">
        <v>1435</v>
      </c>
      <c r="N1089" s="152" t="s">
        <v>2705</v>
      </c>
      <c r="O1089" s="152" t="s">
        <v>2705</v>
      </c>
      <c r="P1089" s="152" t="s">
        <v>2398</v>
      </c>
      <c r="Q1089" s="152" t="s">
        <v>2705</v>
      </c>
      <c r="R1089" s="152" t="s">
        <v>2675</v>
      </c>
      <c r="S1089" s="152" t="s">
        <v>2398</v>
      </c>
      <c r="T1089" s="152" t="s">
        <v>2705</v>
      </c>
      <c r="U1089" s="152" t="s">
        <v>2675</v>
      </c>
    </row>
    <row r="1090" spans="1:21" s="142" customFormat="1" ht="12.75" x14ac:dyDescent="0.2">
      <c r="A1090" s="151"/>
      <c r="B1090" s="152" t="s">
        <v>2705</v>
      </c>
      <c r="C1090" s="152" t="s">
        <v>2398</v>
      </c>
      <c r="D1090" s="152" t="s">
        <v>2675</v>
      </c>
      <c r="E1090" s="152" t="s">
        <v>2705</v>
      </c>
      <c r="F1090" s="152" t="s">
        <v>2675</v>
      </c>
      <c r="G1090" s="152" t="s">
        <v>2705</v>
      </c>
      <c r="H1090" s="152" t="s">
        <v>2398</v>
      </c>
      <c r="I1090" s="152" t="s">
        <v>2398</v>
      </c>
      <c r="J1090" s="152" t="s">
        <v>2398</v>
      </c>
      <c r="K1090" s="152" t="s">
        <v>2398</v>
      </c>
      <c r="L1090" s="152" t="s">
        <v>2398</v>
      </c>
      <c r="M1090" s="152" t="s">
        <v>2398</v>
      </c>
      <c r="N1090" s="152" t="s">
        <v>1435</v>
      </c>
      <c r="O1090" s="152" t="s">
        <v>2705</v>
      </c>
      <c r="P1090" s="152" t="s">
        <v>2398</v>
      </c>
      <c r="Q1090" s="152" t="s">
        <v>2398</v>
      </c>
      <c r="R1090" s="152" t="s">
        <v>2675</v>
      </c>
      <c r="S1090" s="152" t="s">
        <v>2398</v>
      </c>
      <c r="T1090" s="152" t="s">
        <v>2398</v>
      </c>
      <c r="U1090" s="152" t="s">
        <v>1435</v>
      </c>
    </row>
    <row r="1091" spans="1:21" s="142" customFormat="1" ht="12.75" customHeight="1" x14ac:dyDescent="0.2">
      <c r="A1091" s="151" t="s">
        <v>7862</v>
      </c>
      <c r="B1091" s="152" t="s">
        <v>2398</v>
      </c>
      <c r="C1091" s="152" t="s">
        <v>2705</v>
      </c>
      <c r="D1091" s="152" t="s">
        <v>2397</v>
      </c>
      <c r="E1091" s="152" t="s">
        <v>2705</v>
      </c>
      <c r="F1091" s="152" t="s">
        <v>2705</v>
      </c>
      <c r="G1091" s="152" t="s">
        <v>2705</v>
      </c>
      <c r="H1091" s="152" t="s">
        <v>1435</v>
      </c>
      <c r="I1091" s="152" t="s">
        <v>2705</v>
      </c>
      <c r="J1091" s="152" t="s">
        <v>2705</v>
      </c>
      <c r="K1091" s="152" t="s">
        <v>2705</v>
      </c>
      <c r="L1091" s="152" t="s">
        <v>2705</v>
      </c>
      <c r="M1091" s="152" t="s">
        <v>2705</v>
      </c>
      <c r="N1091" s="152" t="s">
        <v>2397</v>
      </c>
      <c r="O1091" s="152" t="s">
        <v>2705</v>
      </c>
      <c r="P1091" s="152" t="s">
        <v>1435</v>
      </c>
      <c r="Q1091" s="152" t="s">
        <v>2705</v>
      </c>
      <c r="R1091" s="152" t="s">
        <v>2705</v>
      </c>
      <c r="S1091" s="152" t="s">
        <v>2705</v>
      </c>
      <c r="T1091" s="152" t="s">
        <v>2397</v>
      </c>
      <c r="U1091" s="152" t="s">
        <v>2705</v>
      </c>
    </row>
    <row r="1092" spans="1:21" s="142" customFormat="1" ht="12.75" x14ac:dyDescent="0.2">
      <c r="A1092" s="151"/>
      <c r="B1092" s="152" t="s">
        <v>2398</v>
      </c>
      <c r="C1092" s="152" t="s">
        <v>2398</v>
      </c>
      <c r="D1092" s="152" t="s">
        <v>2705</v>
      </c>
      <c r="E1092" s="152" t="s">
        <v>2398</v>
      </c>
      <c r="F1092" s="152" t="s">
        <v>2705</v>
      </c>
      <c r="G1092" s="152" t="s">
        <v>2705</v>
      </c>
      <c r="H1092" s="152" t="s">
        <v>2705</v>
      </c>
      <c r="I1092" s="152" t="s">
        <v>2705</v>
      </c>
      <c r="J1092" s="152" t="s">
        <v>2397</v>
      </c>
      <c r="K1092" s="152" t="s">
        <v>2398</v>
      </c>
      <c r="L1092" s="152" t="s">
        <v>2398</v>
      </c>
      <c r="M1092" s="152" t="s">
        <v>2705</v>
      </c>
      <c r="N1092" s="152" t="s">
        <v>2398</v>
      </c>
      <c r="O1092" s="152" t="s">
        <v>2398</v>
      </c>
      <c r="P1092" s="152" t="s">
        <v>2705</v>
      </c>
      <c r="Q1092" s="152" t="s">
        <v>2705</v>
      </c>
      <c r="R1092" s="152" t="s">
        <v>2705</v>
      </c>
      <c r="S1092" s="152" t="s">
        <v>2705</v>
      </c>
      <c r="T1092" s="152" t="s">
        <v>2397</v>
      </c>
      <c r="U1092" s="152" t="s">
        <v>2398</v>
      </c>
    </row>
    <row r="1093" spans="1:21" s="142" customFormat="1" ht="12.75" customHeight="1" x14ac:dyDescent="0.2">
      <c r="A1093" s="151" t="s">
        <v>7863</v>
      </c>
      <c r="B1093" s="152" t="s">
        <v>2705</v>
      </c>
      <c r="C1093" s="152" t="s">
        <v>2398</v>
      </c>
      <c r="D1093" s="152" t="s">
        <v>2705</v>
      </c>
      <c r="E1093" s="152" t="s">
        <v>2705</v>
      </c>
      <c r="F1093" s="152" t="s">
        <v>2705</v>
      </c>
      <c r="G1093" s="152" t="s">
        <v>2705</v>
      </c>
      <c r="H1093" s="152" t="s">
        <v>2675</v>
      </c>
      <c r="I1093" s="152" t="s">
        <v>2705</v>
      </c>
      <c r="J1093" s="152" t="s">
        <v>2675</v>
      </c>
      <c r="K1093" s="152" t="s">
        <v>2675</v>
      </c>
      <c r="L1093" s="152" t="s">
        <v>2398</v>
      </c>
      <c r="M1093" s="152" t="s">
        <v>2705</v>
      </c>
      <c r="N1093" s="152" t="s">
        <v>2398</v>
      </c>
      <c r="O1093" s="152" t="s">
        <v>1435</v>
      </c>
      <c r="P1093" s="152" t="s">
        <v>2705</v>
      </c>
      <c r="Q1093" s="152" t="s">
        <v>2705</v>
      </c>
      <c r="R1093" s="152" t="s">
        <v>2398</v>
      </c>
      <c r="S1093" s="152" t="s">
        <v>2705</v>
      </c>
      <c r="T1093" s="152" t="s">
        <v>2705</v>
      </c>
      <c r="U1093" s="152" t="s">
        <v>2705</v>
      </c>
    </row>
    <row r="1094" spans="1:21" s="142" customFormat="1" ht="12.75" x14ac:dyDescent="0.2">
      <c r="A1094" s="151"/>
      <c r="B1094" s="152" t="s">
        <v>2398</v>
      </c>
      <c r="C1094" s="152" t="s">
        <v>2675</v>
      </c>
      <c r="D1094" s="152" t="s">
        <v>1435</v>
      </c>
      <c r="E1094" s="152" t="s">
        <v>2705</v>
      </c>
      <c r="F1094" s="152" t="s">
        <v>2705</v>
      </c>
      <c r="G1094" s="152" t="s">
        <v>1435</v>
      </c>
      <c r="H1094" s="152" t="s">
        <v>2705</v>
      </c>
      <c r="I1094" s="152" t="s">
        <v>2675</v>
      </c>
      <c r="J1094" s="152" t="s">
        <v>2398</v>
      </c>
      <c r="K1094" s="152" t="s">
        <v>2398</v>
      </c>
      <c r="L1094" s="152" t="s">
        <v>2705</v>
      </c>
      <c r="M1094" s="152" t="s">
        <v>1435</v>
      </c>
      <c r="N1094" s="152" t="s">
        <v>2397</v>
      </c>
      <c r="O1094" s="152" t="s">
        <v>1435</v>
      </c>
      <c r="P1094" s="152" t="s">
        <v>2675</v>
      </c>
      <c r="Q1094" s="152" t="s">
        <v>2705</v>
      </c>
      <c r="R1094" s="152" t="s">
        <v>1435</v>
      </c>
      <c r="S1094" s="152" t="s">
        <v>2397</v>
      </c>
      <c r="T1094" s="152" t="s">
        <v>2705</v>
      </c>
      <c r="U1094" s="152" t="s">
        <v>2398</v>
      </c>
    </row>
    <row r="1095" spans="1:21" s="142" customFormat="1" ht="12.75" customHeight="1" x14ac:dyDescent="0.2">
      <c r="A1095" s="151" t="s">
        <v>7864</v>
      </c>
      <c r="B1095" s="152" t="s">
        <v>2705</v>
      </c>
      <c r="C1095" s="152" t="s">
        <v>2705</v>
      </c>
      <c r="D1095" s="152" t="s">
        <v>2675</v>
      </c>
      <c r="E1095" s="152" t="s">
        <v>2705</v>
      </c>
      <c r="F1095" s="152" t="s">
        <v>2705</v>
      </c>
      <c r="G1095" s="152" t="s">
        <v>2398</v>
      </c>
      <c r="H1095" s="152" t="s">
        <v>2705</v>
      </c>
      <c r="I1095" s="152" t="s">
        <v>2398</v>
      </c>
      <c r="J1095" s="152" t="s">
        <v>2398</v>
      </c>
      <c r="K1095" s="152" t="s">
        <v>2398</v>
      </c>
      <c r="L1095" s="152" t="s">
        <v>2705</v>
      </c>
      <c r="M1095" s="152" t="s">
        <v>2705</v>
      </c>
      <c r="N1095" s="152" t="s">
        <v>2705</v>
      </c>
      <c r="O1095" s="152" t="s">
        <v>2398</v>
      </c>
      <c r="P1095" s="152" t="s">
        <v>2398</v>
      </c>
      <c r="Q1095" s="152" t="s">
        <v>2398</v>
      </c>
      <c r="R1095" s="152" t="s">
        <v>2397</v>
      </c>
      <c r="S1095" s="152" t="s">
        <v>2398</v>
      </c>
      <c r="T1095" s="152" t="s">
        <v>2398</v>
      </c>
      <c r="U1095" s="152" t="s">
        <v>2398</v>
      </c>
    </row>
    <row r="1096" spans="1:21" s="142" customFormat="1" ht="12.75" x14ac:dyDescent="0.2">
      <c r="A1096" s="151"/>
      <c r="B1096" s="152" t="s">
        <v>2398</v>
      </c>
      <c r="C1096" s="152" t="s">
        <v>2398</v>
      </c>
      <c r="D1096" s="152" t="s">
        <v>2705</v>
      </c>
      <c r="E1096" s="152" t="s">
        <v>2398</v>
      </c>
      <c r="F1096" s="152" t="s">
        <v>2398</v>
      </c>
      <c r="G1096" s="152" t="s">
        <v>2675</v>
      </c>
      <c r="H1096" s="152" t="s">
        <v>2398</v>
      </c>
      <c r="I1096" s="152" t="s">
        <v>2705</v>
      </c>
      <c r="J1096" s="152" t="s">
        <v>2398</v>
      </c>
      <c r="K1096" s="152" t="s">
        <v>2705</v>
      </c>
      <c r="L1096" s="152" t="s">
        <v>2705</v>
      </c>
      <c r="M1096" s="152" t="s">
        <v>2398</v>
      </c>
      <c r="N1096" s="152" t="s">
        <v>2705</v>
      </c>
      <c r="O1096" s="152" t="s">
        <v>2398</v>
      </c>
      <c r="P1096" s="152" t="s">
        <v>2398</v>
      </c>
      <c r="Q1096" s="152" t="s">
        <v>2705</v>
      </c>
      <c r="R1096" s="152" t="s">
        <v>2398</v>
      </c>
      <c r="S1096" s="152" t="s">
        <v>2398</v>
      </c>
      <c r="T1096" s="152" t="s">
        <v>2398</v>
      </c>
      <c r="U1096" s="152" t="s">
        <v>2398</v>
      </c>
    </row>
    <row r="1097" spans="1:21" s="142" customFormat="1" ht="12.75" customHeight="1" x14ac:dyDescent="0.2">
      <c r="A1097" s="151" t="s">
        <v>7865</v>
      </c>
      <c r="B1097" s="152" t="s">
        <v>2398</v>
      </c>
      <c r="C1097" s="152" t="s">
        <v>1435</v>
      </c>
      <c r="D1097" s="152" t="s">
        <v>1435</v>
      </c>
      <c r="E1097" s="152" t="s">
        <v>1435</v>
      </c>
      <c r="F1097" s="152" t="s">
        <v>2398</v>
      </c>
      <c r="G1097" s="152" t="s">
        <v>2705</v>
      </c>
      <c r="H1097" s="152" t="s">
        <v>2397</v>
      </c>
      <c r="I1097" s="152" t="s">
        <v>2675</v>
      </c>
      <c r="J1097" s="152" t="s">
        <v>1435</v>
      </c>
      <c r="K1097" s="152" t="s">
        <v>2398</v>
      </c>
      <c r="L1097" s="152" t="s">
        <v>2398</v>
      </c>
      <c r="M1097" s="152" t="s">
        <v>2705</v>
      </c>
      <c r="N1097" s="152" t="s">
        <v>2397</v>
      </c>
      <c r="O1097" s="152" t="s">
        <v>2398</v>
      </c>
      <c r="P1097" s="152" t="s">
        <v>2398</v>
      </c>
      <c r="Q1097" s="152" t="s">
        <v>2398</v>
      </c>
      <c r="R1097" s="152" t="s">
        <v>2675</v>
      </c>
      <c r="S1097" s="152" t="s">
        <v>2705</v>
      </c>
      <c r="T1097" s="152" t="s">
        <v>2398</v>
      </c>
      <c r="U1097" s="152" t="s">
        <v>2398</v>
      </c>
    </row>
    <row r="1098" spans="1:21" s="142" customFormat="1" ht="12.75" x14ac:dyDescent="0.2">
      <c r="A1098" s="151"/>
      <c r="B1098" s="152" t="s">
        <v>2705</v>
      </c>
      <c r="C1098" s="152" t="s">
        <v>2398</v>
      </c>
      <c r="D1098" s="152" t="s">
        <v>2398</v>
      </c>
      <c r="E1098" s="152" t="s">
        <v>2398</v>
      </c>
      <c r="F1098" s="152" t="s">
        <v>2705</v>
      </c>
      <c r="G1098" s="152" t="s">
        <v>2675</v>
      </c>
      <c r="H1098" s="152" t="s">
        <v>2398</v>
      </c>
      <c r="I1098" s="152" t="s">
        <v>2705</v>
      </c>
      <c r="J1098" s="152" t="s">
        <v>2398</v>
      </c>
      <c r="K1098" s="152" t="s">
        <v>2705</v>
      </c>
      <c r="L1098" s="152" t="s">
        <v>2675</v>
      </c>
      <c r="M1098" s="152" t="s">
        <v>2398</v>
      </c>
      <c r="N1098" s="152" t="s">
        <v>1435</v>
      </c>
      <c r="O1098" s="152" t="s">
        <v>2398</v>
      </c>
      <c r="P1098" s="152" t="s">
        <v>1435</v>
      </c>
      <c r="Q1098" s="152" t="s">
        <v>2705</v>
      </c>
      <c r="R1098" s="152" t="s">
        <v>2398</v>
      </c>
      <c r="S1098" s="152" t="s">
        <v>2705</v>
      </c>
      <c r="T1098" s="152" t="s">
        <v>2398</v>
      </c>
      <c r="U1098" s="152" t="s">
        <v>2398</v>
      </c>
    </row>
    <row r="1099" spans="1:21" s="142" customFormat="1" ht="12.75" customHeight="1" x14ac:dyDescent="0.2">
      <c r="A1099" s="151" t="s">
        <v>7866</v>
      </c>
      <c r="B1099" s="152" t="s">
        <v>2398</v>
      </c>
      <c r="C1099" s="152" t="s">
        <v>2398</v>
      </c>
      <c r="D1099" s="152" t="s">
        <v>2398</v>
      </c>
      <c r="E1099" s="152" t="s">
        <v>2705</v>
      </c>
      <c r="F1099" s="152" t="s">
        <v>2398</v>
      </c>
      <c r="G1099" s="152" t="s">
        <v>2705</v>
      </c>
      <c r="H1099" s="152" t="s">
        <v>2675</v>
      </c>
      <c r="I1099" s="152" t="s">
        <v>2705</v>
      </c>
      <c r="J1099" s="152" t="s">
        <v>2705</v>
      </c>
      <c r="K1099" s="152" t="s">
        <v>2705</v>
      </c>
      <c r="L1099" s="152" t="s">
        <v>2675</v>
      </c>
      <c r="M1099" s="152" t="s">
        <v>2705</v>
      </c>
      <c r="N1099" s="152" t="s">
        <v>2705</v>
      </c>
      <c r="O1099" s="152" t="s">
        <v>2705</v>
      </c>
      <c r="P1099" s="152" t="s">
        <v>2705</v>
      </c>
      <c r="Q1099" s="152" t="s">
        <v>2705</v>
      </c>
      <c r="R1099" s="152" t="s">
        <v>2705</v>
      </c>
      <c r="S1099" s="152" t="s">
        <v>2705</v>
      </c>
      <c r="T1099" s="152" t="s">
        <v>2705</v>
      </c>
      <c r="U1099" s="152" t="s">
        <v>2398</v>
      </c>
    </row>
    <row r="1100" spans="1:21" s="142" customFormat="1" ht="12.75" x14ac:dyDescent="0.2">
      <c r="A1100" s="151"/>
      <c r="B1100" s="152" t="s">
        <v>2705</v>
      </c>
      <c r="C1100" s="152" t="s">
        <v>2705</v>
      </c>
      <c r="D1100" s="152" t="s">
        <v>2398</v>
      </c>
      <c r="E1100" s="152" t="s">
        <v>2398</v>
      </c>
      <c r="F1100" s="152" t="s">
        <v>2705</v>
      </c>
      <c r="G1100" s="152" t="s">
        <v>2705</v>
      </c>
      <c r="H1100" s="152" t="s">
        <v>2705</v>
      </c>
      <c r="I1100" s="152" t="s">
        <v>2705</v>
      </c>
      <c r="J1100" s="152" t="s">
        <v>2705</v>
      </c>
      <c r="K1100" s="152" t="s">
        <v>2705</v>
      </c>
      <c r="L1100" s="152" t="s">
        <v>2398</v>
      </c>
      <c r="M1100" s="152" t="s">
        <v>2705</v>
      </c>
      <c r="N1100" s="152" t="s">
        <v>2705</v>
      </c>
      <c r="O1100" s="152" t="s">
        <v>2705</v>
      </c>
      <c r="P1100" s="152" t="s">
        <v>1435</v>
      </c>
      <c r="Q1100" s="152" t="s">
        <v>1435</v>
      </c>
      <c r="R1100" s="152" t="s">
        <v>1435</v>
      </c>
      <c r="S1100" s="152" t="s">
        <v>2705</v>
      </c>
      <c r="T1100" s="152" t="s">
        <v>2705</v>
      </c>
      <c r="U1100" s="152" t="s">
        <v>2705</v>
      </c>
    </row>
    <row r="1101" spans="1:21" s="142" customFormat="1" ht="12.75" customHeight="1" x14ac:dyDescent="0.2">
      <c r="A1101" s="151" t="s">
        <v>7867</v>
      </c>
      <c r="B1101" s="152" t="s">
        <v>2398</v>
      </c>
      <c r="C1101" s="152" t="s">
        <v>2705</v>
      </c>
      <c r="D1101" s="152" t="s">
        <v>2398</v>
      </c>
      <c r="E1101" s="152" t="s">
        <v>2398</v>
      </c>
      <c r="F1101" s="152" t="s">
        <v>2675</v>
      </c>
      <c r="G1101" s="152" t="s">
        <v>2398</v>
      </c>
      <c r="H1101" s="152" t="s">
        <v>2705</v>
      </c>
      <c r="I1101" s="152" t="s">
        <v>2397</v>
      </c>
      <c r="J1101" s="152" t="s">
        <v>2675</v>
      </c>
      <c r="K1101" s="152" t="s">
        <v>2705</v>
      </c>
      <c r="L1101" s="152" t="s">
        <v>1435</v>
      </c>
      <c r="M1101" s="152" t="s">
        <v>2398</v>
      </c>
      <c r="N1101" s="152" t="s">
        <v>2705</v>
      </c>
      <c r="O1101" s="152" t="s">
        <v>2398</v>
      </c>
      <c r="P1101" s="152" t="s">
        <v>2398</v>
      </c>
      <c r="Q1101" s="152" t="s">
        <v>2705</v>
      </c>
      <c r="R1101" s="152" t="s">
        <v>2675</v>
      </c>
      <c r="S1101" s="152" t="s">
        <v>2675</v>
      </c>
      <c r="T1101" s="152" t="s">
        <v>2705</v>
      </c>
      <c r="U1101" s="152" t="s">
        <v>2675</v>
      </c>
    </row>
    <row r="1102" spans="1:21" s="142" customFormat="1" ht="12.75" x14ac:dyDescent="0.2">
      <c r="A1102" s="151"/>
      <c r="B1102" s="152" t="s">
        <v>2705</v>
      </c>
      <c r="C1102" s="152" t="s">
        <v>2675</v>
      </c>
      <c r="D1102" s="152" t="s">
        <v>2675</v>
      </c>
      <c r="E1102" s="152" t="s">
        <v>2705</v>
      </c>
      <c r="F1102" s="152" t="s">
        <v>2398</v>
      </c>
      <c r="G1102" s="152" t="s">
        <v>2675</v>
      </c>
      <c r="H1102" s="152" t="s">
        <v>2397</v>
      </c>
      <c r="I1102" s="152" t="s">
        <v>2398</v>
      </c>
      <c r="J1102" s="152" t="s">
        <v>2398</v>
      </c>
      <c r="K1102" s="152" t="s">
        <v>2398</v>
      </c>
      <c r="L1102" s="152" t="s">
        <v>2398</v>
      </c>
      <c r="M1102" s="152" t="s">
        <v>2705</v>
      </c>
      <c r="N1102" s="152" t="s">
        <v>2705</v>
      </c>
      <c r="O1102" s="152" t="s">
        <v>2398</v>
      </c>
      <c r="P1102" s="152" t="s">
        <v>2675</v>
      </c>
      <c r="Q1102" s="152" t="s">
        <v>2705</v>
      </c>
      <c r="R1102" s="152" t="s">
        <v>2705</v>
      </c>
      <c r="S1102" s="152" t="s">
        <v>2397</v>
      </c>
      <c r="T1102" s="152" t="s">
        <v>2705</v>
      </c>
      <c r="U1102" s="152" t="s">
        <v>2398</v>
      </c>
    </row>
    <row r="1103" spans="1:21" s="142" customFormat="1" ht="12.75" customHeight="1" x14ac:dyDescent="0.2">
      <c r="A1103" s="151" t="s">
        <v>7868</v>
      </c>
      <c r="B1103" s="152" t="s">
        <v>2705</v>
      </c>
      <c r="C1103" s="152" t="s">
        <v>2705</v>
      </c>
      <c r="D1103" s="152" t="s">
        <v>2398</v>
      </c>
      <c r="E1103" s="152" t="s">
        <v>2705</v>
      </c>
      <c r="F1103" s="152" t="s">
        <v>2398</v>
      </c>
      <c r="G1103" s="152" t="s">
        <v>2705</v>
      </c>
      <c r="H1103" s="152" t="s">
        <v>2705</v>
      </c>
      <c r="I1103" s="152" t="s">
        <v>2398</v>
      </c>
      <c r="J1103" s="152" t="s">
        <v>2705</v>
      </c>
      <c r="K1103" s="152" t="s">
        <v>2705</v>
      </c>
      <c r="L1103" s="152" t="s">
        <v>2398</v>
      </c>
      <c r="M1103" s="152" t="s">
        <v>2398</v>
      </c>
      <c r="N1103" s="152" t="s">
        <v>2705</v>
      </c>
      <c r="O1103" s="152" t="s">
        <v>2397</v>
      </c>
      <c r="P1103" s="152" t="s">
        <v>2398</v>
      </c>
      <c r="Q1103" s="152" t="s">
        <v>2398</v>
      </c>
      <c r="R1103" s="152" t="s">
        <v>2705</v>
      </c>
      <c r="S1103" s="152" t="s">
        <v>2397</v>
      </c>
      <c r="T1103" s="152" t="s">
        <v>2398</v>
      </c>
      <c r="U1103" s="152" t="s">
        <v>2398</v>
      </c>
    </row>
    <row r="1104" spans="1:21" s="142" customFormat="1" ht="12.75" x14ac:dyDescent="0.2">
      <c r="A1104" s="151"/>
      <c r="B1104" s="152" t="s">
        <v>2705</v>
      </c>
      <c r="C1104" s="152" t="s">
        <v>2705</v>
      </c>
      <c r="D1104" s="152" t="s">
        <v>2705</v>
      </c>
      <c r="E1104" s="152" t="s">
        <v>2705</v>
      </c>
      <c r="F1104" s="152" t="s">
        <v>2705</v>
      </c>
      <c r="G1104" s="152" t="s">
        <v>2398</v>
      </c>
      <c r="H1104" s="152" t="s">
        <v>2398</v>
      </c>
      <c r="I1104" s="152" t="s">
        <v>2705</v>
      </c>
      <c r="J1104" s="152" t="s">
        <v>2705</v>
      </c>
      <c r="K1104" s="152" t="s">
        <v>2705</v>
      </c>
      <c r="L1104" s="152" t="s">
        <v>2705</v>
      </c>
      <c r="M1104" s="152" t="s">
        <v>1435</v>
      </c>
      <c r="N1104" s="152" t="s">
        <v>2398</v>
      </c>
      <c r="O1104" s="152" t="s">
        <v>1435</v>
      </c>
      <c r="P1104" s="152" t="s">
        <v>2398</v>
      </c>
      <c r="Q1104" s="152" t="s">
        <v>2705</v>
      </c>
      <c r="R1104" s="152" t="s">
        <v>1435</v>
      </c>
      <c r="S1104" s="152" t="s">
        <v>2675</v>
      </c>
      <c r="T1104" s="152" t="s">
        <v>2705</v>
      </c>
      <c r="U1104" s="152" t="s">
        <v>2398</v>
      </c>
    </row>
    <row r="1105" spans="1:21" s="142" customFormat="1" ht="12.75" customHeight="1" x14ac:dyDescent="0.2">
      <c r="A1105" s="151" t="s">
        <v>7869</v>
      </c>
      <c r="B1105" s="152" t="s">
        <v>2705</v>
      </c>
      <c r="C1105" s="152" t="s">
        <v>2705</v>
      </c>
      <c r="D1105" s="152" t="s">
        <v>2705</v>
      </c>
      <c r="E1105" s="152" t="s">
        <v>1435</v>
      </c>
      <c r="F1105" s="152" t="s">
        <v>2705</v>
      </c>
      <c r="G1105" s="152" t="s">
        <v>2705</v>
      </c>
      <c r="H1105" s="152" t="s">
        <v>2705</v>
      </c>
      <c r="I1105" s="152" t="s">
        <v>2398</v>
      </c>
      <c r="J1105" s="152" t="s">
        <v>2398</v>
      </c>
      <c r="K1105" s="152" t="s">
        <v>2705</v>
      </c>
      <c r="L1105" s="152" t="s">
        <v>2705</v>
      </c>
      <c r="M1105" s="152" t="s">
        <v>2705</v>
      </c>
      <c r="N1105" s="152" t="s">
        <v>2705</v>
      </c>
      <c r="O1105" s="152" t="s">
        <v>1435</v>
      </c>
      <c r="P1105" s="152" t="s">
        <v>2705</v>
      </c>
      <c r="Q1105" s="152" t="s">
        <v>2705</v>
      </c>
      <c r="R1105" s="152" t="s">
        <v>2705</v>
      </c>
      <c r="S1105" s="152" t="s">
        <v>2705</v>
      </c>
      <c r="T1105" s="152" t="s">
        <v>2705</v>
      </c>
      <c r="U1105" s="152" t="s">
        <v>2675</v>
      </c>
    </row>
    <row r="1106" spans="1:21" s="142" customFormat="1" ht="12.75" x14ac:dyDescent="0.2">
      <c r="A1106" s="151"/>
      <c r="B1106" s="152" t="s">
        <v>2705</v>
      </c>
      <c r="C1106" s="152" t="s">
        <v>2398</v>
      </c>
      <c r="D1106" s="152" t="s">
        <v>2705</v>
      </c>
      <c r="E1106" s="152" t="s">
        <v>1435</v>
      </c>
      <c r="F1106" s="152" t="s">
        <v>2705</v>
      </c>
      <c r="G1106" s="152" t="s">
        <v>2705</v>
      </c>
      <c r="H1106" s="152" t="s">
        <v>2705</v>
      </c>
      <c r="I1106" s="152" t="s">
        <v>2705</v>
      </c>
      <c r="J1106" s="152" t="s">
        <v>2675</v>
      </c>
      <c r="K1106" s="152" t="s">
        <v>2675</v>
      </c>
      <c r="L1106" s="152" t="s">
        <v>2398</v>
      </c>
      <c r="M1106" s="152" t="s">
        <v>2398</v>
      </c>
      <c r="N1106" s="152" t="s">
        <v>2398</v>
      </c>
      <c r="O1106" s="152" t="s">
        <v>2705</v>
      </c>
      <c r="P1106" s="152" t="s">
        <v>2705</v>
      </c>
      <c r="Q1106" s="152" t="s">
        <v>1435</v>
      </c>
      <c r="R1106" s="152" t="s">
        <v>2705</v>
      </c>
      <c r="S1106" s="152" t="s">
        <v>2705</v>
      </c>
      <c r="T1106" s="152" t="s">
        <v>2398</v>
      </c>
      <c r="U1106" s="152" t="s">
        <v>1435</v>
      </c>
    </row>
    <row r="1107" spans="1:21" s="142" customFormat="1" ht="12.75" customHeight="1" x14ac:dyDescent="0.2">
      <c r="A1107" s="151" t="s">
        <v>7870</v>
      </c>
      <c r="B1107" s="152" t="s">
        <v>1435</v>
      </c>
      <c r="C1107" s="152" t="s">
        <v>2705</v>
      </c>
      <c r="D1107" s="152" t="s">
        <v>2398</v>
      </c>
      <c r="E1107" s="152" t="s">
        <v>2705</v>
      </c>
      <c r="F1107" s="152" t="s">
        <v>1435</v>
      </c>
      <c r="G1107" s="152" t="s">
        <v>2398</v>
      </c>
      <c r="H1107" s="152" t="s">
        <v>1435</v>
      </c>
      <c r="I1107" s="152" t="s">
        <v>2398</v>
      </c>
      <c r="J1107" s="152" t="s">
        <v>2398</v>
      </c>
      <c r="K1107" s="152" t="s">
        <v>2398</v>
      </c>
      <c r="L1107" s="152" t="s">
        <v>2705</v>
      </c>
      <c r="M1107" s="152" t="s">
        <v>2705</v>
      </c>
      <c r="N1107" s="152" t="s">
        <v>2705</v>
      </c>
      <c r="O1107" s="152" t="s">
        <v>2705</v>
      </c>
      <c r="P1107" s="152" t="s">
        <v>2398</v>
      </c>
      <c r="Q1107" s="152" t="s">
        <v>2398</v>
      </c>
      <c r="R1107" s="152" t="s">
        <v>2705</v>
      </c>
      <c r="S1107" s="152" t="s">
        <v>2705</v>
      </c>
      <c r="T1107" s="152" t="s">
        <v>2398</v>
      </c>
      <c r="U1107" s="152" t="s">
        <v>2398</v>
      </c>
    </row>
    <row r="1108" spans="1:21" s="142" customFormat="1" ht="12.75" x14ac:dyDescent="0.2">
      <c r="A1108" s="151"/>
      <c r="B1108" s="152" t="s">
        <v>2398</v>
      </c>
      <c r="C1108" s="152" t="s">
        <v>2398</v>
      </c>
      <c r="D1108" s="152" t="s">
        <v>1435</v>
      </c>
      <c r="E1108" s="152" t="s">
        <v>2398</v>
      </c>
      <c r="F1108" s="152" t="s">
        <v>2705</v>
      </c>
      <c r="G1108" s="152" t="s">
        <v>2398</v>
      </c>
      <c r="H1108" s="152" t="s">
        <v>2705</v>
      </c>
      <c r="I1108" s="152" t="s">
        <v>2705</v>
      </c>
      <c r="J1108" s="152" t="s">
        <v>2705</v>
      </c>
      <c r="K1108" s="152" t="s">
        <v>2705</v>
      </c>
      <c r="L1108" s="152" t="s">
        <v>2398</v>
      </c>
      <c r="M1108" s="152" t="s">
        <v>2398</v>
      </c>
      <c r="N1108" s="152" t="s">
        <v>2705</v>
      </c>
      <c r="O1108" s="152" t="s">
        <v>2398</v>
      </c>
      <c r="P1108" s="152" t="s">
        <v>2398</v>
      </c>
      <c r="Q1108" s="152" t="s">
        <v>2705</v>
      </c>
      <c r="R1108" s="152" t="s">
        <v>2398</v>
      </c>
      <c r="S1108" s="152" t="s">
        <v>2705</v>
      </c>
      <c r="T1108" s="152" t="s">
        <v>2705</v>
      </c>
      <c r="U1108" s="152" t="s">
        <v>2675</v>
      </c>
    </row>
    <row r="1109" spans="1:21" s="142" customFormat="1" ht="12.75" customHeight="1" x14ac:dyDescent="0.2">
      <c r="A1109" s="151" t="s">
        <v>7871</v>
      </c>
      <c r="B1109" s="152" t="s">
        <v>2705</v>
      </c>
      <c r="C1109" s="152" t="s">
        <v>2398</v>
      </c>
      <c r="D1109" s="152" t="s">
        <v>2705</v>
      </c>
      <c r="E1109" s="152" t="s">
        <v>1435</v>
      </c>
      <c r="F1109" s="152" t="s">
        <v>2398</v>
      </c>
      <c r="G1109" s="152" t="s">
        <v>2705</v>
      </c>
      <c r="H1109" s="152" t="s">
        <v>2398</v>
      </c>
      <c r="I1109" s="152" t="s">
        <v>2398</v>
      </c>
      <c r="J1109" s="152" t="s">
        <v>2705</v>
      </c>
      <c r="K1109" s="152" t="s">
        <v>2705</v>
      </c>
      <c r="L1109" s="152" t="s">
        <v>2705</v>
      </c>
      <c r="M1109" s="152" t="s">
        <v>2398</v>
      </c>
      <c r="N1109" s="152" t="s">
        <v>2705</v>
      </c>
      <c r="O1109" s="152" t="s">
        <v>2398</v>
      </c>
      <c r="P1109" s="152" t="s">
        <v>2675</v>
      </c>
      <c r="Q1109" s="152" t="s">
        <v>1435</v>
      </c>
      <c r="R1109" s="152" t="s">
        <v>2705</v>
      </c>
      <c r="S1109" s="152" t="s">
        <v>2705</v>
      </c>
      <c r="T1109" s="152" t="s">
        <v>2705</v>
      </c>
      <c r="U1109" s="152" t="s">
        <v>2705</v>
      </c>
    </row>
    <row r="1110" spans="1:21" s="142" customFormat="1" ht="12.75" x14ac:dyDescent="0.2">
      <c r="A1110" s="151"/>
      <c r="B1110" s="152" t="s">
        <v>2705</v>
      </c>
      <c r="C1110" s="152" t="s">
        <v>2705</v>
      </c>
      <c r="D1110" s="152" t="s">
        <v>2675</v>
      </c>
      <c r="E1110" s="152" t="s">
        <v>1435</v>
      </c>
      <c r="F1110" s="152" t="s">
        <v>2398</v>
      </c>
      <c r="G1110" s="152" t="s">
        <v>2675</v>
      </c>
      <c r="H1110" s="152" t="s">
        <v>2705</v>
      </c>
      <c r="I1110" s="152" t="s">
        <v>2398</v>
      </c>
      <c r="J1110" s="152" t="s">
        <v>2705</v>
      </c>
      <c r="K1110" s="152" t="s">
        <v>2675</v>
      </c>
      <c r="L1110" s="152" t="s">
        <v>2705</v>
      </c>
      <c r="M1110" s="152" t="s">
        <v>2705</v>
      </c>
      <c r="N1110" s="152" t="s">
        <v>2398</v>
      </c>
      <c r="O1110" s="152" t="s">
        <v>2705</v>
      </c>
      <c r="P1110" s="152" t="s">
        <v>2398</v>
      </c>
      <c r="Q1110" s="152" t="s">
        <v>1435</v>
      </c>
      <c r="R1110" s="152" t="s">
        <v>2398</v>
      </c>
      <c r="S1110" s="152" t="s">
        <v>1435</v>
      </c>
      <c r="T1110" s="152" t="s">
        <v>2705</v>
      </c>
      <c r="U1110" s="152" t="s">
        <v>2398</v>
      </c>
    </row>
    <row r="1111" spans="1:21" s="142" customFormat="1" ht="12.75" customHeight="1" x14ac:dyDescent="0.2">
      <c r="A1111" s="151" t="s">
        <v>7872</v>
      </c>
      <c r="B1111" s="152" t="s">
        <v>2398</v>
      </c>
      <c r="C1111" s="152" t="s">
        <v>2705</v>
      </c>
      <c r="D1111" s="152" t="s">
        <v>2398</v>
      </c>
      <c r="E1111" s="152" t="s">
        <v>2705</v>
      </c>
      <c r="F1111" s="152" t="s">
        <v>2398</v>
      </c>
      <c r="G1111" s="152" t="s">
        <v>2705</v>
      </c>
      <c r="H1111" s="152" t="s">
        <v>2398</v>
      </c>
      <c r="I1111" s="152" t="s">
        <v>2675</v>
      </c>
      <c r="J1111" s="152" t="s">
        <v>2398</v>
      </c>
      <c r="K1111" s="152" t="s">
        <v>2397</v>
      </c>
      <c r="L1111" s="152" t="s">
        <v>1435</v>
      </c>
      <c r="M1111" s="152" t="s">
        <v>2705</v>
      </c>
      <c r="N1111" s="152" t="s">
        <v>2398</v>
      </c>
      <c r="O1111" s="152" t="s">
        <v>2705</v>
      </c>
      <c r="P1111" s="152" t="s">
        <v>2705</v>
      </c>
      <c r="Q1111" s="152" t="s">
        <v>2705</v>
      </c>
      <c r="R1111" s="152" t="s">
        <v>2705</v>
      </c>
      <c r="S1111" s="152" t="s">
        <v>2675</v>
      </c>
      <c r="T1111" s="152" t="s">
        <v>2705</v>
      </c>
      <c r="U1111" s="152" t="s">
        <v>2397</v>
      </c>
    </row>
    <row r="1112" spans="1:21" s="142" customFormat="1" ht="12.75" x14ac:dyDescent="0.2">
      <c r="A1112" s="151"/>
      <c r="B1112" s="152" t="s">
        <v>2675</v>
      </c>
      <c r="C1112" s="152" t="s">
        <v>2398</v>
      </c>
      <c r="D1112" s="152" t="s">
        <v>2675</v>
      </c>
      <c r="E1112" s="152" t="s">
        <v>2398</v>
      </c>
      <c r="F1112" s="152" t="s">
        <v>2705</v>
      </c>
      <c r="G1112" s="152" t="s">
        <v>2705</v>
      </c>
      <c r="H1112" s="152" t="s">
        <v>2397</v>
      </c>
      <c r="I1112" s="152" t="s">
        <v>2398</v>
      </c>
      <c r="J1112" s="152" t="s">
        <v>2398</v>
      </c>
      <c r="K1112" s="152" t="s">
        <v>2398</v>
      </c>
      <c r="L1112" s="152" t="s">
        <v>2398</v>
      </c>
      <c r="M1112" s="152" t="s">
        <v>2398</v>
      </c>
      <c r="N1112" s="152" t="s">
        <v>2705</v>
      </c>
      <c r="O1112" s="152" t="s">
        <v>2398</v>
      </c>
      <c r="P1112" s="152" t="s">
        <v>2398</v>
      </c>
      <c r="Q1112" s="152" t="s">
        <v>2398</v>
      </c>
      <c r="R1112" s="152" t="s">
        <v>2705</v>
      </c>
      <c r="S1112" s="152" t="s">
        <v>2705</v>
      </c>
      <c r="T1112" s="152" t="s">
        <v>2398</v>
      </c>
      <c r="U1112" s="152" t="s">
        <v>2705</v>
      </c>
    </row>
    <row r="1113" spans="1:21" s="142" customFormat="1" ht="12.75" customHeight="1" x14ac:dyDescent="0.2">
      <c r="A1113" s="151" t="s">
        <v>7873</v>
      </c>
      <c r="B1113" s="152" t="s">
        <v>2705</v>
      </c>
      <c r="C1113" s="152" t="s">
        <v>2705</v>
      </c>
      <c r="D1113" s="152" t="s">
        <v>2705</v>
      </c>
      <c r="E1113" s="152" t="s">
        <v>2398</v>
      </c>
      <c r="F1113" s="152" t="s">
        <v>2705</v>
      </c>
      <c r="G1113" s="152" t="s">
        <v>2398</v>
      </c>
      <c r="H1113" s="152" t="s">
        <v>2705</v>
      </c>
      <c r="I1113" s="152" t="s">
        <v>2398</v>
      </c>
      <c r="J1113" s="152" t="s">
        <v>2398</v>
      </c>
      <c r="K1113" s="152" t="s">
        <v>2398</v>
      </c>
      <c r="L1113" s="152" t="s">
        <v>2705</v>
      </c>
      <c r="M1113" s="152" t="s">
        <v>2705</v>
      </c>
      <c r="N1113" s="152" t="s">
        <v>2705</v>
      </c>
      <c r="O1113" s="152" t="s">
        <v>2398</v>
      </c>
      <c r="P1113" s="152" t="s">
        <v>2705</v>
      </c>
      <c r="Q1113" s="152" t="s">
        <v>2398</v>
      </c>
      <c r="R1113" s="152" t="s">
        <v>2705</v>
      </c>
      <c r="S1113" s="152" t="s">
        <v>2705</v>
      </c>
      <c r="T1113" s="152" t="s">
        <v>2705</v>
      </c>
      <c r="U1113" s="152" t="s">
        <v>2675</v>
      </c>
    </row>
    <row r="1114" spans="1:21" s="142" customFormat="1" ht="12.75" x14ac:dyDescent="0.2">
      <c r="A1114" s="151"/>
      <c r="B1114" s="152" t="s">
        <v>2398</v>
      </c>
      <c r="C1114" s="152" t="s">
        <v>2398</v>
      </c>
      <c r="D1114" s="152" t="s">
        <v>2705</v>
      </c>
      <c r="E1114" s="152" t="s">
        <v>2705</v>
      </c>
      <c r="F1114" s="152" t="s">
        <v>2398</v>
      </c>
      <c r="G1114" s="152" t="s">
        <v>2675</v>
      </c>
      <c r="H1114" s="152" t="s">
        <v>2398</v>
      </c>
      <c r="I1114" s="152" t="s">
        <v>2398</v>
      </c>
      <c r="J1114" s="152" t="s">
        <v>2705</v>
      </c>
      <c r="K1114" s="152" t="s">
        <v>2398</v>
      </c>
      <c r="L1114" s="152" t="s">
        <v>2705</v>
      </c>
      <c r="M1114" s="152" t="s">
        <v>2398</v>
      </c>
      <c r="N1114" s="152" t="s">
        <v>2398</v>
      </c>
      <c r="O1114" s="152" t="s">
        <v>2705</v>
      </c>
      <c r="P1114" s="152" t="s">
        <v>2705</v>
      </c>
      <c r="Q1114" s="152" t="s">
        <v>2705</v>
      </c>
      <c r="R1114" s="152" t="s">
        <v>2705</v>
      </c>
      <c r="S1114" s="152" t="s">
        <v>2705</v>
      </c>
      <c r="T1114" s="152" t="s">
        <v>2398</v>
      </c>
      <c r="U1114" s="152" t="s">
        <v>2705</v>
      </c>
    </row>
    <row r="1115" spans="1:21" s="142" customFormat="1" ht="12.75" customHeight="1" x14ac:dyDescent="0.2">
      <c r="A1115" s="151" t="s">
        <v>7874</v>
      </c>
      <c r="B1115" s="152" t="s">
        <v>2705</v>
      </c>
      <c r="C1115" s="152" t="s">
        <v>1435</v>
      </c>
      <c r="D1115" s="152" t="s">
        <v>2705</v>
      </c>
      <c r="E1115" s="152" t="s">
        <v>2705</v>
      </c>
      <c r="F1115" s="152" t="s">
        <v>2398</v>
      </c>
      <c r="G1115" s="152" t="s">
        <v>1435</v>
      </c>
      <c r="H1115" s="152" t="s">
        <v>2705</v>
      </c>
      <c r="I1115" s="152" t="s">
        <v>2398</v>
      </c>
      <c r="J1115" s="152" t="s">
        <v>2675</v>
      </c>
      <c r="K1115" s="152" t="s">
        <v>2398</v>
      </c>
      <c r="L1115" s="152" t="s">
        <v>2398</v>
      </c>
      <c r="M1115" s="152" t="s">
        <v>2705</v>
      </c>
      <c r="N1115" s="152" t="s">
        <v>2705</v>
      </c>
      <c r="O1115" s="152" t="s">
        <v>2398</v>
      </c>
      <c r="P1115" s="152" t="s">
        <v>2675</v>
      </c>
      <c r="Q1115" s="152" t="s">
        <v>2705</v>
      </c>
      <c r="R1115" s="152" t="s">
        <v>2398</v>
      </c>
      <c r="S1115" s="152" t="s">
        <v>2398</v>
      </c>
      <c r="T1115" s="152" t="s">
        <v>2705</v>
      </c>
      <c r="U1115" s="152" t="s">
        <v>2398</v>
      </c>
    </row>
    <row r="1116" spans="1:21" s="142" customFormat="1" ht="12.75" x14ac:dyDescent="0.2">
      <c r="A1116" s="151"/>
      <c r="B1116" s="152" t="s">
        <v>2398</v>
      </c>
      <c r="C1116" s="152" t="s">
        <v>2398</v>
      </c>
      <c r="D1116" s="152" t="s">
        <v>2705</v>
      </c>
      <c r="E1116" s="152" t="s">
        <v>2675</v>
      </c>
      <c r="F1116" s="152" t="s">
        <v>2705</v>
      </c>
      <c r="G1116" s="152" t="s">
        <v>2675</v>
      </c>
      <c r="H1116" s="152" t="s">
        <v>2675</v>
      </c>
      <c r="I1116" s="152" t="s">
        <v>2397</v>
      </c>
      <c r="J1116" s="152" t="s">
        <v>2398</v>
      </c>
      <c r="K1116" s="152" t="s">
        <v>2705</v>
      </c>
      <c r="L1116" s="152" t="s">
        <v>2398</v>
      </c>
      <c r="M1116" s="152" t="s">
        <v>2398</v>
      </c>
      <c r="N1116" s="152" t="s">
        <v>2397</v>
      </c>
      <c r="O1116" s="152" t="s">
        <v>2705</v>
      </c>
      <c r="P1116" s="152" t="s">
        <v>2398</v>
      </c>
      <c r="Q1116" s="152" t="s">
        <v>2398</v>
      </c>
      <c r="R1116" s="152" t="s">
        <v>2398</v>
      </c>
      <c r="S1116" s="152" t="s">
        <v>2705</v>
      </c>
      <c r="T1116" s="152" t="s">
        <v>2705</v>
      </c>
      <c r="U1116" s="152" t="s">
        <v>2398</v>
      </c>
    </row>
    <row r="1117" spans="1:21" s="142" customFormat="1" ht="12.75" customHeight="1" x14ac:dyDescent="0.2">
      <c r="A1117" s="151" t="s">
        <v>7875</v>
      </c>
      <c r="B1117" s="152" t="s">
        <v>2705</v>
      </c>
      <c r="C1117" s="152" t="s">
        <v>2705</v>
      </c>
      <c r="D1117" s="152" t="s">
        <v>2705</v>
      </c>
      <c r="E1117" s="152" t="s">
        <v>2398</v>
      </c>
      <c r="F1117" s="152" t="s">
        <v>2705</v>
      </c>
      <c r="G1117" s="152" t="s">
        <v>2398</v>
      </c>
      <c r="H1117" s="152" t="s">
        <v>2705</v>
      </c>
      <c r="I1117" s="152" t="s">
        <v>2705</v>
      </c>
      <c r="J1117" s="152" t="s">
        <v>2398</v>
      </c>
      <c r="K1117" s="152" t="s">
        <v>2705</v>
      </c>
      <c r="L1117" s="152" t="s">
        <v>2705</v>
      </c>
      <c r="M1117" s="152" t="s">
        <v>2705</v>
      </c>
      <c r="N1117" s="152" t="s">
        <v>2705</v>
      </c>
      <c r="O1117" s="152" t="s">
        <v>2398</v>
      </c>
      <c r="P1117" s="152" t="s">
        <v>2705</v>
      </c>
      <c r="Q1117" s="152" t="s">
        <v>2398</v>
      </c>
      <c r="R1117" s="152" t="s">
        <v>2397</v>
      </c>
      <c r="S1117" s="152" t="s">
        <v>2705</v>
      </c>
      <c r="T1117" s="152" t="s">
        <v>2398</v>
      </c>
      <c r="U1117" s="152" t="s">
        <v>2705</v>
      </c>
    </row>
    <row r="1118" spans="1:21" s="142" customFormat="1" ht="12.75" x14ac:dyDescent="0.2">
      <c r="A1118" s="151"/>
      <c r="B1118" s="152" t="s">
        <v>2398</v>
      </c>
      <c r="C1118" s="152" t="s">
        <v>2705</v>
      </c>
      <c r="D1118" s="152" t="s">
        <v>2705</v>
      </c>
      <c r="E1118" s="152" t="s">
        <v>2705</v>
      </c>
      <c r="F1118" s="152" t="s">
        <v>2705</v>
      </c>
      <c r="G1118" s="152" t="s">
        <v>2398</v>
      </c>
      <c r="H1118" s="152" t="s">
        <v>2705</v>
      </c>
      <c r="I1118" s="152" t="s">
        <v>2705</v>
      </c>
      <c r="J1118" s="152" t="s">
        <v>2398</v>
      </c>
      <c r="K1118" s="152" t="s">
        <v>2398</v>
      </c>
      <c r="L1118" s="152" t="s">
        <v>2705</v>
      </c>
      <c r="M1118" s="152" t="s">
        <v>2398</v>
      </c>
      <c r="N1118" s="152" t="s">
        <v>2398</v>
      </c>
      <c r="O1118" s="152" t="s">
        <v>2705</v>
      </c>
      <c r="P1118" s="152" t="s">
        <v>2398</v>
      </c>
      <c r="Q1118" s="152" t="s">
        <v>2705</v>
      </c>
      <c r="R1118" s="152" t="s">
        <v>2705</v>
      </c>
      <c r="S1118" s="152" t="s">
        <v>2705</v>
      </c>
      <c r="T1118" s="152" t="s">
        <v>2398</v>
      </c>
      <c r="U1118" s="152" t="s">
        <v>2705</v>
      </c>
    </row>
    <row r="1119" spans="1:21" s="142" customFormat="1" ht="12.75" customHeight="1" x14ac:dyDescent="0.2">
      <c r="A1119" s="151" t="s">
        <v>7876</v>
      </c>
      <c r="B1119" s="152" t="s">
        <v>2705</v>
      </c>
      <c r="C1119" s="152" t="s">
        <v>2705</v>
      </c>
      <c r="D1119" s="152" t="s">
        <v>2705</v>
      </c>
      <c r="E1119" s="152" t="s">
        <v>2705</v>
      </c>
      <c r="F1119" s="152" t="s">
        <v>2705</v>
      </c>
      <c r="G1119" s="152" t="s">
        <v>2705</v>
      </c>
      <c r="H1119" s="152" t="s">
        <v>2705</v>
      </c>
      <c r="I1119" s="152" t="s">
        <v>2705</v>
      </c>
      <c r="J1119" s="152" t="s">
        <v>2398</v>
      </c>
      <c r="K1119" s="152" t="s">
        <v>1435</v>
      </c>
      <c r="L1119" s="152" t="s">
        <v>2705</v>
      </c>
      <c r="M1119" s="152" t="s">
        <v>2705</v>
      </c>
      <c r="N1119" s="152" t="s">
        <v>2398</v>
      </c>
      <c r="O1119" s="152" t="s">
        <v>2397</v>
      </c>
      <c r="P1119" s="152" t="s">
        <v>2398</v>
      </c>
      <c r="Q1119" s="152" t="s">
        <v>2397</v>
      </c>
      <c r="R1119" s="152" t="s">
        <v>2675</v>
      </c>
      <c r="S1119" s="152" t="s">
        <v>2398</v>
      </c>
      <c r="T1119" s="152" t="s">
        <v>2398</v>
      </c>
      <c r="U1119" s="152" t="s">
        <v>2398</v>
      </c>
    </row>
    <row r="1120" spans="1:21" s="142" customFormat="1" ht="12.75" x14ac:dyDescent="0.2">
      <c r="A1120" s="151"/>
      <c r="B1120" s="152" t="s">
        <v>2705</v>
      </c>
      <c r="C1120" s="152" t="s">
        <v>2398</v>
      </c>
      <c r="D1120" s="152" t="s">
        <v>2675</v>
      </c>
      <c r="E1120" s="152" t="s">
        <v>1435</v>
      </c>
      <c r="F1120" s="152" t="s">
        <v>2705</v>
      </c>
      <c r="G1120" s="152" t="s">
        <v>2398</v>
      </c>
      <c r="H1120" s="152" t="s">
        <v>2398</v>
      </c>
      <c r="I1120" s="152" t="s">
        <v>2705</v>
      </c>
      <c r="J1120" s="152" t="s">
        <v>2705</v>
      </c>
      <c r="K1120" s="152" t="s">
        <v>2705</v>
      </c>
      <c r="L1120" s="152" t="s">
        <v>2397</v>
      </c>
      <c r="M1120" s="152" t="s">
        <v>2705</v>
      </c>
      <c r="N1120" s="152" t="s">
        <v>2398</v>
      </c>
      <c r="O1120" s="152" t="s">
        <v>2705</v>
      </c>
      <c r="P1120" s="152" t="s">
        <v>2398</v>
      </c>
      <c r="Q1120" s="152" t="s">
        <v>2398</v>
      </c>
      <c r="R1120" s="152" t="s">
        <v>2398</v>
      </c>
      <c r="S1120" s="152" t="s">
        <v>2705</v>
      </c>
      <c r="T1120" s="152" t="s">
        <v>2705</v>
      </c>
      <c r="U1120" s="152" t="s">
        <v>2705</v>
      </c>
    </row>
    <row r="1121" spans="1:21" s="142" customFormat="1" ht="12.75" customHeight="1" x14ac:dyDescent="0.2">
      <c r="A1121" s="151" t="s">
        <v>7877</v>
      </c>
      <c r="B1121" s="152" t="s">
        <v>2398</v>
      </c>
      <c r="C1121" s="152" t="s">
        <v>2398</v>
      </c>
      <c r="D1121" s="152" t="s">
        <v>2398</v>
      </c>
      <c r="E1121" s="152" t="s">
        <v>2398</v>
      </c>
      <c r="F1121" s="152" t="s">
        <v>2675</v>
      </c>
      <c r="G1121" s="152" t="s">
        <v>2705</v>
      </c>
      <c r="H1121" s="152" t="s">
        <v>2705</v>
      </c>
      <c r="I1121" s="152" t="s">
        <v>2675</v>
      </c>
      <c r="J1121" s="152" t="s">
        <v>1435</v>
      </c>
      <c r="K1121" s="152" t="s">
        <v>2398</v>
      </c>
      <c r="L1121" s="152" t="s">
        <v>1435</v>
      </c>
      <c r="M1121" s="152" t="s">
        <v>1435</v>
      </c>
      <c r="N1121" s="152" t="s">
        <v>2398</v>
      </c>
      <c r="O1121" s="152" t="s">
        <v>2705</v>
      </c>
      <c r="P1121" s="152" t="s">
        <v>2705</v>
      </c>
      <c r="Q1121" s="152" t="s">
        <v>2705</v>
      </c>
      <c r="R1121" s="152" t="s">
        <v>1435</v>
      </c>
      <c r="S1121" s="152" t="s">
        <v>2675</v>
      </c>
      <c r="T1121" s="152" t="s">
        <v>2397</v>
      </c>
      <c r="U1121" s="152" t="s">
        <v>2675</v>
      </c>
    </row>
    <row r="1122" spans="1:21" s="142" customFormat="1" ht="12.75" x14ac:dyDescent="0.2">
      <c r="A1122" s="151"/>
      <c r="B1122" s="152" t="s">
        <v>2705</v>
      </c>
      <c r="C1122" s="152" t="s">
        <v>2398</v>
      </c>
      <c r="D1122" s="152" t="s">
        <v>2398</v>
      </c>
      <c r="E1122" s="152" t="s">
        <v>2398</v>
      </c>
      <c r="F1122" s="152" t="s">
        <v>2705</v>
      </c>
      <c r="G1122" s="152" t="s">
        <v>2705</v>
      </c>
      <c r="H1122" s="152" t="s">
        <v>2705</v>
      </c>
      <c r="I1122" s="152" t="s">
        <v>2398</v>
      </c>
      <c r="J1122" s="152" t="s">
        <v>1435</v>
      </c>
      <c r="K1122" s="152" t="s">
        <v>2705</v>
      </c>
      <c r="L1122" s="152" t="s">
        <v>2705</v>
      </c>
      <c r="M1122" s="152" t="s">
        <v>2398</v>
      </c>
      <c r="N1122" s="152" t="s">
        <v>2705</v>
      </c>
      <c r="O1122" s="152" t="s">
        <v>2705</v>
      </c>
      <c r="P1122" s="152" t="s">
        <v>2675</v>
      </c>
      <c r="Q1122" s="152" t="s">
        <v>1435</v>
      </c>
      <c r="R1122" s="152" t="s">
        <v>2398</v>
      </c>
      <c r="S1122" s="152" t="s">
        <v>2705</v>
      </c>
      <c r="T1122" s="152" t="s">
        <v>2705</v>
      </c>
      <c r="U1122" s="152" t="s">
        <v>2398</v>
      </c>
    </row>
    <row r="1123" spans="1:21" s="142" customFormat="1" ht="12.75" customHeight="1" x14ac:dyDescent="0.2">
      <c r="A1123" s="151" t="s">
        <v>7878</v>
      </c>
      <c r="B1123" s="152" t="s">
        <v>2705</v>
      </c>
      <c r="C1123" s="152" t="s">
        <v>2705</v>
      </c>
      <c r="D1123" s="152" t="s">
        <v>2705</v>
      </c>
      <c r="E1123" s="152" t="s">
        <v>2705</v>
      </c>
      <c r="F1123" s="152" t="s">
        <v>2705</v>
      </c>
      <c r="G1123" s="152" t="s">
        <v>2705</v>
      </c>
      <c r="H1123" s="152" t="s">
        <v>2705</v>
      </c>
      <c r="I1123" s="152" t="s">
        <v>2705</v>
      </c>
      <c r="J1123" s="152" t="s">
        <v>2705</v>
      </c>
      <c r="K1123" s="152" t="s">
        <v>2705</v>
      </c>
      <c r="L1123" s="152" t="s">
        <v>2705</v>
      </c>
      <c r="M1123" s="152" t="s">
        <v>2705</v>
      </c>
      <c r="N1123" s="152" t="s">
        <v>2705</v>
      </c>
      <c r="O1123" s="152" t="s">
        <v>2705</v>
      </c>
      <c r="P1123" s="152" t="s">
        <v>2675</v>
      </c>
      <c r="Q1123" s="152" t="s">
        <v>2398</v>
      </c>
      <c r="R1123" s="152" t="s">
        <v>2705</v>
      </c>
      <c r="S1123" s="152" t="s">
        <v>2705</v>
      </c>
      <c r="T1123" s="152" t="s">
        <v>2705</v>
      </c>
      <c r="U1123" s="152" t="s">
        <v>2705</v>
      </c>
    </row>
    <row r="1124" spans="1:21" s="142" customFormat="1" ht="12.75" x14ac:dyDescent="0.2">
      <c r="A1124" s="151"/>
      <c r="B1124" s="152" t="s">
        <v>2705</v>
      </c>
      <c r="C1124" s="152" t="s">
        <v>2705</v>
      </c>
      <c r="D1124" s="152" t="s">
        <v>2705</v>
      </c>
      <c r="E1124" s="152" t="s">
        <v>2705</v>
      </c>
      <c r="F1124" s="152" t="s">
        <v>2705</v>
      </c>
      <c r="G1124" s="152" t="s">
        <v>2705</v>
      </c>
      <c r="H1124" s="152" t="s">
        <v>2705</v>
      </c>
      <c r="I1124" s="152" t="s">
        <v>2705</v>
      </c>
      <c r="J1124" s="152" t="s">
        <v>2705</v>
      </c>
      <c r="K1124" s="152" t="s">
        <v>2705</v>
      </c>
      <c r="L1124" s="152" t="s">
        <v>2397</v>
      </c>
      <c r="M1124" s="152" t="s">
        <v>2675</v>
      </c>
      <c r="N1124" s="152" t="s">
        <v>2705</v>
      </c>
      <c r="O1124" s="152" t="s">
        <v>2705</v>
      </c>
      <c r="P1124" s="152" t="s">
        <v>2705</v>
      </c>
      <c r="Q1124" s="152" t="s">
        <v>2705</v>
      </c>
      <c r="R1124" s="152" t="s">
        <v>2397</v>
      </c>
      <c r="S1124" s="152" t="s">
        <v>2398</v>
      </c>
      <c r="T1124" s="152" t="s">
        <v>2397</v>
      </c>
      <c r="U1124" s="152" t="s">
        <v>2397</v>
      </c>
    </row>
    <row r="1125" spans="1:21" s="142" customFormat="1" ht="12.75" customHeight="1" x14ac:dyDescent="0.2">
      <c r="A1125" s="151" t="s">
        <v>7879</v>
      </c>
      <c r="B1125" s="152" t="s">
        <v>2705</v>
      </c>
      <c r="C1125" s="152" t="s">
        <v>2398</v>
      </c>
      <c r="D1125" s="152" t="s">
        <v>2398</v>
      </c>
      <c r="E1125" s="152" t="s">
        <v>2398</v>
      </c>
      <c r="F1125" s="152" t="s">
        <v>2705</v>
      </c>
      <c r="G1125" s="152" t="s">
        <v>2705</v>
      </c>
      <c r="H1125" s="152" t="s">
        <v>2398</v>
      </c>
      <c r="I1125" s="152" t="s">
        <v>2675</v>
      </c>
      <c r="J1125" s="152" t="s">
        <v>2705</v>
      </c>
      <c r="K1125" s="152" t="s">
        <v>2705</v>
      </c>
      <c r="L1125" s="152" t="s">
        <v>2705</v>
      </c>
      <c r="M1125" s="152" t="s">
        <v>2398</v>
      </c>
      <c r="N1125" s="152" t="s">
        <v>2705</v>
      </c>
      <c r="O1125" s="152" t="s">
        <v>2705</v>
      </c>
      <c r="P1125" s="152" t="s">
        <v>2675</v>
      </c>
      <c r="Q1125" s="152" t="s">
        <v>2398</v>
      </c>
      <c r="R1125" s="152" t="s">
        <v>2398</v>
      </c>
      <c r="S1125" s="152" t="s">
        <v>2398</v>
      </c>
      <c r="T1125" s="152" t="s">
        <v>2705</v>
      </c>
      <c r="U1125" s="152" t="s">
        <v>2398</v>
      </c>
    </row>
    <row r="1126" spans="1:21" s="142" customFormat="1" ht="12.75" x14ac:dyDescent="0.2">
      <c r="A1126" s="151"/>
      <c r="B1126" s="152" t="s">
        <v>2705</v>
      </c>
      <c r="C1126" s="152" t="s">
        <v>2675</v>
      </c>
      <c r="D1126" s="152" t="s">
        <v>2705</v>
      </c>
      <c r="E1126" s="152" t="s">
        <v>2398</v>
      </c>
      <c r="F1126" s="152" t="s">
        <v>2705</v>
      </c>
      <c r="G1126" s="152" t="s">
        <v>2398</v>
      </c>
      <c r="H1126" s="152" t="s">
        <v>2398</v>
      </c>
      <c r="I1126" s="152" t="s">
        <v>2705</v>
      </c>
      <c r="J1126" s="152" t="s">
        <v>2398</v>
      </c>
      <c r="K1126" s="152" t="s">
        <v>2398</v>
      </c>
      <c r="L1126" s="152" t="s">
        <v>1435</v>
      </c>
      <c r="M1126" s="152" t="s">
        <v>2398</v>
      </c>
      <c r="N1126" s="152" t="s">
        <v>2398</v>
      </c>
      <c r="O1126" s="152" t="s">
        <v>2705</v>
      </c>
      <c r="P1126" s="152" t="s">
        <v>2675</v>
      </c>
      <c r="Q1126" s="152" t="s">
        <v>2705</v>
      </c>
      <c r="R1126" s="152" t="s">
        <v>2398</v>
      </c>
      <c r="S1126" s="152" t="s">
        <v>2398</v>
      </c>
      <c r="T1126" s="152" t="s">
        <v>2705</v>
      </c>
      <c r="U1126" s="152" t="s">
        <v>2398</v>
      </c>
    </row>
    <row r="1127" spans="1:21" s="142" customFormat="1" ht="12.75" customHeight="1" x14ac:dyDescent="0.2">
      <c r="A1127" s="151" t="s">
        <v>7880</v>
      </c>
      <c r="B1127" s="152" t="s">
        <v>2705</v>
      </c>
      <c r="C1127" s="152" t="s">
        <v>2705</v>
      </c>
      <c r="D1127" s="152" t="s">
        <v>2398</v>
      </c>
      <c r="E1127" s="152" t="s">
        <v>2705</v>
      </c>
      <c r="F1127" s="152" t="s">
        <v>2705</v>
      </c>
      <c r="G1127" s="152" t="s">
        <v>2705</v>
      </c>
      <c r="H1127" s="152" t="s">
        <v>2705</v>
      </c>
      <c r="I1127" s="152" t="s">
        <v>2398</v>
      </c>
      <c r="J1127" s="152" t="s">
        <v>2705</v>
      </c>
      <c r="K1127" s="152" t="s">
        <v>2705</v>
      </c>
      <c r="L1127" s="152" t="s">
        <v>2705</v>
      </c>
      <c r="M1127" s="152" t="s">
        <v>2705</v>
      </c>
      <c r="N1127" s="152" t="s">
        <v>2705</v>
      </c>
      <c r="O1127" s="152" t="s">
        <v>2398</v>
      </c>
      <c r="P1127" s="152" t="s">
        <v>2398</v>
      </c>
      <c r="Q1127" s="152" t="s">
        <v>2675</v>
      </c>
      <c r="R1127" s="152" t="s">
        <v>2398</v>
      </c>
      <c r="S1127" s="152" t="s">
        <v>2398</v>
      </c>
      <c r="T1127" s="152" t="s">
        <v>2705</v>
      </c>
      <c r="U1127" s="152" t="s">
        <v>2398</v>
      </c>
    </row>
    <row r="1128" spans="1:21" s="142" customFormat="1" ht="12.75" x14ac:dyDescent="0.2">
      <c r="A1128" s="151"/>
      <c r="B1128" s="152" t="s">
        <v>2705</v>
      </c>
      <c r="C1128" s="152" t="s">
        <v>2398</v>
      </c>
      <c r="D1128" s="152" t="s">
        <v>2705</v>
      </c>
      <c r="E1128" s="152" t="s">
        <v>2398</v>
      </c>
      <c r="F1128" s="152" t="s">
        <v>2705</v>
      </c>
      <c r="G1128" s="152" t="s">
        <v>2398</v>
      </c>
      <c r="H1128" s="152" t="s">
        <v>2398</v>
      </c>
      <c r="I1128" s="152" t="s">
        <v>2705</v>
      </c>
      <c r="J1128" s="152" t="s">
        <v>2705</v>
      </c>
      <c r="K1128" s="152" t="s">
        <v>2705</v>
      </c>
      <c r="L1128" s="152" t="s">
        <v>2398</v>
      </c>
      <c r="M1128" s="152" t="s">
        <v>2675</v>
      </c>
      <c r="N1128" s="152" t="s">
        <v>2705</v>
      </c>
      <c r="O1128" s="152" t="s">
        <v>2398</v>
      </c>
      <c r="P1128" s="152" t="s">
        <v>2675</v>
      </c>
      <c r="Q1128" s="152" t="s">
        <v>2705</v>
      </c>
      <c r="R1128" s="152" t="s">
        <v>1435</v>
      </c>
      <c r="S1128" s="152" t="s">
        <v>2397</v>
      </c>
      <c r="T1128" s="152" t="s">
        <v>2705</v>
      </c>
      <c r="U1128" s="152" t="s">
        <v>2705</v>
      </c>
    </row>
    <row r="1129" spans="1:21" s="142" customFormat="1" ht="12.75" customHeight="1" x14ac:dyDescent="0.2">
      <c r="A1129" s="151" t="s">
        <v>7881</v>
      </c>
      <c r="B1129" s="152" t="s">
        <v>2705</v>
      </c>
      <c r="C1129" s="152" t="s">
        <v>2398</v>
      </c>
      <c r="D1129" s="152" t="s">
        <v>2398</v>
      </c>
      <c r="E1129" s="152" t="s">
        <v>1435</v>
      </c>
      <c r="F1129" s="152" t="s">
        <v>2398</v>
      </c>
      <c r="G1129" s="152" t="s">
        <v>2705</v>
      </c>
      <c r="H1129" s="152" t="s">
        <v>2705</v>
      </c>
      <c r="I1129" s="152" t="s">
        <v>2397</v>
      </c>
      <c r="J1129" s="152" t="s">
        <v>2705</v>
      </c>
      <c r="K1129" s="152" t="s">
        <v>2398</v>
      </c>
      <c r="L1129" s="152" t="s">
        <v>2398</v>
      </c>
      <c r="M1129" s="152" t="s">
        <v>2705</v>
      </c>
      <c r="N1129" s="152" t="s">
        <v>2398</v>
      </c>
      <c r="O1129" s="152" t="s">
        <v>2398</v>
      </c>
      <c r="P1129" s="152" t="s">
        <v>2705</v>
      </c>
      <c r="Q1129" s="152" t="s">
        <v>2705</v>
      </c>
      <c r="R1129" s="152" t="s">
        <v>1435</v>
      </c>
      <c r="S1129" s="152" t="s">
        <v>2705</v>
      </c>
      <c r="T1129" s="152" t="s">
        <v>1435</v>
      </c>
      <c r="U1129" s="152" t="s">
        <v>2705</v>
      </c>
    </row>
    <row r="1130" spans="1:21" s="142" customFormat="1" ht="12.75" x14ac:dyDescent="0.2">
      <c r="A1130" s="151"/>
      <c r="B1130" s="152" t="s">
        <v>2705</v>
      </c>
      <c r="C1130" s="152" t="s">
        <v>2675</v>
      </c>
      <c r="D1130" s="152" t="s">
        <v>2705</v>
      </c>
      <c r="E1130" s="152" t="s">
        <v>2705</v>
      </c>
      <c r="F1130" s="152" t="s">
        <v>2705</v>
      </c>
      <c r="G1130" s="152" t="s">
        <v>2705</v>
      </c>
      <c r="H1130" s="152" t="s">
        <v>2705</v>
      </c>
      <c r="I1130" s="152" t="s">
        <v>2705</v>
      </c>
      <c r="J1130" s="152" t="s">
        <v>2398</v>
      </c>
      <c r="K1130" s="152" t="s">
        <v>2398</v>
      </c>
      <c r="L1130" s="152" t="s">
        <v>2675</v>
      </c>
      <c r="M1130" s="152" t="s">
        <v>2398</v>
      </c>
      <c r="N1130" s="152" t="s">
        <v>2705</v>
      </c>
      <c r="O1130" s="152" t="s">
        <v>2398</v>
      </c>
      <c r="P1130" s="152" t="s">
        <v>2705</v>
      </c>
      <c r="Q1130" s="152" t="s">
        <v>2705</v>
      </c>
      <c r="R1130" s="152" t="s">
        <v>2705</v>
      </c>
      <c r="S1130" s="152" t="s">
        <v>2705</v>
      </c>
      <c r="T1130" s="152" t="s">
        <v>2398</v>
      </c>
      <c r="U1130" s="152" t="s">
        <v>2398</v>
      </c>
    </row>
    <row r="1131" spans="1:21" s="142" customFormat="1" ht="12.75" customHeight="1" x14ac:dyDescent="0.2">
      <c r="A1131" s="151" t="s">
        <v>7882</v>
      </c>
      <c r="B1131" s="152" t="s">
        <v>2705</v>
      </c>
      <c r="C1131" s="152" t="s">
        <v>2398</v>
      </c>
      <c r="D1131" s="152" t="s">
        <v>2675</v>
      </c>
      <c r="E1131" s="152" t="s">
        <v>2705</v>
      </c>
      <c r="F1131" s="152" t="s">
        <v>1435</v>
      </c>
      <c r="G1131" s="152" t="s">
        <v>2705</v>
      </c>
      <c r="H1131" s="152" t="s">
        <v>2675</v>
      </c>
      <c r="I1131" s="152" t="s">
        <v>2675</v>
      </c>
      <c r="J1131" s="152" t="s">
        <v>2705</v>
      </c>
      <c r="K1131" s="152" t="s">
        <v>2705</v>
      </c>
      <c r="L1131" s="152" t="s">
        <v>1435</v>
      </c>
      <c r="M1131" s="152" t="s">
        <v>2705</v>
      </c>
      <c r="N1131" s="152" t="s">
        <v>2705</v>
      </c>
      <c r="O1131" s="152" t="s">
        <v>2705</v>
      </c>
      <c r="P1131" s="152" t="s">
        <v>2705</v>
      </c>
      <c r="Q1131" s="152" t="s">
        <v>1435</v>
      </c>
      <c r="R1131" s="152" t="s">
        <v>2705</v>
      </c>
      <c r="S1131" s="152" t="s">
        <v>2705</v>
      </c>
      <c r="T1131" s="152" t="s">
        <v>1435</v>
      </c>
      <c r="U1131" s="152" t="s">
        <v>2398</v>
      </c>
    </row>
    <row r="1132" spans="1:21" s="142" customFormat="1" ht="12.75" x14ac:dyDescent="0.2">
      <c r="A1132" s="151"/>
      <c r="B1132" s="152" t="s">
        <v>1435</v>
      </c>
      <c r="C1132" s="152" t="s">
        <v>2705</v>
      </c>
      <c r="D1132" s="152" t="s">
        <v>2705</v>
      </c>
      <c r="E1132" s="152" t="s">
        <v>1435</v>
      </c>
      <c r="F1132" s="152" t="s">
        <v>2398</v>
      </c>
      <c r="G1132" s="152" t="s">
        <v>2705</v>
      </c>
      <c r="H1132" s="152" t="s">
        <v>1435</v>
      </c>
      <c r="I1132" s="152" t="s">
        <v>2398</v>
      </c>
      <c r="J1132" s="152" t="s">
        <v>2398</v>
      </c>
      <c r="K1132" s="152" t="s">
        <v>2705</v>
      </c>
      <c r="L1132" s="152" t="s">
        <v>2398</v>
      </c>
      <c r="M1132" s="152" t="s">
        <v>1435</v>
      </c>
      <c r="N1132" s="152" t="s">
        <v>2705</v>
      </c>
      <c r="O1132" s="152" t="s">
        <v>1435</v>
      </c>
      <c r="P1132" s="152" t="s">
        <v>2398</v>
      </c>
      <c r="Q1132" s="152" t="s">
        <v>2398</v>
      </c>
      <c r="R1132" s="152" t="s">
        <v>1435</v>
      </c>
      <c r="S1132" s="152" t="s">
        <v>2397</v>
      </c>
      <c r="T1132" s="152" t="s">
        <v>2675</v>
      </c>
      <c r="U1132" s="152" t="s">
        <v>2397</v>
      </c>
    </row>
    <row r="1133" spans="1:21" s="142" customFormat="1" ht="12.75" customHeight="1" x14ac:dyDescent="0.2">
      <c r="A1133" s="151" t="s">
        <v>7883</v>
      </c>
      <c r="B1133" s="152" t="s">
        <v>2705</v>
      </c>
      <c r="C1133" s="152" t="s">
        <v>2398</v>
      </c>
      <c r="D1133" s="152" t="s">
        <v>2398</v>
      </c>
      <c r="E1133" s="152" t="s">
        <v>2398</v>
      </c>
      <c r="F1133" s="152" t="s">
        <v>2705</v>
      </c>
      <c r="G1133" s="152" t="s">
        <v>2705</v>
      </c>
      <c r="H1133" s="152" t="s">
        <v>2705</v>
      </c>
      <c r="I1133" s="152" t="s">
        <v>2398</v>
      </c>
      <c r="J1133" s="152" t="s">
        <v>2705</v>
      </c>
      <c r="K1133" s="152" t="s">
        <v>2705</v>
      </c>
      <c r="L1133" s="152" t="s">
        <v>2398</v>
      </c>
      <c r="M1133" s="152" t="s">
        <v>2398</v>
      </c>
      <c r="N1133" s="152" t="s">
        <v>2705</v>
      </c>
      <c r="O1133" s="152" t="s">
        <v>2705</v>
      </c>
      <c r="P1133" s="152" t="s">
        <v>2398</v>
      </c>
      <c r="Q1133" s="152" t="s">
        <v>2705</v>
      </c>
      <c r="R1133" s="152" t="s">
        <v>2705</v>
      </c>
      <c r="S1133" s="152" t="s">
        <v>2675</v>
      </c>
      <c r="T1133" s="152" t="s">
        <v>2705</v>
      </c>
      <c r="U1133" s="152" t="s">
        <v>2705</v>
      </c>
    </row>
    <row r="1134" spans="1:21" s="142" customFormat="1" ht="12.75" x14ac:dyDescent="0.2">
      <c r="A1134" s="151"/>
      <c r="B1134" s="152" t="s">
        <v>2705</v>
      </c>
      <c r="C1134" s="152" t="s">
        <v>2675</v>
      </c>
      <c r="D1134" s="152" t="s">
        <v>2705</v>
      </c>
      <c r="E1134" s="152" t="s">
        <v>2705</v>
      </c>
      <c r="F1134" s="152" t="s">
        <v>2675</v>
      </c>
      <c r="G1134" s="152" t="s">
        <v>1435</v>
      </c>
      <c r="H1134" s="152" t="s">
        <v>2705</v>
      </c>
      <c r="I1134" s="152" t="s">
        <v>2705</v>
      </c>
      <c r="J1134" s="152" t="s">
        <v>2705</v>
      </c>
      <c r="K1134" s="152" t="s">
        <v>2398</v>
      </c>
      <c r="L1134" s="152" t="s">
        <v>2398</v>
      </c>
      <c r="M1134" s="152" t="s">
        <v>2398</v>
      </c>
      <c r="N1134" s="152" t="s">
        <v>2398</v>
      </c>
      <c r="O1134" s="152" t="s">
        <v>2705</v>
      </c>
      <c r="P1134" s="152" t="s">
        <v>2705</v>
      </c>
      <c r="Q1134" s="152" t="s">
        <v>1435</v>
      </c>
      <c r="R1134" s="152" t="s">
        <v>2398</v>
      </c>
      <c r="S1134" s="152" t="s">
        <v>2398</v>
      </c>
      <c r="T1134" s="152" t="s">
        <v>2705</v>
      </c>
      <c r="U1134" s="152" t="s">
        <v>2398</v>
      </c>
    </row>
    <row r="1135" spans="1:21" s="142" customFormat="1" ht="12.75" customHeight="1" x14ac:dyDescent="0.2">
      <c r="A1135" s="151" t="s">
        <v>7884</v>
      </c>
      <c r="B1135" s="152" t="s">
        <v>2398</v>
      </c>
      <c r="C1135" s="152" t="s">
        <v>2398</v>
      </c>
      <c r="D1135" s="152" t="s">
        <v>2398</v>
      </c>
      <c r="E1135" s="152" t="s">
        <v>2398</v>
      </c>
      <c r="F1135" s="152" t="s">
        <v>2398</v>
      </c>
      <c r="G1135" s="152" t="s">
        <v>2705</v>
      </c>
      <c r="H1135" s="152" t="s">
        <v>2705</v>
      </c>
      <c r="I1135" s="152" t="s">
        <v>2705</v>
      </c>
      <c r="J1135" s="152" t="s">
        <v>2398</v>
      </c>
      <c r="K1135" s="152" t="s">
        <v>2705</v>
      </c>
      <c r="L1135" s="152" t="s">
        <v>1435</v>
      </c>
      <c r="M1135" s="152" t="s">
        <v>2398</v>
      </c>
      <c r="N1135" s="152" t="s">
        <v>2398</v>
      </c>
      <c r="O1135" s="152" t="s">
        <v>2705</v>
      </c>
      <c r="P1135" s="152" t="s">
        <v>2398</v>
      </c>
      <c r="Q1135" s="152" t="s">
        <v>2705</v>
      </c>
      <c r="R1135" s="152" t="s">
        <v>2398</v>
      </c>
      <c r="S1135" s="152" t="s">
        <v>2675</v>
      </c>
      <c r="T1135" s="152" t="s">
        <v>2705</v>
      </c>
      <c r="U1135" s="152" t="s">
        <v>2705</v>
      </c>
    </row>
    <row r="1136" spans="1:21" s="142" customFormat="1" ht="12.75" x14ac:dyDescent="0.2">
      <c r="A1136" s="151"/>
      <c r="B1136" s="152" t="s">
        <v>2705</v>
      </c>
      <c r="C1136" s="152" t="s">
        <v>2675</v>
      </c>
      <c r="D1136" s="152" t="s">
        <v>2705</v>
      </c>
      <c r="E1136" s="152" t="s">
        <v>2398</v>
      </c>
      <c r="F1136" s="152" t="s">
        <v>2705</v>
      </c>
      <c r="G1136" s="152" t="s">
        <v>2705</v>
      </c>
      <c r="H1136" s="152" t="s">
        <v>2675</v>
      </c>
      <c r="I1136" s="152" t="s">
        <v>2705</v>
      </c>
      <c r="J1136" s="152" t="s">
        <v>2705</v>
      </c>
      <c r="K1136" s="152" t="s">
        <v>2705</v>
      </c>
      <c r="L1136" s="152" t="s">
        <v>2398</v>
      </c>
      <c r="M1136" s="152" t="s">
        <v>2398</v>
      </c>
      <c r="N1136" s="152" t="s">
        <v>2705</v>
      </c>
      <c r="O1136" s="152" t="s">
        <v>2675</v>
      </c>
      <c r="P1136" s="152" t="s">
        <v>2398</v>
      </c>
      <c r="Q1136" s="152" t="s">
        <v>2705</v>
      </c>
      <c r="R1136" s="152" t="s">
        <v>2398</v>
      </c>
      <c r="S1136" s="152" t="s">
        <v>2705</v>
      </c>
      <c r="T1136" s="152" t="s">
        <v>2705</v>
      </c>
      <c r="U1136" s="152" t="s">
        <v>2705</v>
      </c>
    </row>
    <row r="1137" spans="1:21" s="142" customFormat="1" ht="12.75" customHeight="1" x14ac:dyDescent="0.2">
      <c r="A1137" s="151" t="s">
        <v>7885</v>
      </c>
      <c r="B1137" s="152" t="s">
        <v>2705</v>
      </c>
      <c r="C1137" s="152" t="s">
        <v>2705</v>
      </c>
      <c r="D1137" s="152" t="s">
        <v>2675</v>
      </c>
      <c r="E1137" s="152" t="s">
        <v>2398</v>
      </c>
      <c r="F1137" s="152" t="s">
        <v>2705</v>
      </c>
      <c r="G1137" s="152" t="s">
        <v>2705</v>
      </c>
      <c r="H1137" s="152" t="s">
        <v>2705</v>
      </c>
      <c r="I1137" s="152" t="s">
        <v>2705</v>
      </c>
      <c r="J1137" s="152" t="s">
        <v>2675</v>
      </c>
      <c r="K1137" s="152" t="s">
        <v>2398</v>
      </c>
      <c r="L1137" s="152" t="s">
        <v>2705</v>
      </c>
      <c r="M1137" s="152" t="s">
        <v>2705</v>
      </c>
      <c r="N1137" s="152" t="s">
        <v>1435</v>
      </c>
      <c r="O1137" s="152" t="s">
        <v>2398</v>
      </c>
      <c r="P1137" s="152" t="s">
        <v>2705</v>
      </c>
      <c r="Q1137" s="152" t="s">
        <v>2398</v>
      </c>
      <c r="R1137" s="152" t="s">
        <v>2675</v>
      </c>
      <c r="S1137" s="152" t="s">
        <v>2398</v>
      </c>
      <c r="T1137" s="152" t="s">
        <v>2398</v>
      </c>
      <c r="U1137" s="152" t="s">
        <v>2705</v>
      </c>
    </row>
    <row r="1138" spans="1:21" s="142" customFormat="1" ht="12.75" x14ac:dyDescent="0.2">
      <c r="A1138" s="151"/>
      <c r="B1138" s="152" t="s">
        <v>2398</v>
      </c>
      <c r="C1138" s="152" t="s">
        <v>2398</v>
      </c>
      <c r="D1138" s="152" t="s">
        <v>2398</v>
      </c>
      <c r="E1138" s="152" t="s">
        <v>2705</v>
      </c>
      <c r="F1138" s="152" t="s">
        <v>2705</v>
      </c>
      <c r="G1138" s="152" t="s">
        <v>2398</v>
      </c>
      <c r="H1138" s="152" t="s">
        <v>2398</v>
      </c>
      <c r="I1138" s="152" t="s">
        <v>2398</v>
      </c>
      <c r="J1138" s="152" t="s">
        <v>2398</v>
      </c>
      <c r="K1138" s="152" t="s">
        <v>2398</v>
      </c>
      <c r="L1138" s="152" t="s">
        <v>2705</v>
      </c>
      <c r="M1138" s="152" t="s">
        <v>2705</v>
      </c>
      <c r="N1138" s="152" t="s">
        <v>2705</v>
      </c>
      <c r="O1138" s="152" t="s">
        <v>2705</v>
      </c>
      <c r="P1138" s="152" t="s">
        <v>2398</v>
      </c>
      <c r="Q1138" s="152" t="s">
        <v>2705</v>
      </c>
      <c r="R1138" s="152" t="s">
        <v>2705</v>
      </c>
      <c r="S1138" s="152" t="s">
        <v>2705</v>
      </c>
      <c r="T1138" s="152" t="s">
        <v>2705</v>
      </c>
      <c r="U1138" s="152" t="s">
        <v>2705</v>
      </c>
    </row>
    <row r="1139" spans="1:21" s="142" customFormat="1" ht="12.75" customHeight="1" x14ac:dyDescent="0.2">
      <c r="A1139" s="151" t="s">
        <v>7886</v>
      </c>
      <c r="B1139" s="152" t="s">
        <v>2705</v>
      </c>
      <c r="C1139" s="152" t="s">
        <v>2705</v>
      </c>
      <c r="D1139" s="152" t="s">
        <v>2705</v>
      </c>
      <c r="E1139" s="152" t="s">
        <v>2398</v>
      </c>
      <c r="F1139" s="152" t="s">
        <v>2705</v>
      </c>
      <c r="G1139" s="152" t="s">
        <v>2705</v>
      </c>
      <c r="H1139" s="152" t="s">
        <v>2705</v>
      </c>
      <c r="I1139" s="152" t="s">
        <v>2705</v>
      </c>
      <c r="J1139" s="152" t="s">
        <v>2705</v>
      </c>
      <c r="K1139" s="152" t="s">
        <v>2705</v>
      </c>
      <c r="L1139" s="152" t="s">
        <v>2705</v>
      </c>
      <c r="M1139" s="152" t="s">
        <v>2398</v>
      </c>
      <c r="N1139" s="152" t="s">
        <v>2705</v>
      </c>
      <c r="O1139" s="152" t="s">
        <v>2705</v>
      </c>
      <c r="P1139" s="152" t="s">
        <v>2398</v>
      </c>
      <c r="Q1139" s="152" t="s">
        <v>2675</v>
      </c>
      <c r="R1139" s="152" t="s">
        <v>2398</v>
      </c>
      <c r="S1139" s="152" t="s">
        <v>2398</v>
      </c>
      <c r="T1139" s="152" t="s">
        <v>2705</v>
      </c>
      <c r="U1139" s="152" t="s">
        <v>2398</v>
      </c>
    </row>
    <row r="1140" spans="1:21" s="142" customFormat="1" ht="12.75" x14ac:dyDescent="0.2">
      <c r="A1140" s="151"/>
      <c r="B1140" s="152" t="s">
        <v>2398</v>
      </c>
      <c r="C1140" s="152" t="s">
        <v>2398</v>
      </c>
      <c r="D1140" s="152" t="s">
        <v>2705</v>
      </c>
      <c r="E1140" s="152" t="s">
        <v>2705</v>
      </c>
      <c r="F1140" s="152" t="s">
        <v>2705</v>
      </c>
      <c r="G1140" s="152" t="s">
        <v>2705</v>
      </c>
      <c r="H1140" s="152" t="s">
        <v>2398</v>
      </c>
      <c r="I1140" s="152" t="s">
        <v>2398</v>
      </c>
      <c r="J1140" s="152" t="s">
        <v>2705</v>
      </c>
      <c r="K1140" s="152" t="s">
        <v>1435</v>
      </c>
      <c r="L1140" s="152" t="s">
        <v>2705</v>
      </c>
      <c r="M1140" s="152" t="s">
        <v>2705</v>
      </c>
      <c r="N1140" s="152" t="s">
        <v>2398</v>
      </c>
      <c r="O1140" s="152" t="s">
        <v>2705</v>
      </c>
      <c r="P1140" s="152" t="s">
        <v>2398</v>
      </c>
      <c r="Q1140" s="152" t="s">
        <v>2705</v>
      </c>
      <c r="R1140" s="152" t="s">
        <v>1435</v>
      </c>
      <c r="S1140" s="152" t="s">
        <v>2398</v>
      </c>
      <c r="T1140" s="152" t="s">
        <v>2705</v>
      </c>
      <c r="U1140" s="152" t="s">
        <v>2398</v>
      </c>
    </row>
    <row r="1141" spans="1:21" s="142" customFormat="1" ht="12.75" customHeight="1" x14ac:dyDescent="0.2">
      <c r="A1141" s="151" t="s">
        <v>7887</v>
      </c>
      <c r="B1141" s="152" t="s">
        <v>2398</v>
      </c>
      <c r="C1141" s="152" t="s">
        <v>2675</v>
      </c>
      <c r="D1141" s="152" t="s">
        <v>2398</v>
      </c>
      <c r="E1141" s="152" t="s">
        <v>2705</v>
      </c>
      <c r="F1141" s="152" t="s">
        <v>1435</v>
      </c>
      <c r="G1141" s="152" t="s">
        <v>2398</v>
      </c>
      <c r="H1141" s="152" t="s">
        <v>2705</v>
      </c>
      <c r="I1141" s="152" t="s">
        <v>2705</v>
      </c>
      <c r="J1141" s="152" t="s">
        <v>2675</v>
      </c>
      <c r="K1141" s="152" t="s">
        <v>1435</v>
      </c>
      <c r="L1141" s="152" t="s">
        <v>2705</v>
      </c>
      <c r="M1141" s="152" t="s">
        <v>2398</v>
      </c>
      <c r="N1141" s="152" t="s">
        <v>2705</v>
      </c>
      <c r="O1141" s="152" t="s">
        <v>2705</v>
      </c>
      <c r="P1141" s="152" t="s">
        <v>2675</v>
      </c>
      <c r="Q1141" s="152" t="s">
        <v>2398</v>
      </c>
      <c r="R1141" s="152" t="s">
        <v>2398</v>
      </c>
      <c r="S1141" s="152" t="s">
        <v>2397</v>
      </c>
      <c r="T1141" s="152" t="s">
        <v>2398</v>
      </c>
      <c r="U1141" s="152" t="s">
        <v>2398</v>
      </c>
    </row>
    <row r="1142" spans="1:21" s="142" customFormat="1" ht="12.75" x14ac:dyDescent="0.2">
      <c r="A1142" s="151"/>
      <c r="B1142" s="152" t="s">
        <v>2397</v>
      </c>
      <c r="C1142" s="152" t="s">
        <v>1435</v>
      </c>
      <c r="D1142" s="152" t="s">
        <v>2705</v>
      </c>
      <c r="E1142" s="152" t="s">
        <v>2398</v>
      </c>
      <c r="F1142" s="152" t="s">
        <v>2705</v>
      </c>
      <c r="G1142" s="152" t="s">
        <v>2398</v>
      </c>
      <c r="H1142" s="152" t="s">
        <v>2675</v>
      </c>
      <c r="I1142" s="152" t="s">
        <v>2397</v>
      </c>
      <c r="J1142" s="152" t="s">
        <v>2705</v>
      </c>
      <c r="K1142" s="152" t="s">
        <v>2705</v>
      </c>
      <c r="L1142" s="152" t="s">
        <v>2398</v>
      </c>
      <c r="M1142" s="152" t="s">
        <v>2705</v>
      </c>
      <c r="N1142" s="152" t="s">
        <v>2398</v>
      </c>
      <c r="O1142" s="152" t="s">
        <v>2398</v>
      </c>
      <c r="P1142" s="152" t="s">
        <v>2705</v>
      </c>
      <c r="Q1142" s="152" t="s">
        <v>2705</v>
      </c>
      <c r="R1142" s="152" t="s">
        <v>2398</v>
      </c>
      <c r="S1142" s="152" t="s">
        <v>2675</v>
      </c>
      <c r="T1142" s="152" t="s">
        <v>2397</v>
      </c>
      <c r="U1142" s="152" t="s">
        <v>2705</v>
      </c>
    </row>
    <row r="1143" spans="1:21" s="142" customFormat="1" ht="12.75" customHeight="1" x14ac:dyDescent="0.2">
      <c r="A1143" s="151" t="s">
        <v>7888</v>
      </c>
      <c r="B1143" s="152" t="s">
        <v>2705</v>
      </c>
      <c r="C1143" s="152" t="s">
        <v>2705</v>
      </c>
      <c r="D1143" s="152" t="s">
        <v>2675</v>
      </c>
      <c r="E1143" s="152" t="s">
        <v>2705</v>
      </c>
      <c r="F1143" s="152" t="s">
        <v>2705</v>
      </c>
      <c r="G1143" s="152" t="s">
        <v>2705</v>
      </c>
      <c r="H1143" s="152" t="s">
        <v>2705</v>
      </c>
      <c r="I1143" s="152" t="s">
        <v>2705</v>
      </c>
      <c r="J1143" s="152" t="s">
        <v>2398</v>
      </c>
      <c r="K1143" s="152" t="s">
        <v>2398</v>
      </c>
      <c r="L1143" s="152" t="s">
        <v>2705</v>
      </c>
      <c r="M1143" s="152" t="s">
        <v>2705</v>
      </c>
      <c r="N1143" s="152" t="s">
        <v>2398</v>
      </c>
      <c r="O1143" s="152" t="s">
        <v>2705</v>
      </c>
      <c r="P1143" s="152" t="s">
        <v>2398</v>
      </c>
      <c r="Q1143" s="152" t="s">
        <v>2398</v>
      </c>
      <c r="R1143" s="152" t="s">
        <v>2398</v>
      </c>
      <c r="S1143" s="152" t="s">
        <v>2398</v>
      </c>
      <c r="T1143" s="152" t="s">
        <v>2398</v>
      </c>
      <c r="U1143" s="152" t="s">
        <v>2705</v>
      </c>
    </row>
    <row r="1144" spans="1:21" s="142" customFormat="1" ht="12.75" x14ac:dyDescent="0.2">
      <c r="A1144" s="151"/>
      <c r="B1144" s="152" t="s">
        <v>2398</v>
      </c>
      <c r="C1144" s="152" t="s">
        <v>2398</v>
      </c>
      <c r="D1144" s="152" t="s">
        <v>2705</v>
      </c>
      <c r="E1144" s="152" t="s">
        <v>2705</v>
      </c>
      <c r="F1144" s="152" t="s">
        <v>2705</v>
      </c>
      <c r="G1144" s="152" t="s">
        <v>2705</v>
      </c>
      <c r="H1144" s="152" t="s">
        <v>2705</v>
      </c>
      <c r="I1144" s="152" t="s">
        <v>2705</v>
      </c>
      <c r="J1144" s="152" t="s">
        <v>2398</v>
      </c>
      <c r="K1144" s="152" t="s">
        <v>2398</v>
      </c>
      <c r="L1144" s="152" t="s">
        <v>2705</v>
      </c>
      <c r="M1144" s="152" t="s">
        <v>2675</v>
      </c>
      <c r="N1144" s="152" t="s">
        <v>2705</v>
      </c>
      <c r="O1144" s="152" t="s">
        <v>2705</v>
      </c>
      <c r="P1144" s="152" t="s">
        <v>2398</v>
      </c>
      <c r="Q1144" s="152" t="s">
        <v>2398</v>
      </c>
      <c r="R1144" s="152" t="s">
        <v>2705</v>
      </c>
      <c r="S1144" s="152" t="s">
        <v>2705</v>
      </c>
      <c r="T1144" s="152" t="s">
        <v>2705</v>
      </c>
      <c r="U1144" s="152" t="s">
        <v>2675</v>
      </c>
    </row>
    <row r="1145" spans="1:21" s="142" customFormat="1" ht="12.75" customHeight="1" x14ac:dyDescent="0.2">
      <c r="A1145" s="151" t="s">
        <v>7889</v>
      </c>
      <c r="B1145" s="152" t="s">
        <v>2398</v>
      </c>
      <c r="C1145" s="152" t="s">
        <v>2705</v>
      </c>
      <c r="D1145" s="152" t="s">
        <v>2397</v>
      </c>
      <c r="E1145" s="152" t="s">
        <v>2705</v>
      </c>
      <c r="F1145" s="152" t="s">
        <v>2705</v>
      </c>
      <c r="G1145" s="152" t="s">
        <v>2705</v>
      </c>
      <c r="H1145" s="152" t="s">
        <v>2705</v>
      </c>
      <c r="I1145" s="152" t="s">
        <v>2398</v>
      </c>
      <c r="J1145" s="152" t="s">
        <v>2705</v>
      </c>
      <c r="K1145" s="152" t="s">
        <v>2705</v>
      </c>
      <c r="L1145" s="152" t="s">
        <v>2398</v>
      </c>
      <c r="M1145" s="152" t="s">
        <v>2705</v>
      </c>
      <c r="N1145" s="152" t="s">
        <v>2705</v>
      </c>
      <c r="O1145" s="152" t="s">
        <v>2705</v>
      </c>
      <c r="P1145" s="152" t="s">
        <v>2705</v>
      </c>
      <c r="Q1145" s="152" t="s">
        <v>2705</v>
      </c>
      <c r="R1145" s="152" t="s">
        <v>1435</v>
      </c>
      <c r="S1145" s="152" t="s">
        <v>2705</v>
      </c>
      <c r="T1145" s="152" t="s">
        <v>1435</v>
      </c>
      <c r="U1145" s="152" t="s">
        <v>2705</v>
      </c>
    </row>
    <row r="1146" spans="1:21" s="142" customFormat="1" ht="12.75" x14ac:dyDescent="0.2">
      <c r="A1146" s="151"/>
      <c r="B1146" s="152" t="s">
        <v>2705</v>
      </c>
      <c r="C1146" s="152" t="s">
        <v>2705</v>
      </c>
      <c r="D1146" s="152" t="s">
        <v>2398</v>
      </c>
      <c r="E1146" s="152" t="s">
        <v>2705</v>
      </c>
      <c r="F1146" s="152" t="s">
        <v>2705</v>
      </c>
      <c r="G1146" s="152" t="s">
        <v>1435</v>
      </c>
      <c r="H1146" s="152" t="s">
        <v>2398</v>
      </c>
      <c r="I1146" s="152" t="s">
        <v>2398</v>
      </c>
      <c r="J1146" s="152" t="s">
        <v>2705</v>
      </c>
      <c r="K1146" s="152" t="s">
        <v>2705</v>
      </c>
      <c r="L1146" s="152" t="s">
        <v>2705</v>
      </c>
      <c r="M1146" s="152" t="s">
        <v>2705</v>
      </c>
      <c r="N1146" s="152" t="s">
        <v>2705</v>
      </c>
      <c r="O1146" s="152" t="s">
        <v>2705</v>
      </c>
      <c r="P1146" s="152" t="s">
        <v>2398</v>
      </c>
      <c r="Q1146" s="152" t="s">
        <v>2705</v>
      </c>
      <c r="R1146" s="152" t="s">
        <v>2398</v>
      </c>
      <c r="S1146" s="152" t="s">
        <v>2705</v>
      </c>
      <c r="T1146" s="152" t="s">
        <v>2398</v>
      </c>
      <c r="U1146" s="152" t="s">
        <v>2705</v>
      </c>
    </row>
    <row r="1147" spans="1:21" s="142" customFormat="1" ht="12.75" customHeight="1" x14ac:dyDescent="0.2">
      <c r="A1147" s="151" t="s">
        <v>7890</v>
      </c>
      <c r="B1147" s="152" t="s">
        <v>2398</v>
      </c>
      <c r="C1147" s="152" t="s">
        <v>2398</v>
      </c>
      <c r="D1147" s="152" t="s">
        <v>2675</v>
      </c>
      <c r="E1147" s="152" t="s">
        <v>2705</v>
      </c>
      <c r="F1147" s="152" t="s">
        <v>1435</v>
      </c>
      <c r="G1147" s="152" t="s">
        <v>2398</v>
      </c>
      <c r="H1147" s="152" t="s">
        <v>2705</v>
      </c>
      <c r="I1147" s="152" t="s">
        <v>2705</v>
      </c>
      <c r="J1147" s="152" t="s">
        <v>2705</v>
      </c>
      <c r="K1147" s="152" t="s">
        <v>2705</v>
      </c>
      <c r="L1147" s="152" t="s">
        <v>2705</v>
      </c>
      <c r="M1147" s="152" t="s">
        <v>2398</v>
      </c>
      <c r="N1147" s="152" t="s">
        <v>2705</v>
      </c>
      <c r="O1147" s="152" t="s">
        <v>1435</v>
      </c>
      <c r="P1147" s="152" t="s">
        <v>2675</v>
      </c>
      <c r="Q1147" s="152" t="s">
        <v>2705</v>
      </c>
      <c r="R1147" s="152" t="s">
        <v>2398</v>
      </c>
      <c r="S1147" s="152" t="s">
        <v>2398</v>
      </c>
      <c r="T1147" s="152" t="s">
        <v>2675</v>
      </c>
      <c r="U1147" s="152" t="s">
        <v>2398</v>
      </c>
    </row>
    <row r="1148" spans="1:21" s="142" customFormat="1" ht="12.75" x14ac:dyDescent="0.2">
      <c r="A1148" s="151"/>
      <c r="B1148" s="152" t="s">
        <v>2705</v>
      </c>
      <c r="C1148" s="152" t="s">
        <v>2675</v>
      </c>
      <c r="D1148" s="152" t="s">
        <v>2705</v>
      </c>
      <c r="E1148" s="152" t="s">
        <v>2398</v>
      </c>
      <c r="F1148" s="152" t="s">
        <v>2705</v>
      </c>
      <c r="G1148" s="152" t="s">
        <v>2398</v>
      </c>
      <c r="H1148" s="152" t="s">
        <v>2397</v>
      </c>
      <c r="I1148" s="152" t="s">
        <v>2705</v>
      </c>
      <c r="J1148" s="152" t="s">
        <v>2705</v>
      </c>
      <c r="K1148" s="152" t="s">
        <v>2705</v>
      </c>
      <c r="L1148" s="152" t="s">
        <v>1435</v>
      </c>
      <c r="M1148" s="152" t="s">
        <v>1435</v>
      </c>
      <c r="N1148" s="152" t="s">
        <v>2398</v>
      </c>
      <c r="O1148" s="152" t="s">
        <v>2397</v>
      </c>
      <c r="P1148" s="152" t="s">
        <v>2705</v>
      </c>
      <c r="Q1148" s="152" t="s">
        <v>2705</v>
      </c>
      <c r="R1148" s="152" t="s">
        <v>2397</v>
      </c>
      <c r="S1148" s="152" t="s">
        <v>2675</v>
      </c>
      <c r="T1148" s="152" t="s">
        <v>2398</v>
      </c>
      <c r="U1148" s="152" t="s">
        <v>2705</v>
      </c>
    </row>
    <row r="1149" spans="1:21" s="142" customFormat="1" ht="12.75" customHeight="1" x14ac:dyDescent="0.2">
      <c r="A1149" s="151" t="s">
        <v>7891</v>
      </c>
      <c r="B1149" s="152" t="s">
        <v>2705</v>
      </c>
      <c r="C1149" s="152" t="s">
        <v>2705</v>
      </c>
      <c r="D1149" s="152" t="s">
        <v>2705</v>
      </c>
      <c r="E1149" s="152" t="s">
        <v>2397</v>
      </c>
      <c r="F1149" s="152" t="s">
        <v>2705</v>
      </c>
      <c r="G1149" s="152" t="s">
        <v>2705</v>
      </c>
      <c r="H1149" s="152" t="s">
        <v>2398</v>
      </c>
      <c r="I1149" s="152" t="s">
        <v>2705</v>
      </c>
      <c r="J1149" s="152" t="s">
        <v>2398</v>
      </c>
      <c r="K1149" s="152" t="s">
        <v>2705</v>
      </c>
      <c r="L1149" s="152" t="s">
        <v>2705</v>
      </c>
      <c r="M1149" s="152" t="s">
        <v>2705</v>
      </c>
      <c r="N1149" s="152" t="s">
        <v>2705</v>
      </c>
      <c r="O1149" s="152" t="s">
        <v>2398</v>
      </c>
      <c r="P1149" s="152" t="s">
        <v>2675</v>
      </c>
      <c r="Q1149" s="152" t="s">
        <v>2398</v>
      </c>
      <c r="R1149" s="152" t="s">
        <v>2398</v>
      </c>
      <c r="S1149" s="152" t="s">
        <v>2398</v>
      </c>
      <c r="T1149" s="152" t="s">
        <v>2705</v>
      </c>
      <c r="U1149" s="152" t="s">
        <v>2705</v>
      </c>
    </row>
    <row r="1150" spans="1:21" s="142" customFormat="1" ht="12.75" x14ac:dyDescent="0.2">
      <c r="A1150" s="151"/>
      <c r="B1150" s="152" t="s">
        <v>2705</v>
      </c>
      <c r="C1150" s="152" t="s">
        <v>2705</v>
      </c>
      <c r="D1150" s="152" t="s">
        <v>2705</v>
      </c>
      <c r="E1150" s="152" t="s">
        <v>2705</v>
      </c>
      <c r="F1150" s="152" t="s">
        <v>2705</v>
      </c>
      <c r="G1150" s="152" t="s">
        <v>2398</v>
      </c>
      <c r="H1150" s="152" t="s">
        <v>2705</v>
      </c>
      <c r="I1150" s="152" t="s">
        <v>2705</v>
      </c>
      <c r="J1150" s="152" t="s">
        <v>2705</v>
      </c>
      <c r="K1150" s="152" t="s">
        <v>2705</v>
      </c>
      <c r="L1150" s="152" t="s">
        <v>2398</v>
      </c>
      <c r="M1150" s="152" t="s">
        <v>2705</v>
      </c>
      <c r="N1150" s="152" t="s">
        <v>2398</v>
      </c>
      <c r="O1150" s="152" t="s">
        <v>2705</v>
      </c>
      <c r="P1150" s="152" t="s">
        <v>2705</v>
      </c>
      <c r="Q1150" s="152" t="s">
        <v>2705</v>
      </c>
      <c r="R1150" s="152" t="s">
        <v>2398</v>
      </c>
      <c r="S1150" s="152" t="s">
        <v>2398</v>
      </c>
      <c r="T1150" s="152" t="s">
        <v>2705</v>
      </c>
      <c r="U1150" s="152" t="s">
        <v>2705</v>
      </c>
    </row>
    <row r="1151" spans="1:21" s="142" customFormat="1" ht="12.75" customHeight="1" x14ac:dyDescent="0.2">
      <c r="A1151" s="151" t="s">
        <v>7892</v>
      </c>
      <c r="B1151" s="152" t="s">
        <v>2398</v>
      </c>
      <c r="C1151" s="152" t="s">
        <v>2398</v>
      </c>
      <c r="D1151" s="152" t="s">
        <v>1435</v>
      </c>
      <c r="E1151" s="152" t="s">
        <v>2705</v>
      </c>
      <c r="F1151" s="152" t="s">
        <v>2675</v>
      </c>
      <c r="G1151" s="152" t="s">
        <v>2705</v>
      </c>
      <c r="H1151" s="152" t="s">
        <v>2705</v>
      </c>
      <c r="I1151" s="152" t="s">
        <v>2398</v>
      </c>
      <c r="J1151" s="152" t="s">
        <v>2675</v>
      </c>
      <c r="K1151" s="152" t="s">
        <v>2705</v>
      </c>
      <c r="L1151" s="152" t="s">
        <v>2397</v>
      </c>
      <c r="M1151" s="152" t="s">
        <v>2398</v>
      </c>
      <c r="N1151" s="152" t="s">
        <v>2705</v>
      </c>
      <c r="O1151" s="152" t="s">
        <v>2675</v>
      </c>
      <c r="P1151" s="152" t="s">
        <v>2705</v>
      </c>
      <c r="Q1151" s="152" t="s">
        <v>2705</v>
      </c>
      <c r="R1151" s="152" t="s">
        <v>1435</v>
      </c>
      <c r="S1151" s="152" t="s">
        <v>2705</v>
      </c>
      <c r="T1151" s="152" t="s">
        <v>2705</v>
      </c>
      <c r="U1151" s="152" t="s">
        <v>2705</v>
      </c>
    </row>
    <row r="1152" spans="1:21" s="142" customFormat="1" ht="12.75" x14ac:dyDescent="0.2">
      <c r="A1152" s="151"/>
      <c r="B1152" s="152" t="s">
        <v>2675</v>
      </c>
      <c r="C1152" s="152" t="s">
        <v>2398</v>
      </c>
      <c r="D1152" s="152" t="s">
        <v>2705</v>
      </c>
      <c r="E1152" s="152" t="s">
        <v>2398</v>
      </c>
      <c r="F1152" s="152" t="s">
        <v>2705</v>
      </c>
      <c r="G1152" s="152" t="s">
        <v>2705</v>
      </c>
      <c r="H1152" s="152" t="s">
        <v>2397</v>
      </c>
      <c r="I1152" s="152" t="s">
        <v>1435</v>
      </c>
      <c r="J1152" s="152" t="s">
        <v>1435</v>
      </c>
      <c r="K1152" s="152" t="s">
        <v>2398</v>
      </c>
      <c r="L1152" s="152" t="s">
        <v>2705</v>
      </c>
      <c r="M1152" s="152" t="s">
        <v>2398</v>
      </c>
      <c r="N1152" s="152" t="s">
        <v>2705</v>
      </c>
      <c r="O1152" s="152" t="s">
        <v>2705</v>
      </c>
      <c r="P1152" s="152" t="s">
        <v>2705</v>
      </c>
      <c r="Q1152" s="152" t="s">
        <v>2705</v>
      </c>
      <c r="R1152" s="152" t="s">
        <v>2705</v>
      </c>
      <c r="S1152" s="152" t="s">
        <v>2705</v>
      </c>
      <c r="T1152" s="152" t="s">
        <v>2398</v>
      </c>
      <c r="U1152" s="152" t="s">
        <v>2398</v>
      </c>
    </row>
    <row r="1153" spans="1:21" s="142" customFormat="1" ht="12.75" customHeight="1" x14ac:dyDescent="0.2">
      <c r="A1153" s="151" t="s">
        <v>7893</v>
      </c>
      <c r="B1153" s="152" t="s">
        <v>2397</v>
      </c>
      <c r="C1153" s="152" t="s">
        <v>2398</v>
      </c>
      <c r="D1153" s="152" t="s">
        <v>2675</v>
      </c>
      <c r="E1153" s="152" t="s">
        <v>2397</v>
      </c>
      <c r="F1153" s="152" t="s">
        <v>2705</v>
      </c>
      <c r="G1153" s="152" t="s">
        <v>2398</v>
      </c>
      <c r="H1153" s="152" t="s">
        <v>2705</v>
      </c>
      <c r="I1153" s="152" t="s">
        <v>2397</v>
      </c>
      <c r="J1153" s="152" t="s">
        <v>2675</v>
      </c>
      <c r="K1153" s="152" t="s">
        <v>2398</v>
      </c>
      <c r="L1153" s="152" t="s">
        <v>2675</v>
      </c>
      <c r="M1153" s="152" t="s">
        <v>2675</v>
      </c>
      <c r="N1153" s="152" t="s">
        <v>2705</v>
      </c>
      <c r="O1153" s="152" t="s">
        <v>1435</v>
      </c>
      <c r="P1153" s="152" t="s">
        <v>2705</v>
      </c>
      <c r="Q1153" s="152" t="s">
        <v>2705</v>
      </c>
      <c r="R1153" s="152" t="s">
        <v>2398</v>
      </c>
      <c r="S1153" s="152" t="s">
        <v>2705</v>
      </c>
      <c r="T1153" s="152" t="s">
        <v>2675</v>
      </c>
      <c r="U1153" s="152" t="s">
        <v>2705</v>
      </c>
    </row>
    <row r="1154" spans="1:21" s="142" customFormat="1" ht="12.75" x14ac:dyDescent="0.2">
      <c r="A1154" s="151"/>
      <c r="B1154" s="152" t="s">
        <v>1435</v>
      </c>
      <c r="C1154" s="152" t="s">
        <v>2398</v>
      </c>
      <c r="D1154" s="152" t="s">
        <v>1435</v>
      </c>
      <c r="E1154" s="152" t="s">
        <v>2705</v>
      </c>
      <c r="F1154" s="152" t="s">
        <v>2705</v>
      </c>
      <c r="G1154" s="152" t="s">
        <v>2705</v>
      </c>
      <c r="H1154" s="152" t="s">
        <v>2705</v>
      </c>
      <c r="I1154" s="152" t="s">
        <v>2675</v>
      </c>
      <c r="J1154" s="152" t="s">
        <v>2398</v>
      </c>
      <c r="K1154" s="152" t="s">
        <v>2705</v>
      </c>
      <c r="L1154" s="152" t="s">
        <v>2397</v>
      </c>
      <c r="M1154" s="152" t="s">
        <v>2705</v>
      </c>
      <c r="N1154" s="152" t="s">
        <v>2675</v>
      </c>
      <c r="O1154" s="152" t="s">
        <v>2705</v>
      </c>
      <c r="P1154" s="152" t="s">
        <v>1435</v>
      </c>
      <c r="Q1154" s="152" t="s">
        <v>2398</v>
      </c>
      <c r="R1154" s="152" t="s">
        <v>1435</v>
      </c>
      <c r="S1154" s="152" t="s">
        <v>2705</v>
      </c>
      <c r="T1154" s="152" t="s">
        <v>2705</v>
      </c>
      <c r="U1154" s="152" t="s">
        <v>2397</v>
      </c>
    </row>
    <row r="1155" spans="1:21" s="142" customFormat="1" ht="12.75" customHeight="1" x14ac:dyDescent="0.2">
      <c r="A1155" s="151" t="s">
        <v>7894</v>
      </c>
      <c r="B1155" s="152" t="s">
        <v>2398</v>
      </c>
      <c r="C1155" s="152" t="s">
        <v>2705</v>
      </c>
      <c r="D1155" s="152" t="s">
        <v>2398</v>
      </c>
      <c r="E1155" s="152" t="s">
        <v>2705</v>
      </c>
      <c r="F1155" s="152" t="s">
        <v>2705</v>
      </c>
      <c r="G1155" s="152" t="s">
        <v>2705</v>
      </c>
      <c r="H1155" s="152" t="s">
        <v>2398</v>
      </c>
      <c r="I1155" s="152" t="s">
        <v>2675</v>
      </c>
      <c r="J1155" s="152" t="s">
        <v>2675</v>
      </c>
      <c r="K1155" s="152" t="s">
        <v>2705</v>
      </c>
      <c r="L1155" s="152" t="s">
        <v>1435</v>
      </c>
      <c r="M1155" s="152" t="s">
        <v>2705</v>
      </c>
      <c r="N1155" s="152" t="s">
        <v>2705</v>
      </c>
      <c r="O1155" s="152" t="s">
        <v>2705</v>
      </c>
      <c r="P1155" s="152" t="s">
        <v>2705</v>
      </c>
      <c r="Q1155" s="152" t="s">
        <v>2705</v>
      </c>
      <c r="R1155" s="152" t="s">
        <v>1435</v>
      </c>
      <c r="S1155" s="152" t="s">
        <v>2705</v>
      </c>
      <c r="T1155" s="152" t="s">
        <v>2705</v>
      </c>
      <c r="U1155" s="152" t="s">
        <v>2705</v>
      </c>
    </row>
    <row r="1156" spans="1:21" s="142" customFormat="1" ht="12.75" x14ac:dyDescent="0.2">
      <c r="A1156" s="151"/>
      <c r="B1156" s="152" t="s">
        <v>2705</v>
      </c>
      <c r="C1156" s="152" t="s">
        <v>2398</v>
      </c>
      <c r="D1156" s="152" t="s">
        <v>2705</v>
      </c>
      <c r="E1156" s="152" t="s">
        <v>2705</v>
      </c>
      <c r="F1156" s="152" t="s">
        <v>2705</v>
      </c>
      <c r="G1156" s="152" t="s">
        <v>2705</v>
      </c>
      <c r="H1156" s="152" t="s">
        <v>2397</v>
      </c>
      <c r="I1156" s="152" t="s">
        <v>2705</v>
      </c>
      <c r="J1156" s="152" t="s">
        <v>2398</v>
      </c>
      <c r="K1156" s="152" t="s">
        <v>2705</v>
      </c>
      <c r="L1156" s="152" t="s">
        <v>2705</v>
      </c>
      <c r="M1156" s="152" t="s">
        <v>2705</v>
      </c>
      <c r="N1156" s="152" t="s">
        <v>2705</v>
      </c>
      <c r="O1156" s="152" t="s">
        <v>2398</v>
      </c>
      <c r="P1156" s="152" t="s">
        <v>2675</v>
      </c>
      <c r="Q1156" s="152" t="s">
        <v>2705</v>
      </c>
      <c r="R1156" s="152" t="s">
        <v>2705</v>
      </c>
      <c r="S1156" s="152" t="s">
        <v>2705</v>
      </c>
      <c r="T1156" s="152" t="s">
        <v>2705</v>
      </c>
      <c r="U1156" s="152" t="s">
        <v>2705</v>
      </c>
    </row>
    <row r="1157" spans="1:21" s="142" customFormat="1" ht="12.75" customHeight="1" x14ac:dyDescent="0.2">
      <c r="A1157" s="151" t="s">
        <v>7895</v>
      </c>
      <c r="B1157" s="152" t="s">
        <v>2398</v>
      </c>
      <c r="C1157" s="152" t="s">
        <v>2398</v>
      </c>
      <c r="D1157" s="152" t="s">
        <v>2398</v>
      </c>
      <c r="E1157" s="152" t="s">
        <v>2398</v>
      </c>
      <c r="F1157" s="152" t="s">
        <v>2705</v>
      </c>
      <c r="G1157" s="152" t="s">
        <v>2705</v>
      </c>
      <c r="H1157" s="152" t="s">
        <v>2705</v>
      </c>
      <c r="I1157" s="152" t="s">
        <v>2705</v>
      </c>
      <c r="J1157" s="152" t="s">
        <v>1435</v>
      </c>
      <c r="K1157" s="152" t="s">
        <v>2398</v>
      </c>
      <c r="L1157" s="152" t="s">
        <v>2705</v>
      </c>
      <c r="M1157" s="152" t="s">
        <v>2705</v>
      </c>
      <c r="N1157" s="152" t="s">
        <v>2705</v>
      </c>
      <c r="O1157" s="152" t="s">
        <v>2398</v>
      </c>
      <c r="P1157" s="152" t="s">
        <v>2705</v>
      </c>
      <c r="Q1157" s="152" t="s">
        <v>2705</v>
      </c>
      <c r="R1157" s="152" t="s">
        <v>2705</v>
      </c>
      <c r="S1157" s="152" t="s">
        <v>2705</v>
      </c>
      <c r="T1157" s="152" t="s">
        <v>2705</v>
      </c>
      <c r="U1157" s="152" t="s">
        <v>2397</v>
      </c>
    </row>
    <row r="1158" spans="1:21" s="142" customFormat="1" ht="12.75" x14ac:dyDescent="0.2">
      <c r="A1158" s="151"/>
      <c r="B1158" s="152" t="s">
        <v>2705</v>
      </c>
      <c r="C1158" s="152" t="s">
        <v>2705</v>
      </c>
      <c r="D1158" s="152" t="s">
        <v>2398</v>
      </c>
      <c r="E1158" s="152" t="s">
        <v>2398</v>
      </c>
      <c r="F1158" s="152" t="s">
        <v>2705</v>
      </c>
      <c r="G1158" s="152" t="s">
        <v>2705</v>
      </c>
      <c r="H1158" s="152" t="s">
        <v>2398</v>
      </c>
      <c r="I1158" s="152" t="s">
        <v>2398</v>
      </c>
      <c r="J1158" s="152" t="s">
        <v>2705</v>
      </c>
      <c r="K1158" s="152" t="s">
        <v>2705</v>
      </c>
      <c r="L1158" s="152" t="s">
        <v>2705</v>
      </c>
      <c r="M1158" s="152" t="s">
        <v>2398</v>
      </c>
      <c r="N1158" s="152" t="s">
        <v>2705</v>
      </c>
      <c r="O1158" s="152" t="s">
        <v>2705</v>
      </c>
      <c r="P1158" s="152" t="s">
        <v>2675</v>
      </c>
      <c r="Q1158" s="152" t="s">
        <v>2398</v>
      </c>
      <c r="R1158" s="152" t="s">
        <v>2398</v>
      </c>
      <c r="S1158" s="152" t="s">
        <v>2705</v>
      </c>
      <c r="T1158" s="152" t="s">
        <v>2705</v>
      </c>
      <c r="U1158" s="152" t="s">
        <v>2398</v>
      </c>
    </row>
    <row r="1159" spans="1:21" s="142" customFormat="1" ht="12.75" customHeight="1" x14ac:dyDescent="0.2">
      <c r="A1159" s="151" t="s">
        <v>7896</v>
      </c>
      <c r="B1159" s="152" t="s">
        <v>2398</v>
      </c>
      <c r="C1159" s="152" t="s">
        <v>2398</v>
      </c>
      <c r="D1159" s="152" t="s">
        <v>2705</v>
      </c>
      <c r="E1159" s="152" t="s">
        <v>1435</v>
      </c>
      <c r="F1159" s="152" t="s">
        <v>2675</v>
      </c>
      <c r="G1159" s="152" t="s">
        <v>2705</v>
      </c>
      <c r="H1159" s="152" t="s">
        <v>2705</v>
      </c>
      <c r="I1159" s="152" t="s">
        <v>2398</v>
      </c>
      <c r="J1159" s="152" t="s">
        <v>2398</v>
      </c>
      <c r="K1159" s="152" t="s">
        <v>2398</v>
      </c>
      <c r="L1159" s="152" t="s">
        <v>1435</v>
      </c>
      <c r="M1159" s="152" t="s">
        <v>2705</v>
      </c>
      <c r="N1159" s="152" t="s">
        <v>2398</v>
      </c>
      <c r="O1159" s="152" t="s">
        <v>2705</v>
      </c>
      <c r="P1159" s="152" t="s">
        <v>2705</v>
      </c>
      <c r="Q1159" s="152" t="s">
        <v>2705</v>
      </c>
      <c r="R1159" s="152" t="s">
        <v>1435</v>
      </c>
      <c r="S1159" s="152" t="s">
        <v>2705</v>
      </c>
      <c r="T1159" s="152" t="s">
        <v>1435</v>
      </c>
      <c r="U1159" s="152" t="s">
        <v>2398</v>
      </c>
    </row>
    <row r="1160" spans="1:21" s="142" customFormat="1" ht="12.75" x14ac:dyDescent="0.2">
      <c r="A1160" s="151"/>
      <c r="B1160" s="152" t="s">
        <v>2705</v>
      </c>
      <c r="C1160" s="152" t="s">
        <v>2398</v>
      </c>
      <c r="D1160" s="152" t="s">
        <v>2398</v>
      </c>
      <c r="E1160" s="152" t="s">
        <v>2398</v>
      </c>
      <c r="F1160" s="152" t="s">
        <v>2705</v>
      </c>
      <c r="G1160" s="152" t="s">
        <v>2705</v>
      </c>
      <c r="H1160" s="152" t="s">
        <v>2705</v>
      </c>
      <c r="I1160" s="152" t="s">
        <v>2398</v>
      </c>
      <c r="J1160" s="152" t="s">
        <v>2398</v>
      </c>
      <c r="K1160" s="152" t="s">
        <v>2398</v>
      </c>
      <c r="L1160" s="152" t="s">
        <v>2398</v>
      </c>
      <c r="M1160" s="152" t="s">
        <v>2705</v>
      </c>
      <c r="N1160" s="152" t="s">
        <v>2705</v>
      </c>
      <c r="O1160" s="152" t="s">
        <v>2398</v>
      </c>
      <c r="P1160" s="152" t="s">
        <v>2398</v>
      </c>
      <c r="Q1160" s="152" t="s">
        <v>2705</v>
      </c>
      <c r="R1160" s="152" t="s">
        <v>2705</v>
      </c>
      <c r="S1160" s="152" t="s">
        <v>2705</v>
      </c>
      <c r="T1160" s="152" t="s">
        <v>2398</v>
      </c>
      <c r="U1160" s="152" t="s">
        <v>2705</v>
      </c>
    </row>
    <row r="1161" spans="1:21" s="142" customFormat="1" ht="12.75" customHeight="1" x14ac:dyDescent="0.2">
      <c r="A1161" s="151" t="s">
        <v>7897</v>
      </c>
      <c r="B1161" s="152" t="s">
        <v>2398</v>
      </c>
      <c r="C1161" s="152" t="s">
        <v>2705</v>
      </c>
      <c r="D1161" s="152" t="s">
        <v>2675</v>
      </c>
      <c r="E1161" s="152" t="s">
        <v>2705</v>
      </c>
      <c r="F1161" s="152" t="s">
        <v>2705</v>
      </c>
      <c r="G1161" s="152" t="s">
        <v>2705</v>
      </c>
      <c r="H1161" s="152" t="s">
        <v>2705</v>
      </c>
      <c r="I1161" s="152" t="s">
        <v>2398</v>
      </c>
      <c r="J1161" s="152" t="s">
        <v>2398</v>
      </c>
      <c r="K1161" s="152" t="s">
        <v>2398</v>
      </c>
      <c r="L1161" s="152" t="s">
        <v>2398</v>
      </c>
      <c r="M1161" s="152" t="s">
        <v>2705</v>
      </c>
      <c r="N1161" s="152" t="s">
        <v>2398</v>
      </c>
      <c r="O1161" s="152" t="s">
        <v>1435</v>
      </c>
      <c r="P1161" s="152" t="s">
        <v>2398</v>
      </c>
      <c r="Q1161" s="152" t="s">
        <v>2398</v>
      </c>
      <c r="R1161" s="152" t="s">
        <v>1435</v>
      </c>
      <c r="S1161" s="152" t="s">
        <v>2705</v>
      </c>
      <c r="T1161" s="152" t="s">
        <v>2705</v>
      </c>
      <c r="U1161" s="152" t="s">
        <v>2705</v>
      </c>
    </row>
    <row r="1162" spans="1:21" s="142" customFormat="1" ht="12.75" x14ac:dyDescent="0.2">
      <c r="A1162" s="151"/>
      <c r="B1162" s="152" t="s">
        <v>2398</v>
      </c>
      <c r="C1162" s="152" t="s">
        <v>2398</v>
      </c>
      <c r="D1162" s="152" t="s">
        <v>2398</v>
      </c>
      <c r="E1162" s="152" t="s">
        <v>1435</v>
      </c>
      <c r="F1162" s="152" t="s">
        <v>2398</v>
      </c>
      <c r="G1162" s="152" t="s">
        <v>2705</v>
      </c>
      <c r="H1162" s="152" t="s">
        <v>2705</v>
      </c>
      <c r="I1162" s="152" t="s">
        <v>2705</v>
      </c>
      <c r="J1162" s="152" t="s">
        <v>2705</v>
      </c>
      <c r="K1162" s="152" t="s">
        <v>2705</v>
      </c>
      <c r="L1162" s="152" t="s">
        <v>2705</v>
      </c>
      <c r="M1162" s="152" t="s">
        <v>2705</v>
      </c>
      <c r="N1162" s="152" t="s">
        <v>2705</v>
      </c>
      <c r="O1162" s="152" t="s">
        <v>1435</v>
      </c>
      <c r="P1162" s="152" t="s">
        <v>2705</v>
      </c>
      <c r="Q1162" s="152" t="s">
        <v>2705</v>
      </c>
      <c r="R1162" s="152" t="s">
        <v>1435</v>
      </c>
      <c r="S1162" s="152" t="s">
        <v>2705</v>
      </c>
      <c r="T1162" s="152" t="s">
        <v>2705</v>
      </c>
      <c r="U1162" s="152" t="s">
        <v>2705</v>
      </c>
    </row>
    <row r="1163" spans="1:21" s="142" customFormat="1" ht="12.75" customHeight="1" x14ac:dyDescent="0.2">
      <c r="A1163" s="151" t="s">
        <v>7898</v>
      </c>
      <c r="B1163" s="152" t="s">
        <v>2398</v>
      </c>
      <c r="C1163" s="152" t="s">
        <v>2705</v>
      </c>
      <c r="D1163" s="152" t="s">
        <v>2705</v>
      </c>
      <c r="E1163" s="152" t="s">
        <v>2398</v>
      </c>
      <c r="F1163" s="152" t="s">
        <v>2705</v>
      </c>
      <c r="G1163" s="152" t="s">
        <v>2705</v>
      </c>
      <c r="H1163" s="152" t="s">
        <v>2705</v>
      </c>
      <c r="I1163" s="152" t="s">
        <v>2705</v>
      </c>
      <c r="J1163" s="152" t="s">
        <v>2705</v>
      </c>
      <c r="K1163" s="152" t="s">
        <v>2705</v>
      </c>
      <c r="L1163" s="152" t="s">
        <v>2705</v>
      </c>
      <c r="M1163" s="152" t="s">
        <v>2705</v>
      </c>
      <c r="N1163" s="152" t="s">
        <v>2705</v>
      </c>
      <c r="O1163" s="152" t="s">
        <v>2705</v>
      </c>
      <c r="P1163" s="152" t="s">
        <v>2675</v>
      </c>
      <c r="Q1163" s="152" t="s">
        <v>2398</v>
      </c>
      <c r="R1163" s="152" t="s">
        <v>2398</v>
      </c>
      <c r="S1163" s="152" t="s">
        <v>2398</v>
      </c>
      <c r="T1163" s="152" t="s">
        <v>2398</v>
      </c>
      <c r="U1163" s="152" t="s">
        <v>2705</v>
      </c>
    </row>
    <row r="1164" spans="1:21" s="142" customFormat="1" ht="12.75" x14ac:dyDescent="0.2">
      <c r="A1164" s="151"/>
      <c r="B1164" s="152" t="s">
        <v>2705</v>
      </c>
      <c r="C1164" s="152" t="s">
        <v>2705</v>
      </c>
      <c r="D1164" s="152" t="s">
        <v>2705</v>
      </c>
      <c r="E1164" s="152" t="s">
        <v>2705</v>
      </c>
      <c r="F1164" s="152" t="s">
        <v>2705</v>
      </c>
      <c r="G1164" s="152" t="s">
        <v>2705</v>
      </c>
      <c r="H1164" s="152" t="s">
        <v>2705</v>
      </c>
      <c r="I1164" s="152" t="s">
        <v>2705</v>
      </c>
      <c r="J1164" s="152" t="s">
        <v>2705</v>
      </c>
      <c r="K1164" s="152" t="s">
        <v>2705</v>
      </c>
      <c r="L1164" s="152" t="s">
        <v>2398</v>
      </c>
      <c r="M1164" s="152" t="s">
        <v>2398</v>
      </c>
      <c r="N1164" s="152" t="s">
        <v>2705</v>
      </c>
      <c r="O1164" s="152" t="s">
        <v>2398</v>
      </c>
      <c r="P1164" s="152" t="s">
        <v>2705</v>
      </c>
      <c r="Q1164" s="152" t="s">
        <v>2705</v>
      </c>
      <c r="R1164" s="152" t="s">
        <v>2398</v>
      </c>
      <c r="S1164" s="152" t="s">
        <v>2675</v>
      </c>
      <c r="T1164" s="152" t="s">
        <v>2705</v>
      </c>
      <c r="U1164" s="152" t="s">
        <v>2705</v>
      </c>
    </row>
    <row r="1165" spans="1:21" s="142" customFormat="1" ht="12.75" customHeight="1" x14ac:dyDescent="0.2">
      <c r="A1165" s="151" t="s">
        <v>7899</v>
      </c>
      <c r="B1165" s="152" t="s">
        <v>2705</v>
      </c>
      <c r="C1165" s="152" t="s">
        <v>2705</v>
      </c>
      <c r="D1165" s="152" t="s">
        <v>2675</v>
      </c>
      <c r="E1165" s="152" t="s">
        <v>2705</v>
      </c>
      <c r="F1165" s="152" t="s">
        <v>2398</v>
      </c>
      <c r="G1165" s="152" t="s">
        <v>2705</v>
      </c>
      <c r="H1165" s="152" t="s">
        <v>2398</v>
      </c>
      <c r="I1165" s="152" t="s">
        <v>2705</v>
      </c>
      <c r="J1165" s="152" t="s">
        <v>2705</v>
      </c>
      <c r="K1165" s="152" t="s">
        <v>2398</v>
      </c>
      <c r="L1165" s="152" t="s">
        <v>2398</v>
      </c>
      <c r="M1165" s="152" t="s">
        <v>2398</v>
      </c>
      <c r="N1165" s="152" t="s">
        <v>2705</v>
      </c>
      <c r="O1165" s="152" t="s">
        <v>2398</v>
      </c>
      <c r="P1165" s="152" t="s">
        <v>2398</v>
      </c>
      <c r="Q1165" s="152" t="s">
        <v>2705</v>
      </c>
      <c r="R1165" s="152" t="s">
        <v>2398</v>
      </c>
      <c r="S1165" s="152" t="s">
        <v>2705</v>
      </c>
      <c r="T1165" s="152" t="s">
        <v>2398</v>
      </c>
      <c r="U1165" s="152" t="s">
        <v>2705</v>
      </c>
    </row>
    <row r="1166" spans="1:21" s="142" customFormat="1" ht="12.75" x14ac:dyDescent="0.2">
      <c r="A1166" s="151"/>
      <c r="B1166" s="152" t="s">
        <v>2398</v>
      </c>
      <c r="C1166" s="152" t="s">
        <v>2705</v>
      </c>
      <c r="D1166" s="152" t="s">
        <v>2398</v>
      </c>
      <c r="E1166" s="152" t="s">
        <v>2398</v>
      </c>
      <c r="F1166" s="152" t="s">
        <v>2675</v>
      </c>
      <c r="G1166" s="152" t="s">
        <v>2705</v>
      </c>
      <c r="H1166" s="152" t="s">
        <v>2705</v>
      </c>
      <c r="I1166" s="152" t="s">
        <v>2398</v>
      </c>
      <c r="J1166" s="152" t="s">
        <v>2705</v>
      </c>
      <c r="K1166" s="152" t="s">
        <v>2705</v>
      </c>
      <c r="L1166" s="152" t="s">
        <v>2398</v>
      </c>
      <c r="M1166" s="152" t="s">
        <v>2705</v>
      </c>
      <c r="N1166" s="152" t="s">
        <v>2705</v>
      </c>
      <c r="O1166" s="152" t="s">
        <v>2705</v>
      </c>
      <c r="P1166" s="152" t="s">
        <v>2398</v>
      </c>
      <c r="Q1166" s="152" t="s">
        <v>2705</v>
      </c>
      <c r="R1166" s="152" t="s">
        <v>2398</v>
      </c>
      <c r="S1166" s="152" t="s">
        <v>2705</v>
      </c>
      <c r="T1166" s="152" t="s">
        <v>2705</v>
      </c>
      <c r="U1166" s="152" t="s">
        <v>2398</v>
      </c>
    </row>
    <row r="1167" spans="1:21" s="142" customFormat="1" ht="12.75" customHeight="1" x14ac:dyDescent="0.2">
      <c r="A1167" s="151" t="s">
        <v>7900</v>
      </c>
      <c r="B1167" s="152" t="s">
        <v>2398</v>
      </c>
      <c r="C1167" s="152" t="s">
        <v>2675</v>
      </c>
      <c r="D1167" s="152" t="s">
        <v>2398</v>
      </c>
      <c r="E1167" s="152" t="s">
        <v>2398</v>
      </c>
      <c r="F1167" s="152" t="s">
        <v>2705</v>
      </c>
      <c r="G1167" s="152" t="s">
        <v>2705</v>
      </c>
      <c r="H1167" s="152" t="s">
        <v>2705</v>
      </c>
      <c r="I1167" s="152" t="s">
        <v>2397</v>
      </c>
      <c r="J1167" s="152" t="s">
        <v>1435</v>
      </c>
      <c r="K1167" s="152" t="s">
        <v>2398</v>
      </c>
      <c r="L1167" s="152" t="s">
        <v>1435</v>
      </c>
      <c r="M1167" s="152" t="s">
        <v>2705</v>
      </c>
      <c r="N1167" s="152" t="s">
        <v>2705</v>
      </c>
      <c r="O1167" s="152" t="s">
        <v>2398</v>
      </c>
      <c r="P1167" s="152" t="s">
        <v>2705</v>
      </c>
      <c r="Q1167" s="152" t="s">
        <v>2705</v>
      </c>
      <c r="R1167" s="152" t="s">
        <v>2705</v>
      </c>
      <c r="S1167" s="152" t="s">
        <v>2705</v>
      </c>
      <c r="T1167" s="152" t="s">
        <v>1435</v>
      </c>
      <c r="U1167" s="152" t="s">
        <v>2705</v>
      </c>
    </row>
    <row r="1168" spans="1:21" s="142" customFormat="1" ht="12.75" x14ac:dyDescent="0.2">
      <c r="A1168" s="151"/>
      <c r="B1168" s="152" t="s">
        <v>2675</v>
      </c>
      <c r="C1168" s="152" t="s">
        <v>2675</v>
      </c>
      <c r="D1168" s="152" t="s">
        <v>2398</v>
      </c>
      <c r="E1168" s="152" t="s">
        <v>2675</v>
      </c>
      <c r="F1168" s="152" t="s">
        <v>2705</v>
      </c>
      <c r="G1168" s="152" t="s">
        <v>2705</v>
      </c>
      <c r="H1168" s="152" t="s">
        <v>2398</v>
      </c>
      <c r="I1168" s="152" t="s">
        <v>2705</v>
      </c>
      <c r="J1168" s="152" t="s">
        <v>2705</v>
      </c>
      <c r="K1168" s="152" t="s">
        <v>2705</v>
      </c>
      <c r="L1168" s="152" t="s">
        <v>2398</v>
      </c>
      <c r="M1168" s="152" t="s">
        <v>2705</v>
      </c>
      <c r="N1168" s="152" t="s">
        <v>2705</v>
      </c>
      <c r="O1168" s="152" t="s">
        <v>2705</v>
      </c>
      <c r="P1168" s="152" t="s">
        <v>2705</v>
      </c>
      <c r="Q1168" s="152" t="s">
        <v>2705</v>
      </c>
      <c r="R1168" s="152" t="s">
        <v>2705</v>
      </c>
      <c r="S1168" s="152" t="s">
        <v>2705</v>
      </c>
      <c r="T1168" s="152" t="s">
        <v>2705</v>
      </c>
      <c r="U1168" s="152" t="s">
        <v>2705</v>
      </c>
    </row>
    <row r="1169" spans="1:21" s="142" customFormat="1" ht="12.75" customHeight="1" x14ac:dyDescent="0.2">
      <c r="A1169" s="151" t="s">
        <v>7901</v>
      </c>
      <c r="B1169" s="152" t="s">
        <v>2705</v>
      </c>
      <c r="C1169" s="152" t="s">
        <v>2398</v>
      </c>
      <c r="D1169" s="152" t="s">
        <v>2398</v>
      </c>
      <c r="E1169" s="152" t="s">
        <v>1435</v>
      </c>
      <c r="F1169" s="152" t="s">
        <v>2705</v>
      </c>
      <c r="G1169" s="152" t="s">
        <v>2705</v>
      </c>
      <c r="H1169" s="152" t="s">
        <v>2705</v>
      </c>
      <c r="I1169" s="152" t="s">
        <v>2397</v>
      </c>
      <c r="J1169" s="152" t="s">
        <v>2675</v>
      </c>
      <c r="K1169" s="152" t="s">
        <v>2705</v>
      </c>
      <c r="L1169" s="152" t="s">
        <v>1435</v>
      </c>
      <c r="M1169" s="152" t="s">
        <v>2705</v>
      </c>
      <c r="N1169" s="152" t="s">
        <v>2705</v>
      </c>
      <c r="O1169" s="152" t="s">
        <v>2705</v>
      </c>
      <c r="P1169" s="152" t="s">
        <v>2705</v>
      </c>
      <c r="Q1169" s="152" t="s">
        <v>2705</v>
      </c>
      <c r="R1169" s="152" t="s">
        <v>2705</v>
      </c>
      <c r="S1169" s="152" t="s">
        <v>2705</v>
      </c>
      <c r="T1169" s="152" t="s">
        <v>2705</v>
      </c>
      <c r="U1169" s="152" t="s">
        <v>2397</v>
      </c>
    </row>
    <row r="1170" spans="1:21" s="142" customFormat="1" ht="12.75" x14ac:dyDescent="0.2">
      <c r="A1170" s="151"/>
      <c r="B1170" s="152" t="s">
        <v>2705</v>
      </c>
      <c r="C1170" s="152" t="s">
        <v>2398</v>
      </c>
      <c r="D1170" s="152" t="s">
        <v>2705</v>
      </c>
      <c r="E1170" s="152" t="s">
        <v>2398</v>
      </c>
      <c r="F1170" s="152" t="s">
        <v>2705</v>
      </c>
      <c r="G1170" s="152" t="s">
        <v>2675</v>
      </c>
      <c r="H1170" s="152" t="s">
        <v>2397</v>
      </c>
      <c r="I1170" s="152" t="s">
        <v>2705</v>
      </c>
      <c r="J1170" s="152" t="s">
        <v>2705</v>
      </c>
      <c r="K1170" s="152" t="s">
        <v>2398</v>
      </c>
      <c r="L1170" s="152" t="s">
        <v>2398</v>
      </c>
      <c r="M1170" s="152" t="s">
        <v>2705</v>
      </c>
      <c r="N1170" s="152" t="s">
        <v>2705</v>
      </c>
      <c r="O1170" s="152" t="s">
        <v>2705</v>
      </c>
      <c r="P1170" s="152" t="s">
        <v>2675</v>
      </c>
      <c r="Q1170" s="152" t="s">
        <v>2705</v>
      </c>
      <c r="R1170" s="152" t="s">
        <v>2705</v>
      </c>
      <c r="S1170" s="152" t="s">
        <v>2705</v>
      </c>
      <c r="T1170" s="152" t="s">
        <v>2705</v>
      </c>
      <c r="U1170" s="152" t="s">
        <v>2398</v>
      </c>
    </row>
    <row r="1171" spans="1:21" s="142" customFormat="1" ht="12.75" customHeight="1" x14ac:dyDescent="0.2">
      <c r="A1171" s="151" t="s">
        <v>7902</v>
      </c>
      <c r="B1171" s="152" t="s">
        <v>2398</v>
      </c>
      <c r="C1171" s="152" t="s">
        <v>2705</v>
      </c>
      <c r="D1171" s="152" t="s">
        <v>2705</v>
      </c>
      <c r="E1171" s="152" t="s">
        <v>2398</v>
      </c>
      <c r="F1171" s="152" t="s">
        <v>2705</v>
      </c>
      <c r="G1171" s="152" t="s">
        <v>2705</v>
      </c>
      <c r="H1171" s="152" t="s">
        <v>2705</v>
      </c>
      <c r="I1171" s="152" t="s">
        <v>2705</v>
      </c>
      <c r="J1171" s="152" t="s">
        <v>2705</v>
      </c>
      <c r="K1171" s="152" t="s">
        <v>1435</v>
      </c>
      <c r="L1171" s="152" t="s">
        <v>2705</v>
      </c>
      <c r="M1171" s="152" t="s">
        <v>2705</v>
      </c>
      <c r="N1171" s="152" t="s">
        <v>2398</v>
      </c>
      <c r="O1171" s="152" t="s">
        <v>2398</v>
      </c>
      <c r="P1171" s="152" t="s">
        <v>2705</v>
      </c>
      <c r="Q1171" s="152" t="s">
        <v>2705</v>
      </c>
      <c r="R1171" s="152" t="s">
        <v>2397</v>
      </c>
      <c r="S1171" s="152" t="s">
        <v>2398</v>
      </c>
      <c r="T1171" s="152" t="s">
        <v>2705</v>
      </c>
      <c r="U1171" s="152" t="s">
        <v>2398</v>
      </c>
    </row>
    <row r="1172" spans="1:21" s="142" customFormat="1" ht="12.75" x14ac:dyDescent="0.2">
      <c r="A1172" s="151"/>
      <c r="B1172" s="152" t="s">
        <v>2705</v>
      </c>
      <c r="C1172" s="152" t="s">
        <v>2705</v>
      </c>
      <c r="D1172" s="152" t="s">
        <v>2398</v>
      </c>
      <c r="E1172" s="152" t="s">
        <v>2705</v>
      </c>
      <c r="F1172" s="152" t="s">
        <v>2705</v>
      </c>
      <c r="G1172" s="152" t="s">
        <v>2398</v>
      </c>
      <c r="H1172" s="152" t="s">
        <v>2705</v>
      </c>
      <c r="I1172" s="152" t="s">
        <v>2705</v>
      </c>
      <c r="J1172" s="152" t="s">
        <v>2705</v>
      </c>
      <c r="K1172" s="152" t="s">
        <v>2398</v>
      </c>
      <c r="L1172" s="152" t="s">
        <v>2705</v>
      </c>
      <c r="M1172" s="152" t="s">
        <v>2705</v>
      </c>
      <c r="N1172" s="152" t="s">
        <v>2705</v>
      </c>
      <c r="O1172" s="152" t="s">
        <v>2705</v>
      </c>
      <c r="P1172" s="152" t="s">
        <v>2398</v>
      </c>
      <c r="Q1172" s="152" t="s">
        <v>2398</v>
      </c>
      <c r="R1172" s="152" t="s">
        <v>2398</v>
      </c>
      <c r="S1172" s="152" t="s">
        <v>2705</v>
      </c>
      <c r="T1172" s="152" t="s">
        <v>2705</v>
      </c>
      <c r="U1172" s="152" t="s">
        <v>2705</v>
      </c>
    </row>
    <row r="1173" spans="1:21" s="142" customFormat="1" ht="12.75" customHeight="1" x14ac:dyDescent="0.2">
      <c r="A1173" s="151" t="s">
        <v>7903</v>
      </c>
      <c r="B1173" s="152" t="s">
        <v>2705</v>
      </c>
      <c r="C1173" s="152" t="s">
        <v>2675</v>
      </c>
      <c r="D1173" s="152" t="s">
        <v>2705</v>
      </c>
      <c r="E1173" s="152" t="s">
        <v>2705</v>
      </c>
      <c r="F1173" s="152" t="s">
        <v>2705</v>
      </c>
      <c r="G1173" s="152" t="s">
        <v>1435</v>
      </c>
      <c r="H1173" s="152" t="s">
        <v>1435</v>
      </c>
      <c r="I1173" s="152" t="s">
        <v>2705</v>
      </c>
      <c r="J1173" s="152" t="s">
        <v>2675</v>
      </c>
      <c r="K1173" s="152" t="s">
        <v>1435</v>
      </c>
      <c r="L1173" s="152" t="s">
        <v>2705</v>
      </c>
      <c r="M1173" s="152" t="s">
        <v>2398</v>
      </c>
      <c r="N1173" s="152" t="s">
        <v>2705</v>
      </c>
      <c r="O1173" s="152" t="s">
        <v>2705</v>
      </c>
      <c r="P1173" s="152" t="s">
        <v>2705</v>
      </c>
      <c r="Q1173" s="152" t="s">
        <v>2675</v>
      </c>
      <c r="R1173" s="152" t="s">
        <v>2675</v>
      </c>
      <c r="S1173" s="152" t="s">
        <v>2675</v>
      </c>
      <c r="T1173" s="152" t="s">
        <v>2675</v>
      </c>
      <c r="U1173" s="152" t="s">
        <v>2398</v>
      </c>
    </row>
    <row r="1174" spans="1:21" s="142" customFormat="1" ht="12.75" x14ac:dyDescent="0.2">
      <c r="A1174" s="151"/>
      <c r="B1174" s="152" t="s">
        <v>1435</v>
      </c>
      <c r="C1174" s="152" t="s">
        <v>2675</v>
      </c>
      <c r="D1174" s="152" t="s">
        <v>2705</v>
      </c>
      <c r="E1174" s="152" t="s">
        <v>2705</v>
      </c>
      <c r="F1174" s="152" t="s">
        <v>2705</v>
      </c>
      <c r="G1174" s="152" t="s">
        <v>1435</v>
      </c>
      <c r="H1174" s="152" t="s">
        <v>2675</v>
      </c>
      <c r="I1174" s="152" t="s">
        <v>2705</v>
      </c>
      <c r="J1174" s="152" t="s">
        <v>2705</v>
      </c>
      <c r="K1174" s="152" t="s">
        <v>1435</v>
      </c>
      <c r="L1174" s="152" t="s">
        <v>2705</v>
      </c>
      <c r="M1174" s="152" t="s">
        <v>2705</v>
      </c>
      <c r="N1174" s="152" t="s">
        <v>2705</v>
      </c>
      <c r="O1174" s="152" t="s">
        <v>2705</v>
      </c>
      <c r="P1174" s="152" t="s">
        <v>2705</v>
      </c>
      <c r="Q1174" s="152" t="s">
        <v>2705</v>
      </c>
      <c r="R1174" s="152" t="s">
        <v>2705</v>
      </c>
      <c r="S1174" s="152" t="s">
        <v>2675</v>
      </c>
      <c r="T1174" s="152" t="s">
        <v>2705</v>
      </c>
      <c r="U1174" s="152" t="s">
        <v>2705</v>
      </c>
    </row>
    <row r="1175" spans="1:21" s="142" customFormat="1" ht="12.75" customHeight="1" x14ac:dyDescent="0.2">
      <c r="A1175" s="151" t="s">
        <v>7904</v>
      </c>
      <c r="B1175" s="152" t="s">
        <v>2398</v>
      </c>
      <c r="C1175" s="152" t="s">
        <v>1435</v>
      </c>
      <c r="D1175" s="152" t="s">
        <v>2705</v>
      </c>
      <c r="E1175" s="152" t="s">
        <v>2397</v>
      </c>
      <c r="F1175" s="152" t="s">
        <v>2705</v>
      </c>
      <c r="G1175" s="152" t="s">
        <v>2705</v>
      </c>
      <c r="H1175" s="152" t="s">
        <v>2398</v>
      </c>
      <c r="I1175" s="152" t="s">
        <v>2675</v>
      </c>
      <c r="J1175" s="152" t="s">
        <v>2705</v>
      </c>
      <c r="K1175" s="152" t="s">
        <v>2705</v>
      </c>
      <c r="L1175" s="152" t="s">
        <v>1435</v>
      </c>
      <c r="M1175" s="152" t="s">
        <v>2705</v>
      </c>
      <c r="N1175" s="152" t="s">
        <v>2675</v>
      </c>
      <c r="O1175" s="152" t="s">
        <v>2398</v>
      </c>
      <c r="P1175" s="152" t="s">
        <v>2398</v>
      </c>
      <c r="Q1175" s="152" t="s">
        <v>2398</v>
      </c>
      <c r="R1175" s="152" t="s">
        <v>1435</v>
      </c>
      <c r="S1175" s="152" t="s">
        <v>2705</v>
      </c>
      <c r="T1175" s="152" t="s">
        <v>2397</v>
      </c>
      <c r="U1175" s="152" t="s">
        <v>2397</v>
      </c>
    </row>
    <row r="1176" spans="1:21" s="142" customFormat="1" ht="12.75" x14ac:dyDescent="0.2">
      <c r="A1176" s="151"/>
      <c r="B1176" s="152" t="s">
        <v>2398</v>
      </c>
      <c r="C1176" s="152" t="s">
        <v>2675</v>
      </c>
      <c r="D1176" s="152" t="s">
        <v>2705</v>
      </c>
      <c r="E1176" s="152" t="s">
        <v>2398</v>
      </c>
      <c r="F1176" s="152" t="s">
        <v>2398</v>
      </c>
      <c r="G1176" s="152" t="s">
        <v>2398</v>
      </c>
      <c r="H1176" s="152" t="s">
        <v>2398</v>
      </c>
      <c r="I1176" s="152" t="s">
        <v>1435</v>
      </c>
      <c r="J1176" s="152" t="s">
        <v>2398</v>
      </c>
      <c r="K1176" s="152" t="s">
        <v>2398</v>
      </c>
      <c r="L1176" s="152" t="s">
        <v>2705</v>
      </c>
      <c r="M1176" s="152" t="s">
        <v>2397</v>
      </c>
      <c r="N1176" s="152" t="s">
        <v>2705</v>
      </c>
      <c r="O1176" s="152" t="s">
        <v>2398</v>
      </c>
      <c r="P1176" s="152" t="s">
        <v>2705</v>
      </c>
      <c r="Q1176" s="152" t="s">
        <v>2398</v>
      </c>
      <c r="R1176" s="152" t="s">
        <v>2705</v>
      </c>
      <c r="S1176" s="152" t="s">
        <v>2705</v>
      </c>
      <c r="T1176" s="152" t="s">
        <v>2398</v>
      </c>
      <c r="U1176" s="152" t="s">
        <v>2398</v>
      </c>
    </row>
    <row r="1177" spans="1:21" s="142" customFormat="1" ht="12.75" customHeight="1" x14ac:dyDescent="0.2">
      <c r="A1177" s="151" t="s">
        <v>7905</v>
      </c>
      <c r="B1177" s="152" t="s">
        <v>2398</v>
      </c>
      <c r="C1177" s="152" t="s">
        <v>2675</v>
      </c>
      <c r="D1177" s="152" t="s">
        <v>2398</v>
      </c>
      <c r="E1177" s="152" t="s">
        <v>2705</v>
      </c>
      <c r="F1177" s="152" t="s">
        <v>2705</v>
      </c>
      <c r="G1177" s="152" t="s">
        <v>2705</v>
      </c>
      <c r="H1177" s="152" t="s">
        <v>1435</v>
      </c>
      <c r="I1177" s="152" t="s">
        <v>2398</v>
      </c>
      <c r="J1177" s="152" t="s">
        <v>2705</v>
      </c>
      <c r="K1177" s="152" t="s">
        <v>2705</v>
      </c>
      <c r="L1177" s="152" t="s">
        <v>2705</v>
      </c>
      <c r="M1177" s="152" t="s">
        <v>2705</v>
      </c>
      <c r="N1177" s="152" t="s">
        <v>2705</v>
      </c>
      <c r="O1177" s="152" t="s">
        <v>2398</v>
      </c>
      <c r="P1177" s="152" t="s">
        <v>2398</v>
      </c>
      <c r="Q1177" s="152" t="s">
        <v>2705</v>
      </c>
      <c r="R1177" s="152" t="s">
        <v>2398</v>
      </c>
      <c r="S1177" s="152" t="s">
        <v>2398</v>
      </c>
      <c r="T1177" s="152" t="s">
        <v>2705</v>
      </c>
      <c r="U1177" s="152" t="s">
        <v>2675</v>
      </c>
    </row>
    <row r="1178" spans="1:21" s="142" customFormat="1" ht="12.75" x14ac:dyDescent="0.2">
      <c r="A1178" s="151"/>
      <c r="B1178" s="152" t="s">
        <v>2705</v>
      </c>
      <c r="C1178" s="152" t="s">
        <v>2705</v>
      </c>
      <c r="D1178" s="152" t="s">
        <v>2705</v>
      </c>
      <c r="E1178" s="152" t="s">
        <v>2705</v>
      </c>
      <c r="F1178" s="152" t="s">
        <v>2705</v>
      </c>
      <c r="G1178" s="152" t="s">
        <v>2705</v>
      </c>
      <c r="H1178" s="152" t="s">
        <v>2705</v>
      </c>
      <c r="I1178" s="152" t="s">
        <v>2705</v>
      </c>
      <c r="J1178" s="152" t="s">
        <v>2705</v>
      </c>
      <c r="K1178" s="152" t="s">
        <v>2705</v>
      </c>
      <c r="L1178" s="152" t="s">
        <v>2398</v>
      </c>
      <c r="M1178" s="152" t="s">
        <v>1435</v>
      </c>
      <c r="N1178" s="152" t="s">
        <v>2705</v>
      </c>
      <c r="O1178" s="152" t="s">
        <v>2705</v>
      </c>
      <c r="P1178" s="152" t="s">
        <v>2398</v>
      </c>
      <c r="Q1178" s="152" t="s">
        <v>2705</v>
      </c>
      <c r="R1178" s="152" t="s">
        <v>2398</v>
      </c>
      <c r="S1178" s="152" t="s">
        <v>2398</v>
      </c>
      <c r="T1178" s="152" t="s">
        <v>2705</v>
      </c>
      <c r="U1178" s="152" t="s">
        <v>2705</v>
      </c>
    </row>
    <row r="1179" spans="1:21" s="142" customFormat="1" ht="12.75" customHeight="1" x14ac:dyDescent="0.2">
      <c r="A1179" s="151" t="s">
        <v>7906</v>
      </c>
      <c r="B1179" s="152" t="s">
        <v>2705</v>
      </c>
      <c r="C1179" s="152" t="s">
        <v>2705</v>
      </c>
      <c r="D1179" s="152" t="s">
        <v>2705</v>
      </c>
      <c r="E1179" s="152" t="s">
        <v>2705</v>
      </c>
      <c r="F1179" s="152" t="s">
        <v>2705</v>
      </c>
      <c r="G1179" s="152" t="s">
        <v>2705</v>
      </c>
      <c r="H1179" s="152" t="s">
        <v>2705</v>
      </c>
      <c r="I1179" s="152" t="s">
        <v>2398</v>
      </c>
      <c r="J1179" s="152" t="s">
        <v>2705</v>
      </c>
      <c r="K1179" s="152" t="s">
        <v>2705</v>
      </c>
      <c r="L1179" s="152" t="s">
        <v>2705</v>
      </c>
      <c r="M1179" s="152" t="s">
        <v>2705</v>
      </c>
      <c r="N1179" s="152" t="s">
        <v>2705</v>
      </c>
      <c r="O1179" s="152" t="s">
        <v>2705</v>
      </c>
      <c r="P1179" s="152" t="s">
        <v>2705</v>
      </c>
      <c r="Q1179" s="152" t="s">
        <v>2705</v>
      </c>
      <c r="R1179" s="152" t="s">
        <v>2705</v>
      </c>
      <c r="S1179" s="152" t="s">
        <v>2705</v>
      </c>
      <c r="T1179" s="152" t="s">
        <v>2705</v>
      </c>
      <c r="U1179" s="152" t="s">
        <v>2398</v>
      </c>
    </row>
    <row r="1180" spans="1:21" s="142" customFormat="1" ht="12.75" x14ac:dyDescent="0.2">
      <c r="A1180" s="151"/>
      <c r="B1180" s="152" t="s">
        <v>2705</v>
      </c>
      <c r="C1180" s="152" t="s">
        <v>2705</v>
      </c>
      <c r="D1180" s="152" t="s">
        <v>2705</v>
      </c>
      <c r="E1180" s="152" t="s">
        <v>2705</v>
      </c>
      <c r="F1180" s="152" t="s">
        <v>2705</v>
      </c>
      <c r="G1180" s="152" t="s">
        <v>2705</v>
      </c>
      <c r="H1180" s="152" t="s">
        <v>2705</v>
      </c>
      <c r="I1180" s="152" t="s">
        <v>2705</v>
      </c>
      <c r="J1180" s="152" t="s">
        <v>2705</v>
      </c>
      <c r="K1180" s="152" t="s">
        <v>2705</v>
      </c>
      <c r="L1180" s="152" t="s">
        <v>2398</v>
      </c>
      <c r="M1180" s="152" t="s">
        <v>2398</v>
      </c>
      <c r="N1180" s="152" t="s">
        <v>2398</v>
      </c>
      <c r="O1180" s="152" t="s">
        <v>2705</v>
      </c>
      <c r="P1180" s="152" t="s">
        <v>2705</v>
      </c>
      <c r="Q1180" s="152" t="s">
        <v>2705</v>
      </c>
      <c r="R1180" s="152" t="s">
        <v>2705</v>
      </c>
      <c r="S1180" s="152" t="s">
        <v>2675</v>
      </c>
      <c r="T1180" s="152" t="s">
        <v>2705</v>
      </c>
      <c r="U1180" s="152" t="s">
        <v>2705</v>
      </c>
    </row>
    <row r="1181" spans="1:21" s="142" customFormat="1" ht="12.75" customHeight="1" x14ac:dyDescent="0.2">
      <c r="A1181" s="151" t="s">
        <v>7907</v>
      </c>
      <c r="B1181" s="152" t="s">
        <v>2398</v>
      </c>
      <c r="C1181" s="152" t="s">
        <v>2398</v>
      </c>
      <c r="D1181" s="152" t="s">
        <v>2705</v>
      </c>
      <c r="E1181" s="152" t="s">
        <v>2705</v>
      </c>
      <c r="F1181" s="152" t="s">
        <v>2398</v>
      </c>
      <c r="G1181" s="152" t="s">
        <v>2398</v>
      </c>
      <c r="H1181" s="152" t="s">
        <v>2705</v>
      </c>
      <c r="I1181" s="152" t="s">
        <v>2398</v>
      </c>
      <c r="J1181" s="152" t="s">
        <v>2705</v>
      </c>
      <c r="K1181" s="152" t="s">
        <v>2398</v>
      </c>
      <c r="L1181" s="152" t="s">
        <v>2675</v>
      </c>
      <c r="M1181" s="152" t="s">
        <v>2675</v>
      </c>
      <c r="N1181" s="152" t="s">
        <v>2398</v>
      </c>
      <c r="O1181" s="152" t="s">
        <v>1435</v>
      </c>
      <c r="P1181" s="152" t="s">
        <v>2705</v>
      </c>
      <c r="Q1181" s="152" t="s">
        <v>2398</v>
      </c>
      <c r="R1181" s="152" t="s">
        <v>2705</v>
      </c>
      <c r="S1181" s="152" t="s">
        <v>2705</v>
      </c>
      <c r="T1181" s="152" t="s">
        <v>2398</v>
      </c>
      <c r="U1181" s="152" t="s">
        <v>2705</v>
      </c>
    </row>
    <row r="1182" spans="1:21" s="142" customFormat="1" ht="12.75" x14ac:dyDescent="0.2">
      <c r="A1182" s="151"/>
      <c r="B1182" s="152" t="s">
        <v>2705</v>
      </c>
      <c r="C1182" s="152" t="s">
        <v>2397</v>
      </c>
      <c r="D1182" s="152" t="s">
        <v>1435</v>
      </c>
      <c r="E1182" s="152" t="s">
        <v>2675</v>
      </c>
      <c r="F1182" s="152" t="s">
        <v>2705</v>
      </c>
      <c r="G1182" s="152" t="s">
        <v>2705</v>
      </c>
      <c r="H1182" s="152" t="s">
        <v>2705</v>
      </c>
      <c r="I1182" s="152" t="s">
        <v>2705</v>
      </c>
      <c r="J1182" s="152" t="s">
        <v>2398</v>
      </c>
      <c r="K1182" s="152" t="s">
        <v>1435</v>
      </c>
      <c r="L1182" s="152" t="s">
        <v>2705</v>
      </c>
      <c r="M1182" s="152" t="s">
        <v>2705</v>
      </c>
      <c r="N1182" s="152" t="s">
        <v>2397</v>
      </c>
      <c r="O1182" s="152" t="s">
        <v>2398</v>
      </c>
      <c r="P1182" s="152" t="s">
        <v>2675</v>
      </c>
      <c r="Q1182" s="152" t="s">
        <v>2705</v>
      </c>
      <c r="R1182" s="152" t="s">
        <v>1435</v>
      </c>
      <c r="S1182" s="152" t="s">
        <v>2705</v>
      </c>
      <c r="T1182" s="152" t="s">
        <v>2705</v>
      </c>
      <c r="U1182" s="152" t="s">
        <v>2705</v>
      </c>
    </row>
    <row r="1183" spans="1:21" s="142" customFormat="1" ht="12.75" customHeight="1" x14ac:dyDescent="0.2">
      <c r="A1183" s="151" t="s">
        <v>7908</v>
      </c>
      <c r="B1183" s="152" t="s">
        <v>2705</v>
      </c>
      <c r="C1183" s="152" t="s">
        <v>2705</v>
      </c>
      <c r="D1183" s="152" t="s">
        <v>2705</v>
      </c>
      <c r="E1183" s="152" t="s">
        <v>2705</v>
      </c>
      <c r="F1183" s="152" t="s">
        <v>2398</v>
      </c>
      <c r="G1183" s="152" t="s">
        <v>2705</v>
      </c>
      <c r="H1183" s="152" t="s">
        <v>2398</v>
      </c>
      <c r="I1183" s="152" t="s">
        <v>2398</v>
      </c>
      <c r="J1183" s="152" t="s">
        <v>2705</v>
      </c>
      <c r="K1183" s="152" t="s">
        <v>2705</v>
      </c>
      <c r="L1183" s="152" t="s">
        <v>2705</v>
      </c>
      <c r="M1183" s="152" t="s">
        <v>2705</v>
      </c>
      <c r="N1183" s="152" t="s">
        <v>2705</v>
      </c>
      <c r="O1183" s="152" t="s">
        <v>1435</v>
      </c>
      <c r="P1183" s="152" t="s">
        <v>2397</v>
      </c>
      <c r="Q1183" s="152" t="s">
        <v>2705</v>
      </c>
      <c r="R1183" s="152" t="s">
        <v>2397</v>
      </c>
      <c r="S1183" s="152" t="s">
        <v>2398</v>
      </c>
      <c r="T1183" s="152" t="s">
        <v>2398</v>
      </c>
      <c r="U1183" s="152" t="s">
        <v>2675</v>
      </c>
    </row>
    <row r="1184" spans="1:21" s="142" customFormat="1" ht="12.75" x14ac:dyDescent="0.2">
      <c r="A1184" s="151"/>
      <c r="B1184" s="152" t="s">
        <v>2397</v>
      </c>
      <c r="C1184" s="152" t="s">
        <v>2398</v>
      </c>
      <c r="D1184" s="152" t="s">
        <v>2705</v>
      </c>
      <c r="E1184" s="152" t="s">
        <v>2675</v>
      </c>
      <c r="F1184" s="152" t="s">
        <v>2705</v>
      </c>
      <c r="G1184" s="152" t="s">
        <v>2675</v>
      </c>
      <c r="H1184" s="152" t="s">
        <v>2398</v>
      </c>
      <c r="I1184" s="152" t="s">
        <v>2705</v>
      </c>
      <c r="J1184" s="152" t="s">
        <v>2705</v>
      </c>
      <c r="K1184" s="152" t="s">
        <v>2675</v>
      </c>
      <c r="L1184" s="152" t="s">
        <v>2705</v>
      </c>
      <c r="M1184" s="152" t="s">
        <v>2398</v>
      </c>
      <c r="N1184" s="152" t="s">
        <v>2398</v>
      </c>
      <c r="O1184" s="152" t="s">
        <v>2705</v>
      </c>
      <c r="P1184" s="152" t="s">
        <v>2675</v>
      </c>
      <c r="Q1184" s="152" t="s">
        <v>2705</v>
      </c>
      <c r="R1184" s="152" t="s">
        <v>2398</v>
      </c>
      <c r="S1184" s="152" t="s">
        <v>2705</v>
      </c>
      <c r="T1184" s="152" t="s">
        <v>2705</v>
      </c>
      <c r="U1184" s="152" t="s">
        <v>2705</v>
      </c>
    </row>
    <row r="1185" spans="1:21" s="142" customFormat="1" ht="12.75" customHeight="1" x14ac:dyDescent="0.2">
      <c r="A1185" s="151" t="s">
        <v>7909</v>
      </c>
      <c r="B1185" s="152" t="s">
        <v>2705</v>
      </c>
      <c r="C1185" s="152" t="s">
        <v>2398</v>
      </c>
      <c r="D1185" s="152" t="s">
        <v>2398</v>
      </c>
      <c r="E1185" s="152" t="s">
        <v>2705</v>
      </c>
      <c r="F1185" s="152" t="s">
        <v>2398</v>
      </c>
      <c r="G1185" s="152" t="s">
        <v>1435</v>
      </c>
      <c r="H1185" s="152" t="s">
        <v>2398</v>
      </c>
      <c r="I1185" s="152" t="s">
        <v>2398</v>
      </c>
      <c r="J1185" s="152" t="s">
        <v>2398</v>
      </c>
      <c r="K1185" s="152" t="s">
        <v>2398</v>
      </c>
      <c r="L1185" s="152" t="s">
        <v>2675</v>
      </c>
      <c r="M1185" s="152" t="s">
        <v>2398</v>
      </c>
      <c r="N1185" s="152" t="s">
        <v>2705</v>
      </c>
      <c r="O1185" s="152" t="s">
        <v>2398</v>
      </c>
      <c r="P1185" s="152" t="s">
        <v>2398</v>
      </c>
      <c r="Q1185" s="152" t="s">
        <v>2398</v>
      </c>
      <c r="R1185" s="152" t="s">
        <v>2705</v>
      </c>
      <c r="S1185" s="152" t="s">
        <v>2705</v>
      </c>
      <c r="T1185" s="152" t="s">
        <v>2398</v>
      </c>
      <c r="U1185" s="152" t="s">
        <v>2398</v>
      </c>
    </row>
    <row r="1186" spans="1:21" s="142" customFormat="1" ht="12.75" x14ac:dyDescent="0.2">
      <c r="A1186" s="151"/>
      <c r="B1186" s="152" t="s">
        <v>2398</v>
      </c>
      <c r="C1186" s="152" t="s">
        <v>2397</v>
      </c>
      <c r="D1186" s="152" t="s">
        <v>2398</v>
      </c>
      <c r="E1186" s="152" t="s">
        <v>2705</v>
      </c>
      <c r="F1186" s="152" t="s">
        <v>2705</v>
      </c>
      <c r="G1186" s="152" t="s">
        <v>2705</v>
      </c>
      <c r="H1186" s="152" t="s">
        <v>2705</v>
      </c>
      <c r="I1186" s="152" t="s">
        <v>2705</v>
      </c>
      <c r="J1186" s="152" t="s">
        <v>2705</v>
      </c>
      <c r="K1186" s="152" t="s">
        <v>2705</v>
      </c>
      <c r="L1186" s="152" t="s">
        <v>2705</v>
      </c>
      <c r="M1186" s="152" t="s">
        <v>2705</v>
      </c>
      <c r="N1186" s="152" t="s">
        <v>2675</v>
      </c>
      <c r="O1186" s="152" t="s">
        <v>2705</v>
      </c>
      <c r="P1186" s="152" t="s">
        <v>2705</v>
      </c>
      <c r="Q1186" s="152" t="s">
        <v>2705</v>
      </c>
      <c r="R1186" s="152" t="s">
        <v>2398</v>
      </c>
      <c r="S1186" s="152" t="s">
        <v>2705</v>
      </c>
      <c r="T1186" s="152" t="s">
        <v>2705</v>
      </c>
      <c r="U1186" s="152" t="s">
        <v>2705</v>
      </c>
    </row>
    <row r="1187" spans="1:21" s="142" customFormat="1" ht="12.75" customHeight="1" x14ac:dyDescent="0.2">
      <c r="A1187" s="151" t="s">
        <v>7910</v>
      </c>
      <c r="B1187" s="152" t="s">
        <v>2705</v>
      </c>
      <c r="C1187" s="152" t="s">
        <v>2705</v>
      </c>
      <c r="D1187" s="152" t="s">
        <v>2705</v>
      </c>
      <c r="E1187" s="152" t="s">
        <v>2398</v>
      </c>
      <c r="F1187" s="152" t="s">
        <v>2705</v>
      </c>
      <c r="G1187" s="152" t="s">
        <v>2705</v>
      </c>
      <c r="H1187" s="152" t="s">
        <v>2398</v>
      </c>
      <c r="I1187" s="152" t="s">
        <v>2398</v>
      </c>
      <c r="J1187" s="152" t="s">
        <v>2705</v>
      </c>
      <c r="K1187" s="152" t="s">
        <v>2705</v>
      </c>
      <c r="L1187" s="152" t="s">
        <v>2705</v>
      </c>
      <c r="M1187" s="152" t="s">
        <v>2398</v>
      </c>
      <c r="N1187" s="152" t="s">
        <v>2705</v>
      </c>
      <c r="O1187" s="152" t="s">
        <v>2705</v>
      </c>
      <c r="P1187" s="152" t="s">
        <v>2397</v>
      </c>
      <c r="Q1187" s="152" t="s">
        <v>2705</v>
      </c>
      <c r="R1187" s="152" t="s">
        <v>2397</v>
      </c>
      <c r="S1187" s="152" t="s">
        <v>2705</v>
      </c>
      <c r="T1187" s="152" t="s">
        <v>2397</v>
      </c>
      <c r="U1187" s="152" t="s">
        <v>2398</v>
      </c>
    </row>
    <row r="1188" spans="1:21" s="142" customFormat="1" ht="12.75" x14ac:dyDescent="0.2">
      <c r="A1188" s="151"/>
      <c r="B1188" s="152" t="s">
        <v>2397</v>
      </c>
      <c r="C1188" s="152" t="s">
        <v>2398</v>
      </c>
      <c r="D1188" s="152" t="s">
        <v>2675</v>
      </c>
      <c r="E1188" s="152" t="s">
        <v>2705</v>
      </c>
      <c r="F1188" s="152" t="s">
        <v>2675</v>
      </c>
      <c r="G1188" s="152" t="s">
        <v>2705</v>
      </c>
      <c r="H1188" s="152" t="s">
        <v>2398</v>
      </c>
      <c r="I1188" s="152" t="s">
        <v>2705</v>
      </c>
      <c r="J1188" s="152" t="s">
        <v>2705</v>
      </c>
      <c r="K1188" s="152" t="s">
        <v>2398</v>
      </c>
      <c r="L1188" s="152" t="s">
        <v>2705</v>
      </c>
      <c r="M1188" s="152" t="s">
        <v>2398</v>
      </c>
      <c r="N1188" s="152" t="s">
        <v>2705</v>
      </c>
      <c r="O1188" s="152" t="s">
        <v>2705</v>
      </c>
      <c r="P1188" s="152" t="s">
        <v>2705</v>
      </c>
      <c r="Q1188" s="152" t="s">
        <v>2398</v>
      </c>
      <c r="R1188" s="152" t="s">
        <v>2398</v>
      </c>
      <c r="S1188" s="152" t="s">
        <v>2398</v>
      </c>
      <c r="T1188" s="152" t="s">
        <v>2705</v>
      </c>
      <c r="U1188" s="152" t="s">
        <v>2398</v>
      </c>
    </row>
    <row r="1189" spans="1:21" s="142" customFormat="1" ht="12.75" customHeight="1" x14ac:dyDescent="0.2">
      <c r="A1189" s="151" t="s">
        <v>7911</v>
      </c>
      <c r="B1189" s="152" t="s">
        <v>2705</v>
      </c>
      <c r="C1189" s="152" t="s">
        <v>2705</v>
      </c>
      <c r="D1189" s="152" t="s">
        <v>2705</v>
      </c>
      <c r="E1189" s="152" t="s">
        <v>2398</v>
      </c>
      <c r="F1189" s="152" t="s">
        <v>1435</v>
      </c>
      <c r="G1189" s="152" t="s">
        <v>1435</v>
      </c>
      <c r="H1189" s="152" t="s">
        <v>2705</v>
      </c>
      <c r="I1189" s="152" t="s">
        <v>2398</v>
      </c>
      <c r="J1189" s="152" t="s">
        <v>2705</v>
      </c>
      <c r="K1189" s="152" t="s">
        <v>1435</v>
      </c>
      <c r="L1189" s="152" t="s">
        <v>2705</v>
      </c>
      <c r="M1189" s="152" t="s">
        <v>2705</v>
      </c>
      <c r="N1189" s="152" t="s">
        <v>1435</v>
      </c>
      <c r="O1189" s="152" t="s">
        <v>2398</v>
      </c>
      <c r="P1189" s="152" t="s">
        <v>2398</v>
      </c>
      <c r="Q1189" s="152" t="s">
        <v>1435</v>
      </c>
      <c r="R1189" s="152" t="s">
        <v>2398</v>
      </c>
      <c r="S1189" s="152" t="s">
        <v>2705</v>
      </c>
      <c r="T1189" s="152" t="s">
        <v>2705</v>
      </c>
      <c r="U1189" s="152" t="s">
        <v>2398</v>
      </c>
    </row>
    <row r="1190" spans="1:21" s="142" customFormat="1" ht="12.75" x14ac:dyDescent="0.2">
      <c r="A1190" s="151"/>
      <c r="B1190" s="152" t="s">
        <v>2398</v>
      </c>
      <c r="C1190" s="152" t="s">
        <v>2397</v>
      </c>
      <c r="D1190" s="152" t="s">
        <v>2705</v>
      </c>
      <c r="E1190" s="152" t="s">
        <v>2398</v>
      </c>
      <c r="F1190" s="152" t="s">
        <v>2705</v>
      </c>
      <c r="G1190" s="152" t="s">
        <v>2398</v>
      </c>
      <c r="H1190" s="152" t="s">
        <v>2675</v>
      </c>
      <c r="I1190" s="152" t="s">
        <v>2705</v>
      </c>
      <c r="J1190" s="152" t="s">
        <v>2398</v>
      </c>
      <c r="K1190" s="152" t="s">
        <v>2398</v>
      </c>
      <c r="L1190" s="152" t="s">
        <v>2398</v>
      </c>
      <c r="M1190" s="152" t="s">
        <v>2398</v>
      </c>
      <c r="N1190" s="152" t="s">
        <v>2398</v>
      </c>
      <c r="O1190" s="152" t="s">
        <v>2705</v>
      </c>
      <c r="P1190" s="152" t="s">
        <v>2705</v>
      </c>
      <c r="Q1190" s="152" t="s">
        <v>2398</v>
      </c>
      <c r="R1190" s="152" t="s">
        <v>2398</v>
      </c>
      <c r="S1190" s="152" t="s">
        <v>2705</v>
      </c>
      <c r="T1190" s="152" t="s">
        <v>2398</v>
      </c>
      <c r="U1190" s="152" t="s">
        <v>2705</v>
      </c>
    </row>
    <row r="1191" spans="1:21" s="142" customFormat="1" ht="12.75" customHeight="1" x14ac:dyDescent="0.2">
      <c r="A1191" s="151" t="s">
        <v>7912</v>
      </c>
      <c r="B1191" s="152" t="s">
        <v>2705</v>
      </c>
      <c r="C1191" s="152" t="s">
        <v>1435</v>
      </c>
      <c r="D1191" s="152" t="s">
        <v>2705</v>
      </c>
      <c r="E1191" s="152" t="s">
        <v>1435</v>
      </c>
      <c r="F1191" s="152" t="s">
        <v>2705</v>
      </c>
      <c r="G1191" s="152" t="s">
        <v>2705</v>
      </c>
      <c r="H1191" s="152" t="s">
        <v>2705</v>
      </c>
      <c r="I1191" s="152" t="s">
        <v>2705</v>
      </c>
      <c r="J1191" s="152" t="s">
        <v>2675</v>
      </c>
      <c r="K1191" s="152" t="s">
        <v>2398</v>
      </c>
      <c r="L1191" s="152" t="s">
        <v>2705</v>
      </c>
      <c r="M1191" s="152" t="s">
        <v>2398</v>
      </c>
      <c r="N1191" s="152" t="s">
        <v>2398</v>
      </c>
      <c r="O1191" s="152" t="s">
        <v>2705</v>
      </c>
      <c r="P1191" s="152" t="s">
        <v>2705</v>
      </c>
      <c r="Q1191" s="152" t="s">
        <v>2397</v>
      </c>
      <c r="R1191" s="152" t="s">
        <v>2675</v>
      </c>
      <c r="S1191" s="152" t="s">
        <v>2398</v>
      </c>
      <c r="T1191" s="152" t="s">
        <v>2398</v>
      </c>
      <c r="U1191" s="152" t="s">
        <v>2705</v>
      </c>
    </row>
    <row r="1192" spans="1:21" s="142" customFormat="1" ht="12.75" x14ac:dyDescent="0.2">
      <c r="A1192" s="151"/>
      <c r="B1192" s="152" t="s">
        <v>2398</v>
      </c>
      <c r="C1192" s="152" t="s">
        <v>2705</v>
      </c>
      <c r="D1192" s="152" t="s">
        <v>2705</v>
      </c>
      <c r="E1192" s="152" t="s">
        <v>2705</v>
      </c>
      <c r="F1192" s="152" t="s">
        <v>2705</v>
      </c>
      <c r="G1192" s="152" t="s">
        <v>2398</v>
      </c>
      <c r="H1192" s="152" t="s">
        <v>2675</v>
      </c>
      <c r="I1192" s="152" t="s">
        <v>2705</v>
      </c>
      <c r="J1192" s="152" t="s">
        <v>2675</v>
      </c>
      <c r="K1192" s="152" t="s">
        <v>1435</v>
      </c>
      <c r="L1192" s="152" t="s">
        <v>2705</v>
      </c>
      <c r="M1192" s="152" t="s">
        <v>2398</v>
      </c>
      <c r="N1192" s="152" t="s">
        <v>2398</v>
      </c>
      <c r="O1192" s="152" t="s">
        <v>2705</v>
      </c>
      <c r="P1192" s="152" t="s">
        <v>2398</v>
      </c>
      <c r="Q1192" s="152" t="s">
        <v>1435</v>
      </c>
      <c r="R1192" s="152" t="s">
        <v>2398</v>
      </c>
      <c r="S1192" s="152" t="s">
        <v>2705</v>
      </c>
      <c r="T1192" s="152" t="s">
        <v>2705</v>
      </c>
      <c r="U1192" s="152" t="s">
        <v>1435</v>
      </c>
    </row>
    <row r="1193" spans="1:21" s="142" customFormat="1" ht="12.75" customHeight="1" x14ac:dyDescent="0.2">
      <c r="A1193" s="151" t="s">
        <v>7913</v>
      </c>
      <c r="B1193" s="152" t="s">
        <v>1435</v>
      </c>
      <c r="C1193" s="152" t="s">
        <v>2705</v>
      </c>
      <c r="D1193" s="152" t="s">
        <v>2398</v>
      </c>
      <c r="E1193" s="152" t="s">
        <v>2705</v>
      </c>
      <c r="F1193" s="152" t="s">
        <v>2705</v>
      </c>
      <c r="G1193" s="152" t="s">
        <v>2705</v>
      </c>
      <c r="H1193" s="152" t="s">
        <v>2705</v>
      </c>
      <c r="I1193" s="152" t="s">
        <v>2705</v>
      </c>
      <c r="J1193" s="152" t="s">
        <v>2675</v>
      </c>
      <c r="K1193" s="152" t="s">
        <v>2705</v>
      </c>
      <c r="L1193" s="152" t="s">
        <v>2705</v>
      </c>
      <c r="M1193" s="152" t="s">
        <v>2705</v>
      </c>
      <c r="N1193" s="152" t="s">
        <v>2705</v>
      </c>
      <c r="O1193" s="152" t="s">
        <v>2705</v>
      </c>
      <c r="P1193" s="152" t="s">
        <v>2705</v>
      </c>
      <c r="Q1193" s="152" t="s">
        <v>2705</v>
      </c>
      <c r="R1193" s="152" t="s">
        <v>2705</v>
      </c>
      <c r="S1193" s="152" t="s">
        <v>2705</v>
      </c>
      <c r="T1193" s="152" t="s">
        <v>2398</v>
      </c>
      <c r="U1193" s="152" t="s">
        <v>2705</v>
      </c>
    </row>
    <row r="1194" spans="1:21" s="142" customFormat="1" ht="12.75" x14ac:dyDescent="0.2">
      <c r="A1194" s="151"/>
      <c r="B1194" s="152" t="s">
        <v>1435</v>
      </c>
      <c r="C1194" s="152" t="s">
        <v>2397</v>
      </c>
      <c r="D1194" s="152" t="s">
        <v>2705</v>
      </c>
      <c r="E1194" s="152" t="s">
        <v>1435</v>
      </c>
      <c r="F1194" s="152" t="s">
        <v>2705</v>
      </c>
      <c r="G1194" s="152" t="s">
        <v>2705</v>
      </c>
      <c r="H1194" s="152" t="s">
        <v>2705</v>
      </c>
      <c r="I1194" s="152" t="s">
        <v>2675</v>
      </c>
      <c r="J1194" s="152" t="s">
        <v>2675</v>
      </c>
      <c r="K1194" s="152" t="s">
        <v>2705</v>
      </c>
      <c r="L1194" s="152" t="s">
        <v>2705</v>
      </c>
      <c r="M1194" s="152" t="s">
        <v>2705</v>
      </c>
      <c r="N1194" s="152" t="s">
        <v>2705</v>
      </c>
      <c r="O1194" s="152" t="s">
        <v>2705</v>
      </c>
      <c r="P1194" s="152" t="s">
        <v>2705</v>
      </c>
      <c r="Q1194" s="152" t="s">
        <v>2705</v>
      </c>
      <c r="R1194" s="152" t="s">
        <v>1435</v>
      </c>
      <c r="S1194" s="152" t="s">
        <v>2705</v>
      </c>
      <c r="T1194" s="152" t="s">
        <v>2705</v>
      </c>
      <c r="U1194" s="152" t="s">
        <v>2397</v>
      </c>
    </row>
    <row r="1195" spans="1:21" s="142" customFormat="1" ht="12.75" customHeight="1" x14ac:dyDescent="0.2">
      <c r="A1195" s="151" t="s">
        <v>7914</v>
      </c>
      <c r="B1195" s="152" t="s">
        <v>2705</v>
      </c>
      <c r="C1195" s="152" t="s">
        <v>2705</v>
      </c>
      <c r="D1195" s="152" t="s">
        <v>2705</v>
      </c>
      <c r="E1195" s="152" t="s">
        <v>2705</v>
      </c>
      <c r="F1195" s="152" t="s">
        <v>2705</v>
      </c>
      <c r="G1195" s="152" t="s">
        <v>2705</v>
      </c>
      <c r="H1195" s="152" t="s">
        <v>2705</v>
      </c>
      <c r="I1195" s="152" t="s">
        <v>2398</v>
      </c>
      <c r="J1195" s="152" t="s">
        <v>2675</v>
      </c>
      <c r="K1195" s="152" t="s">
        <v>1435</v>
      </c>
      <c r="L1195" s="152" t="s">
        <v>2705</v>
      </c>
      <c r="M1195" s="152" t="s">
        <v>2398</v>
      </c>
      <c r="N1195" s="152" t="s">
        <v>2675</v>
      </c>
      <c r="O1195" s="152" t="s">
        <v>2398</v>
      </c>
      <c r="P1195" s="152" t="s">
        <v>2705</v>
      </c>
      <c r="Q1195" s="152" t="s">
        <v>2398</v>
      </c>
      <c r="R1195" s="152" t="s">
        <v>2675</v>
      </c>
      <c r="S1195" s="152" t="s">
        <v>2398</v>
      </c>
      <c r="T1195" s="152" t="s">
        <v>2705</v>
      </c>
      <c r="U1195" s="152" t="s">
        <v>2705</v>
      </c>
    </row>
    <row r="1196" spans="1:21" s="142" customFormat="1" ht="12.75" x14ac:dyDescent="0.2">
      <c r="A1196" s="151"/>
      <c r="B1196" s="152" t="s">
        <v>2398</v>
      </c>
      <c r="C1196" s="152" t="s">
        <v>2398</v>
      </c>
      <c r="D1196" s="152" t="s">
        <v>2705</v>
      </c>
      <c r="E1196" s="152" t="s">
        <v>2705</v>
      </c>
      <c r="F1196" s="152" t="s">
        <v>2705</v>
      </c>
      <c r="G1196" s="152" t="s">
        <v>2675</v>
      </c>
      <c r="H1196" s="152" t="s">
        <v>2398</v>
      </c>
      <c r="I1196" s="152" t="s">
        <v>2705</v>
      </c>
      <c r="J1196" s="152" t="s">
        <v>2398</v>
      </c>
      <c r="K1196" s="152" t="s">
        <v>2398</v>
      </c>
      <c r="L1196" s="152" t="s">
        <v>2705</v>
      </c>
      <c r="M1196" s="152" t="s">
        <v>2398</v>
      </c>
      <c r="N1196" s="152" t="s">
        <v>2397</v>
      </c>
      <c r="O1196" s="152" t="s">
        <v>2705</v>
      </c>
      <c r="P1196" s="152" t="s">
        <v>2398</v>
      </c>
      <c r="Q1196" s="152" t="s">
        <v>2398</v>
      </c>
      <c r="R1196" s="152" t="s">
        <v>2398</v>
      </c>
      <c r="S1196" s="152" t="s">
        <v>2705</v>
      </c>
      <c r="T1196" s="152" t="s">
        <v>2398</v>
      </c>
      <c r="U1196" s="152" t="s">
        <v>2705</v>
      </c>
    </row>
    <row r="1197" spans="1:21" s="142" customFormat="1" ht="12.75" customHeight="1" x14ac:dyDescent="0.2">
      <c r="A1197" s="151" t="s">
        <v>7915</v>
      </c>
      <c r="B1197" s="152" t="s">
        <v>2705</v>
      </c>
      <c r="C1197" s="152" t="s">
        <v>2705</v>
      </c>
      <c r="D1197" s="152" t="s">
        <v>2675</v>
      </c>
      <c r="E1197" s="152" t="s">
        <v>2398</v>
      </c>
      <c r="F1197" s="152" t="s">
        <v>2705</v>
      </c>
      <c r="G1197" s="152" t="s">
        <v>2705</v>
      </c>
      <c r="H1197" s="152" t="s">
        <v>2705</v>
      </c>
      <c r="I1197" s="152" t="s">
        <v>2398</v>
      </c>
      <c r="J1197" s="152" t="s">
        <v>2675</v>
      </c>
      <c r="K1197" s="152" t="s">
        <v>2705</v>
      </c>
      <c r="L1197" s="152" t="s">
        <v>2705</v>
      </c>
      <c r="M1197" s="152" t="s">
        <v>2705</v>
      </c>
      <c r="N1197" s="152" t="s">
        <v>2705</v>
      </c>
      <c r="O1197" s="152" t="s">
        <v>2398</v>
      </c>
      <c r="P1197" s="152" t="s">
        <v>2398</v>
      </c>
      <c r="Q1197" s="152" t="s">
        <v>2705</v>
      </c>
      <c r="R1197" s="152" t="s">
        <v>2398</v>
      </c>
      <c r="S1197" s="152" t="s">
        <v>2398</v>
      </c>
      <c r="T1197" s="152" t="s">
        <v>1435</v>
      </c>
      <c r="U1197" s="152" t="s">
        <v>2398</v>
      </c>
    </row>
    <row r="1198" spans="1:21" s="142" customFormat="1" ht="12.75" x14ac:dyDescent="0.2">
      <c r="A1198" s="151"/>
      <c r="B1198" s="152" t="s">
        <v>2398</v>
      </c>
      <c r="C1198" s="152" t="s">
        <v>2398</v>
      </c>
      <c r="D1198" s="152" t="s">
        <v>2398</v>
      </c>
      <c r="E1198" s="152" t="s">
        <v>2398</v>
      </c>
      <c r="F1198" s="152" t="s">
        <v>2675</v>
      </c>
      <c r="G1198" s="152" t="s">
        <v>1435</v>
      </c>
      <c r="H1198" s="152" t="s">
        <v>2398</v>
      </c>
      <c r="I1198" s="152" t="s">
        <v>2705</v>
      </c>
      <c r="J1198" s="152" t="s">
        <v>2705</v>
      </c>
      <c r="K1198" s="152" t="s">
        <v>1435</v>
      </c>
      <c r="L1198" s="152" t="s">
        <v>2398</v>
      </c>
      <c r="M1198" s="152" t="s">
        <v>2398</v>
      </c>
      <c r="N1198" s="152" t="s">
        <v>2398</v>
      </c>
      <c r="O1198" s="152" t="s">
        <v>2705</v>
      </c>
      <c r="P1198" s="152" t="s">
        <v>2705</v>
      </c>
      <c r="Q1198" s="152" t="s">
        <v>2705</v>
      </c>
      <c r="R1198" s="152" t="s">
        <v>2398</v>
      </c>
      <c r="S1198" s="152" t="s">
        <v>2398</v>
      </c>
      <c r="T1198" s="152" t="s">
        <v>2705</v>
      </c>
      <c r="U1198" s="152" t="s">
        <v>2398</v>
      </c>
    </row>
    <row r="1199" spans="1:21" s="142" customFormat="1" ht="12.75" customHeight="1" x14ac:dyDescent="0.2">
      <c r="A1199" s="151" t="s">
        <v>7916</v>
      </c>
      <c r="B1199" s="152" t="s">
        <v>2705</v>
      </c>
      <c r="C1199" s="152" t="s">
        <v>2705</v>
      </c>
      <c r="D1199" s="152" t="s">
        <v>2705</v>
      </c>
      <c r="E1199" s="152" t="s">
        <v>2705</v>
      </c>
      <c r="F1199" s="152" t="s">
        <v>2705</v>
      </c>
      <c r="G1199" s="152" t="s">
        <v>2705</v>
      </c>
      <c r="H1199" s="152" t="s">
        <v>2705</v>
      </c>
      <c r="I1199" s="152" t="s">
        <v>2398</v>
      </c>
      <c r="J1199" s="152" t="s">
        <v>2705</v>
      </c>
      <c r="K1199" s="152" t="s">
        <v>2705</v>
      </c>
      <c r="L1199" s="152" t="s">
        <v>2705</v>
      </c>
      <c r="M1199" s="152" t="s">
        <v>2398</v>
      </c>
      <c r="N1199" s="152" t="s">
        <v>2705</v>
      </c>
      <c r="O1199" s="152" t="s">
        <v>2705</v>
      </c>
      <c r="P1199" s="152" t="s">
        <v>2398</v>
      </c>
      <c r="Q1199" s="152" t="s">
        <v>2398</v>
      </c>
      <c r="R1199" s="152" t="s">
        <v>2705</v>
      </c>
      <c r="S1199" s="152" t="s">
        <v>2705</v>
      </c>
      <c r="T1199" s="152" t="s">
        <v>2398</v>
      </c>
      <c r="U1199" s="152" t="s">
        <v>2398</v>
      </c>
    </row>
    <row r="1200" spans="1:21" s="142" customFormat="1" ht="12.75" x14ac:dyDescent="0.2">
      <c r="A1200" s="151"/>
      <c r="B1200" s="152" t="s">
        <v>2398</v>
      </c>
      <c r="C1200" s="152" t="s">
        <v>2705</v>
      </c>
      <c r="D1200" s="152" t="s">
        <v>2705</v>
      </c>
      <c r="E1200" s="152" t="s">
        <v>2398</v>
      </c>
      <c r="F1200" s="152" t="s">
        <v>2705</v>
      </c>
      <c r="G1200" s="152" t="s">
        <v>2705</v>
      </c>
      <c r="H1200" s="152" t="s">
        <v>2705</v>
      </c>
      <c r="I1200" s="152" t="s">
        <v>2705</v>
      </c>
      <c r="J1200" s="152" t="s">
        <v>2705</v>
      </c>
      <c r="K1200" s="152" t="s">
        <v>2705</v>
      </c>
      <c r="L1200" s="152" t="s">
        <v>2398</v>
      </c>
      <c r="M1200" s="152" t="s">
        <v>1435</v>
      </c>
      <c r="N1200" s="152" t="s">
        <v>2705</v>
      </c>
      <c r="O1200" s="152" t="s">
        <v>2705</v>
      </c>
      <c r="P1200" s="152" t="s">
        <v>2705</v>
      </c>
      <c r="Q1200" s="152" t="s">
        <v>2705</v>
      </c>
      <c r="R1200" s="152" t="s">
        <v>2398</v>
      </c>
      <c r="S1200" s="152" t="s">
        <v>2705</v>
      </c>
      <c r="T1200" s="152" t="s">
        <v>2705</v>
      </c>
      <c r="U1200" s="152" t="s">
        <v>2705</v>
      </c>
    </row>
    <row r="1201" spans="1:21" s="142" customFormat="1" ht="12.75" customHeight="1" x14ac:dyDescent="0.2">
      <c r="A1201" s="151" t="s">
        <v>7917</v>
      </c>
      <c r="B1201" s="152" t="s">
        <v>2398</v>
      </c>
      <c r="C1201" s="152" t="s">
        <v>2398</v>
      </c>
      <c r="D1201" s="152" t="s">
        <v>1435</v>
      </c>
      <c r="E1201" s="152" t="s">
        <v>2398</v>
      </c>
      <c r="F1201" s="152" t="s">
        <v>2398</v>
      </c>
      <c r="G1201" s="152" t="s">
        <v>2705</v>
      </c>
      <c r="H1201" s="152" t="s">
        <v>2705</v>
      </c>
      <c r="I1201" s="152" t="s">
        <v>2705</v>
      </c>
      <c r="J1201" s="152" t="s">
        <v>2675</v>
      </c>
      <c r="K1201" s="152" t="s">
        <v>2398</v>
      </c>
      <c r="L1201" s="152" t="s">
        <v>2398</v>
      </c>
      <c r="M1201" s="152" t="s">
        <v>2705</v>
      </c>
      <c r="N1201" s="152" t="s">
        <v>2397</v>
      </c>
      <c r="O1201" s="152" t="s">
        <v>2705</v>
      </c>
      <c r="P1201" s="152" t="s">
        <v>2705</v>
      </c>
      <c r="Q1201" s="152" t="s">
        <v>2705</v>
      </c>
      <c r="R1201" s="152" t="s">
        <v>2398</v>
      </c>
      <c r="S1201" s="152" t="s">
        <v>2705</v>
      </c>
      <c r="T1201" s="152" t="s">
        <v>2397</v>
      </c>
      <c r="U1201" s="152" t="s">
        <v>2705</v>
      </c>
    </row>
    <row r="1202" spans="1:21" s="142" customFormat="1" ht="12.75" x14ac:dyDescent="0.2">
      <c r="A1202" s="151"/>
      <c r="B1202" s="152" t="s">
        <v>2705</v>
      </c>
      <c r="C1202" s="152" t="s">
        <v>2398</v>
      </c>
      <c r="D1202" s="152" t="s">
        <v>2398</v>
      </c>
      <c r="E1202" s="152" t="s">
        <v>2675</v>
      </c>
      <c r="F1202" s="152" t="s">
        <v>2398</v>
      </c>
      <c r="G1202" s="152" t="s">
        <v>2398</v>
      </c>
      <c r="H1202" s="152" t="s">
        <v>2705</v>
      </c>
      <c r="I1202" s="152" t="s">
        <v>2705</v>
      </c>
      <c r="J1202" s="152" t="s">
        <v>2705</v>
      </c>
      <c r="K1202" s="152" t="s">
        <v>2398</v>
      </c>
      <c r="L1202" s="152" t="s">
        <v>2705</v>
      </c>
      <c r="M1202" s="152" t="s">
        <v>2398</v>
      </c>
      <c r="N1202" s="152" t="s">
        <v>2705</v>
      </c>
      <c r="O1202" s="152" t="s">
        <v>2705</v>
      </c>
      <c r="P1202" s="152" t="s">
        <v>2675</v>
      </c>
      <c r="Q1202" s="152" t="s">
        <v>2705</v>
      </c>
      <c r="R1202" s="152" t="s">
        <v>2705</v>
      </c>
      <c r="S1202" s="152" t="s">
        <v>2705</v>
      </c>
      <c r="T1202" s="152" t="s">
        <v>2398</v>
      </c>
      <c r="U1202" s="152" t="s">
        <v>2398</v>
      </c>
    </row>
    <row r="1203" spans="1:21" s="142" customFormat="1" ht="12.75" customHeight="1" x14ac:dyDescent="0.2">
      <c r="A1203" s="151" t="s">
        <v>7918</v>
      </c>
      <c r="B1203" s="152" t="s">
        <v>2705</v>
      </c>
      <c r="C1203" s="152" t="s">
        <v>2398</v>
      </c>
      <c r="D1203" s="152" t="s">
        <v>2675</v>
      </c>
      <c r="E1203" s="152" t="s">
        <v>2398</v>
      </c>
      <c r="F1203" s="152" t="s">
        <v>1435</v>
      </c>
      <c r="G1203" s="152" t="s">
        <v>2705</v>
      </c>
      <c r="H1203" s="152" t="s">
        <v>2705</v>
      </c>
      <c r="I1203" s="152" t="s">
        <v>2398</v>
      </c>
      <c r="J1203" s="152" t="s">
        <v>2397</v>
      </c>
      <c r="K1203" s="152" t="s">
        <v>2705</v>
      </c>
      <c r="L1203" s="152" t="s">
        <v>2675</v>
      </c>
      <c r="M1203" s="152" t="s">
        <v>2675</v>
      </c>
      <c r="N1203" s="152" t="s">
        <v>2675</v>
      </c>
      <c r="O1203" s="152" t="s">
        <v>1435</v>
      </c>
      <c r="P1203" s="152" t="s">
        <v>2397</v>
      </c>
      <c r="Q1203" s="152" t="s">
        <v>1435</v>
      </c>
      <c r="R1203" s="152" t="s">
        <v>2705</v>
      </c>
      <c r="S1203" s="152" t="s">
        <v>2705</v>
      </c>
      <c r="T1203" s="152" t="s">
        <v>2398</v>
      </c>
      <c r="U1203" s="152" t="s">
        <v>2705</v>
      </c>
    </row>
    <row r="1204" spans="1:21" s="142" customFormat="1" ht="12.75" x14ac:dyDescent="0.2">
      <c r="A1204" s="151"/>
      <c r="B1204" s="152" t="s">
        <v>2398</v>
      </c>
      <c r="C1204" s="152" t="s">
        <v>2675</v>
      </c>
      <c r="D1204" s="152" t="s">
        <v>2397</v>
      </c>
      <c r="E1204" s="152" t="s">
        <v>2675</v>
      </c>
      <c r="F1204" s="152" t="s">
        <v>2705</v>
      </c>
      <c r="G1204" s="152" t="s">
        <v>2705</v>
      </c>
      <c r="H1204" s="152" t="s">
        <v>2705</v>
      </c>
      <c r="I1204" s="152" t="s">
        <v>2398</v>
      </c>
      <c r="J1204" s="152" t="s">
        <v>2397</v>
      </c>
      <c r="K1204" s="152" t="s">
        <v>1435</v>
      </c>
      <c r="L1204" s="152" t="s">
        <v>2397</v>
      </c>
      <c r="M1204" s="152" t="s">
        <v>1435</v>
      </c>
      <c r="N1204" s="152" t="s">
        <v>2675</v>
      </c>
      <c r="O1204" s="152" t="s">
        <v>2397</v>
      </c>
      <c r="P1204" s="152" t="s">
        <v>1435</v>
      </c>
      <c r="Q1204" s="152" t="s">
        <v>2705</v>
      </c>
      <c r="R1204" s="152" t="s">
        <v>1435</v>
      </c>
      <c r="S1204" s="152" t="s">
        <v>2397</v>
      </c>
      <c r="T1204" s="152" t="s">
        <v>2675</v>
      </c>
      <c r="U1204" s="152" t="s">
        <v>2675</v>
      </c>
    </row>
    <row r="1205" spans="1:21" s="142" customFormat="1" ht="12.75" customHeight="1" x14ac:dyDescent="0.2">
      <c r="A1205" s="151" t="s">
        <v>7919</v>
      </c>
      <c r="B1205" s="152" t="s">
        <v>2705</v>
      </c>
      <c r="C1205" s="152" t="s">
        <v>2705</v>
      </c>
      <c r="D1205" s="152" t="s">
        <v>2398</v>
      </c>
      <c r="E1205" s="152" t="s">
        <v>2705</v>
      </c>
      <c r="F1205" s="152" t="s">
        <v>2398</v>
      </c>
      <c r="G1205" s="152" t="s">
        <v>2705</v>
      </c>
      <c r="H1205" s="152" t="s">
        <v>1435</v>
      </c>
      <c r="I1205" s="152" t="s">
        <v>2705</v>
      </c>
      <c r="J1205" s="152" t="s">
        <v>2398</v>
      </c>
      <c r="K1205" s="152" t="s">
        <v>2705</v>
      </c>
      <c r="L1205" s="152" t="s">
        <v>2705</v>
      </c>
      <c r="M1205" s="152" t="s">
        <v>2705</v>
      </c>
      <c r="N1205" s="152" t="s">
        <v>2705</v>
      </c>
      <c r="O1205" s="152" t="s">
        <v>2705</v>
      </c>
      <c r="P1205" s="152" t="s">
        <v>2398</v>
      </c>
      <c r="Q1205" s="152" t="s">
        <v>2675</v>
      </c>
      <c r="R1205" s="152" t="s">
        <v>2398</v>
      </c>
      <c r="S1205" s="152" t="s">
        <v>2398</v>
      </c>
      <c r="T1205" s="152" t="s">
        <v>2705</v>
      </c>
      <c r="U1205" s="152" t="s">
        <v>2398</v>
      </c>
    </row>
    <row r="1206" spans="1:21" s="142" customFormat="1" ht="12.75" x14ac:dyDescent="0.2">
      <c r="A1206" s="151"/>
      <c r="B1206" s="152" t="s">
        <v>2705</v>
      </c>
      <c r="C1206" s="152" t="s">
        <v>2705</v>
      </c>
      <c r="D1206" s="152" t="s">
        <v>2398</v>
      </c>
      <c r="E1206" s="152" t="s">
        <v>2398</v>
      </c>
      <c r="F1206" s="152" t="s">
        <v>2705</v>
      </c>
      <c r="G1206" s="152" t="s">
        <v>2398</v>
      </c>
      <c r="H1206" s="152" t="s">
        <v>2398</v>
      </c>
      <c r="I1206" s="152" t="s">
        <v>2705</v>
      </c>
      <c r="J1206" s="152" t="s">
        <v>2705</v>
      </c>
      <c r="K1206" s="152" t="s">
        <v>2705</v>
      </c>
      <c r="L1206" s="152" t="s">
        <v>2397</v>
      </c>
      <c r="M1206" s="152" t="s">
        <v>2398</v>
      </c>
      <c r="N1206" s="152" t="s">
        <v>2398</v>
      </c>
      <c r="O1206" s="152" t="s">
        <v>2705</v>
      </c>
      <c r="P1206" s="152" t="s">
        <v>2705</v>
      </c>
      <c r="Q1206" s="152" t="s">
        <v>2705</v>
      </c>
      <c r="R1206" s="152" t="s">
        <v>2398</v>
      </c>
      <c r="S1206" s="152" t="s">
        <v>2398</v>
      </c>
      <c r="T1206" s="152" t="s">
        <v>2705</v>
      </c>
      <c r="U1206" s="152" t="s">
        <v>2705</v>
      </c>
    </row>
    <row r="1207" spans="1:21" s="142" customFormat="1" ht="12.75" customHeight="1" x14ac:dyDescent="0.2">
      <c r="A1207" s="151" t="s">
        <v>7920</v>
      </c>
      <c r="B1207" s="152" t="s">
        <v>2705</v>
      </c>
      <c r="C1207" s="152" t="s">
        <v>2705</v>
      </c>
      <c r="D1207" s="152" t="s">
        <v>2705</v>
      </c>
      <c r="E1207" s="152" t="s">
        <v>2398</v>
      </c>
      <c r="F1207" s="152" t="s">
        <v>2705</v>
      </c>
      <c r="G1207" s="152" t="s">
        <v>1435</v>
      </c>
      <c r="H1207" s="152" t="s">
        <v>2705</v>
      </c>
      <c r="I1207" s="152" t="s">
        <v>2675</v>
      </c>
      <c r="J1207" s="152" t="s">
        <v>2705</v>
      </c>
      <c r="K1207" s="152" t="s">
        <v>2705</v>
      </c>
      <c r="L1207" s="152" t="s">
        <v>2705</v>
      </c>
      <c r="M1207" s="152" t="s">
        <v>2705</v>
      </c>
      <c r="N1207" s="152" t="s">
        <v>1435</v>
      </c>
      <c r="O1207" s="152" t="s">
        <v>2705</v>
      </c>
      <c r="P1207" s="152" t="s">
        <v>2705</v>
      </c>
      <c r="Q1207" s="152" t="s">
        <v>2397</v>
      </c>
      <c r="R1207" s="152" t="s">
        <v>2398</v>
      </c>
      <c r="S1207" s="152" t="s">
        <v>2705</v>
      </c>
      <c r="T1207" s="152" t="s">
        <v>2705</v>
      </c>
      <c r="U1207" s="152" t="s">
        <v>2705</v>
      </c>
    </row>
    <row r="1208" spans="1:21" s="142" customFormat="1" ht="12.75" x14ac:dyDescent="0.2">
      <c r="A1208" s="151"/>
      <c r="B1208" s="152" t="s">
        <v>2398</v>
      </c>
      <c r="C1208" s="152" t="s">
        <v>2705</v>
      </c>
      <c r="D1208" s="152" t="s">
        <v>2705</v>
      </c>
      <c r="E1208" s="152" t="s">
        <v>2705</v>
      </c>
      <c r="F1208" s="152" t="s">
        <v>2675</v>
      </c>
      <c r="G1208" s="152" t="s">
        <v>2675</v>
      </c>
      <c r="H1208" s="152" t="s">
        <v>2398</v>
      </c>
      <c r="I1208" s="152" t="s">
        <v>2397</v>
      </c>
      <c r="J1208" s="152" t="s">
        <v>2705</v>
      </c>
      <c r="K1208" s="152" t="s">
        <v>2675</v>
      </c>
      <c r="L1208" s="152" t="s">
        <v>2398</v>
      </c>
      <c r="M1208" s="152" t="s">
        <v>2398</v>
      </c>
      <c r="N1208" s="152" t="s">
        <v>2705</v>
      </c>
      <c r="O1208" s="152" t="s">
        <v>2705</v>
      </c>
      <c r="P1208" s="152" t="s">
        <v>2398</v>
      </c>
      <c r="Q1208" s="152" t="s">
        <v>2705</v>
      </c>
      <c r="R1208" s="152" t="s">
        <v>2705</v>
      </c>
      <c r="S1208" s="152" t="s">
        <v>2705</v>
      </c>
      <c r="T1208" s="152" t="s">
        <v>1435</v>
      </c>
      <c r="U1208" s="152" t="s">
        <v>2705</v>
      </c>
    </row>
    <row r="1209" spans="1:21" s="142" customFormat="1" ht="12.75" customHeight="1" x14ac:dyDescent="0.2">
      <c r="A1209" s="151" t="s">
        <v>7921</v>
      </c>
      <c r="B1209" s="152" t="s">
        <v>2705</v>
      </c>
      <c r="C1209" s="152" t="s">
        <v>2705</v>
      </c>
      <c r="D1209" s="152" t="s">
        <v>2705</v>
      </c>
      <c r="E1209" s="152" t="s">
        <v>1435</v>
      </c>
      <c r="F1209" s="152" t="s">
        <v>2705</v>
      </c>
      <c r="G1209" s="152" t="s">
        <v>2705</v>
      </c>
      <c r="H1209" s="152" t="s">
        <v>2705</v>
      </c>
      <c r="I1209" s="152" t="s">
        <v>2398</v>
      </c>
      <c r="J1209" s="152" t="s">
        <v>2398</v>
      </c>
      <c r="K1209" s="152" t="s">
        <v>2398</v>
      </c>
      <c r="L1209" s="152" t="s">
        <v>2705</v>
      </c>
      <c r="M1209" s="152" t="s">
        <v>2705</v>
      </c>
      <c r="N1209" s="152" t="s">
        <v>2398</v>
      </c>
      <c r="O1209" s="152" t="s">
        <v>2705</v>
      </c>
      <c r="P1209" s="152" t="s">
        <v>2705</v>
      </c>
      <c r="Q1209" s="152" t="s">
        <v>2705</v>
      </c>
      <c r="R1209" s="152" t="s">
        <v>2675</v>
      </c>
      <c r="S1209" s="152" t="s">
        <v>2398</v>
      </c>
      <c r="T1209" s="152" t="s">
        <v>2398</v>
      </c>
      <c r="U1209" s="152" t="s">
        <v>2398</v>
      </c>
    </row>
    <row r="1210" spans="1:21" s="142" customFormat="1" ht="12.75" x14ac:dyDescent="0.2">
      <c r="A1210" s="151"/>
      <c r="B1210" s="152" t="s">
        <v>2398</v>
      </c>
      <c r="C1210" s="152" t="s">
        <v>2705</v>
      </c>
      <c r="D1210" s="152" t="s">
        <v>2675</v>
      </c>
      <c r="E1210" s="152" t="s">
        <v>2398</v>
      </c>
      <c r="F1210" s="152" t="s">
        <v>2675</v>
      </c>
      <c r="G1210" s="152" t="s">
        <v>1435</v>
      </c>
      <c r="H1210" s="152" t="s">
        <v>2398</v>
      </c>
      <c r="I1210" s="152" t="s">
        <v>2705</v>
      </c>
      <c r="J1210" s="152" t="s">
        <v>2675</v>
      </c>
      <c r="K1210" s="152" t="s">
        <v>2675</v>
      </c>
      <c r="L1210" s="152" t="s">
        <v>2705</v>
      </c>
      <c r="M1210" s="152" t="s">
        <v>2398</v>
      </c>
      <c r="N1210" s="152" t="s">
        <v>1435</v>
      </c>
      <c r="O1210" s="152" t="s">
        <v>2705</v>
      </c>
      <c r="P1210" s="152" t="s">
        <v>2705</v>
      </c>
      <c r="Q1210" s="152" t="s">
        <v>2705</v>
      </c>
      <c r="R1210" s="152" t="s">
        <v>2398</v>
      </c>
      <c r="S1210" s="152" t="s">
        <v>2705</v>
      </c>
      <c r="T1210" s="152" t="s">
        <v>2675</v>
      </c>
      <c r="U1210" s="152" t="s">
        <v>2398</v>
      </c>
    </row>
    <row r="1211" spans="1:21" s="142" customFormat="1" ht="12.75" customHeight="1" x14ac:dyDescent="0.2">
      <c r="A1211" s="151" t="s">
        <v>7922</v>
      </c>
      <c r="B1211" s="152" t="s">
        <v>2398</v>
      </c>
      <c r="C1211" s="152" t="s">
        <v>2398</v>
      </c>
      <c r="D1211" s="152" t="s">
        <v>2398</v>
      </c>
      <c r="E1211" s="152" t="s">
        <v>2398</v>
      </c>
      <c r="F1211" s="152" t="s">
        <v>2705</v>
      </c>
      <c r="G1211" s="152" t="s">
        <v>2398</v>
      </c>
      <c r="H1211" s="152" t="s">
        <v>2705</v>
      </c>
      <c r="I1211" s="152" t="s">
        <v>2705</v>
      </c>
      <c r="J1211" s="152" t="s">
        <v>2705</v>
      </c>
      <c r="K1211" s="152" t="s">
        <v>2398</v>
      </c>
      <c r="L1211" s="152" t="s">
        <v>2398</v>
      </c>
      <c r="M1211" s="152" t="s">
        <v>2398</v>
      </c>
      <c r="N1211" s="152" t="s">
        <v>2398</v>
      </c>
      <c r="O1211" s="152" t="s">
        <v>2398</v>
      </c>
      <c r="P1211" s="152" t="s">
        <v>2398</v>
      </c>
      <c r="Q1211" s="152" t="s">
        <v>2398</v>
      </c>
      <c r="R1211" s="152" t="s">
        <v>2705</v>
      </c>
      <c r="S1211" s="152" t="s">
        <v>2705</v>
      </c>
      <c r="T1211" s="152" t="s">
        <v>2398</v>
      </c>
      <c r="U1211" s="152" t="s">
        <v>2705</v>
      </c>
    </row>
    <row r="1212" spans="1:21" s="142" customFormat="1" ht="12.75" x14ac:dyDescent="0.2">
      <c r="A1212" s="151"/>
      <c r="B1212" s="152" t="s">
        <v>2705</v>
      </c>
      <c r="C1212" s="152" t="s">
        <v>2397</v>
      </c>
      <c r="D1212" s="152" t="s">
        <v>2398</v>
      </c>
      <c r="E1212" s="152" t="s">
        <v>2705</v>
      </c>
      <c r="F1212" s="152" t="s">
        <v>2675</v>
      </c>
      <c r="G1212" s="152" t="s">
        <v>2705</v>
      </c>
      <c r="H1212" s="152" t="s">
        <v>2705</v>
      </c>
      <c r="I1212" s="152" t="s">
        <v>2398</v>
      </c>
      <c r="J1212" s="152" t="s">
        <v>2705</v>
      </c>
      <c r="K1212" s="152" t="s">
        <v>2705</v>
      </c>
      <c r="L1212" s="152" t="s">
        <v>2398</v>
      </c>
      <c r="M1212" s="152" t="s">
        <v>2705</v>
      </c>
      <c r="N1212" s="152" t="s">
        <v>2675</v>
      </c>
      <c r="O1212" s="152" t="s">
        <v>2705</v>
      </c>
      <c r="P1212" s="152" t="s">
        <v>2398</v>
      </c>
      <c r="Q1212" s="152" t="s">
        <v>2705</v>
      </c>
      <c r="R1212" s="152" t="s">
        <v>2398</v>
      </c>
      <c r="S1212" s="152" t="s">
        <v>2398</v>
      </c>
      <c r="T1212" s="152" t="s">
        <v>2705</v>
      </c>
      <c r="U1212" s="152" t="s">
        <v>2705</v>
      </c>
    </row>
    <row r="1213" spans="1:21" s="142" customFormat="1" ht="12.75" customHeight="1" x14ac:dyDescent="0.2">
      <c r="A1213" s="151" t="s">
        <v>7923</v>
      </c>
      <c r="B1213" s="152" t="s">
        <v>2397</v>
      </c>
      <c r="C1213" s="152" t="s">
        <v>2705</v>
      </c>
      <c r="D1213" s="152" t="s">
        <v>2705</v>
      </c>
      <c r="E1213" s="152" t="s">
        <v>2705</v>
      </c>
      <c r="F1213" s="152" t="s">
        <v>2397</v>
      </c>
      <c r="G1213" s="152" t="s">
        <v>2398</v>
      </c>
      <c r="H1213" s="152" t="s">
        <v>2397</v>
      </c>
      <c r="I1213" s="152" t="s">
        <v>2397</v>
      </c>
      <c r="J1213" s="152" t="s">
        <v>2398</v>
      </c>
      <c r="K1213" s="152" t="s">
        <v>1435</v>
      </c>
      <c r="L1213" s="152" t="s">
        <v>2705</v>
      </c>
      <c r="M1213" s="152" t="s">
        <v>2705</v>
      </c>
      <c r="N1213" s="152" t="s">
        <v>2705</v>
      </c>
      <c r="O1213" s="152" t="s">
        <v>2705</v>
      </c>
      <c r="P1213" s="152" t="s">
        <v>2675</v>
      </c>
      <c r="Q1213" s="152" t="s">
        <v>1435</v>
      </c>
      <c r="R1213" s="152" t="s">
        <v>2675</v>
      </c>
      <c r="S1213" s="152" t="s">
        <v>2705</v>
      </c>
      <c r="T1213" s="152" t="s">
        <v>2398</v>
      </c>
      <c r="U1213" s="152" t="s">
        <v>1435</v>
      </c>
    </row>
    <row r="1214" spans="1:21" s="142" customFormat="1" ht="12.75" x14ac:dyDescent="0.2">
      <c r="A1214" s="151"/>
      <c r="B1214" s="152" t="s">
        <v>2398</v>
      </c>
      <c r="C1214" s="152" t="s">
        <v>2398</v>
      </c>
      <c r="D1214" s="152" t="s">
        <v>2675</v>
      </c>
      <c r="E1214" s="152" t="s">
        <v>2398</v>
      </c>
      <c r="F1214" s="152" t="s">
        <v>2398</v>
      </c>
      <c r="G1214" s="152" t="s">
        <v>2705</v>
      </c>
      <c r="H1214" s="152" t="s">
        <v>2398</v>
      </c>
      <c r="I1214" s="152" t="s">
        <v>2398</v>
      </c>
      <c r="J1214" s="152" t="s">
        <v>2398</v>
      </c>
      <c r="K1214" s="152" t="s">
        <v>2705</v>
      </c>
      <c r="L1214" s="152" t="s">
        <v>2705</v>
      </c>
      <c r="M1214" s="152" t="s">
        <v>2398</v>
      </c>
      <c r="N1214" s="152" t="s">
        <v>2705</v>
      </c>
      <c r="O1214" s="152" t="s">
        <v>2675</v>
      </c>
      <c r="P1214" s="152" t="s">
        <v>2398</v>
      </c>
      <c r="Q1214" s="152" t="s">
        <v>2705</v>
      </c>
      <c r="R1214" s="152" t="s">
        <v>2705</v>
      </c>
      <c r="S1214" s="152" t="s">
        <v>2705</v>
      </c>
      <c r="T1214" s="152" t="s">
        <v>2705</v>
      </c>
      <c r="U1214" s="152" t="s">
        <v>2675</v>
      </c>
    </row>
    <row r="1215" spans="1:21" s="142" customFormat="1" ht="12.75" customHeight="1" x14ac:dyDescent="0.2">
      <c r="A1215" s="151" t="s">
        <v>7924</v>
      </c>
      <c r="B1215" s="152" t="s">
        <v>2675</v>
      </c>
      <c r="C1215" s="152" t="s">
        <v>2398</v>
      </c>
      <c r="D1215" s="152" t="s">
        <v>2675</v>
      </c>
      <c r="E1215" s="152" t="s">
        <v>2705</v>
      </c>
      <c r="F1215" s="152" t="s">
        <v>2398</v>
      </c>
      <c r="G1215" s="152" t="s">
        <v>1435</v>
      </c>
      <c r="H1215" s="152" t="s">
        <v>2398</v>
      </c>
      <c r="I1215" s="152" t="s">
        <v>2397</v>
      </c>
      <c r="J1215" s="152" t="s">
        <v>2398</v>
      </c>
      <c r="K1215" s="152" t="s">
        <v>2398</v>
      </c>
      <c r="L1215" s="152" t="s">
        <v>2675</v>
      </c>
      <c r="M1215" s="152" t="s">
        <v>2705</v>
      </c>
      <c r="N1215" s="152" t="s">
        <v>2398</v>
      </c>
      <c r="O1215" s="152" t="s">
        <v>2705</v>
      </c>
      <c r="P1215" s="152" t="s">
        <v>2397</v>
      </c>
      <c r="Q1215" s="152" t="s">
        <v>1435</v>
      </c>
      <c r="R1215" s="152" t="s">
        <v>2705</v>
      </c>
      <c r="S1215" s="152" t="s">
        <v>2398</v>
      </c>
      <c r="T1215" s="152" t="s">
        <v>1435</v>
      </c>
      <c r="U1215" s="152" t="s">
        <v>1435</v>
      </c>
    </row>
    <row r="1216" spans="1:21" s="142" customFormat="1" ht="12.75" x14ac:dyDescent="0.2">
      <c r="A1216" s="151"/>
      <c r="B1216" s="152" t="s">
        <v>2675</v>
      </c>
      <c r="C1216" s="152" t="s">
        <v>1435</v>
      </c>
      <c r="D1216" s="152" t="s">
        <v>2675</v>
      </c>
      <c r="E1216" s="152" t="s">
        <v>2398</v>
      </c>
      <c r="F1216" s="152" t="s">
        <v>2705</v>
      </c>
      <c r="G1216" s="152" t="s">
        <v>1435</v>
      </c>
      <c r="H1216" s="152" t="s">
        <v>2398</v>
      </c>
      <c r="I1216" s="152" t="s">
        <v>2705</v>
      </c>
      <c r="J1216" s="152" t="s">
        <v>2398</v>
      </c>
      <c r="K1216" s="152" t="s">
        <v>2705</v>
      </c>
      <c r="L1216" s="152" t="s">
        <v>2398</v>
      </c>
      <c r="M1216" s="152" t="s">
        <v>2398</v>
      </c>
      <c r="N1216" s="152" t="s">
        <v>1435</v>
      </c>
      <c r="O1216" s="152" t="s">
        <v>2705</v>
      </c>
      <c r="P1216" s="152" t="s">
        <v>2398</v>
      </c>
      <c r="Q1216" s="152" t="s">
        <v>2705</v>
      </c>
      <c r="R1216" s="152" t="s">
        <v>2398</v>
      </c>
      <c r="S1216" s="152" t="s">
        <v>2398</v>
      </c>
      <c r="T1216" s="152" t="s">
        <v>2705</v>
      </c>
      <c r="U1216" s="152" t="s">
        <v>2398</v>
      </c>
    </row>
    <row r="1217" spans="1:21" s="142" customFormat="1" ht="12.75" customHeight="1" x14ac:dyDescent="0.2">
      <c r="A1217" s="151" t="s">
        <v>7925</v>
      </c>
      <c r="B1217" s="152" t="s">
        <v>2398</v>
      </c>
      <c r="C1217" s="152" t="s">
        <v>2705</v>
      </c>
      <c r="D1217" s="152" t="s">
        <v>2397</v>
      </c>
      <c r="E1217" s="152" t="s">
        <v>2398</v>
      </c>
      <c r="F1217" s="152" t="s">
        <v>2705</v>
      </c>
      <c r="G1217" s="152" t="s">
        <v>2705</v>
      </c>
      <c r="H1217" s="152" t="s">
        <v>2398</v>
      </c>
      <c r="I1217" s="152" t="s">
        <v>2398</v>
      </c>
      <c r="J1217" s="152" t="s">
        <v>2398</v>
      </c>
      <c r="K1217" s="152" t="s">
        <v>2705</v>
      </c>
      <c r="L1217" s="152" t="s">
        <v>2397</v>
      </c>
      <c r="M1217" s="152" t="s">
        <v>1435</v>
      </c>
      <c r="N1217" s="152" t="s">
        <v>2705</v>
      </c>
      <c r="O1217" s="152" t="s">
        <v>2705</v>
      </c>
      <c r="P1217" s="152" t="s">
        <v>2705</v>
      </c>
      <c r="Q1217" s="152" t="s">
        <v>2705</v>
      </c>
      <c r="R1217" s="152" t="s">
        <v>2705</v>
      </c>
      <c r="S1217" s="152" t="s">
        <v>2398</v>
      </c>
      <c r="T1217" s="152" t="s">
        <v>2705</v>
      </c>
      <c r="U1217" s="152" t="s">
        <v>2705</v>
      </c>
    </row>
    <row r="1218" spans="1:21" s="142" customFormat="1" ht="12.75" x14ac:dyDescent="0.2">
      <c r="A1218" s="151"/>
      <c r="B1218" s="152" t="s">
        <v>2675</v>
      </c>
      <c r="C1218" s="152" t="s">
        <v>2398</v>
      </c>
      <c r="D1218" s="152" t="s">
        <v>2705</v>
      </c>
      <c r="E1218" s="152" t="s">
        <v>2705</v>
      </c>
      <c r="F1218" s="152" t="s">
        <v>2705</v>
      </c>
      <c r="G1218" s="152" t="s">
        <v>2398</v>
      </c>
      <c r="H1218" s="152" t="s">
        <v>2705</v>
      </c>
      <c r="I1218" s="152" t="s">
        <v>2705</v>
      </c>
      <c r="J1218" s="152" t="s">
        <v>2705</v>
      </c>
      <c r="K1218" s="152" t="s">
        <v>2398</v>
      </c>
      <c r="L1218" s="152" t="s">
        <v>2398</v>
      </c>
      <c r="M1218" s="152" t="s">
        <v>2705</v>
      </c>
      <c r="N1218" s="152" t="s">
        <v>1435</v>
      </c>
      <c r="O1218" s="152" t="s">
        <v>2398</v>
      </c>
      <c r="P1218" s="152" t="s">
        <v>2398</v>
      </c>
      <c r="Q1218" s="152" t="s">
        <v>2705</v>
      </c>
      <c r="R1218" s="152" t="s">
        <v>2705</v>
      </c>
      <c r="S1218" s="152" t="s">
        <v>2705</v>
      </c>
      <c r="T1218" s="152" t="s">
        <v>2705</v>
      </c>
      <c r="U1218" s="152" t="s">
        <v>2705</v>
      </c>
    </row>
    <row r="1219" spans="1:21" s="142" customFormat="1" ht="12.75" customHeight="1" x14ac:dyDescent="0.2">
      <c r="A1219" s="151" t="s">
        <v>7926</v>
      </c>
      <c r="B1219" s="152" t="s">
        <v>1435</v>
      </c>
      <c r="C1219" s="152" t="s">
        <v>2398</v>
      </c>
      <c r="D1219" s="152" t="s">
        <v>2397</v>
      </c>
      <c r="E1219" s="152" t="s">
        <v>2398</v>
      </c>
      <c r="F1219" s="152" t="s">
        <v>1435</v>
      </c>
      <c r="G1219" s="152" t="s">
        <v>2705</v>
      </c>
      <c r="H1219" s="152" t="s">
        <v>1435</v>
      </c>
      <c r="I1219" s="152" t="s">
        <v>1435</v>
      </c>
      <c r="J1219" s="152" t="s">
        <v>2705</v>
      </c>
      <c r="K1219" s="152" t="s">
        <v>2397</v>
      </c>
      <c r="L1219" s="152" t="s">
        <v>2397</v>
      </c>
      <c r="M1219" s="152" t="s">
        <v>2398</v>
      </c>
      <c r="N1219" s="152" t="s">
        <v>2675</v>
      </c>
      <c r="O1219" s="152" t="s">
        <v>2398</v>
      </c>
      <c r="P1219" s="152" t="s">
        <v>2675</v>
      </c>
      <c r="Q1219" s="152" t="s">
        <v>2675</v>
      </c>
      <c r="R1219" s="152" t="s">
        <v>2675</v>
      </c>
      <c r="S1219" s="152" t="s">
        <v>2398</v>
      </c>
      <c r="T1219" s="152" t="s">
        <v>2675</v>
      </c>
      <c r="U1219" s="152" t="s">
        <v>2398</v>
      </c>
    </row>
    <row r="1220" spans="1:21" s="142" customFormat="1" ht="12.75" x14ac:dyDescent="0.2">
      <c r="A1220" s="151"/>
      <c r="B1220" s="152" t="s">
        <v>2398</v>
      </c>
      <c r="C1220" s="152" t="s">
        <v>1435</v>
      </c>
      <c r="D1220" s="152" t="s">
        <v>2675</v>
      </c>
      <c r="E1220" s="152" t="s">
        <v>2397</v>
      </c>
      <c r="F1220" s="152" t="s">
        <v>2705</v>
      </c>
      <c r="G1220" s="152" t="s">
        <v>2705</v>
      </c>
      <c r="H1220" s="152" t="s">
        <v>2398</v>
      </c>
      <c r="I1220" s="152" t="s">
        <v>2705</v>
      </c>
      <c r="J1220" s="152" t="s">
        <v>2398</v>
      </c>
      <c r="K1220" s="152" t="s">
        <v>2398</v>
      </c>
      <c r="L1220" s="152" t="s">
        <v>2705</v>
      </c>
      <c r="M1220" s="152" t="s">
        <v>2675</v>
      </c>
      <c r="N1220" s="152" t="s">
        <v>2398</v>
      </c>
      <c r="O1220" s="152" t="s">
        <v>2398</v>
      </c>
      <c r="P1220" s="152" t="s">
        <v>2398</v>
      </c>
      <c r="Q1220" s="152" t="s">
        <v>2705</v>
      </c>
      <c r="R1220" s="152" t="s">
        <v>2398</v>
      </c>
      <c r="S1220" s="152" t="s">
        <v>2675</v>
      </c>
      <c r="T1220" s="152" t="s">
        <v>2705</v>
      </c>
      <c r="U1220" s="152" t="s">
        <v>2398</v>
      </c>
    </row>
    <row r="1221" spans="1:21" s="142" customFormat="1" ht="12.75" customHeight="1" x14ac:dyDescent="0.2">
      <c r="A1221" s="151" t="s">
        <v>7927</v>
      </c>
      <c r="B1221" s="152" t="s">
        <v>2705</v>
      </c>
      <c r="C1221" s="152" t="s">
        <v>2705</v>
      </c>
      <c r="D1221" s="152" t="s">
        <v>2675</v>
      </c>
      <c r="E1221" s="152" t="s">
        <v>2705</v>
      </c>
      <c r="F1221" s="152" t="s">
        <v>2398</v>
      </c>
      <c r="G1221" s="152" t="s">
        <v>2398</v>
      </c>
      <c r="H1221" s="152" t="s">
        <v>2705</v>
      </c>
      <c r="I1221" s="152" t="s">
        <v>2705</v>
      </c>
      <c r="J1221" s="152" t="s">
        <v>2398</v>
      </c>
      <c r="K1221" s="152" t="s">
        <v>2398</v>
      </c>
      <c r="L1221" s="152" t="s">
        <v>2675</v>
      </c>
      <c r="M1221" s="152" t="s">
        <v>2705</v>
      </c>
      <c r="N1221" s="152" t="s">
        <v>2398</v>
      </c>
      <c r="O1221" s="152" t="s">
        <v>2705</v>
      </c>
      <c r="P1221" s="152" t="s">
        <v>2397</v>
      </c>
      <c r="Q1221" s="152" t="s">
        <v>2398</v>
      </c>
      <c r="R1221" s="152" t="s">
        <v>2705</v>
      </c>
      <c r="S1221" s="152" t="s">
        <v>2705</v>
      </c>
      <c r="T1221" s="152" t="s">
        <v>2398</v>
      </c>
      <c r="U1221" s="152" t="s">
        <v>2705</v>
      </c>
    </row>
    <row r="1222" spans="1:21" s="142" customFormat="1" ht="12.75" x14ac:dyDescent="0.2">
      <c r="A1222" s="151"/>
      <c r="B1222" s="152" t="s">
        <v>2398</v>
      </c>
      <c r="C1222" s="152" t="s">
        <v>2398</v>
      </c>
      <c r="D1222" s="152" t="s">
        <v>2398</v>
      </c>
      <c r="E1222" s="152" t="s">
        <v>2398</v>
      </c>
      <c r="F1222" s="152" t="s">
        <v>2398</v>
      </c>
      <c r="G1222" s="152" t="s">
        <v>2398</v>
      </c>
      <c r="H1222" s="152" t="s">
        <v>2705</v>
      </c>
      <c r="I1222" s="152" t="s">
        <v>2398</v>
      </c>
      <c r="J1222" s="152" t="s">
        <v>2705</v>
      </c>
      <c r="K1222" s="152" t="s">
        <v>2705</v>
      </c>
      <c r="L1222" s="152" t="s">
        <v>2398</v>
      </c>
      <c r="M1222" s="152" t="s">
        <v>2398</v>
      </c>
      <c r="N1222" s="152" t="s">
        <v>2675</v>
      </c>
      <c r="O1222" s="152" t="s">
        <v>2705</v>
      </c>
      <c r="P1222" s="152" t="s">
        <v>2705</v>
      </c>
      <c r="Q1222" s="152" t="s">
        <v>2705</v>
      </c>
      <c r="R1222" s="152" t="s">
        <v>2398</v>
      </c>
      <c r="S1222" s="152" t="s">
        <v>2705</v>
      </c>
      <c r="T1222" s="152" t="s">
        <v>2705</v>
      </c>
      <c r="U1222" s="152" t="s">
        <v>2675</v>
      </c>
    </row>
    <row r="1223" spans="1:21" s="142" customFormat="1" ht="12.75" customHeight="1" x14ac:dyDescent="0.2">
      <c r="A1223" s="151" t="s">
        <v>7928</v>
      </c>
      <c r="B1223" s="152" t="s">
        <v>2705</v>
      </c>
      <c r="C1223" s="152" t="s">
        <v>2705</v>
      </c>
      <c r="D1223" s="152" t="s">
        <v>2705</v>
      </c>
      <c r="E1223" s="152" t="s">
        <v>2705</v>
      </c>
      <c r="F1223" s="152" t="s">
        <v>2705</v>
      </c>
      <c r="G1223" s="152" t="s">
        <v>2705</v>
      </c>
      <c r="H1223" s="152" t="s">
        <v>2705</v>
      </c>
      <c r="I1223" s="152" t="s">
        <v>2705</v>
      </c>
      <c r="J1223" s="152" t="s">
        <v>2705</v>
      </c>
      <c r="K1223" s="152" t="s">
        <v>2705</v>
      </c>
      <c r="L1223" s="152" t="s">
        <v>2705</v>
      </c>
      <c r="M1223" s="152" t="s">
        <v>2398</v>
      </c>
      <c r="N1223" s="152" t="s">
        <v>2705</v>
      </c>
      <c r="O1223" s="152" t="s">
        <v>2705</v>
      </c>
      <c r="P1223" s="152" t="s">
        <v>2705</v>
      </c>
      <c r="Q1223" s="152" t="s">
        <v>2675</v>
      </c>
      <c r="R1223" s="152" t="s">
        <v>2705</v>
      </c>
      <c r="S1223" s="152" t="s">
        <v>2397</v>
      </c>
      <c r="T1223" s="152" t="s">
        <v>2705</v>
      </c>
      <c r="U1223" s="152" t="s">
        <v>2705</v>
      </c>
    </row>
    <row r="1224" spans="1:21" s="142" customFormat="1" ht="12.75" x14ac:dyDescent="0.2">
      <c r="A1224" s="151"/>
      <c r="B1224" s="152" t="s">
        <v>2397</v>
      </c>
      <c r="C1224" s="152" t="s">
        <v>2705</v>
      </c>
      <c r="D1224" s="152" t="s">
        <v>2705</v>
      </c>
      <c r="E1224" s="152" t="s">
        <v>2705</v>
      </c>
      <c r="F1224" s="152" t="s">
        <v>2675</v>
      </c>
      <c r="G1224" s="152" t="s">
        <v>1435</v>
      </c>
      <c r="H1224" s="152" t="s">
        <v>2705</v>
      </c>
      <c r="I1224" s="152" t="s">
        <v>2705</v>
      </c>
      <c r="J1224" s="152" t="s">
        <v>2705</v>
      </c>
      <c r="K1224" s="152" t="s">
        <v>2705</v>
      </c>
      <c r="L1224" s="152" t="s">
        <v>2398</v>
      </c>
      <c r="M1224" s="152" t="s">
        <v>2705</v>
      </c>
      <c r="N1224" s="152" t="s">
        <v>2705</v>
      </c>
      <c r="O1224" s="152" t="s">
        <v>2705</v>
      </c>
      <c r="P1224" s="152" t="s">
        <v>2675</v>
      </c>
      <c r="Q1224" s="152" t="s">
        <v>2705</v>
      </c>
      <c r="R1224" s="152" t="s">
        <v>1435</v>
      </c>
      <c r="S1224" s="152" t="s">
        <v>2705</v>
      </c>
      <c r="T1224" s="152" t="s">
        <v>2705</v>
      </c>
      <c r="U1224" s="152" t="s">
        <v>2397</v>
      </c>
    </row>
    <row r="1225" spans="1:21" s="142" customFormat="1" ht="12.75" customHeight="1" x14ac:dyDescent="0.2">
      <c r="A1225" s="151" t="s">
        <v>7929</v>
      </c>
      <c r="B1225" s="152" t="s">
        <v>2398</v>
      </c>
      <c r="C1225" s="152" t="s">
        <v>2398</v>
      </c>
      <c r="D1225" s="152" t="s">
        <v>2398</v>
      </c>
      <c r="E1225" s="152" t="s">
        <v>1435</v>
      </c>
      <c r="F1225" s="152" t="s">
        <v>2398</v>
      </c>
      <c r="G1225" s="152" t="s">
        <v>2705</v>
      </c>
      <c r="H1225" s="152" t="s">
        <v>2705</v>
      </c>
      <c r="I1225" s="152" t="s">
        <v>2398</v>
      </c>
      <c r="J1225" s="152" t="s">
        <v>1435</v>
      </c>
      <c r="K1225" s="152" t="s">
        <v>2398</v>
      </c>
      <c r="L1225" s="152" t="s">
        <v>2705</v>
      </c>
      <c r="M1225" s="152" t="s">
        <v>2705</v>
      </c>
      <c r="N1225" s="152" t="s">
        <v>2398</v>
      </c>
      <c r="O1225" s="152" t="s">
        <v>2705</v>
      </c>
      <c r="P1225" s="152" t="s">
        <v>2705</v>
      </c>
      <c r="Q1225" s="152" t="s">
        <v>2705</v>
      </c>
      <c r="R1225" s="152" t="s">
        <v>2398</v>
      </c>
      <c r="S1225" s="152" t="s">
        <v>2675</v>
      </c>
      <c r="T1225" s="152" t="s">
        <v>2398</v>
      </c>
      <c r="U1225" s="152" t="s">
        <v>2705</v>
      </c>
    </row>
    <row r="1226" spans="1:21" s="142" customFormat="1" ht="12.75" x14ac:dyDescent="0.2">
      <c r="A1226" s="151"/>
      <c r="B1226" s="152" t="s">
        <v>2675</v>
      </c>
      <c r="C1226" s="152" t="s">
        <v>2398</v>
      </c>
      <c r="D1226" s="152" t="s">
        <v>2398</v>
      </c>
      <c r="E1226" s="152" t="s">
        <v>2398</v>
      </c>
      <c r="F1226" s="152" t="s">
        <v>2705</v>
      </c>
      <c r="G1226" s="152" t="s">
        <v>2705</v>
      </c>
      <c r="H1226" s="152" t="s">
        <v>2398</v>
      </c>
      <c r="I1226" s="152" t="s">
        <v>2705</v>
      </c>
      <c r="J1226" s="152" t="s">
        <v>2398</v>
      </c>
      <c r="K1226" s="152" t="s">
        <v>1435</v>
      </c>
      <c r="L1226" s="152" t="s">
        <v>2705</v>
      </c>
      <c r="M1226" s="152" t="s">
        <v>2398</v>
      </c>
      <c r="N1226" s="152" t="s">
        <v>2705</v>
      </c>
      <c r="O1226" s="152" t="s">
        <v>2398</v>
      </c>
      <c r="P1226" s="152" t="s">
        <v>2675</v>
      </c>
      <c r="Q1226" s="152" t="s">
        <v>2705</v>
      </c>
      <c r="R1226" s="152" t="s">
        <v>2705</v>
      </c>
      <c r="S1226" s="152" t="s">
        <v>2705</v>
      </c>
      <c r="T1226" s="152" t="s">
        <v>2705</v>
      </c>
      <c r="U1226" s="152" t="s">
        <v>2398</v>
      </c>
    </row>
    <row r="1227" spans="1:21" s="142" customFormat="1" ht="12.75" customHeight="1" x14ac:dyDescent="0.2">
      <c r="A1227" s="151" t="s">
        <v>7930</v>
      </c>
      <c r="B1227" s="152" t="s">
        <v>2398</v>
      </c>
      <c r="C1227" s="152" t="s">
        <v>2398</v>
      </c>
      <c r="D1227" s="152" t="s">
        <v>2705</v>
      </c>
      <c r="E1227" s="152" t="s">
        <v>2705</v>
      </c>
      <c r="F1227" s="152" t="s">
        <v>2397</v>
      </c>
      <c r="G1227" s="152" t="s">
        <v>1435</v>
      </c>
      <c r="H1227" s="152" t="s">
        <v>2675</v>
      </c>
      <c r="I1227" s="152" t="s">
        <v>2398</v>
      </c>
      <c r="J1227" s="152" t="s">
        <v>2675</v>
      </c>
      <c r="K1227" s="152" t="s">
        <v>2397</v>
      </c>
      <c r="L1227" s="152" t="s">
        <v>2705</v>
      </c>
      <c r="M1227" s="152" t="s">
        <v>1435</v>
      </c>
      <c r="N1227" s="152" t="s">
        <v>2705</v>
      </c>
      <c r="O1227" s="152" t="s">
        <v>2705</v>
      </c>
      <c r="P1227" s="152" t="s">
        <v>2705</v>
      </c>
      <c r="Q1227" s="152" t="s">
        <v>2705</v>
      </c>
      <c r="R1227" s="152" t="s">
        <v>2397</v>
      </c>
      <c r="S1227" s="152" t="s">
        <v>2705</v>
      </c>
      <c r="T1227" s="152" t="s">
        <v>2675</v>
      </c>
      <c r="U1227" s="152" t="s">
        <v>2397</v>
      </c>
    </row>
    <row r="1228" spans="1:21" s="142" customFormat="1" ht="12.75" x14ac:dyDescent="0.2">
      <c r="A1228" s="151"/>
      <c r="B1228" s="152" t="s">
        <v>1435</v>
      </c>
      <c r="C1228" s="152" t="s">
        <v>2705</v>
      </c>
      <c r="D1228" s="152" t="s">
        <v>1435</v>
      </c>
      <c r="E1228" s="152" t="s">
        <v>2705</v>
      </c>
      <c r="F1228" s="152" t="s">
        <v>2398</v>
      </c>
      <c r="G1228" s="152" t="s">
        <v>2705</v>
      </c>
      <c r="H1228" s="152" t="s">
        <v>2705</v>
      </c>
      <c r="I1228" s="152" t="s">
        <v>2705</v>
      </c>
      <c r="J1228" s="152" t="s">
        <v>2397</v>
      </c>
      <c r="K1228" s="152" t="s">
        <v>2705</v>
      </c>
      <c r="L1228" s="152" t="s">
        <v>2398</v>
      </c>
      <c r="M1228" s="152" t="s">
        <v>2397</v>
      </c>
      <c r="N1228" s="152" t="s">
        <v>2675</v>
      </c>
      <c r="O1228" s="152" t="s">
        <v>2397</v>
      </c>
      <c r="P1228" s="152" t="s">
        <v>2705</v>
      </c>
      <c r="Q1228" s="152" t="s">
        <v>2705</v>
      </c>
      <c r="R1228" s="152" t="s">
        <v>1435</v>
      </c>
      <c r="S1228" s="152" t="s">
        <v>2397</v>
      </c>
      <c r="T1228" s="152" t="s">
        <v>2705</v>
      </c>
      <c r="U1228" s="152" t="s">
        <v>2398</v>
      </c>
    </row>
    <row r="1229" spans="1:21" s="142" customFormat="1" ht="12.75" customHeight="1" x14ac:dyDescent="0.2">
      <c r="A1229" s="151" t="s">
        <v>7931</v>
      </c>
      <c r="B1229" s="152" t="s">
        <v>2397</v>
      </c>
      <c r="C1229" s="152" t="s">
        <v>2675</v>
      </c>
      <c r="D1229" s="152" t="s">
        <v>2705</v>
      </c>
      <c r="E1229" s="152" t="s">
        <v>2397</v>
      </c>
      <c r="F1229" s="152" t="s">
        <v>2397</v>
      </c>
      <c r="G1229" s="152" t="s">
        <v>1435</v>
      </c>
      <c r="H1229" s="152" t="s">
        <v>2397</v>
      </c>
      <c r="I1229" s="152" t="s">
        <v>2397</v>
      </c>
      <c r="J1229" s="152" t="s">
        <v>2675</v>
      </c>
      <c r="K1229" s="152" t="s">
        <v>2397</v>
      </c>
      <c r="L1229" s="152" t="s">
        <v>2398</v>
      </c>
      <c r="M1229" s="152" t="s">
        <v>2397</v>
      </c>
      <c r="N1229" s="152" t="s">
        <v>2397</v>
      </c>
      <c r="O1229" s="152" t="s">
        <v>2398</v>
      </c>
      <c r="P1229" s="152" t="s">
        <v>2397</v>
      </c>
      <c r="Q1229" s="152" t="s">
        <v>2705</v>
      </c>
      <c r="R1229" s="152" t="s">
        <v>2705</v>
      </c>
      <c r="S1229" s="152" t="s">
        <v>2675</v>
      </c>
      <c r="T1229" s="152" t="s">
        <v>2705</v>
      </c>
      <c r="U1229" s="152" t="s">
        <v>2705</v>
      </c>
    </row>
    <row r="1230" spans="1:21" s="142" customFormat="1" ht="12.75" x14ac:dyDescent="0.2">
      <c r="A1230" s="151"/>
      <c r="B1230" s="152" t="s">
        <v>2397</v>
      </c>
      <c r="C1230" s="152" t="s">
        <v>2675</v>
      </c>
      <c r="D1230" s="152" t="s">
        <v>2398</v>
      </c>
      <c r="E1230" s="152" t="s">
        <v>2398</v>
      </c>
      <c r="F1230" s="152" t="s">
        <v>2398</v>
      </c>
      <c r="G1230" s="152" t="s">
        <v>2675</v>
      </c>
      <c r="H1230" s="152" t="s">
        <v>2398</v>
      </c>
      <c r="I1230" s="152" t="s">
        <v>1435</v>
      </c>
      <c r="J1230" s="152" t="s">
        <v>2705</v>
      </c>
      <c r="K1230" s="152" t="s">
        <v>2705</v>
      </c>
      <c r="L1230" s="152" t="s">
        <v>2705</v>
      </c>
      <c r="M1230" s="152" t="s">
        <v>1435</v>
      </c>
      <c r="N1230" s="152" t="s">
        <v>2397</v>
      </c>
      <c r="O1230" s="152" t="s">
        <v>2398</v>
      </c>
      <c r="P1230" s="152" t="s">
        <v>2705</v>
      </c>
      <c r="Q1230" s="152" t="s">
        <v>2398</v>
      </c>
      <c r="R1230" s="152" t="s">
        <v>2398</v>
      </c>
      <c r="S1230" s="152" t="s">
        <v>2705</v>
      </c>
      <c r="T1230" s="152" t="s">
        <v>2705</v>
      </c>
      <c r="U1230" s="152" t="s">
        <v>2675</v>
      </c>
    </row>
    <row r="1231" spans="1:21" s="142" customFormat="1" ht="12.75" customHeight="1" x14ac:dyDescent="0.2">
      <c r="A1231" s="151" t="s">
        <v>7932</v>
      </c>
      <c r="B1231" s="152" t="s">
        <v>2705</v>
      </c>
      <c r="C1231" s="152" t="s">
        <v>2398</v>
      </c>
      <c r="D1231" s="152" t="s">
        <v>2675</v>
      </c>
      <c r="E1231" s="152" t="s">
        <v>2705</v>
      </c>
      <c r="F1231" s="152" t="s">
        <v>2397</v>
      </c>
      <c r="G1231" s="152" t="s">
        <v>1435</v>
      </c>
      <c r="H1231" s="152" t="s">
        <v>2675</v>
      </c>
      <c r="I1231" s="152" t="s">
        <v>2398</v>
      </c>
      <c r="J1231" s="152" t="s">
        <v>2705</v>
      </c>
      <c r="K1231" s="152" t="s">
        <v>2397</v>
      </c>
      <c r="L1231" s="152" t="s">
        <v>2675</v>
      </c>
      <c r="M1231" s="152" t="s">
        <v>2398</v>
      </c>
      <c r="N1231" s="152" t="s">
        <v>2705</v>
      </c>
      <c r="O1231" s="152" t="s">
        <v>1435</v>
      </c>
      <c r="P1231" s="152" t="s">
        <v>2705</v>
      </c>
      <c r="Q1231" s="152" t="s">
        <v>2675</v>
      </c>
      <c r="R1231" s="152" t="s">
        <v>2397</v>
      </c>
      <c r="S1231" s="152" t="s">
        <v>2705</v>
      </c>
      <c r="T1231" s="152" t="s">
        <v>2398</v>
      </c>
      <c r="U1231" s="152" t="s">
        <v>2398</v>
      </c>
    </row>
    <row r="1232" spans="1:21" s="142" customFormat="1" ht="12.75" x14ac:dyDescent="0.2">
      <c r="A1232" s="151"/>
      <c r="B1232" s="152" t="s">
        <v>2705</v>
      </c>
      <c r="C1232" s="152" t="s">
        <v>2397</v>
      </c>
      <c r="D1232" s="152" t="s">
        <v>2705</v>
      </c>
      <c r="E1232" s="152" t="s">
        <v>2675</v>
      </c>
      <c r="F1232" s="152" t="s">
        <v>2398</v>
      </c>
      <c r="G1232" s="152" t="s">
        <v>2398</v>
      </c>
      <c r="H1232" s="152" t="s">
        <v>1435</v>
      </c>
      <c r="I1232" s="152" t="s">
        <v>2675</v>
      </c>
      <c r="J1232" s="152" t="s">
        <v>2398</v>
      </c>
      <c r="K1232" s="152" t="s">
        <v>2398</v>
      </c>
      <c r="L1232" s="152" t="s">
        <v>2675</v>
      </c>
      <c r="M1232" s="152" t="s">
        <v>2398</v>
      </c>
      <c r="N1232" s="152" t="s">
        <v>2675</v>
      </c>
      <c r="O1232" s="152" t="s">
        <v>1435</v>
      </c>
      <c r="P1232" s="152" t="s">
        <v>1435</v>
      </c>
      <c r="Q1232" s="152" t="s">
        <v>2705</v>
      </c>
      <c r="R1232" s="152" t="s">
        <v>1435</v>
      </c>
      <c r="S1232" s="152" t="s">
        <v>2397</v>
      </c>
      <c r="T1232" s="152" t="s">
        <v>2705</v>
      </c>
      <c r="U1232" s="152" t="s">
        <v>2398</v>
      </c>
    </row>
    <row r="1233" spans="1:21" s="142" customFormat="1" ht="12.75" customHeight="1" x14ac:dyDescent="0.2">
      <c r="A1233" s="151" t="s">
        <v>7933</v>
      </c>
      <c r="B1233" s="152" t="s">
        <v>2398</v>
      </c>
      <c r="C1233" s="152" t="s">
        <v>2705</v>
      </c>
      <c r="D1233" s="152" t="s">
        <v>2398</v>
      </c>
      <c r="E1233" s="152" t="s">
        <v>2398</v>
      </c>
      <c r="F1233" s="152" t="s">
        <v>2398</v>
      </c>
      <c r="G1233" s="152" t="s">
        <v>2705</v>
      </c>
      <c r="H1233" s="152" t="s">
        <v>2398</v>
      </c>
      <c r="I1233" s="152" t="s">
        <v>2705</v>
      </c>
      <c r="J1233" s="152" t="s">
        <v>2705</v>
      </c>
      <c r="K1233" s="152" t="s">
        <v>2705</v>
      </c>
      <c r="L1233" s="152" t="s">
        <v>2705</v>
      </c>
      <c r="M1233" s="152" t="s">
        <v>2705</v>
      </c>
      <c r="N1233" s="152" t="s">
        <v>2705</v>
      </c>
      <c r="O1233" s="152" t="s">
        <v>2398</v>
      </c>
      <c r="P1233" s="152" t="s">
        <v>2398</v>
      </c>
      <c r="Q1233" s="152" t="s">
        <v>2705</v>
      </c>
      <c r="R1233" s="152" t="s">
        <v>2705</v>
      </c>
      <c r="S1233" s="152" t="s">
        <v>2398</v>
      </c>
      <c r="T1233" s="152" t="s">
        <v>2398</v>
      </c>
      <c r="U1233" s="152" t="s">
        <v>2705</v>
      </c>
    </row>
    <row r="1234" spans="1:21" s="142" customFormat="1" ht="12.75" x14ac:dyDescent="0.2">
      <c r="A1234" s="151"/>
      <c r="B1234" s="152" t="s">
        <v>2398</v>
      </c>
      <c r="C1234" s="152" t="s">
        <v>1435</v>
      </c>
      <c r="D1234" s="152" t="s">
        <v>2398</v>
      </c>
      <c r="E1234" s="152" t="s">
        <v>2398</v>
      </c>
      <c r="F1234" s="152" t="s">
        <v>2705</v>
      </c>
      <c r="G1234" s="152" t="s">
        <v>1435</v>
      </c>
      <c r="H1234" s="152" t="s">
        <v>2398</v>
      </c>
      <c r="I1234" s="152" t="s">
        <v>2705</v>
      </c>
      <c r="J1234" s="152" t="s">
        <v>2705</v>
      </c>
      <c r="K1234" s="152" t="s">
        <v>2398</v>
      </c>
      <c r="L1234" s="152" t="s">
        <v>2397</v>
      </c>
      <c r="M1234" s="152" t="s">
        <v>2675</v>
      </c>
      <c r="N1234" s="152" t="s">
        <v>2675</v>
      </c>
      <c r="O1234" s="152" t="s">
        <v>2705</v>
      </c>
      <c r="P1234" s="152" t="s">
        <v>2705</v>
      </c>
      <c r="Q1234" s="152" t="s">
        <v>2705</v>
      </c>
      <c r="R1234" s="152" t="s">
        <v>1435</v>
      </c>
      <c r="S1234" s="152" t="s">
        <v>2675</v>
      </c>
      <c r="T1234" s="152" t="s">
        <v>2705</v>
      </c>
      <c r="U1234" s="152" t="s">
        <v>2397</v>
      </c>
    </row>
    <row r="1235" spans="1:21" s="142" customFormat="1" ht="12.75" customHeight="1" x14ac:dyDescent="0.2">
      <c r="A1235" s="151" t="s">
        <v>7934</v>
      </c>
      <c r="B1235" s="152" t="s">
        <v>2705</v>
      </c>
      <c r="C1235" s="152" t="s">
        <v>2705</v>
      </c>
      <c r="D1235" s="152" t="s">
        <v>2705</v>
      </c>
      <c r="E1235" s="152" t="s">
        <v>2398</v>
      </c>
      <c r="F1235" s="152" t="s">
        <v>2398</v>
      </c>
      <c r="G1235" s="152" t="s">
        <v>2705</v>
      </c>
      <c r="H1235" s="152" t="s">
        <v>2398</v>
      </c>
      <c r="I1235" s="152" t="s">
        <v>2398</v>
      </c>
      <c r="J1235" s="152" t="s">
        <v>2705</v>
      </c>
      <c r="K1235" s="152" t="s">
        <v>2705</v>
      </c>
      <c r="L1235" s="152" t="s">
        <v>2705</v>
      </c>
      <c r="M1235" s="152" t="s">
        <v>2398</v>
      </c>
      <c r="N1235" s="152" t="s">
        <v>2705</v>
      </c>
      <c r="O1235" s="152" t="s">
        <v>2398</v>
      </c>
      <c r="P1235" s="152" t="s">
        <v>2398</v>
      </c>
      <c r="Q1235" s="152" t="s">
        <v>2398</v>
      </c>
      <c r="R1235" s="152" t="s">
        <v>2705</v>
      </c>
      <c r="S1235" s="152" t="s">
        <v>2398</v>
      </c>
      <c r="T1235" s="152" t="s">
        <v>1435</v>
      </c>
      <c r="U1235" s="152" t="s">
        <v>2705</v>
      </c>
    </row>
    <row r="1236" spans="1:21" s="142" customFormat="1" ht="12.75" x14ac:dyDescent="0.2">
      <c r="A1236" s="151"/>
      <c r="B1236" s="152" t="s">
        <v>2398</v>
      </c>
      <c r="C1236" s="152" t="s">
        <v>2398</v>
      </c>
      <c r="D1236" s="152" t="s">
        <v>2705</v>
      </c>
      <c r="E1236" s="152" t="s">
        <v>2398</v>
      </c>
      <c r="F1236" s="152" t="s">
        <v>2675</v>
      </c>
      <c r="G1236" s="152" t="s">
        <v>1435</v>
      </c>
      <c r="H1236" s="152" t="s">
        <v>2398</v>
      </c>
      <c r="I1236" s="152" t="s">
        <v>2705</v>
      </c>
      <c r="J1236" s="152" t="s">
        <v>2705</v>
      </c>
      <c r="K1236" s="152" t="s">
        <v>2705</v>
      </c>
      <c r="L1236" s="152" t="s">
        <v>2398</v>
      </c>
      <c r="M1236" s="152" t="s">
        <v>1435</v>
      </c>
      <c r="N1236" s="152" t="s">
        <v>2398</v>
      </c>
      <c r="O1236" s="152" t="s">
        <v>2705</v>
      </c>
      <c r="P1236" s="152" t="s">
        <v>2398</v>
      </c>
      <c r="Q1236" s="152" t="s">
        <v>2705</v>
      </c>
      <c r="R1236" s="152" t="s">
        <v>2398</v>
      </c>
      <c r="S1236" s="152" t="s">
        <v>2397</v>
      </c>
      <c r="T1236" s="152" t="s">
        <v>2705</v>
      </c>
      <c r="U1236" s="152" t="s">
        <v>2705</v>
      </c>
    </row>
    <row r="1237" spans="1:21" s="142" customFormat="1" ht="12.75" customHeight="1" x14ac:dyDescent="0.2">
      <c r="A1237" s="151" t="s">
        <v>7935</v>
      </c>
      <c r="B1237" s="152" t="s">
        <v>2705</v>
      </c>
      <c r="C1237" s="152" t="s">
        <v>2675</v>
      </c>
      <c r="D1237" s="152" t="s">
        <v>2705</v>
      </c>
      <c r="E1237" s="152" t="s">
        <v>2705</v>
      </c>
      <c r="F1237" s="152" t="s">
        <v>2398</v>
      </c>
      <c r="G1237" s="152" t="s">
        <v>2705</v>
      </c>
      <c r="H1237" s="152" t="s">
        <v>2705</v>
      </c>
      <c r="I1237" s="152" t="s">
        <v>2705</v>
      </c>
      <c r="J1237" s="152" t="s">
        <v>2705</v>
      </c>
      <c r="K1237" s="152" t="s">
        <v>2705</v>
      </c>
      <c r="L1237" s="152" t="s">
        <v>2705</v>
      </c>
      <c r="M1237" s="152" t="s">
        <v>2705</v>
      </c>
      <c r="N1237" s="152" t="s">
        <v>2705</v>
      </c>
      <c r="O1237" s="152" t="s">
        <v>2705</v>
      </c>
      <c r="P1237" s="152" t="s">
        <v>2398</v>
      </c>
      <c r="Q1237" s="152" t="s">
        <v>2675</v>
      </c>
      <c r="R1237" s="152" t="s">
        <v>2398</v>
      </c>
      <c r="S1237" s="152" t="s">
        <v>2398</v>
      </c>
      <c r="T1237" s="152" t="s">
        <v>2705</v>
      </c>
      <c r="U1237" s="152" t="s">
        <v>2705</v>
      </c>
    </row>
    <row r="1238" spans="1:21" s="142" customFormat="1" ht="12.75" x14ac:dyDescent="0.2">
      <c r="A1238" s="151"/>
      <c r="B1238" s="152" t="s">
        <v>2705</v>
      </c>
      <c r="C1238" s="152" t="s">
        <v>2398</v>
      </c>
      <c r="D1238" s="152" t="s">
        <v>2705</v>
      </c>
      <c r="E1238" s="152" t="s">
        <v>2705</v>
      </c>
      <c r="F1238" s="152" t="s">
        <v>2705</v>
      </c>
      <c r="G1238" s="152" t="s">
        <v>1435</v>
      </c>
      <c r="H1238" s="152" t="s">
        <v>2705</v>
      </c>
      <c r="I1238" s="152" t="s">
        <v>2705</v>
      </c>
      <c r="J1238" s="152" t="s">
        <v>2705</v>
      </c>
      <c r="K1238" s="152" t="s">
        <v>2398</v>
      </c>
      <c r="L1238" s="152" t="s">
        <v>2398</v>
      </c>
      <c r="M1238" s="152" t="s">
        <v>2705</v>
      </c>
      <c r="N1238" s="152" t="s">
        <v>2705</v>
      </c>
      <c r="O1238" s="152" t="s">
        <v>2398</v>
      </c>
      <c r="P1238" s="152" t="s">
        <v>2705</v>
      </c>
      <c r="Q1238" s="152" t="s">
        <v>2705</v>
      </c>
      <c r="R1238" s="152" t="s">
        <v>2398</v>
      </c>
      <c r="S1238" s="152" t="s">
        <v>2398</v>
      </c>
      <c r="T1238" s="152" t="s">
        <v>2705</v>
      </c>
      <c r="U1238" s="152" t="s">
        <v>2705</v>
      </c>
    </row>
    <row r="1239" spans="1:21" s="142" customFormat="1" ht="12.75" customHeight="1" x14ac:dyDescent="0.2">
      <c r="A1239" s="151" t="s">
        <v>7936</v>
      </c>
      <c r="B1239" s="152" t="s">
        <v>2398</v>
      </c>
      <c r="C1239" s="152" t="s">
        <v>2398</v>
      </c>
      <c r="D1239" s="152" t="s">
        <v>2398</v>
      </c>
      <c r="E1239" s="152" t="s">
        <v>2398</v>
      </c>
      <c r="F1239" s="152" t="s">
        <v>2398</v>
      </c>
      <c r="G1239" s="152" t="s">
        <v>2398</v>
      </c>
      <c r="H1239" s="152" t="s">
        <v>2705</v>
      </c>
      <c r="I1239" s="152" t="s">
        <v>2705</v>
      </c>
      <c r="J1239" s="152" t="s">
        <v>2675</v>
      </c>
      <c r="K1239" s="152" t="s">
        <v>2398</v>
      </c>
      <c r="L1239" s="152" t="s">
        <v>2398</v>
      </c>
      <c r="M1239" s="152" t="s">
        <v>2398</v>
      </c>
      <c r="N1239" s="152" t="s">
        <v>2398</v>
      </c>
      <c r="O1239" s="152" t="s">
        <v>2705</v>
      </c>
      <c r="P1239" s="152" t="s">
        <v>1435</v>
      </c>
      <c r="Q1239" s="152" t="s">
        <v>2705</v>
      </c>
      <c r="R1239" s="152" t="s">
        <v>2398</v>
      </c>
      <c r="S1239" s="152" t="s">
        <v>2705</v>
      </c>
      <c r="T1239" s="152" t="s">
        <v>2398</v>
      </c>
      <c r="U1239" s="152" t="s">
        <v>2398</v>
      </c>
    </row>
    <row r="1240" spans="1:21" s="142" customFormat="1" ht="12.75" x14ac:dyDescent="0.2">
      <c r="A1240" s="151"/>
      <c r="B1240" s="152" t="s">
        <v>2705</v>
      </c>
      <c r="C1240" s="152" t="s">
        <v>2397</v>
      </c>
      <c r="D1240" s="152" t="s">
        <v>2705</v>
      </c>
      <c r="E1240" s="152" t="s">
        <v>2675</v>
      </c>
      <c r="F1240" s="152" t="s">
        <v>2398</v>
      </c>
      <c r="G1240" s="152" t="s">
        <v>2705</v>
      </c>
      <c r="H1240" s="152" t="s">
        <v>1435</v>
      </c>
      <c r="I1240" s="152" t="s">
        <v>2705</v>
      </c>
      <c r="J1240" s="152" t="s">
        <v>2397</v>
      </c>
      <c r="K1240" s="152" t="s">
        <v>1435</v>
      </c>
      <c r="L1240" s="152" t="s">
        <v>2705</v>
      </c>
      <c r="M1240" s="152" t="s">
        <v>2705</v>
      </c>
      <c r="N1240" s="152" t="s">
        <v>2705</v>
      </c>
      <c r="O1240" s="152" t="s">
        <v>2398</v>
      </c>
      <c r="P1240" s="152" t="s">
        <v>2675</v>
      </c>
      <c r="Q1240" s="152" t="s">
        <v>2398</v>
      </c>
      <c r="R1240" s="152" t="s">
        <v>2398</v>
      </c>
      <c r="S1240" s="152" t="s">
        <v>2705</v>
      </c>
      <c r="T1240" s="152" t="s">
        <v>2705</v>
      </c>
      <c r="U1240" s="152" t="s">
        <v>2398</v>
      </c>
    </row>
    <row r="1241" spans="1:21" s="142" customFormat="1" ht="12.75" customHeight="1" x14ac:dyDescent="0.2">
      <c r="A1241" s="151" t="s">
        <v>7937</v>
      </c>
      <c r="B1241" s="152" t="s">
        <v>2397</v>
      </c>
      <c r="C1241" s="152" t="s">
        <v>2705</v>
      </c>
      <c r="D1241" s="152" t="s">
        <v>2398</v>
      </c>
      <c r="E1241" s="152" t="s">
        <v>2398</v>
      </c>
      <c r="F1241" s="152" t="s">
        <v>1435</v>
      </c>
      <c r="G1241" s="152" t="s">
        <v>2705</v>
      </c>
      <c r="H1241" s="152" t="s">
        <v>2705</v>
      </c>
      <c r="I1241" s="152" t="s">
        <v>2398</v>
      </c>
      <c r="J1241" s="152" t="s">
        <v>2705</v>
      </c>
      <c r="K1241" s="152" t="s">
        <v>2398</v>
      </c>
      <c r="L1241" s="152" t="s">
        <v>2398</v>
      </c>
      <c r="M1241" s="152" t="s">
        <v>2705</v>
      </c>
      <c r="N1241" s="152" t="s">
        <v>2705</v>
      </c>
      <c r="O1241" s="152" t="s">
        <v>1435</v>
      </c>
      <c r="P1241" s="152" t="s">
        <v>2705</v>
      </c>
      <c r="Q1241" s="152" t="s">
        <v>2705</v>
      </c>
      <c r="R1241" s="152" t="s">
        <v>2705</v>
      </c>
      <c r="S1241" s="152" t="s">
        <v>2705</v>
      </c>
      <c r="T1241" s="152" t="s">
        <v>2398</v>
      </c>
      <c r="U1241" s="152" t="s">
        <v>2398</v>
      </c>
    </row>
    <row r="1242" spans="1:21" s="142" customFormat="1" ht="12.75" x14ac:dyDescent="0.2">
      <c r="A1242" s="151"/>
      <c r="B1242" s="152" t="s">
        <v>2398</v>
      </c>
      <c r="C1242" s="152" t="s">
        <v>2398</v>
      </c>
      <c r="D1242" s="152" t="s">
        <v>2705</v>
      </c>
      <c r="E1242" s="152" t="s">
        <v>1435</v>
      </c>
      <c r="F1242" s="152" t="s">
        <v>2398</v>
      </c>
      <c r="G1242" s="152" t="s">
        <v>2705</v>
      </c>
      <c r="H1242" s="152" t="s">
        <v>2705</v>
      </c>
      <c r="I1242" s="152" t="s">
        <v>2705</v>
      </c>
      <c r="J1242" s="152" t="s">
        <v>2705</v>
      </c>
      <c r="K1242" s="152" t="s">
        <v>2705</v>
      </c>
      <c r="L1242" s="152" t="s">
        <v>2705</v>
      </c>
      <c r="M1242" s="152" t="s">
        <v>2705</v>
      </c>
      <c r="N1242" s="152" t="s">
        <v>2705</v>
      </c>
      <c r="O1242" s="152" t="s">
        <v>2398</v>
      </c>
      <c r="P1242" s="152" t="s">
        <v>2705</v>
      </c>
      <c r="Q1242" s="152" t="s">
        <v>2705</v>
      </c>
      <c r="R1242" s="152" t="s">
        <v>2705</v>
      </c>
      <c r="S1242" s="152" t="s">
        <v>2705</v>
      </c>
      <c r="T1242" s="152" t="s">
        <v>2705</v>
      </c>
      <c r="U1242" s="152" t="s">
        <v>2675</v>
      </c>
    </row>
    <row r="1243" spans="1:21" s="142" customFormat="1" ht="12.75" customHeight="1" x14ac:dyDescent="0.2">
      <c r="A1243" s="151" t="s">
        <v>7938</v>
      </c>
      <c r="B1243" s="152" t="s">
        <v>2398</v>
      </c>
      <c r="C1243" s="152" t="s">
        <v>2705</v>
      </c>
      <c r="D1243" s="152" t="s">
        <v>2705</v>
      </c>
      <c r="E1243" s="152" t="s">
        <v>2705</v>
      </c>
      <c r="F1243" s="152" t="s">
        <v>2398</v>
      </c>
      <c r="G1243" s="152" t="s">
        <v>2705</v>
      </c>
      <c r="H1243" s="152" t="s">
        <v>2705</v>
      </c>
      <c r="I1243" s="152" t="s">
        <v>2398</v>
      </c>
      <c r="J1243" s="152" t="s">
        <v>2705</v>
      </c>
      <c r="K1243" s="152" t="s">
        <v>2397</v>
      </c>
      <c r="L1243" s="152" t="s">
        <v>2398</v>
      </c>
      <c r="M1243" s="152" t="s">
        <v>2398</v>
      </c>
      <c r="N1243" s="152" t="s">
        <v>2705</v>
      </c>
      <c r="O1243" s="152" t="s">
        <v>2705</v>
      </c>
      <c r="P1243" s="152" t="s">
        <v>2705</v>
      </c>
      <c r="Q1243" s="152" t="s">
        <v>2398</v>
      </c>
      <c r="R1243" s="152" t="s">
        <v>2398</v>
      </c>
      <c r="S1243" s="152" t="s">
        <v>2705</v>
      </c>
      <c r="T1243" s="152" t="s">
        <v>2398</v>
      </c>
      <c r="U1243" s="152" t="s">
        <v>2705</v>
      </c>
    </row>
    <row r="1244" spans="1:21" s="142" customFormat="1" ht="12.75" x14ac:dyDescent="0.2">
      <c r="A1244" s="151"/>
      <c r="B1244" s="152" t="s">
        <v>2398</v>
      </c>
      <c r="C1244" s="152" t="s">
        <v>2398</v>
      </c>
      <c r="D1244" s="152" t="s">
        <v>1435</v>
      </c>
      <c r="E1244" s="152" t="s">
        <v>2398</v>
      </c>
      <c r="F1244" s="152" t="s">
        <v>2705</v>
      </c>
      <c r="G1244" s="152" t="s">
        <v>2398</v>
      </c>
      <c r="H1244" s="152" t="s">
        <v>2705</v>
      </c>
      <c r="I1244" s="152" t="s">
        <v>2705</v>
      </c>
      <c r="J1244" s="152" t="s">
        <v>2705</v>
      </c>
      <c r="K1244" s="152" t="s">
        <v>2705</v>
      </c>
      <c r="L1244" s="152" t="s">
        <v>2705</v>
      </c>
      <c r="M1244" s="152" t="s">
        <v>2705</v>
      </c>
      <c r="N1244" s="152" t="s">
        <v>2705</v>
      </c>
      <c r="O1244" s="152" t="s">
        <v>2705</v>
      </c>
      <c r="P1244" s="152" t="s">
        <v>2398</v>
      </c>
      <c r="Q1244" s="152" t="s">
        <v>2705</v>
      </c>
      <c r="R1244" s="152" t="s">
        <v>2398</v>
      </c>
      <c r="S1244" s="152" t="s">
        <v>2705</v>
      </c>
      <c r="T1244" s="152" t="s">
        <v>2705</v>
      </c>
      <c r="U1244" s="152" t="s">
        <v>2705</v>
      </c>
    </row>
    <row r="1245" spans="1:21" s="142" customFormat="1" ht="12.75" customHeight="1" x14ac:dyDescent="0.2">
      <c r="A1245" s="151" t="s">
        <v>7939</v>
      </c>
      <c r="B1245" s="152" t="s">
        <v>2705</v>
      </c>
      <c r="C1245" s="152" t="s">
        <v>2398</v>
      </c>
      <c r="D1245" s="152" t="s">
        <v>2705</v>
      </c>
      <c r="E1245" s="152" t="s">
        <v>2705</v>
      </c>
      <c r="F1245" s="152" t="s">
        <v>2705</v>
      </c>
      <c r="G1245" s="152" t="s">
        <v>2705</v>
      </c>
      <c r="H1245" s="152" t="s">
        <v>2705</v>
      </c>
      <c r="I1245" s="152" t="s">
        <v>2705</v>
      </c>
      <c r="J1245" s="152" t="s">
        <v>2705</v>
      </c>
      <c r="K1245" s="152" t="s">
        <v>1435</v>
      </c>
      <c r="L1245" s="152" t="s">
        <v>2398</v>
      </c>
      <c r="M1245" s="152" t="s">
        <v>2705</v>
      </c>
      <c r="N1245" s="152" t="s">
        <v>2675</v>
      </c>
      <c r="O1245" s="152" t="s">
        <v>2398</v>
      </c>
      <c r="P1245" s="152" t="s">
        <v>2705</v>
      </c>
      <c r="Q1245" s="152" t="s">
        <v>2398</v>
      </c>
      <c r="R1245" s="152" t="s">
        <v>2675</v>
      </c>
      <c r="S1245" s="152" t="s">
        <v>2398</v>
      </c>
      <c r="T1245" s="152" t="s">
        <v>2705</v>
      </c>
      <c r="U1245" s="152" t="s">
        <v>2398</v>
      </c>
    </row>
    <row r="1246" spans="1:21" s="142" customFormat="1" ht="12.75" x14ac:dyDescent="0.2">
      <c r="A1246" s="151"/>
      <c r="B1246" s="152" t="s">
        <v>2397</v>
      </c>
      <c r="C1246" s="152" t="s">
        <v>2705</v>
      </c>
      <c r="D1246" s="152" t="s">
        <v>2705</v>
      </c>
      <c r="E1246" s="152" t="s">
        <v>2705</v>
      </c>
      <c r="F1246" s="152" t="s">
        <v>2705</v>
      </c>
      <c r="G1246" s="152" t="s">
        <v>2675</v>
      </c>
      <c r="H1246" s="152" t="s">
        <v>2675</v>
      </c>
      <c r="I1246" s="152" t="s">
        <v>2705</v>
      </c>
      <c r="J1246" s="152" t="s">
        <v>2705</v>
      </c>
      <c r="K1246" s="152" t="s">
        <v>2398</v>
      </c>
      <c r="L1246" s="152" t="s">
        <v>2705</v>
      </c>
      <c r="M1246" s="152" t="s">
        <v>2398</v>
      </c>
      <c r="N1246" s="152" t="s">
        <v>2398</v>
      </c>
      <c r="O1246" s="152" t="s">
        <v>2705</v>
      </c>
      <c r="P1246" s="152" t="s">
        <v>2398</v>
      </c>
      <c r="Q1246" s="152" t="s">
        <v>1435</v>
      </c>
      <c r="R1246" s="152" t="s">
        <v>2705</v>
      </c>
      <c r="S1246" s="152" t="s">
        <v>2705</v>
      </c>
      <c r="T1246" s="152" t="s">
        <v>2398</v>
      </c>
      <c r="U1246" s="152" t="s">
        <v>2705</v>
      </c>
    </row>
    <row r="1247" spans="1:21" s="142" customFormat="1" ht="12.75" customHeight="1" x14ac:dyDescent="0.2">
      <c r="A1247" s="151" t="s">
        <v>7940</v>
      </c>
      <c r="B1247" s="152" t="s">
        <v>2705</v>
      </c>
      <c r="C1247" s="152" t="s">
        <v>2398</v>
      </c>
      <c r="D1247" s="152" t="s">
        <v>2705</v>
      </c>
      <c r="E1247" s="152" t="s">
        <v>2398</v>
      </c>
      <c r="F1247" s="152" t="s">
        <v>2398</v>
      </c>
      <c r="G1247" s="152" t="s">
        <v>2705</v>
      </c>
      <c r="H1247" s="152" t="s">
        <v>2398</v>
      </c>
      <c r="I1247" s="152" t="s">
        <v>1435</v>
      </c>
      <c r="J1247" s="152" t="s">
        <v>2705</v>
      </c>
      <c r="K1247" s="152" t="s">
        <v>2705</v>
      </c>
      <c r="L1247" s="152" t="s">
        <v>2705</v>
      </c>
      <c r="M1247" s="152" t="s">
        <v>2398</v>
      </c>
      <c r="N1247" s="152" t="s">
        <v>2705</v>
      </c>
      <c r="O1247" s="152" t="s">
        <v>2397</v>
      </c>
      <c r="P1247" s="152" t="s">
        <v>2705</v>
      </c>
      <c r="Q1247" s="152" t="s">
        <v>2705</v>
      </c>
      <c r="R1247" s="152" t="s">
        <v>2398</v>
      </c>
      <c r="S1247" s="152" t="s">
        <v>2398</v>
      </c>
      <c r="T1247" s="152" t="s">
        <v>2675</v>
      </c>
      <c r="U1247" s="152" t="s">
        <v>2675</v>
      </c>
    </row>
    <row r="1248" spans="1:21" s="142" customFormat="1" ht="12.75" x14ac:dyDescent="0.2">
      <c r="A1248" s="151"/>
      <c r="B1248" s="152" t="s">
        <v>2705</v>
      </c>
      <c r="C1248" s="152" t="s">
        <v>2398</v>
      </c>
      <c r="D1248" s="152" t="s">
        <v>2705</v>
      </c>
      <c r="E1248" s="152" t="s">
        <v>2398</v>
      </c>
      <c r="F1248" s="152" t="s">
        <v>2675</v>
      </c>
      <c r="G1248" s="152" t="s">
        <v>2398</v>
      </c>
      <c r="H1248" s="152" t="s">
        <v>2675</v>
      </c>
      <c r="I1248" s="152" t="s">
        <v>2398</v>
      </c>
      <c r="J1248" s="152" t="s">
        <v>2398</v>
      </c>
      <c r="K1248" s="152" t="s">
        <v>2705</v>
      </c>
      <c r="L1248" s="152" t="s">
        <v>2398</v>
      </c>
      <c r="M1248" s="152" t="s">
        <v>2675</v>
      </c>
      <c r="N1248" s="152" t="s">
        <v>2398</v>
      </c>
      <c r="O1248" s="152" t="s">
        <v>2398</v>
      </c>
      <c r="P1248" s="152" t="s">
        <v>1435</v>
      </c>
      <c r="Q1248" s="152" t="s">
        <v>2705</v>
      </c>
      <c r="R1248" s="152" t="s">
        <v>2398</v>
      </c>
      <c r="S1248" s="152" t="s">
        <v>2675</v>
      </c>
      <c r="T1248" s="152" t="s">
        <v>1435</v>
      </c>
      <c r="U1248" s="152" t="s">
        <v>2398</v>
      </c>
    </row>
    <row r="1249" spans="1:21" s="142" customFormat="1" ht="12.75" customHeight="1" x14ac:dyDescent="0.2">
      <c r="A1249" s="151" t="s">
        <v>7941</v>
      </c>
      <c r="B1249" s="152" t="s">
        <v>2398</v>
      </c>
      <c r="C1249" s="152" t="s">
        <v>2397</v>
      </c>
      <c r="D1249" s="152" t="s">
        <v>2705</v>
      </c>
      <c r="E1249" s="152" t="s">
        <v>2705</v>
      </c>
      <c r="F1249" s="152" t="s">
        <v>2705</v>
      </c>
      <c r="G1249" s="152" t="s">
        <v>2705</v>
      </c>
      <c r="H1249" s="152" t="s">
        <v>2398</v>
      </c>
      <c r="I1249" s="152" t="s">
        <v>2397</v>
      </c>
      <c r="J1249" s="152" t="s">
        <v>2398</v>
      </c>
      <c r="K1249" s="152" t="s">
        <v>1435</v>
      </c>
      <c r="L1249" s="152" t="s">
        <v>2705</v>
      </c>
      <c r="M1249" s="152" t="s">
        <v>2397</v>
      </c>
      <c r="N1249" s="152" t="s">
        <v>2675</v>
      </c>
      <c r="O1249" s="152" t="s">
        <v>2705</v>
      </c>
      <c r="P1249" s="152" t="s">
        <v>2397</v>
      </c>
      <c r="Q1249" s="152" t="s">
        <v>2705</v>
      </c>
      <c r="R1249" s="152" t="s">
        <v>2705</v>
      </c>
      <c r="S1249" s="152" t="s">
        <v>2705</v>
      </c>
      <c r="T1249" s="152" t="s">
        <v>2397</v>
      </c>
      <c r="U1249" s="152" t="s">
        <v>2705</v>
      </c>
    </row>
    <row r="1250" spans="1:21" s="142" customFormat="1" ht="12.75" x14ac:dyDescent="0.2">
      <c r="A1250" s="151"/>
      <c r="B1250" s="152" t="s">
        <v>2398</v>
      </c>
      <c r="C1250" s="152" t="s">
        <v>1435</v>
      </c>
      <c r="D1250" s="152" t="s">
        <v>2705</v>
      </c>
      <c r="E1250" s="152" t="s">
        <v>2398</v>
      </c>
      <c r="F1250" s="152" t="s">
        <v>2398</v>
      </c>
      <c r="G1250" s="152" t="s">
        <v>2705</v>
      </c>
      <c r="H1250" s="152" t="s">
        <v>1435</v>
      </c>
      <c r="I1250" s="152" t="s">
        <v>2398</v>
      </c>
      <c r="J1250" s="152" t="s">
        <v>2398</v>
      </c>
      <c r="K1250" s="152" t="s">
        <v>2398</v>
      </c>
      <c r="L1250" s="152" t="s">
        <v>2705</v>
      </c>
      <c r="M1250" s="152" t="s">
        <v>2398</v>
      </c>
      <c r="N1250" s="152" t="s">
        <v>2398</v>
      </c>
      <c r="O1250" s="152" t="s">
        <v>2397</v>
      </c>
      <c r="P1250" s="152" t="s">
        <v>2398</v>
      </c>
      <c r="Q1250" s="152" t="s">
        <v>1435</v>
      </c>
      <c r="R1250" s="152" t="s">
        <v>2398</v>
      </c>
      <c r="S1250" s="152" t="s">
        <v>2397</v>
      </c>
      <c r="T1250" s="152" t="s">
        <v>2398</v>
      </c>
      <c r="U1250" s="152" t="s">
        <v>2398</v>
      </c>
    </row>
    <row r="1251" spans="1:21" s="142" customFormat="1" ht="12.75" customHeight="1" x14ac:dyDescent="0.2">
      <c r="A1251" s="151" t="s">
        <v>7942</v>
      </c>
      <c r="B1251" s="152" t="s">
        <v>2705</v>
      </c>
      <c r="C1251" s="152" t="s">
        <v>2705</v>
      </c>
      <c r="D1251" s="152" t="s">
        <v>2705</v>
      </c>
      <c r="E1251" s="152" t="s">
        <v>2705</v>
      </c>
      <c r="F1251" s="152" t="s">
        <v>2398</v>
      </c>
      <c r="G1251" s="152" t="s">
        <v>2705</v>
      </c>
      <c r="H1251" s="152" t="s">
        <v>2705</v>
      </c>
      <c r="I1251" s="152" t="s">
        <v>2705</v>
      </c>
      <c r="J1251" s="152" t="s">
        <v>2705</v>
      </c>
      <c r="K1251" s="152" t="s">
        <v>2398</v>
      </c>
      <c r="L1251" s="152" t="s">
        <v>2705</v>
      </c>
      <c r="M1251" s="152" t="s">
        <v>2705</v>
      </c>
      <c r="N1251" s="152" t="s">
        <v>2705</v>
      </c>
      <c r="O1251" s="152" t="s">
        <v>2398</v>
      </c>
      <c r="P1251" s="152" t="s">
        <v>2705</v>
      </c>
      <c r="Q1251" s="152" t="s">
        <v>2705</v>
      </c>
      <c r="R1251" s="152" t="s">
        <v>2398</v>
      </c>
      <c r="S1251" s="152" t="s">
        <v>2705</v>
      </c>
      <c r="T1251" s="152" t="s">
        <v>2398</v>
      </c>
      <c r="U1251" s="152" t="s">
        <v>2398</v>
      </c>
    </row>
    <row r="1252" spans="1:21" s="142" customFormat="1" ht="12.75" x14ac:dyDescent="0.2">
      <c r="A1252" s="151"/>
      <c r="B1252" s="152" t="s">
        <v>2398</v>
      </c>
      <c r="C1252" s="152" t="s">
        <v>2398</v>
      </c>
      <c r="D1252" s="152" t="s">
        <v>1435</v>
      </c>
      <c r="E1252" s="152" t="s">
        <v>2675</v>
      </c>
      <c r="F1252" s="152" t="s">
        <v>2705</v>
      </c>
      <c r="G1252" s="152" t="s">
        <v>2398</v>
      </c>
      <c r="H1252" s="152" t="s">
        <v>2705</v>
      </c>
      <c r="I1252" s="152" t="s">
        <v>2705</v>
      </c>
      <c r="J1252" s="152" t="s">
        <v>2705</v>
      </c>
      <c r="K1252" s="152" t="s">
        <v>2705</v>
      </c>
      <c r="L1252" s="152" t="s">
        <v>2705</v>
      </c>
      <c r="M1252" s="152" t="s">
        <v>2705</v>
      </c>
      <c r="N1252" s="152" t="s">
        <v>2705</v>
      </c>
      <c r="O1252" s="152" t="s">
        <v>2705</v>
      </c>
      <c r="P1252" s="152" t="s">
        <v>2398</v>
      </c>
      <c r="Q1252" s="152" t="s">
        <v>2705</v>
      </c>
      <c r="R1252" s="152" t="s">
        <v>2398</v>
      </c>
      <c r="S1252" s="152" t="s">
        <v>2705</v>
      </c>
      <c r="T1252" s="152" t="s">
        <v>2705</v>
      </c>
      <c r="U1252" s="152" t="s">
        <v>2705</v>
      </c>
    </row>
    <row r="1253" spans="1:21" s="142" customFormat="1" ht="12.75" customHeight="1" x14ac:dyDescent="0.2">
      <c r="A1253" s="151" t="s">
        <v>7943</v>
      </c>
      <c r="B1253" s="152" t="s">
        <v>2705</v>
      </c>
      <c r="C1253" s="152" t="s">
        <v>2398</v>
      </c>
      <c r="D1253" s="152" t="s">
        <v>2705</v>
      </c>
      <c r="E1253" s="152" t="s">
        <v>2705</v>
      </c>
      <c r="F1253" s="152" t="s">
        <v>2398</v>
      </c>
      <c r="G1253" s="152" t="s">
        <v>2705</v>
      </c>
      <c r="H1253" s="152" t="s">
        <v>2705</v>
      </c>
      <c r="I1253" s="152" t="s">
        <v>2398</v>
      </c>
      <c r="J1253" s="152" t="s">
        <v>2675</v>
      </c>
      <c r="K1253" s="152" t="s">
        <v>2705</v>
      </c>
      <c r="L1253" s="152" t="s">
        <v>2398</v>
      </c>
      <c r="M1253" s="152" t="s">
        <v>2705</v>
      </c>
      <c r="N1253" s="152" t="s">
        <v>2705</v>
      </c>
      <c r="O1253" s="152" t="s">
        <v>2705</v>
      </c>
      <c r="P1253" s="152" t="s">
        <v>2398</v>
      </c>
      <c r="Q1253" s="152" t="s">
        <v>2705</v>
      </c>
      <c r="R1253" s="152" t="s">
        <v>2705</v>
      </c>
      <c r="S1253" s="152" t="s">
        <v>2705</v>
      </c>
      <c r="T1253" s="152" t="s">
        <v>2705</v>
      </c>
      <c r="U1253" s="152" t="s">
        <v>2398</v>
      </c>
    </row>
    <row r="1254" spans="1:21" s="142" customFormat="1" ht="12.75" x14ac:dyDescent="0.2">
      <c r="A1254" s="151"/>
      <c r="B1254" s="152" t="s">
        <v>2705</v>
      </c>
      <c r="C1254" s="152" t="s">
        <v>2675</v>
      </c>
      <c r="D1254" s="152" t="s">
        <v>1435</v>
      </c>
      <c r="E1254" s="152" t="s">
        <v>1435</v>
      </c>
      <c r="F1254" s="152" t="s">
        <v>2705</v>
      </c>
      <c r="G1254" s="152" t="s">
        <v>2397</v>
      </c>
      <c r="H1254" s="152" t="s">
        <v>2705</v>
      </c>
      <c r="I1254" s="152" t="s">
        <v>2705</v>
      </c>
      <c r="J1254" s="152" t="s">
        <v>2675</v>
      </c>
      <c r="K1254" s="152" t="s">
        <v>2705</v>
      </c>
      <c r="L1254" s="152" t="s">
        <v>2705</v>
      </c>
      <c r="M1254" s="152" t="s">
        <v>1435</v>
      </c>
      <c r="N1254" s="152" t="s">
        <v>2705</v>
      </c>
      <c r="O1254" s="152" t="s">
        <v>2398</v>
      </c>
      <c r="P1254" s="152" t="s">
        <v>2705</v>
      </c>
      <c r="Q1254" s="152" t="s">
        <v>2705</v>
      </c>
      <c r="R1254" s="152" t="s">
        <v>1435</v>
      </c>
      <c r="S1254" s="152" t="s">
        <v>2705</v>
      </c>
      <c r="T1254" s="152" t="s">
        <v>2675</v>
      </c>
      <c r="U1254" s="152" t="s">
        <v>2705</v>
      </c>
    </row>
    <row r="1255" spans="1:21" s="142" customFormat="1" ht="12.75" customHeight="1" x14ac:dyDescent="0.2">
      <c r="A1255" s="151" t="s">
        <v>7944</v>
      </c>
      <c r="B1255" s="152" t="s">
        <v>2705</v>
      </c>
      <c r="C1255" s="152" t="s">
        <v>2397</v>
      </c>
      <c r="D1255" s="152" t="s">
        <v>2705</v>
      </c>
      <c r="E1255" s="152" t="s">
        <v>2705</v>
      </c>
      <c r="F1255" s="152" t="s">
        <v>2705</v>
      </c>
      <c r="G1255" s="152" t="s">
        <v>2705</v>
      </c>
      <c r="H1255" s="152" t="s">
        <v>2705</v>
      </c>
      <c r="I1255" s="152" t="s">
        <v>2398</v>
      </c>
      <c r="J1255" s="152" t="s">
        <v>2705</v>
      </c>
      <c r="K1255" s="152" t="s">
        <v>1435</v>
      </c>
      <c r="L1255" s="152" t="s">
        <v>2705</v>
      </c>
      <c r="M1255" s="152" t="s">
        <v>2705</v>
      </c>
      <c r="N1255" s="152" t="s">
        <v>2705</v>
      </c>
      <c r="O1255" s="152" t="s">
        <v>2397</v>
      </c>
      <c r="P1255" s="152" t="s">
        <v>2675</v>
      </c>
      <c r="Q1255" s="152" t="s">
        <v>1435</v>
      </c>
      <c r="R1255" s="152" t="s">
        <v>2705</v>
      </c>
      <c r="S1255" s="152" t="s">
        <v>2705</v>
      </c>
      <c r="T1255" s="152" t="s">
        <v>1435</v>
      </c>
      <c r="U1255" s="152" t="s">
        <v>2398</v>
      </c>
    </row>
    <row r="1256" spans="1:21" s="142" customFormat="1" ht="12.75" x14ac:dyDescent="0.2">
      <c r="A1256" s="151"/>
      <c r="B1256" s="152" t="s">
        <v>2398</v>
      </c>
      <c r="C1256" s="152" t="s">
        <v>2705</v>
      </c>
      <c r="D1256" s="152" t="s">
        <v>2705</v>
      </c>
      <c r="E1256" s="152" t="s">
        <v>2705</v>
      </c>
      <c r="F1256" s="152" t="s">
        <v>2705</v>
      </c>
      <c r="G1256" s="152" t="s">
        <v>2398</v>
      </c>
      <c r="H1256" s="152" t="s">
        <v>2705</v>
      </c>
      <c r="I1256" s="152" t="s">
        <v>2705</v>
      </c>
      <c r="J1256" s="152" t="s">
        <v>2705</v>
      </c>
      <c r="K1256" s="152" t="s">
        <v>2705</v>
      </c>
      <c r="L1256" s="152" t="s">
        <v>2705</v>
      </c>
      <c r="M1256" s="152" t="s">
        <v>2398</v>
      </c>
      <c r="N1256" s="152" t="s">
        <v>2397</v>
      </c>
      <c r="O1256" s="152" t="s">
        <v>2705</v>
      </c>
      <c r="P1256" s="152" t="s">
        <v>2705</v>
      </c>
      <c r="Q1256" s="152" t="s">
        <v>1435</v>
      </c>
      <c r="R1256" s="152" t="s">
        <v>2675</v>
      </c>
      <c r="S1256" s="152" t="s">
        <v>2705</v>
      </c>
      <c r="T1256" s="152" t="s">
        <v>2398</v>
      </c>
      <c r="U1256" s="152" t="s">
        <v>2705</v>
      </c>
    </row>
    <row r="1257" spans="1:21" s="142" customFormat="1" ht="12.75" customHeight="1" x14ac:dyDescent="0.2">
      <c r="A1257" s="151" t="s">
        <v>7945</v>
      </c>
      <c r="B1257" s="152" t="s">
        <v>2705</v>
      </c>
      <c r="C1257" s="152" t="s">
        <v>2398</v>
      </c>
      <c r="D1257" s="152" t="s">
        <v>2398</v>
      </c>
      <c r="E1257" s="152" t="s">
        <v>2705</v>
      </c>
      <c r="F1257" s="152" t="s">
        <v>2705</v>
      </c>
      <c r="G1257" s="152" t="s">
        <v>2705</v>
      </c>
      <c r="H1257" s="152" t="s">
        <v>2705</v>
      </c>
      <c r="I1257" s="152" t="s">
        <v>2705</v>
      </c>
      <c r="J1257" s="152" t="s">
        <v>2705</v>
      </c>
      <c r="K1257" s="152" t="s">
        <v>2398</v>
      </c>
      <c r="L1257" s="152" t="s">
        <v>2398</v>
      </c>
      <c r="M1257" s="152" t="s">
        <v>2705</v>
      </c>
      <c r="N1257" s="152" t="s">
        <v>2705</v>
      </c>
      <c r="O1257" s="152" t="s">
        <v>1435</v>
      </c>
      <c r="P1257" s="152" t="s">
        <v>2705</v>
      </c>
      <c r="Q1257" s="152" t="s">
        <v>2705</v>
      </c>
      <c r="R1257" s="152" t="s">
        <v>2705</v>
      </c>
      <c r="S1257" s="152" t="s">
        <v>2705</v>
      </c>
      <c r="T1257" s="152" t="s">
        <v>2705</v>
      </c>
      <c r="U1257" s="152" t="s">
        <v>2705</v>
      </c>
    </row>
    <row r="1258" spans="1:21" s="142" customFormat="1" ht="12.75" x14ac:dyDescent="0.2">
      <c r="A1258" s="151"/>
      <c r="B1258" s="152" t="s">
        <v>2398</v>
      </c>
      <c r="C1258" s="152" t="s">
        <v>2705</v>
      </c>
      <c r="D1258" s="152" t="s">
        <v>2398</v>
      </c>
      <c r="E1258" s="152" t="s">
        <v>2675</v>
      </c>
      <c r="F1258" s="152" t="s">
        <v>2398</v>
      </c>
      <c r="G1258" s="152" t="s">
        <v>2705</v>
      </c>
      <c r="H1258" s="152" t="s">
        <v>2705</v>
      </c>
      <c r="I1258" s="152" t="s">
        <v>2398</v>
      </c>
      <c r="J1258" s="152" t="s">
        <v>2397</v>
      </c>
      <c r="K1258" s="152" t="s">
        <v>2705</v>
      </c>
      <c r="L1258" s="152" t="s">
        <v>2705</v>
      </c>
      <c r="M1258" s="152" t="s">
        <v>2705</v>
      </c>
      <c r="N1258" s="152" t="s">
        <v>2675</v>
      </c>
      <c r="O1258" s="152" t="s">
        <v>2397</v>
      </c>
      <c r="P1258" s="152" t="s">
        <v>2398</v>
      </c>
      <c r="Q1258" s="152" t="s">
        <v>2705</v>
      </c>
      <c r="R1258" s="152" t="s">
        <v>1435</v>
      </c>
      <c r="S1258" s="152" t="s">
        <v>2705</v>
      </c>
      <c r="T1258" s="152" t="s">
        <v>2705</v>
      </c>
      <c r="U1258" s="152" t="s">
        <v>2705</v>
      </c>
    </row>
    <row r="1259" spans="1:21" s="142" customFormat="1" ht="12.75" customHeight="1" x14ac:dyDescent="0.2">
      <c r="A1259" s="151" t="s">
        <v>7946</v>
      </c>
      <c r="B1259" s="152" t="s">
        <v>2398</v>
      </c>
      <c r="C1259" s="152" t="s">
        <v>2705</v>
      </c>
      <c r="D1259" s="152" t="s">
        <v>2705</v>
      </c>
      <c r="E1259" s="152" t="s">
        <v>1435</v>
      </c>
      <c r="F1259" s="152" t="s">
        <v>2398</v>
      </c>
      <c r="G1259" s="152" t="s">
        <v>2705</v>
      </c>
      <c r="H1259" s="152" t="s">
        <v>2705</v>
      </c>
      <c r="I1259" s="152" t="s">
        <v>2398</v>
      </c>
      <c r="J1259" s="152" t="s">
        <v>2398</v>
      </c>
      <c r="K1259" s="152" t="s">
        <v>2705</v>
      </c>
      <c r="L1259" s="152" t="s">
        <v>2705</v>
      </c>
      <c r="M1259" s="152" t="s">
        <v>2705</v>
      </c>
      <c r="N1259" s="152" t="s">
        <v>2397</v>
      </c>
      <c r="O1259" s="152" t="s">
        <v>2705</v>
      </c>
      <c r="P1259" s="152" t="s">
        <v>2705</v>
      </c>
      <c r="Q1259" s="152" t="s">
        <v>2705</v>
      </c>
      <c r="R1259" s="152" t="s">
        <v>2705</v>
      </c>
      <c r="S1259" s="152" t="s">
        <v>2705</v>
      </c>
      <c r="T1259" s="152" t="s">
        <v>2705</v>
      </c>
      <c r="U1259" s="152" t="s">
        <v>2705</v>
      </c>
    </row>
    <row r="1260" spans="1:21" s="142" customFormat="1" ht="12.75" x14ac:dyDescent="0.2">
      <c r="A1260" s="151"/>
      <c r="B1260" s="152" t="s">
        <v>2705</v>
      </c>
      <c r="C1260" s="152" t="s">
        <v>2675</v>
      </c>
      <c r="D1260" s="152" t="s">
        <v>2705</v>
      </c>
      <c r="E1260" s="152" t="s">
        <v>2705</v>
      </c>
      <c r="F1260" s="152" t="s">
        <v>2705</v>
      </c>
      <c r="G1260" s="152" t="s">
        <v>2705</v>
      </c>
      <c r="H1260" s="152" t="s">
        <v>2398</v>
      </c>
      <c r="I1260" s="152" t="s">
        <v>2705</v>
      </c>
      <c r="J1260" s="152" t="s">
        <v>2398</v>
      </c>
      <c r="K1260" s="152" t="s">
        <v>1435</v>
      </c>
      <c r="L1260" s="152" t="s">
        <v>2705</v>
      </c>
      <c r="M1260" s="152" t="s">
        <v>2705</v>
      </c>
      <c r="N1260" s="152" t="s">
        <v>2398</v>
      </c>
      <c r="O1260" s="152" t="s">
        <v>2398</v>
      </c>
      <c r="P1260" s="152" t="s">
        <v>2398</v>
      </c>
      <c r="Q1260" s="152" t="s">
        <v>2705</v>
      </c>
      <c r="R1260" s="152" t="s">
        <v>2705</v>
      </c>
      <c r="S1260" s="152" t="s">
        <v>2705</v>
      </c>
      <c r="T1260" s="152" t="s">
        <v>2398</v>
      </c>
      <c r="U1260" s="152" t="s">
        <v>2398</v>
      </c>
    </row>
    <row r="1261" spans="1:21" s="142" customFormat="1" ht="12.75" customHeight="1" x14ac:dyDescent="0.2">
      <c r="A1261" s="151" t="s">
        <v>7947</v>
      </c>
      <c r="B1261" s="152" t="s">
        <v>2398</v>
      </c>
      <c r="C1261" s="152" t="s">
        <v>2705</v>
      </c>
      <c r="D1261" s="152" t="s">
        <v>2398</v>
      </c>
      <c r="E1261" s="152" t="s">
        <v>2705</v>
      </c>
      <c r="F1261" s="152" t="s">
        <v>2398</v>
      </c>
      <c r="G1261" s="152" t="s">
        <v>1435</v>
      </c>
      <c r="H1261" s="152" t="s">
        <v>2705</v>
      </c>
      <c r="I1261" s="152" t="s">
        <v>2705</v>
      </c>
      <c r="J1261" s="152" t="s">
        <v>1435</v>
      </c>
      <c r="K1261" s="152" t="s">
        <v>2397</v>
      </c>
      <c r="L1261" s="152" t="s">
        <v>2675</v>
      </c>
      <c r="M1261" s="152" t="s">
        <v>2398</v>
      </c>
      <c r="N1261" s="152" t="s">
        <v>2705</v>
      </c>
      <c r="O1261" s="152" t="s">
        <v>2397</v>
      </c>
      <c r="P1261" s="152" t="s">
        <v>2705</v>
      </c>
      <c r="Q1261" s="152" t="s">
        <v>1435</v>
      </c>
      <c r="R1261" s="152" t="s">
        <v>2675</v>
      </c>
      <c r="S1261" s="152" t="s">
        <v>2398</v>
      </c>
      <c r="T1261" s="152" t="s">
        <v>2675</v>
      </c>
      <c r="U1261" s="152" t="s">
        <v>2398</v>
      </c>
    </row>
    <row r="1262" spans="1:21" s="142" customFormat="1" ht="12.75" x14ac:dyDescent="0.2">
      <c r="A1262" s="151"/>
      <c r="B1262" s="152" t="s">
        <v>2705</v>
      </c>
      <c r="C1262" s="152" t="s">
        <v>2705</v>
      </c>
      <c r="D1262" s="152" t="s">
        <v>2675</v>
      </c>
      <c r="E1262" s="152" t="s">
        <v>2398</v>
      </c>
      <c r="F1262" s="152" t="s">
        <v>2675</v>
      </c>
      <c r="G1262" s="152" t="s">
        <v>2398</v>
      </c>
      <c r="H1262" s="152" t="s">
        <v>2397</v>
      </c>
      <c r="I1262" s="152" t="s">
        <v>2705</v>
      </c>
      <c r="J1262" s="152" t="s">
        <v>1435</v>
      </c>
      <c r="K1262" s="152" t="s">
        <v>2705</v>
      </c>
      <c r="L1262" s="152" t="s">
        <v>2705</v>
      </c>
      <c r="M1262" s="152" t="s">
        <v>1435</v>
      </c>
      <c r="N1262" s="152" t="s">
        <v>2705</v>
      </c>
      <c r="O1262" s="152" t="s">
        <v>2705</v>
      </c>
      <c r="P1262" s="152" t="s">
        <v>2675</v>
      </c>
      <c r="Q1262" s="152" t="s">
        <v>1435</v>
      </c>
      <c r="R1262" s="152" t="s">
        <v>2397</v>
      </c>
      <c r="S1262" s="152" t="s">
        <v>2397</v>
      </c>
      <c r="T1262" s="152" t="s">
        <v>2398</v>
      </c>
      <c r="U1262" s="152" t="s">
        <v>2397</v>
      </c>
    </row>
    <row r="1263" spans="1:21" s="142" customFormat="1" ht="12.75" customHeight="1" x14ac:dyDescent="0.2">
      <c r="A1263" s="151" t="s">
        <v>7948</v>
      </c>
      <c r="B1263" s="152" t="s">
        <v>2398</v>
      </c>
      <c r="C1263" s="152" t="s">
        <v>2398</v>
      </c>
      <c r="D1263" s="152" t="s">
        <v>1435</v>
      </c>
      <c r="E1263" s="152" t="s">
        <v>2398</v>
      </c>
      <c r="F1263" s="152" t="s">
        <v>2675</v>
      </c>
      <c r="G1263" s="152" t="s">
        <v>2705</v>
      </c>
      <c r="H1263" s="152" t="s">
        <v>2705</v>
      </c>
      <c r="I1263" s="152" t="s">
        <v>2398</v>
      </c>
      <c r="J1263" s="152" t="s">
        <v>2675</v>
      </c>
      <c r="K1263" s="152" t="s">
        <v>2705</v>
      </c>
      <c r="L1263" s="152" t="s">
        <v>1435</v>
      </c>
      <c r="M1263" s="152" t="s">
        <v>1435</v>
      </c>
      <c r="N1263" s="152" t="s">
        <v>2705</v>
      </c>
      <c r="O1263" s="152" t="s">
        <v>2675</v>
      </c>
      <c r="P1263" s="152" t="s">
        <v>1435</v>
      </c>
      <c r="Q1263" s="152" t="s">
        <v>2705</v>
      </c>
      <c r="R1263" s="152" t="s">
        <v>2398</v>
      </c>
      <c r="S1263" s="152" t="s">
        <v>2705</v>
      </c>
      <c r="T1263" s="152" t="s">
        <v>2705</v>
      </c>
      <c r="U1263" s="152" t="s">
        <v>2705</v>
      </c>
    </row>
    <row r="1264" spans="1:21" s="142" customFormat="1" ht="12.75" x14ac:dyDescent="0.2">
      <c r="A1264" s="151"/>
      <c r="B1264" s="152" t="s">
        <v>2398</v>
      </c>
      <c r="C1264" s="152" t="s">
        <v>2398</v>
      </c>
      <c r="D1264" s="152" t="s">
        <v>2705</v>
      </c>
      <c r="E1264" s="152" t="s">
        <v>2398</v>
      </c>
      <c r="F1264" s="152" t="s">
        <v>2398</v>
      </c>
      <c r="G1264" s="152" t="s">
        <v>2705</v>
      </c>
      <c r="H1264" s="152" t="s">
        <v>2397</v>
      </c>
      <c r="I1264" s="152" t="s">
        <v>1435</v>
      </c>
      <c r="J1264" s="152" t="s">
        <v>1435</v>
      </c>
      <c r="K1264" s="152" t="s">
        <v>2705</v>
      </c>
      <c r="L1264" s="152" t="s">
        <v>2398</v>
      </c>
      <c r="M1264" s="152" t="s">
        <v>2705</v>
      </c>
      <c r="N1264" s="152" t="s">
        <v>2705</v>
      </c>
      <c r="O1264" s="152" t="s">
        <v>2398</v>
      </c>
      <c r="P1264" s="152" t="s">
        <v>2398</v>
      </c>
      <c r="Q1264" s="152" t="s">
        <v>2705</v>
      </c>
      <c r="R1264" s="152" t="s">
        <v>2675</v>
      </c>
      <c r="S1264" s="152" t="s">
        <v>2705</v>
      </c>
      <c r="T1264" s="152" t="s">
        <v>2398</v>
      </c>
      <c r="U1264" s="152" t="s">
        <v>2398</v>
      </c>
    </row>
    <row r="1265" spans="1:21" s="142" customFormat="1" ht="12.75" customHeight="1" x14ac:dyDescent="0.2">
      <c r="A1265" s="151" t="s">
        <v>7949</v>
      </c>
      <c r="B1265" s="152" t="s">
        <v>1435</v>
      </c>
      <c r="C1265" s="152" t="s">
        <v>2705</v>
      </c>
      <c r="D1265" s="152" t="s">
        <v>2675</v>
      </c>
      <c r="E1265" s="152" t="s">
        <v>2705</v>
      </c>
      <c r="F1265" s="152" t="s">
        <v>2398</v>
      </c>
      <c r="G1265" s="152" t="s">
        <v>2705</v>
      </c>
      <c r="H1265" s="152" t="s">
        <v>2398</v>
      </c>
      <c r="I1265" s="152" t="s">
        <v>2705</v>
      </c>
      <c r="J1265" s="152" t="s">
        <v>2675</v>
      </c>
      <c r="K1265" s="152" t="s">
        <v>2705</v>
      </c>
      <c r="L1265" s="152" t="s">
        <v>2705</v>
      </c>
      <c r="M1265" s="152" t="s">
        <v>2398</v>
      </c>
      <c r="N1265" s="152" t="s">
        <v>2705</v>
      </c>
      <c r="O1265" s="152" t="s">
        <v>1435</v>
      </c>
      <c r="P1265" s="152" t="s">
        <v>2705</v>
      </c>
      <c r="Q1265" s="152" t="s">
        <v>1435</v>
      </c>
      <c r="R1265" s="152" t="s">
        <v>2398</v>
      </c>
      <c r="S1265" s="152" t="s">
        <v>2705</v>
      </c>
      <c r="T1265" s="152" t="s">
        <v>2705</v>
      </c>
      <c r="U1265" s="152" t="s">
        <v>2398</v>
      </c>
    </row>
    <row r="1266" spans="1:21" s="142" customFormat="1" ht="12.75" x14ac:dyDescent="0.2">
      <c r="A1266" s="151"/>
      <c r="B1266" s="152" t="s">
        <v>2398</v>
      </c>
      <c r="C1266" s="152" t="s">
        <v>1435</v>
      </c>
      <c r="D1266" s="152" t="s">
        <v>2705</v>
      </c>
      <c r="E1266" s="152" t="s">
        <v>2398</v>
      </c>
      <c r="F1266" s="152" t="s">
        <v>2705</v>
      </c>
      <c r="G1266" s="152" t="s">
        <v>1435</v>
      </c>
      <c r="H1266" s="152" t="s">
        <v>2397</v>
      </c>
      <c r="I1266" s="152" t="s">
        <v>2705</v>
      </c>
      <c r="J1266" s="152" t="s">
        <v>1435</v>
      </c>
      <c r="K1266" s="152" t="s">
        <v>2705</v>
      </c>
      <c r="L1266" s="152" t="s">
        <v>2705</v>
      </c>
      <c r="M1266" s="152" t="s">
        <v>2705</v>
      </c>
      <c r="N1266" s="152" t="s">
        <v>2675</v>
      </c>
      <c r="O1266" s="152" t="s">
        <v>2397</v>
      </c>
      <c r="P1266" s="152" t="s">
        <v>2705</v>
      </c>
      <c r="Q1266" s="152" t="s">
        <v>2705</v>
      </c>
      <c r="R1266" s="152" t="s">
        <v>2398</v>
      </c>
      <c r="S1266" s="152" t="s">
        <v>2705</v>
      </c>
      <c r="T1266" s="152" t="s">
        <v>2705</v>
      </c>
      <c r="U1266" s="152" t="s">
        <v>2397</v>
      </c>
    </row>
    <row r="1267" spans="1:21" s="142" customFormat="1" ht="12.75" customHeight="1" x14ac:dyDescent="0.2">
      <c r="A1267" s="151" t="s">
        <v>7950</v>
      </c>
      <c r="B1267" s="152" t="s">
        <v>2675</v>
      </c>
      <c r="C1267" s="152" t="s">
        <v>2705</v>
      </c>
      <c r="D1267" s="152" t="s">
        <v>2705</v>
      </c>
      <c r="E1267" s="152" t="s">
        <v>2705</v>
      </c>
      <c r="F1267" s="152" t="s">
        <v>2398</v>
      </c>
      <c r="G1267" s="152" t="s">
        <v>2705</v>
      </c>
      <c r="H1267" s="152" t="s">
        <v>2705</v>
      </c>
      <c r="I1267" s="152" t="s">
        <v>2675</v>
      </c>
      <c r="J1267" s="152" t="s">
        <v>2705</v>
      </c>
      <c r="K1267" s="152" t="s">
        <v>1435</v>
      </c>
      <c r="L1267" s="152" t="s">
        <v>2705</v>
      </c>
      <c r="M1267" s="152" t="s">
        <v>2398</v>
      </c>
      <c r="N1267" s="152" t="s">
        <v>2675</v>
      </c>
      <c r="O1267" s="152" t="s">
        <v>2398</v>
      </c>
      <c r="P1267" s="152" t="s">
        <v>2705</v>
      </c>
      <c r="Q1267" s="152" t="s">
        <v>2705</v>
      </c>
      <c r="R1267" s="152" t="s">
        <v>2705</v>
      </c>
      <c r="S1267" s="152" t="s">
        <v>2705</v>
      </c>
      <c r="T1267" s="152" t="s">
        <v>2705</v>
      </c>
      <c r="U1267" s="152" t="s">
        <v>2398</v>
      </c>
    </row>
    <row r="1268" spans="1:21" s="142" customFormat="1" ht="12.75" x14ac:dyDescent="0.2">
      <c r="A1268" s="151"/>
      <c r="B1268" s="152" t="s">
        <v>2705</v>
      </c>
      <c r="C1268" s="152" t="s">
        <v>2705</v>
      </c>
      <c r="D1268" s="152" t="s">
        <v>2705</v>
      </c>
      <c r="E1268" s="152" t="s">
        <v>2705</v>
      </c>
      <c r="F1268" s="152" t="s">
        <v>2398</v>
      </c>
      <c r="G1268" s="152" t="s">
        <v>2398</v>
      </c>
      <c r="H1268" s="152" t="s">
        <v>2705</v>
      </c>
      <c r="I1268" s="152" t="s">
        <v>2705</v>
      </c>
      <c r="J1268" s="152" t="s">
        <v>2675</v>
      </c>
      <c r="K1268" s="152" t="s">
        <v>2398</v>
      </c>
      <c r="L1268" s="152" t="s">
        <v>2398</v>
      </c>
      <c r="M1268" s="152" t="s">
        <v>2398</v>
      </c>
      <c r="N1268" s="152" t="s">
        <v>2398</v>
      </c>
      <c r="O1268" s="152" t="s">
        <v>2705</v>
      </c>
      <c r="P1268" s="152" t="s">
        <v>2398</v>
      </c>
      <c r="Q1268" s="152" t="s">
        <v>1435</v>
      </c>
      <c r="R1268" s="152" t="s">
        <v>2398</v>
      </c>
      <c r="S1268" s="152" t="s">
        <v>2705</v>
      </c>
      <c r="T1268" s="152" t="s">
        <v>2398</v>
      </c>
      <c r="U1268" s="152" t="s">
        <v>2705</v>
      </c>
    </row>
    <row r="1269" spans="1:21" s="142" customFormat="1" ht="12.75" customHeight="1" x14ac:dyDescent="0.2">
      <c r="A1269" s="151" t="s">
        <v>7951</v>
      </c>
      <c r="B1269" s="152" t="s">
        <v>2705</v>
      </c>
      <c r="C1269" s="152" t="s">
        <v>2705</v>
      </c>
      <c r="D1269" s="152" t="s">
        <v>2398</v>
      </c>
      <c r="E1269" s="152" t="s">
        <v>2705</v>
      </c>
      <c r="F1269" s="152" t="s">
        <v>2705</v>
      </c>
      <c r="G1269" s="152" t="s">
        <v>2705</v>
      </c>
      <c r="H1269" s="152" t="s">
        <v>2705</v>
      </c>
      <c r="I1269" s="152" t="s">
        <v>2398</v>
      </c>
      <c r="J1269" s="152" t="s">
        <v>2705</v>
      </c>
      <c r="K1269" s="152" t="s">
        <v>2705</v>
      </c>
      <c r="L1269" s="152" t="s">
        <v>2398</v>
      </c>
      <c r="M1269" s="152" t="s">
        <v>2705</v>
      </c>
      <c r="N1269" s="152" t="s">
        <v>2705</v>
      </c>
      <c r="O1269" s="152" t="s">
        <v>2398</v>
      </c>
      <c r="P1269" s="152" t="s">
        <v>2675</v>
      </c>
      <c r="Q1269" s="152" t="s">
        <v>2675</v>
      </c>
      <c r="R1269" s="152" t="s">
        <v>2398</v>
      </c>
      <c r="S1269" s="152" t="s">
        <v>2397</v>
      </c>
      <c r="T1269" s="152" t="s">
        <v>2398</v>
      </c>
      <c r="U1269" s="152" t="s">
        <v>2398</v>
      </c>
    </row>
    <row r="1270" spans="1:21" s="142" customFormat="1" ht="12.75" x14ac:dyDescent="0.2">
      <c r="A1270" s="151"/>
      <c r="B1270" s="152" t="s">
        <v>2705</v>
      </c>
      <c r="C1270" s="152" t="s">
        <v>2675</v>
      </c>
      <c r="D1270" s="152" t="s">
        <v>2705</v>
      </c>
      <c r="E1270" s="152" t="s">
        <v>2398</v>
      </c>
      <c r="F1270" s="152" t="s">
        <v>2705</v>
      </c>
      <c r="G1270" s="152" t="s">
        <v>1435</v>
      </c>
      <c r="H1270" s="152" t="s">
        <v>2705</v>
      </c>
      <c r="I1270" s="152" t="s">
        <v>2705</v>
      </c>
      <c r="J1270" s="152" t="s">
        <v>2705</v>
      </c>
      <c r="K1270" s="152" t="s">
        <v>2705</v>
      </c>
      <c r="L1270" s="152" t="s">
        <v>2398</v>
      </c>
      <c r="M1270" s="152" t="s">
        <v>2398</v>
      </c>
      <c r="N1270" s="152" t="s">
        <v>2705</v>
      </c>
      <c r="O1270" s="152" t="s">
        <v>2705</v>
      </c>
      <c r="P1270" s="152" t="s">
        <v>1435</v>
      </c>
      <c r="Q1270" s="152" t="s">
        <v>2705</v>
      </c>
      <c r="R1270" s="152" t="s">
        <v>1435</v>
      </c>
      <c r="S1270" s="152" t="s">
        <v>2398</v>
      </c>
      <c r="T1270" s="152" t="s">
        <v>2705</v>
      </c>
      <c r="U1270" s="152" t="s">
        <v>2705</v>
      </c>
    </row>
    <row r="1271" spans="1:21" s="142" customFormat="1" ht="12.75" customHeight="1" x14ac:dyDescent="0.2">
      <c r="A1271" s="151" t="s">
        <v>7952</v>
      </c>
      <c r="B1271" s="152" t="s">
        <v>2398</v>
      </c>
      <c r="C1271" s="152" t="s">
        <v>2398</v>
      </c>
      <c r="D1271" s="152" t="s">
        <v>2398</v>
      </c>
      <c r="E1271" s="152" t="s">
        <v>2705</v>
      </c>
      <c r="F1271" s="152" t="s">
        <v>2398</v>
      </c>
      <c r="G1271" s="152" t="s">
        <v>2705</v>
      </c>
      <c r="H1271" s="152" t="s">
        <v>2705</v>
      </c>
      <c r="I1271" s="152" t="s">
        <v>2705</v>
      </c>
      <c r="J1271" s="152" t="s">
        <v>2705</v>
      </c>
      <c r="K1271" s="152" t="s">
        <v>2398</v>
      </c>
      <c r="L1271" s="152" t="s">
        <v>2705</v>
      </c>
      <c r="M1271" s="152" t="s">
        <v>2398</v>
      </c>
      <c r="N1271" s="152" t="s">
        <v>2705</v>
      </c>
      <c r="O1271" s="152" t="s">
        <v>2398</v>
      </c>
      <c r="P1271" s="152" t="s">
        <v>2397</v>
      </c>
      <c r="Q1271" s="152" t="s">
        <v>2705</v>
      </c>
      <c r="R1271" s="152" t="s">
        <v>2705</v>
      </c>
      <c r="S1271" s="152" t="s">
        <v>2705</v>
      </c>
      <c r="T1271" s="152" t="s">
        <v>2398</v>
      </c>
      <c r="U1271" s="152" t="s">
        <v>2705</v>
      </c>
    </row>
    <row r="1272" spans="1:21" s="142" customFormat="1" ht="12.75" x14ac:dyDescent="0.2">
      <c r="A1272" s="151"/>
      <c r="B1272" s="152" t="s">
        <v>2398</v>
      </c>
      <c r="C1272" s="152" t="s">
        <v>2705</v>
      </c>
      <c r="D1272" s="152" t="s">
        <v>2398</v>
      </c>
      <c r="E1272" s="152" t="s">
        <v>2398</v>
      </c>
      <c r="F1272" s="152" t="s">
        <v>2398</v>
      </c>
      <c r="G1272" s="152" t="s">
        <v>2705</v>
      </c>
      <c r="H1272" s="152" t="s">
        <v>2705</v>
      </c>
      <c r="I1272" s="152" t="s">
        <v>2705</v>
      </c>
      <c r="J1272" s="152" t="s">
        <v>2705</v>
      </c>
      <c r="K1272" s="152" t="s">
        <v>2705</v>
      </c>
      <c r="L1272" s="152" t="s">
        <v>2398</v>
      </c>
      <c r="M1272" s="152" t="s">
        <v>2705</v>
      </c>
      <c r="N1272" s="152" t="s">
        <v>2705</v>
      </c>
      <c r="O1272" s="152" t="s">
        <v>2397</v>
      </c>
      <c r="P1272" s="152" t="s">
        <v>2398</v>
      </c>
      <c r="Q1272" s="152" t="s">
        <v>2705</v>
      </c>
      <c r="R1272" s="152" t="s">
        <v>2705</v>
      </c>
      <c r="S1272" s="152" t="s">
        <v>2705</v>
      </c>
      <c r="T1272" s="152" t="s">
        <v>2705</v>
      </c>
      <c r="U1272" s="152" t="s">
        <v>2705</v>
      </c>
    </row>
    <row r="1273" spans="1:21" s="142" customFormat="1" ht="12.75" customHeight="1" x14ac:dyDescent="0.2">
      <c r="A1273" s="151" t="s">
        <v>7953</v>
      </c>
      <c r="B1273" s="152" t="s">
        <v>2398</v>
      </c>
      <c r="C1273" s="152" t="s">
        <v>2705</v>
      </c>
      <c r="D1273" s="152" t="s">
        <v>2398</v>
      </c>
      <c r="E1273" s="152" t="s">
        <v>2705</v>
      </c>
      <c r="F1273" s="152" t="s">
        <v>2705</v>
      </c>
      <c r="G1273" s="152" t="s">
        <v>2705</v>
      </c>
      <c r="H1273" s="152" t="s">
        <v>2705</v>
      </c>
      <c r="I1273" s="152" t="s">
        <v>2398</v>
      </c>
      <c r="J1273" s="152" t="s">
        <v>2705</v>
      </c>
      <c r="K1273" s="152" t="s">
        <v>2705</v>
      </c>
      <c r="L1273" s="152" t="s">
        <v>2705</v>
      </c>
      <c r="M1273" s="152" t="s">
        <v>2398</v>
      </c>
      <c r="N1273" s="152" t="s">
        <v>2705</v>
      </c>
      <c r="O1273" s="152" t="s">
        <v>2398</v>
      </c>
      <c r="P1273" s="152" t="s">
        <v>2705</v>
      </c>
      <c r="Q1273" s="152" t="s">
        <v>2705</v>
      </c>
      <c r="R1273" s="152" t="s">
        <v>2675</v>
      </c>
      <c r="S1273" s="152" t="s">
        <v>2705</v>
      </c>
      <c r="T1273" s="152" t="s">
        <v>2705</v>
      </c>
      <c r="U1273" s="152" t="s">
        <v>2705</v>
      </c>
    </row>
    <row r="1274" spans="1:21" s="142" customFormat="1" ht="12.75" x14ac:dyDescent="0.2">
      <c r="A1274" s="151"/>
      <c r="B1274" s="152" t="s">
        <v>2705</v>
      </c>
      <c r="C1274" s="152" t="s">
        <v>2705</v>
      </c>
      <c r="D1274" s="152" t="s">
        <v>2398</v>
      </c>
      <c r="E1274" s="152" t="s">
        <v>2398</v>
      </c>
      <c r="F1274" s="152" t="s">
        <v>2705</v>
      </c>
      <c r="G1274" s="152" t="s">
        <v>2705</v>
      </c>
      <c r="H1274" s="152" t="s">
        <v>2397</v>
      </c>
      <c r="I1274" s="152" t="s">
        <v>2398</v>
      </c>
      <c r="J1274" s="152" t="s">
        <v>2398</v>
      </c>
      <c r="K1274" s="152" t="s">
        <v>2398</v>
      </c>
      <c r="L1274" s="152" t="s">
        <v>2398</v>
      </c>
      <c r="M1274" s="152" t="s">
        <v>2398</v>
      </c>
      <c r="N1274" s="152" t="s">
        <v>2705</v>
      </c>
      <c r="O1274" s="152" t="s">
        <v>2398</v>
      </c>
      <c r="P1274" s="152" t="s">
        <v>2398</v>
      </c>
      <c r="Q1274" s="152" t="s">
        <v>2705</v>
      </c>
      <c r="R1274" s="152" t="s">
        <v>2705</v>
      </c>
      <c r="S1274" s="152" t="s">
        <v>2705</v>
      </c>
      <c r="T1274" s="152" t="s">
        <v>2705</v>
      </c>
      <c r="U1274" s="152" t="s">
        <v>2705</v>
      </c>
    </row>
    <row r="1275" spans="1:21" s="142" customFormat="1" ht="12.75" customHeight="1" x14ac:dyDescent="0.2">
      <c r="A1275" s="151" t="s">
        <v>7954</v>
      </c>
      <c r="B1275" s="152" t="s">
        <v>2705</v>
      </c>
      <c r="C1275" s="152" t="s">
        <v>2398</v>
      </c>
      <c r="D1275" s="152" t="s">
        <v>2398</v>
      </c>
      <c r="E1275" s="152" t="s">
        <v>2705</v>
      </c>
      <c r="F1275" s="152" t="s">
        <v>2398</v>
      </c>
      <c r="G1275" s="152" t="s">
        <v>2705</v>
      </c>
      <c r="H1275" s="152" t="s">
        <v>2705</v>
      </c>
      <c r="I1275" s="152" t="s">
        <v>2705</v>
      </c>
      <c r="J1275" s="152" t="s">
        <v>2705</v>
      </c>
      <c r="K1275" s="152" t="s">
        <v>2398</v>
      </c>
      <c r="L1275" s="152" t="s">
        <v>2398</v>
      </c>
      <c r="M1275" s="152" t="s">
        <v>2398</v>
      </c>
      <c r="N1275" s="152" t="s">
        <v>2705</v>
      </c>
      <c r="O1275" s="152" t="s">
        <v>1435</v>
      </c>
      <c r="P1275" s="152" t="s">
        <v>2398</v>
      </c>
      <c r="Q1275" s="152" t="s">
        <v>2675</v>
      </c>
      <c r="R1275" s="152" t="s">
        <v>2705</v>
      </c>
      <c r="S1275" s="152" t="s">
        <v>2705</v>
      </c>
      <c r="T1275" s="152" t="s">
        <v>2398</v>
      </c>
      <c r="U1275" s="152" t="s">
        <v>2398</v>
      </c>
    </row>
    <row r="1276" spans="1:21" s="142" customFormat="1" ht="12.75" x14ac:dyDescent="0.2">
      <c r="A1276" s="151"/>
      <c r="B1276" s="152" t="s">
        <v>2398</v>
      </c>
      <c r="C1276" s="152" t="s">
        <v>2675</v>
      </c>
      <c r="D1276" s="152" t="s">
        <v>2398</v>
      </c>
      <c r="E1276" s="152" t="s">
        <v>2675</v>
      </c>
      <c r="F1276" s="152" t="s">
        <v>2705</v>
      </c>
      <c r="G1276" s="152" t="s">
        <v>2398</v>
      </c>
      <c r="H1276" s="152" t="s">
        <v>2705</v>
      </c>
      <c r="I1276" s="152" t="s">
        <v>2675</v>
      </c>
      <c r="J1276" s="152" t="s">
        <v>2705</v>
      </c>
      <c r="K1276" s="152" t="s">
        <v>2398</v>
      </c>
      <c r="L1276" s="152" t="s">
        <v>2705</v>
      </c>
      <c r="M1276" s="152" t="s">
        <v>2398</v>
      </c>
      <c r="N1276" s="152" t="s">
        <v>2675</v>
      </c>
      <c r="O1276" s="152" t="s">
        <v>2398</v>
      </c>
      <c r="P1276" s="152" t="s">
        <v>2398</v>
      </c>
      <c r="Q1276" s="152" t="s">
        <v>2398</v>
      </c>
      <c r="R1276" s="152" t="s">
        <v>1435</v>
      </c>
      <c r="S1276" s="152" t="s">
        <v>2705</v>
      </c>
      <c r="T1276" s="152" t="s">
        <v>2398</v>
      </c>
      <c r="U1276" s="152" t="s">
        <v>2705</v>
      </c>
    </row>
    <row r="1277" spans="1:21" s="142" customFormat="1" ht="12.75" customHeight="1" x14ac:dyDescent="0.2">
      <c r="A1277" s="151" t="s">
        <v>7955</v>
      </c>
      <c r="B1277" s="152" t="s">
        <v>2675</v>
      </c>
      <c r="C1277" s="152" t="s">
        <v>2705</v>
      </c>
      <c r="D1277" s="152" t="s">
        <v>2705</v>
      </c>
      <c r="E1277" s="152" t="s">
        <v>2398</v>
      </c>
      <c r="F1277" s="152" t="s">
        <v>2398</v>
      </c>
      <c r="G1277" s="152" t="s">
        <v>2705</v>
      </c>
      <c r="H1277" s="152" t="s">
        <v>2675</v>
      </c>
      <c r="I1277" s="152" t="s">
        <v>2398</v>
      </c>
      <c r="J1277" s="152" t="s">
        <v>2398</v>
      </c>
      <c r="K1277" s="152" t="s">
        <v>2705</v>
      </c>
      <c r="L1277" s="152" t="s">
        <v>2397</v>
      </c>
      <c r="M1277" s="152" t="s">
        <v>2398</v>
      </c>
      <c r="N1277" s="152" t="s">
        <v>2705</v>
      </c>
      <c r="O1277" s="152" t="s">
        <v>2705</v>
      </c>
      <c r="P1277" s="152" t="s">
        <v>2398</v>
      </c>
      <c r="Q1277" s="152" t="s">
        <v>2675</v>
      </c>
      <c r="R1277" s="152" t="s">
        <v>2675</v>
      </c>
      <c r="S1277" s="152" t="s">
        <v>2705</v>
      </c>
      <c r="T1277" s="152" t="s">
        <v>2398</v>
      </c>
      <c r="U1277" s="152" t="s">
        <v>2705</v>
      </c>
    </row>
    <row r="1278" spans="1:21" s="142" customFormat="1" ht="12.75" x14ac:dyDescent="0.2">
      <c r="A1278" s="151"/>
      <c r="B1278" s="152" t="s">
        <v>2705</v>
      </c>
      <c r="C1278" s="152" t="s">
        <v>2675</v>
      </c>
      <c r="D1278" s="152" t="s">
        <v>2398</v>
      </c>
      <c r="E1278" s="152" t="s">
        <v>2705</v>
      </c>
      <c r="F1278" s="152" t="s">
        <v>2705</v>
      </c>
      <c r="G1278" s="152" t="s">
        <v>2398</v>
      </c>
      <c r="H1278" s="152" t="s">
        <v>2398</v>
      </c>
      <c r="I1278" s="152" t="s">
        <v>2705</v>
      </c>
      <c r="J1278" s="152" t="s">
        <v>2705</v>
      </c>
      <c r="K1278" s="152" t="s">
        <v>2705</v>
      </c>
      <c r="L1278" s="152" t="s">
        <v>2398</v>
      </c>
      <c r="M1278" s="152" t="s">
        <v>2675</v>
      </c>
      <c r="N1278" s="152" t="s">
        <v>2398</v>
      </c>
      <c r="O1278" s="152" t="s">
        <v>1435</v>
      </c>
      <c r="P1278" s="152" t="s">
        <v>2398</v>
      </c>
      <c r="Q1278" s="152" t="s">
        <v>2705</v>
      </c>
      <c r="R1278" s="152" t="s">
        <v>2705</v>
      </c>
      <c r="S1278" s="152" t="s">
        <v>2397</v>
      </c>
      <c r="T1278" s="152" t="s">
        <v>2705</v>
      </c>
      <c r="U1278" s="152" t="s">
        <v>2398</v>
      </c>
    </row>
    <row r="1279" spans="1:21" s="142" customFormat="1" ht="12.75" customHeight="1" x14ac:dyDescent="0.2">
      <c r="A1279" s="151" t="s">
        <v>7956</v>
      </c>
      <c r="B1279" s="152" t="s">
        <v>2705</v>
      </c>
      <c r="C1279" s="152" t="s">
        <v>2705</v>
      </c>
      <c r="D1279" s="152" t="s">
        <v>2398</v>
      </c>
      <c r="E1279" s="152" t="s">
        <v>2705</v>
      </c>
      <c r="F1279" s="152" t="s">
        <v>2705</v>
      </c>
      <c r="G1279" s="152" t="s">
        <v>2705</v>
      </c>
      <c r="H1279" s="152" t="s">
        <v>2705</v>
      </c>
      <c r="I1279" s="152" t="s">
        <v>2398</v>
      </c>
      <c r="J1279" s="152" t="s">
        <v>2705</v>
      </c>
      <c r="K1279" s="152" t="s">
        <v>1435</v>
      </c>
      <c r="L1279" s="152" t="s">
        <v>2705</v>
      </c>
      <c r="M1279" s="152" t="s">
        <v>2705</v>
      </c>
      <c r="N1279" s="152" t="s">
        <v>2675</v>
      </c>
      <c r="O1279" s="152" t="s">
        <v>2705</v>
      </c>
      <c r="P1279" s="152" t="s">
        <v>2705</v>
      </c>
      <c r="Q1279" s="152" t="s">
        <v>2398</v>
      </c>
      <c r="R1279" s="152" t="s">
        <v>2675</v>
      </c>
      <c r="S1279" s="152" t="s">
        <v>2705</v>
      </c>
      <c r="T1279" s="152" t="s">
        <v>2398</v>
      </c>
      <c r="U1279" s="152" t="s">
        <v>2705</v>
      </c>
    </row>
    <row r="1280" spans="1:21" s="142" customFormat="1" ht="12.75" x14ac:dyDescent="0.2">
      <c r="A1280" s="151"/>
      <c r="B1280" s="152" t="s">
        <v>2398</v>
      </c>
      <c r="C1280" s="152" t="s">
        <v>2398</v>
      </c>
      <c r="D1280" s="152" t="s">
        <v>2705</v>
      </c>
      <c r="E1280" s="152" t="s">
        <v>2705</v>
      </c>
      <c r="F1280" s="152" t="s">
        <v>2705</v>
      </c>
      <c r="G1280" s="152" t="s">
        <v>2398</v>
      </c>
      <c r="H1280" s="152" t="s">
        <v>2398</v>
      </c>
      <c r="I1280" s="152" t="s">
        <v>2705</v>
      </c>
      <c r="J1280" s="152" t="s">
        <v>2675</v>
      </c>
      <c r="K1280" s="152" t="s">
        <v>2675</v>
      </c>
      <c r="L1280" s="152" t="s">
        <v>2705</v>
      </c>
      <c r="M1280" s="152" t="s">
        <v>2398</v>
      </c>
      <c r="N1280" s="152" t="s">
        <v>2705</v>
      </c>
      <c r="O1280" s="152" t="s">
        <v>2705</v>
      </c>
      <c r="P1280" s="152" t="s">
        <v>2398</v>
      </c>
      <c r="Q1280" s="152" t="s">
        <v>2398</v>
      </c>
      <c r="R1280" s="152" t="s">
        <v>2398</v>
      </c>
      <c r="S1280" s="152" t="s">
        <v>2705</v>
      </c>
      <c r="T1280" s="152" t="s">
        <v>2398</v>
      </c>
      <c r="U1280" s="152" t="s">
        <v>2398</v>
      </c>
    </row>
    <row r="1281" spans="1:21" s="142" customFormat="1" ht="12.75" customHeight="1" x14ac:dyDescent="0.2">
      <c r="A1281" s="151" t="s">
        <v>7957</v>
      </c>
      <c r="B1281" s="152" t="s">
        <v>2398</v>
      </c>
      <c r="C1281" s="152" t="s">
        <v>2398</v>
      </c>
      <c r="D1281" s="152" t="s">
        <v>2398</v>
      </c>
      <c r="E1281" s="152" t="s">
        <v>2398</v>
      </c>
      <c r="F1281" s="152" t="s">
        <v>2705</v>
      </c>
      <c r="G1281" s="152" t="s">
        <v>2705</v>
      </c>
      <c r="H1281" s="152" t="s">
        <v>2705</v>
      </c>
      <c r="I1281" s="152" t="s">
        <v>2398</v>
      </c>
      <c r="J1281" s="152" t="s">
        <v>2398</v>
      </c>
      <c r="K1281" s="152" t="s">
        <v>2705</v>
      </c>
      <c r="L1281" s="152" t="s">
        <v>2398</v>
      </c>
      <c r="M1281" s="152" t="s">
        <v>2705</v>
      </c>
      <c r="N1281" s="152" t="s">
        <v>2398</v>
      </c>
      <c r="O1281" s="152" t="s">
        <v>2398</v>
      </c>
      <c r="P1281" s="152" t="s">
        <v>2705</v>
      </c>
      <c r="Q1281" s="152" t="s">
        <v>2705</v>
      </c>
      <c r="R1281" s="152" t="s">
        <v>2398</v>
      </c>
      <c r="S1281" s="152" t="s">
        <v>2705</v>
      </c>
      <c r="T1281" s="152" t="s">
        <v>2398</v>
      </c>
      <c r="U1281" s="152" t="s">
        <v>2705</v>
      </c>
    </row>
    <row r="1282" spans="1:21" s="142" customFormat="1" ht="12.75" x14ac:dyDescent="0.2">
      <c r="A1282" s="151"/>
      <c r="B1282" s="152" t="s">
        <v>2398</v>
      </c>
      <c r="C1282" s="152" t="s">
        <v>2398</v>
      </c>
      <c r="D1282" s="152" t="s">
        <v>2705</v>
      </c>
      <c r="E1282" s="152" t="s">
        <v>2705</v>
      </c>
      <c r="F1282" s="152" t="s">
        <v>2705</v>
      </c>
      <c r="G1282" s="152" t="s">
        <v>2398</v>
      </c>
      <c r="H1282" s="152" t="s">
        <v>2398</v>
      </c>
      <c r="I1282" s="152" t="s">
        <v>2705</v>
      </c>
      <c r="J1282" s="152" t="s">
        <v>2705</v>
      </c>
      <c r="K1282" s="152" t="s">
        <v>2705</v>
      </c>
      <c r="L1282" s="152" t="s">
        <v>2398</v>
      </c>
      <c r="M1282" s="152" t="s">
        <v>2398</v>
      </c>
      <c r="N1282" s="152" t="s">
        <v>2705</v>
      </c>
      <c r="O1282" s="152" t="s">
        <v>2705</v>
      </c>
      <c r="P1282" s="152" t="s">
        <v>2675</v>
      </c>
      <c r="Q1282" s="152" t="s">
        <v>2705</v>
      </c>
      <c r="R1282" s="152" t="s">
        <v>2398</v>
      </c>
      <c r="S1282" s="152" t="s">
        <v>2705</v>
      </c>
      <c r="T1282" s="152" t="s">
        <v>2398</v>
      </c>
      <c r="U1282" s="152" t="s">
        <v>2705</v>
      </c>
    </row>
    <row r="1283" spans="1:21" s="142" customFormat="1" ht="12.75" customHeight="1" x14ac:dyDescent="0.2">
      <c r="A1283" s="151" t="s">
        <v>7958</v>
      </c>
      <c r="B1283" s="152" t="s">
        <v>2705</v>
      </c>
      <c r="C1283" s="152" t="s">
        <v>2398</v>
      </c>
      <c r="D1283" s="152" t="s">
        <v>2398</v>
      </c>
      <c r="E1283" s="152" t="s">
        <v>1435</v>
      </c>
      <c r="F1283" s="152" t="s">
        <v>2705</v>
      </c>
      <c r="G1283" s="152" t="s">
        <v>2705</v>
      </c>
      <c r="H1283" s="152" t="s">
        <v>2705</v>
      </c>
      <c r="I1283" s="152" t="s">
        <v>2398</v>
      </c>
      <c r="J1283" s="152" t="s">
        <v>2398</v>
      </c>
      <c r="K1283" s="152" t="s">
        <v>2398</v>
      </c>
      <c r="L1283" s="152" t="s">
        <v>2705</v>
      </c>
      <c r="M1283" s="152" t="s">
        <v>1435</v>
      </c>
      <c r="N1283" s="152" t="s">
        <v>2398</v>
      </c>
      <c r="O1283" s="152" t="s">
        <v>2705</v>
      </c>
      <c r="P1283" s="152" t="s">
        <v>2398</v>
      </c>
      <c r="Q1283" s="152" t="s">
        <v>2705</v>
      </c>
      <c r="R1283" s="152" t="s">
        <v>2705</v>
      </c>
      <c r="S1283" s="152" t="s">
        <v>2705</v>
      </c>
      <c r="T1283" s="152" t="s">
        <v>2705</v>
      </c>
      <c r="U1283" s="152" t="s">
        <v>2705</v>
      </c>
    </row>
    <row r="1284" spans="1:21" s="142" customFormat="1" ht="12.75" x14ac:dyDescent="0.2">
      <c r="A1284" s="151"/>
      <c r="B1284" s="152" t="s">
        <v>2705</v>
      </c>
      <c r="C1284" s="152" t="s">
        <v>2398</v>
      </c>
      <c r="D1284" s="152" t="s">
        <v>2705</v>
      </c>
      <c r="E1284" s="152" t="s">
        <v>2705</v>
      </c>
      <c r="F1284" s="152" t="s">
        <v>2705</v>
      </c>
      <c r="G1284" s="152" t="s">
        <v>2705</v>
      </c>
      <c r="H1284" s="152" t="s">
        <v>2398</v>
      </c>
      <c r="I1284" s="152" t="s">
        <v>2398</v>
      </c>
      <c r="J1284" s="152" t="s">
        <v>1435</v>
      </c>
      <c r="K1284" s="152" t="s">
        <v>2398</v>
      </c>
      <c r="L1284" s="152" t="s">
        <v>2705</v>
      </c>
      <c r="M1284" s="152" t="s">
        <v>2705</v>
      </c>
      <c r="N1284" s="152" t="s">
        <v>2705</v>
      </c>
      <c r="O1284" s="152" t="s">
        <v>2705</v>
      </c>
      <c r="P1284" s="152" t="s">
        <v>2398</v>
      </c>
      <c r="Q1284" s="152" t="s">
        <v>2398</v>
      </c>
      <c r="R1284" s="152" t="s">
        <v>2705</v>
      </c>
      <c r="S1284" s="152" t="s">
        <v>2705</v>
      </c>
      <c r="T1284" s="152" t="s">
        <v>2705</v>
      </c>
      <c r="U1284" s="152" t="s">
        <v>2705</v>
      </c>
    </row>
    <row r="1285" spans="1:21" s="142" customFormat="1" ht="12.75" customHeight="1" x14ac:dyDescent="0.2">
      <c r="A1285" s="151" t="s">
        <v>7959</v>
      </c>
      <c r="B1285" s="152" t="s">
        <v>2705</v>
      </c>
      <c r="C1285" s="152" t="s">
        <v>2705</v>
      </c>
      <c r="D1285" s="152" t="s">
        <v>2675</v>
      </c>
      <c r="E1285" s="152" t="s">
        <v>2398</v>
      </c>
      <c r="F1285" s="152" t="s">
        <v>2398</v>
      </c>
      <c r="G1285" s="152" t="s">
        <v>2705</v>
      </c>
      <c r="H1285" s="152" t="s">
        <v>2705</v>
      </c>
      <c r="I1285" s="152" t="s">
        <v>2398</v>
      </c>
      <c r="J1285" s="152" t="s">
        <v>2675</v>
      </c>
      <c r="K1285" s="152" t="s">
        <v>2398</v>
      </c>
      <c r="L1285" s="152" t="s">
        <v>2675</v>
      </c>
      <c r="M1285" s="152" t="s">
        <v>2705</v>
      </c>
      <c r="N1285" s="152" t="s">
        <v>2705</v>
      </c>
      <c r="O1285" s="152" t="s">
        <v>2705</v>
      </c>
      <c r="P1285" s="152" t="s">
        <v>2398</v>
      </c>
      <c r="Q1285" s="152" t="s">
        <v>2398</v>
      </c>
      <c r="R1285" s="152" t="s">
        <v>2705</v>
      </c>
      <c r="S1285" s="152" t="s">
        <v>2705</v>
      </c>
      <c r="T1285" s="152" t="s">
        <v>2398</v>
      </c>
      <c r="U1285" s="152" t="s">
        <v>2705</v>
      </c>
    </row>
    <row r="1286" spans="1:21" s="142" customFormat="1" ht="12.75" x14ac:dyDescent="0.2">
      <c r="A1286" s="151"/>
      <c r="B1286" s="152" t="s">
        <v>1435</v>
      </c>
      <c r="C1286" s="152" t="s">
        <v>2675</v>
      </c>
      <c r="D1286" s="152" t="s">
        <v>2398</v>
      </c>
      <c r="E1286" s="152" t="s">
        <v>2675</v>
      </c>
      <c r="F1286" s="152" t="s">
        <v>2398</v>
      </c>
      <c r="G1286" s="152" t="s">
        <v>2705</v>
      </c>
      <c r="H1286" s="152" t="s">
        <v>2705</v>
      </c>
      <c r="I1286" s="152" t="s">
        <v>2705</v>
      </c>
      <c r="J1286" s="152" t="s">
        <v>2705</v>
      </c>
      <c r="K1286" s="152" t="s">
        <v>2705</v>
      </c>
      <c r="L1286" s="152" t="s">
        <v>2705</v>
      </c>
      <c r="M1286" s="152" t="s">
        <v>2705</v>
      </c>
      <c r="N1286" s="152" t="s">
        <v>2705</v>
      </c>
      <c r="O1286" s="152" t="s">
        <v>2705</v>
      </c>
      <c r="P1286" s="152" t="s">
        <v>2398</v>
      </c>
      <c r="Q1286" s="152" t="s">
        <v>2705</v>
      </c>
      <c r="R1286" s="152" t="s">
        <v>2705</v>
      </c>
      <c r="S1286" s="152" t="s">
        <v>2705</v>
      </c>
      <c r="T1286" s="152" t="s">
        <v>2397</v>
      </c>
      <c r="U1286" s="152" t="s">
        <v>2398</v>
      </c>
    </row>
    <row r="1287" spans="1:21" s="142" customFormat="1" ht="12.75" customHeight="1" x14ac:dyDescent="0.2">
      <c r="A1287" s="151" t="s">
        <v>7960</v>
      </c>
      <c r="B1287" s="152" t="s">
        <v>2398</v>
      </c>
      <c r="C1287" s="152" t="s">
        <v>2675</v>
      </c>
      <c r="D1287" s="152" t="s">
        <v>2398</v>
      </c>
      <c r="E1287" s="152" t="s">
        <v>2397</v>
      </c>
      <c r="F1287" s="152" t="s">
        <v>2705</v>
      </c>
      <c r="G1287" s="152" t="s">
        <v>2398</v>
      </c>
      <c r="H1287" s="152" t="s">
        <v>2397</v>
      </c>
      <c r="I1287" s="152" t="s">
        <v>2675</v>
      </c>
      <c r="J1287" s="152" t="s">
        <v>2705</v>
      </c>
      <c r="K1287" s="152" t="s">
        <v>2705</v>
      </c>
      <c r="L1287" s="152" t="s">
        <v>2705</v>
      </c>
      <c r="M1287" s="152" t="s">
        <v>2705</v>
      </c>
      <c r="N1287" s="152" t="s">
        <v>2398</v>
      </c>
      <c r="O1287" s="152" t="s">
        <v>2398</v>
      </c>
      <c r="P1287" s="152" t="s">
        <v>2705</v>
      </c>
      <c r="Q1287" s="152" t="s">
        <v>2705</v>
      </c>
      <c r="R1287" s="152" t="s">
        <v>1435</v>
      </c>
      <c r="S1287" s="152" t="s">
        <v>2705</v>
      </c>
      <c r="T1287" s="152" t="s">
        <v>2705</v>
      </c>
      <c r="U1287" s="152" t="s">
        <v>2705</v>
      </c>
    </row>
    <row r="1288" spans="1:21" s="142" customFormat="1" ht="12.75" x14ac:dyDescent="0.2">
      <c r="A1288" s="151"/>
      <c r="B1288" s="152" t="s">
        <v>2398</v>
      </c>
      <c r="C1288" s="152" t="s">
        <v>2675</v>
      </c>
      <c r="D1288" s="152" t="s">
        <v>2398</v>
      </c>
      <c r="E1288" s="152" t="s">
        <v>2675</v>
      </c>
      <c r="F1288" s="152" t="s">
        <v>2398</v>
      </c>
      <c r="G1288" s="152" t="s">
        <v>2705</v>
      </c>
      <c r="H1288" s="152" t="s">
        <v>2398</v>
      </c>
      <c r="I1288" s="152" t="s">
        <v>2705</v>
      </c>
      <c r="J1288" s="152" t="s">
        <v>2705</v>
      </c>
      <c r="K1288" s="152" t="s">
        <v>2705</v>
      </c>
      <c r="L1288" s="152" t="s">
        <v>2675</v>
      </c>
      <c r="M1288" s="152" t="s">
        <v>2705</v>
      </c>
      <c r="N1288" s="152" t="s">
        <v>2705</v>
      </c>
      <c r="O1288" s="152" t="s">
        <v>2675</v>
      </c>
      <c r="P1288" s="152" t="s">
        <v>2675</v>
      </c>
      <c r="Q1288" s="152" t="s">
        <v>2705</v>
      </c>
      <c r="R1288" s="152" t="s">
        <v>2705</v>
      </c>
      <c r="S1288" s="152" t="s">
        <v>2705</v>
      </c>
      <c r="T1288" s="152" t="s">
        <v>2397</v>
      </c>
      <c r="U1288" s="152" t="s">
        <v>2675</v>
      </c>
    </row>
    <row r="1289" spans="1:21" s="142" customFormat="1" ht="12.75" customHeight="1" x14ac:dyDescent="0.2">
      <c r="A1289" s="151" t="s">
        <v>7961</v>
      </c>
      <c r="B1289" s="152" t="s">
        <v>2675</v>
      </c>
      <c r="C1289" s="152" t="s">
        <v>2398</v>
      </c>
      <c r="D1289" s="152" t="s">
        <v>2398</v>
      </c>
      <c r="E1289" s="152" t="s">
        <v>2398</v>
      </c>
      <c r="F1289" s="152" t="s">
        <v>2705</v>
      </c>
      <c r="G1289" s="152" t="s">
        <v>2705</v>
      </c>
      <c r="H1289" s="152" t="s">
        <v>2705</v>
      </c>
      <c r="I1289" s="152" t="s">
        <v>2398</v>
      </c>
      <c r="J1289" s="152" t="s">
        <v>1435</v>
      </c>
      <c r="K1289" s="152" t="s">
        <v>2705</v>
      </c>
      <c r="L1289" s="152" t="s">
        <v>2705</v>
      </c>
      <c r="M1289" s="152" t="s">
        <v>2705</v>
      </c>
      <c r="N1289" s="152" t="s">
        <v>2705</v>
      </c>
      <c r="O1289" s="152" t="s">
        <v>2705</v>
      </c>
      <c r="P1289" s="152" t="s">
        <v>2705</v>
      </c>
      <c r="Q1289" s="152" t="s">
        <v>2705</v>
      </c>
      <c r="R1289" s="152" t="s">
        <v>2705</v>
      </c>
      <c r="S1289" s="152" t="s">
        <v>2705</v>
      </c>
      <c r="T1289" s="152" t="s">
        <v>2705</v>
      </c>
      <c r="U1289" s="152" t="s">
        <v>2705</v>
      </c>
    </row>
    <row r="1290" spans="1:21" s="142" customFormat="1" ht="12.75" x14ac:dyDescent="0.2">
      <c r="A1290" s="151"/>
      <c r="B1290" s="152" t="s">
        <v>2705</v>
      </c>
      <c r="C1290" s="152" t="s">
        <v>2398</v>
      </c>
      <c r="D1290" s="152" t="s">
        <v>2705</v>
      </c>
      <c r="E1290" s="152" t="s">
        <v>2705</v>
      </c>
      <c r="F1290" s="152" t="s">
        <v>2705</v>
      </c>
      <c r="G1290" s="152" t="s">
        <v>2398</v>
      </c>
      <c r="H1290" s="152" t="s">
        <v>2397</v>
      </c>
      <c r="I1290" s="152" t="s">
        <v>2398</v>
      </c>
      <c r="J1290" s="152" t="s">
        <v>2705</v>
      </c>
      <c r="K1290" s="152" t="s">
        <v>2398</v>
      </c>
      <c r="L1290" s="152" t="s">
        <v>2705</v>
      </c>
      <c r="M1290" s="152" t="s">
        <v>2398</v>
      </c>
      <c r="N1290" s="152" t="s">
        <v>2705</v>
      </c>
      <c r="O1290" s="152" t="s">
        <v>2398</v>
      </c>
      <c r="P1290" s="152" t="s">
        <v>2398</v>
      </c>
      <c r="Q1290" s="152" t="s">
        <v>2705</v>
      </c>
      <c r="R1290" s="152" t="s">
        <v>2675</v>
      </c>
      <c r="S1290" s="152" t="s">
        <v>2705</v>
      </c>
      <c r="T1290" s="152" t="s">
        <v>2398</v>
      </c>
      <c r="U1290" s="152" t="s">
        <v>2398</v>
      </c>
    </row>
    <row r="1291" spans="1:21" s="142" customFormat="1" ht="12.75" customHeight="1" x14ac:dyDescent="0.2">
      <c r="A1291" s="151" t="s">
        <v>7962</v>
      </c>
      <c r="B1291" s="152" t="s">
        <v>1435</v>
      </c>
      <c r="C1291" s="152" t="s">
        <v>2675</v>
      </c>
      <c r="D1291" s="152" t="s">
        <v>2705</v>
      </c>
      <c r="E1291" s="152" t="s">
        <v>2705</v>
      </c>
      <c r="F1291" s="152" t="s">
        <v>1435</v>
      </c>
      <c r="G1291" s="152" t="s">
        <v>2398</v>
      </c>
      <c r="H1291" s="152" t="s">
        <v>2398</v>
      </c>
      <c r="I1291" s="152" t="s">
        <v>2705</v>
      </c>
      <c r="J1291" s="152" t="s">
        <v>2398</v>
      </c>
      <c r="K1291" s="152" t="s">
        <v>2398</v>
      </c>
      <c r="L1291" s="152" t="s">
        <v>2675</v>
      </c>
      <c r="M1291" s="152" t="s">
        <v>2675</v>
      </c>
      <c r="N1291" s="152" t="s">
        <v>1435</v>
      </c>
      <c r="O1291" s="152" t="s">
        <v>2705</v>
      </c>
      <c r="P1291" s="152" t="s">
        <v>2398</v>
      </c>
      <c r="Q1291" s="152" t="s">
        <v>2675</v>
      </c>
      <c r="R1291" s="152" t="s">
        <v>2398</v>
      </c>
      <c r="S1291" s="152" t="s">
        <v>2705</v>
      </c>
      <c r="T1291" s="152" t="s">
        <v>2705</v>
      </c>
      <c r="U1291" s="152" t="s">
        <v>2705</v>
      </c>
    </row>
    <row r="1292" spans="1:21" s="142" customFormat="1" ht="12.75" x14ac:dyDescent="0.2">
      <c r="A1292" s="151"/>
      <c r="B1292" s="152" t="s">
        <v>2705</v>
      </c>
      <c r="C1292" s="152" t="s">
        <v>2675</v>
      </c>
      <c r="D1292" s="152" t="s">
        <v>2398</v>
      </c>
      <c r="E1292" s="152" t="s">
        <v>2705</v>
      </c>
      <c r="F1292" s="152" t="s">
        <v>2398</v>
      </c>
      <c r="G1292" s="152" t="s">
        <v>2705</v>
      </c>
      <c r="H1292" s="152" t="s">
        <v>2398</v>
      </c>
      <c r="I1292" s="152" t="s">
        <v>1435</v>
      </c>
      <c r="J1292" s="152" t="s">
        <v>2398</v>
      </c>
      <c r="K1292" s="152" t="s">
        <v>2705</v>
      </c>
      <c r="L1292" s="152" t="s">
        <v>2398</v>
      </c>
      <c r="M1292" s="152" t="s">
        <v>2705</v>
      </c>
      <c r="N1292" s="152" t="s">
        <v>2675</v>
      </c>
      <c r="O1292" s="152" t="s">
        <v>2398</v>
      </c>
      <c r="P1292" s="152" t="s">
        <v>2705</v>
      </c>
      <c r="Q1292" s="152" t="s">
        <v>2398</v>
      </c>
      <c r="R1292" s="152" t="s">
        <v>2398</v>
      </c>
      <c r="S1292" s="152" t="s">
        <v>2705</v>
      </c>
      <c r="T1292" s="152" t="s">
        <v>2705</v>
      </c>
      <c r="U1292" s="152" t="s">
        <v>2398</v>
      </c>
    </row>
    <row r="1293" spans="1:21" s="142" customFormat="1" ht="12.75" customHeight="1" x14ac:dyDescent="0.2">
      <c r="A1293" s="151" t="s">
        <v>7963</v>
      </c>
      <c r="B1293" s="152" t="s">
        <v>2398</v>
      </c>
      <c r="C1293" s="152" t="s">
        <v>1435</v>
      </c>
      <c r="D1293" s="152" t="s">
        <v>2705</v>
      </c>
      <c r="E1293" s="152" t="s">
        <v>2398</v>
      </c>
      <c r="F1293" s="152" t="s">
        <v>2705</v>
      </c>
      <c r="G1293" s="152" t="s">
        <v>1435</v>
      </c>
      <c r="H1293" s="152" t="s">
        <v>2705</v>
      </c>
      <c r="I1293" s="152" t="s">
        <v>2675</v>
      </c>
      <c r="J1293" s="152" t="s">
        <v>2675</v>
      </c>
      <c r="K1293" s="152" t="s">
        <v>2705</v>
      </c>
      <c r="L1293" s="152" t="s">
        <v>2705</v>
      </c>
      <c r="M1293" s="152" t="s">
        <v>2705</v>
      </c>
      <c r="N1293" s="152" t="s">
        <v>2397</v>
      </c>
      <c r="O1293" s="152" t="s">
        <v>2705</v>
      </c>
      <c r="P1293" s="152" t="s">
        <v>2398</v>
      </c>
      <c r="Q1293" s="152" t="s">
        <v>2705</v>
      </c>
      <c r="R1293" s="152" t="s">
        <v>2705</v>
      </c>
      <c r="S1293" s="152" t="s">
        <v>2705</v>
      </c>
      <c r="T1293" s="152" t="s">
        <v>2397</v>
      </c>
      <c r="U1293" s="152" t="s">
        <v>2705</v>
      </c>
    </row>
    <row r="1294" spans="1:21" s="142" customFormat="1" ht="12.75" x14ac:dyDescent="0.2">
      <c r="A1294" s="151"/>
      <c r="B1294" s="152" t="s">
        <v>2398</v>
      </c>
      <c r="C1294" s="152" t="s">
        <v>2398</v>
      </c>
      <c r="D1294" s="152" t="s">
        <v>2705</v>
      </c>
      <c r="E1294" s="152" t="s">
        <v>1435</v>
      </c>
      <c r="F1294" s="152" t="s">
        <v>2397</v>
      </c>
      <c r="G1294" s="152" t="s">
        <v>2705</v>
      </c>
      <c r="H1294" s="152" t="s">
        <v>2705</v>
      </c>
      <c r="I1294" s="152" t="s">
        <v>2705</v>
      </c>
      <c r="J1294" s="152" t="s">
        <v>1435</v>
      </c>
      <c r="K1294" s="152" t="s">
        <v>1435</v>
      </c>
      <c r="L1294" s="152" t="s">
        <v>2398</v>
      </c>
      <c r="M1294" s="152" t="s">
        <v>1435</v>
      </c>
      <c r="N1294" s="152" t="s">
        <v>1435</v>
      </c>
      <c r="O1294" s="152" t="s">
        <v>2398</v>
      </c>
      <c r="P1294" s="152" t="s">
        <v>2398</v>
      </c>
      <c r="Q1294" s="152" t="s">
        <v>2398</v>
      </c>
      <c r="R1294" s="152" t="s">
        <v>2705</v>
      </c>
      <c r="S1294" s="152" t="s">
        <v>2705</v>
      </c>
      <c r="T1294" s="152" t="s">
        <v>2397</v>
      </c>
      <c r="U1294" s="152" t="s">
        <v>2705</v>
      </c>
    </row>
    <row r="1295" spans="1:21" s="142" customFormat="1" ht="12.75" customHeight="1" x14ac:dyDescent="0.2">
      <c r="A1295" s="151" t="s">
        <v>7964</v>
      </c>
      <c r="B1295" s="152" t="s">
        <v>2675</v>
      </c>
      <c r="C1295" s="152" t="s">
        <v>2675</v>
      </c>
      <c r="D1295" s="152" t="s">
        <v>1435</v>
      </c>
      <c r="E1295" s="152" t="s">
        <v>2397</v>
      </c>
      <c r="F1295" s="152" t="s">
        <v>2398</v>
      </c>
      <c r="G1295" s="152" t="s">
        <v>2398</v>
      </c>
      <c r="H1295" s="152" t="s">
        <v>2397</v>
      </c>
      <c r="I1295" s="152" t="s">
        <v>2675</v>
      </c>
      <c r="J1295" s="152" t="s">
        <v>2398</v>
      </c>
      <c r="K1295" s="152" t="s">
        <v>2705</v>
      </c>
      <c r="L1295" s="152" t="s">
        <v>2398</v>
      </c>
      <c r="M1295" s="152" t="s">
        <v>2705</v>
      </c>
      <c r="N1295" s="152" t="s">
        <v>2397</v>
      </c>
      <c r="O1295" s="152" t="s">
        <v>2397</v>
      </c>
      <c r="P1295" s="152" t="s">
        <v>2398</v>
      </c>
      <c r="Q1295" s="152" t="s">
        <v>2705</v>
      </c>
      <c r="R1295" s="152" t="s">
        <v>1435</v>
      </c>
      <c r="S1295" s="152" t="s">
        <v>2705</v>
      </c>
      <c r="T1295" s="152" t="s">
        <v>2398</v>
      </c>
      <c r="U1295" s="152" t="s">
        <v>2705</v>
      </c>
    </row>
    <row r="1296" spans="1:21" s="142" customFormat="1" ht="12.75" x14ac:dyDescent="0.2">
      <c r="A1296" s="151"/>
      <c r="B1296" s="152" t="s">
        <v>2705</v>
      </c>
      <c r="C1296" s="152" t="s">
        <v>2675</v>
      </c>
      <c r="D1296" s="152" t="s">
        <v>2398</v>
      </c>
      <c r="E1296" s="152" t="s">
        <v>2705</v>
      </c>
      <c r="F1296" s="152" t="s">
        <v>2398</v>
      </c>
      <c r="G1296" s="152" t="s">
        <v>2398</v>
      </c>
      <c r="H1296" s="152" t="s">
        <v>2398</v>
      </c>
      <c r="I1296" s="152" t="s">
        <v>2705</v>
      </c>
      <c r="J1296" s="152" t="s">
        <v>2398</v>
      </c>
      <c r="K1296" s="152" t="s">
        <v>1435</v>
      </c>
      <c r="L1296" s="152" t="s">
        <v>2675</v>
      </c>
      <c r="M1296" s="152" t="s">
        <v>1435</v>
      </c>
      <c r="N1296" s="152" t="s">
        <v>2705</v>
      </c>
      <c r="O1296" s="152" t="s">
        <v>2398</v>
      </c>
      <c r="P1296" s="152" t="s">
        <v>2675</v>
      </c>
      <c r="Q1296" s="152" t="s">
        <v>2398</v>
      </c>
      <c r="R1296" s="152" t="s">
        <v>2398</v>
      </c>
      <c r="S1296" s="152" t="s">
        <v>2705</v>
      </c>
      <c r="T1296" s="152" t="s">
        <v>2398</v>
      </c>
      <c r="U1296" s="152" t="s">
        <v>2398</v>
      </c>
    </row>
    <row r="1297" spans="1:21" s="142" customFormat="1" ht="12.75" customHeight="1" x14ac:dyDescent="0.2">
      <c r="A1297" s="151" t="s">
        <v>7965</v>
      </c>
      <c r="B1297" s="152" t="s">
        <v>2398</v>
      </c>
      <c r="C1297" s="152" t="s">
        <v>2398</v>
      </c>
      <c r="D1297" s="152" t="s">
        <v>1435</v>
      </c>
      <c r="E1297" s="152" t="s">
        <v>2705</v>
      </c>
      <c r="F1297" s="152" t="s">
        <v>2705</v>
      </c>
      <c r="G1297" s="152" t="s">
        <v>2675</v>
      </c>
      <c r="H1297" s="152" t="s">
        <v>2705</v>
      </c>
      <c r="I1297" s="152" t="s">
        <v>2705</v>
      </c>
      <c r="J1297" s="152" t="s">
        <v>2675</v>
      </c>
      <c r="K1297" s="152" t="s">
        <v>2705</v>
      </c>
      <c r="L1297" s="152" t="s">
        <v>2398</v>
      </c>
      <c r="M1297" s="152" t="s">
        <v>2705</v>
      </c>
      <c r="N1297" s="152" t="s">
        <v>2398</v>
      </c>
      <c r="O1297" s="152" t="s">
        <v>2705</v>
      </c>
      <c r="P1297" s="152" t="s">
        <v>2705</v>
      </c>
      <c r="Q1297" s="152" t="s">
        <v>2705</v>
      </c>
      <c r="R1297" s="152" t="s">
        <v>2705</v>
      </c>
      <c r="S1297" s="152" t="s">
        <v>2705</v>
      </c>
      <c r="T1297" s="152" t="s">
        <v>2705</v>
      </c>
      <c r="U1297" s="152" t="s">
        <v>2398</v>
      </c>
    </row>
    <row r="1298" spans="1:21" s="142" customFormat="1" ht="12.75" x14ac:dyDescent="0.2">
      <c r="A1298" s="151"/>
      <c r="B1298" s="152" t="s">
        <v>2705</v>
      </c>
      <c r="C1298" s="152" t="s">
        <v>2705</v>
      </c>
      <c r="D1298" s="152" t="s">
        <v>2705</v>
      </c>
      <c r="E1298" s="152" t="s">
        <v>2675</v>
      </c>
      <c r="F1298" s="152" t="s">
        <v>2398</v>
      </c>
      <c r="G1298" s="152" t="s">
        <v>1435</v>
      </c>
      <c r="H1298" s="152" t="s">
        <v>2705</v>
      </c>
      <c r="I1298" s="152" t="s">
        <v>2705</v>
      </c>
      <c r="J1298" s="152" t="s">
        <v>2705</v>
      </c>
      <c r="K1298" s="152" t="s">
        <v>2705</v>
      </c>
      <c r="L1298" s="152" t="s">
        <v>2705</v>
      </c>
      <c r="M1298" s="152" t="s">
        <v>2705</v>
      </c>
      <c r="N1298" s="152" t="s">
        <v>2705</v>
      </c>
      <c r="O1298" s="152" t="s">
        <v>2397</v>
      </c>
      <c r="P1298" s="152" t="s">
        <v>2705</v>
      </c>
      <c r="Q1298" s="152" t="s">
        <v>2398</v>
      </c>
      <c r="R1298" s="152" t="s">
        <v>2398</v>
      </c>
      <c r="S1298" s="152" t="s">
        <v>2397</v>
      </c>
      <c r="T1298" s="152" t="s">
        <v>2675</v>
      </c>
      <c r="U1298" s="152" t="s">
        <v>2675</v>
      </c>
    </row>
    <row r="1299" spans="1:21" s="142" customFormat="1" ht="12.75" customHeight="1" x14ac:dyDescent="0.2">
      <c r="A1299" s="151" t="s">
        <v>7966</v>
      </c>
      <c r="B1299" s="152" t="s">
        <v>2705</v>
      </c>
      <c r="C1299" s="152" t="s">
        <v>2705</v>
      </c>
      <c r="D1299" s="152" t="s">
        <v>2705</v>
      </c>
      <c r="E1299" s="152" t="s">
        <v>2705</v>
      </c>
      <c r="F1299" s="152" t="s">
        <v>2705</v>
      </c>
      <c r="G1299" s="152" t="s">
        <v>2705</v>
      </c>
      <c r="H1299" s="152" t="s">
        <v>2705</v>
      </c>
      <c r="I1299" s="152" t="s">
        <v>2705</v>
      </c>
      <c r="J1299" s="152" t="s">
        <v>2675</v>
      </c>
      <c r="K1299" s="152" t="s">
        <v>2705</v>
      </c>
      <c r="L1299" s="152" t="s">
        <v>2705</v>
      </c>
      <c r="M1299" s="152" t="s">
        <v>2705</v>
      </c>
      <c r="N1299" s="152" t="s">
        <v>2705</v>
      </c>
      <c r="O1299" s="152" t="s">
        <v>2705</v>
      </c>
      <c r="P1299" s="152" t="s">
        <v>2705</v>
      </c>
      <c r="Q1299" s="152" t="s">
        <v>1435</v>
      </c>
      <c r="R1299" s="152" t="s">
        <v>2705</v>
      </c>
      <c r="S1299" s="152" t="s">
        <v>2705</v>
      </c>
      <c r="T1299" s="152" t="s">
        <v>2705</v>
      </c>
      <c r="U1299" s="152" t="s">
        <v>2398</v>
      </c>
    </row>
    <row r="1300" spans="1:21" s="142" customFormat="1" ht="12.75" x14ac:dyDescent="0.2">
      <c r="A1300" s="151"/>
      <c r="B1300" s="152" t="s">
        <v>2398</v>
      </c>
      <c r="C1300" s="152" t="s">
        <v>2705</v>
      </c>
      <c r="D1300" s="152" t="s">
        <v>2705</v>
      </c>
      <c r="E1300" s="152" t="s">
        <v>2705</v>
      </c>
      <c r="F1300" s="152" t="s">
        <v>2705</v>
      </c>
      <c r="G1300" s="152" t="s">
        <v>2675</v>
      </c>
      <c r="H1300" s="152" t="s">
        <v>2705</v>
      </c>
      <c r="I1300" s="152" t="s">
        <v>2705</v>
      </c>
      <c r="J1300" s="152" t="s">
        <v>2705</v>
      </c>
      <c r="K1300" s="152" t="s">
        <v>2398</v>
      </c>
      <c r="L1300" s="152" t="s">
        <v>2705</v>
      </c>
      <c r="M1300" s="152" t="s">
        <v>2398</v>
      </c>
      <c r="N1300" s="152" t="s">
        <v>2705</v>
      </c>
      <c r="O1300" s="152" t="s">
        <v>2675</v>
      </c>
      <c r="P1300" s="152" t="s">
        <v>2705</v>
      </c>
      <c r="Q1300" s="152" t="s">
        <v>2705</v>
      </c>
      <c r="R1300" s="152" t="s">
        <v>2398</v>
      </c>
      <c r="S1300" s="152" t="s">
        <v>2705</v>
      </c>
      <c r="T1300" s="152" t="s">
        <v>2398</v>
      </c>
      <c r="U1300" s="152" t="s">
        <v>2705</v>
      </c>
    </row>
    <row r="1301" spans="1:21" s="142" customFormat="1" ht="12.75" customHeight="1" x14ac:dyDescent="0.2">
      <c r="A1301" s="151" t="s">
        <v>7967</v>
      </c>
      <c r="B1301" s="152" t="s">
        <v>2398</v>
      </c>
      <c r="C1301" s="152" t="s">
        <v>2705</v>
      </c>
      <c r="D1301" s="152" t="s">
        <v>2397</v>
      </c>
      <c r="E1301" s="152" t="s">
        <v>2398</v>
      </c>
      <c r="F1301" s="152" t="s">
        <v>2705</v>
      </c>
      <c r="G1301" s="152" t="s">
        <v>2705</v>
      </c>
      <c r="H1301" s="152" t="s">
        <v>1435</v>
      </c>
      <c r="I1301" s="152" t="s">
        <v>2398</v>
      </c>
      <c r="J1301" s="152" t="s">
        <v>1435</v>
      </c>
      <c r="K1301" s="152" t="s">
        <v>2398</v>
      </c>
      <c r="L1301" s="152" t="s">
        <v>1435</v>
      </c>
      <c r="M1301" s="152" t="s">
        <v>2398</v>
      </c>
      <c r="N1301" s="152" t="s">
        <v>2398</v>
      </c>
      <c r="O1301" s="152" t="s">
        <v>2705</v>
      </c>
      <c r="P1301" s="152" t="s">
        <v>1435</v>
      </c>
      <c r="Q1301" s="152" t="s">
        <v>2705</v>
      </c>
      <c r="R1301" s="152" t="s">
        <v>2705</v>
      </c>
      <c r="S1301" s="152" t="s">
        <v>2705</v>
      </c>
      <c r="T1301" s="152" t="s">
        <v>1435</v>
      </c>
      <c r="U1301" s="152" t="s">
        <v>2705</v>
      </c>
    </row>
    <row r="1302" spans="1:21" s="142" customFormat="1" ht="12.75" x14ac:dyDescent="0.2">
      <c r="A1302" s="151"/>
      <c r="B1302" s="152" t="s">
        <v>2675</v>
      </c>
      <c r="C1302" s="152" t="s">
        <v>2675</v>
      </c>
      <c r="D1302" s="152" t="s">
        <v>2705</v>
      </c>
      <c r="E1302" s="152" t="s">
        <v>2705</v>
      </c>
      <c r="F1302" s="152" t="s">
        <v>2705</v>
      </c>
      <c r="G1302" s="152" t="s">
        <v>2398</v>
      </c>
      <c r="H1302" s="152" t="s">
        <v>2398</v>
      </c>
      <c r="I1302" s="152" t="s">
        <v>2705</v>
      </c>
      <c r="J1302" s="152" t="s">
        <v>2398</v>
      </c>
      <c r="K1302" s="152" t="s">
        <v>2705</v>
      </c>
      <c r="L1302" s="152" t="s">
        <v>2398</v>
      </c>
      <c r="M1302" s="152" t="s">
        <v>2705</v>
      </c>
      <c r="N1302" s="152" t="s">
        <v>2705</v>
      </c>
      <c r="O1302" s="152" t="s">
        <v>2398</v>
      </c>
      <c r="P1302" s="152" t="s">
        <v>2675</v>
      </c>
      <c r="Q1302" s="152" t="s">
        <v>2705</v>
      </c>
      <c r="R1302" s="152" t="s">
        <v>2705</v>
      </c>
      <c r="S1302" s="152" t="s">
        <v>2705</v>
      </c>
      <c r="T1302" s="152" t="s">
        <v>2705</v>
      </c>
      <c r="U1302" s="152" t="s">
        <v>2398</v>
      </c>
    </row>
    <row r="1303" spans="1:21" s="142" customFormat="1" ht="12.75" customHeight="1" x14ac:dyDescent="0.2">
      <c r="A1303" s="151" t="s">
        <v>7968</v>
      </c>
      <c r="B1303" s="152" t="s">
        <v>1435</v>
      </c>
      <c r="C1303" s="152" t="s">
        <v>2705</v>
      </c>
      <c r="D1303" s="152" t="s">
        <v>2705</v>
      </c>
      <c r="E1303" s="152" t="s">
        <v>2398</v>
      </c>
      <c r="F1303" s="152" t="s">
        <v>2397</v>
      </c>
      <c r="G1303" s="152" t="s">
        <v>2705</v>
      </c>
      <c r="H1303" s="152" t="s">
        <v>2675</v>
      </c>
      <c r="I1303" s="152" t="s">
        <v>2397</v>
      </c>
      <c r="J1303" s="152" t="s">
        <v>2398</v>
      </c>
      <c r="K1303" s="152" t="s">
        <v>2398</v>
      </c>
      <c r="L1303" s="152" t="s">
        <v>2675</v>
      </c>
      <c r="M1303" s="152" t="s">
        <v>1435</v>
      </c>
      <c r="N1303" s="152" t="s">
        <v>1435</v>
      </c>
      <c r="O1303" s="152" t="s">
        <v>1435</v>
      </c>
      <c r="P1303" s="152" t="s">
        <v>2705</v>
      </c>
      <c r="Q1303" s="152" t="s">
        <v>1435</v>
      </c>
      <c r="R1303" s="152" t="s">
        <v>2397</v>
      </c>
      <c r="S1303" s="152" t="s">
        <v>2705</v>
      </c>
      <c r="T1303" s="152" t="s">
        <v>2398</v>
      </c>
      <c r="U1303" s="152" t="s">
        <v>2705</v>
      </c>
    </row>
    <row r="1304" spans="1:21" s="142" customFormat="1" ht="12.75" x14ac:dyDescent="0.2">
      <c r="A1304" s="151"/>
      <c r="B1304" s="152" t="s">
        <v>2397</v>
      </c>
      <c r="C1304" s="152" t="s">
        <v>2705</v>
      </c>
      <c r="D1304" s="152" t="s">
        <v>1435</v>
      </c>
      <c r="E1304" s="152" t="s">
        <v>2705</v>
      </c>
      <c r="F1304" s="152" t="s">
        <v>2397</v>
      </c>
      <c r="G1304" s="152" t="s">
        <v>2705</v>
      </c>
      <c r="H1304" s="152" t="s">
        <v>1435</v>
      </c>
      <c r="I1304" s="152" t="s">
        <v>2675</v>
      </c>
      <c r="J1304" s="152" t="s">
        <v>2397</v>
      </c>
      <c r="K1304" s="152" t="s">
        <v>2398</v>
      </c>
      <c r="L1304" s="152" t="s">
        <v>2397</v>
      </c>
      <c r="M1304" s="152" t="s">
        <v>1435</v>
      </c>
      <c r="N1304" s="152" t="s">
        <v>2675</v>
      </c>
      <c r="O1304" s="152" t="s">
        <v>2705</v>
      </c>
      <c r="P1304" s="152" t="s">
        <v>2705</v>
      </c>
      <c r="Q1304" s="152" t="s">
        <v>2398</v>
      </c>
      <c r="R1304" s="152" t="s">
        <v>2398</v>
      </c>
      <c r="S1304" s="152" t="s">
        <v>2398</v>
      </c>
      <c r="T1304" s="152" t="s">
        <v>2705</v>
      </c>
      <c r="U1304" s="152" t="s">
        <v>2398</v>
      </c>
    </row>
    <row r="1305" spans="1:21" s="142" customFormat="1" ht="12.75" customHeight="1" x14ac:dyDescent="0.2">
      <c r="A1305" s="151" t="s">
        <v>7969</v>
      </c>
      <c r="B1305" s="152" t="s">
        <v>2705</v>
      </c>
      <c r="C1305" s="152" t="s">
        <v>2398</v>
      </c>
      <c r="D1305" s="152" t="s">
        <v>2705</v>
      </c>
      <c r="E1305" s="152" t="s">
        <v>2705</v>
      </c>
      <c r="F1305" s="152" t="s">
        <v>2398</v>
      </c>
      <c r="G1305" s="152" t="s">
        <v>2705</v>
      </c>
      <c r="H1305" s="152" t="s">
        <v>2398</v>
      </c>
      <c r="I1305" s="152" t="s">
        <v>2397</v>
      </c>
      <c r="J1305" s="152" t="s">
        <v>2398</v>
      </c>
      <c r="K1305" s="152" t="s">
        <v>2705</v>
      </c>
      <c r="L1305" s="152" t="s">
        <v>2675</v>
      </c>
      <c r="M1305" s="152" t="s">
        <v>2397</v>
      </c>
      <c r="N1305" s="152" t="s">
        <v>2705</v>
      </c>
      <c r="O1305" s="152" t="s">
        <v>2398</v>
      </c>
      <c r="P1305" s="152" t="s">
        <v>2397</v>
      </c>
      <c r="Q1305" s="152" t="s">
        <v>2705</v>
      </c>
      <c r="R1305" s="152" t="s">
        <v>2675</v>
      </c>
      <c r="S1305" s="152" t="s">
        <v>2398</v>
      </c>
      <c r="T1305" s="152" t="s">
        <v>2705</v>
      </c>
      <c r="U1305" s="152" t="s">
        <v>1435</v>
      </c>
    </row>
    <row r="1306" spans="1:21" s="142" customFormat="1" ht="12.75" x14ac:dyDescent="0.2">
      <c r="A1306" s="151"/>
      <c r="B1306" s="152" t="s">
        <v>2397</v>
      </c>
      <c r="C1306" s="152" t="s">
        <v>1435</v>
      </c>
      <c r="D1306" s="152" t="s">
        <v>2675</v>
      </c>
      <c r="E1306" s="152" t="s">
        <v>2705</v>
      </c>
      <c r="F1306" s="152" t="s">
        <v>2398</v>
      </c>
      <c r="G1306" s="152" t="s">
        <v>2398</v>
      </c>
      <c r="H1306" s="152" t="s">
        <v>2675</v>
      </c>
      <c r="I1306" s="152" t="s">
        <v>2705</v>
      </c>
      <c r="J1306" s="152" t="s">
        <v>2705</v>
      </c>
      <c r="K1306" s="152" t="s">
        <v>2675</v>
      </c>
      <c r="L1306" s="152" t="s">
        <v>2398</v>
      </c>
      <c r="M1306" s="152" t="s">
        <v>2398</v>
      </c>
      <c r="N1306" s="152" t="s">
        <v>2398</v>
      </c>
      <c r="O1306" s="152" t="s">
        <v>2705</v>
      </c>
      <c r="P1306" s="152" t="s">
        <v>2398</v>
      </c>
      <c r="Q1306" s="152" t="s">
        <v>2705</v>
      </c>
      <c r="R1306" s="152" t="s">
        <v>2705</v>
      </c>
      <c r="S1306" s="152" t="s">
        <v>2398</v>
      </c>
      <c r="T1306" s="152" t="s">
        <v>2705</v>
      </c>
      <c r="U1306" s="152" t="s">
        <v>2705</v>
      </c>
    </row>
    <row r="1307" spans="1:21" s="142" customFormat="1" ht="12.75" customHeight="1" x14ac:dyDescent="0.2">
      <c r="A1307" s="151" t="s">
        <v>7970</v>
      </c>
      <c r="B1307" s="152" t="s">
        <v>2705</v>
      </c>
      <c r="C1307" s="152" t="s">
        <v>2705</v>
      </c>
      <c r="D1307" s="152" t="s">
        <v>2675</v>
      </c>
      <c r="E1307" s="152" t="s">
        <v>1435</v>
      </c>
      <c r="F1307" s="152" t="s">
        <v>2705</v>
      </c>
      <c r="G1307" s="152" t="s">
        <v>2398</v>
      </c>
      <c r="H1307" s="152" t="s">
        <v>2705</v>
      </c>
      <c r="I1307" s="152" t="s">
        <v>2705</v>
      </c>
      <c r="J1307" s="152" t="s">
        <v>2705</v>
      </c>
      <c r="K1307" s="152" t="s">
        <v>2397</v>
      </c>
      <c r="L1307" s="152" t="s">
        <v>2705</v>
      </c>
      <c r="M1307" s="152" t="s">
        <v>1435</v>
      </c>
      <c r="N1307" s="152" t="s">
        <v>1435</v>
      </c>
      <c r="O1307" s="152" t="s">
        <v>1435</v>
      </c>
      <c r="P1307" s="152" t="s">
        <v>2705</v>
      </c>
      <c r="Q1307" s="152" t="s">
        <v>1435</v>
      </c>
      <c r="R1307" s="152" t="s">
        <v>2675</v>
      </c>
      <c r="S1307" s="152" t="s">
        <v>2398</v>
      </c>
      <c r="T1307" s="152" t="s">
        <v>2705</v>
      </c>
      <c r="U1307" s="152" t="s">
        <v>2675</v>
      </c>
    </row>
    <row r="1308" spans="1:21" s="142" customFormat="1" ht="12.75" x14ac:dyDescent="0.2">
      <c r="A1308" s="151"/>
      <c r="B1308" s="152" t="s">
        <v>2398</v>
      </c>
      <c r="C1308" s="152" t="s">
        <v>2705</v>
      </c>
      <c r="D1308" s="152" t="s">
        <v>2705</v>
      </c>
      <c r="E1308" s="152" t="s">
        <v>2705</v>
      </c>
      <c r="F1308" s="152" t="s">
        <v>2705</v>
      </c>
      <c r="G1308" s="152" t="s">
        <v>1435</v>
      </c>
      <c r="H1308" s="152" t="s">
        <v>2398</v>
      </c>
      <c r="I1308" s="152" t="s">
        <v>2705</v>
      </c>
      <c r="J1308" s="152" t="s">
        <v>2398</v>
      </c>
      <c r="K1308" s="152" t="s">
        <v>2705</v>
      </c>
      <c r="L1308" s="152" t="s">
        <v>2705</v>
      </c>
      <c r="M1308" s="152" t="s">
        <v>2398</v>
      </c>
      <c r="N1308" s="152" t="s">
        <v>2705</v>
      </c>
      <c r="O1308" s="152" t="s">
        <v>2705</v>
      </c>
      <c r="P1308" s="152" t="s">
        <v>2397</v>
      </c>
      <c r="Q1308" s="152" t="s">
        <v>1435</v>
      </c>
      <c r="R1308" s="152" t="s">
        <v>2398</v>
      </c>
      <c r="S1308" s="152" t="s">
        <v>2397</v>
      </c>
      <c r="T1308" s="152" t="s">
        <v>2705</v>
      </c>
      <c r="U1308" s="152" t="s">
        <v>2705</v>
      </c>
    </row>
    <row r="1309" spans="1:21" s="142" customFormat="1" ht="12.75" customHeight="1" x14ac:dyDescent="0.2">
      <c r="A1309" s="151" t="s">
        <v>7971</v>
      </c>
      <c r="B1309" s="152" t="s">
        <v>2397</v>
      </c>
      <c r="C1309" s="152" t="s">
        <v>2705</v>
      </c>
      <c r="D1309" s="152" t="s">
        <v>2398</v>
      </c>
      <c r="E1309" s="152" t="s">
        <v>1435</v>
      </c>
      <c r="F1309" s="152" t="s">
        <v>2398</v>
      </c>
      <c r="G1309" s="152" t="s">
        <v>2705</v>
      </c>
      <c r="H1309" s="152" t="s">
        <v>2705</v>
      </c>
      <c r="I1309" s="152" t="s">
        <v>2705</v>
      </c>
      <c r="J1309" s="152" t="s">
        <v>2398</v>
      </c>
      <c r="K1309" s="152" t="s">
        <v>2398</v>
      </c>
      <c r="L1309" s="152" t="s">
        <v>2398</v>
      </c>
      <c r="M1309" s="152" t="s">
        <v>2705</v>
      </c>
      <c r="N1309" s="152" t="s">
        <v>2398</v>
      </c>
      <c r="O1309" s="152" t="s">
        <v>2675</v>
      </c>
      <c r="P1309" s="152" t="s">
        <v>2398</v>
      </c>
      <c r="Q1309" s="152" t="s">
        <v>2705</v>
      </c>
      <c r="R1309" s="152" t="s">
        <v>2398</v>
      </c>
      <c r="S1309" s="152" t="s">
        <v>2675</v>
      </c>
      <c r="T1309" s="152" t="s">
        <v>1435</v>
      </c>
      <c r="U1309" s="152" t="s">
        <v>2705</v>
      </c>
    </row>
    <row r="1310" spans="1:21" s="142" customFormat="1" ht="12.75" x14ac:dyDescent="0.2">
      <c r="A1310" s="151"/>
      <c r="B1310" s="152" t="s">
        <v>2705</v>
      </c>
      <c r="C1310" s="152" t="s">
        <v>2675</v>
      </c>
      <c r="D1310" s="152" t="s">
        <v>2398</v>
      </c>
      <c r="E1310" s="152" t="s">
        <v>2398</v>
      </c>
      <c r="F1310" s="152" t="s">
        <v>2705</v>
      </c>
      <c r="G1310" s="152" t="s">
        <v>2675</v>
      </c>
      <c r="H1310" s="152" t="s">
        <v>2398</v>
      </c>
      <c r="I1310" s="152" t="s">
        <v>2705</v>
      </c>
      <c r="J1310" s="152" t="s">
        <v>2397</v>
      </c>
      <c r="K1310" s="152" t="s">
        <v>2705</v>
      </c>
      <c r="L1310" s="152" t="s">
        <v>2398</v>
      </c>
      <c r="M1310" s="152" t="s">
        <v>2398</v>
      </c>
      <c r="N1310" s="152" t="s">
        <v>2397</v>
      </c>
      <c r="O1310" s="152" t="s">
        <v>2398</v>
      </c>
      <c r="P1310" s="152" t="s">
        <v>2675</v>
      </c>
      <c r="Q1310" s="152" t="s">
        <v>2705</v>
      </c>
      <c r="R1310" s="152" t="s">
        <v>2705</v>
      </c>
      <c r="S1310" s="152" t="s">
        <v>2705</v>
      </c>
      <c r="T1310" s="152" t="s">
        <v>2398</v>
      </c>
      <c r="U1310" s="152" t="s">
        <v>2398</v>
      </c>
    </row>
    <row r="1311" spans="1:21" s="142" customFormat="1" ht="12.75" customHeight="1" x14ac:dyDescent="0.2">
      <c r="A1311" s="151" t="s">
        <v>7972</v>
      </c>
      <c r="B1311" s="152" t="s">
        <v>2675</v>
      </c>
      <c r="C1311" s="152" t="s">
        <v>2398</v>
      </c>
      <c r="D1311" s="152" t="s">
        <v>2705</v>
      </c>
      <c r="E1311" s="152" t="s">
        <v>1435</v>
      </c>
      <c r="F1311" s="152" t="s">
        <v>2398</v>
      </c>
      <c r="G1311" s="152" t="s">
        <v>2705</v>
      </c>
      <c r="H1311" s="152" t="s">
        <v>2398</v>
      </c>
      <c r="I1311" s="152" t="s">
        <v>2705</v>
      </c>
      <c r="J1311" s="152" t="s">
        <v>2705</v>
      </c>
      <c r="K1311" s="152" t="s">
        <v>2705</v>
      </c>
      <c r="L1311" s="152" t="s">
        <v>1435</v>
      </c>
      <c r="M1311" s="152" t="s">
        <v>2705</v>
      </c>
      <c r="N1311" s="152" t="s">
        <v>2675</v>
      </c>
      <c r="O1311" s="152" t="s">
        <v>2397</v>
      </c>
      <c r="P1311" s="152" t="s">
        <v>2398</v>
      </c>
      <c r="Q1311" s="152" t="s">
        <v>2705</v>
      </c>
      <c r="R1311" s="152" t="s">
        <v>2398</v>
      </c>
      <c r="S1311" s="152" t="s">
        <v>2705</v>
      </c>
      <c r="T1311" s="152" t="s">
        <v>2397</v>
      </c>
      <c r="U1311" s="152" t="s">
        <v>2705</v>
      </c>
    </row>
    <row r="1312" spans="1:21" s="142" customFormat="1" ht="12.75" x14ac:dyDescent="0.2">
      <c r="A1312" s="151"/>
      <c r="B1312" s="152" t="s">
        <v>2705</v>
      </c>
      <c r="C1312" s="152" t="s">
        <v>2398</v>
      </c>
      <c r="D1312" s="152" t="s">
        <v>2398</v>
      </c>
      <c r="E1312" s="152" t="s">
        <v>2398</v>
      </c>
      <c r="F1312" s="152" t="s">
        <v>2705</v>
      </c>
      <c r="G1312" s="152" t="s">
        <v>2675</v>
      </c>
      <c r="H1312" s="152" t="s">
        <v>2398</v>
      </c>
      <c r="I1312" s="152" t="s">
        <v>2705</v>
      </c>
      <c r="J1312" s="152" t="s">
        <v>2398</v>
      </c>
      <c r="K1312" s="152" t="s">
        <v>2705</v>
      </c>
      <c r="L1312" s="152" t="s">
        <v>2705</v>
      </c>
      <c r="M1312" s="152" t="s">
        <v>1435</v>
      </c>
      <c r="N1312" s="152" t="s">
        <v>2398</v>
      </c>
      <c r="O1312" s="152" t="s">
        <v>2398</v>
      </c>
      <c r="P1312" s="152" t="s">
        <v>2705</v>
      </c>
      <c r="Q1312" s="152" t="s">
        <v>2675</v>
      </c>
      <c r="R1312" s="152" t="s">
        <v>2398</v>
      </c>
      <c r="S1312" s="152" t="s">
        <v>2705</v>
      </c>
      <c r="T1312" s="152" t="s">
        <v>2705</v>
      </c>
      <c r="U1312" s="152" t="s">
        <v>2398</v>
      </c>
    </row>
    <row r="1313" spans="1:21" s="142" customFormat="1" ht="12.75" customHeight="1" x14ac:dyDescent="0.2">
      <c r="A1313" s="151" t="s">
        <v>7973</v>
      </c>
      <c r="B1313" s="152" t="s">
        <v>2705</v>
      </c>
      <c r="C1313" s="152" t="s">
        <v>2705</v>
      </c>
      <c r="D1313" s="152" t="s">
        <v>2675</v>
      </c>
      <c r="E1313" s="152" t="s">
        <v>1435</v>
      </c>
      <c r="F1313" s="152" t="s">
        <v>2705</v>
      </c>
      <c r="G1313" s="152" t="s">
        <v>2705</v>
      </c>
      <c r="H1313" s="152" t="s">
        <v>2705</v>
      </c>
      <c r="I1313" s="152" t="s">
        <v>2705</v>
      </c>
      <c r="J1313" s="152" t="s">
        <v>2397</v>
      </c>
      <c r="K1313" s="152" t="s">
        <v>2398</v>
      </c>
      <c r="L1313" s="152" t="s">
        <v>1435</v>
      </c>
      <c r="M1313" s="152" t="s">
        <v>2705</v>
      </c>
      <c r="N1313" s="152" t="s">
        <v>2705</v>
      </c>
      <c r="O1313" s="152" t="s">
        <v>2398</v>
      </c>
      <c r="P1313" s="152" t="s">
        <v>2398</v>
      </c>
      <c r="Q1313" s="152" t="s">
        <v>2397</v>
      </c>
      <c r="R1313" s="152" t="s">
        <v>2397</v>
      </c>
      <c r="S1313" s="152" t="s">
        <v>2398</v>
      </c>
      <c r="T1313" s="152" t="s">
        <v>2705</v>
      </c>
      <c r="U1313" s="152" t="s">
        <v>2398</v>
      </c>
    </row>
    <row r="1314" spans="1:21" s="142" customFormat="1" ht="12.75" x14ac:dyDescent="0.2">
      <c r="A1314" s="151"/>
      <c r="B1314" s="152" t="s">
        <v>2397</v>
      </c>
      <c r="C1314" s="152" t="s">
        <v>2398</v>
      </c>
      <c r="D1314" s="152" t="s">
        <v>2675</v>
      </c>
      <c r="E1314" s="152" t="s">
        <v>2705</v>
      </c>
      <c r="F1314" s="152" t="s">
        <v>2398</v>
      </c>
      <c r="G1314" s="152" t="s">
        <v>1435</v>
      </c>
      <c r="H1314" s="152" t="s">
        <v>2675</v>
      </c>
      <c r="I1314" s="152" t="s">
        <v>2705</v>
      </c>
      <c r="J1314" s="152" t="s">
        <v>2398</v>
      </c>
      <c r="K1314" s="152" t="s">
        <v>2398</v>
      </c>
      <c r="L1314" s="152" t="s">
        <v>2397</v>
      </c>
      <c r="M1314" s="152" t="s">
        <v>2705</v>
      </c>
      <c r="N1314" s="152" t="s">
        <v>2398</v>
      </c>
      <c r="O1314" s="152" t="s">
        <v>2705</v>
      </c>
      <c r="P1314" s="152" t="s">
        <v>2398</v>
      </c>
      <c r="Q1314" s="152" t="s">
        <v>1435</v>
      </c>
      <c r="R1314" s="152" t="s">
        <v>2398</v>
      </c>
      <c r="S1314" s="152" t="s">
        <v>2705</v>
      </c>
      <c r="T1314" s="152" t="s">
        <v>1435</v>
      </c>
      <c r="U1314" s="152" t="s">
        <v>2398</v>
      </c>
    </row>
    <row r="1315" spans="1:21" s="142" customFormat="1" ht="12.75" customHeight="1" x14ac:dyDescent="0.2">
      <c r="A1315" s="151" t="s">
        <v>7974</v>
      </c>
      <c r="B1315" s="152" t="s">
        <v>2398</v>
      </c>
      <c r="C1315" s="152" t="s">
        <v>2705</v>
      </c>
      <c r="D1315" s="152" t="s">
        <v>1435</v>
      </c>
      <c r="E1315" s="152" t="s">
        <v>2705</v>
      </c>
      <c r="F1315" s="152" t="s">
        <v>2398</v>
      </c>
      <c r="G1315" s="152" t="s">
        <v>1435</v>
      </c>
      <c r="H1315" s="152" t="s">
        <v>2398</v>
      </c>
      <c r="I1315" s="152" t="s">
        <v>2675</v>
      </c>
      <c r="J1315" s="152" t="s">
        <v>2705</v>
      </c>
      <c r="K1315" s="152" t="s">
        <v>2705</v>
      </c>
      <c r="L1315" s="152" t="s">
        <v>1435</v>
      </c>
      <c r="M1315" s="152" t="s">
        <v>2705</v>
      </c>
      <c r="N1315" s="152" t="s">
        <v>2705</v>
      </c>
      <c r="O1315" s="152" t="s">
        <v>2398</v>
      </c>
      <c r="P1315" s="152" t="s">
        <v>1435</v>
      </c>
      <c r="Q1315" s="152" t="s">
        <v>2398</v>
      </c>
      <c r="R1315" s="152" t="s">
        <v>2398</v>
      </c>
      <c r="S1315" s="152" t="s">
        <v>2675</v>
      </c>
      <c r="T1315" s="152" t="s">
        <v>2397</v>
      </c>
      <c r="U1315" s="152" t="s">
        <v>2398</v>
      </c>
    </row>
    <row r="1316" spans="1:21" s="142" customFormat="1" ht="12.75" x14ac:dyDescent="0.2">
      <c r="A1316" s="151"/>
      <c r="B1316" s="152" t="s">
        <v>2398</v>
      </c>
      <c r="C1316" s="152" t="s">
        <v>2675</v>
      </c>
      <c r="D1316" s="152" t="s">
        <v>2398</v>
      </c>
      <c r="E1316" s="152" t="s">
        <v>2398</v>
      </c>
      <c r="F1316" s="152" t="s">
        <v>2398</v>
      </c>
      <c r="G1316" s="152" t="s">
        <v>2675</v>
      </c>
      <c r="H1316" s="152" t="s">
        <v>2705</v>
      </c>
      <c r="I1316" s="152" t="s">
        <v>2675</v>
      </c>
      <c r="J1316" s="152" t="s">
        <v>2397</v>
      </c>
      <c r="K1316" s="152" t="s">
        <v>2398</v>
      </c>
      <c r="L1316" s="152" t="s">
        <v>2705</v>
      </c>
      <c r="M1316" s="152" t="s">
        <v>2398</v>
      </c>
      <c r="N1316" s="152" t="s">
        <v>2398</v>
      </c>
      <c r="O1316" s="152" t="s">
        <v>2398</v>
      </c>
      <c r="P1316" s="152" t="s">
        <v>2705</v>
      </c>
      <c r="Q1316" s="152" t="s">
        <v>2675</v>
      </c>
      <c r="R1316" s="152" t="s">
        <v>2705</v>
      </c>
      <c r="S1316" s="152" t="s">
        <v>2675</v>
      </c>
      <c r="T1316" s="152" t="s">
        <v>2705</v>
      </c>
      <c r="U1316" s="152" t="s">
        <v>1435</v>
      </c>
    </row>
    <row r="1317" spans="1:21" s="142" customFormat="1" ht="12.75" customHeight="1" x14ac:dyDescent="0.2">
      <c r="A1317" s="151" t="s">
        <v>7975</v>
      </c>
      <c r="B1317" s="152" t="s">
        <v>2397</v>
      </c>
      <c r="C1317" s="152" t="s">
        <v>2705</v>
      </c>
      <c r="D1317" s="152" t="s">
        <v>2705</v>
      </c>
      <c r="E1317" s="152" t="s">
        <v>2398</v>
      </c>
      <c r="F1317" s="152" t="s">
        <v>2705</v>
      </c>
      <c r="G1317" s="152" t="s">
        <v>2705</v>
      </c>
      <c r="H1317" s="152" t="s">
        <v>2705</v>
      </c>
      <c r="I1317" s="152" t="s">
        <v>2398</v>
      </c>
      <c r="J1317" s="152" t="s">
        <v>2398</v>
      </c>
      <c r="K1317" s="152" t="s">
        <v>2398</v>
      </c>
      <c r="L1317" s="152" t="s">
        <v>2705</v>
      </c>
      <c r="M1317" s="152" t="s">
        <v>2705</v>
      </c>
      <c r="N1317" s="152" t="s">
        <v>2675</v>
      </c>
      <c r="O1317" s="152" t="s">
        <v>2398</v>
      </c>
      <c r="P1317" s="152" t="s">
        <v>2705</v>
      </c>
      <c r="Q1317" s="152" t="s">
        <v>2398</v>
      </c>
      <c r="R1317" s="152" t="s">
        <v>2675</v>
      </c>
      <c r="S1317" s="152" t="s">
        <v>2705</v>
      </c>
      <c r="T1317" s="152" t="s">
        <v>2398</v>
      </c>
      <c r="U1317" s="152" t="s">
        <v>2705</v>
      </c>
    </row>
    <row r="1318" spans="1:21" s="142" customFormat="1" ht="12.75" x14ac:dyDescent="0.2">
      <c r="A1318" s="151"/>
      <c r="B1318" s="152" t="s">
        <v>2398</v>
      </c>
      <c r="C1318" s="152" t="s">
        <v>2398</v>
      </c>
      <c r="D1318" s="152" t="s">
        <v>2675</v>
      </c>
      <c r="E1318" s="152" t="s">
        <v>2705</v>
      </c>
      <c r="F1318" s="152" t="s">
        <v>2705</v>
      </c>
      <c r="G1318" s="152" t="s">
        <v>2675</v>
      </c>
      <c r="H1318" s="152" t="s">
        <v>2398</v>
      </c>
      <c r="I1318" s="152" t="s">
        <v>2397</v>
      </c>
      <c r="J1318" s="152" t="s">
        <v>2398</v>
      </c>
      <c r="K1318" s="152" t="s">
        <v>2705</v>
      </c>
      <c r="L1318" s="152" t="s">
        <v>2705</v>
      </c>
      <c r="M1318" s="152" t="s">
        <v>2705</v>
      </c>
      <c r="N1318" s="152" t="s">
        <v>2398</v>
      </c>
      <c r="O1318" s="152" t="s">
        <v>2705</v>
      </c>
      <c r="P1318" s="152" t="s">
        <v>2398</v>
      </c>
      <c r="Q1318" s="152" t="s">
        <v>2398</v>
      </c>
      <c r="R1318" s="152" t="s">
        <v>2398</v>
      </c>
      <c r="S1318" s="152" t="s">
        <v>2705</v>
      </c>
      <c r="T1318" s="152" t="s">
        <v>2705</v>
      </c>
      <c r="U1318" s="152" t="s">
        <v>2705</v>
      </c>
    </row>
    <row r="1319" spans="1:21" s="142" customFormat="1" ht="12.75" customHeight="1" x14ac:dyDescent="0.2">
      <c r="A1319" s="151" t="s">
        <v>7976</v>
      </c>
      <c r="B1319" s="152" t="s">
        <v>2705</v>
      </c>
      <c r="C1319" s="152" t="s">
        <v>2705</v>
      </c>
      <c r="D1319" s="152" t="s">
        <v>2675</v>
      </c>
      <c r="E1319" s="152" t="s">
        <v>2705</v>
      </c>
      <c r="F1319" s="152" t="s">
        <v>2705</v>
      </c>
      <c r="G1319" s="152" t="s">
        <v>2705</v>
      </c>
      <c r="H1319" s="152" t="s">
        <v>2705</v>
      </c>
      <c r="I1319" s="152" t="s">
        <v>2675</v>
      </c>
      <c r="J1319" s="152" t="s">
        <v>2705</v>
      </c>
      <c r="K1319" s="152" t="s">
        <v>1435</v>
      </c>
      <c r="L1319" s="152" t="s">
        <v>2705</v>
      </c>
      <c r="M1319" s="152" t="s">
        <v>2705</v>
      </c>
      <c r="N1319" s="152" t="s">
        <v>2705</v>
      </c>
      <c r="O1319" s="152" t="s">
        <v>2397</v>
      </c>
      <c r="P1319" s="152" t="s">
        <v>2675</v>
      </c>
      <c r="Q1319" s="152" t="s">
        <v>2705</v>
      </c>
      <c r="R1319" s="152" t="s">
        <v>2705</v>
      </c>
      <c r="S1319" s="152" t="s">
        <v>2705</v>
      </c>
      <c r="T1319" s="152" t="s">
        <v>2705</v>
      </c>
      <c r="U1319" s="152" t="s">
        <v>2705</v>
      </c>
    </row>
    <row r="1320" spans="1:21" s="142" customFormat="1" ht="12.75" x14ac:dyDescent="0.2">
      <c r="A1320" s="151"/>
      <c r="B1320" s="152" t="s">
        <v>2705</v>
      </c>
      <c r="C1320" s="152" t="s">
        <v>2705</v>
      </c>
      <c r="D1320" s="152" t="s">
        <v>2705</v>
      </c>
      <c r="E1320" s="152" t="s">
        <v>2705</v>
      </c>
      <c r="F1320" s="152" t="s">
        <v>2397</v>
      </c>
      <c r="G1320" s="152" t="s">
        <v>2705</v>
      </c>
      <c r="H1320" s="152" t="s">
        <v>2398</v>
      </c>
      <c r="I1320" s="152" t="s">
        <v>2705</v>
      </c>
      <c r="J1320" s="152" t="s">
        <v>2705</v>
      </c>
      <c r="K1320" s="152" t="s">
        <v>2675</v>
      </c>
      <c r="L1320" s="152" t="s">
        <v>2705</v>
      </c>
      <c r="M1320" s="152" t="s">
        <v>2705</v>
      </c>
      <c r="N1320" s="152" t="s">
        <v>2705</v>
      </c>
      <c r="O1320" s="152" t="s">
        <v>2705</v>
      </c>
      <c r="P1320" s="152" t="s">
        <v>2705</v>
      </c>
      <c r="Q1320" s="152" t="s">
        <v>1435</v>
      </c>
      <c r="R1320" s="152" t="s">
        <v>2398</v>
      </c>
      <c r="S1320" s="152" t="s">
        <v>2705</v>
      </c>
      <c r="T1320" s="152" t="s">
        <v>2705</v>
      </c>
      <c r="U1320" s="152" t="s">
        <v>2705</v>
      </c>
    </row>
    <row r="1321" spans="1:21" s="142" customFormat="1" ht="12.75" customHeight="1" x14ac:dyDescent="0.2">
      <c r="A1321" s="151" t="s">
        <v>7977</v>
      </c>
      <c r="B1321" s="152" t="s">
        <v>2705</v>
      </c>
      <c r="C1321" s="152" t="s">
        <v>2675</v>
      </c>
      <c r="D1321" s="152" t="s">
        <v>2705</v>
      </c>
      <c r="E1321" s="152" t="s">
        <v>1435</v>
      </c>
      <c r="F1321" s="152" t="s">
        <v>2705</v>
      </c>
      <c r="G1321" s="152" t="s">
        <v>2705</v>
      </c>
      <c r="H1321" s="152" t="s">
        <v>1435</v>
      </c>
      <c r="I1321" s="152" t="s">
        <v>2397</v>
      </c>
      <c r="J1321" s="152" t="s">
        <v>2398</v>
      </c>
      <c r="K1321" s="152" t="s">
        <v>2705</v>
      </c>
      <c r="L1321" s="152" t="s">
        <v>1435</v>
      </c>
      <c r="M1321" s="152" t="s">
        <v>2705</v>
      </c>
      <c r="N1321" s="152" t="s">
        <v>2398</v>
      </c>
      <c r="O1321" s="152" t="s">
        <v>2705</v>
      </c>
      <c r="P1321" s="152" t="s">
        <v>2705</v>
      </c>
      <c r="Q1321" s="152" t="s">
        <v>2705</v>
      </c>
      <c r="R1321" s="152" t="s">
        <v>2675</v>
      </c>
      <c r="S1321" s="152" t="s">
        <v>2675</v>
      </c>
      <c r="T1321" s="152" t="s">
        <v>2705</v>
      </c>
      <c r="U1321" s="152" t="s">
        <v>2705</v>
      </c>
    </row>
    <row r="1322" spans="1:21" s="142" customFormat="1" ht="12.75" x14ac:dyDescent="0.2">
      <c r="A1322" s="151"/>
      <c r="B1322" s="152" t="s">
        <v>2705</v>
      </c>
      <c r="C1322" s="152" t="s">
        <v>2705</v>
      </c>
      <c r="D1322" s="152" t="s">
        <v>2398</v>
      </c>
      <c r="E1322" s="152" t="s">
        <v>2675</v>
      </c>
      <c r="F1322" s="152" t="s">
        <v>2397</v>
      </c>
      <c r="G1322" s="152" t="s">
        <v>2705</v>
      </c>
      <c r="H1322" s="152" t="s">
        <v>2398</v>
      </c>
      <c r="I1322" s="152" t="s">
        <v>2705</v>
      </c>
      <c r="J1322" s="152" t="s">
        <v>2398</v>
      </c>
      <c r="K1322" s="152" t="s">
        <v>2398</v>
      </c>
      <c r="L1322" s="152" t="s">
        <v>2398</v>
      </c>
      <c r="M1322" s="152" t="s">
        <v>2398</v>
      </c>
      <c r="N1322" s="152" t="s">
        <v>2398</v>
      </c>
      <c r="O1322" s="152" t="s">
        <v>2398</v>
      </c>
      <c r="P1322" s="152" t="s">
        <v>2398</v>
      </c>
      <c r="Q1322" s="152" t="s">
        <v>2398</v>
      </c>
      <c r="R1322" s="152" t="s">
        <v>2398</v>
      </c>
      <c r="S1322" s="152" t="s">
        <v>2398</v>
      </c>
      <c r="T1322" s="152" t="s">
        <v>2398</v>
      </c>
      <c r="U1322" s="152" t="s">
        <v>2398</v>
      </c>
    </row>
    <row r="1323" spans="1:21" s="142" customFormat="1" ht="12.75" customHeight="1" x14ac:dyDescent="0.2">
      <c r="A1323" s="151" t="s">
        <v>7978</v>
      </c>
      <c r="B1323" s="152" t="s">
        <v>2705</v>
      </c>
      <c r="C1323" s="152" t="s">
        <v>2705</v>
      </c>
      <c r="D1323" s="152" t="s">
        <v>2398</v>
      </c>
      <c r="E1323" s="152" t="s">
        <v>2705</v>
      </c>
      <c r="F1323" s="152" t="s">
        <v>2705</v>
      </c>
      <c r="G1323" s="152" t="s">
        <v>2705</v>
      </c>
      <c r="H1323" s="152" t="s">
        <v>2705</v>
      </c>
      <c r="I1323" s="152" t="s">
        <v>2675</v>
      </c>
      <c r="J1323" s="152" t="s">
        <v>2705</v>
      </c>
      <c r="K1323" s="152" t="s">
        <v>2398</v>
      </c>
      <c r="L1323" s="152" t="s">
        <v>2398</v>
      </c>
      <c r="M1323" s="152" t="s">
        <v>2705</v>
      </c>
      <c r="N1323" s="152" t="s">
        <v>2398</v>
      </c>
      <c r="O1323" s="152" t="s">
        <v>2398</v>
      </c>
      <c r="P1323" s="152" t="s">
        <v>2398</v>
      </c>
      <c r="Q1323" s="152" t="s">
        <v>2705</v>
      </c>
      <c r="R1323" s="152" t="s">
        <v>2705</v>
      </c>
      <c r="S1323" s="152" t="s">
        <v>2705</v>
      </c>
      <c r="T1323" s="152" t="s">
        <v>2397</v>
      </c>
      <c r="U1323" s="152" t="s">
        <v>2705</v>
      </c>
    </row>
    <row r="1324" spans="1:21" s="142" customFormat="1" ht="12.75" x14ac:dyDescent="0.2">
      <c r="A1324" s="151"/>
      <c r="B1324" s="152" t="s">
        <v>2398</v>
      </c>
      <c r="C1324" s="152" t="s">
        <v>2398</v>
      </c>
      <c r="D1324" s="152" t="s">
        <v>2398</v>
      </c>
      <c r="E1324" s="152" t="s">
        <v>2398</v>
      </c>
      <c r="F1324" s="152" t="s">
        <v>2705</v>
      </c>
      <c r="G1324" s="152" t="s">
        <v>2398</v>
      </c>
      <c r="H1324" s="152" t="s">
        <v>2398</v>
      </c>
      <c r="I1324" s="152" t="s">
        <v>2398</v>
      </c>
      <c r="J1324" s="152" t="s">
        <v>2398</v>
      </c>
      <c r="K1324" s="152" t="s">
        <v>2398</v>
      </c>
      <c r="L1324" s="152" t="s">
        <v>2705</v>
      </c>
      <c r="M1324" s="152" t="s">
        <v>2705</v>
      </c>
      <c r="N1324" s="152" t="s">
        <v>2705</v>
      </c>
      <c r="O1324" s="152" t="s">
        <v>2705</v>
      </c>
      <c r="P1324" s="152" t="s">
        <v>2675</v>
      </c>
      <c r="Q1324" s="152" t="s">
        <v>2705</v>
      </c>
      <c r="R1324" s="152" t="s">
        <v>2705</v>
      </c>
      <c r="S1324" s="152" t="s">
        <v>2705</v>
      </c>
      <c r="T1324" s="152" t="s">
        <v>2705</v>
      </c>
      <c r="U1324" s="152" t="s">
        <v>2398</v>
      </c>
    </row>
    <row r="1325" spans="1:21" s="142" customFormat="1" ht="12.75" customHeight="1" x14ac:dyDescent="0.2">
      <c r="A1325" s="151" t="s">
        <v>7979</v>
      </c>
      <c r="B1325" s="152" t="s">
        <v>2398</v>
      </c>
      <c r="C1325" s="152" t="s">
        <v>2398</v>
      </c>
      <c r="D1325" s="152" t="s">
        <v>2398</v>
      </c>
      <c r="E1325" s="152" t="s">
        <v>2398</v>
      </c>
      <c r="F1325" s="152" t="s">
        <v>2398</v>
      </c>
      <c r="G1325" s="152" t="s">
        <v>2705</v>
      </c>
      <c r="H1325" s="152" t="s">
        <v>2705</v>
      </c>
      <c r="I1325" s="152" t="s">
        <v>2397</v>
      </c>
      <c r="J1325" s="152" t="s">
        <v>2398</v>
      </c>
      <c r="K1325" s="152" t="s">
        <v>2705</v>
      </c>
      <c r="L1325" s="152" t="s">
        <v>2705</v>
      </c>
      <c r="M1325" s="152" t="s">
        <v>2705</v>
      </c>
      <c r="N1325" s="152" t="s">
        <v>2675</v>
      </c>
      <c r="O1325" s="152" t="s">
        <v>2705</v>
      </c>
      <c r="P1325" s="152" t="s">
        <v>2705</v>
      </c>
      <c r="Q1325" s="152" t="s">
        <v>2705</v>
      </c>
      <c r="R1325" s="152" t="s">
        <v>2398</v>
      </c>
      <c r="S1325" s="152" t="s">
        <v>2705</v>
      </c>
      <c r="T1325" s="152" t="s">
        <v>2705</v>
      </c>
      <c r="U1325" s="152" t="s">
        <v>2705</v>
      </c>
    </row>
    <row r="1326" spans="1:21" s="142" customFormat="1" ht="12.75" x14ac:dyDescent="0.2">
      <c r="A1326" s="151"/>
      <c r="B1326" s="152" t="s">
        <v>2705</v>
      </c>
      <c r="C1326" s="152" t="s">
        <v>2398</v>
      </c>
      <c r="D1326" s="152" t="s">
        <v>2398</v>
      </c>
      <c r="E1326" s="152" t="s">
        <v>2705</v>
      </c>
      <c r="F1326" s="152" t="s">
        <v>2705</v>
      </c>
      <c r="G1326" s="152" t="s">
        <v>2705</v>
      </c>
      <c r="H1326" s="152" t="s">
        <v>2398</v>
      </c>
      <c r="I1326" s="152" t="s">
        <v>2705</v>
      </c>
      <c r="J1326" s="152" t="s">
        <v>2705</v>
      </c>
      <c r="K1326" s="152" t="s">
        <v>2705</v>
      </c>
      <c r="L1326" s="152" t="s">
        <v>2398</v>
      </c>
      <c r="M1326" s="152" t="s">
        <v>2398</v>
      </c>
      <c r="N1326" s="152" t="s">
        <v>2705</v>
      </c>
      <c r="O1326" s="152" t="s">
        <v>2705</v>
      </c>
      <c r="P1326" s="152" t="s">
        <v>2705</v>
      </c>
      <c r="Q1326" s="152" t="s">
        <v>2705</v>
      </c>
      <c r="R1326" s="152" t="s">
        <v>2398</v>
      </c>
      <c r="S1326" s="152" t="s">
        <v>2705</v>
      </c>
      <c r="T1326" s="152" t="s">
        <v>2397</v>
      </c>
      <c r="U1326" s="152" t="s">
        <v>2398</v>
      </c>
    </row>
    <row r="1327" spans="1:21" s="142" customFormat="1" ht="12.75" customHeight="1" x14ac:dyDescent="0.2">
      <c r="A1327" s="151" t="s">
        <v>7980</v>
      </c>
      <c r="B1327" s="152" t="s">
        <v>2705</v>
      </c>
      <c r="C1327" s="152" t="s">
        <v>2705</v>
      </c>
      <c r="D1327" s="152" t="s">
        <v>2397</v>
      </c>
      <c r="E1327" s="152" t="s">
        <v>2705</v>
      </c>
      <c r="F1327" s="152" t="s">
        <v>2398</v>
      </c>
      <c r="G1327" s="152" t="s">
        <v>2398</v>
      </c>
      <c r="H1327" s="152" t="s">
        <v>2705</v>
      </c>
      <c r="I1327" s="152" t="s">
        <v>2398</v>
      </c>
      <c r="J1327" s="152" t="s">
        <v>2398</v>
      </c>
      <c r="K1327" s="152" t="s">
        <v>1435</v>
      </c>
      <c r="L1327" s="152" t="s">
        <v>2705</v>
      </c>
      <c r="M1327" s="152" t="s">
        <v>2705</v>
      </c>
      <c r="N1327" s="152" t="s">
        <v>2675</v>
      </c>
      <c r="O1327" s="152" t="s">
        <v>2397</v>
      </c>
      <c r="P1327" s="152" t="s">
        <v>2398</v>
      </c>
      <c r="Q1327" s="152" t="s">
        <v>2398</v>
      </c>
      <c r="R1327" s="152" t="s">
        <v>2397</v>
      </c>
      <c r="S1327" s="152" t="s">
        <v>2398</v>
      </c>
      <c r="T1327" s="152" t="s">
        <v>2705</v>
      </c>
      <c r="U1327" s="152" t="s">
        <v>2398</v>
      </c>
    </row>
    <row r="1328" spans="1:21" s="142" customFormat="1" ht="12.75" x14ac:dyDescent="0.2">
      <c r="A1328" s="151"/>
      <c r="B1328" s="152" t="s">
        <v>2705</v>
      </c>
      <c r="C1328" s="152" t="s">
        <v>2398</v>
      </c>
      <c r="D1328" s="152" t="s">
        <v>2675</v>
      </c>
      <c r="E1328" s="152" t="s">
        <v>2705</v>
      </c>
      <c r="F1328" s="152" t="s">
        <v>2398</v>
      </c>
      <c r="G1328" s="152" t="s">
        <v>2705</v>
      </c>
      <c r="H1328" s="152" t="s">
        <v>2675</v>
      </c>
      <c r="I1328" s="152" t="s">
        <v>2705</v>
      </c>
      <c r="J1328" s="152" t="s">
        <v>2705</v>
      </c>
      <c r="K1328" s="152" t="s">
        <v>2705</v>
      </c>
      <c r="L1328" s="152" t="s">
        <v>2398</v>
      </c>
      <c r="M1328" s="152" t="s">
        <v>2398</v>
      </c>
      <c r="N1328" s="152" t="s">
        <v>2705</v>
      </c>
      <c r="O1328" s="152" t="s">
        <v>2705</v>
      </c>
      <c r="P1328" s="152" t="s">
        <v>2398</v>
      </c>
      <c r="Q1328" s="152" t="s">
        <v>1435</v>
      </c>
      <c r="R1328" s="152" t="s">
        <v>2398</v>
      </c>
      <c r="S1328" s="152" t="s">
        <v>2705</v>
      </c>
      <c r="T1328" s="152" t="s">
        <v>2705</v>
      </c>
      <c r="U1328" s="152" t="s">
        <v>2705</v>
      </c>
    </row>
    <row r="1329" spans="1:21" s="142" customFormat="1" ht="12.75" customHeight="1" x14ac:dyDescent="0.2">
      <c r="A1329" s="151" t="s">
        <v>7981</v>
      </c>
      <c r="B1329" s="152" t="s">
        <v>1435</v>
      </c>
      <c r="C1329" s="152" t="s">
        <v>2675</v>
      </c>
      <c r="D1329" s="152" t="s">
        <v>2398</v>
      </c>
      <c r="E1329" s="152" t="s">
        <v>2398</v>
      </c>
      <c r="F1329" s="152" t="s">
        <v>2705</v>
      </c>
      <c r="G1329" s="152" t="s">
        <v>2705</v>
      </c>
      <c r="H1329" s="152" t="s">
        <v>1435</v>
      </c>
      <c r="I1329" s="152" t="s">
        <v>2705</v>
      </c>
      <c r="J1329" s="152" t="s">
        <v>2675</v>
      </c>
      <c r="K1329" s="152" t="s">
        <v>2705</v>
      </c>
      <c r="L1329" s="152" t="s">
        <v>2705</v>
      </c>
      <c r="M1329" s="152" t="s">
        <v>2705</v>
      </c>
      <c r="N1329" s="152" t="s">
        <v>2705</v>
      </c>
      <c r="O1329" s="152" t="s">
        <v>2398</v>
      </c>
      <c r="P1329" s="152" t="s">
        <v>2398</v>
      </c>
      <c r="Q1329" s="152" t="s">
        <v>2675</v>
      </c>
      <c r="R1329" s="152" t="s">
        <v>2398</v>
      </c>
      <c r="S1329" s="152" t="s">
        <v>2397</v>
      </c>
      <c r="T1329" s="152" t="s">
        <v>2675</v>
      </c>
      <c r="U1329" s="152" t="s">
        <v>2398</v>
      </c>
    </row>
    <row r="1330" spans="1:21" s="142" customFormat="1" ht="12.75" x14ac:dyDescent="0.2">
      <c r="A1330" s="151"/>
      <c r="B1330" s="152" t="s">
        <v>2398</v>
      </c>
      <c r="C1330" s="152" t="s">
        <v>2398</v>
      </c>
      <c r="D1330" s="152" t="s">
        <v>2675</v>
      </c>
      <c r="E1330" s="152" t="s">
        <v>2398</v>
      </c>
      <c r="F1330" s="152" t="s">
        <v>2705</v>
      </c>
      <c r="G1330" s="152" t="s">
        <v>2398</v>
      </c>
      <c r="H1330" s="152" t="s">
        <v>2705</v>
      </c>
      <c r="I1330" s="152" t="s">
        <v>2705</v>
      </c>
      <c r="J1330" s="152" t="s">
        <v>2398</v>
      </c>
      <c r="K1330" s="152" t="s">
        <v>1435</v>
      </c>
      <c r="L1330" s="152" t="s">
        <v>2398</v>
      </c>
      <c r="M1330" s="152" t="s">
        <v>1435</v>
      </c>
      <c r="N1330" s="152" t="s">
        <v>2398</v>
      </c>
      <c r="O1330" s="152" t="s">
        <v>2705</v>
      </c>
      <c r="P1330" s="152" t="s">
        <v>1435</v>
      </c>
      <c r="Q1330" s="152" t="s">
        <v>2705</v>
      </c>
      <c r="R1330" s="152" t="s">
        <v>2398</v>
      </c>
      <c r="S1330" s="152" t="s">
        <v>2398</v>
      </c>
      <c r="T1330" s="152" t="s">
        <v>1435</v>
      </c>
      <c r="U1330" s="152" t="s">
        <v>2397</v>
      </c>
    </row>
    <row r="1331" spans="1:21" s="142" customFormat="1" ht="12.75" customHeight="1" x14ac:dyDescent="0.2">
      <c r="A1331" s="151" t="s">
        <v>7982</v>
      </c>
      <c r="B1331" s="152" t="s">
        <v>2397</v>
      </c>
      <c r="C1331" s="152" t="s">
        <v>2398</v>
      </c>
      <c r="D1331" s="152" t="s">
        <v>2705</v>
      </c>
      <c r="E1331" s="152" t="s">
        <v>2675</v>
      </c>
      <c r="F1331" s="152" t="s">
        <v>2705</v>
      </c>
      <c r="G1331" s="152" t="s">
        <v>2705</v>
      </c>
      <c r="H1331" s="152" t="s">
        <v>2705</v>
      </c>
      <c r="I1331" s="152" t="s">
        <v>2398</v>
      </c>
      <c r="J1331" s="152" t="s">
        <v>2675</v>
      </c>
      <c r="K1331" s="152" t="s">
        <v>2398</v>
      </c>
      <c r="L1331" s="152" t="s">
        <v>2705</v>
      </c>
      <c r="M1331" s="152" t="s">
        <v>2398</v>
      </c>
      <c r="N1331" s="152" t="s">
        <v>2675</v>
      </c>
      <c r="O1331" s="152" t="s">
        <v>1435</v>
      </c>
      <c r="P1331" s="152" t="s">
        <v>2705</v>
      </c>
      <c r="Q1331" s="152" t="s">
        <v>2397</v>
      </c>
      <c r="R1331" s="152" t="s">
        <v>2398</v>
      </c>
      <c r="S1331" s="152" t="s">
        <v>2398</v>
      </c>
      <c r="T1331" s="152" t="s">
        <v>2398</v>
      </c>
      <c r="U1331" s="152" t="s">
        <v>1435</v>
      </c>
    </row>
    <row r="1332" spans="1:21" s="142" customFormat="1" ht="12.75" x14ac:dyDescent="0.2">
      <c r="A1332" s="151"/>
      <c r="B1332" s="152" t="s">
        <v>2398</v>
      </c>
      <c r="C1332" s="152" t="s">
        <v>2705</v>
      </c>
      <c r="D1332" s="152" t="s">
        <v>2705</v>
      </c>
      <c r="E1332" s="152" t="s">
        <v>2705</v>
      </c>
      <c r="F1332" s="152" t="s">
        <v>2705</v>
      </c>
      <c r="G1332" s="152" t="s">
        <v>2705</v>
      </c>
      <c r="H1332" s="152" t="s">
        <v>2398</v>
      </c>
      <c r="I1332" s="152" t="s">
        <v>2705</v>
      </c>
      <c r="J1332" s="152" t="s">
        <v>2675</v>
      </c>
      <c r="K1332" s="152" t="s">
        <v>2398</v>
      </c>
      <c r="L1332" s="152" t="s">
        <v>2398</v>
      </c>
      <c r="M1332" s="152" t="s">
        <v>2398</v>
      </c>
      <c r="N1332" s="152" t="s">
        <v>2705</v>
      </c>
      <c r="O1332" s="152" t="s">
        <v>2705</v>
      </c>
      <c r="P1332" s="152" t="s">
        <v>2398</v>
      </c>
      <c r="Q1332" s="152" t="s">
        <v>2705</v>
      </c>
      <c r="R1332" s="152" t="s">
        <v>2705</v>
      </c>
      <c r="S1332" s="152" t="s">
        <v>2705</v>
      </c>
      <c r="T1332" s="152" t="s">
        <v>2705</v>
      </c>
      <c r="U1332" s="152" t="s">
        <v>2705</v>
      </c>
    </row>
    <row r="1333" spans="1:21" s="142" customFormat="1" ht="12.75" customHeight="1" x14ac:dyDescent="0.2">
      <c r="A1333" s="151" t="s">
        <v>7983</v>
      </c>
      <c r="B1333" s="152" t="s">
        <v>2398</v>
      </c>
      <c r="C1333" s="152" t="s">
        <v>2675</v>
      </c>
      <c r="D1333" s="152" t="s">
        <v>2705</v>
      </c>
      <c r="E1333" s="152" t="s">
        <v>2398</v>
      </c>
      <c r="F1333" s="152" t="s">
        <v>2705</v>
      </c>
      <c r="G1333" s="152" t="s">
        <v>2398</v>
      </c>
      <c r="H1333" s="152" t="s">
        <v>2398</v>
      </c>
      <c r="I1333" s="152" t="s">
        <v>2705</v>
      </c>
      <c r="J1333" s="152" t="s">
        <v>2398</v>
      </c>
      <c r="K1333" s="152" t="s">
        <v>2705</v>
      </c>
      <c r="L1333" s="152" t="s">
        <v>2675</v>
      </c>
      <c r="M1333" s="152" t="s">
        <v>2705</v>
      </c>
      <c r="N1333" s="152" t="s">
        <v>2705</v>
      </c>
      <c r="O1333" s="152" t="s">
        <v>2398</v>
      </c>
      <c r="P1333" s="152" t="s">
        <v>2705</v>
      </c>
      <c r="Q1333" s="152" t="s">
        <v>2705</v>
      </c>
      <c r="R1333" s="152" t="s">
        <v>2705</v>
      </c>
      <c r="S1333" s="152" t="s">
        <v>2398</v>
      </c>
      <c r="T1333" s="152" t="s">
        <v>2705</v>
      </c>
      <c r="U1333" s="152" t="s">
        <v>2705</v>
      </c>
    </row>
    <row r="1334" spans="1:21" s="142" customFormat="1" ht="12.75" x14ac:dyDescent="0.2">
      <c r="A1334" s="151"/>
      <c r="B1334" s="152" t="s">
        <v>1435</v>
      </c>
      <c r="C1334" s="152" t="s">
        <v>2705</v>
      </c>
      <c r="D1334" s="152" t="s">
        <v>2705</v>
      </c>
      <c r="E1334" s="152" t="s">
        <v>2675</v>
      </c>
      <c r="F1334" s="152" t="s">
        <v>2675</v>
      </c>
      <c r="G1334" s="152" t="s">
        <v>2398</v>
      </c>
      <c r="H1334" s="152" t="s">
        <v>2705</v>
      </c>
      <c r="I1334" s="152" t="s">
        <v>2705</v>
      </c>
      <c r="J1334" s="152" t="s">
        <v>2705</v>
      </c>
      <c r="K1334" s="152" t="s">
        <v>2705</v>
      </c>
      <c r="L1334" s="152" t="s">
        <v>2397</v>
      </c>
      <c r="M1334" s="152" t="s">
        <v>2705</v>
      </c>
      <c r="N1334" s="152" t="s">
        <v>2398</v>
      </c>
      <c r="O1334" s="152" t="s">
        <v>2398</v>
      </c>
      <c r="P1334" s="152" t="s">
        <v>2675</v>
      </c>
      <c r="Q1334" s="152" t="s">
        <v>2705</v>
      </c>
      <c r="R1334" s="152" t="s">
        <v>2705</v>
      </c>
      <c r="S1334" s="152" t="s">
        <v>2398</v>
      </c>
      <c r="T1334" s="152" t="s">
        <v>2705</v>
      </c>
      <c r="U1334" s="152" t="s">
        <v>2705</v>
      </c>
    </row>
    <row r="1335" spans="1:21" s="142" customFormat="1" ht="12.75" customHeight="1" x14ac:dyDescent="0.2">
      <c r="A1335" s="151" t="s">
        <v>7984</v>
      </c>
      <c r="B1335" s="152" t="s">
        <v>2398</v>
      </c>
      <c r="C1335" s="152" t="s">
        <v>1435</v>
      </c>
      <c r="D1335" s="152" t="s">
        <v>2398</v>
      </c>
      <c r="E1335" s="152" t="s">
        <v>2398</v>
      </c>
      <c r="F1335" s="152" t="s">
        <v>2705</v>
      </c>
      <c r="G1335" s="152" t="s">
        <v>2705</v>
      </c>
      <c r="H1335" s="152" t="s">
        <v>2705</v>
      </c>
      <c r="I1335" s="152" t="s">
        <v>2675</v>
      </c>
      <c r="J1335" s="152" t="s">
        <v>2675</v>
      </c>
      <c r="K1335" s="152" t="s">
        <v>2705</v>
      </c>
      <c r="L1335" s="152" t="s">
        <v>1435</v>
      </c>
      <c r="M1335" s="152" t="s">
        <v>2705</v>
      </c>
      <c r="N1335" s="152" t="s">
        <v>2705</v>
      </c>
      <c r="O1335" s="152" t="s">
        <v>2398</v>
      </c>
      <c r="P1335" s="152" t="s">
        <v>1435</v>
      </c>
      <c r="Q1335" s="152" t="s">
        <v>2705</v>
      </c>
      <c r="R1335" s="152" t="s">
        <v>2705</v>
      </c>
      <c r="S1335" s="152" t="s">
        <v>2705</v>
      </c>
      <c r="T1335" s="152" t="s">
        <v>2705</v>
      </c>
      <c r="U1335" s="152" t="s">
        <v>2705</v>
      </c>
    </row>
    <row r="1336" spans="1:21" s="142" customFormat="1" ht="12.75" x14ac:dyDescent="0.2">
      <c r="A1336" s="151"/>
      <c r="B1336" s="152" t="s">
        <v>2705</v>
      </c>
      <c r="C1336" s="152" t="s">
        <v>2398</v>
      </c>
      <c r="D1336" s="152" t="s">
        <v>2398</v>
      </c>
      <c r="E1336" s="152" t="s">
        <v>2675</v>
      </c>
      <c r="F1336" s="152" t="s">
        <v>2398</v>
      </c>
      <c r="G1336" s="152" t="s">
        <v>2398</v>
      </c>
      <c r="H1336" s="152" t="s">
        <v>2398</v>
      </c>
      <c r="I1336" s="152" t="s">
        <v>1435</v>
      </c>
      <c r="J1336" s="152" t="s">
        <v>2397</v>
      </c>
      <c r="K1336" s="152" t="s">
        <v>2705</v>
      </c>
      <c r="L1336" s="152" t="s">
        <v>2398</v>
      </c>
      <c r="M1336" s="152" t="s">
        <v>2398</v>
      </c>
      <c r="N1336" s="152" t="s">
        <v>2705</v>
      </c>
      <c r="O1336" s="152" t="s">
        <v>2398</v>
      </c>
      <c r="P1336" s="152" t="s">
        <v>2705</v>
      </c>
      <c r="Q1336" s="152" t="s">
        <v>2705</v>
      </c>
      <c r="R1336" s="152" t="s">
        <v>2398</v>
      </c>
      <c r="S1336" s="152" t="s">
        <v>2705</v>
      </c>
      <c r="T1336" s="152" t="s">
        <v>2705</v>
      </c>
      <c r="U1336" s="152" t="s">
        <v>2398</v>
      </c>
    </row>
    <row r="1337" spans="1:21" s="142" customFormat="1" ht="12.75" customHeight="1" x14ac:dyDescent="0.2">
      <c r="A1337" s="151" t="s">
        <v>7985</v>
      </c>
      <c r="B1337" s="152" t="s">
        <v>2705</v>
      </c>
      <c r="C1337" s="152" t="s">
        <v>2398</v>
      </c>
      <c r="D1337" s="152" t="s">
        <v>2675</v>
      </c>
      <c r="E1337" s="152" t="s">
        <v>2398</v>
      </c>
      <c r="F1337" s="152" t="s">
        <v>2398</v>
      </c>
      <c r="G1337" s="152" t="s">
        <v>2705</v>
      </c>
      <c r="H1337" s="152" t="s">
        <v>1435</v>
      </c>
      <c r="I1337" s="152" t="s">
        <v>2398</v>
      </c>
      <c r="J1337" s="152" t="s">
        <v>2398</v>
      </c>
      <c r="K1337" s="152" t="s">
        <v>2398</v>
      </c>
      <c r="L1337" s="152" t="s">
        <v>2705</v>
      </c>
      <c r="M1337" s="152" t="s">
        <v>2675</v>
      </c>
      <c r="N1337" s="152" t="s">
        <v>2705</v>
      </c>
      <c r="O1337" s="152" t="s">
        <v>2398</v>
      </c>
      <c r="P1337" s="152" t="s">
        <v>2675</v>
      </c>
      <c r="Q1337" s="152" t="s">
        <v>2675</v>
      </c>
      <c r="R1337" s="152" t="s">
        <v>2398</v>
      </c>
      <c r="S1337" s="152" t="s">
        <v>2675</v>
      </c>
      <c r="T1337" s="152" t="s">
        <v>2398</v>
      </c>
      <c r="U1337" s="152" t="s">
        <v>2398</v>
      </c>
    </row>
    <row r="1338" spans="1:21" s="142" customFormat="1" ht="12.75" x14ac:dyDescent="0.2">
      <c r="A1338" s="151"/>
      <c r="B1338" s="152" t="s">
        <v>1435</v>
      </c>
      <c r="C1338" s="152" t="s">
        <v>2705</v>
      </c>
      <c r="D1338" s="152" t="s">
        <v>2398</v>
      </c>
      <c r="E1338" s="152" t="s">
        <v>2675</v>
      </c>
      <c r="F1338" s="152" t="s">
        <v>2705</v>
      </c>
      <c r="G1338" s="152" t="s">
        <v>2398</v>
      </c>
      <c r="H1338" s="152" t="s">
        <v>2705</v>
      </c>
      <c r="I1338" s="152" t="s">
        <v>1435</v>
      </c>
      <c r="J1338" s="152" t="s">
        <v>2398</v>
      </c>
      <c r="K1338" s="152" t="s">
        <v>2398</v>
      </c>
      <c r="L1338" s="152" t="s">
        <v>2398</v>
      </c>
      <c r="M1338" s="152" t="s">
        <v>2675</v>
      </c>
      <c r="N1338" s="152" t="s">
        <v>2675</v>
      </c>
      <c r="O1338" s="152" t="s">
        <v>2397</v>
      </c>
      <c r="P1338" s="152" t="s">
        <v>2398</v>
      </c>
      <c r="Q1338" s="152" t="s">
        <v>1435</v>
      </c>
      <c r="R1338" s="152" t="s">
        <v>1435</v>
      </c>
      <c r="S1338" s="152" t="s">
        <v>2398</v>
      </c>
      <c r="T1338" s="152" t="s">
        <v>2705</v>
      </c>
      <c r="U1338" s="152" t="s">
        <v>2675</v>
      </c>
    </row>
    <row r="1339" spans="1:21" s="142" customFormat="1" ht="12.75" customHeight="1" x14ac:dyDescent="0.2">
      <c r="A1339" s="151" t="s">
        <v>7986</v>
      </c>
      <c r="B1339" s="152" t="s">
        <v>2705</v>
      </c>
      <c r="C1339" s="152" t="s">
        <v>2398</v>
      </c>
      <c r="D1339" s="152" t="s">
        <v>2675</v>
      </c>
      <c r="E1339" s="152" t="s">
        <v>2705</v>
      </c>
      <c r="F1339" s="152" t="s">
        <v>2398</v>
      </c>
      <c r="G1339" s="152" t="s">
        <v>2705</v>
      </c>
      <c r="H1339" s="152" t="s">
        <v>2705</v>
      </c>
      <c r="I1339" s="152" t="s">
        <v>2397</v>
      </c>
      <c r="J1339" s="152" t="s">
        <v>2705</v>
      </c>
      <c r="K1339" s="152" t="s">
        <v>2397</v>
      </c>
      <c r="L1339" s="152" t="s">
        <v>2398</v>
      </c>
      <c r="M1339" s="152" t="s">
        <v>2398</v>
      </c>
      <c r="N1339" s="152" t="s">
        <v>2705</v>
      </c>
      <c r="O1339" s="152" t="s">
        <v>1435</v>
      </c>
      <c r="P1339" s="152" t="s">
        <v>2705</v>
      </c>
      <c r="Q1339" s="152" t="s">
        <v>2705</v>
      </c>
      <c r="R1339" s="152" t="s">
        <v>2398</v>
      </c>
      <c r="S1339" s="152" t="s">
        <v>2705</v>
      </c>
      <c r="T1339" s="152" t="s">
        <v>2398</v>
      </c>
      <c r="U1339" s="152" t="s">
        <v>2705</v>
      </c>
    </row>
    <row r="1340" spans="1:21" s="142" customFormat="1" ht="12.75" x14ac:dyDescent="0.2">
      <c r="A1340" s="151"/>
      <c r="B1340" s="152" t="s">
        <v>2397</v>
      </c>
      <c r="C1340" s="152" t="s">
        <v>2397</v>
      </c>
      <c r="D1340" s="152" t="s">
        <v>1435</v>
      </c>
      <c r="E1340" s="152" t="s">
        <v>2675</v>
      </c>
      <c r="F1340" s="152" t="s">
        <v>2705</v>
      </c>
      <c r="G1340" s="152" t="s">
        <v>2705</v>
      </c>
      <c r="H1340" s="152" t="s">
        <v>2705</v>
      </c>
      <c r="I1340" s="152" t="s">
        <v>2675</v>
      </c>
      <c r="J1340" s="152" t="s">
        <v>2398</v>
      </c>
      <c r="K1340" s="152" t="s">
        <v>2705</v>
      </c>
      <c r="L1340" s="152" t="s">
        <v>2675</v>
      </c>
      <c r="M1340" s="152" t="s">
        <v>1435</v>
      </c>
      <c r="N1340" s="152" t="s">
        <v>2397</v>
      </c>
      <c r="O1340" s="152" t="s">
        <v>2705</v>
      </c>
      <c r="P1340" s="152" t="s">
        <v>2675</v>
      </c>
      <c r="Q1340" s="152" t="s">
        <v>2397</v>
      </c>
      <c r="R1340" s="152" t="s">
        <v>1435</v>
      </c>
      <c r="S1340" s="152" t="s">
        <v>2705</v>
      </c>
      <c r="T1340" s="152" t="s">
        <v>2705</v>
      </c>
      <c r="U1340" s="152" t="s">
        <v>2705</v>
      </c>
    </row>
    <row r="1341" spans="1:21" s="142" customFormat="1" ht="12.75" customHeight="1" x14ac:dyDescent="0.2">
      <c r="A1341" s="151" t="s">
        <v>7987</v>
      </c>
      <c r="B1341" s="152" t="s">
        <v>2705</v>
      </c>
      <c r="C1341" s="152" t="s">
        <v>2398</v>
      </c>
      <c r="D1341" s="152" t="s">
        <v>2705</v>
      </c>
      <c r="E1341" s="152" t="s">
        <v>2705</v>
      </c>
      <c r="F1341" s="152" t="s">
        <v>1435</v>
      </c>
      <c r="G1341" s="152" t="s">
        <v>2705</v>
      </c>
      <c r="H1341" s="152" t="s">
        <v>2705</v>
      </c>
      <c r="I1341" s="152" t="s">
        <v>2705</v>
      </c>
      <c r="J1341" s="152" t="s">
        <v>2675</v>
      </c>
      <c r="K1341" s="152" t="s">
        <v>2705</v>
      </c>
      <c r="L1341" s="152" t="s">
        <v>2705</v>
      </c>
      <c r="M1341" s="152" t="s">
        <v>2705</v>
      </c>
      <c r="N1341" s="152" t="s">
        <v>2705</v>
      </c>
      <c r="O1341" s="152" t="s">
        <v>2398</v>
      </c>
      <c r="P1341" s="152" t="s">
        <v>2398</v>
      </c>
      <c r="Q1341" s="152" t="s">
        <v>2675</v>
      </c>
      <c r="R1341" s="152" t="s">
        <v>2398</v>
      </c>
      <c r="S1341" s="152" t="s">
        <v>2675</v>
      </c>
      <c r="T1341" s="152" t="s">
        <v>2398</v>
      </c>
      <c r="U1341" s="152" t="s">
        <v>2398</v>
      </c>
    </row>
    <row r="1342" spans="1:21" s="142" customFormat="1" ht="12.75" x14ac:dyDescent="0.2">
      <c r="A1342" s="151"/>
      <c r="B1342" s="152" t="s">
        <v>2705</v>
      </c>
      <c r="C1342" s="152" t="s">
        <v>2398</v>
      </c>
      <c r="D1342" s="152" t="s">
        <v>2705</v>
      </c>
      <c r="E1342" s="152" t="s">
        <v>2398</v>
      </c>
      <c r="F1342" s="152" t="s">
        <v>2705</v>
      </c>
      <c r="G1342" s="152" t="s">
        <v>2398</v>
      </c>
      <c r="H1342" s="152" t="s">
        <v>2398</v>
      </c>
      <c r="I1342" s="152" t="s">
        <v>2705</v>
      </c>
      <c r="J1342" s="152" t="s">
        <v>2705</v>
      </c>
      <c r="K1342" s="152" t="s">
        <v>1435</v>
      </c>
      <c r="L1342" s="152" t="s">
        <v>2398</v>
      </c>
      <c r="M1342" s="152" t="s">
        <v>2675</v>
      </c>
      <c r="N1342" s="152" t="s">
        <v>2398</v>
      </c>
      <c r="O1342" s="152" t="s">
        <v>2705</v>
      </c>
      <c r="P1342" s="152" t="s">
        <v>2675</v>
      </c>
      <c r="Q1342" s="152" t="s">
        <v>2705</v>
      </c>
      <c r="R1342" s="152" t="s">
        <v>2398</v>
      </c>
      <c r="S1342" s="152" t="s">
        <v>2675</v>
      </c>
      <c r="T1342" s="152" t="s">
        <v>2705</v>
      </c>
      <c r="U1342" s="152" t="s">
        <v>2397</v>
      </c>
    </row>
    <row r="1343" spans="1:21" s="142" customFormat="1" ht="12.75" customHeight="1" x14ac:dyDescent="0.2">
      <c r="A1343" s="151" t="s">
        <v>7988</v>
      </c>
      <c r="B1343" s="152" t="s">
        <v>2398</v>
      </c>
      <c r="C1343" s="152" t="s">
        <v>2675</v>
      </c>
      <c r="D1343" s="152" t="s">
        <v>2398</v>
      </c>
      <c r="E1343" s="152" t="s">
        <v>2397</v>
      </c>
      <c r="F1343" s="152" t="s">
        <v>2398</v>
      </c>
      <c r="G1343" s="152" t="s">
        <v>2705</v>
      </c>
      <c r="H1343" s="152" t="s">
        <v>2398</v>
      </c>
      <c r="I1343" s="152" t="s">
        <v>2675</v>
      </c>
      <c r="J1343" s="152" t="s">
        <v>2705</v>
      </c>
      <c r="K1343" s="152" t="s">
        <v>2398</v>
      </c>
      <c r="L1343" s="152" t="s">
        <v>1435</v>
      </c>
      <c r="M1343" s="152" t="s">
        <v>2705</v>
      </c>
      <c r="N1343" s="152" t="s">
        <v>2398</v>
      </c>
      <c r="O1343" s="152" t="s">
        <v>2705</v>
      </c>
      <c r="P1343" s="152" t="s">
        <v>2398</v>
      </c>
      <c r="Q1343" s="152" t="s">
        <v>2705</v>
      </c>
      <c r="R1343" s="152" t="s">
        <v>2398</v>
      </c>
      <c r="S1343" s="152" t="s">
        <v>2397</v>
      </c>
      <c r="T1343" s="152" t="s">
        <v>2398</v>
      </c>
      <c r="U1343" s="152" t="s">
        <v>2705</v>
      </c>
    </row>
    <row r="1344" spans="1:21" s="142" customFormat="1" ht="12.75" x14ac:dyDescent="0.2">
      <c r="A1344" s="151"/>
      <c r="B1344" s="152" t="s">
        <v>2398</v>
      </c>
      <c r="C1344" s="152" t="s">
        <v>2398</v>
      </c>
      <c r="D1344" s="152" t="s">
        <v>2705</v>
      </c>
      <c r="E1344" s="152" t="s">
        <v>2705</v>
      </c>
      <c r="F1344" s="152" t="s">
        <v>2398</v>
      </c>
      <c r="G1344" s="152" t="s">
        <v>2675</v>
      </c>
      <c r="H1344" s="152" t="s">
        <v>2705</v>
      </c>
      <c r="I1344" s="152" t="s">
        <v>2705</v>
      </c>
      <c r="J1344" s="152" t="s">
        <v>2398</v>
      </c>
      <c r="K1344" s="152" t="s">
        <v>2398</v>
      </c>
      <c r="L1344" s="152" t="s">
        <v>2705</v>
      </c>
      <c r="M1344" s="152" t="s">
        <v>2398</v>
      </c>
      <c r="N1344" s="152" t="s">
        <v>2705</v>
      </c>
      <c r="O1344" s="152" t="s">
        <v>2398</v>
      </c>
      <c r="P1344" s="152" t="s">
        <v>2705</v>
      </c>
      <c r="Q1344" s="152" t="s">
        <v>2398</v>
      </c>
      <c r="R1344" s="152" t="s">
        <v>2705</v>
      </c>
      <c r="S1344" s="152" t="s">
        <v>2705</v>
      </c>
      <c r="T1344" s="152" t="s">
        <v>2398</v>
      </c>
      <c r="U1344" s="152" t="s">
        <v>2398</v>
      </c>
    </row>
    <row r="1345" spans="1:21" s="142" customFormat="1" ht="12.75" customHeight="1" x14ac:dyDescent="0.2">
      <c r="A1345" s="151" t="s">
        <v>7989</v>
      </c>
      <c r="B1345" s="152" t="s">
        <v>2705</v>
      </c>
      <c r="C1345" s="152" t="s">
        <v>2705</v>
      </c>
      <c r="D1345" s="152" t="s">
        <v>2675</v>
      </c>
      <c r="E1345" s="152" t="s">
        <v>2397</v>
      </c>
      <c r="F1345" s="152" t="s">
        <v>1435</v>
      </c>
      <c r="G1345" s="152" t="s">
        <v>2705</v>
      </c>
      <c r="H1345" s="152" t="s">
        <v>1435</v>
      </c>
      <c r="I1345" s="152" t="s">
        <v>2705</v>
      </c>
      <c r="J1345" s="152" t="s">
        <v>2705</v>
      </c>
      <c r="K1345" s="152" t="s">
        <v>2705</v>
      </c>
      <c r="L1345" s="152" t="s">
        <v>2397</v>
      </c>
      <c r="M1345" s="152" t="s">
        <v>2675</v>
      </c>
      <c r="N1345" s="152" t="s">
        <v>2705</v>
      </c>
      <c r="O1345" s="152" t="s">
        <v>2705</v>
      </c>
      <c r="P1345" s="152" t="s">
        <v>2675</v>
      </c>
      <c r="Q1345" s="152" t="s">
        <v>2675</v>
      </c>
      <c r="R1345" s="152" t="s">
        <v>2705</v>
      </c>
      <c r="S1345" s="152" t="s">
        <v>2675</v>
      </c>
      <c r="T1345" s="152" t="s">
        <v>2675</v>
      </c>
      <c r="U1345" s="152" t="s">
        <v>2398</v>
      </c>
    </row>
    <row r="1346" spans="1:21" s="142" customFormat="1" ht="12.75" x14ac:dyDescent="0.2">
      <c r="A1346" s="151"/>
      <c r="B1346" s="152" t="s">
        <v>2397</v>
      </c>
      <c r="C1346" s="152" t="s">
        <v>1435</v>
      </c>
      <c r="D1346" s="152" t="s">
        <v>2705</v>
      </c>
      <c r="E1346" s="152" t="s">
        <v>2675</v>
      </c>
      <c r="F1346" s="152" t="s">
        <v>2675</v>
      </c>
      <c r="G1346" s="152" t="s">
        <v>1435</v>
      </c>
      <c r="H1346" s="152" t="s">
        <v>2705</v>
      </c>
      <c r="I1346" s="152" t="s">
        <v>2705</v>
      </c>
      <c r="J1346" s="152" t="s">
        <v>2398</v>
      </c>
      <c r="K1346" s="152" t="s">
        <v>2398</v>
      </c>
      <c r="L1346" s="152" t="s">
        <v>2705</v>
      </c>
      <c r="M1346" s="152" t="s">
        <v>2705</v>
      </c>
      <c r="N1346" s="152" t="s">
        <v>2675</v>
      </c>
      <c r="O1346" s="152" t="s">
        <v>2705</v>
      </c>
      <c r="P1346" s="152" t="s">
        <v>2398</v>
      </c>
      <c r="Q1346" s="152" t="s">
        <v>1435</v>
      </c>
      <c r="R1346" s="152" t="s">
        <v>1435</v>
      </c>
      <c r="S1346" s="152" t="s">
        <v>2705</v>
      </c>
      <c r="T1346" s="152" t="s">
        <v>2398</v>
      </c>
      <c r="U1346" s="152" t="s">
        <v>2397</v>
      </c>
    </row>
    <row r="1347" spans="1:21" s="142" customFormat="1" ht="12.75" customHeight="1" x14ac:dyDescent="0.2">
      <c r="A1347" s="151" t="s">
        <v>7990</v>
      </c>
      <c r="B1347" s="152" t="s">
        <v>2705</v>
      </c>
      <c r="C1347" s="152" t="s">
        <v>2398</v>
      </c>
      <c r="D1347" s="152" t="s">
        <v>2705</v>
      </c>
      <c r="E1347" s="152" t="s">
        <v>2705</v>
      </c>
      <c r="F1347" s="152" t="s">
        <v>2705</v>
      </c>
      <c r="G1347" s="152" t="s">
        <v>2705</v>
      </c>
      <c r="H1347" s="152" t="s">
        <v>2675</v>
      </c>
      <c r="I1347" s="152" t="s">
        <v>2397</v>
      </c>
      <c r="J1347" s="152" t="s">
        <v>2675</v>
      </c>
      <c r="K1347" s="152" t="s">
        <v>2705</v>
      </c>
      <c r="L1347" s="152" t="s">
        <v>2398</v>
      </c>
      <c r="M1347" s="152" t="s">
        <v>2705</v>
      </c>
      <c r="N1347" s="152" t="s">
        <v>2705</v>
      </c>
      <c r="O1347" s="152" t="s">
        <v>2705</v>
      </c>
      <c r="P1347" s="152" t="s">
        <v>2397</v>
      </c>
      <c r="Q1347" s="152" t="s">
        <v>2705</v>
      </c>
      <c r="R1347" s="152" t="s">
        <v>2705</v>
      </c>
      <c r="S1347" s="152" t="s">
        <v>2705</v>
      </c>
      <c r="T1347" s="152" t="s">
        <v>2675</v>
      </c>
      <c r="U1347" s="152" t="s">
        <v>2705</v>
      </c>
    </row>
    <row r="1348" spans="1:21" s="142" customFormat="1" ht="12.75" x14ac:dyDescent="0.2">
      <c r="A1348" s="151"/>
      <c r="B1348" s="152" t="s">
        <v>2397</v>
      </c>
      <c r="C1348" s="152" t="s">
        <v>2397</v>
      </c>
      <c r="D1348" s="152" t="s">
        <v>2705</v>
      </c>
      <c r="E1348" s="152" t="s">
        <v>2675</v>
      </c>
      <c r="F1348" s="152" t="s">
        <v>2675</v>
      </c>
      <c r="G1348" s="152" t="s">
        <v>2705</v>
      </c>
      <c r="H1348" s="152" t="s">
        <v>2705</v>
      </c>
      <c r="I1348" s="152" t="s">
        <v>2705</v>
      </c>
      <c r="J1348" s="152" t="s">
        <v>2705</v>
      </c>
      <c r="K1348" s="152" t="s">
        <v>2705</v>
      </c>
      <c r="L1348" s="152" t="s">
        <v>2675</v>
      </c>
      <c r="M1348" s="152" t="s">
        <v>1435</v>
      </c>
      <c r="N1348" s="152" t="s">
        <v>2705</v>
      </c>
      <c r="O1348" s="152" t="s">
        <v>2705</v>
      </c>
      <c r="P1348" s="152" t="s">
        <v>2705</v>
      </c>
      <c r="Q1348" s="152" t="s">
        <v>1435</v>
      </c>
      <c r="R1348" s="152" t="s">
        <v>2705</v>
      </c>
      <c r="S1348" s="152" t="s">
        <v>2705</v>
      </c>
      <c r="T1348" s="152" t="s">
        <v>2705</v>
      </c>
      <c r="U1348" s="152" t="s">
        <v>2675</v>
      </c>
    </row>
    <row r="1349" spans="1:21" s="142" customFormat="1" ht="12.75" customHeight="1" x14ac:dyDescent="0.2">
      <c r="A1349" s="151" t="s">
        <v>7991</v>
      </c>
      <c r="B1349" s="152" t="s">
        <v>2397</v>
      </c>
      <c r="C1349" s="152" t="s">
        <v>2705</v>
      </c>
      <c r="D1349" s="152" t="s">
        <v>2705</v>
      </c>
      <c r="E1349" s="152" t="s">
        <v>1435</v>
      </c>
      <c r="F1349" s="152" t="s">
        <v>2398</v>
      </c>
      <c r="G1349" s="152" t="s">
        <v>2705</v>
      </c>
      <c r="H1349" s="152" t="s">
        <v>2398</v>
      </c>
      <c r="I1349" s="152" t="s">
        <v>2705</v>
      </c>
      <c r="J1349" s="152" t="s">
        <v>2675</v>
      </c>
      <c r="K1349" s="152" t="s">
        <v>2398</v>
      </c>
      <c r="L1349" s="152" t="s">
        <v>2398</v>
      </c>
      <c r="M1349" s="152" t="s">
        <v>2398</v>
      </c>
      <c r="N1349" s="152" t="s">
        <v>2398</v>
      </c>
      <c r="O1349" s="152" t="s">
        <v>2705</v>
      </c>
      <c r="P1349" s="152" t="s">
        <v>2397</v>
      </c>
      <c r="Q1349" s="152" t="s">
        <v>2705</v>
      </c>
      <c r="R1349" s="152" t="s">
        <v>2675</v>
      </c>
      <c r="S1349" s="152" t="s">
        <v>2397</v>
      </c>
      <c r="T1349" s="152" t="s">
        <v>2398</v>
      </c>
      <c r="U1349" s="152" t="s">
        <v>2705</v>
      </c>
    </row>
    <row r="1350" spans="1:21" s="142" customFormat="1" ht="12.75" x14ac:dyDescent="0.2">
      <c r="A1350" s="151"/>
      <c r="B1350" s="152" t="s">
        <v>2398</v>
      </c>
      <c r="C1350" s="152" t="s">
        <v>2398</v>
      </c>
      <c r="D1350" s="152" t="s">
        <v>2705</v>
      </c>
      <c r="E1350" s="152" t="s">
        <v>2705</v>
      </c>
      <c r="F1350" s="152" t="s">
        <v>2398</v>
      </c>
      <c r="G1350" s="152" t="s">
        <v>2675</v>
      </c>
      <c r="H1350" s="152" t="s">
        <v>2398</v>
      </c>
      <c r="I1350" s="152" t="s">
        <v>2398</v>
      </c>
      <c r="J1350" s="152" t="s">
        <v>2398</v>
      </c>
      <c r="K1350" s="152" t="s">
        <v>2675</v>
      </c>
      <c r="L1350" s="152" t="s">
        <v>2705</v>
      </c>
      <c r="M1350" s="152" t="s">
        <v>2398</v>
      </c>
      <c r="N1350" s="152" t="s">
        <v>2398</v>
      </c>
      <c r="O1350" s="152" t="s">
        <v>2398</v>
      </c>
      <c r="P1350" s="152" t="s">
        <v>2675</v>
      </c>
      <c r="Q1350" s="152" t="s">
        <v>2705</v>
      </c>
      <c r="R1350" s="152" t="s">
        <v>2398</v>
      </c>
      <c r="S1350" s="152" t="s">
        <v>1435</v>
      </c>
      <c r="T1350" s="152" t="s">
        <v>2705</v>
      </c>
      <c r="U1350" s="152" t="s">
        <v>2398</v>
      </c>
    </row>
    <row r="1351" spans="1:21" s="142" customFormat="1" ht="12.75" customHeight="1" x14ac:dyDescent="0.2">
      <c r="A1351" s="151" t="s">
        <v>7992</v>
      </c>
      <c r="B1351" s="152" t="s">
        <v>2705</v>
      </c>
      <c r="C1351" s="152" t="s">
        <v>2705</v>
      </c>
      <c r="D1351" s="152" t="s">
        <v>1435</v>
      </c>
      <c r="E1351" s="152" t="s">
        <v>2705</v>
      </c>
      <c r="F1351" s="152" t="s">
        <v>2705</v>
      </c>
      <c r="G1351" s="152" t="s">
        <v>2705</v>
      </c>
      <c r="H1351" s="152" t="s">
        <v>2705</v>
      </c>
      <c r="I1351" s="152" t="s">
        <v>2398</v>
      </c>
      <c r="J1351" s="152" t="s">
        <v>2398</v>
      </c>
      <c r="K1351" s="152" t="s">
        <v>2705</v>
      </c>
      <c r="L1351" s="152" t="s">
        <v>2398</v>
      </c>
      <c r="M1351" s="152" t="s">
        <v>2705</v>
      </c>
      <c r="N1351" s="152" t="s">
        <v>2398</v>
      </c>
      <c r="O1351" s="152" t="s">
        <v>1435</v>
      </c>
      <c r="P1351" s="152" t="s">
        <v>2705</v>
      </c>
      <c r="Q1351" s="152" t="s">
        <v>2705</v>
      </c>
      <c r="R1351" s="152" t="s">
        <v>1435</v>
      </c>
      <c r="S1351" s="152" t="s">
        <v>2705</v>
      </c>
      <c r="T1351" s="152" t="s">
        <v>2705</v>
      </c>
      <c r="U1351" s="152" t="s">
        <v>2705</v>
      </c>
    </row>
    <row r="1352" spans="1:21" s="142" customFormat="1" ht="12.75" x14ac:dyDescent="0.2">
      <c r="A1352" s="151"/>
      <c r="B1352" s="152" t="s">
        <v>2398</v>
      </c>
      <c r="C1352" s="152" t="s">
        <v>2398</v>
      </c>
      <c r="D1352" s="152" t="s">
        <v>2705</v>
      </c>
      <c r="E1352" s="152" t="s">
        <v>2675</v>
      </c>
      <c r="F1352" s="152" t="s">
        <v>2705</v>
      </c>
      <c r="G1352" s="152" t="s">
        <v>2705</v>
      </c>
      <c r="H1352" s="152" t="s">
        <v>2705</v>
      </c>
      <c r="I1352" s="152" t="s">
        <v>2705</v>
      </c>
      <c r="J1352" s="152" t="s">
        <v>2705</v>
      </c>
      <c r="K1352" s="152" t="s">
        <v>2705</v>
      </c>
      <c r="L1352" s="152" t="s">
        <v>2675</v>
      </c>
      <c r="M1352" s="152" t="s">
        <v>2705</v>
      </c>
      <c r="N1352" s="152" t="s">
        <v>2397</v>
      </c>
      <c r="O1352" s="152" t="s">
        <v>2705</v>
      </c>
      <c r="P1352" s="152" t="s">
        <v>2398</v>
      </c>
      <c r="Q1352" s="152" t="s">
        <v>2397</v>
      </c>
      <c r="R1352" s="152" t="s">
        <v>2398</v>
      </c>
      <c r="S1352" s="152" t="s">
        <v>2398</v>
      </c>
      <c r="T1352" s="152" t="s">
        <v>2705</v>
      </c>
      <c r="U1352" s="152" t="s">
        <v>2705</v>
      </c>
    </row>
    <row r="1353" spans="1:21" s="142" customFormat="1" ht="12.75" customHeight="1" x14ac:dyDescent="0.2">
      <c r="A1353" s="151" t="s">
        <v>7993</v>
      </c>
      <c r="B1353" s="152" t="s">
        <v>2398</v>
      </c>
      <c r="C1353" s="152" t="s">
        <v>2398</v>
      </c>
      <c r="D1353" s="152" t="s">
        <v>2705</v>
      </c>
      <c r="E1353" s="152" t="s">
        <v>2398</v>
      </c>
      <c r="F1353" s="152" t="s">
        <v>2705</v>
      </c>
      <c r="G1353" s="152" t="s">
        <v>2398</v>
      </c>
      <c r="H1353" s="152" t="s">
        <v>2398</v>
      </c>
      <c r="I1353" s="152" t="s">
        <v>2705</v>
      </c>
      <c r="J1353" s="152" t="s">
        <v>2675</v>
      </c>
      <c r="K1353" s="152" t="s">
        <v>2705</v>
      </c>
      <c r="L1353" s="152" t="s">
        <v>2675</v>
      </c>
      <c r="M1353" s="152" t="s">
        <v>2705</v>
      </c>
      <c r="N1353" s="152" t="s">
        <v>2398</v>
      </c>
      <c r="O1353" s="152" t="s">
        <v>2705</v>
      </c>
      <c r="P1353" s="152" t="s">
        <v>2705</v>
      </c>
      <c r="Q1353" s="152" t="s">
        <v>2705</v>
      </c>
      <c r="R1353" s="152" t="s">
        <v>2398</v>
      </c>
      <c r="S1353" s="152" t="s">
        <v>2705</v>
      </c>
      <c r="T1353" s="152" t="s">
        <v>2398</v>
      </c>
      <c r="U1353" s="152" t="s">
        <v>2398</v>
      </c>
    </row>
    <row r="1354" spans="1:21" s="142" customFormat="1" ht="12.75" x14ac:dyDescent="0.2">
      <c r="A1354" s="151"/>
      <c r="B1354" s="152" t="s">
        <v>2705</v>
      </c>
      <c r="C1354" s="152" t="s">
        <v>2705</v>
      </c>
      <c r="D1354" s="152" t="s">
        <v>2398</v>
      </c>
      <c r="E1354" s="152" t="s">
        <v>2705</v>
      </c>
      <c r="F1354" s="152" t="s">
        <v>2705</v>
      </c>
      <c r="G1354" s="152" t="s">
        <v>2705</v>
      </c>
      <c r="H1354" s="152" t="s">
        <v>2705</v>
      </c>
      <c r="I1354" s="152" t="s">
        <v>2705</v>
      </c>
      <c r="J1354" s="152" t="s">
        <v>2397</v>
      </c>
      <c r="K1354" s="152" t="s">
        <v>2705</v>
      </c>
      <c r="L1354" s="152" t="s">
        <v>2397</v>
      </c>
      <c r="M1354" s="152" t="s">
        <v>2398</v>
      </c>
      <c r="N1354" s="152" t="s">
        <v>2705</v>
      </c>
      <c r="O1354" s="152" t="s">
        <v>2398</v>
      </c>
      <c r="P1354" s="152" t="s">
        <v>2705</v>
      </c>
      <c r="Q1354" s="152" t="s">
        <v>2398</v>
      </c>
      <c r="R1354" s="152" t="s">
        <v>2705</v>
      </c>
      <c r="S1354" s="152" t="s">
        <v>2705</v>
      </c>
      <c r="T1354" s="152" t="s">
        <v>2705</v>
      </c>
      <c r="U1354" s="152" t="s">
        <v>2398</v>
      </c>
    </row>
    <row r="1355" spans="1:21" s="142" customFormat="1" ht="12.75" customHeight="1" x14ac:dyDescent="0.2">
      <c r="A1355" s="151" t="s">
        <v>7994</v>
      </c>
      <c r="B1355" s="152" t="s">
        <v>2705</v>
      </c>
      <c r="C1355" s="152" t="s">
        <v>2675</v>
      </c>
      <c r="D1355" s="152" t="s">
        <v>2705</v>
      </c>
      <c r="E1355" s="152" t="s">
        <v>2705</v>
      </c>
      <c r="F1355" s="152" t="s">
        <v>2397</v>
      </c>
      <c r="G1355" s="152" t="s">
        <v>2705</v>
      </c>
      <c r="H1355" s="152" t="s">
        <v>2705</v>
      </c>
      <c r="I1355" s="152" t="s">
        <v>2675</v>
      </c>
      <c r="J1355" s="152" t="s">
        <v>2705</v>
      </c>
      <c r="K1355" s="152" t="s">
        <v>2705</v>
      </c>
      <c r="L1355" s="152" t="s">
        <v>1435</v>
      </c>
      <c r="M1355" s="152" t="s">
        <v>1435</v>
      </c>
      <c r="N1355" s="152" t="s">
        <v>2398</v>
      </c>
      <c r="O1355" s="152" t="s">
        <v>2705</v>
      </c>
      <c r="P1355" s="152" t="s">
        <v>2398</v>
      </c>
      <c r="Q1355" s="152" t="s">
        <v>2705</v>
      </c>
      <c r="R1355" s="152" t="s">
        <v>2705</v>
      </c>
      <c r="S1355" s="152" t="s">
        <v>2675</v>
      </c>
      <c r="T1355" s="152" t="s">
        <v>2398</v>
      </c>
      <c r="U1355" s="152" t="s">
        <v>2705</v>
      </c>
    </row>
    <row r="1356" spans="1:21" s="142" customFormat="1" ht="12.75" x14ac:dyDescent="0.2">
      <c r="A1356" s="151"/>
      <c r="B1356" s="152" t="s">
        <v>2398</v>
      </c>
      <c r="C1356" s="152" t="s">
        <v>2675</v>
      </c>
      <c r="D1356" s="152" t="s">
        <v>2398</v>
      </c>
      <c r="E1356" s="152" t="s">
        <v>2398</v>
      </c>
      <c r="F1356" s="152" t="s">
        <v>2705</v>
      </c>
      <c r="G1356" s="152" t="s">
        <v>2705</v>
      </c>
      <c r="H1356" s="152" t="s">
        <v>2398</v>
      </c>
      <c r="I1356" s="152" t="s">
        <v>2705</v>
      </c>
      <c r="J1356" s="152" t="s">
        <v>1435</v>
      </c>
      <c r="K1356" s="152" t="s">
        <v>2705</v>
      </c>
      <c r="L1356" s="152" t="s">
        <v>2705</v>
      </c>
      <c r="M1356" s="152" t="s">
        <v>2705</v>
      </c>
      <c r="N1356" s="152" t="s">
        <v>1435</v>
      </c>
      <c r="O1356" s="152" t="s">
        <v>2398</v>
      </c>
      <c r="P1356" s="152" t="s">
        <v>1435</v>
      </c>
      <c r="Q1356" s="152" t="s">
        <v>2705</v>
      </c>
      <c r="R1356" s="152" t="s">
        <v>2398</v>
      </c>
      <c r="S1356" s="152" t="s">
        <v>2705</v>
      </c>
      <c r="T1356" s="152" t="s">
        <v>2398</v>
      </c>
      <c r="U1356" s="152" t="s">
        <v>2398</v>
      </c>
    </row>
    <row r="1357" spans="1:21" s="142" customFormat="1" ht="12.75" customHeight="1" x14ac:dyDescent="0.2">
      <c r="A1357" s="151" t="s">
        <v>7995</v>
      </c>
      <c r="B1357" s="152" t="s">
        <v>2398</v>
      </c>
      <c r="C1357" s="152" t="s">
        <v>2675</v>
      </c>
      <c r="D1357" s="152" t="s">
        <v>2705</v>
      </c>
      <c r="E1357" s="152" t="s">
        <v>2705</v>
      </c>
      <c r="F1357" s="152" t="s">
        <v>1435</v>
      </c>
      <c r="G1357" s="152" t="s">
        <v>2398</v>
      </c>
      <c r="H1357" s="152" t="s">
        <v>2398</v>
      </c>
      <c r="I1357" s="152" t="s">
        <v>2705</v>
      </c>
      <c r="J1357" s="152" t="s">
        <v>1435</v>
      </c>
      <c r="K1357" s="152" t="s">
        <v>2705</v>
      </c>
      <c r="L1357" s="152" t="s">
        <v>2705</v>
      </c>
      <c r="M1357" s="152" t="s">
        <v>2705</v>
      </c>
      <c r="N1357" s="152" t="s">
        <v>2705</v>
      </c>
      <c r="O1357" s="152" t="s">
        <v>2398</v>
      </c>
      <c r="P1357" s="152" t="s">
        <v>2398</v>
      </c>
      <c r="Q1357" s="152" t="s">
        <v>2675</v>
      </c>
      <c r="R1357" s="152" t="s">
        <v>2675</v>
      </c>
      <c r="S1357" s="152" t="s">
        <v>2705</v>
      </c>
      <c r="T1357" s="152" t="s">
        <v>2675</v>
      </c>
      <c r="U1357" s="152" t="s">
        <v>2398</v>
      </c>
    </row>
    <row r="1358" spans="1:21" s="142" customFormat="1" ht="12.75" x14ac:dyDescent="0.2">
      <c r="A1358" s="151"/>
      <c r="B1358" s="152" t="s">
        <v>2397</v>
      </c>
      <c r="C1358" s="152" t="s">
        <v>2675</v>
      </c>
      <c r="D1358" s="152" t="s">
        <v>2397</v>
      </c>
      <c r="E1358" s="152" t="s">
        <v>2705</v>
      </c>
      <c r="F1358" s="152" t="s">
        <v>2705</v>
      </c>
      <c r="G1358" s="152" t="s">
        <v>1435</v>
      </c>
      <c r="H1358" s="152" t="s">
        <v>2397</v>
      </c>
      <c r="I1358" s="152" t="s">
        <v>2397</v>
      </c>
      <c r="J1358" s="152" t="s">
        <v>2705</v>
      </c>
      <c r="K1358" s="152" t="s">
        <v>2705</v>
      </c>
      <c r="L1358" s="152" t="s">
        <v>2398</v>
      </c>
      <c r="M1358" s="152" t="s">
        <v>2675</v>
      </c>
      <c r="N1358" s="152" t="s">
        <v>2675</v>
      </c>
      <c r="O1358" s="152" t="s">
        <v>2705</v>
      </c>
      <c r="P1358" s="152" t="s">
        <v>1435</v>
      </c>
      <c r="Q1358" s="152" t="s">
        <v>2705</v>
      </c>
      <c r="R1358" s="152" t="s">
        <v>2398</v>
      </c>
      <c r="S1358" s="152" t="s">
        <v>2675</v>
      </c>
      <c r="T1358" s="152" t="s">
        <v>2705</v>
      </c>
      <c r="U1358" s="152" t="s">
        <v>2705</v>
      </c>
    </row>
    <row r="1359" spans="1:21" s="142" customFormat="1" ht="12.75" customHeight="1" x14ac:dyDescent="0.2">
      <c r="A1359" s="151" t="s">
        <v>7996</v>
      </c>
      <c r="B1359" s="152" t="s">
        <v>2397</v>
      </c>
      <c r="C1359" s="152" t="s">
        <v>2705</v>
      </c>
      <c r="D1359" s="152" t="s">
        <v>2705</v>
      </c>
      <c r="E1359" s="152" t="s">
        <v>2705</v>
      </c>
      <c r="F1359" s="152" t="s">
        <v>2398</v>
      </c>
      <c r="G1359" s="152" t="s">
        <v>2398</v>
      </c>
      <c r="H1359" s="152" t="s">
        <v>2705</v>
      </c>
      <c r="I1359" s="152" t="s">
        <v>2675</v>
      </c>
      <c r="J1359" s="152" t="s">
        <v>2398</v>
      </c>
      <c r="K1359" s="152" t="s">
        <v>2705</v>
      </c>
      <c r="L1359" s="152" t="s">
        <v>2705</v>
      </c>
      <c r="M1359" s="152" t="s">
        <v>2398</v>
      </c>
      <c r="N1359" s="152" t="s">
        <v>2675</v>
      </c>
      <c r="O1359" s="152" t="s">
        <v>2398</v>
      </c>
      <c r="P1359" s="152" t="s">
        <v>2398</v>
      </c>
      <c r="Q1359" s="152" t="s">
        <v>1435</v>
      </c>
      <c r="R1359" s="152" t="s">
        <v>2398</v>
      </c>
      <c r="S1359" s="152" t="s">
        <v>2675</v>
      </c>
      <c r="T1359" s="152" t="s">
        <v>2398</v>
      </c>
      <c r="U1359" s="152" t="s">
        <v>2398</v>
      </c>
    </row>
    <row r="1360" spans="1:21" s="142" customFormat="1" ht="12.75" x14ac:dyDescent="0.2">
      <c r="A1360" s="151"/>
      <c r="B1360" s="152" t="s">
        <v>2397</v>
      </c>
      <c r="C1360" s="152" t="s">
        <v>2398</v>
      </c>
      <c r="D1360" s="152" t="s">
        <v>1435</v>
      </c>
      <c r="E1360" s="152" t="s">
        <v>2705</v>
      </c>
      <c r="F1360" s="152" t="s">
        <v>2705</v>
      </c>
      <c r="G1360" s="152" t="s">
        <v>2675</v>
      </c>
      <c r="H1360" s="152" t="s">
        <v>2675</v>
      </c>
      <c r="I1360" s="152" t="s">
        <v>2398</v>
      </c>
      <c r="J1360" s="152" t="s">
        <v>2705</v>
      </c>
      <c r="K1360" s="152" t="s">
        <v>2398</v>
      </c>
      <c r="L1360" s="152" t="s">
        <v>2398</v>
      </c>
      <c r="M1360" s="152" t="s">
        <v>2398</v>
      </c>
      <c r="N1360" s="152" t="s">
        <v>2398</v>
      </c>
      <c r="O1360" s="152" t="s">
        <v>2705</v>
      </c>
      <c r="P1360" s="152" t="s">
        <v>2705</v>
      </c>
      <c r="Q1360" s="152" t="s">
        <v>2705</v>
      </c>
      <c r="R1360" s="152" t="s">
        <v>2705</v>
      </c>
      <c r="S1360" s="152" t="s">
        <v>2705</v>
      </c>
      <c r="T1360" s="152" t="s">
        <v>2705</v>
      </c>
      <c r="U1360" s="152" t="s">
        <v>1435</v>
      </c>
    </row>
    <row r="1361" spans="1:21" s="142" customFormat="1" ht="12.75" customHeight="1" x14ac:dyDescent="0.2">
      <c r="A1361" s="151" t="s">
        <v>7997</v>
      </c>
      <c r="B1361" s="152" t="s">
        <v>2705</v>
      </c>
      <c r="C1361" s="152" t="s">
        <v>2398</v>
      </c>
      <c r="D1361" s="152" t="s">
        <v>2705</v>
      </c>
      <c r="E1361" s="152" t="s">
        <v>1435</v>
      </c>
      <c r="F1361" s="152" t="s">
        <v>2398</v>
      </c>
      <c r="G1361" s="152" t="s">
        <v>2705</v>
      </c>
      <c r="H1361" s="152" t="s">
        <v>2705</v>
      </c>
      <c r="I1361" s="152" t="s">
        <v>2675</v>
      </c>
      <c r="J1361" s="152" t="s">
        <v>2705</v>
      </c>
      <c r="K1361" s="152" t="s">
        <v>2705</v>
      </c>
      <c r="L1361" s="152" t="s">
        <v>2705</v>
      </c>
      <c r="M1361" s="152" t="s">
        <v>2705</v>
      </c>
      <c r="N1361" s="152" t="s">
        <v>2705</v>
      </c>
      <c r="O1361" s="152" t="s">
        <v>2675</v>
      </c>
      <c r="P1361" s="152" t="s">
        <v>2705</v>
      </c>
      <c r="Q1361" s="152" t="s">
        <v>2705</v>
      </c>
      <c r="R1361" s="152" t="s">
        <v>2675</v>
      </c>
      <c r="S1361" s="152" t="s">
        <v>2675</v>
      </c>
      <c r="T1361" s="152" t="s">
        <v>2705</v>
      </c>
      <c r="U1361" s="152" t="s">
        <v>2705</v>
      </c>
    </row>
    <row r="1362" spans="1:21" s="142" customFormat="1" ht="12.75" x14ac:dyDescent="0.2">
      <c r="A1362" s="151"/>
      <c r="B1362" s="152" t="s">
        <v>2398</v>
      </c>
      <c r="C1362" s="152" t="s">
        <v>2705</v>
      </c>
      <c r="D1362" s="152" t="s">
        <v>2397</v>
      </c>
      <c r="E1362" s="152" t="s">
        <v>2705</v>
      </c>
      <c r="F1362" s="152" t="s">
        <v>2705</v>
      </c>
      <c r="G1362" s="152" t="s">
        <v>2705</v>
      </c>
      <c r="H1362" s="152" t="s">
        <v>2398</v>
      </c>
      <c r="I1362" s="152" t="s">
        <v>2398</v>
      </c>
      <c r="J1362" s="152" t="s">
        <v>2705</v>
      </c>
      <c r="K1362" s="152" t="s">
        <v>2398</v>
      </c>
      <c r="L1362" s="152" t="s">
        <v>2705</v>
      </c>
      <c r="M1362" s="152" t="s">
        <v>2705</v>
      </c>
      <c r="N1362" s="152" t="s">
        <v>2705</v>
      </c>
      <c r="O1362" s="152" t="s">
        <v>2705</v>
      </c>
      <c r="P1362" s="152" t="s">
        <v>2398</v>
      </c>
      <c r="Q1362" s="152" t="s">
        <v>2398</v>
      </c>
      <c r="R1362" s="152" t="s">
        <v>2398</v>
      </c>
      <c r="S1362" s="152" t="s">
        <v>2705</v>
      </c>
      <c r="T1362" s="152" t="s">
        <v>2705</v>
      </c>
      <c r="U1362" s="152" t="s">
        <v>2705</v>
      </c>
    </row>
    <row r="1363" spans="1:21" s="142" customFormat="1" ht="12.75" customHeight="1" x14ac:dyDescent="0.2">
      <c r="A1363" s="151" t="s">
        <v>7998</v>
      </c>
      <c r="B1363" s="152" t="s">
        <v>1435</v>
      </c>
      <c r="C1363" s="152" t="s">
        <v>2398</v>
      </c>
      <c r="D1363" s="152" t="s">
        <v>2705</v>
      </c>
      <c r="E1363" s="152" t="s">
        <v>2398</v>
      </c>
      <c r="F1363" s="152" t="s">
        <v>2397</v>
      </c>
      <c r="G1363" s="152" t="s">
        <v>2398</v>
      </c>
      <c r="H1363" s="152" t="s">
        <v>2398</v>
      </c>
      <c r="I1363" s="152" t="s">
        <v>2398</v>
      </c>
      <c r="J1363" s="152" t="s">
        <v>2705</v>
      </c>
      <c r="K1363" s="152" t="s">
        <v>2398</v>
      </c>
      <c r="L1363" s="152" t="s">
        <v>2675</v>
      </c>
      <c r="M1363" s="152" t="s">
        <v>1435</v>
      </c>
      <c r="N1363" s="152" t="s">
        <v>2705</v>
      </c>
      <c r="O1363" s="152" t="s">
        <v>2705</v>
      </c>
      <c r="P1363" s="152" t="s">
        <v>2398</v>
      </c>
      <c r="Q1363" s="152" t="s">
        <v>2398</v>
      </c>
      <c r="R1363" s="152" t="s">
        <v>2397</v>
      </c>
      <c r="S1363" s="152" t="s">
        <v>2705</v>
      </c>
      <c r="T1363" s="152" t="s">
        <v>2705</v>
      </c>
      <c r="U1363" s="152" t="s">
        <v>2705</v>
      </c>
    </row>
    <row r="1364" spans="1:21" s="142" customFormat="1" ht="12.75" x14ac:dyDescent="0.2">
      <c r="A1364" s="151"/>
      <c r="B1364" s="152" t="s">
        <v>2397</v>
      </c>
      <c r="C1364" s="152" t="s">
        <v>2397</v>
      </c>
      <c r="D1364" s="152" t="s">
        <v>1435</v>
      </c>
      <c r="E1364" s="152" t="s">
        <v>2675</v>
      </c>
      <c r="F1364" s="152" t="s">
        <v>2705</v>
      </c>
      <c r="G1364" s="152" t="s">
        <v>2705</v>
      </c>
      <c r="H1364" s="152" t="s">
        <v>2705</v>
      </c>
      <c r="I1364" s="152" t="s">
        <v>2705</v>
      </c>
      <c r="J1364" s="152" t="s">
        <v>2675</v>
      </c>
      <c r="K1364" s="152" t="s">
        <v>2398</v>
      </c>
      <c r="L1364" s="152" t="s">
        <v>2675</v>
      </c>
      <c r="M1364" s="152" t="s">
        <v>2397</v>
      </c>
      <c r="N1364" s="152" t="s">
        <v>2398</v>
      </c>
      <c r="O1364" s="152" t="s">
        <v>2398</v>
      </c>
      <c r="P1364" s="152" t="s">
        <v>2705</v>
      </c>
      <c r="Q1364" s="152" t="s">
        <v>2398</v>
      </c>
      <c r="R1364" s="152" t="s">
        <v>1435</v>
      </c>
      <c r="S1364" s="152" t="s">
        <v>2398</v>
      </c>
      <c r="T1364" s="152" t="s">
        <v>2705</v>
      </c>
      <c r="U1364" s="152" t="s">
        <v>2398</v>
      </c>
    </row>
    <row r="1365" spans="1:21" s="142" customFormat="1" ht="12.75" customHeight="1" x14ac:dyDescent="0.2">
      <c r="A1365" s="151" t="s">
        <v>7999</v>
      </c>
      <c r="B1365" s="152" t="s">
        <v>2705</v>
      </c>
      <c r="C1365" s="152" t="s">
        <v>2705</v>
      </c>
      <c r="D1365" s="152" t="s">
        <v>2675</v>
      </c>
      <c r="E1365" s="152" t="s">
        <v>2675</v>
      </c>
      <c r="F1365" s="152" t="s">
        <v>1435</v>
      </c>
      <c r="G1365" s="152" t="s">
        <v>2705</v>
      </c>
      <c r="H1365" s="152" t="s">
        <v>2397</v>
      </c>
      <c r="I1365" s="152" t="s">
        <v>2705</v>
      </c>
      <c r="J1365" s="152" t="s">
        <v>2675</v>
      </c>
      <c r="K1365" s="152" t="s">
        <v>2398</v>
      </c>
      <c r="L1365" s="152" t="s">
        <v>2705</v>
      </c>
      <c r="M1365" s="152" t="s">
        <v>2398</v>
      </c>
      <c r="N1365" s="152" t="s">
        <v>1435</v>
      </c>
      <c r="O1365" s="152" t="s">
        <v>2398</v>
      </c>
      <c r="P1365" s="152" t="s">
        <v>2398</v>
      </c>
      <c r="Q1365" s="152" t="s">
        <v>2705</v>
      </c>
      <c r="R1365" s="152" t="s">
        <v>2675</v>
      </c>
      <c r="S1365" s="152" t="s">
        <v>2398</v>
      </c>
      <c r="T1365" s="152" t="s">
        <v>2705</v>
      </c>
      <c r="U1365" s="152" t="s">
        <v>2675</v>
      </c>
    </row>
    <row r="1366" spans="1:21" s="142" customFormat="1" ht="12.75" x14ac:dyDescent="0.2">
      <c r="A1366" s="151"/>
      <c r="B1366" s="152" t="s">
        <v>2705</v>
      </c>
      <c r="C1366" s="152" t="s">
        <v>2705</v>
      </c>
      <c r="D1366" s="152" t="s">
        <v>2705</v>
      </c>
      <c r="E1366" s="152" t="s">
        <v>2675</v>
      </c>
      <c r="F1366" s="152" t="s">
        <v>2705</v>
      </c>
      <c r="G1366" s="152" t="s">
        <v>1435</v>
      </c>
      <c r="H1366" s="152" t="s">
        <v>2675</v>
      </c>
      <c r="I1366" s="152" t="s">
        <v>2705</v>
      </c>
      <c r="J1366" s="152" t="s">
        <v>2705</v>
      </c>
      <c r="K1366" s="152" t="s">
        <v>2398</v>
      </c>
      <c r="L1366" s="152" t="s">
        <v>2705</v>
      </c>
      <c r="M1366" s="152" t="s">
        <v>2398</v>
      </c>
      <c r="N1366" s="152" t="s">
        <v>2705</v>
      </c>
      <c r="O1366" s="152" t="s">
        <v>2705</v>
      </c>
      <c r="P1366" s="152" t="s">
        <v>2398</v>
      </c>
      <c r="Q1366" s="152" t="s">
        <v>1435</v>
      </c>
      <c r="R1366" s="152" t="s">
        <v>2398</v>
      </c>
      <c r="S1366" s="152" t="s">
        <v>2398</v>
      </c>
      <c r="T1366" s="152" t="s">
        <v>2705</v>
      </c>
      <c r="U1366" s="152" t="s">
        <v>1435</v>
      </c>
    </row>
    <row r="1367" spans="1:21" s="142" customFormat="1" ht="12.75" customHeight="1" x14ac:dyDescent="0.2">
      <c r="A1367" s="151" t="s">
        <v>8000</v>
      </c>
      <c r="B1367" s="152" t="s">
        <v>2398</v>
      </c>
      <c r="C1367" s="152" t="s">
        <v>2705</v>
      </c>
      <c r="D1367" s="152" t="s">
        <v>2397</v>
      </c>
      <c r="E1367" s="152" t="s">
        <v>2705</v>
      </c>
      <c r="F1367" s="152" t="s">
        <v>1435</v>
      </c>
      <c r="G1367" s="152" t="s">
        <v>2705</v>
      </c>
      <c r="H1367" s="152" t="s">
        <v>2705</v>
      </c>
      <c r="I1367" s="152" t="s">
        <v>2705</v>
      </c>
      <c r="J1367" s="152" t="s">
        <v>2675</v>
      </c>
      <c r="K1367" s="152" t="s">
        <v>2705</v>
      </c>
      <c r="L1367" s="152" t="s">
        <v>2398</v>
      </c>
      <c r="M1367" s="152" t="s">
        <v>2705</v>
      </c>
      <c r="N1367" s="152" t="s">
        <v>2705</v>
      </c>
      <c r="O1367" s="152" t="s">
        <v>2398</v>
      </c>
      <c r="P1367" s="152" t="s">
        <v>2675</v>
      </c>
      <c r="Q1367" s="152" t="s">
        <v>2398</v>
      </c>
      <c r="R1367" s="152" t="s">
        <v>2705</v>
      </c>
      <c r="S1367" s="152" t="s">
        <v>2398</v>
      </c>
      <c r="T1367" s="152" t="s">
        <v>2675</v>
      </c>
      <c r="U1367" s="152" t="s">
        <v>2675</v>
      </c>
    </row>
    <row r="1368" spans="1:21" s="142" customFormat="1" ht="12.75" x14ac:dyDescent="0.2">
      <c r="A1368" s="151"/>
      <c r="B1368" s="152" t="s">
        <v>2705</v>
      </c>
      <c r="C1368" s="152" t="s">
        <v>1435</v>
      </c>
      <c r="D1368" s="152" t="s">
        <v>2705</v>
      </c>
      <c r="E1368" s="152" t="s">
        <v>2398</v>
      </c>
      <c r="F1368" s="152" t="s">
        <v>2705</v>
      </c>
      <c r="G1368" s="152" t="s">
        <v>2398</v>
      </c>
      <c r="H1368" s="152" t="s">
        <v>2398</v>
      </c>
      <c r="I1368" s="152" t="s">
        <v>2705</v>
      </c>
      <c r="J1368" s="152" t="s">
        <v>2705</v>
      </c>
      <c r="K1368" s="152" t="s">
        <v>2705</v>
      </c>
      <c r="L1368" s="152" t="s">
        <v>2398</v>
      </c>
      <c r="M1368" s="152" t="s">
        <v>2705</v>
      </c>
      <c r="N1368" s="152" t="s">
        <v>2675</v>
      </c>
      <c r="O1368" s="152" t="s">
        <v>2398</v>
      </c>
      <c r="P1368" s="152" t="s">
        <v>2398</v>
      </c>
      <c r="Q1368" s="152" t="s">
        <v>2705</v>
      </c>
      <c r="R1368" s="152" t="s">
        <v>2398</v>
      </c>
      <c r="S1368" s="152" t="s">
        <v>2398</v>
      </c>
      <c r="T1368" s="152" t="s">
        <v>2705</v>
      </c>
      <c r="U1368" s="152" t="s">
        <v>2398</v>
      </c>
    </row>
    <row r="1369" spans="1:21" s="142" customFormat="1" ht="12.75" customHeight="1" x14ac:dyDescent="0.2">
      <c r="A1369" s="151" t="s">
        <v>8001</v>
      </c>
      <c r="B1369" s="152" t="s">
        <v>2705</v>
      </c>
      <c r="C1369" s="152" t="s">
        <v>2398</v>
      </c>
      <c r="D1369" s="152" t="s">
        <v>2705</v>
      </c>
      <c r="E1369" s="152" t="s">
        <v>1435</v>
      </c>
      <c r="F1369" s="152" t="s">
        <v>2398</v>
      </c>
      <c r="G1369" s="152" t="s">
        <v>1435</v>
      </c>
      <c r="H1369" s="152" t="s">
        <v>2397</v>
      </c>
      <c r="I1369" s="152" t="s">
        <v>2398</v>
      </c>
      <c r="J1369" s="152" t="s">
        <v>2705</v>
      </c>
      <c r="K1369" s="152" t="s">
        <v>1435</v>
      </c>
      <c r="L1369" s="152" t="s">
        <v>2705</v>
      </c>
      <c r="M1369" s="152" t="s">
        <v>2705</v>
      </c>
      <c r="N1369" s="152" t="s">
        <v>2705</v>
      </c>
      <c r="O1369" s="152" t="s">
        <v>2705</v>
      </c>
      <c r="P1369" s="152" t="s">
        <v>2398</v>
      </c>
      <c r="Q1369" s="152" t="s">
        <v>1435</v>
      </c>
      <c r="R1369" s="152" t="s">
        <v>2675</v>
      </c>
      <c r="S1369" s="152" t="s">
        <v>2398</v>
      </c>
      <c r="T1369" s="152" t="s">
        <v>2705</v>
      </c>
      <c r="U1369" s="152" t="s">
        <v>2675</v>
      </c>
    </row>
    <row r="1370" spans="1:21" s="142" customFormat="1" ht="12.75" x14ac:dyDescent="0.2">
      <c r="A1370" s="151"/>
      <c r="B1370" s="152" t="s">
        <v>2398</v>
      </c>
      <c r="C1370" s="152" t="s">
        <v>2705</v>
      </c>
      <c r="D1370" s="152" t="s">
        <v>2705</v>
      </c>
      <c r="E1370" s="152" t="s">
        <v>2398</v>
      </c>
      <c r="F1370" s="152" t="s">
        <v>2398</v>
      </c>
      <c r="G1370" s="152" t="s">
        <v>2398</v>
      </c>
      <c r="H1370" s="152" t="s">
        <v>2675</v>
      </c>
      <c r="I1370" s="152" t="s">
        <v>2705</v>
      </c>
      <c r="J1370" s="152" t="s">
        <v>2675</v>
      </c>
      <c r="K1370" s="152" t="s">
        <v>2705</v>
      </c>
      <c r="L1370" s="152" t="s">
        <v>2398</v>
      </c>
      <c r="M1370" s="152" t="s">
        <v>2398</v>
      </c>
      <c r="N1370" s="152" t="s">
        <v>2398</v>
      </c>
      <c r="O1370" s="152" t="s">
        <v>2705</v>
      </c>
      <c r="P1370" s="152" t="s">
        <v>2705</v>
      </c>
      <c r="Q1370" s="152" t="s">
        <v>2398</v>
      </c>
      <c r="R1370" s="152" t="s">
        <v>2398</v>
      </c>
      <c r="S1370" s="152" t="s">
        <v>2398</v>
      </c>
      <c r="T1370" s="152" t="s">
        <v>2398</v>
      </c>
      <c r="U1370" s="152" t="s">
        <v>2398</v>
      </c>
    </row>
    <row r="1371" spans="1:21" s="142" customFormat="1" ht="12.75" customHeight="1" x14ac:dyDescent="0.2">
      <c r="A1371" s="151" t="s">
        <v>8002</v>
      </c>
      <c r="B1371" s="152" t="s">
        <v>2705</v>
      </c>
      <c r="C1371" s="152" t="s">
        <v>1435</v>
      </c>
      <c r="D1371" s="152" t="s">
        <v>2705</v>
      </c>
      <c r="E1371" s="152" t="s">
        <v>2398</v>
      </c>
      <c r="F1371" s="152" t="s">
        <v>2398</v>
      </c>
      <c r="G1371" s="152" t="s">
        <v>1435</v>
      </c>
      <c r="H1371" s="152" t="s">
        <v>2398</v>
      </c>
      <c r="I1371" s="152" t="s">
        <v>2705</v>
      </c>
      <c r="J1371" s="152" t="s">
        <v>2398</v>
      </c>
      <c r="K1371" s="152" t="s">
        <v>2398</v>
      </c>
      <c r="L1371" s="152" t="s">
        <v>2675</v>
      </c>
      <c r="M1371" s="152" t="s">
        <v>2705</v>
      </c>
      <c r="N1371" s="152" t="s">
        <v>2705</v>
      </c>
      <c r="O1371" s="152" t="s">
        <v>2705</v>
      </c>
      <c r="P1371" s="152" t="s">
        <v>2675</v>
      </c>
      <c r="Q1371" s="152" t="s">
        <v>2705</v>
      </c>
      <c r="R1371" s="152" t="s">
        <v>2397</v>
      </c>
      <c r="S1371" s="152" t="s">
        <v>2398</v>
      </c>
      <c r="T1371" s="152" t="s">
        <v>2705</v>
      </c>
      <c r="U1371" s="152" t="s">
        <v>2398</v>
      </c>
    </row>
    <row r="1372" spans="1:21" s="142" customFormat="1" ht="12.75" x14ac:dyDescent="0.2">
      <c r="A1372" s="151"/>
      <c r="B1372" s="152" t="s">
        <v>2397</v>
      </c>
      <c r="C1372" s="152" t="s">
        <v>2398</v>
      </c>
      <c r="D1372" s="152" t="s">
        <v>1435</v>
      </c>
      <c r="E1372" s="152" t="s">
        <v>2398</v>
      </c>
      <c r="F1372" s="152" t="s">
        <v>2398</v>
      </c>
      <c r="G1372" s="152" t="s">
        <v>2675</v>
      </c>
      <c r="H1372" s="152" t="s">
        <v>2675</v>
      </c>
      <c r="I1372" s="152" t="s">
        <v>2398</v>
      </c>
      <c r="J1372" s="152" t="s">
        <v>2675</v>
      </c>
      <c r="K1372" s="152" t="s">
        <v>2675</v>
      </c>
      <c r="L1372" s="152" t="s">
        <v>2398</v>
      </c>
      <c r="M1372" s="152" t="s">
        <v>1435</v>
      </c>
      <c r="N1372" s="152" t="s">
        <v>1435</v>
      </c>
      <c r="O1372" s="152" t="s">
        <v>2398</v>
      </c>
      <c r="P1372" s="152" t="s">
        <v>2398</v>
      </c>
      <c r="Q1372" s="152" t="s">
        <v>2398</v>
      </c>
      <c r="R1372" s="152" t="s">
        <v>2398</v>
      </c>
      <c r="S1372" s="152" t="s">
        <v>2398</v>
      </c>
      <c r="T1372" s="152" t="s">
        <v>2705</v>
      </c>
      <c r="U1372" s="152" t="s">
        <v>2705</v>
      </c>
    </row>
    <row r="1373" spans="1:21" s="142" customFormat="1" ht="12.75" customHeight="1" x14ac:dyDescent="0.2">
      <c r="A1373" s="151" t="s">
        <v>8003</v>
      </c>
      <c r="B1373" s="152" t="s">
        <v>2705</v>
      </c>
      <c r="C1373" s="152" t="s">
        <v>2397</v>
      </c>
      <c r="D1373" s="152" t="s">
        <v>2675</v>
      </c>
      <c r="E1373" s="152" t="s">
        <v>1435</v>
      </c>
      <c r="F1373" s="152" t="s">
        <v>2705</v>
      </c>
      <c r="G1373" s="152" t="s">
        <v>2705</v>
      </c>
      <c r="H1373" s="152" t="s">
        <v>2398</v>
      </c>
      <c r="I1373" s="152" t="s">
        <v>2397</v>
      </c>
      <c r="J1373" s="152" t="s">
        <v>2398</v>
      </c>
      <c r="K1373" s="152" t="s">
        <v>1435</v>
      </c>
      <c r="L1373" s="152" t="s">
        <v>1435</v>
      </c>
      <c r="M1373" s="152" t="s">
        <v>2397</v>
      </c>
      <c r="N1373" s="152" t="s">
        <v>2705</v>
      </c>
      <c r="O1373" s="152" t="s">
        <v>2705</v>
      </c>
      <c r="P1373" s="152" t="s">
        <v>2398</v>
      </c>
      <c r="Q1373" s="152" t="s">
        <v>1435</v>
      </c>
      <c r="R1373" s="152" t="s">
        <v>2675</v>
      </c>
      <c r="S1373" s="152" t="s">
        <v>2398</v>
      </c>
      <c r="T1373" s="152" t="s">
        <v>2705</v>
      </c>
      <c r="U1373" s="152" t="s">
        <v>2705</v>
      </c>
    </row>
    <row r="1374" spans="1:21" s="142" customFormat="1" ht="12.75" x14ac:dyDescent="0.2">
      <c r="A1374" s="151"/>
      <c r="B1374" s="152" t="s">
        <v>2675</v>
      </c>
      <c r="C1374" s="152" t="s">
        <v>2397</v>
      </c>
      <c r="D1374" s="152" t="s">
        <v>1435</v>
      </c>
      <c r="E1374" s="152" t="s">
        <v>2398</v>
      </c>
      <c r="F1374" s="152" t="s">
        <v>2398</v>
      </c>
      <c r="G1374" s="152" t="s">
        <v>1435</v>
      </c>
      <c r="H1374" s="152" t="s">
        <v>2398</v>
      </c>
      <c r="I1374" s="152" t="s">
        <v>2398</v>
      </c>
      <c r="J1374" s="152" t="s">
        <v>2398</v>
      </c>
      <c r="K1374" s="152" t="s">
        <v>2675</v>
      </c>
      <c r="L1374" s="152" t="s">
        <v>2398</v>
      </c>
      <c r="M1374" s="152" t="s">
        <v>2398</v>
      </c>
      <c r="N1374" s="152" t="s">
        <v>2397</v>
      </c>
      <c r="O1374" s="152" t="s">
        <v>2398</v>
      </c>
      <c r="P1374" s="152" t="s">
        <v>2705</v>
      </c>
      <c r="Q1374" s="152" t="s">
        <v>2398</v>
      </c>
      <c r="R1374" s="152" t="s">
        <v>2398</v>
      </c>
      <c r="S1374" s="152" t="s">
        <v>2398</v>
      </c>
      <c r="T1374" s="152" t="s">
        <v>2398</v>
      </c>
      <c r="U1374" s="152" t="s">
        <v>2398</v>
      </c>
    </row>
    <row r="1375" spans="1:21" s="142" customFormat="1" ht="12.75" customHeight="1" x14ac:dyDescent="0.2">
      <c r="A1375" s="151" t="s">
        <v>8004</v>
      </c>
      <c r="B1375" s="152" t="s">
        <v>2398</v>
      </c>
      <c r="C1375" s="152" t="s">
        <v>2398</v>
      </c>
      <c r="D1375" s="152" t="s">
        <v>2398</v>
      </c>
      <c r="E1375" s="152" t="s">
        <v>2705</v>
      </c>
      <c r="F1375" s="152" t="s">
        <v>2675</v>
      </c>
      <c r="G1375" s="152" t="s">
        <v>1435</v>
      </c>
      <c r="H1375" s="152" t="s">
        <v>2398</v>
      </c>
      <c r="I1375" s="152" t="s">
        <v>2675</v>
      </c>
      <c r="J1375" s="152" t="s">
        <v>2705</v>
      </c>
      <c r="K1375" s="152" t="s">
        <v>2705</v>
      </c>
      <c r="L1375" s="152" t="s">
        <v>1435</v>
      </c>
      <c r="M1375" s="152" t="s">
        <v>2705</v>
      </c>
      <c r="N1375" s="152" t="s">
        <v>2705</v>
      </c>
      <c r="O1375" s="152" t="s">
        <v>2705</v>
      </c>
      <c r="P1375" s="152" t="s">
        <v>2398</v>
      </c>
      <c r="Q1375" s="152" t="s">
        <v>2705</v>
      </c>
      <c r="R1375" s="152" t="s">
        <v>2398</v>
      </c>
      <c r="S1375" s="152" t="s">
        <v>2705</v>
      </c>
      <c r="T1375" s="152" t="s">
        <v>2705</v>
      </c>
      <c r="U1375" s="152" t="s">
        <v>2705</v>
      </c>
    </row>
    <row r="1376" spans="1:21" s="142" customFormat="1" ht="12.75" x14ac:dyDescent="0.2">
      <c r="A1376" s="151"/>
      <c r="B1376" s="152" t="s">
        <v>2675</v>
      </c>
      <c r="C1376" s="152" t="s">
        <v>2675</v>
      </c>
      <c r="D1376" s="152" t="s">
        <v>2705</v>
      </c>
      <c r="E1376" s="152" t="s">
        <v>2675</v>
      </c>
      <c r="F1376" s="152" t="s">
        <v>2705</v>
      </c>
      <c r="G1376" s="152" t="s">
        <v>1435</v>
      </c>
      <c r="H1376" s="152" t="s">
        <v>2398</v>
      </c>
      <c r="I1376" s="152" t="s">
        <v>1435</v>
      </c>
      <c r="J1376" s="152" t="s">
        <v>1435</v>
      </c>
      <c r="K1376" s="152" t="s">
        <v>2675</v>
      </c>
      <c r="L1376" s="152" t="s">
        <v>2398</v>
      </c>
      <c r="M1376" s="152" t="s">
        <v>2398</v>
      </c>
      <c r="N1376" s="152" t="s">
        <v>2705</v>
      </c>
      <c r="O1376" s="152" t="s">
        <v>2398</v>
      </c>
      <c r="P1376" s="152" t="s">
        <v>2705</v>
      </c>
      <c r="Q1376" s="152" t="s">
        <v>2705</v>
      </c>
      <c r="R1376" s="152" t="s">
        <v>2398</v>
      </c>
      <c r="S1376" s="152" t="s">
        <v>2397</v>
      </c>
      <c r="T1376" s="152" t="s">
        <v>2705</v>
      </c>
      <c r="U1376" s="152" t="s">
        <v>2398</v>
      </c>
    </row>
    <row r="1377" spans="1:21" s="142" customFormat="1" ht="12.75" customHeight="1" x14ac:dyDescent="0.2">
      <c r="A1377" s="151" t="s">
        <v>8005</v>
      </c>
      <c r="B1377" s="152" t="s">
        <v>2397</v>
      </c>
      <c r="C1377" s="152" t="s">
        <v>2398</v>
      </c>
      <c r="D1377" s="152" t="s">
        <v>2705</v>
      </c>
      <c r="E1377" s="152" t="s">
        <v>2705</v>
      </c>
      <c r="F1377" s="152" t="s">
        <v>2705</v>
      </c>
      <c r="G1377" s="152" t="s">
        <v>2398</v>
      </c>
      <c r="H1377" s="152" t="s">
        <v>2705</v>
      </c>
      <c r="I1377" s="152" t="s">
        <v>2398</v>
      </c>
      <c r="J1377" s="152" t="s">
        <v>2675</v>
      </c>
      <c r="K1377" s="152" t="s">
        <v>2398</v>
      </c>
      <c r="L1377" s="152" t="s">
        <v>2675</v>
      </c>
      <c r="M1377" s="152" t="s">
        <v>2705</v>
      </c>
      <c r="N1377" s="152" t="s">
        <v>2398</v>
      </c>
      <c r="O1377" s="152" t="s">
        <v>2705</v>
      </c>
      <c r="P1377" s="152" t="s">
        <v>2705</v>
      </c>
      <c r="Q1377" s="152" t="s">
        <v>2675</v>
      </c>
      <c r="R1377" s="152" t="s">
        <v>2398</v>
      </c>
      <c r="S1377" s="152" t="s">
        <v>2705</v>
      </c>
      <c r="T1377" s="152" t="s">
        <v>2398</v>
      </c>
      <c r="U1377" s="152" t="s">
        <v>2398</v>
      </c>
    </row>
    <row r="1378" spans="1:21" s="142" customFormat="1" ht="12.75" x14ac:dyDescent="0.2">
      <c r="A1378" s="151"/>
      <c r="B1378" s="152" t="s">
        <v>2705</v>
      </c>
      <c r="C1378" s="152" t="s">
        <v>2397</v>
      </c>
      <c r="D1378" s="152" t="s">
        <v>2398</v>
      </c>
      <c r="E1378" s="152" t="s">
        <v>2675</v>
      </c>
      <c r="F1378" s="152" t="s">
        <v>2398</v>
      </c>
      <c r="G1378" s="152" t="s">
        <v>2705</v>
      </c>
      <c r="H1378" s="152" t="s">
        <v>2705</v>
      </c>
      <c r="I1378" s="152" t="s">
        <v>2398</v>
      </c>
      <c r="J1378" s="152" t="s">
        <v>2398</v>
      </c>
      <c r="K1378" s="152" t="s">
        <v>2705</v>
      </c>
      <c r="L1378" s="152" t="s">
        <v>2398</v>
      </c>
      <c r="M1378" s="152" t="s">
        <v>2398</v>
      </c>
      <c r="N1378" s="152" t="s">
        <v>2675</v>
      </c>
      <c r="O1378" s="152" t="s">
        <v>2397</v>
      </c>
      <c r="P1378" s="152" t="s">
        <v>2675</v>
      </c>
      <c r="Q1378" s="152" t="s">
        <v>2705</v>
      </c>
      <c r="R1378" s="152" t="s">
        <v>1435</v>
      </c>
      <c r="S1378" s="152" t="s">
        <v>2705</v>
      </c>
      <c r="T1378" s="152" t="s">
        <v>2705</v>
      </c>
      <c r="U1378" s="152" t="s">
        <v>2675</v>
      </c>
    </row>
    <row r="1379" spans="1:21" s="142" customFormat="1" ht="12.75" customHeight="1" x14ac:dyDescent="0.2">
      <c r="A1379" s="151" t="s">
        <v>8006</v>
      </c>
      <c r="B1379" s="152" t="s">
        <v>1435</v>
      </c>
      <c r="C1379" s="152" t="s">
        <v>2675</v>
      </c>
      <c r="D1379" s="152" t="s">
        <v>1435</v>
      </c>
      <c r="E1379" s="152" t="s">
        <v>2705</v>
      </c>
      <c r="F1379" s="152" t="s">
        <v>2705</v>
      </c>
      <c r="G1379" s="152" t="s">
        <v>1435</v>
      </c>
      <c r="H1379" s="152" t="s">
        <v>2705</v>
      </c>
      <c r="I1379" s="152" t="s">
        <v>2705</v>
      </c>
      <c r="J1379" s="152" t="s">
        <v>2675</v>
      </c>
      <c r="K1379" s="152" t="s">
        <v>2705</v>
      </c>
      <c r="L1379" s="152" t="s">
        <v>2705</v>
      </c>
      <c r="M1379" s="152" t="s">
        <v>2705</v>
      </c>
      <c r="N1379" s="152" t="s">
        <v>2705</v>
      </c>
      <c r="O1379" s="152" t="s">
        <v>2705</v>
      </c>
      <c r="P1379" s="152" t="s">
        <v>2398</v>
      </c>
      <c r="Q1379" s="152" t="s">
        <v>2705</v>
      </c>
      <c r="R1379" s="152" t="s">
        <v>2705</v>
      </c>
      <c r="S1379" s="152" t="s">
        <v>2705</v>
      </c>
      <c r="T1379" s="152" t="s">
        <v>2398</v>
      </c>
      <c r="U1379" s="152" t="s">
        <v>2705</v>
      </c>
    </row>
    <row r="1380" spans="1:21" s="142" customFormat="1" ht="12.75" x14ac:dyDescent="0.2">
      <c r="A1380" s="151"/>
      <c r="B1380" s="152" t="s">
        <v>2705</v>
      </c>
      <c r="C1380" s="152" t="s">
        <v>2675</v>
      </c>
      <c r="D1380" s="152" t="s">
        <v>2705</v>
      </c>
      <c r="E1380" s="152" t="s">
        <v>2705</v>
      </c>
      <c r="F1380" s="152" t="s">
        <v>2398</v>
      </c>
      <c r="G1380" s="152" t="s">
        <v>2705</v>
      </c>
      <c r="H1380" s="152" t="s">
        <v>2705</v>
      </c>
      <c r="I1380" s="152" t="s">
        <v>2705</v>
      </c>
      <c r="J1380" s="152" t="s">
        <v>2675</v>
      </c>
      <c r="K1380" s="152" t="s">
        <v>2705</v>
      </c>
      <c r="L1380" s="152" t="s">
        <v>2675</v>
      </c>
      <c r="M1380" s="152" t="s">
        <v>2705</v>
      </c>
      <c r="N1380" s="152" t="s">
        <v>2705</v>
      </c>
      <c r="O1380" s="152" t="s">
        <v>2397</v>
      </c>
      <c r="P1380" s="152" t="s">
        <v>1435</v>
      </c>
      <c r="Q1380" s="152" t="s">
        <v>2705</v>
      </c>
      <c r="R1380" s="152" t="s">
        <v>1435</v>
      </c>
      <c r="S1380" s="152" t="s">
        <v>2397</v>
      </c>
      <c r="T1380" s="152" t="s">
        <v>2705</v>
      </c>
      <c r="U1380" s="152" t="s">
        <v>2398</v>
      </c>
    </row>
    <row r="1381" spans="1:21" s="142" customFormat="1" ht="12.75" customHeight="1" x14ac:dyDescent="0.2">
      <c r="A1381" s="151" t="s">
        <v>8007</v>
      </c>
      <c r="B1381" s="152" t="s">
        <v>2675</v>
      </c>
      <c r="C1381" s="152" t="s">
        <v>1435</v>
      </c>
      <c r="D1381" s="152" t="s">
        <v>2398</v>
      </c>
      <c r="E1381" s="152" t="s">
        <v>2705</v>
      </c>
      <c r="F1381" s="152" t="s">
        <v>2675</v>
      </c>
      <c r="G1381" s="152" t="s">
        <v>1435</v>
      </c>
      <c r="H1381" s="152" t="s">
        <v>2705</v>
      </c>
      <c r="I1381" s="152" t="s">
        <v>2705</v>
      </c>
      <c r="J1381" s="152" t="s">
        <v>2705</v>
      </c>
      <c r="K1381" s="152" t="s">
        <v>2705</v>
      </c>
      <c r="L1381" s="152" t="s">
        <v>1435</v>
      </c>
      <c r="M1381" s="152" t="s">
        <v>2398</v>
      </c>
      <c r="N1381" s="152" t="s">
        <v>2675</v>
      </c>
      <c r="O1381" s="152" t="s">
        <v>2398</v>
      </c>
      <c r="P1381" s="152" t="s">
        <v>2705</v>
      </c>
      <c r="Q1381" s="152" t="s">
        <v>2397</v>
      </c>
      <c r="R1381" s="152" t="s">
        <v>2705</v>
      </c>
      <c r="S1381" s="152" t="s">
        <v>2705</v>
      </c>
      <c r="T1381" s="152" t="s">
        <v>2397</v>
      </c>
      <c r="U1381" s="152" t="s">
        <v>2705</v>
      </c>
    </row>
    <row r="1382" spans="1:21" s="142" customFormat="1" ht="12.75" x14ac:dyDescent="0.2">
      <c r="A1382" s="151"/>
      <c r="B1382" s="152" t="s">
        <v>2705</v>
      </c>
      <c r="C1382" s="152" t="s">
        <v>2398</v>
      </c>
      <c r="D1382" s="152" t="s">
        <v>2398</v>
      </c>
      <c r="E1382" s="152" t="s">
        <v>2398</v>
      </c>
      <c r="F1382" s="152" t="s">
        <v>2397</v>
      </c>
      <c r="G1382" s="152" t="s">
        <v>2705</v>
      </c>
      <c r="H1382" s="152" t="s">
        <v>2675</v>
      </c>
      <c r="I1382" s="152" t="s">
        <v>2675</v>
      </c>
      <c r="J1382" s="152" t="s">
        <v>2398</v>
      </c>
      <c r="K1382" s="152" t="s">
        <v>2675</v>
      </c>
      <c r="L1382" s="152" t="s">
        <v>1435</v>
      </c>
      <c r="M1382" s="152" t="s">
        <v>2398</v>
      </c>
      <c r="N1382" s="152" t="s">
        <v>1435</v>
      </c>
      <c r="O1382" s="152" t="s">
        <v>2398</v>
      </c>
      <c r="P1382" s="152" t="s">
        <v>2675</v>
      </c>
      <c r="Q1382" s="152" t="s">
        <v>2398</v>
      </c>
      <c r="R1382" s="152" t="s">
        <v>2705</v>
      </c>
      <c r="S1382" s="152" t="s">
        <v>2398</v>
      </c>
      <c r="T1382" s="152" t="s">
        <v>2398</v>
      </c>
      <c r="U1382" s="152" t="s">
        <v>2675</v>
      </c>
    </row>
    <row r="1383" spans="1:21" s="142" customFormat="1" ht="12.75" customHeight="1" x14ac:dyDescent="0.2">
      <c r="A1383" s="151" t="s">
        <v>8008</v>
      </c>
      <c r="B1383" s="152" t="s">
        <v>2705</v>
      </c>
      <c r="C1383" s="152" t="s">
        <v>1435</v>
      </c>
      <c r="D1383" s="152" t="s">
        <v>2705</v>
      </c>
      <c r="E1383" s="152" t="s">
        <v>2398</v>
      </c>
      <c r="F1383" s="152" t="s">
        <v>2398</v>
      </c>
      <c r="G1383" s="152" t="s">
        <v>2397</v>
      </c>
      <c r="H1383" s="152" t="s">
        <v>2705</v>
      </c>
      <c r="I1383" s="152" t="s">
        <v>2398</v>
      </c>
      <c r="J1383" s="152" t="s">
        <v>2705</v>
      </c>
      <c r="K1383" s="152" t="s">
        <v>2705</v>
      </c>
      <c r="L1383" s="152" t="s">
        <v>2705</v>
      </c>
      <c r="M1383" s="152" t="s">
        <v>2398</v>
      </c>
      <c r="N1383" s="152" t="s">
        <v>2675</v>
      </c>
      <c r="O1383" s="152" t="s">
        <v>2705</v>
      </c>
      <c r="P1383" s="152" t="s">
        <v>2398</v>
      </c>
      <c r="Q1383" s="152" t="s">
        <v>2705</v>
      </c>
      <c r="R1383" s="152" t="s">
        <v>2705</v>
      </c>
      <c r="S1383" s="152" t="s">
        <v>2398</v>
      </c>
      <c r="T1383" s="152" t="s">
        <v>2398</v>
      </c>
      <c r="U1383" s="152" t="s">
        <v>2705</v>
      </c>
    </row>
    <row r="1384" spans="1:21" s="142" customFormat="1" ht="12.75" x14ac:dyDescent="0.2">
      <c r="A1384" s="151"/>
      <c r="B1384" s="152" t="s">
        <v>2705</v>
      </c>
      <c r="C1384" s="152" t="s">
        <v>2705</v>
      </c>
      <c r="D1384" s="152" t="s">
        <v>2398</v>
      </c>
      <c r="E1384" s="152" t="s">
        <v>2675</v>
      </c>
      <c r="F1384" s="152" t="s">
        <v>2398</v>
      </c>
      <c r="G1384" s="152" t="s">
        <v>2675</v>
      </c>
      <c r="H1384" s="152" t="s">
        <v>2398</v>
      </c>
      <c r="I1384" s="152" t="s">
        <v>2705</v>
      </c>
      <c r="J1384" s="152" t="s">
        <v>2705</v>
      </c>
      <c r="K1384" s="152" t="s">
        <v>2398</v>
      </c>
      <c r="L1384" s="152" t="s">
        <v>2398</v>
      </c>
      <c r="M1384" s="152" t="s">
        <v>2398</v>
      </c>
      <c r="N1384" s="152" t="s">
        <v>2397</v>
      </c>
      <c r="O1384" s="152" t="s">
        <v>2705</v>
      </c>
      <c r="P1384" s="152" t="s">
        <v>2705</v>
      </c>
      <c r="Q1384" s="152" t="s">
        <v>2398</v>
      </c>
      <c r="R1384" s="152" t="s">
        <v>2398</v>
      </c>
      <c r="S1384" s="152" t="s">
        <v>2398</v>
      </c>
      <c r="T1384" s="152" t="s">
        <v>2398</v>
      </c>
      <c r="U1384" s="152" t="s">
        <v>1435</v>
      </c>
    </row>
    <row r="1385" spans="1:21" s="142" customFormat="1" ht="12.75" customHeight="1" x14ac:dyDescent="0.2">
      <c r="A1385" s="151" t="s">
        <v>8009</v>
      </c>
      <c r="B1385" s="152" t="s">
        <v>2705</v>
      </c>
      <c r="C1385" s="152" t="s">
        <v>1435</v>
      </c>
      <c r="D1385" s="152" t="s">
        <v>2705</v>
      </c>
      <c r="E1385" s="152" t="s">
        <v>2398</v>
      </c>
      <c r="F1385" s="152" t="s">
        <v>2705</v>
      </c>
      <c r="G1385" s="152" t="s">
        <v>2705</v>
      </c>
      <c r="H1385" s="152" t="s">
        <v>2675</v>
      </c>
      <c r="I1385" s="152" t="s">
        <v>2675</v>
      </c>
      <c r="J1385" s="152" t="s">
        <v>2398</v>
      </c>
      <c r="K1385" s="152" t="s">
        <v>2398</v>
      </c>
      <c r="L1385" s="152" t="s">
        <v>2705</v>
      </c>
      <c r="M1385" s="152" t="s">
        <v>2705</v>
      </c>
      <c r="N1385" s="152" t="s">
        <v>1435</v>
      </c>
      <c r="O1385" s="152" t="s">
        <v>1435</v>
      </c>
      <c r="P1385" s="152" t="s">
        <v>2705</v>
      </c>
      <c r="Q1385" s="152" t="s">
        <v>2398</v>
      </c>
      <c r="R1385" s="152" t="s">
        <v>2705</v>
      </c>
      <c r="S1385" s="152" t="s">
        <v>2705</v>
      </c>
      <c r="T1385" s="152" t="s">
        <v>2398</v>
      </c>
      <c r="U1385" s="152" t="s">
        <v>2675</v>
      </c>
    </row>
    <row r="1386" spans="1:21" s="142" customFormat="1" ht="12.75" x14ac:dyDescent="0.2">
      <c r="A1386" s="151"/>
      <c r="B1386" s="152" t="s">
        <v>1435</v>
      </c>
      <c r="C1386" s="152" t="s">
        <v>2397</v>
      </c>
      <c r="D1386" s="152" t="s">
        <v>1435</v>
      </c>
      <c r="E1386" s="152" t="s">
        <v>1435</v>
      </c>
      <c r="F1386" s="152" t="s">
        <v>2705</v>
      </c>
      <c r="G1386" s="152" t="s">
        <v>2397</v>
      </c>
      <c r="H1386" s="152" t="s">
        <v>2705</v>
      </c>
      <c r="I1386" s="152" t="s">
        <v>2398</v>
      </c>
      <c r="J1386" s="152" t="s">
        <v>2397</v>
      </c>
      <c r="K1386" s="152" t="s">
        <v>2398</v>
      </c>
      <c r="L1386" s="152" t="s">
        <v>2398</v>
      </c>
      <c r="M1386" s="152" t="s">
        <v>1435</v>
      </c>
      <c r="N1386" s="152" t="s">
        <v>2705</v>
      </c>
      <c r="O1386" s="152" t="s">
        <v>2398</v>
      </c>
      <c r="P1386" s="152" t="s">
        <v>2398</v>
      </c>
      <c r="Q1386" s="152" t="s">
        <v>2705</v>
      </c>
      <c r="R1386" s="152" t="s">
        <v>2705</v>
      </c>
      <c r="S1386" s="152" t="s">
        <v>2398</v>
      </c>
      <c r="T1386" s="152" t="s">
        <v>2705</v>
      </c>
      <c r="U1386" s="152" t="s">
        <v>2705</v>
      </c>
    </row>
    <row r="1387" spans="1:21" s="142" customFormat="1" ht="12.75" customHeight="1" x14ac:dyDescent="0.2">
      <c r="A1387" s="151" t="s">
        <v>8010</v>
      </c>
      <c r="B1387" s="152" t="s">
        <v>2705</v>
      </c>
      <c r="C1387" s="152" t="s">
        <v>2398</v>
      </c>
      <c r="D1387" s="152" t="s">
        <v>2397</v>
      </c>
      <c r="E1387" s="152" t="s">
        <v>2398</v>
      </c>
      <c r="F1387" s="152" t="s">
        <v>2705</v>
      </c>
      <c r="G1387" s="152" t="s">
        <v>1435</v>
      </c>
      <c r="H1387" s="152" t="s">
        <v>2705</v>
      </c>
      <c r="I1387" s="152" t="s">
        <v>2705</v>
      </c>
      <c r="J1387" s="152" t="s">
        <v>2705</v>
      </c>
      <c r="K1387" s="152" t="s">
        <v>2705</v>
      </c>
      <c r="L1387" s="152" t="s">
        <v>2705</v>
      </c>
      <c r="M1387" s="152" t="s">
        <v>2675</v>
      </c>
      <c r="N1387" s="152" t="s">
        <v>2705</v>
      </c>
      <c r="O1387" s="152" t="s">
        <v>2398</v>
      </c>
      <c r="P1387" s="152" t="s">
        <v>2675</v>
      </c>
      <c r="Q1387" s="152" t="s">
        <v>2398</v>
      </c>
      <c r="R1387" s="152" t="s">
        <v>2675</v>
      </c>
      <c r="S1387" s="152" t="s">
        <v>2705</v>
      </c>
      <c r="T1387" s="152" t="s">
        <v>2675</v>
      </c>
      <c r="U1387" s="152" t="s">
        <v>2398</v>
      </c>
    </row>
    <row r="1388" spans="1:21" s="142" customFormat="1" ht="12.75" x14ac:dyDescent="0.2">
      <c r="A1388" s="151"/>
      <c r="B1388" s="152" t="s">
        <v>1435</v>
      </c>
      <c r="C1388" s="152" t="s">
        <v>1435</v>
      </c>
      <c r="D1388" s="152" t="s">
        <v>2675</v>
      </c>
      <c r="E1388" s="152" t="s">
        <v>2675</v>
      </c>
      <c r="F1388" s="152" t="s">
        <v>2705</v>
      </c>
      <c r="G1388" s="152" t="s">
        <v>1435</v>
      </c>
      <c r="H1388" s="152" t="s">
        <v>2675</v>
      </c>
      <c r="I1388" s="152" t="s">
        <v>2705</v>
      </c>
      <c r="J1388" s="152" t="s">
        <v>2705</v>
      </c>
      <c r="K1388" s="152" t="s">
        <v>2397</v>
      </c>
      <c r="L1388" s="152" t="s">
        <v>1435</v>
      </c>
      <c r="M1388" s="152" t="s">
        <v>2705</v>
      </c>
      <c r="N1388" s="152" t="s">
        <v>2675</v>
      </c>
      <c r="O1388" s="152" t="s">
        <v>2705</v>
      </c>
      <c r="P1388" s="152" t="s">
        <v>2705</v>
      </c>
      <c r="Q1388" s="152" t="s">
        <v>2705</v>
      </c>
      <c r="R1388" s="152" t="s">
        <v>2397</v>
      </c>
      <c r="S1388" s="152" t="s">
        <v>2705</v>
      </c>
      <c r="T1388" s="152" t="s">
        <v>2397</v>
      </c>
      <c r="U1388" s="152" t="s">
        <v>2675</v>
      </c>
    </row>
    <row r="1389" spans="1:21" s="142" customFormat="1" ht="12.75" customHeight="1" x14ac:dyDescent="0.2">
      <c r="A1389" s="151" t="s">
        <v>8011</v>
      </c>
      <c r="B1389" s="152" t="s">
        <v>2398</v>
      </c>
      <c r="C1389" s="152" t="s">
        <v>2398</v>
      </c>
      <c r="D1389" s="152" t="s">
        <v>2705</v>
      </c>
      <c r="E1389" s="152" t="s">
        <v>2398</v>
      </c>
      <c r="F1389" s="152" t="s">
        <v>1435</v>
      </c>
      <c r="G1389" s="152" t="s">
        <v>2398</v>
      </c>
      <c r="H1389" s="152" t="s">
        <v>2398</v>
      </c>
      <c r="I1389" s="152" t="s">
        <v>2398</v>
      </c>
      <c r="J1389" s="152" t="s">
        <v>2398</v>
      </c>
      <c r="K1389" s="152" t="s">
        <v>2398</v>
      </c>
      <c r="L1389" s="152" t="s">
        <v>2398</v>
      </c>
      <c r="M1389" s="152" t="s">
        <v>2398</v>
      </c>
      <c r="N1389" s="152" t="s">
        <v>2398</v>
      </c>
      <c r="O1389" s="152" t="s">
        <v>2705</v>
      </c>
      <c r="P1389" s="152" t="s">
        <v>2705</v>
      </c>
      <c r="Q1389" s="152" t="s">
        <v>2705</v>
      </c>
      <c r="R1389" s="152" t="s">
        <v>2398</v>
      </c>
      <c r="S1389" s="152" t="s">
        <v>2675</v>
      </c>
      <c r="T1389" s="152" t="s">
        <v>1435</v>
      </c>
      <c r="U1389" s="152" t="s">
        <v>2705</v>
      </c>
    </row>
    <row r="1390" spans="1:21" s="142" customFormat="1" ht="12.75" x14ac:dyDescent="0.2">
      <c r="A1390" s="151"/>
      <c r="B1390" s="152" t="s">
        <v>2705</v>
      </c>
      <c r="C1390" s="152" t="s">
        <v>2705</v>
      </c>
      <c r="D1390" s="152" t="s">
        <v>1435</v>
      </c>
      <c r="E1390" s="152" t="s">
        <v>2675</v>
      </c>
      <c r="F1390" s="152" t="s">
        <v>2398</v>
      </c>
      <c r="G1390" s="152" t="s">
        <v>2705</v>
      </c>
      <c r="H1390" s="152" t="s">
        <v>1435</v>
      </c>
      <c r="I1390" s="152" t="s">
        <v>2705</v>
      </c>
      <c r="J1390" s="152" t="s">
        <v>2398</v>
      </c>
      <c r="K1390" s="152" t="s">
        <v>1435</v>
      </c>
      <c r="L1390" s="152" t="s">
        <v>2398</v>
      </c>
      <c r="M1390" s="152" t="s">
        <v>2705</v>
      </c>
      <c r="N1390" s="152" t="s">
        <v>2675</v>
      </c>
      <c r="O1390" s="152" t="s">
        <v>2397</v>
      </c>
      <c r="P1390" s="152" t="s">
        <v>2675</v>
      </c>
      <c r="Q1390" s="152" t="s">
        <v>2398</v>
      </c>
      <c r="R1390" s="152" t="s">
        <v>2705</v>
      </c>
      <c r="S1390" s="152" t="s">
        <v>2705</v>
      </c>
      <c r="T1390" s="152" t="s">
        <v>2705</v>
      </c>
      <c r="U1390" s="152" t="s">
        <v>2398</v>
      </c>
    </row>
    <row r="1391" spans="1:21" s="142" customFormat="1" ht="12.75" customHeight="1" x14ac:dyDescent="0.2">
      <c r="A1391" s="151" t="s">
        <v>8012</v>
      </c>
      <c r="B1391" s="152" t="s">
        <v>2705</v>
      </c>
      <c r="C1391" s="152" t="s">
        <v>2705</v>
      </c>
      <c r="D1391" s="152" t="s">
        <v>2398</v>
      </c>
      <c r="E1391" s="152" t="s">
        <v>2705</v>
      </c>
      <c r="F1391" s="152" t="s">
        <v>2398</v>
      </c>
      <c r="G1391" s="152" t="s">
        <v>2675</v>
      </c>
      <c r="H1391" s="152" t="s">
        <v>2705</v>
      </c>
      <c r="I1391" s="152" t="s">
        <v>2705</v>
      </c>
      <c r="J1391" s="152" t="s">
        <v>2675</v>
      </c>
      <c r="K1391" s="152" t="s">
        <v>2398</v>
      </c>
      <c r="L1391" s="152" t="s">
        <v>2705</v>
      </c>
      <c r="M1391" s="152" t="s">
        <v>2398</v>
      </c>
      <c r="N1391" s="152" t="s">
        <v>2398</v>
      </c>
      <c r="O1391" s="152" t="s">
        <v>2398</v>
      </c>
      <c r="P1391" s="152" t="s">
        <v>2675</v>
      </c>
      <c r="Q1391" s="152" t="s">
        <v>2675</v>
      </c>
      <c r="R1391" s="152" t="s">
        <v>2705</v>
      </c>
      <c r="S1391" s="152" t="s">
        <v>2705</v>
      </c>
      <c r="T1391" s="152" t="s">
        <v>2398</v>
      </c>
      <c r="U1391" s="152" t="s">
        <v>2675</v>
      </c>
    </row>
    <row r="1392" spans="1:21" s="142" customFormat="1" ht="12.75" x14ac:dyDescent="0.2">
      <c r="A1392" s="151"/>
      <c r="B1392" s="152" t="s">
        <v>2397</v>
      </c>
      <c r="C1392" s="152" t="s">
        <v>2705</v>
      </c>
      <c r="D1392" s="152" t="s">
        <v>2705</v>
      </c>
      <c r="E1392" s="152" t="s">
        <v>2398</v>
      </c>
      <c r="F1392" s="152" t="s">
        <v>2705</v>
      </c>
      <c r="G1392" s="152" t="s">
        <v>1435</v>
      </c>
      <c r="H1392" s="152" t="s">
        <v>2705</v>
      </c>
      <c r="I1392" s="152" t="s">
        <v>2705</v>
      </c>
      <c r="J1392" s="152" t="s">
        <v>2705</v>
      </c>
      <c r="K1392" s="152" t="s">
        <v>2397</v>
      </c>
      <c r="L1392" s="152" t="s">
        <v>1435</v>
      </c>
      <c r="M1392" s="152" t="s">
        <v>2705</v>
      </c>
      <c r="N1392" s="152" t="s">
        <v>2398</v>
      </c>
      <c r="O1392" s="152" t="s">
        <v>2397</v>
      </c>
      <c r="P1392" s="152" t="s">
        <v>2675</v>
      </c>
      <c r="Q1392" s="152" t="s">
        <v>2705</v>
      </c>
      <c r="R1392" s="152" t="s">
        <v>1435</v>
      </c>
      <c r="S1392" s="152" t="s">
        <v>2675</v>
      </c>
      <c r="T1392" s="152" t="s">
        <v>2705</v>
      </c>
      <c r="U1392" s="152" t="s">
        <v>2675</v>
      </c>
    </row>
    <row r="1393" spans="1:21" s="142" customFormat="1" ht="12.75" customHeight="1" x14ac:dyDescent="0.2">
      <c r="A1393" s="151" t="s">
        <v>8013</v>
      </c>
      <c r="B1393" s="152" t="s">
        <v>2398</v>
      </c>
      <c r="C1393" s="152" t="s">
        <v>2398</v>
      </c>
      <c r="D1393" s="152" t="s">
        <v>2398</v>
      </c>
      <c r="E1393" s="152" t="s">
        <v>2705</v>
      </c>
      <c r="F1393" s="152" t="s">
        <v>2705</v>
      </c>
      <c r="G1393" s="152" t="s">
        <v>2398</v>
      </c>
      <c r="H1393" s="152" t="s">
        <v>2675</v>
      </c>
      <c r="I1393" s="152" t="s">
        <v>2675</v>
      </c>
      <c r="J1393" s="152" t="s">
        <v>1435</v>
      </c>
      <c r="K1393" s="152" t="s">
        <v>2705</v>
      </c>
      <c r="L1393" s="152" t="s">
        <v>2705</v>
      </c>
      <c r="M1393" s="152" t="s">
        <v>2705</v>
      </c>
      <c r="N1393" s="152" t="s">
        <v>2705</v>
      </c>
      <c r="O1393" s="152" t="s">
        <v>2398</v>
      </c>
      <c r="P1393" s="152" t="s">
        <v>2398</v>
      </c>
      <c r="Q1393" s="152" t="s">
        <v>2705</v>
      </c>
      <c r="R1393" s="152" t="s">
        <v>2675</v>
      </c>
      <c r="S1393" s="152" t="s">
        <v>2705</v>
      </c>
      <c r="T1393" s="152" t="s">
        <v>2675</v>
      </c>
      <c r="U1393" s="152" t="s">
        <v>2398</v>
      </c>
    </row>
    <row r="1394" spans="1:21" s="142" customFormat="1" ht="12.75" x14ac:dyDescent="0.2">
      <c r="A1394" s="151"/>
      <c r="B1394" s="152" t="s">
        <v>2398</v>
      </c>
      <c r="C1394" s="152" t="s">
        <v>2398</v>
      </c>
      <c r="D1394" s="152" t="s">
        <v>2705</v>
      </c>
      <c r="E1394" s="152" t="s">
        <v>2398</v>
      </c>
      <c r="F1394" s="152" t="s">
        <v>2705</v>
      </c>
      <c r="G1394" s="152" t="s">
        <v>2398</v>
      </c>
      <c r="H1394" s="152" t="s">
        <v>2398</v>
      </c>
      <c r="I1394" s="152" t="s">
        <v>2705</v>
      </c>
      <c r="J1394" s="152" t="s">
        <v>2398</v>
      </c>
      <c r="K1394" s="152" t="s">
        <v>2398</v>
      </c>
      <c r="L1394" s="152" t="s">
        <v>2398</v>
      </c>
      <c r="M1394" s="152" t="s">
        <v>2675</v>
      </c>
      <c r="N1394" s="152" t="s">
        <v>2398</v>
      </c>
      <c r="O1394" s="152" t="s">
        <v>2398</v>
      </c>
      <c r="P1394" s="152" t="s">
        <v>2398</v>
      </c>
      <c r="Q1394" s="152" t="s">
        <v>2705</v>
      </c>
      <c r="R1394" s="152" t="s">
        <v>2398</v>
      </c>
      <c r="S1394" s="152" t="s">
        <v>2675</v>
      </c>
      <c r="T1394" s="152" t="s">
        <v>2705</v>
      </c>
      <c r="U1394" s="152" t="s">
        <v>2675</v>
      </c>
    </row>
    <row r="1395" spans="1:21" s="142" customFormat="1" ht="12.75" customHeight="1" x14ac:dyDescent="0.2">
      <c r="A1395" s="151" t="s">
        <v>8014</v>
      </c>
      <c r="B1395" s="152" t="s">
        <v>2705</v>
      </c>
      <c r="C1395" s="152" t="s">
        <v>2398</v>
      </c>
      <c r="D1395" s="152" t="s">
        <v>2705</v>
      </c>
      <c r="E1395" s="152" t="s">
        <v>1435</v>
      </c>
      <c r="F1395" s="152" t="s">
        <v>2675</v>
      </c>
      <c r="G1395" s="152" t="s">
        <v>1435</v>
      </c>
      <c r="H1395" s="152" t="s">
        <v>2705</v>
      </c>
      <c r="I1395" s="152" t="s">
        <v>2398</v>
      </c>
      <c r="J1395" s="152" t="s">
        <v>1435</v>
      </c>
      <c r="K1395" s="152" t="s">
        <v>2398</v>
      </c>
      <c r="L1395" s="152" t="s">
        <v>2398</v>
      </c>
      <c r="M1395" s="152" t="s">
        <v>2705</v>
      </c>
      <c r="N1395" s="152" t="s">
        <v>2398</v>
      </c>
      <c r="O1395" s="152" t="s">
        <v>2398</v>
      </c>
      <c r="P1395" s="152" t="s">
        <v>2398</v>
      </c>
      <c r="Q1395" s="152" t="s">
        <v>2705</v>
      </c>
      <c r="R1395" s="152" t="s">
        <v>2705</v>
      </c>
      <c r="S1395" s="152" t="s">
        <v>2675</v>
      </c>
      <c r="T1395" s="152" t="s">
        <v>2397</v>
      </c>
      <c r="U1395" s="152" t="s">
        <v>2705</v>
      </c>
    </row>
    <row r="1396" spans="1:21" s="142" customFormat="1" ht="12.75" x14ac:dyDescent="0.2">
      <c r="A1396" s="151"/>
      <c r="B1396" s="152" t="s">
        <v>2398</v>
      </c>
      <c r="C1396" s="152" t="s">
        <v>2398</v>
      </c>
      <c r="D1396" s="152" t="s">
        <v>2705</v>
      </c>
      <c r="E1396" s="152" t="s">
        <v>1435</v>
      </c>
      <c r="F1396" s="152" t="s">
        <v>2398</v>
      </c>
      <c r="G1396" s="152" t="s">
        <v>2675</v>
      </c>
      <c r="H1396" s="152" t="s">
        <v>2705</v>
      </c>
      <c r="I1396" s="152" t="s">
        <v>1435</v>
      </c>
      <c r="J1396" s="152" t="s">
        <v>1435</v>
      </c>
      <c r="K1396" s="152" t="s">
        <v>2398</v>
      </c>
      <c r="L1396" s="152" t="s">
        <v>1435</v>
      </c>
      <c r="M1396" s="152" t="s">
        <v>2398</v>
      </c>
      <c r="N1396" s="152" t="s">
        <v>1435</v>
      </c>
      <c r="O1396" s="152" t="s">
        <v>2675</v>
      </c>
      <c r="P1396" s="152" t="s">
        <v>2675</v>
      </c>
      <c r="Q1396" s="152" t="s">
        <v>2705</v>
      </c>
      <c r="R1396" s="152" t="s">
        <v>2675</v>
      </c>
      <c r="S1396" s="152" t="s">
        <v>2705</v>
      </c>
      <c r="T1396" s="152" t="s">
        <v>2705</v>
      </c>
      <c r="U1396" s="152" t="s">
        <v>1435</v>
      </c>
    </row>
    <row r="1397" spans="1:21" s="142" customFormat="1" ht="12.75" customHeight="1" x14ac:dyDescent="0.2">
      <c r="A1397" s="151" t="s">
        <v>8015</v>
      </c>
      <c r="B1397" s="152" t="s">
        <v>2705</v>
      </c>
      <c r="C1397" s="152" t="s">
        <v>2398</v>
      </c>
      <c r="D1397" s="152" t="s">
        <v>2675</v>
      </c>
      <c r="E1397" s="152" t="s">
        <v>2398</v>
      </c>
      <c r="F1397" s="152" t="s">
        <v>2398</v>
      </c>
      <c r="G1397" s="152" t="s">
        <v>2398</v>
      </c>
      <c r="H1397" s="152" t="s">
        <v>2397</v>
      </c>
      <c r="I1397" s="152" t="s">
        <v>2398</v>
      </c>
      <c r="J1397" s="152" t="s">
        <v>2675</v>
      </c>
      <c r="K1397" s="152" t="s">
        <v>2398</v>
      </c>
      <c r="L1397" s="152" t="s">
        <v>2398</v>
      </c>
      <c r="M1397" s="152" t="s">
        <v>2397</v>
      </c>
      <c r="N1397" s="152" t="s">
        <v>2398</v>
      </c>
      <c r="O1397" s="152" t="s">
        <v>2705</v>
      </c>
      <c r="P1397" s="152" t="s">
        <v>2398</v>
      </c>
      <c r="Q1397" s="152" t="s">
        <v>2398</v>
      </c>
      <c r="R1397" s="152" t="s">
        <v>2398</v>
      </c>
      <c r="S1397" s="152" t="s">
        <v>2398</v>
      </c>
      <c r="T1397" s="152" t="s">
        <v>2398</v>
      </c>
      <c r="U1397" s="152" t="s">
        <v>2705</v>
      </c>
    </row>
    <row r="1398" spans="1:21" s="142" customFormat="1" ht="12.75" x14ac:dyDescent="0.2">
      <c r="A1398" s="151"/>
      <c r="B1398" s="152" t="s">
        <v>2398</v>
      </c>
      <c r="C1398" s="152" t="s">
        <v>2398</v>
      </c>
      <c r="D1398" s="152" t="s">
        <v>2398</v>
      </c>
      <c r="E1398" s="152" t="s">
        <v>2398</v>
      </c>
      <c r="F1398" s="152" t="s">
        <v>2398</v>
      </c>
      <c r="G1398" s="152" t="s">
        <v>2398</v>
      </c>
      <c r="H1398" s="152" t="s">
        <v>2398</v>
      </c>
      <c r="I1398" s="152" t="s">
        <v>2398</v>
      </c>
      <c r="J1398" s="152" t="s">
        <v>2398</v>
      </c>
      <c r="K1398" s="152" t="s">
        <v>2398</v>
      </c>
      <c r="L1398" s="152" t="s">
        <v>2398</v>
      </c>
      <c r="M1398" s="152" t="s">
        <v>2398</v>
      </c>
      <c r="N1398" s="152" t="s">
        <v>2398</v>
      </c>
      <c r="O1398" s="152" t="s">
        <v>2398</v>
      </c>
      <c r="P1398" s="152" t="s">
        <v>2398</v>
      </c>
      <c r="Q1398" s="152" t="s">
        <v>2705</v>
      </c>
      <c r="R1398" s="152" t="s">
        <v>2398</v>
      </c>
      <c r="S1398" s="152" t="s">
        <v>2398</v>
      </c>
      <c r="T1398" s="152" t="s">
        <v>2398</v>
      </c>
      <c r="U1398" s="152" t="s">
        <v>2398</v>
      </c>
    </row>
    <row r="1399" spans="1:21" s="142" customFormat="1" ht="12.75" customHeight="1" x14ac:dyDescent="0.2">
      <c r="A1399" s="151" t="s">
        <v>8016</v>
      </c>
      <c r="B1399" s="152" t="s">
        <v>2398</v>
      </c>
      <c r="C1399" s="152" t="s">
        <v>2705</v>
      </c>
      <c r="D1399" s="152" t="s">
        <v>2398</v>
      </c>
      <c r="E1399" s="152" t="s">
        <v>2705</v>
      </c>
      <c r="F1399" s="152" t="s">
        <v>2398</v>
      </c>
      <c r="G1399" s="152" t="s">
        <v>1435</v>
      </c>
      <c r="H1399" s="152" t="s">
        <v>2705</v>
      </c>
      <c r="I1399" s="152" t="s">
        <v>2398</v>
      </c>
      <c r="J1399" s="152" t="s">
        <v>2705</v>
      </c>
      <c r="K1399" s="152" t="s">
        <v>2705</v>
      </c>
      <c r="L1399" s="152" t="s">
        <v>2705</v>
      </c>
      <c r="M1399" s="152" t="s">
        <v>2398</v>
      </c>
      <c r="N1399" s="152" t="s">
        <v>2675</v>
      </c>
      <c r="O1399" s="152" t="s">
        <v>2398</v>
      </c>
      <c r="P1399" s="152" t="s">
        <v>2398</v>
      </c>
      <c r="Q1399" s="152" t="s">
        <v>2705</v>
      </c>
      <c r="R1399" s="152" t="s">
        <v>2705</v>
      </c>
      <c r="S1399" s="152" t="s">
        <v>2705</v>
      </c>
      <c r="T1399" s="152" t="s">
        <v>2705</v>
      </c>
      <c r="U1399" s="152" t="s">
        <v>2675</v>
      </c>
    </row>
    <row r="1400" spans="1:21" s="142" customFormat="1" ht="12.75" x14ac:dyDescent="0.2">
      <c r="A1400" s="151"/>
      <c r="B1400" s="152" t="s">
        <v>2398</v>
      </c>
      <c r="C1400" s="152" t="s">
        <v>2705</v>
      </c>
      <c r="D1400" s="152" t="s">
        <v>2705</v>
      </c>
      <c r="E1400" s="152" t="s">
        <v>2705</v>
      </c>
      <c r="F1400" s="152" t="s">
        <v>2705</v>
      </c>
      <c r="G1400" s="152" t="s">
        <v>1435</v>
      </c>
      <c r="H1400" s="152" t="s">
        <v>2675</v>
      </c>
      <c r="I1400" s="152" t="s">
        <v>2705</v>
      </c>
      <c r="J1400" s="152" t="s">
        <v>2705</v>
      </c>
      <c r="K1400" s="152" t="s">
        <v>2705</v>
      </c>
      <c r="L1400" s="152" t="s">
        <v>2398</v>
      </c>
      <c r="M1400" s="152" t="s">
        <v>2398</v>
      </c>
      <c r="N1400" s="152" t="s">
        <v>2705</v>
      </c>
      <c r="O1400" s="152" t="s">
        <v>2398</v>
      </c>
      <c r="P1400" s="152" t="s">
        <v>2398</v>
      </c>
      <c r="Q1400" s="152" t="s">
        <v>2705</v>
      </c>
      <c r="R1400" s="152" t="s">
        <v>2705</v>
      </c>
      <c r="S1400" s="152" t="s">
        <v>2398</v>
      </c>
      <c r="T1400" s="152" t="s">
        <v>2705</v>
      </c>
      <c r="U1400" s="152" t="s">
        <v>2398</v>
      </c>
    </row>
    <row r="1401" spans="1:21" s="142" customFormat="1" ht="12.75" customHeight="1" x14ac:dyDescent="0.2">
      <c r="A1401" s="151" t="s">
        <v>8017</v>
      </c>
      <c r="B1401" s="152" t="s">
        <v>2705</v>
      </c>
      <c r="C1401" s="152" t="s">
        <v>2397</v>
      </c>
      <c r="D1401" s="152" t="s">
        <v>2705</v>
      </c>
      <c r="E1401" s="152" t="s">
        <v>2705</v>
      </c>
      <c r="F1401" s="152" t="s">
        <v>2705</v>
      </c>
      <c r="G1401" s="152" t="s">
        <v>2705</v>
      </c>
      <c r="H1401" s="152" t="s">
        <v>2398</v>
      </c>
      <c r="I1401" s="152" t="s">
        <v>2397</v>
      </c>
      <c r="J1401" s="152" t="s">
        <v>2397</v>
      </c>
      <c r="K1401" s="152" t="s">
        <v>1435</v>
      </c>
      <c r="L1401" s="152" t="s">
        <v>2705</v>
      </c>
      <c r="M1401" s="152" t="s">
        <v>1435</v>
      </c>
      <c r="N1401" s="152" t="s">
        <v>2705</v>
      </c>
      <c r="O1401" s="152" t="s">
        <v>2705</v>
      </c>
      <c r="P1401" s="152" t="s">
        <v>2675</v>
      </c>
      <c r="Q1401" s="152" t="s">
        <v>2397</v>
      </c>
      <c r="R1401" s="152" t="s">
        <v>2675</v>
      </c>
      <c r="S1401" s="152" t="s">
        <v>2398</v>
      </c>
      <c r="T1401" s="152" t="s">
        <v>2705</v>
      </c>
      <c r="U1401" s="152" t="s">
        <v>2705</v>
      </c>
    </row>
    <row r="1402" spans="1:21" s="142" customFormat="1" ht="12.75" x14ac:dyDescent="0.2">
      <c r="A1402" s="151"/>
      <c r="B1402" s="152" t="s">
        <v>2397</v>
      </c>
      <c r="C1402" s="152" t="s">
        <v>2398</v>
      </c>
      <c r="D1402" s="152" t="s">
        <v>2675</v>
      </c>
      <c r="E1402" s="152" t="s">
        <v>2398</v>
      </c>
      <c r="F1402" s="152" t="s">
        <v>2398</v>
      </c>
      <c r="G1402" s="152" t="s">
        <v>2705</v>
      </c>
      <c r="H1402" s="152" t="s">
        <v>2675</v>
      </c>
      <c r="I1402" s="152" t="s">
        <v>2398</v>
      </c>
      <c r="J1402" s="152" t="s">
        <v>2705</v>
      </c>
      <c r="K1402" s="152" t="s">
        <v>2705</v>
      </c>
      <c r="L1402" s="152" t="s">
        <v>2705</v>
      </c>
      <c r="M1402" s="152" t="s">
        <v>2398</v>
      </c>
      <c r="N1402" s="152" t="s">
        <v>2705</v>
      </c>
      <c r="O1402" s="152" t="s">
        <v>2705</v>
      </c>
      <c r="P1402" s="152" t="s">
        <v>2705</v>
      </c>
      <c r="Q1402" s="152" t="s">
        <v>2705</v>
      </c>
      <c r="R1402" s="152" t="s">
        <v>2675</v>
      </c>
      <c r="S1402" s="152" t="s">
        <v>2397</v>
      </c>
      <c r="T1402" s="152" t="s">
        <v>2705</v>
      </c>
      <c r="U1402" s="152" t="s">
        <v>1435</v>
      </c>
    </row>
    <row r="1403" spans="1:21" s="142" customFormat="1" ht="12.75" customHeight="1" x14ac:dyDescent="0.2">
      <c r="A1403" s="151" t="s">
        <v>8018</v>
      </c>
      <c r="B1403" s="152" t="s">
        <v>1435</v>
      </c>
      <c r="C1403" s="152" t="s">
        <v>2398</v>
      </c>
      <c r="D1403" s="152" t="s">
        <v>2705</v>
      </c>
      <c r="E1403" s="152" t="s">
        <v>2705</v>
      </c>
      <c r="F1403" s="152" t="s">
        <v>1435</v>
      </c>
      <c r="G1403" s="152" t="s">
        <v>2398</v>
      </c>
      <c r="H1403" s="152" t="s">
        <v>2398</v>
      </c>
      <c r="I1403" s="152" t="s">
        <v>2398</v>
      </c>
      <c r="J1403" s="152" t="s">
        <v>2705</v>
      </c>
      <c r="K1403" s="152" t="s">
        <v>2398</v>
      </c>
      <c r="L1403" s="152" t="s">
        <v>2675</v>
      </c>
      <c r="M1403" s="152" t="s">
        <v>2705</v>
      </c>
      <c r="N1403" s="152" t="s">
        <v>1435</v>
      </c>
      <c r="O1403" s="152" t="s">
        <v>1435</v>
      </c>
      <c r="P1403" s="152" t="s">
        <v>2705</v>
      </c>
      <c r="Q1403" s="152" t="s">
        <v>2675</v>
      </c>
      <c r="R1403" s="152" t="s">
        <v>2398</v>
      </c>
      <c r="S1403" s="152" t="s">
        <v>2705</v>
      </c>
      <c r="T1403" s="152" t="s">
        <v>2398</v>
      </c>
      <c r="U1403" s="152" t="s">
        <v>2398</v>
      </c>
    </row>
    <row r="1404" spans="1:21" s="142" customFormat="1" ht="12.75" x14ac:dyDescent="0.2">
      <c r="A1404" s="151"/>
      <c r="B1404" s="152" t="s">
        <v>2398</v>
      </c>
      <c r="C1404" s="152" t="s">
        <v>2397</v>
      </c>
      <c r="D1404" s="152" t="s">
        <v>2705</v>
      </c>
      <c r="E1404" s="152" t="s">
        <v>2398</v>
      </c>
      <c r="F1404" s="152" t="s">
        <v>2398</v>
      </c>
      <c r="G1404" s="152" t="s">
        <v>2397</v>
      </c>
      <c r="H1404" s="152" t="s">
        <v>1435</v>
      </c>
      <c r="I1404" s="152" t="s">
        <v>2705</v>
      </c>
      <c r="J1404" s="152" t="s">
        <v>2398</v>
      </c>
      <c r="K1404" s="152" t="s">
        <v>1435</v>
      </c>
      <c r="L1404" s="152" t="s">
        <v>2705</v>
      </c>
      <c r="M1404" s="152" t="s">
        <v>2705</v>
      </c>
      <c r="N1404" s="152" t="s">
        <v>2675</v>
      </c>
      <c r="O1404" s="152" t="s">
        <v>2397</v>
      </c>
      <c r="P1404" s="152" t="s">
        <v>2398</v>
      </c>
      <c r="Q1404" s="152" t="s">
        <v>1435</v>
      </c>
      <c r="R1404" s="152" t="s">
        <v>2398</v>
      </c>
      <c r="S1404" s="152" t="s">
        <v>2397</v>
      </c>
      <c r="T1404" s="152" t="s">
        <v>2705</v>
      </c>
      <c r="U1404" s="152" t="s">
        <v>2398</v>
      </c>
    </row>
    <row r="1405" spans="1:21" s="142" customFormat="1" ht="12.75" customHeight="1" x14ac:dyDescent="0.2">
      <c r="A1405" s="151" t="s">
        <v>8019</v>
      </c>
      <c r="B1405" s="152" t="s">
        <v>2398</v>
      </c>
      <c r="C1405" s="152" t="s">
        <v>2675</v>
      </c>
      <c r="D1405" s="152" t="s">
        <v>2398</v>
      </c>
      <c r="E1405" s="152" t="s">
        <v>2705</v>
      </c>
      <c r="F1405" s="152" t="s">
        <v>2397</v>
      </c>
      <c r="G1405" s="152" t="s">
        <v>1435</v>
      </c>
      <c r="H1405" s="152" t="s">
        <v>1435</v>
      </c>
      <c r="I1405" s="152" t="s">
        <v>2675</v>
      </c>
      <c r="J1405" s="152" t="s">
        <v>2675</v>
      </c>
      <c r="K1405" s="152" t="s">
        <v>2397</v>
      </c>
      <c r="L1405" s="152" t="s">
        <v>2398</v>
      </c>
      <c r="M1405" s="152" t="s">
        <v>2398</v>
      </c>
      <c r="N1405" s="152" t="s">
        <v>2675</v>
      </c>
      <c r="O1405" s="152" t="s">
        <v>2398</v>
      </c>
      <c r="P1405" s="152" t="s">
        <v>2398</v>
      </c>
      <c r="Q1405" s="152" t="s">
        <v>1435</v>
      </c>
      <c r="R1405" s="152" t="s">
        <v>1435</v>
      </c>
      <c r="S1405" s="152" t="s">
        <v>2705</v>
      </c>
      <c r="T1405" s="152" t="s">
        <v>2398</v>
      </c>
      <c r="U1405" s="152" t="s">
        <v>2705</v>
      </c>
    </row>
    <row r="1406" spans="1:21" s="142" customFormat="1" ht="12.75" x14ac:dyDescent="0.2">
      <c r="A1406" s="151"/>
      <c r="B1406" s="152" t="s">
        <v>2675</v>
      </c>
      <c r="C1406" s="152" t="s">
        <v>2398</v>
      </c>
      <c r="D1406" s="152" t="s">
        <v>2705</v>
      </c>
      <c r="E1406" s="152" t="s">
        <v>2398</v>
      </c>
      <c r="F1406" s="152" t="s">
        <v>2675</v>
      </c>
      <c r="G1406" s="152" t="s">
        <v>1435</v>
      </c>
      <c r="H1406" s="152" t="s">
        <v>2398</v>
      </c>
      <c r="I1406" s="152" t="s">
        <v>2675</v>
      </c>
      <c r="J1406" s="152" t="s">
        <v>1435</v>
      </c>
      <c r="K1406" s="152" t="s">
        <v>2675</v>
      </c>
      <c r="L1406" s="152" t="s">
        <v>2675</v>
      </c>
      <c r="M1406" s="152" t="s">
        <v>2397</v>
      </c>
      <c r="N1406" s="152" t="s">
        <v>2398</v>
      </c>
      <c r="O1406" s="152" t="s">
        <v>2398</v>
      </c>
      <c r="P1406" s="152" t="s">
        <v>2705</v>
      </c>
      <c r="Q1406" s="152" t="s">
        <v>2705</v>
      </c>
      <c r="R1406" s="152" t="s">
        <v>2675</v>
      </c>
      <c r="S1406" s="152" t="s">
        <v>2705</v>
      </c>
      <c r="T1406" s="152" t="s">
        <v>2398</v>
      </c>
      <c r="U1406" s="152" t="s">
        <v>2398</v>
      </c>
    </row>
    <row r="1407" spans="1:21" s="142" customFormat="1" ht="12.75" customHeight="1" x14ac:dyDescent="0.2">
      <c r="A1407" s="151" t="s">
        <v>8020</v>
      </c>
      <c r="B1407" s="152" t="s">
        <v>2398</v>
      </c>
      <c r="C1407" s="152" t="s">
        <v>1435</v>
      </c>
      <c r="D1407" s="152" t="s">
        <v>2398</v>
      </c>
      <c r="E1407" s="152" t="s">
        <v>2705</v>
      </c>
      <c r="F1407" s="152" t="s">
        <v>2398</v>
      </c>
      <c r="G1407" s="152" t="s">
        <v>2398</v>
      </c>
      <c r="H1407" s="152" t="s">
        <v>2705</v>
      </c>
      <c r="I1407" s="152" t="s">
        <v>2705</v>
      </c>
      <c r="J1407" s="152" t="s">
        <v>2675</v>
      </c>
      <c r="K1407" s="152" t="s">
        <v>2397</v>
      </c>
      <c r="L1407" s="152" t="s">
        <v>2675</v>
      </c>
      <c r="M1407" s="152" t="s">
        <v>2398</v>
      </c>
      <c r="N1407" s="152" t="s">
        <v>2675</v>
      </c>
      <c r="O1407" s="152" t="s">
        <v>2705</v>
      </c>
      <c r="P1407" s="152" t="s">
        <v>2398</v>
      </c>
      <c r="Q1407" s="152" t="s">
        <v>2675</v>
      </c>
      <c r="R1407" s="152" t="s">
        <v>2705</v>
      </c>
      <c r="S1407" s="152" t="s">
        <v>2705</v>
      </c>
      <c r="T1407" s="152" t="s">
        <v>2398</v>
      </c>
      <c r="U1407" s="152" t="s">
        <v>2705</v>
      </c>
    </row>
    <row r="1408" spans="1:21" s="142" customFormat="1" ht="12.75" x14ac:dyDescent="0.2">
      <c r="A1408" s="151"/>
      <c r="B1408" s="152" t="s">
        <v>2398</v>
      </c>
      <c r="C1408" s="152" t="s">
        <v>2397</v>
      </c>
      <c r="D1408" s="152" t="s">
        <v>2705</v>
      </c>
      <c r="E1408" s="152" t="s">
        <v>2705</v>
      </c>
      <c r="F1408" s="152" t="s">
        <v>2705</v>
      </c>
      <c r="G1408" s="152" t="s">
        <v>2398</v>
      </c>
      <c r="H1408" s="152" t="s">
        <v>2705</v>
      </c>
      <c r="I1408" s="152" t="s">
        <v>2675</v>
      </c>
      <c r="J1408" s="152" t="s">
        <v>2398</v>
      </c>
      <c r="K1408" s="152" t="s">
        <v>1435</v>
      </c>
      <c r="L1408" s="152" t="s">
        <v>2705</v>
      </c>
      <c r="M1408" s="152" t="s">
        <v>1435</v>
      </c>
      <c r="N1408" s="152" t="s">
        <v>2705</v>
      </c>
      <c r="O1408" s="152" t="s">
        <v>2398</v>
      </c>
      <c r="P1408" s="152" t="s">
        <v>1435</v>
      </c>
      <c r="Q1408" s="152" t="s">
        <v>2398</v>
      </c>
      <c r="R1408" s="152" t="s">
        <v>2397</v>
      </c>
      <c r="S1408" s="152" t="s">
        <v>2397</v>
      </c>
      <c r="T1408" s="152" t="s">
        <v>2705</v>
      </c>
      <c r="U1408" s="152" t="s">
        <v>2705</v>
      </c>
    </row>
    <row r="1409" spans="1:21" s="142" customFormat="1" ht="12.75" customHeight="1" x14ac:dyDescent="0.2">
      <c r="A1409" s="151" t="s">
        <v>8021</v>
      </c>
      <c r="B1409" s="152" t="s">
        <v>2398</v>
      </c>
      <c r="C1409" s="152" t="s">
        <v>2398</v>
      </c>
      <c r="D1409" s="152" t="s">
        <v>2675</v>
      </c>
      <c r="E1409" s="152" t="s">
        <v>2705</v>
      </c>
      <c r="F1409" s="152" t="s">
        <v>2705</v>
      </c>
      <c r="G1409" s="152" t="s">
        <v>2398</v>
      </c>
      <c r="H1409" s="152" t="s">
        <v>2398</v>
      </c>
      <c r="I1409" s="152" t="s">
        <v>2675</v>
      </c>
      <c r="J1409" s="152" t="s">
        <v>2398</v>
      </c>
      <c r="K1409" s="152" t="s">
        <v>2398</v>
      </c>
      <c r="L1409" s="152" t="s">
        <v>2705</v>
      </c>
      <c r="M1409" s="152" t="s">
        <v>2705</v>
      </c>
      <c r="N1409" s="152" t="s">
        <v>2675</v>
      </c>
      <c r="O1409" s="152" t="s">
        <v>2705</v>
      </c>
      <c r="P1409" s="152" t="s">
        <v>2398</v>
      </c>
      <c r="Q1409" s="152" t="s">
        <v>2705</v>
      </c>
      <c r="R1409" s="152" t="s">
        <v>2705</v>
      </c>
      <c r="S1409" s="152" t="s">
        <v>2705</v>
      </c>
      <c r="T1409" s="152" t="s">
        <v>2398</v>
      </c>
      <c r="U1409" s="152" t="s">
        <v>2398</v>
      </c>
    </row>
    <row r="1410" spans="1:21" s="142" customFormat="1" ht="12.75" x14ac:dyDescent="0.2">
      <c r="A1410" s="151"/>
      <c r="B1410" s="152" t="s">
        <v>2398</v>
      </c>
      <c r="C1410" s="152" t="s">
        <v>2705</v>
      </c>
      <c r="D1410" s="152" t="s">
        <v>1435</v>
      </c>
      <c r="E1410" s="152" t="s">
        <v>2675</v>
      </c>
      <c r="F1410" s="152" t="s">
        <v>2705</v>
      </c>
      <c r="G1410" s="152" t="s">
        <v>2705</v>
      </c>
      <c r="H1410" s="152" t="s">
        <v>1435</v>
      </c>
      <c r="I1410" s="152" t="s">
        <v>2398</v>
      </c>
      <c r="J1410" s="152" t="s">
        <v>2398</v>
      </c>
      <c r="K1410" s="152" t="s">
        <v>2705</v>
      </c>
      <c r="L1410" s="152" t="s">
        <v>2398</v>
      </c>
      <c r="M1410" s="152" t="s">
        <v>2705</v>
      </c>
      <c r="N1410" s="152" t="s">
        <v>2705</v>
      </c>
      <c r="O1410" s="152" t="s">
        <v>2397</v>
      </c>
      <c r="P1410" s="152" t="s">
        <v>1435</v>
      </c>
      <c r="Q1410" s="152" t="s">
        <v>2705</v>
      </c>
      <c r="R1410" s="152" t="s">
        <v>2398</v>
      </c>
      <c r="S1410" s="152" t="s">
        <v>2705</v>
      </c>
      <c r="T1410" s="152" t="s">
        <v>2398</v>
      </c>
      <c r="U1410" s="152" t="s">
        <v>2675</v>
      </c>
    </row>
    <row r="1411" spans="1:21" s="142" customFormat="1" ht="12.75" customHeight="1" x14ac:dyDescent="0.2">
      <c r="A1411" s="151" t="s">
        <v>8022</v>
      </c>
      <c r="B1411" s="152" t="s">
        <v>2705</v>
      </c>
      <c r="C1411" s="152" t="s">
        <v>2675</v>
      </c>
      <c r="D1411" s="152" t="s">
        <v>2397</v>
      </c>
      <c r="E1411" s="152" t="s">
        <v>1435</v>
      </c>
      <c r="F1411" s="152" t="s">
        <v>2397</v>
      </c>
      <c r="G1411" s="152" t="s">
        <v>1435</v>
      </c>
      <c r="H1411" s="152" t="s">
        <v>2397</v>
      </c>
      <c r="I1411" s="152" t="s">
        <v>2705</v>
      </c>
      <c r="J1411" s="152" t="s">
        <v>2398</v>
      </c>
      <c r="K1411" s="152" t="s">
        <v>1435</v>
      </c>
      <c r="L1411" s="152" t="s">
        <v>1435</v>
      </c>
      <c r="M1411" s="152" t="s">
        <v>2705</v>
      </c>
      <c r="N1411" s="152" t="s">
        <v>2397</v>
      </c>
      <c r="O1411" s="152" t="s">
        <v>2397</v>
      </c>
      <c r="P1411" s="152" t="s">
        <v>1435</v>
      </c>
      <c r="Q1411" s="152" t="s">
        <v>2705</v>
      </c>
      <c r="R1411" s="152" t="s">
        <v>1435</v>
      </c>
      <c r="S1411" s="152" t="s">
        <v>2705</v>
      </c>
      <c r="T1411" s="152" t="s">
        <v>1435</v>
      </c>
      <c r="U1411" s="152" t="s">
        <v>2705</v>
      </c>
    </row>
    <row r="1412" spans="1:21" s="142" customFormat="1" ht="12.75" x14ac:dyDescent="0.2">
      <c r="A1412" s="151"/>
      <c r="B1412" s="152" t="s">
        <v>2398</v>
      </c>
      <c r="C1412" s="152" t="s">
        <v>2705</v>
      </c>
      <c r="D1412" s="152" t="s">
        <v>2705</v>
      </c>
      <c r="E1412" s="152" t="s">
        <v>1435</v>
      </c>
      <c r="F1412" s="152" t="s">
        <v>2397</v>
      </c>
      <c r="G1412" s="152" t="s">
        <v>1435</v>
      </c>
      <c r="H1412" s="152" t="s">
        <v>2675</v>
      </c>
      <c r="I1412" s="152" t="s">
        <v>2705</v>
      </c>
      <c r="J1412" s="152" t="s">
        <v>2398</v>
      </c>
      <c r="K1412" s="152" t="s">
        <v>2398</v>
      </c>
      <c r="L1412" s="152" t="s">
        <v>2705</v>
      </c>
      <c r="M1412" s="152" t="s">
        <v>2705</v>
      </c>
      <c r="N1412" s="152" t="s">
        <v>2705</v>
      </c>
      <c r="O1412" s="152" t="s">
        <v>2398</v>
      </c>
      <c r="P1412" s="152" t="s">
        <v>2398</v>
      </c>
      <c r="Q1412" s="152" t="s">
        <v>2675</v>
      </c>
      <c r="R1412" s="152" t="s">
        <v>2705</v>
      </c>
      <c r="S1412" s="152" t="s">
        <v>2705</v>
      </c>
      <c r="T1412" s="152" t="s">
        <v>2705</v>
      </c>
      <c r="U1412" s="152" t="s">
        <v>2705</v>
      </c>
    </row>
    <row r="1413" spans="1:21" s="142" customFormat="1" ht="12.75" customHeight="1" x14ac:dyDescent="0.2">
      <c r="A1413" s="151" t="s">
        <v>8023</v>
      </c>
      <c r="B1413" s="152" t="s">
        <v>2675</v>
      </c>
      <c r="C1413" s="152" t="s">
        <v>1435</v>
      </c>
      <c r="D1413" s="152" t="s">
        <v>2675</v>
      </c>
      <c r="E1413" s="152" t="s">
        <v>1435</v>
      </c>
      <c r="F1413" s="152" t="s">
        <v>2705</v>
      </c>
      <c r="G1413" s="152" t="s">
        <v>2705</v>
      </c>
      <c r="H1413" s="152" t="s">
        <v>2705</v>
      </c>
      <c r="I1413" s="152" t="s">
        <v>2398</v>
      </c>
      <c r="J1413" s="152" t="s">
        <v>2398</v>
      </c>
      <c r="K1413" s="152" t="s">
        <v>2397</v>
      </c>
      <c r="L1413" s="152" t="s">
        <v>2705</v>
      </c>
      <c r="M1413" s="152" t="s">
        <v>2397</v>
      </c>
      <c r="N1413" s="152" t="s">
        <v>2675</v>
      </c>
      <c r="O1413" s="152" t="s">
        <v>2398</v>
      </c>
      <c r="P1413" s="152" t="s">
        <v>2398</v>
      </c>
      <c r="Q1413" s="152" t="s">
        <v>2705</v>
      </c>
      <c r="R1413" s="152" t="s">
        <v>2397</v>
      </c>
      <c r="S1413" s="152" t="s">
        <v>2398</v>
      </c>
      <c r="T1413" s="152" t="s">
        <v>2398</v>
      </c>
      <c r="U1413" s="152" t="s">
        <v>2398</v>
      </c>
    </row>
    <row r="1414" spans="1:21" s="142" customFormat="1" ht="12.75" x14ac:dyDescent="0.2">
      <c r="A1414" s="151"/>
      <c r="B1414" s="152" t="s">
        <v>2398</v>
      </c>
      <c r="C1414" s="152" t="s">
        <v>2398</v>
      </c>
      <c r="D1414" s="152" t="s">
        <v>1435</v>
      </c>
      <c r="E1414" s="152" t="s">
        <v>2398</v>
      </c>
      <c r="F1414" s="152" t="s">
        <v>2398</v>
      </c>
      <c r="G1414" s="152" t="s">
        <v>2705</v>
      </c>
      <c r="H1414" s="152" t="s">
        <v>2675</v>
      </c>
      <c r="I1414" s="152" t="s">
        <v>2705</v>
      </c>
      <c r="J1414" s="152" t="s">
        <v>2705</v>
      </c>
      <c r="K1414" s="152" t="s">
        <v>2398</v>
      </c>
      <c r="L1414" s="152" t="s">
        <v>2705</v>
      </c>
      <c r="M1414" s="152" t="s">
        <v>2398</v>
      </c>
      <c r="N1414" s="152" t="s">
        <v>1435</v>
      </c>
      <c r="O1414" s="152" t="s">
        <v>2705</v>
      </c>
      <c r="P1414" s="152" t="s">
        <v>2705</v>
      </c>
      <c r="Q1414" s="152" t="s">
        <v>2398</v>
      </c>
      <c r="R1414" s="152" t="s">
        <v>2398</v>
      </c>
      <c r="S1414" s="152" t="s">
        <v>2398</v>
      </c>
      <c r="T1414" s="152" t="s">
        <v>1435</v>
      </c>
      <c r="U1414" s="152" t="s">
        <v>2398</v>
      </c>
    </row>
    <row r="1415" spans="1:21" s="142" customFormat="1" ht="12.75" customHeight="1" x14ac:dyDescent="0.2">
      <c r="A1415" s="151" t="s">
        <v>8024</v>
      </c>
      <c r="B1415" s="152" t="s">
        <v>2397</v>
      </c>
      <c r="C1415" s="152" t="s">
        <v>2398</v>
      </c>
      <c r="D1415" s="152" t="s">
        <v>2705</v>
      </c>
      <c r="E1415" s="152" t="s">
        <v>2398</v>
      </c>
      <c r="F1415" s="152" t="s">
        <v>2398</v>
      </c>
      <c r="G1415" s="152" t="s">
        <v>2705</v>
      </c>
      <c r="H1415" s="152" t="s">
        <v>2705</v>
      </c>
      <c r="I1415" s="152" t="s">
        <v>2675</v>
      </c>
      <c r="J1415" s="152" t="s">
        <v>2675</v>
      </c>
      <c r="K1415" s="152" t="s">
        <v>1435</v>
      </c>
      <c r="L1415" s="152" t="s">
        <v>1435</v>
      </c>
      <c r="M1415" s="152" t="s">
        <v>1435</v>
      </c>
      <c r="N1415" s="152" t="s">
        <v>2675</v>
      </c>
      <c r="O1415" s="152" t="s">
        <v>2398</v>
      </c>
      <c r="P1415" s="152" t="s">
        <v>2705</v>
      </c>
      <c r="Q1415" s="152" t="s">
        <v>2397</v>
      </c>
      <c r="R1415" s="152" t="s">
        <v>2705</v>
      </c>
      <c r="S1415" s="152" t="s">
        <v>2397</v>
      </c>
      <c r="T1415" s="152" t="s">
        <v>2397</v>
      </c>
      <c r="U1415" s="152" t="s">
        <v>2705</v>
      </c>
    </row>
    <row r="1416" spans="1:21" s="142" customFormat="1" ht="12.75" x14ac:dyDescent="0.2">
      <c r="A1416" s="151"/>
      <c r="B1416" s="152" t="s">
        <v>2705</v>
      </c>
      <c r="C1416" s="152" t="s">
        <v>2675</v>
      </c>
      <c r="D1416" s="152" t="s">
        <v>2398</v>
      </c>
      <c r="E1416" s="152" t="s">
        <v>2705</v>
      </c>
      <c r="F1416" s="152" t="s">
        <v>2705</v>
      </c>
      <c r="G1416" s="152" t="s">
        <v>2675</v>
      </c>
      <c r="H1416" s="152" t="s">
        <v>2398</v>
      </c>
      <c r="I1416" s="152" t="s">
        <v>2398</v>
      </c>
      <c r="J1416" s="152" t="s">
        <v>1435</v>
      </c>
      <c r="K1416" s="152" t="s">
        <v>2705</v>
      </c>
      <c r="L1416" s="152" t="s">
        <v>2398</v>
      </c>
      <c r="M1416" s="152" t="s">
        <v>2397</v>
      </c>
      <c r="N1416" s="152" t="s">
        <v>2398</v>
      </c>
      <c r="O1416" s="152" t="s">
        <v>2398</v>
      </c>
      <c r="P1416" s="152" t="s">
        <v>2705</v>
      </c>
      <c r="Q1416" s="152" t="s">
        <v>2398</v>
      </c>
      <c r="R1416" s="152" t="s">
        <v>2705</v>
      </c>
      <c r="S1416" s="152" t="s">
        <v>2705</v>
      </c>
      <c r="T1416" s="152" t="s">
        <v>2705</v>
      </c>
      <c r="U1416" s="152" t="s">
        <v>2398</v>
      </c>
    </row>
    <row r="1417" spans="1:21" s="142" customFormat="1" ht="12.75" customHeight="1" x14ac:dyDescent="0.2">
      <c r="A1417" s="151" t="s">
        <v>8025</v>
      </c>
      <c r="B1417" s="152" t="s">
        <v>2398</v>
      </c>
      <c r="C1417" s="152" t="s">
        <v>2675</v>
      </c>
      <c r="D1417" s="152" t="s">
        <v>2398</v>
      </c>
      <c r="E1417" s="152" t="s">
        <v>2398</v>
      </c>
      <c r="F1417" s="152" t="s">
        <v>2398</v>
      </c>
      <c r="G1417" s="152" t="s">
        <v>2398</v>
      </c>
      <c r="H1417" s="152" t="s">
        <v>2705</v>
      </c>
      <c r="I1417" s="152" t="s">
        <v>2398</v>
      </c>
      <c r="J1417" s="152" t="s">
        <v>2398</v>
      </c>
      <c r="K1417" s="152" t="s">
        <v>2398</v>
      </c>
      <c r="L1417" s="152" t="s">
        <v>2705</v>
      </c>
      <c r="M1417" s="152" t="s">
        <v>2398</v>
      </c>
      <c r="N1417" s="152" t="s">
        <v>2398</v>
      </c>
      <c r="O1417" s="152" t="s">
        <v>2398</v>
      </c>
      <c r="P1417" s="152" t="s">
        <v>2398</v>
      </c>
      <c r="Q1417" s="152" t="s">
        <v>2398</v>
      </c>
      <c r="R1417" s="152" t="s">
        <v>2705</v>
      </c>
      <c r="S1417" s="152" t="s">
        <v>2705</v>
      </c>
      <c r="T1417" s="152" t="s">
        <v>2705</v>
      </c>
      <c r="U1417" s="152" t="s">
        <v>2675</v>
      </c>
    </row>
    <row r="1418" spans="1:21" s="142" customFormat="1" ht="12.75" x14ac:dyDescent="0.2">
      <c r="A1418" s="151"/>
      <c r="B1418" s="152" t="s">
        <v>2397</v>
      </c>
      <c r="C1418" s="152" t="s">
        <v>1435</v>
      </c>
      <c r="D1418" s="152" t="s">
        <v>2705</v>
      </c>
      <c r="E1418" s="152" t="s">
        <v>2705</v>
      </c>
      <c r="F1418" s="152" t="s">
        <v>2705</v>
      </c>
      <c r="G1418" s="152" t="s">
        <v>2705</v>
      </c>
      <c r="H1418" s="152" t="s">
        <v>2675</v>
      </c>
      <c r="I1418" s="152" t="s">
        <v>2398</v>
      </c>
      <c r="J1418" s="152" t="s">
        <v>2705</v>
      </c>
      <c r="K1418" s="152" t="s">
        <v>2705</v>
      </c>
      <c r="L1418" s="152" t="s">
        <v>2705</v>
      </c>
      <c r="M1418" s="152" t="s">
        <v>2705</v>
      </c>
      <c r="N1418" s="152" t="s">
        <v>2705</v>
      </c>
      <c r="O1418" s="152" t="s">
        <v>2705</v>
      </c>
      <c r="P1418" s="152" t="s">
        <v>2398</v>
      </c>
      <c r="Q1418" s="152" t="s">
        <v>2705</v>
      </c>
      <c r="R1418" s="152" t="s">
        <v>2705</v>
      </c>
      <c r="S1418" s="152" t="s">
        <v>2675</v>
      </c>
      <c r="T1418" s="152" t="s">
        <v>2705</v>
      </c>
      <c r="U1418" s="152" t="s">
        <v>2398</v>
      </c>
    </row>
  </sheetData>
  <mergeCells count="1">
    <mergeCell ref="B4:C4"/>
  </mergeCells>
  <pageMargins left="0.39370077848434448" right="0.39370077848434448" top="0.39370077848434448" bottom="0.39370077848434448" header="0" footer="0"/>
  <pageSetup paperSize="9" orientation="landscape" horizontalDpi="0" verticalDpi="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1954E-BA57-426F-B4A1-A8E43838DE50}">
  <dimension ref="B2:J51"/>
  <sheetViews>
    <sheetView workbookViewId="0"/>
  </sheetViews>
  <sheetFormatPr defaultRowHeight="14.25" x14ac:dyDescent="0.2"/>
  <cols>
    <col min="1" max="1" width="13.125" customWidth="1"/>
    <col min="2" max="2" width="34.75" bestFit="1" customWidth="1"/>
    <col min="3" max="3" width="29.875" customWidth="1"/>
    <col min="4" max="4" width="14.75" style="332" bestFit="1" customWidth="1"/>
    <col min="5" max="5" width="16.5" style="159" customWidth="1"/>
    <col min="6" max="7" width="11.625" customWidth="1"/>
    <col min="8" max="8" width="18.25" customWidth="1"/>
    <col min="9" max="9" width="16" customWidth="1"/>
    <col min="10" max="10" width="11.75" customWidth="1"/>
    <col min="11" max="11" width="43.125" bestFit="1" customWidth="1"/>
    <col min="12" max="12" width="10.125" customWidth="1"/>
    <col min="13" max="13" width="30.75" customWidth="1"/>
    <col min="14" max="14" width="6.375" customWidth="1"/>
  </cols>
  <sheetData>
    <row r="2" spans="2:8" ht="17.25" thickBot="1" x14ac:dyDescent="0.3">
      <c r="B2" s="337" t="s">
        <v>8547</v>
      </c>
      <c r="C2" s="115"/>
      <c r="D2" s="338"/>
    </row>
    <row r="3" spans="2:8" ht="15" thickTop="1" x14ac:dyDescent="0.2"/>
    <row r="4" spans="2:8" x14ac:dyDescent="0.2">
      <c r="E4" s="348" t="s">
        <v>8575</v>
      </c>
    </row>
    <row r="5" spans="2:8" x14ac:dyDescent="0.2">
      <c r="E5" s="348" t="s">
        <v>8574</v>
      </c>
      <c r="H5" s="368" t="s">
        <v>8579</v>
      </c>
    </row>
    <row r="6" spans="2:8" x14ac:dyDescent="0.2">
      <c r="E6" s="348" t="s">
        <v>8576</v>
      </c>
      <c r="H6" s="368" t="s">
        <v>8580</v>
      </c>
    </row>
    <row r="8" spans="2:8" ht="15" x14ac:dyDescent="0.25">
      <c r="B8" s="113" t="s">
        <v>8546</v>
      </c>
      <c r="C8" s="113" t="s">
        <v>8552</v>
      </c>
      <c r="D8" s="336" t="s">
        <v>8545</v>
      </c>
      <c r="E8" s="336" t="s">
        <v>8544</v>
      </c>
      <c r="F8" s="336" t="s">
        <v>8543</v>
      </c>
      <c r="H8" s="349" t="s">
        <v>8578</v>
      </c>
    </row>
    <row r="9" spans="2:8" x14ac:dyDescent="0.2">
      <c r="B9" t="s">
        <v>8380</v>
      </c>
      <c r="C9" t="s">
        <v>8272</v>
      </c>
      <c r="D9" s="335">
        <v>156086.84999999998</v>
      </c>
      <c r="E9" s="334"/>
      <c r="F9" s="333"/>
      <c r="H9" s="379"/>
    </row>
    <row r="10" spans="2:8" ht="15" x14ac:dyDescent="0.25">
      <c r="B10" t="s">
        <v>8306</v>
      </c>
      <c r="C10" t="s">
        <v>8272</v>
      </c>
      <c r="D10" s="335">
        <v>27593.1</v>
      </c>
      <c r="E10" s="334"/>
      <c r="F10" s="333"/>
      <c r="H10" s="349" t="s">
        <v>8581</v>
      </c>
    </row>
    <row r="11" spans="2:8" x14ac:dyDescent="0.2">
      <c r="B11" t="s">
        <v>8276</v>
      </c>
      <c r="C11" t="s">
        <v>8272</v>
      </c>
      <c r="D11" s="335">
        <v>19359.86</v>
      </c>
      <c r="E11" s="334"/>
      <c r="F11" s="333"/>
      <c r="H11" s="379"/>
    </row>
    <row r="12" spans="2:8" x14ac:dyDescent="0.2">
      <c r="B12" t="s">
        <v>8317</v>
      </c>
      <c r="C12" t="s">
        <v>8254</v>
      </c>
      <c r="D12" s="335">
        <v>19087.899999999998</v>
      </c>
      <c r="E12" s="334"/>
      <c r="F12" s="333"/>
    </row>
    <row r="13" spans="2:8" x14ac:dyDescent="0.2">
      <c r="B13" t="s">
        <v>8409</v>
      </c>
      <c r="C13" t="s">
        <v>8254</v>
      </c>
      <c r="D13" s="335">
        <v>16994.55</v>
      </c>
      <c r="E13" s="334"/>
      <c r="F13" s="333"/>
    </row>
    <row r="14" spans="2:8" x14ac:dyDescent="0.2">
      <c r="B14" t="s">
        <v>8253</v>
      </c>
      <c r="C14" t="s">
        <v>8254</v>
      </c>
      <c r="D14" s="335">
        <v>14901.049999999996</v>
      </c>
      <c r="E14" s="334"/>
      <c r="F14" s="333"/>
    </row>
    <row r="15" spans="2:8" x14ac:dyDescent="0.2">
      <c r="B15" t="s">
        <v>8291</v>
      </c>
      <c r="C15" t="s">
        <v>8262</v>
      </c>
      <c r="D15" s="335">
        <v>61470.080000000002</v>
      </c>
      <c r="E15" s="334"/>
      <c r="F15" s="333"/>
    </row>
    <row r="16" spans="2:8" x14ac:dyDescent="0.2">
      <c r="B16" t="s">
        <v>8260</v>
      </c>
      <c r="C16" t="s">
        <v>8262</v>
      </c>
      <c r="D16" s="335">
        <v>26410.859999999997</v>
      </c>
      <c r="E16" s="334"/>
      <c r="F16" s="333"/>
    </row>
    <row r="17" spans="2:6" x14ac:dyDescent="0.2">
      <c r="B17" t="s">
        <v>8372</v>
      </c>
      <c r="C17" t="s">
        <v>8262</v>
      </c>
      <c r="D17" s="335">
        <v>22093.279999999999</v>
      </c>
      <c r="E17" s="334"/>
      <c r="F17" s="333"/>
    </row>
    <row r="18" spans="2:6" x14ac:dyDescent="0.2">
      <c r="B18" t="s">
        <v>8281</v>
      </c>
      <c r="C18" t="s">
        <v>8237</v>
      </c>
      <c r="D18" s="335">
        <v>80828</v>
      </c>
      <c r="E18" s="334"/>
      <c r="F18" s="333"/>
    </row>
    <row r="19" spans="2:6" x14ac:dyDescent="0.2">
      <c r="B19" t="s">
        <v>8268</v>
      </c>
      <c r="C19" t="s">
        <v>8237</v>
      </c>
      <c r="D19" s="335">
        <v>53276.979999999996</v>
      </c>
      <c r="E19" s="334"/>
      <c r="F19" s="333"/>
    </row>
    <row r="20" spans="2:6" x14ac:dyDescent="0.2">
      <c r="B20" t="s">
        <v>8235</v>
      </c>
      <c r="C20" t="s">
        <v>8237</v>
      </c>
      <c r="D20" s="335">
        <v>30813.729999999992</v>
      </c>
      <c r="E20" s="334"/>
      <c r="F20" s="333"/>
    </row>
    <row r="21" spans="2:6" x14ac:dyDescent="0.2">
      <c r="B21" t="s">
        <v>8341</v>
      </c>
      <c r="C21" t="s">
        <v>8244</v>
      </c>
      <c r="D21" s="335">
        <v>52427.459999999992</v>
      </c>
      <c r="E21" s="334"/>
      <c r="F21" s="333"/>
    </row>
    <row r="22" spans="2:6" x14ac:dyDescent="0.2">
      <c r="B22" t="s">
        <v>8340</v>
      </c>
      <c r="C22" t="s">
        <v>8244</v>
      </c>
      <c r="D22" s="335">
        <v>25249.71</v>
      </c>
      <c r="E22" s="334"/>
      <c r="F22" s="333"/>
    </row>
    <row r="23" spans="2:6" x14ac:dyDescent="0.2">
      <c r="B23" t="s">
        <v>8243</v>
      </c>
      <c r="C23" t="s">
        <v>8244</v>
      </c>
      <c r="D23" s="335">
        <v>10354.4</v>
      </c>
      <c r="E23" s="334"/>
      <c r="F23" s="333"/>
    </row>
    <row r="24" spans="2:6" x14ac:dyDescent="0.2">
      <c r="B24" t="s">
        <v>8542</v>
      </c>
      <c r="C24" t="s">
        <v>8577</v>
      </c>
      <c r="D24" s="335">
        <v>98293.430000000008</v>
      </c>
      <c r="E24" s="334"/>
      <c r="F24" s="333"/>
    </row>
    <row r="25" spans="2:6" x14ac:dyDescent="0.2">
      <c r="B25" t="s">
        <v>8541</v>
      </c>
      <c r="C25" t="s">
        <v>8577</v>
      </c>
      <c r="D25" s="335">
        <v>43647.62999999999</v>
      </c>
      <c r="E25" s="334"/>
      <c r="F25" s="333"/>
    </row>
    <row r="26" spans="2:6" x14ac:dyDescent="0.2">
      <c r="B26" t="s">
        <v>8540</v>
      </c>
      <c r="C26" t="s">
        <v>8577</v>
      </c>
      <c r="D26" s="335">
        <v>25838.570000000003</v>
      </c>
      <c r="E26" s="334"/>
      <c r="F26" s="333"/>
    </row>
    <row r="27" spans="2:6" x14ac:dyDescent="0.2">
      <c r="B27" t="s">
        <v>8245</v>
      </c>
      <c r="C27" t="s">
        <v>8247</v>
      </c>
      <c r="D27" s="335">
        <v>47384.65</v>
      </c>
      <c r="E27" s="334"/>
      <c r="F27" s="333"/>
    </row>
    <row r="28" spans="2:6" x14ac:dyDescent="0.2">
      <c r="B28" t="s">
        <v>8316</v>
      </c>
      <c r="C28" t="s">
        <v>8247</v>
      </c>
      <c r="D28" s="335">
        <v>27681.200000000008</v>
      </c>
      <c r="E28" s="334"/>
      <c r="F28" s="333"/>
    </row>
    <row r="29" spans="2:6" x14ac:dyDescent="0.2">
      <c r="B29" t="s">
        <v>8415</v>
      </c>
      <c r="C29" t="s">
        <v>8247</v>
      </c>
      <c r="D29" s="335">
        <v>27224.1</v>
      </c>
      <c r="E29" s="334"/>
      <c r="F29" s="333"/>
    </row>
    <row r="30" spans="2:6" x14ac:dyDescent="0.2">
      <c r="B30" t="s">
        <v>8539</v>
      </c>
      <c r="C30" t="s">
        <v>8577</v>
      </c>
      <c r="D30" s="335">
        <v>37203.130000000005</v>
      </c>
      <c r="E30" s="334"/>
      <c r="F30" s="333"/>
    </row>
    <row r="31" spans="2:6" x14ac:dyDescent="0.2">
      <c r="B31" t="s">
        <v>8538</v>
      </c>
      <c r="C31" t="s">
        <v>8577</v>
      </c>
      <c r="D31" s="335">
        <v>27253.34</v>
      </c>
      <c r="E31" s="334"/>
      <c r="F31" s="333"/>
    </row>
    <row r="32" spans="2:6" x14ac:dyDescent="0.2">
      <c r="B32" t="s">
        <v>8537</v>
      </c>
      <c r="C32" t="s">
        <v>8577</v>
      </c>
      <c r="D32" s="335">
        <v>20890.48</v>
      </c>
      <c r="E32" s="334"/>
      <c r="F32" s="333"/>
    </row>
    <row r="36" spans="2:10" ht="17.25" thickBot="1" x14ac:dyDescent="0.3">
      <c r="B36" s="337" t="s">
        <v>8908</v>
      </c>
    </row>
    <row r="37" spans="2:10" ht="15" thickTop="1" x14ac:dyDescent="0.2"/>
    <row r="39" spans="2:10" ht="15" x14ac:dyDescent="0.25">
      <c r="B39" t="s">
        <v>8909</v>
      </c>
      <c r="C39" t="s">
        <v>8907</v>
      </c>
      <c r="D39" t="s">
        <v>8906</v>
      </c>
      <c r="E39" t="s">
        <v>3709</v>
      </c>
      <c r="F39" t="s">
        <v>2758</v>
      </c>
      <c r="G39" t="s">
        <v>8908</v>
      </c>
      <c r="I39" s="409" t="s">
        <v>8907</v>
      </c>
      <c r="J39" s="409" t="s">
        <v>8906</v>
      </c>
    </row>
    <row r="40" spans="2:10" x14ac:dyDescent="0.2">
      <c r="B40" t="s">
        <v>8905</v>
      </c>
      <c r="C40" s="407">
        <v>1500</v>
      </c>
      <c r="D40" s="407">
        <v>16</v>
      </c>
      <c r="E40" t="b">
        <f>OR(Table14[[#This Row],[HD]]&gt;=$I$40,Table14[[#This Row],[Memory]]&gt;=$J$40)</f>
        <v>1</v>
      </c>
      <c r="F40" t="b">
        <f>AND(Table14[[#This Row],[HD]]&gt;=$I$40,Table14[[#This Row],[Memory]]&gt;=$J$40)</f>
        <v>1</v>
      </c>
      <c r="G40" t="b">
        <f>_xlfn.XOR(Table14[[#This Row],[HD]]&gt;=$I$40,Table14[[#This Row],[Memory]]&gt;=$J$40)</f>
        <v>0</v>
      </c>
      <c r="I40" s="408">
        <v>750</v>
      </c>
      <c r="J40" s="408">
        <v>12</v>
      </c>
    </row>
    <row r="41" spans="2:10" x14ac:dyDescent="0.2">
      <c r="B41" t="s">
        <v>8904</v>
      </c>
      <c r="C41" s="407">
        <v>750</v>
      </c>
      <c r="D41" s="407">
        <v>10</v>
      </c>
      <c r="E41" t="b">
        <f>OR(Table14[[#This Row],[HD]]&gt;=$I$40,Table14[[#This Row],[Memory]]&gt;=$J$40)</f>
        <v>1</v>
      </c>
      <c r="F41" t="b">
        <f>AND(Table14[[#This Row],[HD]]&gt;=$I$40,Table14[[#This Row],[Memory]]&gt;=$J$40)</f>
        <v>0</v>
      </c>
      <c r="G41" t="b">
        <f>_xlfn.XOR(Table14[[#This Row],[HD]]&gt;=$I$40,Table14[[#This Row],[Memory]]&gt;=$J$40)</f>
        <v>1</v>
      </c>
    </row>
    <row r="42" spans="2:10" x14ac:dyDescent="0.2">
      <c r="B42" t="s">
        <v>8903</v>
      </c>
      <c r="C42" s="407">
        <v>1500</v>
      </c>
      <c r="D42" s="407">
        <v>4</v>
      </c>
      <c r="E42" t="b">
        <f>OR(Table14[[#This Row],[HD]]&gt;=$I$40,Table14[[#This Row],[Memory]]&gt;=$J$40)</f>
        <v>1</v>
      </c>
      <c r="F42" t="b">
        <f>AND(Table14[[#This Row],[HD]]&gt;=$I$40,Table14[[#This Row],[Memory]]&gt;=$J$40)</f>
        <v>0</v>
      </c>
      <c r="G42" t="b">
        <f>_xlfn.XOR(Table14[[#This Row],[HD]]&gt;=$I$40,Table14[[#This Row],[Memory]]&gt;=$J$40)</f>
        <v>1</v>
      </c>
    </row>
    <row r="43" spans="2:10" x14ac:dyDescent="0.2">
      <c r="B43" t="s">
        <v>8902</v>
      </c>
      <c r="C43" s="407">
        <v>500</v>
      </c>
      <c r="D43" s="407">
        <v>16</v>
      </c>
      <c r="E43" t="b">
        <f>OR(Table14[[#This Row],[HD]]&gt;=$I$40,Table14[[#This Row],[Memory]]&gt;=$J$40)</f>
        <v>1</v>
      </c>
      <c r="F43" t="b">
        <f>AND(Table14[[#This Row],[HD]]&gt;=$I$40,Table14[[#This Row],[Memory]]&gt;=$J$40)</f>
        <v>0</v>
      </c>
      <c r="G43" t="b">
        <f>_xlfn.XOR(Table14[[#This Row],[HD]]&gt;=$I$40,Table14[[#This Row],[Memory]]&gt;=$J$40)</f>
        <v>1</v>
      </c>
    </row>
    <row r="44" spans="2:10" x14ac:dyDescent="0.2">
      <c r="B44" t="s">
        <v>8901</v>
      </c>
      <c r="C44" s="407">
        <v>500</v>
      </c>
      <c r="D44" s="407">
        <v>4</v>
      </c>
      <c r="E44" t="b">
        <f>OR(Table14[[#This Row],[HD]]&gt;=$I$40,Table14[[#This Row],[Memory]]&gt;=$J$40)</f>
        <v>0</v>
      </c>
      <c r="F44" t="b">
        <f>AND(Table14[[#This Row],[HD]]&gt;=$I$40,Table14[[#This Row],[Memory]]&gt;=$J$40)</f>
        <v>0</v>
      </c>
      <c r="G44" t="b">
        <f>_xlfn.XOR(Table14[[#This Row],[HD]]&gt;=$I$40,Table14[[#This Row],[Memory]]&gt;=$J$40)</f>
        <v>0</v>
      </c>
    </row>
    <row r="45" spans="2:10" x14ac:dyDescent="0.2">
      <c r="B45" t="s">
        <v>8900</v>
      </c>
      <c r="C45" s="407">
        <v>2000</v>
      </c>
      <c r="D45" s="407">
        <v>8</v>
      </c>
      <c r="E45" t="b">
        <f>OR(Table14[[#This Row],[HD]]&gt;=$I$40,Table14[[#This Row],[Memory]]&gt;=$J$40)</f>
        <v>1</v>
      </c>
      <c r="F45" t="b">
        <f>AND(Table14[[#This Row],[HD]]&gt;=$I$40,Table14[[#This Row],[Memory]]&gt;=$J$40)</f>
        <v>0</v>
      </c>
      <c r="G45" t="b">
        <f>_xlfn.XOR(Table14[[#This Row],[HD]]&gt;=$I$40,Table14[[#This Row],[Memory]]&gt;=$J$40)</f>
        <v>1</v>
      </c>
    </row>
    <row r="46" spans="2:10" x14ac:dyDescent="0.2">
      <c r="B46" t="s">
        <v>8899</v>
      </c>
      <c r="C46" s="407">
        <v>2000</v>
      </c>
      <c r="D46" s="407">
        <v>8</v>
      </c>
      <c r="E46" t="b">
        <f>OR(Table14[[#This Row],[HD]]&gt;=$I$40,Table14[[#This Row],[Memory]]&gt;=$J$40)</f>
        <v>1</v>
      </c>
      <c r="F46" t="b">
        <f>AND(Table14[[#This Row],[HD]]&gt;=$I$40,Table14[[#This Row],[Memory]]&gt;=$J$40)</f>
        <v>0</v>
      </c>
      <c r="G46" t="b">
        <f>_xlfn.XOR(Table14[[#This Row],[HD]]&gt;=$I$40,Table14[[#This Row],[Memory]]&gt;=$J$40)</f>
        <v>1</v>
      </c>
    </row>
    <row r="47" spans="2:10" x14ac:dyDescent="0.2">
      <c r="B47" t="s">
        <v>8898</v>
      </c>
      <c r="C47" s="407">
        <v>1500</v>
      </c>
      <c r="D47" s="407">
        <v>12</v>
      </c>
      <c r="E47" t="b">
        <f>OR(Table14[[#This Row],[HD]]&gt;=$I$40,Table14[[#This Row],[Memory]]&gt;=$J$40)</f>
        <v>1</v>
      </c>
      <c r="F47" t="b">
        <f>AND(Table14[[#This Row],[HD]]&gt;=$I$40,Table14[[#This Row],[Memory]]&gt;=$J$40)</f>
        <v>1</v>
      </c>
      <c r="G47" t="b">
        <f>_xlfn.XOR(Table14[[#This Row],[HD]]&gt;=$I$40,Table14[[#This Row],[Memory]]&gt;=$J$40)</f>
        <v>0</v>
      </c>
    </row>
    <row r="48" spans="2:10" x14ac:dyDescent="0.2">
      <c r="B48" t="s">
        <v>8897</v>
      </c>
      <c r="C48" s="407">
        <v>1000</v>
      </c>
      <c r="D48" s="407">
        <v>16</v>
      </c>
      <c r="E48" t="b">
        <f>OR(Table14[[#This Row],[HD]]&gt;=$I$40,Table14[[#This Row],[Memory]]&gt;=$J$40)</f>
        <v>1</v>
      </c>
      <c r="F48" t="b">
        <f>AND(Table14[[#This Row],[HD]]&gt;=$I$40,Table14[[#This Row],[Memory]]&gt;=$J$40)</f>
        <v>1</v>
      </c>
      <c r="G48" t="b">
        <f>_xlfn.XOR(Table14[[#This Row],[HD]]&gt;=$I$40,Table14[[#This Row],[Memory]]&gt;=$J$40)</f>
        <v>0</v>
      </c>
    </row>
    <row r="49" spans="2:7" x14ac:dyDescent="0.2">
      <c r="B49" t="s">
        <v>8896</v>
      </c>
      <c r="C49" s="407">
        <v>1000</v>
      </c>
      <c r="D49" s="407">
        <v>4</v>
      </c>
      <c r="E49" t="b">
        <f>OR(Table14[[#This Row],[HD]]&gt;=$I$40,Table14[[#This Row],[Memory]]&gt;=$J$40)</f>
        <v>1</v>
      </c>
      <c r="F49" t="b">
        <f>AND(Table14[[#This Row],[HD]]&gt;=$I$40,Table14[[#This Row],[Memory]]&gt;=$J$40)</f>
        <v>0</v>
      </c>
      <c r="G49" t="b">
        <f>_xlfn.XOR(Table14[[#This Row],[HD]]&gt;=$I$40,Table14[[#This Row],[Memory]]&gt;=$J$40)</f>
        <v>1</v>
      </c>
    </row>
    <row r="50" spans="2:7" x14ac:dyDescent="0.2">
      <c r="D50"/>
      <c r="E50"/>
    </row>
    <row r="51" spans="2:7" x14ac:dyDescent="0.2">
      <c r="D51"/>
      <c r="E51"/>
    </row>
  </sheetData>
  <conditionalFormatting sqref="G40:G49">
    <cfRule type="expression" dxfId="17" priority="1">
      <formula>$G40&lt;&gt;$E40</formula>
    </cfRule>
  </conditionalFormatting>
  <pageMargins left="0.7" right="0.7" top="0.75" bottom="0.75" header="0.3" footer="0.3"/>
  <pageSetup paperSize="9" orientation="portrait" horizontalDpi="1200" verticalDpi="12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D515-9D90-45E7-814B-BC062F1A8CFE}">
  <dimension ref="B2:H32"/>
  <sheetViews>
    <sheetView workbookViewId="0">
      <selection activeCell="I31" sqref="I31"/>
    </sheetView>
  </sheetViews>
  <sheetFormatPr defaultRowHeight="14.25" x14ac:dyDescent="0.2"/>
  <cols>
    <col min="1" max="1" width="13.125" customWidth="1"/>
    <col min="2" max="2" width="32.75" customWidth="1"/>
    <col min="3" max="3" width="29.875" customWidth="1"/>
    <col min="4" max="4" width="14.75" style="332" bestFit="1" customWidth="1"/>
    <col min="5" max="5" width="16.5" style="159" customWidth="1"/>
    <col min="6" max="7" width="11.625" customWidth="1"/>
    <col min="8" max="8" width="18.25" customWidth="1"/>
    <col min="9" max="9" width="16" customWidth="1"/>
    <col min="10" max="10" width="11.75" customWidth="1"/>
    <col min="11" max="11" width="43.125" bestFit="1" customWidth="1"/>
    <col min="12" max="12" width="10.125" customWidth="1"/>
    <col min="13" max="13" width="30.75" customWidth="1"/>
    <col min="14" max="14" width="6.375" customWidth="1"/>
  </cols>
  <sheetData>
    <row r="2" spans="2:8" ht="17.25" thickBot="1" x14ac:dyDescent="0.3">
      <c r="B2" s="337" t="s">
        <v>8547</v>
      </c>
      <c r="C2" s="115"/>
      <c r="D2" s="338"/>
    </row>
    <row r="3" spans="2:8" ht="15" thickTop="1" x14ac:dyDescent="0.2"/>
    <row r="4" spans="2:8" x14ac:dyDescent="0.2">
      <c r="E4" s="348" t="s">
        <v>8575</v>
      </c>
    </row>
    <row r="5" spans="2:8" x14ac:dyDescent="0.2">
      <c r="E5" s="348" t="s">
        <v>8574</v>
      </c>
      <c r="H5" t="s">
        <v>8579</v>
      </c>
    </row>
    <row r="6" spans="2:8" x14ac:dyDescent="0.2">
      <c r="E6" s="348" t="s">
        <v>8576</v>
      </c>
      <c r="H6" t="s">
        <v>8580</v>
      </c>
    </row>
    <row r="8" spans="2:8" ht="15" x14ac:dyDescent="0.25">
      <c r="B8" s="113" t="s">
        <v>8546</v>
      </c>
      <c r="C8" s="113" t="s">
        <v>8552</v>
      </c>
      <c r="D8" s="336" t="s">
        <v>8545</v>
      </c>
      <c r="E8" s="336" t="s">
        <v>8544</v>
      </c>
      <c r="F8" s="336" t="s">
        <v>8543</v>
      </c>
      <c r="H8" s="349" t="s">
        <v>8578</v>
      </c>
    </row>
    <row r="9" spans="2:8" x14ac:dyDescent="0.2">
      <c r="B9" t="s">
        <v>8380</v>
      </c>
      <c r="C9" t="s">
        <v>8272</v>
      </c>
      <c r="D9" s="335">
        <v>156086.84999999998</v>
      </c>
      <c r="E9" s="334" t="str" cm="1">
        <f t="array" ref="E9">_xlfn.IFS(D9&gt;=100000,"A",D9&gt;=50000,"B",TRUE,"C")</f>
        <v>A</v>
      </c>
      <c r="F9" s="333" t="str" cm="1">
        <f t="array" ref="F9">_xlfn.SWITCH(_xlfn.IFS(D9&gt;=100000,"A",D9&gt;=50000,"B",TRUE,"C"),"A","Cat A","B","Cat B","C","Cat C")</f>
        <v>Cat A</v>
      </c>
      <c r="H9" s="335">
        <f>_xlfn.MAXIFS($D$9:$D$32,$C$9:$C$32,"&lt;&gt;meat*",$C$9:$C$32,"&lt;&gt;bev*")</f>
        <v>80828</v>
      </c>
    </row>
    <row r="10" spans="2:8" ht="15" x14ac:dyDescent="0.25">
      <c r="B10" t="s">
        <v>8306</v>
      </c>
      <c r="C10" t="s">
        <v>8272</v>
      </c>
      <c r="D10" s="335">
        <v>27593.1</v>
      </c>
      <c r="E10" s="334" t="str" cm="1">
        <f t="array" ref="E10">_xlfn.IFS(D10&gt;=100000,"A",D10&gt;=50000,"B",TRUE,"C")</f>
        <v>C</v>
      </c>
      <c r="F10" s="333" t="str" cm="1">
        <f t="array" ref="F10">_xlfn.SWITCH(_xlfn.IFS(D10&gt;=100000,"A",D10&gt;=50000,"B",TRUE,"C"),"A","Cat A","B","Cat B","C","Cat C")</f>
        <v>Cat C</v>
      </c>
      <c r="H10" s="349" t="s">
        <v>8581</v>
      </c>
    </row>
    <row r="11" spans="2:8" x14ac:dyDescent="0.2">
      <c r="B11" t="s">
        <v>8276</v>
      </c>
      <c r="C11" t="s">
        <v>8272</v>
      </c>
      <c r="D11" s="335">
        <v>19359.86</v>
      </c>
      <c r="E11" s="334" t="str" cm="1">
        <f t="array" ref="E11">_xlfn.IFS(D11&gt;=100000,"A",D11&gt;=50000,"B",TRUE,"C")</f>
        <v>C</v>
      </c>
      <c r="F11" s="333" t="str" cm="1">
        <f t="array" ref="F11">_xlfn.SWITCH(_xlfn.IFS(D11&gt;=100000,"A",D11&gt;=50000,"B",TRUE,"C"),"A","Cat A","B","Cat B","C","Cat C")</f>
        <v>Cat C</v>
      </c>
      <c r="H11" s="335">
        <f>_xlfn.MINIFS($D$9:$D$32,$C$9:$C$32,"&lt;&gt;meat*",$C$9:$C$32,"&lt;&gt;bev*")</f>
        <v>10354.4</v>
      </c>
    </row>
    <row r="12" spans="2:8" x14ac:dyDescent="0.2">
      <c r="B12" t="s">
        <v>8317</v>
      </c>
      <c r="C12" t="s">
        <v>8254</v>
      </c>
      <c r="D12" s="335">
        <v>19087.899999999998</v>
      </c>
      <c r="E12" s="334" t="str" cm="1">
        <f t="array" ref="E12">_xlfn.IFS(D12&gt;=100000,"A",D12&gt;=50000,"B",TRUE,"C")</f>
        <v>C</v>
      </c>
      <c r="F12" s="333" t="str" cm="1">
        <f t="array" ref="F12">_xlfn.SWITCH(_xlfn.IFS(D12&gt;=100000,"A",D12&gt;=50000,"B",TRUE,"C"),"A","Cat A","B","Cat B","C","Cat C")</f>
        <v>Cat C</v>
      </c>
    </row>
    <row r="13" spans="2:8" x14ac:dyDescent="0.2">
      <c r="B13" t="s">
        <v>8409</v>
      </c>
      <c r="C13" t="s">
        <v>8254</v>
      </c>
      <c r="D13" s="335">
        <v>16994.55</v>
      </c>
      <c r="E13" s="334" t="str" cm="1">
        <f t="array" ref="E13">_xlfn.IFS(D13&gt;=100000,"A",D13&gt;=50000,"B",TRUE,"C")</f>
        <v>C</v>
      </c>
      <c r="F13" s="333" t="str" cm="1">
        <f t="array" ref="F13">_xlfn.SWITCH(_xlfn.IFS(D13&gt;=100000,"A",D13&gt;=50000,"B",TRUE,"C"),"A","Cat A","B","Cat B","C","Cat C")</f>
        <v>Cat C</v>
      </c>
    </row>
    <row r="14" spans="2:8" x14ac:dyDescent="0.2">
      <c r="B14" t="s">
        <v>8253</v>
      </c>
      <c r="C14" t="s">
        <v>8254</v>
      </c>
      <c r="D14" s="335">
        <v>14901.049999999996</v>
      </c>
      <c r="E14" s="334" t="str" cm="1">
        <f t="array" ref="E14">_xlfn.IFS(D14&gt;=100000,"A",D14&gt;=50000,"B",TRUE,"C")</f>
        <v>C</v>
      </c>
      <c r="F14" s="333" t="str" cm="1">
        <f t="array" ref="F14">_xlfn.SWITCH(_xlfn.IFS(D14&gt;=100000,"A",D14&gt;=50000,"B",TRUE,"C"),"A","Cat A","B","Cat B","C","Cat C")</f>
        <v>Cat C</v>
      </c>
    </row>
    <row r="15" spans="2:8" x14ac:dyDescent="0.2">
      <c r="B15" t="s">
        <v>8291</v>
      </c>
      <c r="C15" t="s">
        <v>8262</v>
      </c>
      <c r="D15" s="335">
        <v>61470.080000000002</v>
      </c>
      <c r="E15" s="334" t="str" cm="1">
        <f t="array" ref="E15">_xlfn.IFS(D15&gt;=100000,"A",D15&gt;=50000,"B",TRUE,"C")</f>
        <v>B</v>
      </c>
      <c r="F15" s="333" t="str" cm="1">
        <f t="array" ref="F15">_xlfn.SWITCH(_xlfn.IFS(D15&gt;=100000,"A",D15&gt;=50000,"B",TRUE,"C"),"A","Cat A","B","Cat B","C","Cat C")</f>
        <v>Cat B</v>
      </c>
    </row>
    <row r="16" spans="2:8" x14ac:dyDescent="0.2">
      <c r="B16" t="s">
        <v>8260</v>
      </c>
      <c r="C16" t="s">
        <v>8262</v>
      </c>
      <c r="D16" s="335">
        <v>26410.859999999997</v>
      </c>
      <c r="E16" s="334" t="str" cm="1">
        <f t="array" ref="E16">_xlfn.IFS(D16&gt;=100000,"A",D16&gt;=50000,"B",TRUE,"C")</f>
        <v>C</v>
      </c>
      <c r="F16" s="333" t="str" cm="1">
        <f t="array" ref="F16">_xlfn.SWITCH(_xlfn.IFS(D16&gt;=100000,"A",D16&gt;=50000,"B",TRUE,"C"),"A","Cat A","B","Cat B","C","Cat C")</f>
        <v>Cat C</v>
      </c>
    </row>
    <row r="17" spans="2:6" x14ac:dyDescent="0.2">
      <c r="B17" t="s">
        <v>8372</v>
      </c>
      <c r="C17" t="s">
        <v>8262</v>
      </c>
      <c r="D17" s="335">
        <v>22093.279999999999</v>
      </c>
      <c r="E17" s="334" t="str" cm="1">
        <f t="array" ref="E17">_xlfn.IFS(D17&gt;=100000,"A",D17&gt;=50000,"B",TRUE,"C")</f>
        <v>C</v>
      </c>
      <c r="F17" s="333" t="str" cm="1">
        <f t="array" ref="F17">_xlfn.SWITCH(_xlfn.IFS(D17&gt;=100000,"A",D17&gt;=50000,"B",TRUE,"C"),"A","Cat A","B","Cat B","C","Cat C")</f>
        <v>Cat C</v>
      </c>
    </row>
    <row r="18" spans="2:6" x14ac:dyDescent="0.2">
      <c r="B18" t="s">
        <v>8281</v>
      </c>
      <c r="C18" t="s">
        <v>8237</v>
      </c>
      <c r="D18" s="335">
        <v>80828</v>
      </c>
      <c r="E18" s="334" t="str" cm="1">
        <f t="array" ref="E18">_xlfn.IFS(D18&gt;=100000,"A",D18&gt;=50000,"B",TRUE,"C")</f>
        <v>B</v>
      </c>
      <c r="F18" s="333" t="str" cm="1">
        <f t="array" ref="F18">_xlfn.SWITCH(_xlfn.IFS(D18&gt;=100000,"A",D18&gt;=50000,"B",TRUE,"C"),"A","Cat A","B","Cat B","C","Cat C")</f>
        <v>Cat B</v>
      </c>
    </row>
    <row r="19" spans="2:6" x14ac:dyDescent="0.2">
      <c r="B19" t="s">
        <v>8268</v>
      </c>
      <c r="C19" t="s">
        <v>8237</v>
      </c>
      <c r="D19" s="335">
        <v>53276.979999999996</v>
      </c>
      <c r="E19" s="334" t="str" cm="1">
        <f t="array" ref="E19">_xlfn.IFS(D19&gt;=100000,"A",D19&gt;=50000,"B",TRUE,"C")</f>
        <v>B</v>
      </c>
      <c r="F19" s="333" t="str" cm="1">
        <f t="array" ref="F19">_xlfn.SWITCH(_xlfn.IFS(D19&gt;=100000,"A",D19&gt;=50000,"B",TRUE,"C"),"A","Cat A","B","Cat B","C","Cat C")</f>
        <v>Cat B</v>
      </c>
    </row>
    <row r="20" spans="2:6" x14ac:dyDescent="0.2">
      <c r="B20" t="s">
        <v>8235</v>
      </c>
      <c r="C20" t="s">
        <v>8237</v>
      </c>
      <c r="D20" s="335">
        <v>30813.729999999992</v>
      </c>
      <c r="E20" s="334" t="str" cm="1">
        <f t="array" ref="E20">_xlfn.IFS(D20&gt;=100000,"A",D20&gt;=50000,"B",TRUE,"C")</f>
        <v>C</v>
      </c>
      <c r="F20" s="333" t="str" cm="1">
        <f t="array" ref="F20">_xlfn.SWITCH(_xlfn.IFS(D20&gt;=100000,"A",D20&gt;=50000,"B",TRUE,"C"),"A","Cat A","B","Cat B","C","Cat C")</f>
        <v>Cat C</v>
      </c>
    </row>
    <row r="21" spans="2:6" x14ac:dyDescent="0.2">
      <c r="B21" t="s">
        <v>8341</v>
      </c>
      <c r="C21" t="s">
        <v>8244</v>
      </c>
      <c r="D21" s="335">
        <v>52427.459999999992</v>
      </c>
      <c r="E21" s="334" t="str" cm="1">
        <f t="array" ref="E21">_xlfn.IFS(D21&gt;=100000,"A",D21&gt;=50000,"B",TRUE,"C")</f>
        <v>B</v>
      </c>
      <c r="F21" s="333" t="str" cm="1">
        <f t="array" ref="F21">_xlfn.SWITCH(_xlfn.IFS(D21&gt;=100000,"A",D21&gt;=50000,"B",TRUE,"C"),"A","Cat A","B","Cat B","C","Cat C")</f>
        <v>Cat B</v>
      </c>
    </row>
    <row r="22" spans="2:6" x14ac:dyDescent="0.2">
      <c r="B22" t="s">
        <v>8340</v>
      </c>
      <c r="C22" t="s">
        <v>8244</v>
      </c>
      <c r="D22" s="335">
        <v>25249.71</v>
      </c>
      <c r="E22" s="334" t="str" cm="1">
        <f t="array" ref="E22">_xlfn.IFS(D22&gt;=100000,"A",D22&gt;=50000,"B",TRUE,"C")</f>
        <v>C</v>
      </c>
      <c r="F22" s="333" t="str" cm="1">
        <f t="array" ref="F22">_xlfn.SWITCH(_xlfn.IFS(D22&gt;=100000,"A",D22&gt;=50000,"B",TRUE,"C"),"A","Cat A","B","Cat B","C","Cat C")</f>
        <v>Cat C</v>
      </c>
    </row>
    <row r="23" spans="2:6" x14ac:dyDescent="0.2">
      <c r="B23" t="s">
        <v>8243</v>
      </c>
      <c r="C23" t="s">
        <v>8244</v>
      </c>
      <c r="D23" s="335">
        <v>10354.4</v>
      </c>
      <c r="E23" s="334" t="str" cm="1">
        <f t="array" ref="E23">_xlfn.IFS(D23&gt;=100000,"A",D23&gt;=50000,"B",TRUE,"C")</f>
        <v>C</v>
      </c>
      <c r="F23" s="333" t="str" cm="1">
        <f t="array" ref="F23">_xlfn.SWITCH(_xlfn.IFS(D23&gt;=100000,"A",D23&gt;=50000,"B",TRUE,"C"),"A","Cat A","B","Cat B","C","Cat C")</f>
        <v>Cat C</v>
      </c>
    </row>
    <row r="24" spans="2:6" x14ac:dyDescent="0.2">
      <c r="B24" t="s">
        <v>8542</v>
      </c>
      <c r="C24" t="s">
        <v>8577</v>
      </c>
      <c r="D24" s="335">
        <v>98293.430000000008</v>
      </c>
      <c r="E24" s="334" t="str" cm="1">
        <f t="array" ref="E24">_xlfn.IFS(D24&gt;=100000,"A",D24&gt;=50000,"B",TRUE,"C")</f>
        <v>B</v>
      </c>
      <c r="F24" s="333" t="str" cm="1">
        <f t="array" ref="F24">_xlfn.SWITCH(_xlfn.IFS(D24&gt;=100000,"A",D24&gt;=50000,"B",TRUE,"C"),"A","Cat A","B","Cat B","C","Cat C")</f>
        <v>Cat B</v>
      </c>
    </row>
    <row r="25" spans="2:6" x14ac:dyDescent="0.2">
      <c r="B25" t="s">
        <v>8541</v>
      </c>
      <c r="C25" t="s">
        <v>8577</v>
      </c>
      <c r="D25" s="335">
        <v>43647.62999999999</v>
      </c>
      <c r="E25" s="334" t="str" cm="1">
        <f t="array" ref="E25">_xlfn.IFS(D25&gt;=100000,"A",D25&gt;=50000,"B",TRUE,"C")</f>
        <v>C</v>
      </c>
      <c r="F25" s="333" t="str" cm="1">
        <f t="array" ref="F25">_xlfn.SWITCH(_xlfn.IFS(D25&gt;=100000,"A",D25&gt;=50000,"B",TRUE,"C"),"A","Cat A","B","Cat B","C","Cat C")</f>
        <v>Cat C</v>
      </c>
    </row>
    <row r="26" spans="2:6" x14ac:dyDescent="0.2">
      <c r="B26" t="s">
        <v>8540</v>
      </c>
      <c r="C26" t="s">
        <v>8577</v>
      </c>
      <c r="D26" s="335">
        <v>25838.570000000003</v>
      </c>
      <c r="E26" s="334" t="str" cm="1">
        <f t="array" ref="E26">_xlfn.IFS(D26&gt;=100000,"A",D26&gt;=50000,"B",TRUE,"C")</f>
        <v>C</v>
      </c>
      <c r="F26" s="333" t="str" cm="1">
        <f t="array" ref="F26">_xlfn.SWITCH(_xlfn.IFS(D26&gt;=100000,"A",D26&gt;=50000,"B",TRUE,"C"),"A","Cat A","B","Cat B","C","Cat C")</f>
        <v>Cat C</v>
      </c>
    </row>
    <row r="27" spans="2:6" x14ac:dyDescent="0.2">
      <c r="B27" t="s">
        <v>8245</v>
      </c>
      <c r="C27" t="s">
        <v>8247</v>
      </c>
      <c r="D27" s="335">
        <v>47384.65</v>
      </c>
      <c r="E27" s="334" t="str" cm="1">
        <f t="array" ref="E27">_xlfn.IFS(D27&gt;=100000,"A",D27&gt;=50000,"B",TRUE,"C")</f>
        <v>C</v>
      </c>
      <c r="F27" s="333" t="str" cm="1">
        <f t="array" ref="F27">_xlfn.SWITCH(_xlfn.IFS(D27&gt;=100000,"A",D27&gt;=50000,"B",TRUE,"C"),"A","Cat A","B","Cat B","C","Cat C")</f>
        <v>Cat C</v>
      </c>
    </row>
    <row r="28" spans="2:6" x14ac:dyDescent="0.2">
      <c r="B28" t="s">
        <v>8316</v>
      </c>
      <c r="C28" t="s">
        <v>8247</v>
      </c>
      <c r="D28" s="335">
        <v>27681.200000000008</v>
      </c>
      <c r="E28" s="334" t="str" cm="1">
        <f t="array" ref="E28">_xlfn.IFS(D28&gt;=100000,"A",D28&gt;=50000,"B",TRUE,"C")</f>
        <v>C</v>
      </c>
      <c r="F28" s="333" t="str" cm="1">
        <f t="array" ref="F28">_xlfn.SWITCH(_xlfn.IFS(D28&gt;=100000,"A",D28&gt;=50000,"B",TRUE,"C"),"A","Cat A","B","Cat B","C","Cat C")</f>
        <v>Cat C</v>
      </c>
    </row>
    <row r="29" spans="2:6" x14ac:dyDescent="0.2">
      <c r="B29" t="s">
        <v>8415</v>
      </c>
      <c r="C29" t="s">
        <v>8247</v>
      </c>
      <c r="D29" s="335">
        <v>27224.1</v>
      </c>
      <c r="E29" s="334" t="str" cm="1">
        <f t="array" ref="E29">_xlfn.IFS(D29&gt;=100000,"A",D29&gt;=50000,"B",TRUE,"C")</f>
        <v>C</v>
      </c>
      <c r="F29" s="333" t="str" cm="1">
        <f t="array" ref="F29">_xlfn.SWITCH(_xlfn.IFS(D29&gt;=100000,"A",D29&gt;=50000,"B",TRUE,"C"),"A","Cat A","B","Cat B","C","Cat C")</f>
        <v>Cat C</v>
      </c>
    </row>
    <row r="30" spans="2:6" x14ac:dyDescent="0.2">
      <c r="B30" t="s">
        <v>8539</v>
      </c>
      <c r="C30" t="s">
        <v>8577</v>
      </c>
      <c r="D30" s="335">
        <v>37203.130000000005</v>
      </c>
      <c r="E30" s="334" t="str" cm="1">
        <f t="array" ref="E30">_xlfn.IFS(D30&gt;=100000,"A",D30&gt;=50000,"B",TRUE,"C")</f>
        <v>C</v>
      </c>
      <c r="F30" s="333" t="str" cm="1">
        <f t="array" ref="F30">_xlfn.SWITCH(_xlfn.IFS(D30&gt;=100000,"A",D30&gt;=50000,"B",TRUE,"C"),"A","Cat A","B","Cat B","C","Cat C")</f>
        <v>Cat C</v>
      </c>
    </row>
    <row r="31" spans="2:6" x14ac:dyDescent="0.2">
      <c r="B31" t="s">
        <v>8538</v>
      </c>
      <c r="C31" t="s">
        <v>8577</v>
      </c>
      <c r="D31" s="335">
        <v>27253.34</v>
      </c>
      <c r="E31" s="334" t="str" cm="1">
        <f t="array" ref="E31">_xlfn.IFS(D31&gt;=100000,"A",D31&gt;=50000,"B",TRUE,"C")</f>
        <v>C</v>
      </c>
      <c r="F31" s="333" t="str" cm="1">
        <f t="array" ref="F31">_xlfn.SWITCH(_xlfn.IFS(D31&gt;=100000,"A",D31&gt;=50000,"B",TRUE,"C"),"A","Cat A","B","Cat B","C","Cat C")</f>
        <v>Cat C</v>
      </c>
    </row>
    <row r="32" spans="2:6" x14ac:dyDescent="0.2">
      <c r="B32" t="s">
        <v>8537</v>
      </c>
      <c r="C32" t="s">
        <v>8577</v>
      </c>
      <c r="D32" s="335">
        <v>20890.48</v>
      </c>
      <c r="E32" s="334" t="str" cm="1">
        <f t="array" ref="E32">_xlfn.IFS(D32&gt;=100000,"A",D32&gt;=50000,"B",TRUE,"C")</f>
        <v>C</v>
      </c>
      <c r="F32" s="333" t="str" cm="1">
        <f t="array" ref="F32">_xlfn.SWITCH(_xlfn.IFS(D32&gt;=100000,"A",D32&gt;=50000,"B",TRUE,"C"),"A","Cat A","B","Cat B","C","Cat C")</f>
        <v>Cat C</v>
      </c>
    </row>
  </sheetData>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F5AF-B3F5-4E64-BE41-69426F256C20}">
  <dimension ref="B3:O124"/>
  <sheetViews>
    <sheetView showGridLines="0" workbookViewId="0"/>
  </sheetViews>
  <sheetFormatPr defaultRowHeight="14.25" x14ac:dyDescent="0.2"/>
  <cols>
    <col min="1" max="1" width="14.25" customWidth="1"/>
    <col min="2" max="2" width="19.625" customWidth="1"/>
    <col min="3" max="3" width="29.875" customWidth="1"/>
    <col min="4" max="4" width="12.875" customWidth="1"/>
    <col min="5" max="5" width="12.625" style="332" customWidth="1"/>
    <col min="6" max="6" width="16.5" style="159" customWidth="1"/>
    <col min="7" max="7" width="16.375" customWidth="1"/>
    <col min="8" max="8" width="18.25" customWidth="1"/>
    <col min="9" max="9" width="16" customWidth="1"/>
    <col min="10" max="10" width="11.75" customWidth="1"/>
    <col min="11" max="11" width="43.125" bestFit="1" customWidth="1"/>
    <col min="12" max="12" width="10.125" customWidth="1"/>
    <col min="13" max="13" width="30.75" customWidth="1"/>
    <col min="14" max="14" width="6.375" customWidth="1"/>
  </cols>
  <sheetData>
    <row r="3" spans="2:13" ht="17.25" thickBot="1" x14ac:dyDescent="0.3">
      <c r="B3" s="337" t="s">
        <v>8568</v>
      </c>
      <c r="H3" s="337" t="s">
        <v>8567</v>
      </c>
      <c r="I3" s="115"/>
      <c r="J3" s="115"/>
      <c r="K3" s="115"/>
      <c r="M3" s="337" t="s">
        <v>7080</v>
      </c>
    </row>
    <row r="4" spans="2:13" ht="15" thickTop="1" x14ac:dyDescent="0.2"/>
    <row r="5" spans="2:13" ht="15" x14ac:dyDescent="0.25">
      <c r="B5" s="113" t="s">
        <v>8566</v>
      </c>
      <c r="C5" s="113" t="s">
        <v>8546</v>
      </c>
      <c r="D5" s="113" t="s">
        <v>8638</v>
      </c>
      <c r="E5" s="336" t="s">
        <v>8545</v>
      </c>
      <c r="F5" s="336" t="s">
        <v>8565</v>
      </c>
      <c r="M5" t="str" cm="1">
        <f t="array" ref="M5:M28">_xlfn._xlws.SORT(_xlfn.UNIQUE($C$6:$C$29,TRUE,TRUE))</f>
        <v>Alice Mutton</v>
      </c>
    </row>
    <row r="6" spans="2:13" ht="15" x14ac:dyDescent="0.25">
      <c r="B6" s="364" t="s">
        <v>8272</v>
      </c>
      <c r="C6" s="364" t="s">
        <v>8380</v>
      </c>
      <c r="D6" s="365">
        <v>114</v>
      </c>
      <c r="E6" s="366">
        <v>156086.84999999998</v>
      </c>
      <c r="F6" s="367">
        <v>4.2857143362717946E-2</v>
      </c>
      <c r="H6" s="340" t="s">
        <v>8546</v>
      </c>
      <c r="I6" s="340" t="s">
        <v>8509</v>
      </c>
      <c r="J6" s="340" t="s">
        <v>8564</v>
      </c>
      <c r="K6" s="340" t="s">
        <v>8563</v>
      </c>
      <c r="M6" t="str">
        <v>Boston Crab Meat</v>
      </c>
    </row>
    <row r="7" spans="2:13" x14ac:dyDescent="0.2">
      <c r="B7" s="364" t="s">
        <v>8272</v>
      </c>
      <c r="C7" s="364" t="s">
        <v>8306</v>
      </c>
      <c r="D7" s="365">
        <v>230</v>
      </c>
      <c r="E7" s="366">
        <v>27593.1</v>
      </c>
      <c r="F7" s="367">
        <v>5.4545455584020248E-2</v>
      </c>
      <c r="H7" t="s">
        <v>8281</v>
      </c>
      <c r="I7" s="335">
        <f>_xlfn.XLOOKUP($H$7,$C$6:$C$29,$E$6:$E$29)</f>
        <v>80828</v>
      </c>
      <c r="K7" t="s">
        <v>8562</v>
      </c>
      <c r="M7" t="str">
        <v>Camembert Pierrot</v>
      </c>
    </row>
    <row r="8" spans="2:13" x14ac:dyDescent="0.2">
      <c r="B8" s="364" t="s">
        <v>8272</v>
      </c>
      <c r="C8" s="364" t="s">
        <v>8276</v>
      </c>
      <c r="D8" s="365">
        <v>124</v>
      </c>
      <c r="E8" s="366">
        <v>19359.86</v>
      </c>
      <c r="F8" s="367">
        <v>0.1120000014454125</v>
      </c>
      <c r="M8" t="str">
        <v>Carnarvon Tigers</v>
      </c>
    </row>
    <row r="9" spans="2:13" x14ac:dyDescent="0.2">
      <c r="B9" s="364" t="s">
        <v>8254</v>
      </c>
      <c r="C9" s="364" t="s">
        <v>8317</v>
      </c>
      <c r="D9" s="365">
        <v>201</v>
      </c>
      <c r="E9" s="366">
        <v>19087.899999999998</v>
      </c>
      <c r="F9" s="367">
        <v>4.7222223132848663E-2</v>
      </c>
      <c r="H9" t="s">
        <v>8541</v>
      </c>
      <c r="I9" s="335" cm="1">
        <f t="array" ref="I9:J9">_xlfn.XLOOKUP(H9,C6:C29,E6:F29)</f>
        <v>43647.62999999999</v>
      </c>
      <c r="J9" s="342">
        <v>6.5555555952919828E-2</v>
      </c>
      <c r="K9" t="s">
        <v>8561</v>
      </c>
      <c r="M9" t="str">
        <v>Chang</v>
      </c>
    </row>
    <row r="10" spans="2:13" x14ac:dyDescent="0.2">
      <c r="B10" s="364" t="s">
        <v>8254</v>
      </c>
      <c r="C10" s="364" t="s">
        <v>8409</v>
      </c>
      <c r="D10" s="365">
        <v>224</v>
      </c>
      <c r="E10" s="366">
        <v>16994.55</v>
      </c>
      <c r="F10" s="367">
        <v>7.4074075729758521E-2</v>
      </c>
      <c r="M10" t="str">
        <v>Côte de Blaye</v>
      </c>
    </row>
    <row r="11" spans="2:13" x14ac:dyDescent="0.2">
      <c r="B11" s="364" t="s">
        <v>8254</v>
      </c>
      <c r="C11" s="364" t="s">
        <v>8253</v>
      </c>
      <c r="D11" s="365">
        <v>131</v>
      </c>
      <c r="E11" s="366">
        <v>14901.049999999996</v>
      </c>
      <c r="F11" s="367">
        <v>5.1388890068564064E-2</v>
      </c>
      <c r="H11" t="s">
        <v>8560</v>
      </c>
      <c r="I11" s="335" t="str">
        <f>_xlfn.XLOOKUP($H$11,$C$6:$C$29,$E$6:$E$29,"no data")</f>
        <v>no data</v>
      </c>
      <c r="K11" t="s">
        <v>8559</v>
      </c>
      <c r="M11" t="str">
        <v>Gnocchi di nonna Alice</v>
      </c>
    </row>
    <row r="12" spans="2:13" x14ac:dyDescent="0.2">
      <c r="B12" s="364" t="s">
        <v>8262</v>
      </c>
      <c r="C12" s="364" t="s">
        <v>8291</v>
      </c>
      <c r="D12" s="365">
        <v>252</v>
      </c>
      <c r="E12" s="366">
        <v>61470.080000000002</v>
      </c>
      <c r="F12" s="367">
        <v>5.5084746394116965E-2</v>
      </c>
      <c r="I12" s="335">
        <f>_xlfn.XLOOKUP("*"&amp;$H$11&amp;"*",$C$6:$C$29,$E$6:$E$29,"no data",2,1)</f>
        <v>27593.1</v>
      </c>
      <c r="K12" t="s">
        <v>8558</v>
      </c>
      <c r="M12" t="str">
        <v>Gumbär Gummibärchen</v>
      </c>
    </row>
    <row r="13" spans="2:13" x14ac:dyDescent="0.2">
      <c r="B13" s="364" t="s">
        <v>8262</v>
      </c>
      <c r="C13" s="364" t="s">
        <v>8260</v>
      </c>
      <c r="D13" s="365">
        <v>196</v>
      </c>
      <c r="E13" s="366">
        <v>26410.859999999997</v>
      </c>
      <c r="F13" s="367">
        <v>4.6470588620971212E-2</v>
      </c>
      <c r="H13" t="s">
        <v>8557</v>
      </c>
      <c r="I13" s="335">
        <f>_xlfn.XLOOKUP("*"&amp;$H$13&amp;"*",$C$6:$C$29,$E$6:$E$29,"no data",2,-1)</f>
        <v>52427.459999999992</v>
      </c>
      <c r="K13" t="s">
        <v>8556</v>
      </c>
      <c r="M13" t="str">
        <v>Ikura</v>
      </c>
    </row>
    <row r="14" spans="2:13" x14ac:dyDescent="0.2">
      <c r="B14" s="364" t="s">
        <v>8262</v>
      </c>
      <c r="C14" s="364" t="s">
        <v>8372</v>
      </c>
      <c r="D14" s="365">
        <v>89</v>
      </c>
      <c r="E14" s="366">
        <v>22093.279999999999</v>
      </c>
      <c r="F14" s="367">
        <v>5.5882353993023062E-2</v>
      </c>
      <c r="M14" t="str">
        <v>Ipoh Coffee</v>
      </c>
    </row>
    <row r="15" spans="2:13" x14ac:dyDescent="0.2">
      <c r="B15" s="364" t="s">
        <v>8237</v>
      </c>
      <c r="C15" s="364" t="s">
        <v>8281</v>
      </c>
      <c r="D15" s="365">
        <v>104</v>
      </c>
      <c r="E15" s="366">
        <v>80828</v>
      </c>
      <c r="F15" s="367">
        <v>5.3225807545165781E-2</v>
      </c>
      <c r="M15" t="str">
        <v>Louisiana Fiery Hot Pepper Sauce</v>
      </c>
    </row>
    <row r="16" spans="2:13" ht="15" x14ac:dyDescent="0.25">
      <c r="B16" s="364" t="s">
        <v>8237</v>
      </c>
      <c r="C16" s="364" t="s">
        <v>8268</v>
      </c>
      <c r="D16" s="365">
        <v>123</v>
      </c>
      <c r="E16" s="366">
        <v>53276.979999999996</v>
      </c>
      <c r="F16" s="367">
        <v>6.5087720163558585E-2</v>
      </c>
      <c r="H16" s="340" t="s">
        <v>8555</v>
      </c>
      <c r="I16" s="340"/>
      <c r="J16" s="340"/>
      <c r="K16" s="340"/>
      <c r="M16" t="str">
        <v>Manjimup Dried Apples</v>
      </c>
    </row>
    <row r="17" spans="2:13" x14ac:dyDescent="0.2">
      <c r="B17" s="364" t="s">
        <v>8237</v>
      </c>
      <c r="C17" s="364" t="s">
        <v>8235</v>
      </c>
      <c r="D17" s="365">
        <v>250</v>
      </c>
      <c r="E17" s="366">
        <v>30813.729999999992</v>
      </c>
      <c r="F17" s="367">
        <v>2.0000000380807424E-2</v>
      </c>
      <c r="H17" t="str">
        <f>H7</f>
        <v>Raclette Courdavault</v>
      </c>
      <c r="I17" s="307">
        <f>_xlfn.XLOOKUP($I$7,$B$34:$B$42,$C$34:$C$42,"no data",-1)</f>
        <v>7.4999999999999997E-3</v>
      </c>
      <c r="K17" t="s">
        <v>8554</v>
      </c>
      <c r="M17" t="str">
        <v>Mozzarella di Giovanni</v>
      </c>
    </row>
    <row r="18" spans="2:13" x14ac:dyDescent="0.2">
      <c r="B18" s="364" t="s">
        <v>8244</v>
      </c>
      <c r="C18" s="364" t="s">
        <v>8341</v>
      </c>
      <c r="D18" s="365">
        <v>181</v>
      </c>
      <c r="E18" s="366">
        <v>52427.459999999992</v>
      </c>
      <c r="F18" s="367">
        <v>6.6393443612290118E-2</v>
      </c>
      <c r="I18" s="307">
        <f>_xlfn.XLOOKUP($I$7,$B$34:$B$42,$C$34:$C$42,"no data",1)</f>
        <v>0.01</v>
      </c>
      <c r="K18" t="s">
        <v>8553</v>
      </c>
      <c r="M18" t="str">
        <v>Perth Pasties</v>
      </c>
    </row>
    <row r="19" spans="2:13" x14ac:dyDescent="0.2">
      <c r="B19" s="364" t="s">
        <v>8244</v>
      </c>
      <c r="C19" s="364" t="s">
        <v>8340</v>
      </c>
      <c r="D19" s="365">
        <v>184</v>
      </c>
      <c r="E19" s="366">
        <v>25249.71</v>
      </c>
      <c r="F19" s="367">
        <v>3.6944444860435161E-2</v>
      </c>
      <c r="M19" t="str">
        <v>Raclette Courdavault</v>
      </c>
    </row>
    <row r="20" spans="2:13" ht="15" x14ac:dyDescent="0.25">
      <c r="B20" s="364" t="s">
        <v>8244</v>
      </c>
      <c r="C20" s="364" t="s">
        <v>8243</v>
      </c>
      <c r="D20" s="365">
        <v>160</v>
      </c>
      <c r="E20" s="366">
        <v>10354.4</v>
      </c>
      <c r="F20" s="367">
        <v>6.5277778853972693E-2</v>
      </c>
      <c r="H20" s="340" t="s">
        <v>8552</v>
      </c>
      <c r="I20" s="340" t="s">
        <v>8546</v>
      </c>
      <c r="J20" s="340" t="s">
        <v>8509</v>
      </c>
      <c r="K20" s="340"/>
      <c r="M20" t="str">
        <v>Rössle Sauerkraut</v>
      </c>
    </row>
    <row r="21" spans="2:13" x14ac:dyDescent="0.2">
      <c r="B21" s="364" t="s">
        <v>8550</v>
      </c>
      <c r="C21" s="364" t="s">
        <v>8542</v>
      </c>
      <c r="D21" s="365">
        <v>19</v>
      </c>
      <c r="E21" s="366">
        <v>98293.430000000008</v>
      </c>
      <c r="F21" s="367">
        <v>7.3684211036092323E-2</v>
      </c>
      <c r="H21" t="s">
        <v>8272</v>
      </c>
      <c r="I21" s="307" t="str" cm="1">
        <f t="array" ref="I21:I23">_xlfn.XLOOKUP($H$21:$H$23,$B$6:$B$29,$C$6:$F$29)</f>
        <v>Côte de Blaye</v>
      </c>
      <c r="J21">
        <f>_xlfn.XLOOKUP(H21,$B$6:$B$29,$E$6:$E$29)</f>
        <v>156086.84999999998</v>
      </c>
      <c r="K21" t="s">
        <v>8551</v>
      </c>
      <c r="M21" t="str">
        <v>Singaporean Hokkien Fried Mee</v>
      </c>
    </row>
    <row r="22" spans="2:13" x14ac:dyDescent="0.2">
      <c r="B22" s="364" t="s">
        <v>8550</v>
      </c>
      <c r="C22" s="364" t="s">
        <v>8541</v>
      </c>
      <c r="D22" s="365">
        <v>45</v>
      </c>
      <c r="E22" s="366">
        <v>43647.62999999999</v>
      </c>
      <c r="F22" s="367">
        <v>6.5555555952919828E-2</v>
      </c>
      <c r="H22" t="s">
        <v>8254</v>
      </c>
      <c r="I22" t="str">
        <v>Vegie-spread</v>
      </c>
      <c r="J22">
        <f>_xlfn.XLOOKUP(H22,$B$6:$B$29,$E$6:$E$29)</f>
        <v>19087.899999999998</v>
      </c>
      <c r="M22" t="str">
        <v>Sir Rodney's Marmalade</v>
      </c>
    </row>
    <row r="23" spans="2:13" x14ac:dyDescent="0.2">
      <c r="B23" s="364" t="s">
        <v>8550</v>
      </c>
      <c r="C23" s="364" t="s">
        <v>8540</v>
      </c>
      <c r="D23" s="365">
        <v>64</v>
      </c>
      <c r="E23" s="366">
        <v>25838.570000000003</v>
      </c>
      <c r="F23" s="367">
        <v>3.7878788556113326E-2</v>
      </c>
      <c r="H23" t="s">
        <v>8247</v>
      </c>
      <c r="I23" t="str">
        <v>Manjimup Dried Apples</v>
      </c>
      <c r="J23">
        <f>_xlfn.XLOOKUP(H23,$B$6:$B$29,$E$6:$E$29)</f>
        <v>47384.65</v>
      </c>
      <c r="M23" t="str">
        <v>Sirop d'érable</v>
      </c>
    </row>
    <row r="24" spans="2:13" x14ac:dyDescent="0.2">
      <c r="B24" s="364" t="s">
        <v>8247</v>
      </c>
      <c r="C24" s="364" t="s">
        <v>8245</v>
      </c>
      <c r="D24" s="365">
        <v>95</v>
      </c>
      <c r="E24" s="366">
        <v>47384.65</v>
      </c>
      <c r="F24" s="367">
        <v>5.434782681581761E-2</v>
      </c>
      <c r="M24" t="str">
        <v>Tarte au sucre</v>
      </c>
    </row>
    <row r="25" spans="2:13" ht="17.25" thickBot="1" x14ac:dyDescent="0.3">
      <c r="B25" s="364" t="s">
        <v>8247</v>
      </c>
      <c r="C25" s="364" t="s">
        <v>8316</v>
      </c>
      <c r="D25" s="365">
        <v>133</v>
      </c>
      <c r="E25" s="366">
        <v>27681.200000000008</v>
      </c>
      <c r="F25" s="367">
        <v>3.6111111752688843E-2</v>
      </c>
      <c r="H25" s="337" t="s">
        <v>8549</v>
      </c>
      <c r="I25" s="115"/>
      <c r="J25" s="115"/>
      <c r="K25" s="115"/>
      <c r="M25" t="str">
        <v>Thüringer Rostbratwurst</v>
      </c>
    </row>
    <row r="26" spans="2:13" ht="15" thickTop="1" x14ac:dyDescent="0.2">
      <c r="B26" s="364" t="s">
        <v>8247</v>
      </c>
      <c r="C26" s="364" t="s">
        <v>8415</v>
      </c>
      <c r="D26" s="365">
        <v>189</v>
      </c>
      <c r="E26" s="366">
        <v>27224.1</v>
      </c>
      <c r="F26" s="367">
        <v>2.7777778502139732E-2</v>
      </c>
      <c r="M26" t="str">
        <v>Uncle Bob's Organic Dried Pears</v>
      </c>
    </row>
    <row r="27" spans="2:13" x14ac:dyDescent="0.2">
      <c r="B27" s="364" t="s">
        <v>8548</v>
      </c>
      <c r="C27" s="364" t="s">
        <v>8539</v>
      </c>
      <c r="D27" s="365">
        <v>155</v>
      </c>
      <c r="E27" s="366">
        <v>37203.130000000005</v>
      </c>
      <c r="F27" s="367">
        <v>7.4242425235834908E-2</v>
      </c>
      <c r="H27" t="s">
        <v>8222</v>
      </c>
      <c r="I27" s="339">
        <f>_xlfn.XMATCH("*"&amp;H27&amp;"*",$B$5:$F$5,2)</f>
        <v>5</v>
      </c>
      <c r="M27" t="str">
        <v>Vegie-spread</v>
      </c>
    </row>
    <row r="28" spans="2:13" x14ac:dyDescent="0.2">
      <c r="B28" s="364" t="s">
        <v>8548</v>
      </c>
      <c r="C28" s="364" t="s">
        <v>8538</v>
      </c>
      <c r="D28" s="365">
        <v>238</v>
      </c>
      <c r="E28" s="366">
        <v>27253.34</v>
      </c>
      <c r="F28" s="367">
        <v>4.047619125672744E-2</v>
      </c>
      <c r="I28" s="339"/>
      <c r="M28" t="str">
        <v>Wimmers gute Semmelknödel</v>
      </c>
    </row>
    <row r="29" spans="2:13" x14ac:dyDescent="0.2">
      <c r="B29" s="364" t="s">
        <v>8548</v>
      </c>
      <c r="C29" s="364" t="s">
        <v>8537</v>
      </c>
      <c r="D29" s="365">
        <v>129</v>
      </c>
      <c r="E29" s="366">
        <v>20890.48</v>
      </c>
      <c r="F29" s="367">
        <v>5.3191490075055532E-2</v>
      </c>
      <c r="I29" s="339"/>
    </row>
    <row r="32" spans="2:13" ht="17.25" thickBot="1" x14ac:dyDescent="0.3">
      <c r="B32" s="337" t="s">
        <v>8555</v>
      </c>
    </row>
    <row r="33" spans="2:6" ht="15" thickTop="1" x14ac:dyDescent="0.2"/>
    <row r="34" spans="2:6" x14ac:dyDescent="0.2">
      <c r="B34">
        <v>0</v>
      </c>
      <c r="C34" s="341">
        <v>0</v>
      </c>
      <c r="D34" s="341"/>
    </row>
    <row r="35" spans="2:6" x14ac:dyDescent="0.2">
      <c r="B35">
        <v>25000</v>
      </c>
      <c r="C35" s="341">
        <v>2.5000000000000001E-3</v>
      </c>
      <c r="D35" s="341"/>
    </row>
    <row r="36" spans="2:6" x14ac:dyDescent="0.2">
      <c r="B36">
        <v>50000</v>
      </c>
      <c r="C36" s="341">
        <v>5.0000000000000001E-3</v>
      </c>
      <c r="D36" s="341"/>
    </row>
    <row r="37" spans="2:6" x14ac:dyDescent="0.2">
      <c r="B37">
        <v>75000</v>
      </c>
      <c r="C37" s="341">
        <v>7.4999999999999997E-3</v>
      </c>
      <c r="D37" s="341"/>
    </row>
    <row r="38" spans="2:6" x14ac:dyDescent="0.2">
      <c r="B38">
        <v>100000</v>
      </c>
      <c r="C38" s="341">
        <v>0.01</v>
      </c>
      <c r="D38" s="341"/>
    </row>
    <row r="39" spans="2:6" x14ac:dyDescent="0.2">
      <c r="B39">
        <v>125000</v>
      </c>
      <c r="C39" s="341">
        <v>1.2500000000000001E-2</v>
      </c>
      <c r="D39" s="341"/>
    </row>
    <row r="40" spans="2:6" x14ac:dyDescent="0.2">
      <c r="B40">
        <v>150000</v>
      </c>
      <c r="C40" s="341">
        <v>1.4999999999999999E-2</v>
      </c>
      <c r="D40" s="341"/>
    </row>
    <row r="41" spans="2:6" x14ac:dyDescent="0.2">
      <c r="B41">
        <v>175000</v>
      </c>
      <c r="C41" s="341">
        <v>1.7500000000000002E-2</v>
      </c>
      <c r="D41" s="341"/>
    </row>
    <row r="42" spans="2:6" x14ac:dyDescent="0.2">
      <c r="B42">
        <v>200000</v>
      </c>
      <c r="C42" s="341">
        <v>0.02</v>
      </c>
      <c r="D42" s="341"/>
    </row>
    <row r="46" spans="2:6" ht="17.25" thickBot="1" x14ac:dyDescent="0.3">
      <c r="B46" s="337" t="s">
        <v>6770</v>
      </c>
    </row>
    <row r="47" spans="2:6" ht="15" thickTop="1" x14ac:dyDescent="0.2"/>
    <row r="48" spans="2:6" ht="15" x14ac:dyDescent="0.25">
      <c r="B48" s="363" t="s">
        <v>8638</v>
      </c>
      <c r="C48" s="369" t="s">
        <v>8641</v>
      </c>
      <c r="D48" s="369" t="s">
        <v>8546</v>
      </c>
      <c r="E48" s="369" t="s">
        <v>8552</v>
      </c>
      <c r="F48" s="369" t="s">
        <v>8640</v>
      </c>
    </row>
    <row r="49" spans="2:6" x14ac:dyDescent="0.2">
      <c r="B49">
        <v>230</v>
      </c>
      <c r="C49" s="99">
        <v>44440</v>
      </c>
      <c r="D49" s="368"/>
      <c r="E49" s="368"/>
      <c r="F49" s="69">
        <v>80</v>
      </c>
    </row>
    <row r="50" spans="2:6" x14ac:dyDescent="0.2">
      <c r="B50">
        <v>205</v>
      </c>
      <c r="C50" s="99">
        <v>44444</v>
      </c>
      <c r="D50" s="368"/>
      <c r="E50" s="368"/>
      <c r="F50" s="69">
        <v>80</v>
      </c>
    </row>
    <row r="51" spans="2:6" x14ac:dyDescent="0.2">
      <c r="B51">
        <v>250</v>
      </c>
      <c r="C51" s="99">
        <v>44446</v>
      </c>
      <c r="D51" s="368"/>
      <c r="E51" s="368"/>
      <c r="F51" s="69">
        <v>41</v>
      </c>
    </row>
    <row r="52" spans="2:6" x14ac:dyDescent="0.2">
      <c r="B52">
        <v>63</v>
      </c>
      <c r="C52" s="99">
        <v>44452</v>
      </c>
      <c r="D52" s="368"/>
      <c r="E52" s="368"/>
      <c r="F52" s="69">
        <v>52</v>
      </c>
    </row>
    <row r="53" spans="2:6" x14ac:dyDescent="0.2">
      <c r="B53">
        <v>64</v>
      </c>
      <c r="C53" s="99">
        <v>44460</v>
      </c>
      <c r="D53" s="368"/>
      <c r="E53" s="368"/>
      <c r="F53" s="69">
        <v>60</v>
      </c>
    </row>
    <row r="54" spans="2:6" x14ac:dyDescent="0.2">
      <c r="B54">
        <v>252</v>
      </c>
      <c r="C54" s="99">
        <v>44460</v>
      </c>
      <c r="D54" s="368"/>
      <c r="E54" s="368"/>
      <c r="F54" s="69">
        <v>42</v>
      </c>
    </row>
    <row r="55" spans="2:6" x14ac:dyDescent="0.2">
      <c r="B55">
        <v>230</v>
      </c>
      <c r="C55" s="99">
        <v>44464</v>
      </c>
      <c r="D55" s="368"/>
      <c r="E55" s="368"/>
      <c r="F55" s="69">
        <v>14</v>
      </c>
    </row>
    <row r="56" spans="2:6" x14ac:dyDescent="0.2">
      <c r="B56">
        <v>155</v>
      </c>
      <c r="C56" s="99">
        <v>44468</v>
      </c>
      <c r="D56" s="368"/>
      <c r="E56" s="368"/>
      <c r="F56" s="69">
        <v>81</v>
      </c>
    </row>
    <row r="57" spans="2:6" x14ac:dyDescent="0.2">
      <c r="B57">
        <v>252</v>
      </c>
      <c r="C57" s="99">
        <v>44471</v>
      </c>
      <c r="D57" s="368"/>
      <c r="E57" s="368"/>
      <c r="F57" s="69">
        <v>47</v>
      </c>
    </row>
    <row r="58" spans="2:6" x14ac:dyDescent="0.2">
      <c r="B58">
        <v>123</v>
      </c>
      <c r="C58" s="99">
        <v>44491</v>
      </c>
      <c r="D58" s="368"/>
      <c r="E58" s="368"/>
      <c r="F58" s="69">
        <v>48</v>
      </c>
    </row>
    <row r="59" spans="2:6" x14ac:dyDescent="0.2">
      <c r="B59">
        <v>189</v>
      </c>
      <c r="C59" s="99">
        <v>44492</v>
      </c>
      <c r="D59" s="368"/>
      <c r="E59" s="368"/>
      <c r="F59" s="69">
        <v>35</v>
      </c>
    </row>
    <row r="60" spans="2:6" x14ac:dyDescent="0.2">
      <c r="B60">
        <v>160</v>
      </c>
      <c r="C60" s="99">
        <v>44493</v>
      </c>
      <c r="D60" s="368"/>
      <c r="E60" s="368"/>
      <c r="F60" s="69">
        <v>77</v>
      </c>
    </row>
    <row r="64" spans="2:6" ht="17.25" thickBot="1" x14ac:dyDescent="0.3">
      <c r="B64" s="337" t="s">
        <v>8642</v>
      </c>
    </row>
    <row r="65" spans="2:9" ht="15" thickTop="1" x14ac:dyDescent="0.2"/>
    <row r="66" spans="2:9" ht="15" x14ac:dyDescent="0.25">
      <c r="B66" s="363" t="s">
        <v>8546</v>
      </c>
      <c r="C66" s="363" t="s">
        <v>8545</v>
      </c>
    </row>
    <row r="67" spans="2:9" x14ac:dyDescent="0.2">
      <c r="B67" t="s">
        <v>8560</v>
      </c>
    </row>
    <row r="68" spans="2:9" x14ac:dyDescent="0.2">
      <c r="B68" t="s">
        <v>8643</v>
      </c>
    </row>
    <row r="69" spans="2:9" x14ac:dyDescent="0.2">
      <c r="B69" t="s">
        <v>8644</v>
      </c>
    </row>
    <row r="70" spans="2:9" x14ac:dyDescent="0.2">
      <c r="B70" t="s">
        <v>8645</v>
      </c>
    </row>
    <row r="73" spans="2:9" ht="17.25" thickBot="1" x14ac:dyDescent="0.3">
      <c r="B73" s="337" t="s">
        <v>8661</v>
      </c>
      <c r="C73" s="337"/>
      <c r="D73" s="238" t="s">
        <v>8662</v>
      </c>
    </row>
    <row r="74" spans="2:9" ht="15" thickTop="1" x14ac:dyDescent="0.2"/>
    <row r="75" spans="2:9" ht="15" x14ac:dyDescent="0.25">
      <c r="B75" s="363" t="s">
        <v>48</v>
      </c>
      <c r="C75" s="363" t="s">
        <v>8646</v>
      </c>
      <c r="D75" s="363" t="s">
        <v>8647</v>
      </c>
      <c r="E75" s="363" t="s">
        <v>6886</v>
      </c>
      <c r="G75" s="363" t="s">
        <v>8646</v>
      </c>
      <c r="H75" s="363" t="s">
        <v>8647</v>
      </c>
      <c r="I75" s="363" t="s">
        <v>6886</v>
      </c>
    </row>
    <row r="76" spans="2:9" x14ac:dyDescent="0.2">
      <c r="B76" t="s">
        <v>8648</v>
      </c>
      <c r="C76" t="s">
        <v>8649</v>
      </c>
      <c r="D76" t="s">
        <v>8650</v>
      </c>
      <c r="E76" s="373" cm="1">
        <f t="array" ref="E76">_xlfn.XLOOKUP(C76&amp;D76,$G$76:$G$83&amp;$H$76:$H$83,$I$76:$I$83)</f>
        <v>75</v>
      </c>
      <c r="G76" t="s">
        <v>8651</v>
      </c>
      <c r="H76" t="s">
        <v>8652</v>
      </c>
      <c r="I76">
        <v>90</v>
      </c>
    </row>
    <row r="77" spans="2:9" x14ac:dyDescent="0.2">
      <c r="B77" t="s">
        <v>8653</v>
      </c>
      <c r="C77" t="s">
        <v>8654</v>
      </c>
      <c r="D77" t="s">
        <v>8652</v>
      </c>
      <c r="E77" s="373" cm="1">
        <f t="array" ref="E77">_xlfn.XLOOKUP(C77&amp;D77,$G$76:$G$83&amp;$H$76:$H$83,$I$76:$I$83)</f>
        <v>40</v>
      </c>
      <c r="G77" t="s">
        <v>8655</v>
      </c>
      <c r="H77" t="s">
        <v>8652</v>
      </c>
      <c r="I77">
        <v>75</v>
      </c>
    </row>
    <row r="78" spans="2:9" x14ac:dyDescent="0.2">
      <c r="B78" t="s">
        <v>8656</v>
      </c>
      <c r="C78" t="s">
        <v>8655</v>
      </c>
      <c r="D78" t="s">
        <v>8650</v>
      </c>
      <c r="E78" s="373" cm="1">
        <f t="array" ref="E78">_xlfn.XLOOKUP(C78&amp;D78,$G$76:$G$83&amp;$H$76:$H$83,$I$76:$I$83)</f>
        <v>90</v>
      </c>
      <c r="G78" t="s">
        <v>8649</v>
      </c>
      <c r="H78" t="s">
        <v>8652</v>
      </c>
      <c r="I78">
        <v>65</v>
      </c>
    </row>
    <row r="79" spans="2:9" x14ac:dyDescent="0.2">
      <c r="B79" t="s">
        <v>8657</v>
      </c>
      <c r="C79" t="s">
        <v>8655</v>
      </c>
      <c r="D79" t="s">
        <v>8650</v>
      </c>
      <c r="E79" s="373" cm="1">
        <f t="array" ref="E79">_xlfn.XLOOKUP(C79&amp;D79,$G$76:$G$83&amp;$H$76:$H$83,$I$76:$I$83)</f>
        <v>90</v>
      </c>
      <c r="G79" t="s">
        <v>8654</v>
      </c>
      <c r="H79" t="s">
        <v>8652</v>
      </c>
      <c r="I79">
        <v>40</v>
      </c>
    </row>
    <row r="80" spans="2:9" x14ac:dyDescent="0.2">
      <c r="B80" t="s">
        <v>8658</v>
      </c>
      <c r="C80" t="s">
        <v>8654</v>
      </c>
      <c r="D80" t="s">
        <v>8650</v>
      </c>
      <c r="E80" s="373" cm="1">
        <f t="array" ref="E80">_xlfn.XLOOKUP(C80&amp;D80,$G$76:$G$83&amp;$H$76:$H$83,$I$76:$I$83)</f>
        <v>55</v>
      </c>
      <c r="G80" t="s">
        <v>8651</v>
      </c>
      <c r="H80" t="s">
        <v>8650</v>
      </c>
      <c r="I80">
        <v>105</v>
      </c>
    </row>
    <row r="81" spans="2:11" x14ac:dyDescent="0.2">
      <c r="B81" t="s">
        <v>8659</v>
      </c>
      <c r="C81" t="s">
        <v>8649</v>
      </c>
      <c r="D81" t="s">
        <v>8652</v>
      </c>
      <c r="E81" s="373" cm="1">
        <f t="array" ref="E81">_xlfn.XLOOKUP(C81&amp;D81,$G$76:$G$83&amp;$H$76:$H$83,$I$76:$I$83)</f>
        <v>65</v>
      </c>
      <c r="G81" t="s">
        <v>8655</v>
      </c>
      <c r="H81" t="s">
        <v>8650</v>
      </c>
      <c r="I81">
        <v>90</v>
      </c>
    </row>
    <row r="82" spans="2:11" x14ac:dyDescent="0.2">
      <c r="B82" t="s">
        <v>8660</v>
      </c>
      <c r="C82" t="s">
        <v>8651</v>
      </c>
      <c r="D82" t="s">
        <v>8652</v>
      </c>
      <c r="E82" s="373" cm="1">
        <f t="array" ref="E82">_xlfn.XLOOKUP(C82&amp;D82,$G$76:$G$83&amp;$H$76:$H$83,$I$76:$I$83)</f>
        <v>90</v>
      </c>
      <c r="G82" t="s">
        <v>8649</v>
      </c>
      <c r="H82" t="s">
        <v>8650</v>
      </c>
      <c r="I82">
        <v>75</v>
      </c>
    </row>
    <row r="83" spans="2:11" x14ac:dyDescent="0.2">
      <c r="G83" t="s">
        <v>8654</v>
      </c>
      <c r="H83" t="s">
        <v>8650</v>
      </c>
      <c r="I83">
        <v>55</v>
      </c>
    </row>
    <row r="86" spans="2:11" ht="15" x14ac:dyDescent="0.25">
      <c r="B86" s="369" t="s">
        <v>6814</v>
      </c>
      <c r="C86" s="363" t="s">
        <v>8663</v>
      </c>
      <c r="D86" s="363" t="s">
        <v>8647</v>
      </c>
      <c r="E86" s="363" t="s">
        <v>6886</v>
      </c>
      <c r="G86" s="363" t="s">
        <v>8663</v>
      </c>
      <c r="H86" s="369" t="s">
        <v>8664</v>
      </c>
      <c r="I86" s="369" t="s">
        <v>8665</v>
      </c>
      <c r="J86" s="369" t="s">
        <v>8666</v>
      </c>
      <c r="K86" s="363" t="s">
        <v>8667</v>
      </c>
    </row>
    <row r="87" spans="2:11" x14ac:dyDescent="0.2">
      <c r="B87" s="69">
        <v>1121</v>
      </c>
      <c r="C87" t="s">
        <v>8668</v>
      </c>
      <c r="D87" t="s">
        <v>8667</v>
      </c>
      <c r="E87" s="373" cm="1">
        <f t="array" ref="E87">_xlfn.XLOOKUP(D87,$H$86:$K$86,
_xlfn.XLOOKUP(C87,$G$87:$G$91,$H$87:$K$91)
)</f>
        <v>129</v>
      </c>
      <c r="G87" t="s">
        <v>8668</v>
      </c>
      <c r="H87" s="69">
        <v>133</v>
      </c>
      <c r="I87" s="69">
        <v>137</v>
      </c>
      <c r="J87" s="69">
        <v>130</v>
      </c>
      <c r="K87" s="102">
        <v>129</v>
      </c>
    </row>
    <row r="88" spans="2:11" x14ac:dyDescent="0.2">
      <c r="B88" s="69">
        <v>1209</v>
      </c>
      <c r="C88" t="s">
        <v>8669</v>
      </c>
      <c r="D88" t="s">
        <v>8665</v>
      </c>
      <c r="E88" s="373" cm="1">
        <f t="array" ref="E88">_xlfn.XLOOKUP(D88,$H$86:$K$86,
_xlfn.XLOOKUP(C88,$G$87:$G$91,$H$87:$K$91)
)</f>
        <v>169</v>
      </c>
      <c r="G88" t="s">
        <v>8670</v>
      </c>
      <c r="H88" s="69">
        <v>111</v>
      </c>
      <c r="I88" s="69">
        <v>127</v>
      </c>
      <c r="J88" s="69">
        <v>136</v>
      </c>
      <c r="K88" s="102">
        <v>158</v>
      </c>
    </row>
    <row r="89" spans="2:11" x14ac:dyDescent="0.2">
      <c r="B89" s="69">
        <v>1333</v>
      </c>
      <c r="C89" t="s">
        <v>8671</v>
      </c>
      <c r="D89" t="s">
        <v>8664</v>
      </c>
      <c r="E89" s="373" cm="1">
        <f t="array" ref="E89">_xlfn.XLOOKUP(D89,$H$86:$K$86,
_xlfn.XLOOKUP(C89,$G$87:$G$91,$H$87:$K$91)
)</f>
        <v>139</v>
      </c>
      <c r="G89" t="s">
        <v>8671</v>
      </c>
      <c r="H89" s="69">
        <v>139</v>
      </c>
      <c r="I89" s="69">
        <v>119</v>
      </c>
      <c r="J89" s="69">
        <v>122</v>
      </c>
      <c r="K89" s="102">
        <v>162</v>
      </c>
    </row>
    <row r="90" spans="2:11" x14ac:dyDescent="0.2">
      <c r="B90" s="69">
        <v>1344</v>
      </c>
      <c r="C90" t="s">
        <v>8669</v>
      </c>
      <c r="D90" t="s">
        <v>8666</v>
      </c>
      <c r="E90" s="373" cm="1">
        <f t="array" ref="E90">_xlfn.XLOOKUP(D90,$H$86:$K$86,
_xlfn.XLOOKUP(C90,$G$87:$G$91,$H$87:$K$91)
)</f>
        <v>174</v>
      </c>
      <c r="G90" t="s">
        <v>8669</v>
      </c>
      <c r="H90" s="69">
        <v>155</v>
      </c>
      <c r="I90" s="69">
        <v>169</v>
      </c>
      <c r="J90" s="69">
        <v>174</v>
      </c>
      <c r="K90" s="102">
        <v>177</v>
      </c>
    </row>
    <row r="91" spans="2:11" x14ac:dyDescent="0.2">
      <c r="B91" s="69">
        <v>1422</v>
      </c>
      <c r="C91" t="s">
        <v>8672</v>
      </c>
      <c r="D91" t="s">
        <v>8667</v>
      </c>
      <c r="E91" s="373" cm="1">
        <f t="array" ref="E91">_xlfn.XLOOKUP(D91,$H$86:$K$86,
_xlfn.XLOOKUP(C91,$G$87:$G$91,$H$87:$K$91)
)</f>
        <v>295</v>
      </c>
      <c r="G91" t="s">
        <v>8672</v>
      </c>
      <c r="H91" s="69">
        <v>241</v>
      </c>
      <c r="I91" s="69">
        <v>293</v>
      </c>
      <c r="J91" s="69">
        <v>297</v>
      </c>
      <c r="K91" s="102">
        <v>295</v>
      </c>
    </row>
    <row r="92" spans="2:11" x14ac:dyDescent="0.2">
      <c r="B92" s="69">
        <v>1441</v>
      </c>
      <c r="C92" t="s">
        <v>8670</v>
      </c>
      <c r="D92" t="s">
        <v>8664</v>
      </c>
      <c r="E92" s="373" cm="1">
        <f t="array" ref="E92">_xlfn.XLOOKUP(D92,$H$86:$K$86,
_xlfn.XLOOKUP(C92,$G$87:$G$91,$H$87:$K$91)
)</f>
        <v>111</v>
      </c>
    </row>
    <row r="93" spans="2:11" x14ac:dyDescent="0.2">
      <c r="B93" s="69">
        <v>1451</v>
      </c>
      <c r="C93" t="s">
        <v>8671</v>
      </c>
      <c r="D93" t="s">
        <v>8667</v>
      </c>
      <c r="E93" s="373" cm="1">
        <f t="array" ref="E93">_xlfn.XLOOKUP(D93,$H$86:$K$86,
_xlfn.XLOOKUP(C93,$G$87:$G$91,$H$87:$K$91)
)</f>
        <v>162</v>
      </c>
    </row>
    <row r="96" spans="2:11" ht="15" x14ac:dyDescent="0.25">
      <c r="B96" s="369"/>
      <c r="C96" s="369" t="s">
        <v>8546</v>
      </c>
      <c r="D96" s="369" t="s">
        <v>443</v>
      </c>
      <c r="E96" s="369" t="s">
        <v>2412</v>
      </c>
      <c r="F96" s="369" t="s">
        <v>2411</v>
      </c>
      <c r="G96" s="369" t="s">
        <v>2409</v>
      </c>
      <c r="H96" s="369" t="s">
        <v>2407</v>
      </c>
    </row>
    <row r="97" spans="2:8" x14ac:dyDescent="0.2">
      <c r="E97"/>
      <c r="F97" s="332"/>
    </row>
    <row r="98" spans="2:8" x14ac:dyDescent="0.2">
      <c r="C98" s="40" t="s">
        <v>8673</v>
      </c>
      <c r="D98" s="368" cm="1">
        <f t="array" ref="D98:H98">_xlfn.XLOOKUP($D$96:$H$96,$D$100:$H$100,_xlfn.XLOOKUP(C98,$C$101:$C$105,$D$101:$H$105))</f>
        <v>1178</v>
      </c>
      <c r="E98" s="368">
        <v>418</v>
      </c>
      <c r="F98" s="373">
        <v>894</v>
      </c>
      <c r="G98" s="368">
        <v>1291</v>
      </c>
      <c r="H98" s="368">
        <v>628</v>
      </c>
    </row>
    <row r="99" spans="2:8" x14ac:dyDescent="0.2">
      <c r="E99"/>
      <c r="F99" s="332"/>
      <c r="G99" s="159"/>
    </row>
    <row r="100" spans="2:8" ht="15.75" thickBot="1" x14ac:dyDescent="0.3">
      <c r="C100" s="360" t="s">
        <v>8546</v>
      </c>
      <c r="D100" s="370" t="s">
        <v>443</v>
      </c>
      <c r="E100" s="370" t="s">
        <v>2412</v>
      </c>
      <c r="F100" s="371" t="s">
        <v>2411</v>
      </c>
      <c r="G100" s="372" t="s">
        <v>2409</v>
      </c>
      <c r="H100" s="370" t="s">
        <v>2407</v>
      </c>
    </row>
    <row r="101" spans="2:8" x14ac:dyDescent="0.2">
      <c r="C101" t="s">
        <v>8674</v>
      </c>
      <c r="D101">
        <v>1322</v>
      </c>
      <c r="E101">
        <v>1051</v>
      </c>
      <c r="F101">
        <v>381</v>
      </c>
      <c r="G101">
        <v>1012</v>
      </c>
      <c r="H101">
        <v>238</v>
      </c>
    </row>
    <row r="102" spans="2:8" x14ac:dyDescent="0.2">
      <c r="C102" t="s">
        <v>8675</v>
      </c>
      <c r="D102">
        <v>518</v>
      </c>
      <c r="E102">
        <v>1185</v>
      </c>
      <c r="F102">
        <v>620</v>
      </c>
      <c r="G102">
        <v>458</v>
      </c>
      <c r="H102">
        <v>953</v>
      </c>
    </row>
    <row r="103" spans="2:8" x14ac:dyDescent="0.2">
      <c r="C103" t="s">
        <v>8673</v>
      </c>
      <c r="D103">
        <v>1178</v>
      </c>
      <c r="E103">
        <v>418</v>
      </c>
      <c r="F103">
        <v>894</v>
      </c>
      <c r="G103">
        <v>1291</v>
      </c>
      <c r="H103">
        <v>628</v>
      </c>
    </row>
    <row r="104" spans="2:8" x14ac:dyDescent="0.2">
      <c r="C104" t="s">
        <v>8676</v>
      </c>
      <c r="D104">
        <v>875</v>
      </c>
      <c r="E104">
        <v>639</v>
      </c>
      <c r="F104">
        <v>1110</v>
      </c>
      <c r="G104">
        <v>1194</v>
      </c>
      <c r="H104">
        <v>330</v>
      </c>
    </row>
    <row r="105" spans="2:8" x14ac:dyDescent="0.2">
      <c r="C105" t="s">
        <v>8677</v>
      </c>
      <c r="D105">
        <v>508</v>
      </c>
      <c r="E105">
        <v>1000</v>
      </c>
      <c r="F105">
        <v>815</v>
      </c>
      <c r="G105">
        <v>1189</v>
      </c>
      <c r="H105">
        <v>267</v>
      </c>
    </row>
    <row r="109" spans="2:8" ht="15" x14ac:dyDescent="0.25">
      <c r="B109" s="369" t="s">
        <v>8546</v>
      </c>
      <c r="C109" s="369" t="s">
        <v>2437</v>
      </c>
      <c r="E109"/>
      <c r="F109"/>
    </row>
    <row r="110" spans="2:8" x14ac:dyDescent="0.2">
      <c r="B110" t="s">
        <v>8910</v>
      </c>
      <c r="C110" s="332">
        <f>SUM(_xlfn.XLOOKUP(B110,tblProductSales[Product],tblProductSales[[JAN]:[AUG]]))</f>
        <v>2675</v>
      </c>
      <c r="E110"/>
      <c r="F110"/>
    </row>
    <row r="111" spans="2:8" x14ac:dyDescent="0.2">
      <c r="B111" t="s">
        <v>8910</v>
      </c>
      <c r="C111" s="332">
        <f>SUM(_xlfn.DROP(_xlfn.XLOOKUP(B110,tblProductSales[Product],tblProductSales[]),,1))</f>
        <v>2675</v>
      </c>
      <c r="D111" t="s">
        <v>8911</v>
      </c>
      <c r="E111"/>
      <c r="F111"/>
    </row>
    <row r="112" spans="2:8" x14ac:dyDescent="0.2">
      <c r="B112" t="s">
        <v>8910</v>
      </c>
      <c r="C112" s="332">
        <f>SUM(_xlfn.TAKE(_xlfn.XLOOKUP(B110,tblProductSales[Product],tblProductSales[]),,-6))</f>
        <v>1708</v>
      </c>
      <c r="D112" t="s">
        <v>8912</v>
      </c>
      <c r="E112"/>
      <c r="F112"/>
    </row>
    <row r="113" spans="2:15" x14ac:dyDescent="0.2">
      <c r="E113"/>
      <c r="F113"/>
    </row>
    <row r="114" spans="2:15" ht="15" x14ac:dyDescent="0.25">
      <c r="B114" s="369" t="s">
        <v>8546</v>
      </c>
      <c r="C114" s="369" t="s">
        <v>8913</v>
      </c>
      <c r="D114" s="369" t="s">
        <v>8914</v>
      </c>
      <c r="E114" s="369" t="s">
        <v>8915</v>
      </c>
      <c r="F114" s="369" t="s">
        <v>8916</v>
      </c>
      <c r="G114" s="369" t="s">
        <v>8917</v>
      </c>
      <c r="H114" s="369" t="s">
        <v>8918</v>
      </c>
      <c r="I114" s="369" t="s">
        <v>8919</v>
      </c>
      <c r="J114" s="369" t="s">
        <v>8920</v>
      </c>
      <c r="L114" s="410" t="s">
        <v>8921</v>
      </c>
      <c r="M114" s="410" t="s">
        <v>8922</v>
      </c>
      <c r="N114" s="410" t="s">
        <v>8923</v>
      </c>
      <c r="O114" s="410" t="s">
        <v>8924</v>
      </c>
    </row>
    <row r="115" spans="2:15" x14ac:dyDescent="0.2">
      <c r="B115" t="s">
        <v>8925</v>
      </c>
      <c r="C115" s="339">
        <v>590</v>
      </c>
      <c r="D115" s="339">
        <v>353</v>
      </c>
      <c r="E115" s="339">
        <v>276</v>
      </c>
      <c r="F115" s="339">
        <v>136</v>
      </c>
      <c r="G115" s="339">
        <v>105</v>
      </c>
      <c r="H115" s="339">
        <v>597</v>
      </c>
      <c r="I115" s="339">
        <v>143</v>
      </c>
      <c r="J115" s="339">
        <v>511</v>
      </c>
      <c r="K115" s="339"/>
      <c r="L115" s="339">
        <v>339</v>
      </c>
      <c r="M115" s="339">
        <v>278</v>
      </c>
      <c r="N115" s="339">
        <v>189</v>
      </c>
      <c r="O115" s="339">
        <v>535</v>
      </c>
    </row>
    <row r="116" spans="2:15" x14ac:dyDescent="0.2">
      <c r="B116" t="s">
        <v>8926</v>
      </c>
      <c r="C116" s="339">
        <v>196</v>
      </c>
      <c r="D116" s="339">
        <v>424</v>
      </c>
      <c r="E116" s="339">
        <v>173</v>
      </c>
      <c r="F116" s="339">
        <v>236</v>
      </c>
      <c r="G116" s="339">
        <v>209</v>
      </c>
      <c r="H116" s="339">
        <v>182</v>
      </c>
      <c r="I116" s="339">
        <v>360</v>
      </c>
      <c r="J116" s="339">
        <v>315</v>
      </c>
      <c r="K116" s="339"/>
      <c r="L116" s="339">
        <v>573</v>
      </c>
      <c r="M116" s="339">
        <v>417</v>
      </c>
      <c r="N116" s="339">
        <v>175</v>
      </c>
      <c r="O116" s="339">
        <v>510</v>
      </c>
    </row>
    <row r="117" spans="2:15" x14ac:dyDescent="0.2">
      <c r="B117" t="s">
        <v>8927</v>
      </c>
      <c r="C117" s="339">
        <v>410</v>
      </c>
      <c r="D117" s="339">
        <v>371</v>
      </c>
      <c r="E117" s="339">
        <v>488</v>
      </c>
      <c r="F117" s="339">
        <v>349</v>
      </c>
      <c r="G117" s="339">
        <v>576</v>
      </c>
      <c r="H117" s="339">
        <v>105</v>
      </c>
      <c r="I117" s="339">
        <v>100</v>
      </c>
      <c r="J117" s="339">
        <v>385</v>
      </c>
      <c r="K117" s="339"/>
      <c r="L117" s="339">
        <v>528</v>
      </c>
      <c r="M117" s="339">
        <v>337</v>
      </c>
      <c r="N117" s="339">
        <v>230</v>
      </c>
      <c r="O117" s="339">
        <v>384</v>
      </c>
    </row>
    <row r="118" spans="2:15" x14ac:dyDescent="0.2">
      <c r="B118" t="s">
        <v>8928</v>
      </c>
      <c r="C118" s="339">
        <v>434</v>
      </c>
      <c r="D118" s="339">
        <v>109</v>
      </c>
      <c r="E118" s="339">
        <v>140</v>
      </c>
      <c r="F118" s="339">
        <v>370</v>
      </c>
      <c r="G118" s="339">
        <v>293</v>
      </c>
      <c r="H118" s="339">
        <v>494</v>
      </c>
      <c r="I118" s="339">
        <v>535</v>
      </c>
      <c r="J118" s="339">
        <v>101</v>
      </c>
      <c r="K118" s="339"/>
      <c r="L118" s="339">
        <v>255</v>
      </c>
      <c r="M118" s="339">
        <v>115</v>
      </c>
      <c r="N118" s="339">
        <v>490</v>
      </c>
      <c r="O118" s="339">
        <v>376</v>
      </c>
    </row>
    <row r="119" spans="2:15" x14ac:dyDescent="0.2">
      <c r="B119" t="s">
        <v>8929</v>
      </c>
      <c r="C119" s="339">
        <v>567</v>
      </c>
      <c r="D119" s="339">
        <v>460</v>
      </c>
      <c r="E119" s="339">
        <v>105</v>
      </c>
      <c r="F119" s="339">
        <v>231</v>
      </c>
      <c r="G119" s="339">
        <v>531</v>
      </c>
      <c r="H119" s="339">
        <v>122</v>
      </c>
      <c r="I119" s="339">
        <v>523</v>
      </c>
      <c r="J119" s="339">
        <v>496</v>
      </c>
      <c r="K119" s="339"/>
      <c r="L119" s="339">
        <v>182</v>
      </c>
      <c r="M119" s="339">
        <v>472</v>
      </c>
      <c r="N119" s="339">
        <v>167</v>
      </c>
      <c r="O119" s="339">
        <v>287</v>
      </c>
    </row>
    <row r="120" spans="2:15" x14ac:dyDescent="0.2">
      <c r="B120" t="s">
        <v>8930</v>
      </c>
      <c r="C120" s="339">
        <v>169</v>
      </c>
      <c r="D120" s="339">
        <v>318</v>
      </c>
      <c r="E120" s="339">
        <v>181</v>
      </c>
      <c r="F120" s="339">
        <v>575</v>
      </c>
      <c r="G120" s="339">
        <v>269</v>
      </c>
      <c r="H120" s="339">
        <v>144</v>
      </c>
      <c r="I120" s="339">
        <v>418</v>
      </c>
      <c r="J120" s="339">
        <v>134</v>
      </c>
      <c r="K120" s="339"/>
      <c r="L120" s="339">
        <v>424</v>
      </c>
      <c r="M120" s="339">
        <v>399</v>
      </c>
      <c r="N120" s="339">
        <v>268</v>
      </c>
      <c r="O120" s="339">
        <v>282</v>
      </c>
    </row>
    <row r="121" spans="2:15" x14ac:dyDescent="0.2">
      <c r="B121" t="s">
        <v>8931</v>
      </c>
      <c r="C121" s="339">
        <v>468</v>
      </c>
      <c r="D121" s="339">
        <v>334</v>
      </c>
      <c r="E121" s="339">
        <v>455</v>
      </c>
      <c r="F121" s="339">
        <v>229</v>
      </c>
      <c r="G121" s="339">
        <v>530</v>
      </c>
      <c r="H121" s="339">
        <v>231</v>
      </c>
      <c r="I121" s="339">
        <v>167</v>
      </c>
      <c r="J121" s="339">
        <v>397</v>
      </c>
      <c r="K121" s="339"/>
      <c r="L121" s="339">
        <v>282</v>
      </c>
      <c r="M121" s="339">
        <v>348</v>
      </c>
      <c r="N121" s="339">
        <v>423</v>
      </c>
      <c r="O121" s="339">
        <v>269</v>
      </c>
    </row>
    <row r="122" spans="2:15" x14ac:dyDescent="0.2">
      <c r="B122" t="s">
        <v>8932</v>
      </c>
      <c r="C122" s="339">
        <v>145</v>
      </c>
      <c r="D122" s="339">
        <v>363</v>
      </c>
      <c r="E122" s="339">
        <v>452</v>
      </c>
      <c r="F122" s="339">
        <v>155</v>
      </c>
      <c r="G122" s="339">
        <v>572</v>
      </c>
      <c r="H122" s="339">
        <v>256</v>
      </c>
      <c r="I122" s="339">
        <v>216</v>
      </c>
      <c r="J122" s="339">
        <v>429</v>
      </c>
      <c r="K122" s="339"/>
      <c r="L122" s="339">
        <v>295</v>
      </c>
      <c r="M122" s="339">
        <v>354</v>
      </c>
      <c r="N122" s="339">
        <v>296</v>
      </c>
      <c r="O122" s="339">
        <v>258</v>
      </c>
    </row>
    <row r="123" spans="2:15" x14ac:dyDescent="0.2">
      <c r="B123" t="s">
        <v>8910</v>
      </c>
      <c r="C123" s="339">
        <v>598</v>
      </c>
      <c r="D123" s="339">
        <v>369</v>
      </c>
      <c r="E123" s="339">
        <v>266</v>
      </c>
      <c r="F123" s="339">
        <v>513</v>
      </c>
      <c r="G123" s="339">
        <v>460</v>
      </c>
      <c r="H123" s="339">
        <v>104</v>
      </c>
      <c r="I123" s="339">
        <v>214</v>
      </c>
      <c r="J123" s="339">
        <v>151</v>
      </c>
      <c r="K123" s="339"/>
      <c r="L123" s="339">
        <v>280</v>
      </c>
      <c r="M123" s="339">
        <v>570</v>
      </c>
      <c r="N123" s="339">
        <v>329</v>
      </c>
      <c r="O123" s="339">
        <v>182</v>
      </c>
    </row>
    <row r="124" spans="2:15" x14ac:dyDescent="0.2">
      <c r="B124" t="s">
        <v>8933</v>
      </c>
      <c r="C124" s="339">
        <v>278</v>
      </c>
      <c r="D124" s="339">
        <v>223</v>
      </c>
      <c r="E124" s="339">
        <v>599</v>
      </c>
      <c r="F124" s="339">
        <v>393</v>
      </c>
      <c r="G124" s="339">
        <v>293</v>
      </c>
      <c r="H124" s="339">
        <v>424</v>
      </c>
      <c r="I124" s="339">
        <v>115</v>
      </c>
      <c r="J124" s="339">
        <v>279</v>
      </c>
      <c r="K124" s="339"/>
      <c r="L124" s="339">
        <v>224</v>
      </c>
      <c r="M124" s="339">
        <v>291</v>
      </c>
      <c r="N124" s="339">
        <v>324</v>
      </c>
      <c r="O124" s="339">
        <v>136</v>
      </c>
    </row>
  </sheetData>
  <sortState xmlns:xlrd2="http://schemas.microsoft.com/office/spreadsheetml/2017/richdata2" ref="B49:F60">
    <sortCondition ref="C50:C60"/>
  </sortState>
  <dataValidations count="3">
    <dataValidation type="list" allowBlank="1" showInputMessage="1" showErrorMessage="1" sqref="H9 H7" xr:uid="{1C9FD2E3-F93F-4A39-B311-75D910F4BD6B}">
      <formula1>_xlfn.ANCHORARRAY($M$5)</formula1>
    </dataValidation>
    <dataValidation type="list" allowBlank="1" showInputMessage="1" showErrorMessage="1" sqref="C98" xr:uid="{BC4D09DB-D9A7-405A-B077-9B860762D45C}">
      <formula1>"Coffee,Eggs,Muffins,Toast,Waffles"</formula1>
    </dataValidation>
    <dataValidation type="list" allowBlank="1" showInputMessage="1" showErrorMessage="1" sqref="B110:B112" xr:uid="{448F9BA7-348F-4F7D-BD9C-B4B4515A310A}">
      <formula1>$A$8:$A$17</formula1>
    </dataValidation>
  </dataValidations>
  <hyperlinks>
    <hyperlink ref="D73" r:id="rId1" xr:uid="{0D537368-B751-4EA3-8A6E-C21DCB980895}"/>
  </hyperlinks>
  <pageMargins left="0.7" right="0.7" top="0.75" bottom="0.75" header="0.3" footer="0.3"/>
  <pageSetup paperSize="9" orientation="portrait" horizontalDpi="1200" verticalDpi="1200" r:id="rId2"/>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6"/>
  <dimension ref="B7:Q139"/>
  <sheetViews>
    <sheetView showGridLines="0" zoomScaleNormal="100" workbookViewId="0"/>
  </sheetViews>
  <sheetFormatPr defaultRowHeight="12.75" x14ac:dyDescent="0.2"/>
  <cols>
    <col min="1" max="1" width="5.25" style="93" customWidth="1"/>
    <col min="2" max="2" width="9.75" style="93" bestFit="1" customWidth="1"/>
    <col min="3" max="3" width="11.375" style="93" customWidth="1"/>
    <col min="4" max="4" width="11.75" style="93" customWidth="1"/>
    <col min="5" max="5" width="13.75" style="93" customWidth="1"/>
    <col min="6" max="6" width="5.625" style="93" bestFit="1" customWidth="1"/>
    <col min="7" max="7" width="6.875" style="93" customWidth="1"/>
    <col min="8" max="8" width="9" style="93"/>
    <col min="9" max="9" width="7.375" style="93" bestFit="1" customWidth="1"/>
    <col min="10" max="17" width="9.5" style="93" customWidth="1"/>
    <col min="18" max="255" width="9" style="93"/>
    <col min="256" max="256" width="9.75" style="93" bestFit="1" customWidth="1"/>
    <col min="257" max="257" width="9.5" style="93" customWidth="1"/>
    <col min="258" max="258" width="10.375" style="93" bestFit="1" customWidth="1"/>
    <col min="259" max="259" width="14.25" style="93" bestFit="1" customWidth="1"/>
    <col min="260" max="260" width="5.625" style="93" bestFit="1" customWidth="1"/>
    <col min="261" max="261" width="5.875" style="93" bestFit="1" customWidth="1"/>
    <col min="262" max="263" width="9" style="93"/>
    <col min="264" max="264" width="2.75" style="93" bestFit="1" customWidth="1"/>
    <col min="265" max="265" width="7.375" style="93" bestFit="1" customWidth="1"/>
    <col min="266" max="273" width="8.5" style="93" bestFit="1" customWidth="1"/>
    <col min="274" max="511" width="9" style="93"/>
    <col min="512" max="512" width="9.75" style="93" bestFit="1" customWidth="1"/>
    <col min="513" max="513" width="9.5" style="93" customWidth="1"/>
    <col min="514" max="514" width="10.375" style="93" bestFit="1" customWidth="1"/>
    <col min="515" max="515" width="14.25" style="93" bestFit="1" customWidth="1"/>
    <col min="516" max="516" width="5.625" style="93" bestFit="1" customWidth="1"/>
    <col min="517" max="517" width="5.875" style="93" bestFit="1" customWidth="1"/>
    <col min="518" max="519" width="9" style="93"/>
    <col min="520" max="520" width="2.75" style="93" bestFit="1" customWidth="1"/>
    <col min="521" max="521" width="7.375" style="93" bestFit="1" customWidth="1"/>
    <col min="522" max="529" width="8.5" style="93" bestFit="1" customWidth="1"/>
    <col min="530" max="767" width="9" style="93"/>
    <col min="768" max="768" width="9.75" style="93" bestFit="1" customWidth="1"/>
    <col min="769" max="769" width="9.5" style="93" customWidth="1"/>
    <col min="770" max="770" width="10.375" style="93" bestFit="1" customWidth="1"/>
    <col min="771" max="771" width="14.25" style="93" bestFit="1" customWidth="1"/>
    <col min="772" max="772" width="5.625" style="93" bestFit="1" customWidth="1"/>
    <col min="773" max="773" width="5.875" style="93" bestFit="1" customWidth="1"/>
    <col min="774" max="775" width="9" style="93"/>
    <col min="776" max="776" width="2.75" style="93" bestFit="1" customWidth="1"/>
    <col min="777" max="777" width="7.375" style="93" bestFit="1" customWidth="1"/>
    <col min="778" max="785" width="8.5" style="93" bestFit="1" customWidth="1"/>
    <col min="786" max="1023" width="9" style="93"/>
    <col min="1024" max="1024" width="9.75" style="93" bestFit="1" customWidth="1"/>
    <col min="1025" max="1025" width="9.5" style="93" customWidth="1"/>
    <col min="1026" max="1026" width="10.375" style="93" bestFit="1" customWidth="1"/>
    <col min="1027" max="1027" width="14.25" style="93" bestFit="1" customWidth="1"/>
    <col min="1028" max="1028" width="5.625" style="93" bestFit="1" customWidth="1"/>
    <col min="1029" max="1029" width="5.875" style="93" bestFit="1" customWidth="1"/>
    <col min="1030" max="1031" width="9" style="93"/>
    <col min="1032" max="1032" width="2.75" style="93" bestFit="1" customWidth="1"/>
    <col min="1033" max="1033" width="7.375" style="93" bestFit="1" customWidth="1"/>
    <col min="1034" max="1041" width="8.5" style="93" bestFit="1" customWidth="1"/>
    <col min="1042" max="1279" width="9" style="93"/>
    <col min="1280" max="1280" width="9.75" style="93" bestFit="1" customWidth="1"/>
    <col min="1281" max="1281" width="9.5" style="93" customWidth="1"/>
    <col min="1282" max="1282" width="10.375" style="93" bestFit="1" customWidth="1"/>
    <col min="1283" max="1283" width="14.25" style="93" bestFit="1" customWidth="1"/>
    <col min="1284" max="1284" width="5.625" style="93" bestFit="1" customWidth="1"/>
    <col min="1285" max="1285" width="5.875" style="93" bestFit="1" customWidth="1"/>
    <col min="1286" max="1287" width="9" style="93"/>
    <col min="1288" max="1288" width="2.75" style="93" bestFit="1" customWidth="1"/>
    <col min="1289" max="1289" width="7.375" style="93" bestFit="1" customWidth="1"/>
    <col min="1290" max="1297" width="8.5" style="93" bestFit="1" customWidth="1"/>
    <col min="1298" max="1535" width="9" style="93"/>
    <col min="1536" max="1536" width="9.75" style="93" bestFit="1" customWidth="1"/>
    <col min="1537" max="1537" width="9.5" style="93" customWidth="1"/>
    <col min="1538" max="1538" width="10.375" style="93" bestFit="1" customWidth="1"/>
    <col min="1539" max="1539" width="14.25" style="93" bestFit="1" customWidth="1"/>
    <col min="1540" max="1540" width="5.625" style="93" bestFit="1" customWidth="1"/>
    <col min="1541" max="1541" width="5.875" style="93" bestFit="1" customWidth="1"/>
    <col min="1542" max="1543" width="9" style="93"/>
    <col min="1544" max="1544" width="2.75" style="93" bestFit="1" customWidth="1"/>
    <col min="1545" max="1545" width="7.375" style="93" bestFit="1" customWidth="1"/>
    <col min="1546" max="1553" width="8.5" style="93" bestFit="1" customWidth="1"/>
    <col min="1554" max="1791" width="9" style="93"/>
    <col min="1792" max="1792" width="9.75" style="93" bestFit="1" customWidth="1"/>
    <col min="1793" max="1793" width="9.5" style="93" customWidth="1"/>
    <col min="1794" max="1794" width="10.375" style="93" bestFit="1" customWidth="1"/>
    <col min="1795" max="1795" width="14.25" style="93" bestFit="1" customWidth="1"/>
    <col min="1796" max="1796" width="5.625" style="93" bestFit="1" customWidth="1"/>
    <col min="1797" max="1797" width="5.875" style="93" bestFit="1" customWidth="1"/>
    <col min="1798" max="1799" width="9" style="93"/>
    <col min="1800" max="1800" width="2.75" style="93" bestFit="1" customWidth="1"/>
    <col min="1801" max="1801" width="7.375" style="93" bestFit="1" customWidth="1"/>
    <col min="1802" max="1809" width="8.5" style="93" bestFit="1" customWidth="1"/>
    <col min="1810" max="2047" width="9" style="93"/>
    <col min="2048" max="2048" width="9.75" style="93" bestFit="1" customWidth="1"/>
    <col min="2049" max="2049" width="9.5" style="93" customWidth="1"/>
    <col min="2050" max="2050" width="10.375" style="93" bestFit="1" customWidth="1"/>
    <col min="2051" max="2051" width="14.25" style="93" bestFit="1" customWidth="1"/>
    <col min="2052" max="2052" width="5.625" style="93" bestFit="1" customWidth="1"/>
    <col min="2053" max="2053" width="5.875" style="93" bestFit="1" customWidth="1"/>
    <col min="2054" max="2055" width="9" style="93"/>
    <col min="2056" max="2056" width="2.75" style="93" bestFit="1" customWidth="1"/>
    <col min="2057" max="2057" width="7.375" style="93" bestFit="1" customWidth="1"/>
    <col min="2058" max="2065" width="8.5" style="93" bestFit="1" customWidth="1"/>
    <col min="2066" max="2303" width="9" style="93"/>
    <col min="2304" max="2304" width="9.75" style="93" bestFit="1" customWidth="1"/>
    <col min="2305" max="2305" width="9.5" style="93" customWidth="1"/>
    <col min="2306" max="2306" width="10.375" style="93" bestFit="1" customWidth="1"/>
    <col min="2307" max="2307" width="14.25" style="93" bestFit="1" customWidth="1"/>
    <col min="2308" max="2308" width="5.625" style="93" bestFit="1" customWidth="1"/>
    <col min="2309" max="2309" width="5.875" style="93" bestFit="1" customWidth="1"/>
    <col min="2310" max="2311" width="9" style="93"/>
    <col min="2312" max="2312" width="2.75" style="93" bestFit="1" customWidth="1"/>
    <col min="2313" max="2313" width="7.375" style="93" bestFit="1" customWidth="1"/>
    <col min="2314" max="2321" width="8.5" style="93" bestFit="1" customWidth="1"/>
    <col min="2322" max="2559" width="9" style="93"/>
    <col min="2560" max="2560" width="9.75" style="93" bestFit="1" customWidth="1"/>
    <col min="2561" max="2561" width="9.5" style="93" customWidth="1"/>
    <col min="2562" max="2562" width="10.375" style="93" bestFit="1" customWidth="1"/>
    <col min="2563" max="2563" width="14.25" style="93" bestFit="1" customWidth="1"/>
    <col min="2564" max="2564" width="5.625" style="93" bestFit="1" customWidth="1"/>
    <col min="2565" max="2565" width="5.875" style="93" bestFit="1" customWidth="1"/>
    <col min="2566" max="2567" width="9" style="93"/>
    <col min="2568" max="2568" width="2.75" style="93" bestFit="1" customWidth="1"/>
    <col min="2569" max="2569" width="7.375" style="93" bestFit="1" customWidth="1"/>
    <col min="2570" max="2577" width="8.5" style="93" bestFit="1" customWidth="1"/>
    <col min="2578" max="2815" width="9" style="93"/>
    <col min="2816" max="2816" width="9.75" style="93" bestFit="1" customWidth="1"/>
    <col min="2817" max="2817" width="9.5" style="93" customWidth="1"/>
    <col min="2818" max="2818" width="10.375" style="93" bestFit="1" customWidth="1"/>
    <col min="2819" max="2819" width="14.25" style="93" bestFit="1" customWidth="1"/>
    <col min="2820" max="2820" width="5.625" style="93" bestFit="1" customWidth="1"/>
    <col min="2821" max="2821" width="5.875" style="93" bestFit="1" customWidth="1"/>
    <col min="2822" max="2823" width="9" style="93"/>
    <col min="2824" max="2824" width="2.75" style="93" bestFit="1" customWidth="1"/>
    <col min="2825" max="2825" width="7.375" style="93" bestFit="1" customWidth="1"/>
    <col min="2826" max="2833" width="8.5" style="93" bestFit="1" customWidth="1"/>
    <col min="2834" max="3071" width="9" style="93"/>
    <col min="3072" max="3072" width="9.75" style="93" bestFit="1" customWidth="1"/>
    <col min="3073" max="3073" width="9.5" style="93" customWidth="1"/>
    <col min="3074" max="3074" width="10.375" style="93" bestFit="1" customWidth="1"/>
    <col min="3075" max="3075" width="14.25" style="93" bestFit="1" customWidth="1"/>
    <col min="3076" max="3076" width="5.625" style="93" bestFit="1" customWidth="1"/>
    <col min="3077" max="3077" width="5.875" style="93" bestFit="1" customWidth="1"/>
    <col min="3078" max="3079" width="9" style="93"/>
    <col min="3080" max="3080" width="2.75" style="93" bestFit="1" customWidth="1"/>
    <col min="3081" max="3081" width="7.375" style="93" bestFit="1" customWidth="1"/>
    <col min="3082" max="3089" width="8.5" style="93" bestFit="1" customWidth="1"/>
    <col min="3090" max="3327" width="9" style="93"/>
    <col min="3328" max="3328" width="9.75" style="93" bestFit="1" customWidth="1"/>
    <col min="3329" max="3329" width="9.5" style="93" customWidth="1"/>
    <col min="3330" max="3330" width="10.375" style="93" bestFit="1" customWidth="1"/>
    <col min="3331" max="3331" width="14.25" style="93" bestFit="1" customWidth="1"/>
    <col min="3332" max="3332" width="5.625" style="93" bestFit="1" customWidth="1"/>
    <col min="3333" max="3333" width="5.875" style="93" bestFit="1" customWidth="1"/>
    <col min="3334" max="3335" width="9" style="93"/>
    <col min="3336" max="3336" width="2.75" style="93" bestFit="1" customWidth="1"/>
    <col min="3337" max="3337" width="7.375" style="93" bestFit="1" customWidth="1"/>
    <col min="3338" max="3345" width="8.5" style="93" bestFit="1" customWidth="1"/>
    <col min="3346" max="3583" width="9" style="93"/>
    <col min="3584" max="3584" width="9.75" style="93" bestFit="1" customWidth="1"/>
    <col min="3585" max="3585" width="9.5" style="93" customWidth="1"/>
    <col min="3586" max="3586" width="10.375" style="93" bestFit="1" customWidth="1"/>
    <col min="3587" max="3587" width="14.25" style="93" bestFit="1" customWidth="1"/>
    <col min="3588" max="3588" width="5.625" style="93" bestFit="1" customWidth="1"/>
    <col min="3589" max="3589" width="5.875" style="93" bestFit="1" customWidth="1"/>
    <col min="3590" max="3591" width="9" style="93"/>
    <col min="3592" max="3592" width="2.75" style="93" bestFit="1" customWidth="1"/>
    <col min="3593" max="3593" width="7.375" style="93" bestFit="1" customWidth="1"/>
    <col min="3594" max="3601" width="8.5" style="93" bestFit="1" customWidth="1"/>
    <col min="3602" max="3839" width="9" style="93"/>
    <col min="3840" max="3840" width="9.75" style="93" bestFit="1" customWidth="1"/>
    <col min="3841" max="3841" width="9.5" style="93" customWidth="1"/>
    <col min="3842" max="3842" width="10.375" style="93" bestFit="1" customWidth="1"/>
    <col min="3843" max="3843" width="14.25" style="93" bestFit="1" customWidth="1"/>
    <col min="3844" max="3844" width="5.625" style="93" bestFit="1" customWidth="1"/>
    <col min="3845" max="3845" width="5.875" style="93" bestFit="1" customWidth="1"/>
    <col min="3846" max="3847" width="9" style="93"/>
    <col min="3848" max="3848" width="2.75" style="93" bestFit="1" customWidth="1"/>
    <col min="3849" max="3849" width="7.375" style="93" bestFit="1" customWidth="1"/>
    <col min="3850" max="3857" width="8.5" style="93" bestFit="1" customWidth="1"/>
    <col min="3858" max="4095" width="9" style="93"/>
    <col min="4096" max="4096" width="9.75" style="93" bestFit="1" customWidth="1"/>
    <col min="4097" max="4097" width="9.5" style="93" customWidth="1"/>
    <col min="4098" max="4098" width="10.375" style="93" bestFit="1" customWidth="1"/>
    <col min="4099" max="4099" width="14.25" style="93" bestFit="1" customWidth="1"/>
    <col min="4100" max="4100" width="5.625" style="93" bestFit="1" customWidth="1"/>
    <col min="4101" max="4101" width="5.875" style="93" bestFit="1" customWidth="1"/>
    <col min="4102" max="4103" width="9" style="93"/>
    <col min="4104" max="4104" width="2.75" style="93" bestFit="1" customWidth="1"/>
    <col min="4105" max="4105" width="7.375" style="93" bestFit="1" customWidth="1"/>
    <col min="4106" max="4113" width="8.5" style="93" bestFit="1" customWidth="1"/>
    <col min="4114" max="4351" width="9" style="93"/>
    <col min="4352" max="4352" width="9.75" style="93" bestFit="1" customWidth="1"/>
    <col min="4353" max="4353" width="9.5" style="93" customWidth="1"/>
    <col min="4354" max="4354" width="10.375" style="93" bestFit="1" customWidth="1"/>
    <col min="4355" max="4355" width="14.25" style="93" bestFit="1" customWidth="1"/>
    <col min="4356" max="4356" width="5.625" style="93" bestFit="1" customWidth="1"/>
    <col min="4357" max="4357" width="5.875" style="93" bestFit="1" customWidth="1"/>
    <col min="4358" max="4359" width="9" style="93"/>
    <col min="4360" max="4360" width="2.75" style="93" bestFit="1" customWidth="1"/>
    <col min="4361" max="4361" width="7.375" style="93" bestFit="1" customWidth="1"/>
    <col min="4362" max="4369" width="8.5" style="93" bestFit="1" customWidth="1"/>
    <col min="4370" max="4607" width="9" style="93"/>
    <col min="4608" max="4608" width="9.75" style="93" bestFit="1" customWidth="1"/>
    <col min="4609" max="4609" width="9.5" style="93" customWidth="1"/>
    <col min="4610" max="4610" width="10.375" style="93" bestFit="1" customWidth="1"/>
    <col min="4611" max="4611" width="14.25" style="93" bestFit="1" customWidth="1"/>
    <col min="4612" max="4612" width="5.625" style="93" bestFit="1" customWidth="1"/>
    <col min="4613" max="4613" width="5.875" style="93" bestFit="1" customWidth="1"/>
    <col min="4614" max="4615" width="9" style="93"/>
    <col min="4616" max="4616" width="2.75" style="93" bestFit="1" customWidth="1"/>
    <col min="4617" max="4617" width="7.375" style="93" bestFit="1" customWidth="1"/>
    <col min="4618" max="4625" width="8.5" style="93" bestFit="1" customWidth="1"/>
    <col min="4626" max="4863" width="9" style="93"/>
    <col min="4864" max="4864" width="9.75" style="93" bestFit="1" customWidth="1"/>
    <col min="4865" max="4865" width="9.5" style="93" customWidth="1"/>
    <col min="4866" max="4866" width="10.375" style="93" bestFit="1" customWidth="1"/>
    <col min="4867" max="4867" width="14.25" style="93" bestFit="1" customWidth="1"/>
    <col min="4868" max="4868" width="5.625" style="93" bestFit="1" customWidth="1"/>
    <col min="4869" max="4869" width="5.875" style="93" bestFit="1" customWidth="1"/>
    <col min="4870" max="4871" width="9" style="93"/>
    <col min="4872" max="4872" width="2.75" style="93" bestFit="1" customWidth="1"/>
    <col min="4873" max="4873" width="7.375" style="93" bestFit="1" customWidth="1"/>
    <col min="4874" max="4881" width="8.5" style="93" bestFit="1" customWidth="1"/>
    <col min="4882" max="5119" width="9" style="93"/>
    <col min="5120" max="5120" width="9.75" style="93" bestFit="1" customWidth="1"/>
    <col min="5121" max="5121" width="9.5" style="93" customWidth="1"/>
    <col min="5122" max="5122" width="10.375" style="93" bestFit="1" customWidth="1"/>
    <col min="5123" max="5123" width="14.25" style="93" bestFit="1" customWidth="1"/>
    <col min="5124" max="5124" width="5.625" style="93" bestFit="1" customWidth="1"/>
    <col min="5125" max="5125" width="5.875" style="93" bestFit="1" customWidth="1"/>
    <col min="5126" max="5127" width="9" style="93"/>
    <col min="5128" max="5128" width="2.75" style="93" bestFit="1" customWidth="1"/>
    <col min="5129" max="5129" width="7.375" style="93" bestFit="1" customWidth="1"/>
    <col min="5130" max="5137" width="8.5" style="93" bestFit="1" customWidth="1"/>
    <col min="5138" max="5375" width="9" style="93"/>
    <col min="5376" max="5376" width="9.75" style="93" bestFit="1" customWidth="1"/>
    <col min="5377" max="5377" width="9.5" style="93" customWidth="1"/>
    <col min="5378" max="5378" width="10.375" style="93" bestFit="1" customWidth="1"/>
    <col min="5379" max="5379" width="14.25" style="93" bestFit="1" customWidth="1"/>
    <col min="5380" max="5380" width="5.625" style="93" bestFit="1" customWidth="1"/>
    <col min="5381" max="5381" width="5.875" style="93" bestFit="1" customWidth="1"/>
    <col min="5382" max="5383" width="9" style="93"/>
    <col min="5384" max="5384" width="2.75" style="93" bestFit="1" customWidth="1"/>
    <col min="5385" max="5385" width="7.375" style="93" bestFit="1" customWidth="1"/>
    <col min="5386" max="5393" width="8.5" style="93" bestFit="1" customWidth="1"/>
    <col min="5394" max="5631" width="9" style="93"/>
    <col min="5632" max="5632" width="9.75" style="93" bestFit="1" customWidth="1"/>
    <col min="5633" max="5633" width="9.5" style="93" customWidth="1"/>
    <col min="5634" max="5634" width="10.375" style="93" bestFit="1" customWidth="1"/>
    <col min="5635" max="5635" width="14.25" style="93" bestFit="1" customWidth="1"/>
    <col min="5636" max="5636" width="5.625" style="93" bestFit="1" customWidth="1"/>
    <col min="5637" max="5637" width="5.875" style="93" bestFit="1" customWidth="1"/>
    <col min="5638" max="5639" width="9" style="93"/>
    <col min="5640" max="5640" width="2.75" style="93" bestFit="1" customWidth="1"/>
    <col min="5641" max="5641" width="7.375" style="93" bestFit="1" customWidth="1"/>
    <col min="5642" max="5649" width="8.5" style="93" bestFit="1" customWidth="1"/>
    <col min="5650" max="5887" width="9" style="93"/>
    <col min="5888" max="5888" width="9.75" style="93" bestFit="1" customWidth="1"/>
    <col min="5889" max="5889" width="9.5" style="93" customWidth="1"/>
    <col min="5890" max="5890" width="10.375" style="93" bestFit="1" customWidth="1"/>
    <col min="5891" max="5891" width="14.25" style="93" bestFit="1" customWidth="1"/>
    <col min="5892" max="5892" width="5.625" style="93" bestFit="1" customWidth="1"/>
    <col min="5893" max="5893" width="5.875" style="93" bestFit="1" customWidth="1"/>
    <col min="5894" max="5895" width="9" style="93"/>
    <col min="5896" max="5896" width="2.75" style="93" bestFit="1" customWidth="1"/>
    <col min="5897" max="5897" width="7.375" style="93" bestFit="1" customWidth="1"/>
    <col min="5898" max="5905" width="8.5" style="93" bestFit="1" customWidth="1"/>
    <col min="5906" max="6143" width="9" style="93"/>
    <col min="6144" max="6144" width="9.75" style="93" bestFit="1" customWidth="1"/>
    <col min="6145" max="6145" width="9.5" style="93" customWidth="1"/>
    <col min="6146" max="6146" width="10.375" style="93" bestFit="1" customWidth="1"/>
    <col min="6147" max="6147" width="14.25" style="93" bestFit="1" customWidth="1"/>
    <col min="6148" max="6148" width="5.625" style="93" bestFit="1" customWidth="1"/>
    <col min="6149" max="6149" width="5.875" style="93" bestFit="1" customWidth="1"/>
    <col min="6150" max="6151" width="9" style="93"/>
    <col min="6152" max="6152" width="2.75" style="93" bestFit="1" customWidth="1"/>
    <col min="6153" max="6153" width="7.375" style="93" bestFit="1" customWidth="1"/>
    <col min="6154" max="6161" width="8.5" style="93" bestFit="1" customWidth="1"/>
    <col min="6162" max="6399" width="9" style="93"/>
    <col min="6400" max="6400" width="9.75" style="93" bestFit="1" customWidth="1"/>
    <col min="6401" max="6401" width="9.5" style="93" customWidth="1"/>
    <col min="6402" max="6402" width="10.375" style="93" bestFit="1" customWidth="1"/>
    <col min="6403" max="6403" width="14.25" style="93" bestFit="1" customWidth="1"/>
    <col min="6404" max="6404" width="5.625" style="93" bestFit="1" customWidth="1"/>
    <col min="6405" max="6405" width="5.875" style="93" bestFit="1" customWidth="1"/>
    <col min="6406" max="6407" width="9" style="93"/>
    <col min="6408" max="6408" width="2.75" style="93" bestFit="1" customWidth="1"/>
    <col min="6409" max="6409" width="7.375" style="93" bestFit="1" customWidth="1"/>
    <col min="6410" max="6417" width="8.5" style="93" bestFit="1" customWidth="1"/>
    <col min="6418" max="6655" width="9" style="93"/>
    <col min="6656" max="6656" width="9.75" style="93" bestFit="1" customWidth="1"/>
    <col min="6657" max="6657" width="9.5" style="93" customWidth="1"/>
    <col min="6658" max="6658" width="10.375" style="93" bestFit="1" customWidth="1"/>
    <col min="6659" max="6659" width="14.25" style="93" bestFit="1" customWidth="1"/>
    <col min="6660" max="6660" width="5.625" style="93" bestFit="1" customWidth="1"/>
    <col min="6661" max="6661" width="5.875" style="93" bestFit="1" customWidth="1"/>
    <col min="6662" max="6663" width="9" style="93"/>
    <col min="6664" max="6664" width="2.75" style="93" bestFit="1" customWidth="1"/>
    <col min="6665" max="6665" width="7.375" style="93" bestFit="1" customWidth="1"/>
    <col min="6666" max="6673" width="8.5" style="93" bestFit="1" customWidth="1"/>
    <col min="6674" max="6911" width="9" style="93"/>
    <col min="6912" max="6912" width="9.75" style="93" bestFit="1" customWidth="1"/>
    <col min="6913" max="6913" width="9.5" style="93" customWidth="1"/>
    <col min="6914" max="6914" width="10.375" style="93" bestFit="1" customWidth="1"/>
    <col min="6915" max="6915" width="14.25" style="93" bestFit="1" customWidth="1"/>
    <col min="6916" max="6916" width="5.625" style="93" bestFit="1" customWidth="1"/>
    <col min="6917" max="6917" width="5.875" style="93" bestFit="1" customWidth="1"/>
    <col min="6918" max="6919" width="9" style="93"/>
    <col min="6920" max="6920" width="2.75" style="93" bestFit="1" customWidth="1"/>
    <col min="6921" max="6921" width="7.375" style="93" bestFit="1" customWidth="1"/>
    <col min="6922" max="6929" width="8.5" style="93" bestFit="1" customWidth="1"/>
    <col min="6930" max="7167" width="9" style="93"/>
    <col min="7168" max="7168" width="9.75" style="93" bestFit="1" customWidth="1"/>
    <col min="7169" max="7169" width="9.5" style="93" customWidth="1"/>
    <col min="7170" max="7170" width="10.375" style="93" bestFit="1" customWidth="1"/>
    <col min="7171" max="7171" width="14.25" style="93" bestFit="1" customWidth="1"/>
    <col min="7172" max="7172" width="5.625" style="93" bestFit="1" customWidth="1"/>
    <col min="7173" max="7173" width="5.875" style="93" bestFit="1" customWidth="1"/>
    <col min="7174" max="7175" width="9" style="93"/>
    <col min="7176" max="7176" width="2.75" style="93" bestFit="1" customWidth="1"/>
    <col min="7177" max="7177" width="7.375" style="93" bestFit="1" customWidth="1"/>
    <col min="7178" max="7185" width="8.5" style="93" bestFit="1" customWidth="1"/>
    <col min="7186" max="7423" width="9" style="93"/>
    <col min="7424" max="7424" width="9.75" style="93" bestFit="1" customWidth="1"/>
    <col min="7425" max="7425" width="9.5" style="93" customWidth="1"/>
    <col min="7426" max="7426" width="10.375" style="93" bestFit="1" customWidth="1"/>
    <col min="7427" max="7427" width="14.25" style="93" bestFit="1" customWidth="1"/>
    <col min="7428" max="7428" width="5.625" style="93" bestFit="1" customWidth="1"/>
    <col min="7429" max="7429" width="5.875" style="93" bestFit="1" customWidth="1"/>
    <col min="7430" max="7431" width="9" style="93"/>
    <col min="7432" max="7432" width="2.75" style="93" bestFit="1" customWidth="1"/>
    <col min="7433" max="7433" width="7.375" style="93" bestFit="1" customWidth="1"/>
    <col min="7434" max="7441" width="8.5" style="93" bestFit="1" customWidth="1"/>
    <col min="7442" max="7679" width="9" style="93"/>
    <col min="7680" max="7680" width="9.75" style="93" bestFit="1" customWidth="1"/>
    <col min="7681" max="7681" width="9.5" style="93" customWidth="1"/>
    <col min="7682" max="7682" width="10.375" style="93" bestFit="1" customWidth="1"/>
    <col min="7683" max="7683" width="14.25" style="93" bestFit="1" customWidth="1"/>
    <col min="7684" max="7684" width="5.625" style="93" bestFit="1" customWidth="1"/>
    <col min="7685" max="7685" width="5.875" style="93" bestFit="1" customWidth="1"/>
    <col min="7686" max="7687" width="9" style="93"/>
    <col min="7688" max="7688" width="2.75" style="93" bestFit="1" customWidth="1"/>
    <col min="7689" max="7689" width="7.375" style="93" bestFit="1" customWidth="1"/>
    <col min="7690" max="7697" width="8.5" style="93" bestFit="1" customWidth="1"/>
    <col min="7698" max="7935" width="9" style="93"/>
    <col min="7936" max="7936" width="9.75" style="93" bestFit="1" customWidth="1"/>
    <col min="7937" max="7937" width="9.5" style="93" customWidth="1"/>
    <col min="7938" max="7938" width="10.375" style="93" bestFit="1" customWidth="1"/>
    <col min="7939" max="7939" width="14.25" style="93" bestFit="1" customWidth="1"/>
    <col min="7940" max="7940" width="5.625" style="93" bestFit="1" customWidth="1"/>
    <col min="7941" max="7941" width="5.875" style="93" bestFit="1" customWidth="1"/>
    <col min="7942" max="7943" width="9" style="93"/>
    <col min="7944" max="7944" width="2.75" style="93" bestFit="1" customWidth="1"/>
    <col min="7945" max="7945" width="7.375" style="93" bestFit="1" customWidth="1"/>
    <col min="7946" max="7953" width="8.5" style="93" bestFit="1" customWidth="1"/>
    <col min="7954" max="8191" width="9" style="93"/>
    <col min="8192" max="8192" width="9.75" style="93" bestFit="1" customWidth="1"/>
    <col min="8193" max="8193" width="9.5" style="93" customWidth="1"/>
    <col min="8194" max="8194" width="10.375" style="93" bestFit="1" customWidth="1"/>
    <col min="8195" max="8195" width="14.25" style="93" bestFit="1" customWidth="1"/>
    <col min="8196" max="8196" width="5.625" style="93" bestFit="1" customWidth="1"/>
    <col min="8197" max="8197" width="5.875" style="93" bestFit="1" customWidth="1"/>
    <col min="8198" max="8199" width="9" style="93"/>
    <col min="8200" max="8200" width="2.75" style="93" bestFit="1" customWidth="1"/>
    <col min="8201" max="8201" width="7.375" style="93" bestFit="1" customWidth="1"/>
    <col min="8202" max="8209" width="8.5" style="93" bestFit="1" customWidth="1"/>
    <col min="8210" max="8447" width="9" style="93"/>
    <col min="8448" max="8448" width="9.75" style="93" bestFit="1" customWidth="1"/>
    <col min="8449" max="8449" width="9.5" style="93" customWidth="1"/>
    <col min="8450" max="8450" width="10.375" style="93" bestFit="1" customWidth="1"/>
    <col min="8451" max="8451" width="14.25" style="93" bestFit="1" customWidth="1"/>
    <col min="8452" max="8452" width="5.625" style="93" bestFit="1" customWidth="1"/>
    <col min="8453" max="8453" width="5.875" style="93" bestFit="1" customWidth="1"/>
    <col min="8454" max="8455" width="9" style="93"/>
    <col min="8456" max="8456" width="2.75" style="93" bestFit="1" customWidth="1"/>
    <col min="8457" max="8457" width="7.375" style="93" bestFit="1" customWidth="1"/>
    <col min="8458" max="8465" width="8.5" style="93" bestFit="1" customWidth="1"/>
    <col min="8466" max="8703" width="9" style="93"/>
    <col min="8704" max="8704" width="9.75" style="93" bestFit="1" customWidth="1"/>
    <col min="8705" max="8705" width="9.5" style="93" customWidth="1"/>
    <col min="8706" max="8706" width="10.375" style="93" bestFit="1" customWidth="1"/>
    <col min="8707" max="8707" width="14.25" style="93" bestFit="1" customWidth="1"/>
    <col min="8708" max="8708" width="5.625" style="93" bestFit="1" customWidth="1"/>
    <col min="8709" max="8709" width="5.875" style="93" bestFit="1" customWidth="1"/>
    <col min="8710" max="8711" width="9" style="93"/>
    <col min="8712" max="8712" width="2.75" style="93" bestFit="1" customWidth="1"/>
    <col min="8713" max="8713" width="7.375" style="93" bestFit="1" customWidth="1"/>
    <col min="8714" max="8721" width="8.5" style="93" bestFit="1" customWidth="1"/>
    <col min="8722" max="8959" width="9" style="93"/>
    <col min="8960" max="8960" width="9.75" style="93" bestFit="1" customWidth="1"/>
    <col min="8961" max="8961" width="9.5" style="93" customWidth="1"/>
    <col min="8962" max="8962" width="10.375" style="93" bestFit="1" customWidth="1"/>
    <col min="8963" max="8963" width="14.25" style="93" bestFit="1" customWidth="1"/>
    <col min="8964" max="8964" width="5.625" style="93" bestFit="1" customWidth="1"/>
    <col min="8965" max="8965" width="5.875" style="93" bestFit="1" customWidth="1"/>
    <col min="8966" max="8967" width="9" style="93"/>
    <col min="8968" max="8968" width="2.75" style="93" bestFit="1" customWidth="1"/>
    <col min="8969" max="8969" width="7.375" style="93" bestFit="1" customWidth="1"/>
    <col min="8970" max="8977" width="8.5" style="93" bestFit="1" customWidth="1"/>
    <col min="8978" max="9215" width="9" style="93"/>
    <col min="9216" max="9216" width="9.75" style="93" bestFit="1" customWidth="1"/>
    <col min="9217" max="9217" width="9.5" style="93" customWidth="1"/>
    <col min="9218" max="9218" width="10.375" style="93" bestFit="1" customWidth="1"/>
    <col min="9219" max="9219" width="14.25" style="93" bestFit="1" customWidth="1"/>
    <col min="9220" max="9220" width="5.625" style="93" bestFit="1" customWidth="1"/>
    <col min="9221" max="9221" width="5.875" style="93" bestFit="1" customWidth="1"/>
    <col min="9222" max="9223" width="9" style="93"/>
    <col min="9224" max="9224" width="2.75" style="93" bestFit="1" customWidth="1"/>
    <col min="9225" max="9225" width="7.375" style="93" bestFit="1" customWidth="1"/>
    <col min="9226" max="9233" width="8.5" style="93" bestFit="1" customWidth="1"/>
    <col min="9234" max="9471" width="9" style="93"/>
    <col min="9472" max="9472" width="9.75" style="93" bestFit="1" customWidth="1"/>
    <col min="9473" max="9473" width="9.5" style="93" customWidth="1"/>
    <col min="9474" max="9474" width="10.375" style="93" bestFit="1" customWidth="1"/>
    <col min="9475" max="9475" width="14.25" style="93" bestFit="1" customWidth="1"/>
    <col min="9476" max="9476" width="5.625" style="93" bestFit="1" customWidth="1"/>
    <col min="9477" max="9477" width="5.875" style="93" bestFit="1" customWidth="1"/>
    <col min="9478" max="9479" width="9" style="93"/>
    <col min="9480" max="9480" width="2.75" style="93" bestFit="1" customWidth="1"/>
    <col min="9481" max="9481" width="7.375" style="93" bestFit="1" customWidth="1"/>
    <col min="9482" max="9489" width="8.5" style="93" bestFit="1" customWidth="1"/>
    <col min="9490" max="9727" width="9" style="93"/>
    <col min="9728" max="9728" width="9.75" style="93" bestFit="1" customWidth="1"/>
    <col min="9729" max="9729" width="9.5" style="93" customWidth="1"/>
    <col min="9730" max="9730" width="10.375" style="93" bestFit="1" customWidth="1"/>
    <col min="9731" max="9731" width="14.25" style="93" bestFit="1" customWidth="1"/>
    <col min="9732" max="9732" width="5.625" style="93" bestFit="1" customWidth="1"/>
    <col min="9733" max="9733" width="5.875" style="93" bestFit="1" customWidth="1"/>
    <col min="9734" max="9735" width="9" style="93"/>
    <col min="9736" max="9736" width="2.75" style="93" bestFit="1" customWidth="1"/>
    <col min="9737" max="9737" width="7.375" style="93" bestFit="1" customWidth="1"/>
    <col min="9738" max="9745" width="8.5" style="93" bestFit="1" customWidth="1"/>
    <col min="9746" max="9983" width="9" style="93"/>
    <col min="9984" max="9984" width="9.75" style="93" bestFit="1" customWidth="1"/>
    <col min="9985" max="9985" width="9.5" style="93" customWidth="1"/>
    <col min="9986" max="9986" width="10.375" style="93" bestFit="1" customWidth="1"/>
    <col min="9987" max="9987" width="14.25" style="93" bestFit="1" customWidth="1"/>
    <col min="9988" max="9988" width="5.625" style="93" bestFit="1" customWidth="1"/>
    <col min="9989" max="9989" width="5.875" style="93" bestFit="1" customWidth="1"/>
    <col min="9990" max="9991" width="9" style="93"/>
    <col min="9992" max="9992" width="2.75" style="93" bestFit="1" customWidth="1"/>
    <col min="9993" max="9993" width="7.375" style="93" bestFit="1" customWidth="1"/>
    <col min="9994" max="10001" width="8.5" style="93" bestFit="1" customWidth="1"/>
    <col min="10002" max="10239" width="9" style="93"/>
    <col min="10240" max="10240" width="9.75" style="93" bestFit="1" customWidth="1"/>
    <col min="10241" max="10241" width="9.5" style="93" customWidth="1"/>
    <col min="10242" max="10242" width="10.375" style="93" bestFit="1" customWidth="1"/>
    <col min="10243" max="10243" width="14.25" style="93" bestFit="1" customWidth="1"/>
    <col min="10244" max="10244" width="5.625" style="93" bestFit="1" customWidth="1"/>
    <col min="10245" max="10245" width="5.875" style="93" bestFit="1" customWidth="1"/>
    <col min="10246" max="10247" width="9" style="93"/>
    <col min="10248" max="10248" width="2.75" style="93" bestFit="1" customWidth="1"/>
    <col min="10249" max="10249" width="7.375" style="93" bestFit="1" customWidth="1"/>
    <col min="10250" max="10257" width="8.5" style="93" bestFit="1" customWidth="1"/>
    <col min="10258" max="10495" width="9" style="93"/>
    <col min="10496" max="10496" width="9.75" style="93" bestFit="1" customWidth="1"/>
    <col min="10497" max="10497" width="9.5" style="93" customWidth="1"/>
    <col min="10498" max="10498" width="10.375" style="93" bestFit="1" customWidth="1"/>
    <col min="10499" max="10499" width="14.25" style="93" bestFit="1" customWidth="1"/>
    <col min="10500" max="10500" width="5.625" style="93" bestFit="1" customWidth="1"/>
    <col min="10501" max="10501" width="5.875" style="93" bestFit="1" customWidth="1"/>
    <col min="10502" max="10503" width="9" style="93"/>
    <col min="10504" max="10504" width="2.75" style="93" bestFit="1" customWidth="1"/>
    <col min="10505" max="10505" width="7.375" style="93" bestFit="1" customWidth="1"/>
    <col min="10506" max="10513" width="8.5" style="93" bestFit="1" customWidth="1"/>
    <col min="10514" max="10751" width="9" style="93"/>
    <col min="10752" max="10752" width="9.75" style="93" bestFit="1" customWidth="1"/>
    <col min="10753" max="10753" width="9.5" style="93" customWidth="1"/>
    <col min="10754" max="10754" width="10.375" style="93" bestFit="1" customWidth="1"/>
    <col min="10755" max="10755" width="14.25" style="93" bestFit="1" customWidth="1"/>
    <col min="10756" max="10756" width="5.625" style="93" bestFit="1" customWidth="1"/>
    <col min="10757" max="10757" width="5.875" style="93" bestFit="1" customWidth="1"/>
    <col min="10758" max="10759" width="9" style="93"/>
    <col min="10760" max="10760" width="2.75" style="93" bestFit="1" customWidth="1"/>
    <col min="10761" max="10761" width="7.375" style="93" bestFit="1" customWidth="1"/>
    <col min="10762" max="10769" width="8.5" style="93" bestFit="1" customWidth="1"/>
    <col min="10770" max="11007" width="9" style="93"/>
    <col min="11008" max="11008" width="9.75" style="93" bestFit="1" customWidth="1"/>
    <col min="11009" max="11009" width="9.5" style="93" customWidth="1"/>
    <col min="11010" max="11010" width="10.375" style="93" bestFit="1" customWidth="1"/>
    <col min="11011" max="11011" width="14.25" style="93" bestFit="1" customWidth="1"/>
    <col min="11012" max="11012" width="5.625" style="93" bestFit="1" customWidth="1"/>
    <col min="11013" max="11013" width="5.875" style="93" bestFit="1" customWidth="1"/>
    <col min="11014" max="11015" width="9" style="93"/>
    <col min="11016" max="11016" width="2.75" style="93" bestFit="1" customWidth="1"/>
    <col min="11017" max="11017" width="7.375" style="93" bestFit="1" customWidth="1"/>
    <col min="11018" max="11025" width="8.5" style="93" bestFit="1" customWidth="1"/>
    <col min="11026" max="11263" width="9" style="93"/>
    <col min="11264" max="11264" width="9.75" style="93" bestFit="1" customWidth="1"/>
    <col min="11265" max="11265" width="9.5" style="93" customWidth="1"/>
    <col min="11266" max="11266" width="10.375" style="93" bestFit="1" customWidth="1"/>
    <col min="11267" max="11267" width="14.25" style="93" bestFit="1" customWidth="1"/>
    <col min="11268" max="11268" width="5.625" style="93" bestFit="1" customWidth="1"/>
    <col min="11269" max="11269" width="5.875" style="93" bestFit="1" customWidth="1"/>
    <col min="11270" max="11271" width="9" style="93"/>
    <col min="11272" max="11272" width="2.75" style="93" bestFit="1" customWidth="1"/>
    <col min="11273" max="11273" width="7.375" style="93" bestFit="1" customWidth="1"/>
    <col min="11274" max="11281" width="8.5" style="93" bestFit="1" customWidth="1"/>
    <col min="11282" max="11519" width="9" style="93"/>
    <col min="11520" max="11520" width="9.75" style="93" bestFit="1" customWidth="1"/>
    <col min="11521" max="11521" width="9.5" style="93" customWidth="1"/>
    <col min="11522" max="11522" width="10.375" style="93" bestFit="1" customWidth="1"/>
    <col min="11523" max="11523" width="14.25" style="93" bestFit="1" customWidth="1"/>
    <col min="11524" max="11524" width="5.625" style="93" bestFit="1" customWidth="1"/>
    <col min="11525" max="11525" width="5.875" style="93" bestFit="1" customWidth="1"/>
    <col min="11526" max="11527" width="9" style="93"/>
    <col min="11528" max="11528" width="2.75" style="93" bestFit="1" customWidth="1"/>
    <col min="11529" max="11529" width="7.375" style="93" bestFit="1" customWidth="1"/>
    <col min="11530" max="11537" width="8.5" style="93" bestFit="1" customWidth="1"/>
    <col min="11538" max="11775" width="9" style="93"/>
    <col min="11776" max="11776" width="9.75" style="93" bestFit="1" customWidth="1"/>
    <col min="11777" max="11777" width="9.5" style="93" customWidth="1"/>
    <col min="11778" max="11778" width="10.375" style="93" bestFit="1" customWidth="1"/>
    <col min="11779" max="11779" width="14.25" style="93" bestFit="1" customWidth="1"/>
    <col min="11780" max="11780" width="5.625" style="93" bestFit="1" customWidth="1"/>
    <col min="11781" max="11781" width="5.875" style="93" bestFit="1" customWidth="1"/>
    <col min="11782" max="11783" width="9" style="93"/>
    <col min="11784" max="11784" width="2.75" style="93" bestFit="1" customWidth="1"/>
    <col min="11785" max="11785" width="7.375" style="93" bestFit="1" customWidth="1"/>
    <col min="11786" max="11793" width="8.5" style="93" bestFit="1" customWidth="1"/>
    <col min="11794" max="12031" width="9" style="93"/>
    <col min="12032" max="12032" width="9.75" style="93" bestFit="1" customWidth="1"/>
    <col min="12033" max="12033" width="9.5" style="93" customWidth="1"/>
    <col min="12034" max="12034" width="10.375" style="93" bestFit="1" customWidth="1"/>
    <col min="12035" max="12035" width="14.25" style="93" bestFit="1" customWidth="1"/>
    <col min="12036" max="12036" width="5.625" style="93" bestFit="1" customWidth="1"/>
    <col min="12037" max="12037" width="5.875" style="93" bestFit="1" customWidth="1"/>
    <col min="12038" max="12039" width="9" style="93"/>
    <col min="12040" max="12040" width="2.75" style="93" bestFit="1" customWidth="1"/>
    <col min="12041" max="12041" width="7.375" style="93" bestFit="1" customWidth="1"/>
    <col min="12042" max="12049" width="8.5" style="93" bestFit="1" customWidth="1"/>
    <col min="12050" max="12287" width="9" style="93"/>
    <col min="12288" max="12288" width="9.75" style="93" bestFit="1" customWidth="1"/>
    <col min="12289" max="12289" width="9.5" style="93" customWidth="1"/>
    <col min="12290" max="12290" width="10.375" style="93" bestFit="1" customWidth="1"/>
    <col min="12291" max="12291" width="14.25" style="93" bestFit="1" customWidth="1"/>
    <col min="12292" max="12292" width="5.625" style="93" bestFit="1" customWidth="1"/>
    <col min="12293" max="12293" width="5.875" style="93" bestFit="1" customWidth="1"/>
    <col min="12294" max="12295" width="9" style="93"/>
    <col min="12296" max="12296" width="2.75" style="93" bestFit="1" customWidth="1"/>
    <col min="12297" max="12297" width="7.375" style="93" bestFit="1" customWidth="1"/>
    <col min="12298" max="12305" width="8.5" style="93" bestFit="1" customWidth="1"/>
    <col min="12306" max="12543" width="9" style="93"/>
    <col min="12544" max="12544" width="9.75" style="93" bestFit="1" customWidth="1"/>
    <col min="12545" max="12545" width="9.5" style="93" customWidth="1"/>
    <col min="12546" max="12546" width="10.375" style="93" bestFit="1" customWidth="1"/>
    <col min="12547" max="12547" width="14.25" style="93" bestFit="1" customWidth="1"/>
    <col min="12548" max="12548" width="5.625" style="93" bestFit="1" customWidth="1"/>
    <col min="12549" max="12549" width="5.875" style="93" bestFit="1" customWidth="1"/>
    <col min="12550" max="12551" width="9" style="93"/>
    <col min="12552" max="12552" width="2.75" style="93" bestFit="1" customWidth="1"/>
    <col min="12553" max="12553" width="7.375" style="93" bestFit="1" customWidth="1"/>
    <col min="12554" max="12561" width="8.5" style="93" bestFit="1" customWidth="1"/>
    <col min="12562" max="12799" width="9" style="93"/>
    <col min="12800" max="12800" width="9.75" style="93" bestFit="1" customWidth="1"/>
    <col min="12801" max="12801" width="9.5" style="93" customWidth="1"/>
    <col min="12802" max="12802" width="10.375" style="93" bestFit="1" customWidth="1"/>
    <col min="12803" max="12803" width="14.25" style="93" bestFit="1" customWidth="1"/>
    <col min="12804" max="12804" width="5.625" style="93" bestFit="1" customWidth="1"/>
    <col min="12805" max="12805" width="5.875" style="93" bestFit="1" customWidth="1"/>
    <col min="12806" max="12807" width="9" style="93"/>
    <col min="12808" max="12808" width="2.75" style="93" bestFit="1" customWidth="1"/>
    <col min="12809" max="12809" width="7.375" style="93" bestFit="1" customWidth="1"/>
    <col min="12810" max="12817" width="8.5" style="93" bestFit="1" customWidth="1"/>
    <col min="12818" max="13055" width="9" style="93"/>
    <col min="13056" max="13056" width="9.75" style="93" bestFit="1" customWidth="1"/>
    <col min="13057" max="13057" width="9.5" style="93" customWidth="1"/>
    <col min="13058" max="13058" width="10.375" style="93" bestFit="1" customWidth="1"/>
    <col min="13059" max="13059" width="14.25" style="93" bestFit="1" customWidth="1"/>
    <col min="13060" max="13060" width="5.625" style="93" bestFit="1" customWidth="1"/>
    <col min="13061" max="13061" width="5.875" style="93" bestFit="1" customWidth="1"/>
    <col min="13062" max="13063" width="9" style="93"/>
    <col min="13064" max="13064" width="2.75" style="93" bestFit="1" customWidth="1"/>
    <col min="13065" max="13065" width="7.375" style="93" bestFit="1" customWidth="1"/>
    <col min="13066" max="13073" width="8.5" style="93" bestFit="1" customWidth="1"/>
    <col min="13074" max="13311" width="9" style="93"/>
    <col min="13312" max="13312" width="9.75" style="93" bestFit="1" customWidth="1"/>
    <col min="13313" max="13313" width="9.5" style="93" customWidth="1"/>
    <col min="13314" max="13314" width="10.375" style="93" bestFit="1" customWidth="1"/>
    <col min="13315" max="13315" width="14.25" style="93" bestFit="1" customWidth="1"/>
    <col min="13316" max="13316" width="5.625" style="93" bestFit="1" customWidth="1"/>
    <col min="13317" max="13317" width="5.875" style="93" bestFit="1" customWidth="1"/>
    <col min="13318" max="13319" width="9" style="93"/>
    <col min="13320" max="13320" width="2.75" style="93" bestFit="1" customWidth="1"/>
    <col min="13321" max="13321" width="7.375" style="93" bestFit="1" customWidth="1"/>
    <col min="13322" max="13329" width="8.5" style="93" bestFit="1" customWidth="1"/>
    <col min="13330" max="13567" width="9" style="93"/>
    <col min="13568" max="13568" width="9.75" style="93" bestFit="1" customWidth="1"/>
    <col min="13569" max="13569" width="9.5" style="93" customWidth="1"/>
    <col min="13570" max="13570" width="10.375" style="93" bestFit="1" customWidth="1"/>
    <col min="13571" max="13571" width="14.25" style="93" bestFit="1" customWidth="1"/>
    <col min="13572" max="13572" width="5.625" style="93" bestFit="1" customWidth="1"/>
    <col min="13573" max="13573" width="5.875" style="93" bestFit="1" customWidth="1"/>
    <col min="13574" max="13575" width="9" style="93"/>
    <col min="13576" max="13576" width="2.75" style="93" bestFit="1" customWidth="1"/>
    <col min="13577" max="13577" width="7.375" style="93" bestFit="1" customWidth="1"/>
    <col min="13578" max="13585" width="8.5" style="93" bestFit="1" customWidth="1"/>
    <col min="13586" max="13823" width="9" style="93"/>
    <col min="13824" max="13824" width="9.75" style="93" bestFit="1" customWidth="1"/>
    <col min="13825" max="13825" width="9.5" style="93" customWidth="1"/>
    <col min="13826" max="13826" width="10.375" style="93" bestFit="1" customWidth="1"/>
    <col min="13827" max="13827" width="14.25" style="93" bestFit="1" customWidth="1"/>
    <col min="13828" max="13828" width="5.625" style="93" bestFit="1" customWidth="1"/>
    <col min="13829" max="13829" width="5.875" style="93" bestFit="1" customWidth="1"/>
    <col min="13830" max="13831" width="9" style="93"/>
    <col min="13832" max="13832" width="2.75" style="93" bestFit="1" customWidth="1"/>
    <col min="13833" max="13833" width="7.375" style="93" bestFit="1" customWidth="1"/>
    <col min="13834" max="13841" width="8.5" style="93" bestFit="1" customWidth="1"/>
    <col min="13842" max="14079" width="9" style="93"/>
    <col min="14080" max="14080" width="9.75" style="93" bestFit="1" customWidth="1"/>
    <col min="14081" max="14081" width="9.5" style="93" customWidth="1"/>
    <col min="14082" max="14082" width="10.375" style="93" bestFit="1" customWidth="1"/>
    <col min="14083" max="14083" width="14.25" style="93" bestFit="1" customWidth="1"/>
    <col min="14084" max="14084" width="5.625" style="93" bestFit="1" customWidth="1"/>
    <col min="14085" max="14085" width="5.875" style="93" bestFit="1" customWidth="1"/>
    <col min="14086" max="14087" width="9" style="93"/>
    <col min="14088" max="14088" width="2.75" style="93" bestFit="1" customWidth="1"/>
    <col min="14089" max="14089" width="7.375" style="93" bestFit="1" customWidth="1"/>
    <col min="14090" max="14097" width="8.5" style="93" bestFit="1" customWidth="1"/>
    <col min="14098" max="14335" width="9" style="93"/>
    <col min="14336" max="14336" width="9.75" style="93" bestFit="1" customWidth="1"/>
    <col min="14337" max="14337" width="9.5" style="93" customWidth="1"/>
    <col min="14338" max="14338" width="10.375" style="93" bestFit="1" customWidth="1"/>
    <col min="14339" max="14339" width="14.25" style="93" bestFit="1" customWidth="1"/>
    <col min="14340" max="14340" width="5.625" style="93" bestFit="1" customWidth="1"/>
    <col min="14341" max="14341" width="5.875" style="93" bestFit="1" customWidth="1"/>
    <col min="14342" max="14343" width="9" style="93"/>
    <col min="14344" max="14344" width="2.75" style="93" bestFit="1" customWidth="1"/>
    <col min="14345" max="14345" width="7.375" style="93" bestFit="1" customWidth="1"/>
    <col min="14346" max="14353" width="8.5" style="93" bestFit="1" customWidth="1"/>
    <col min="14354" max="14591" width="9" style="93"/>
    <col min="14592" max="14592" width="9.75" style="93" bestFit="1" customWidth="1"/>
    <col min="14593" max="14593" width="9.5" style="93" customWidth="1"/>
    <col min="14594" max="14594" width="10.375" style="93" bestFit="1" customWidth="1"/>
    <col min="14595" max="14595" width="14.25" style="93" bestFit="1" customWidth="1"/>
    <col min="14596" max="14596" width="5.625" style="93" bestFit="1" customWidth="1"/>
    <col min="14597" max="14597" width="5.875" style="93" bestFit="1" customWidth="1"/>
    <col min="14598" max="14599" width="9" style="93"/>
    <col min="14600" max="14600" width="2.75" style="93" bestFit="1" customWidth="1"/>
    <col min="14601" max="14601" width="7.375" style="93" bestFit="1" customWidth="1"/>
    <col min="14602" max="14609" width="8.5" style="93" bestFit="1" customWidth="1"/>
    <col min="14610" max="14847" width="9" style="93"/>
    <col min="14848" max="14848" width="9.75" style="93" bestFit="1" customWidth="1"/>
    <col min="14849" max="14849" width="9.5" style="93" customWidth="1"/>
    <col min="14850" max="14850" width="10.375" style="93" bestFit="1" customWidth="1"/>
    <col min="14851" max="14851" width="14.25" style="93" bestFit="1" customWidth="1"/>
    <col min="14852" max="14852" width="5.625" style="93" bestFit="1" customWidth="1"/>
    <col min="14853" max="14853" width="5.875" style="93" bestFit="1" customWidth="1"/>
    <col min="14854" max="14855" width="9" style="93"/>
    <col min="14856" max="14856" width="2.75" style="93" bestFit="1" customWidth="1"/>
    <col min="14857" max="14857" width="7.375" style="93" bestFit="1" customWidth="1"/>
    <col min="14858" max="14865" width="8.5" style="93" bestFit="1" customWidth="1"/>
    <col min="14866" max="15103" width="9" style="93"/>
    <col min="15104" max="15104" width="9.75" style="93" bestFit="1" customWidth="1"/>
    <col min="15105" max="15105" width="9.5" style="93" customWidth="1"/>
    <col min="15106" max="15106" width="10.375" style="93" bestFit="1" customWidth="1"/>
    <col min="15107" max="15107" width="14.25" style="93" bestFit="1" customWidth="1"/>
    <col min="15108" max="15108" width="5.625" style="93" bestFit="1" customWidth="1"/>
    <col min="15109" max="15109" width="5.875" style="93" bestFit="1" customWidth="1"/>
    <col min="15110" max="15111" width="9" style="93"/>
    <col min="15112" max="15112" width="2.75" style="93" bestFit="1" customWidth="1"/>
    <col min="15113" max="15113" width="7.375" style="93" bestFit="1" customWidth="1"/>
    <col min="15114" max="15121" width="8.5" style="93" bestFit="1" customWidth="1"/>
    <col min="15122" max="15359" width="9" style="93"/>
    <col min="15360" max="15360" width="9.75" style="93" bestFit="1" customWidth="1"/>
    <col min="15361" max="15361" width="9.5" style="93" customWidth="1"/>
    <col min="15362" max="15362" width="10.375" style="93" bestFit="1" customWidth="1"/>
    <col min="15363" max="15363" width="14.25" style="93" bestFit="1" customWidth="1"/>
    <col min="15364" max="15364" width="5.625" style="93" bestFit="1" customWidth="1"/>
    <col min="15365" max="15365" width="5.875" style="93" bestFit="1" customWidth="1"/>
    <col min="15366" max="15367" width="9" style="93"/>
    <col min="15368" max="15368" width="2.75" style="93" bestFit="1" customWidth="1"/>
    <col min="15369" max="15369" width="7.375" style="93" bestFit="1" customWidth="1"/>
    <col min="15370" max="15377" width="8.5" style="93" bestFit="1" customWidth="1"/>
    <col min="15378" max="15615" width="9" style="93"/>
    <col min="15616" max="15616" width="9.75" style="93" bestFit="1" customWidth="1"/>
    <col min="15617" max="15617" width="9.5" style="93" customWidth="1"/>
    <col min="15618" max="15618" width="10.375" style="93" bestFit="1" customWidth="1"/>
    <col min="15619" max="15619" width="14.25" style="93" bestFit="1" customWidth="1"/>
    <col min="15620" max="15620" width="5.625" style="93" bestFit="1" customWidth="1"/>
    <col min="15621" max="15621" width="5.875" style="93" bestFit="1" customWidth="1"/>
    <col min="15622" max="15623" width="9" style="93"/>
    <col min="15624" max="15624" width="2.75" style="93" bestFit="1" customWidth="1"/>
    <col min="15625" max="15625" width="7.375" style="93" bestFit="1" customWidth="1"/>
    <col min="15626" max="15633" width="8.5" style="93" bestFit="1" customWidth="1"/>
    <col min="15634" max="15871" width="9" style="93"/>
    <col min="15872" max="15872" width="9.75" style="93" bestFit="1" customWidth="1"/>
    <col min="15873" max="15873" width="9.5" style="93" customWidth="1"/>
    <col min="15874" max="15874" width="10.375" style="93" bestFit="1" customWidth="1"/>
    <col min="15875" max="15875" width="14.25" style="93" bestFit="1" customWidth="1"/>
    <col min="15876" max="15876" width="5.625" style="93" bestFit="1" customWidth="1"/>
    <col min="15877" max="15877" width="5.875" style="93" bestFit="1" customWidth="1"/>
    <col min="15878" max="15879" width="9" style="93"/>
    <col min="15880" max="15880" width="2.75" style="93" bestFit="1" customWidth="1"/>
    <col min="15881" max="15881" width="7.375" style="93" bestFit="1" customWidth="1"/>
    <col min="15882" max="15889" width="8.5" style="93" bestFit="1" customWidth="1"/>
    <col min="15890" max="16127" width="9" style="93"/>
    <col min="16128" max="16128" width="9.75" style="93" bestFit="1" customWidth="1"/>
    <col min="16129" max="16129" width="9.5" style="93" customWidth="1"/>
    <col min="16130" max="16130" width="10.375" style="93" bestFit="1" customWidth="1"/>
    <col min="16131" max="16131" width="14.25" style="93" bestFit="1" customWidth="1"/>
    <col min="16132" max="16132" width="5.625" style="93" bestFit="1" customWidth="1"/>
    <col min="16133" max="16133" width="5.875" style="93" bestFit="1" customWidth="1"/>
    <col min="16134" max="16135" width="9" style="93"/>
    <col min="16136" max="16136" width="2.75" style="93" bestFit="1" customWidth="1"/>
    <col min="16137" max="16137" width="7.375" style="93" bestFit="1" customWidth="1"/>
    <col min="16138" max="16145" width="8.5" style="93" bestFit="1" customWidth="1"/>
    <col min="16146" max="16384" width="9" style="93"/>
  </cols>
  <sheetData>
    <row r="7" spans="2:13" ht="14.25" x14ac:dyDescent="0.2">
      <c r="B7"/>
      <c r="C7" s="67" t="s">
        <v>8509</v>
      </c>
      <c r="D7" s="306" t="s">
        <v>7142</v>
      </c>
      <c r="E7" s="306" t="s">
        <v>2392</v>
      </c>
      <c r="F7"/>
      <c r="G7"/>
      <c r="H7"/>
      <c r="I7"/>
      <c r="J7" s="302" t="s">
        <v>8510</v>
      </c>
      <c r="K7" s="302" t="s">
        <v>7142</v>
      </c>
      <c r="L7" s="302" t="s">
        <v>8511</v>
      </c>
      <c r="M7" s="302" t="s">
        <v>8515</v>
      </c>
    </row>
    <row r="8" spans="2:13" ht="14.25" x14ac:dyDescent="0.2">
      <c r="B8" s="67" t="s">
        <v>6875</v>
      </c>
      <c r="C8" s="303">
        <v>119357</v>
      </c>
      <c r="D8" s="303"/>
      <c r="E8"/>
      <c r="F8"/>
      <c r="G8"/>
      <c r="H8" s="304"/>
      <c r="I8" s="304"/>
      <c r="J8" s="304">
        <v>0</v>
      </c>
      <c r="K8" s="307">
        <v>0</v>
      </c>
      <c r="L8" s="305" t="s">
        <v>2646</v>
      </c>
      <c r="M8" s="305" t="s">
        <v>1435</v>
      </c>
    </row>
    <row r="9" spans="2:13" ht="14.25" x14ac:dyDescent="0.2">
      <c r="B9" s="67" t="s">
        <v>116</v>
      </c>
      <c r="C9" s="303">
        <v>92310</v>
      </c>
      <c r="D9" s="303"/>
      <c r="E9"/>
      <c r="F9"/>
      <c r="G9"/>
      <c r="H9" s="304"/>
      <c r="I9" s="304"/>
      <c r="J9" s="304">
        <v>20000</v>
      </c>
      <c r="K9" s="307">
        <v>0</v>
      </c>
      <c r="L9" s="305" t="s">
        <v>2646</v>
      </c>
      <c r="M9" s="305" t="s">
        <v>1435</v>
      </c>
    </row>
    <row r="10" spans="2:13" ht="14.25" x14ac:dyDescent="0.2">
      <c r="B10" s="67" t="s">
        <v>6877</v>
      </c>
      <c r="C10" s="303">
        <v>106920</v>
      </c>
      <c r="D10" s="303"/>
      <c r="E10"/>
      <c r="F10"/>
      <c r="G10"/>
      <c r="H10" s="304"/>
      <c r="I10" s="304"/>
      <c r="J10" s="304">
        <v>40000</v>
      </c>
      <c r="K10" s="307">
        <v>0.01</v>
      </c>
      <c r="L10" s="305" t="s">
        <v>2646</v>
      </c>
      <c r="M10" s="305" t="s">
        <v>1435</v>
      </c>
    </row>
    <row r="11" spans="2:13" ht="14.25" x14ac:dyDescent="0.2">
      <c r="B11" s="67" t="s">
        <v>6878</v>
      </c>
      <c r="C11" s="303">
        <v>44635</v>
      </c>
      <c r="D11" s="303"/>
      <c r="E11"/>
      <c r="F11"/>
      <c r="G11"/>
      <c r="H11" s="304"/>
      <c r="I11" s="304"/>
      <c r="J11" s="304">
        <v>60000</v>
      </c>
      <c r="K11" s="307">
        <v>1.4999999999999999E-2</v>
      </c>
      <c r="L11" s="305" t="s">
        <v>2646</v>
      </c>
      <c r="M11" s="305" t="s">
        <v>2675</v>
      </c>
    </row>
    <row r="12" spans="2:13" ht="14.25" x14ac:dyDescent="0.2">
      <c r="B12" s="67" t="s">
        <v>6880</v>
      </c>
      <c r="C12" s="303">
        <v>19917</v>
      </c>
      <c r="D12" s="303"/>
      <c r="E12"/>
      <c r="F12"/>
      <c r="G12"/>
      <c r="H12" s="304"/>
      <c r="I12" s="304"/>
      <c r="J12" s="304">
        <v>80000</v>
      </c>
      <c r="K12" s="307">
        <v>0.02</v>
      </c>
      <c r="L12" s="305" t="s">
        <v>8512</v>
      </c>
      <c r="M12" s="305" t="s">
        <v>2675</v>
      </c>
    </row>
    <row r="13" spans="2:13" ht="14.25" x14ac:dyDescent="0.2">
      <c r="B13" s="67" t="s">
        <v>1245</v>
      </c>
      <c r="C13" s="303">
        <v>74077</v>
      </c>
      <c r="D13" s="303"/>
      <c r="E13"/>
      <c r="F13"/>
      <c r="G13"/>
      <c r="H13" s="304"/>
      <c r="I13" s="304"/>
      <c r="J13" s="304">
        <v>100000</v>
      </c>
      <c r="K13" s="307">
        <v>2.2499999999999999E-2</v>
      </c>
      <c r="L13" s="305" t="s">
        <v>8512</v>
      </c>
      <c r="M13" s="305" t="s">
        <v>2675</v>
      </c>
    </row>
    <row r="14" spans="2:13" ht="14.25" x14ac:dyDescent="0.2">
      <c r="B14" s="67" t="s">
        <v>2103</v>
      </c>
      <c r="C14" s="303">
        <v>85844</v>
      </c>
      <c r="D14" s="303"/>
      <c r="E14"/>
      <c r="F14"/>
      <c r="G14"/>
      <c r="H14" s="304"/>
      <c r="I14" s="304"/>
      <c r="J14" s="304">
        <v>120000</v>
      </c>
      <c r="K14" s="307">
        <v>2.5000000000000001E-2</v>
      </c>
      <c r="L14" s="305" t="s">
        <v>8513</v>
      </c>
      <c r="M14" s="305" t="s">
        <v>2397</v>
      </c>
    </row>
    <row r="15" spans="2:13" ht="14.25" x14ac:dyDescent="0.2">
      <c r="B15" s="67" t="s">
        <v>6883</v>
      </c>
      <c r="C15" s="303">
        <v>84004</v>
      </c>
      <c r="D15" s="303"/>
      <c r="E15"/>
      <c r="F15"/>
      <c r="G15"/>
      <c r="H15" s="304"/>
      <c r="I15" s="304"/>
      <c r="J15" s="304">
        <v>140000</v>
      </c>
      <c r="K15" s="307">
        <v>2.75E-2</v>
      </c>
      <c r="L15" s="305" t="s">
        <v>8513</v>
      </c>
      <c r="M15" s="305" t="s">
        <v>2397</v>
      </c>
    </row>
    <row r="16" spans="2:13" ht="14.25" x14ac:dyDescent="0.2">
      <c r="B16" s="67" t="s">
        <v>6890</v>
      </c>
      <c r="C16" s="303">
        <v>123968</v>
      </c>
      <c r="D16" s="303"/>
      <c r="E16"/>
      <c r="F16"/>
      <c r="G16"/>
      <c r="H16" s="304"/>
      <c r="I16" s="304"/>
      <c r="J16" s="304">
        <v>160000</v>
      </c>
      <c r="K16" s="307">
        <v>0.03</v>
      </c>
      <c r="L16" s="305" t="s">
        <v>8514</v>
      </c>
      <c r="M16" s="305" t="s">
        <v>2397</v>
      </c>
    </row>
    <row r="17" spans="2:17" ht="14.25" x14ac:dyDescent="0.2">
      <c r="B17" s="67" t="s">
        <v>6892</v>
      </c>
      <c r="C17" s="303">
        <v>80679</v>
      </c>
      <c r="D17" s="303"/>
      <c r="E17"/>
      <c r="F17"/>
      <c r="G17"/>
      <c r="H17" s="304"/>
      <c r="I17"/>
      <c r="J17" s="304"/>
      <c r="K17"/>
      <c r="L17"/>
      <c r="M17"/>
    </row>
    <row r="25" spans="2:17" ht="17.25" thickBot="1" x14ac:dyDescent="0.3">
      <c r="B25" s="91" t="s">
        <v>48</v>
      </c>
      <c r="C25" s="91" t="s">
        <v>2422</v>
      </c>
      <c r="D25" s="92" t="s">
        <v>6852</v>
      </c>
      <c r="E25" s="91" t="s">
        <v>6853</v>
      </c>
      <c r="F25" s="91" t="s">
        <v>6854</v>
      </c>
      <c r="G25" s="91" t="s">
        <v>6855</v>
      </c>
      <c r="I25" s="418" t="s">
        <v>6856</v>
      </c>
      <c r="J25" s="418"/>
      <c r="K25" s="418"/>
      <c r="L25" s="418"/>
      <c r="M25" s="418"/>
      <c r="N25" s="418"/>
      <c r="O25" s="418"/>
      <c r="P25" s="418"/>
      <c r="Q25" s="418"/>
    </row>
    <row r="26" spans="2:17" ht="13.5" thickTop="1" x14ac:dyDescent="0.2">
      <c r="B26" s="94" t="s">
        <v>6857</v>
      </c>
      <c r="C26" s="94" t="s">
        <v>1574</v>
      </c>
      <c r="D26" s="208">
        <v>42179</v>
      </c>
      <c r="E26" s="301"/>
      <c r="F26" s="95" t="s">
        <v>2681</v>
      </c>
      <c r="G26" s="94"/>
    </row>
    <row r="27" spans="2:17" ht="12.75" customHeight="1" x14ac:dyDescent="0.2">
      <c r="B27" s="94" t="s">
        <v>6858</v>
      </c>
      <c r="C27" s="94" t="s">
        <v>6859</v>
      </c>
      <c r="D27" s="208">
        <v>42053</v>
      </c>
      <c r="E27" s="301"/>
      <c r="F27" s="95" t="s">
        <v>2675</v>
      </c>
      <c r="G27" s="94"/>
      <c r="I27" s="96" t="s">
        <v>8068</v>
      </c>
      <c r="J27" s="96" t="s">
        <v>1435</v>
      </c>
      <c r="K27" s="96" t="s">
        <v>2675</v>
      </c>
      <c r="L27" s="96" t="s">
        <v>2397</v>
      </c>
      <c r="M27" s="96" t="s">
        <v>2398</v>
      </c>
      <c r="N27" s="96" t="s">
        <v>2677</v>
      </c>
      <c r="O27" s="96" t="s">
        <v>17</v>
      </c>
      <c r="P27" s="96" t="s">
        <v>2679</v>
      </c>
      <c r="Q27" s="96" t="s">
        <v>2681</v>
      </c>
    </row>
    <row r="28" spans="2:17" x14ac:dyDescent="0.2">
      <c r="B28" s="94" t="s">
        <v>6860</v>
      </c>
      <c r="C28" s="94" t="s">
        <v>6861</v>
      </c>
      <c r="D28" s="208">
        <v>42171</v>
      </c>
      <c r="E28" s="301"/>
      <c r="F28" s="95" t="s">
        <v>2397</v>
      </c>
      <c r="G28" s="94"/>
      <c r="I28" s="96">
        <v>0</v>
      </c>
      <c r="J28" s="207">
        <v>2000</v>
      </c>
      <c r="K28" s="207">
        <v>2100</v>
      </c>
      <c r="L28" s="207">
        <v>2200</v>
      </c>
      <c r="M28" s="207">
        <v>2300</v>
      </c>
      <c r="N28" s="207">
        <v>2400</v>
      </c>
      <c r="O28" s="207">
        <v>2500</v>
      </c>
      <c r="P28" s="207">
        <v>2600</v>
      </c>
      <c r="Q28" s="207">
        <v>2700</v>
      </c>
    </row>
    <row r="29" spans="2:17" x14ac:dyDescent="0.2">
      <c r="B29" s="94" t="s">
        <v>6862</v>
      </c>
      <c r="C29" s="94" t="s">
        <v>1862</v>
      </c>
      <c r="D29" s="208">
        <v>34891</v>
      </c>
      <c r="E29" s="301"/>
      <c r="F29" s="95" t="s">
        <v>2398</v>
      </c>
      <c r="G29" s="94"/>
      <c r="I29" s="96">
        <v>1</v>
      </c>
      <c r="J29" s="207">
        <v>2050</v>
      </c>
      <c r="K29" s="207">
        <v>2170</v>
      </c>
      <c r="L29" s="207">
        <v>2290</v>
      </c>
      <c r="M29" s="207">
        <v>2410</v>
      </c>
      <c r="N29" s="207">
        <v>2530</v>
      </c>
      <c r="O29" s="207">
        <v>2650</v>
      </c>
      <c r="P29" s="207">
        <v>2770</v>
      </c>
      <c r="Q29" s="207">
        <v>2890</v>
      </c>
    </row>
    <row r="30" spans="2:17" x14ac:dyDescent="0.2">
      <c r="B30" s="94" t="s">
        <v>99</v>
      </c>
      <c r="C30" s="94" t="s">
        <v>6863</v>
      </c>
      <c r="D30" s="208">
        <v>42355</v>
      </c>
      <c r="E30" s="301"/>
      <c r="F30" s="95" t="s">
        <v>2677</v>
      </c>
      <c r="G30" s="94"/>
      <c r="I30" s="96">
        <v>5</v>
      </c>
      <c r="J30" s="207">
        <v>2100</v>
      </c>
      <c r="K30" s="207">
        <v>2240</v>
      </c>
      <c r="L30" s="207">
        <v>2380</v>
      </c>
      <c r="M30" s="207">
        <v>2520</v>
      </c>
      <c r="N30" s="207">
        <v>2660</v>
      </c>
      <c r="O30" s="207">
        <v>2800</v>
      </c>
      <c r="P30" s="207">
        <v>2940</v>
      </c>
      <c r="Q30" s="207">
        <v>3080</v>
      </c>
    </row>
    <row r="31" spans="2:17" x14ac:dyDescent="0.2">
      <c r="B31" s="94" t="s">
        <v>6864</v>
      </c>
      <c r="C31" s="94" t="s">
        <v>6865</v>
      </c>
      <c r="D31" s="208">
        <v>41617</v>
      </c>
      <c r="E31" s="301"/>
      <c r="F31" s="95" t="s">
        <v>17</v>
      </c>
      <c r="G31" s="94"/>
      <c r="I31" s="96">
        <v>7</v>
      </c>
      <c r="J31" s="207">
        <v>2150</v>
      </c>
      <c r="K31" s="207">
        <v>2310</v>
      </c>
      <c r="L31" s="207">
        <v>2470</v>
      </c>
      <c r="M31" s="207">
        <v>2630</v>
      </c>
      <c r="N31" s="207">
        <v>2790</v>
      </c>
      <c r="O31" s="207">
        <v>2950</v>
      </c>
      <c r="P31" s="207">
        <v>3110</v>
      </c>
      <c r="Q31" s="207">
        <v>3270</v>
      </c>
    </row>
    <row r="32" spans="2:17" x14ac:dyDescent="0.2">
      <c r="B32" s="94" t="s">
        <v>6866</v>
      </c>
      <c r="C32" s="94" t="s">
        <v>6867</v>
      </c>
      <c r="D32" s="208">
        <v>42865</v>
      </c>
      <c r="E32" s="301"/>
      <c r="F32" s="95" t="s">
        <v>2679</v>
      </c>
      <c r="G32" s="94"/>
      <c r="I32" s="96">
        <v>9</v>
      </c>
      <c r="J32" s="207">
        <v>2200</v>
      </c>
      <c r="K32" s="207">
        <v>2380</v>
      </c>
      <c r="L32" s="207">
        <v>2560</v>
      </c>
      <c r="M32" s="207">
        <v>2740</v>
      </c>
      <c r="N32" s="207">
        <v>2920</v>
      </c>
      <c r="O32" s="207">
        <v>3100</v>
      </c>
      <c r="P32" s="207">
        <v>3280</v>
      </c>
      <c r="Q32" s="207">
        <v>3460</v>
      </c>
    </row>
    <row r="33" spans="2:17" x14ac:dyDescent="0.2">
      <c r="B33" s="94" t="s">
        <v>6868</v>
      </c>
      <c r="C33" s="94" t="s">
        <v>6869</v>
      </c>
      <c r="D33" s="208">
        <v>40946</v>
      </c>
      <c r="E33" s="301"/>
      <c r="F33" s="95" t="s">
        <v>2681</v>
      </c>
      <c r="G33" s="94"/>
      <c r="I33" s="96">
        <v>11</v>
      </c>
      <c r="J33" s="207">
        <v>2250</v>
      </c>
      <c r="K33" s="207">
        <v>2450</v>
      </c>
      <c r="L33" s="207">
        <v>2650</v>
      </c>
      <c r="M33" s="207">
        <v>2850</v>
      </c>
      <c r="N33" s="207">
        <v>3050</v>
      </c>
      <c r="O33" s="207">
        <v>3250</v>
      </c>
      <c r="P33" s="207">
        <v>3450</v>
      </c>
      <c r="Q33" s="207">
        <v>3650</v>
      </c>
    </row>
    <row r="34" spans="2:17" x14ac:dyDescent="0.2">
      <c r="B34" s="94" t="s">
        <v>6870</v>
      </c>
      <c r="C34" s="94" t="s">
        <v>6871</v>
      </c>
      <c r="D34" s="208">
        <v>43188</v>
      </c>
      <c r="E34" s="301"/>
      <c r="F34" s="95" t="s">
        <v>1435</v>
      </c>
      <c r="G34" s="94"/>
      <c r="I34" s="96">
        <v>13</v>
      </c>
      <c r="J34" s="207">
        <v>2300</v>
      </c>
      <c r="K34" s="207">
        <v>2520</v>
      </c>
      <c r="L34" s="207">
        <v>2740</v>
      </c>
      <c r="M34" s="207">
        <v>2960</v>
      </c>
      <c r="N34" s="207">
        <v>3180</v>
      </c>
      <c r="O34" s="207">
        <v>3400</v>
      </c>
      <c r="P34" s="207">
        <v>3620</v>
      </c>
      <c r="Q34" s="207">
        <v>3840</v>
      </c>
    </row>
    <row r="35" spans="2:17" x14ac:dyDescent="0.2">
      <c r="B35" s="94" t="s">
        <v>6872</v>
      </c>
      <c r="C35" s="94" t="s">
        <v>6873</v>
      </c>
      <c r="D35" s="208">
        <v>40612</v>
      </c>
      <c r="E35" s="301"/>
      <c r="F35" s="95" t="s">
        <v>2675</v>
      </c>
      <c r="G35" s="94"/>
      <c r="I35" s="96">
        <v>15</v>
      </c>
      <c r="J35" s="207">
        <v>2350</v>
      </c>
      <c r="K35" s="207">
        <v>2590</v>
      </c>
      <c r="L35" s="207">
        <v>2830</v>
      </c>
      <c r="M35" s="207">
        <v>3070</v>
      </c>
      <c r="N35" s="207">
        <v>3310</v>
      </c>
      <c r="O35" s="207">
        <v>3550</v>
      </c>
      <c r="P35" s="207">
        <v>3790</v>
      </c>
      <c r="Q35" s="207">
        <v>4030</v>
      </c>
    </row>
    <row r="36" spans="2:17" x14ac:dyDescent="0.2">
      <c r="B36" s="94" t="s">
        <v>6874</v>
      </c>
      <c r="C36" s="94" t="s">
        <v>6875</v>
      </c>
      <c r="D36" s="208">
        <v>42394</v>
      </c>
      <c r="E36" s="301"/>
      <c r="F36" s="95" t="s">
        <v>2397</v>
      </c>
      <c r="G36" s="94"/>
      <c r="I36" s="96">
        <v>17</v>
      </c>
      <c r="J36" s="207">
        <v>2400</v>
      </c>
      <c r="K36" s="207">
        <v>2660</v>
      </c>
      <c r="L36" s="207">
        <v>2920</v>
      </c>
      <c r="M36" s="207">
        <v>3180</v>
      </c>
      <c r="N36" s="207">
        <v>3440</v>
      </c>
      <c r="O36" s="207">
        <v>3700</v>
      </c>
      <c r="P36" s="207">
        <v>3960</v>
      </c>
      <c r="Q36" s="207">
        <v>4220</v>
      </c>
    </row>
    <row r="37" spans="2:17" x14ac:dyDescent="0.2">
      <c r="B37" s="94" t="s">
        <v>115</v>
      </c>
      <c r="C37" s="94" t="s">
        <v>116</v>
      </c>
      <c r="D37" s="208">
        <v>43051</v>
      </c>
      <c r="E37" s="301"/>
      <c r="F37" s="95" t="s">
        <v>2398</v>
      </c>
      <c r="G37" s="94"/>
      <c r="I37" s="96">
        <v>19</v>
      </c>
      <c r="J37" s="207">
        <v>2450</v>
      </c>
      <c r="K37" s="207">
        <v>2730</v>
      </c>
      <c r="L37" s="207">
        <v>3010</v>
      </c>
      <c r="M37" s="207">
        <v>3290</v>
      </c>
      <c r="N37" s="207">
        <v>3570</v>
      </c>
      <c r="O37" s="207">
        <v>3850</v>
      </c>
      <c r="P37" s="207">
        <v>4130</v>
      </c>
      <c r="Q37" s="207">
        <v>4410</v>
      </c>
    </row>
    <row r="38" spans="2:17" x14ac:dyDescent="0.2">
      <c r="B38" s="94" t="s">
        <v>6876</v>
      </c>
      <c r="C38" s="94" t="s">
        <v>6877</v>
      </c>
      <c r="D38" s="208">
        <v>39408</v>
      </c>
      <c r="E38" s="301"/>
      <c r="F38" s="95" t="s">
        <v>2677</v>
      </c>
      <c r="G38" s="94"/>
      <c r="I38" s="96">
        <v>21</v>
      </c>
      <c r="J38" s="207">
        <v>2500</v>
      </c>
      <c r="K38" s="207">
        <v>2800</v>
      </c>
      <c r="L38" s="207">
        <v>3100</v>
      </c>
      <c r="M38" s="207">
        <v>3400</v>
      </c>
      <c r="N38" s="207">
        <v>3700</v>
      </c>
      <c r="O38" s="207">
        <v>4000</v>
      </c>
      <c r="P38" s="207">
        <v>4300</v>
      </c>
      <c r="Q38" s="207">
        <v>4600</v>
      </c>
    </row>
    <row r="39" spans="2:17" x14ac:dyDescent="0.2">
      <c r="B39" s="94" t="s">
        <v>6864</v>
      </c>
      <c r="C39" s="94" t="s">
        <v>6878</v>
      </c>
      <c r="D39" s="208">
        <v>44126</v>
      </c>
      <c r="E39" s="301"/>
      <c r="F39" s="95" t="s">
        <v>17</v>
      </c>
      <c r="G39" s="94"/>
      <c r="I39" s="96">
        <v>23</v>
      </c>
      <c r="J39" s="207">
        <v>2550</v>
      </c>
      <c r="K39" s="207">
        <v>2870</v>
      </c>
      <c r="L39" s="207">
        <v>3190</v>
      </c>
      <c r="M39" s="207">
        <v>3510</v>
      </c>
      <c r="N39" s="207">
        <v>3830</v>
      </c>
      <c r="O39" s="207">
        <v>4150</v>
      </c>
      <c r="P39" s="207">
        <v>4470</v>
      </c>
      <c r="Q39" s="207">
        <v>4790</v>
      </c>
    </row>
    <row r="40" spans="2:17" x14ac:dyDescent="0.2">
      <c r="B40" s="94" t="s">
        <v>6879</v>
      </c>
      <c r="C40" s="94" t="s">
        <v>6880</v>
      </c>
      <c r="D40" s="208">
        <v>42723</v>
      </c>
      <c r="E40" s="301"/>
      <c r="F40" s="95" t="s">
        <v>2679</v>
      </c>
      <c r="G40" s="94"/>
      <c r="I40" s="96">
        <v>25</v>
      </c>
      <c r="J40" s="207">
        <v>2600</v>
      </c>
      <c r="K40" s="207">
        <v>2940</v>
      </c>
      <c r="L40" s="207">
        <v>3280</v>
      </c>
      <c r="M40" s="207">
        <v>3620</v>
      </c>
      <c r="N40" s="207">
        <v>3960</v>
      </c>
      <c r="O40" s="207">
        <v>4300</v>
      </c>
      <c r="P40" s="207">
        <v>4640</v>
      </c>
      <c r="Q40" s="207">
        <v>4980</v>
      </c>
    </row>
    <row r="41" spans="2:17" x14ac:dyDescent="0.2">
      <c r="B41" s="94" t="s">
        <v>6881</v>
      </c>
      <c r="C41" s="94" t="s">
        <v>1245</v>
      </c>
      <c r="D41" s="208">
        <v>40550</v>
      </c>
      <c r="E41" s="301"/>
      <c r="F41" s="95" t="s">
        <v>2681</v>
      </c>
      <c r="G41" s="94"/>
      <c r="I41" s="96">
        <v>27</v>
      </c>
      <c r="J41" s="207">
        <v>2650</v>
      </c>
      <c r="K41" s="207">
        <v>3010</v>
      </c>
      <c r="L41" s="207">
        <v>3370</v>
      </c>
      <c r="M41" s="207">
        <v>3730</v>
      </c>
      <c r="N41" s="207">
        <v>4090</v>
      </c>
      <c r="O41" s="207">
        <v>4450</v>
      </c>
      <c r="P41" s="207">
        <v>4810</v>
      </c>
      <c r="Q41" s="207">
        <v>5170</v>
      </c>
    </row>
    <row r="42" spans="2:17" x14ac:dyDescent="0.2">
      <c r="B42" s="94" t="s">
        <v>6857</v>
      </c>
      <c r="C42" s="94" t="s">
        <v>2103</v>
      </c>
      <c r="D42" s="208">
        <v>41221</v>
      </c>
      <c r="E42" s="301"/>
      <c r="F42" s="95" t="s">
        <v>1435</v>
      </c>
      <c r="G42" s="94"/>
      <c r="I42" s="96">
        <v>29</v>
      </c>
      <c r="J42" s="207">
        <v>2700</v>
      </c>
      <c r="K42" s="207">
        <v>3080</v>
      </c>
      <c r="L42" s="207">
        <v>3460</v>
      </c>
      <c r="M42" s="207">
        <v>3840</v>
      </c>
      <c r="N42" s="207">
        <v>4220</v>
      </c>
      <c r="O42" s="207">
        <v>4600</v>
      </c>
      <c r="P42" s="207">
        <v>4980</v>
      </c>
      <c r="Q42" s="207">
        <v>5360</v>
      </c>
    </row>
    <row r="43" spans="2:17" x14ac:dyDescent="0.2">
      <c r="B43" s="94" t="s">
        <v>6882</v>
      </c>
      <c r="C43" s="94" t="s">
        <v>6883</v>
      </c>
      <c r="D43" s="208">
        <v>39886</v>
      </c>
      <c r="E43" s="301"/>
      <c r="F43" s="95" t="s">
        <v>2675</v>
      </c>
      <c r="G43" s="94"/>
      <c r="I43" s="96">
        <v>31</v>
      </c>
      <c r="J43" s="207">
        <v>2750</v>
      </c>
      <c r="K43" s="207">
        <v>3150</v>
      </c>
      <c r="L43" s="207">
        <v>3550</v>
      </c>
      <c r="M43" s="207">
        <v>3950</v>
      </c>
      <c r="N43" s="207">
        <v>4350</v>
      </c>
      <c r="O43" s="207">
        <v>4750</v>
      </c>
      <c r="P43" s="207">
        <v>5150</v>
      </c>
      <c r="Q43" s="207">
        <v>5550</v>
      </c>
    </row>
    <row r="44" spans="2:17" x14ac:dyDescent="0.2">
      <c r="B44" s="94" t="s">
        <v>6884</v>
      </c>
      <c r="C44" s="94" t="s">
        <v>6885</v>
      </c>
      <c r="D44" s="208">
        <v>40542</v>
      </c>
      <c r="E44" s="301"/>
      <c r="F44" s="95" t="s">
        <v>1435</v>
      </c>
      <c r="G44" s="94"/>
      <c r="I44" s="96">
        <v>33</v>
      </c>
      <c r="J44" s="207">
        <v>2800</v>
      </c>
      <c r="K44" s="207">
        <v>3220</v>
      </c>
      <c r="L44" s="207">
        <v>3640</v>
      </c>
      <c r="M44" s="207">
        <v>4060</v>
      </c>
      <c r="N44" s="207">
        <v>4480</v>
      </c>
      <c r="O44" s="207">
        <v>4900</v>
      </c>
      <c r="P44" s="207">
        <v>5320</v>
      </c>
      <c r="Q44" s="207">
        <v>5740</v>
      </c>
    </row>
    <row r="45" spans="2:17" x14ac:dyDescent="0.2">
      <c r="B45" s="94" t="s">
        <v>6886</v>
      </c>
      <c r="C45" s="94" t="s">
        <v>6861</v>
      </c>
      <c r="D45" s="208">
        <v>45012</v>
      </c>
      <c r="E45" s="301"/>
      <c r="F45" s="95" t="s">
        <v>2675</v>
      </c>
      <c r="G45" s="94"/>
      <c r="I45" s="96">
        <v>35</v>
      </c>
      <c r="J45" s="207">
        <v>2850</v>
      </c>
      <c r="K45" s="207">
        <v>3290</v>
      </c>
      <c r="L45" s="207">
        <v>3730</v>
      </c>
      <c r="M45" s="207">
        <v>4170</v>
      </c>
      <c r="N45" s="207">
        <v>4610</v>
      </c>
      <c r="O45" s="207">
        <v>5050</v>
      </c>
      <c r="P45" s="207">
        <v>5490</v>
      </c>
      <c r="Q45" s="207">
        <v>5930</v>
      </c>
    </row>
    <row r="46" spans="2:17" x14ac:dyDescent="0.2">
      <c r="B46" s="94" t="s">
        <v>6887</v>
      </c>
      <c r="C46" s="94" t="s">
        <v>6888</v>
      </c>
      <c r="D46" s="208">
        <v>42758</v>
      </c>
      <c r="E46" s="301"/>
      <c r="F46" s="95" t="s">
        <v>2397</v>
      </c>
      <c r="G46" s="94"/>
      <c r="I46" s="96">
        <v>37</v>
      </c>
      <c r="J46" s="207">
        <v>2900</v>
      </c>
      <c r="K46" s="207">
        <v>3360</v>
      </c>
      <c r="L46" s="207">
        <v>3820</v>
      </c>
      <c r="M46" s="207">
        <v>4280</v>
      </c>
      <c r="N46" s="207">
        <v>4740</v>
      </c>
      <c r="O46" s="207">
        <v>5200</v>
      </c>
      <c r="P46" s="207">
        <v>5660</v>
      </c>
      <c r="Q46" s="207">
        <v>6120</v>
      </c>
    </row>
    <row r="47" spans="2:17" x14ac:dyDescent="0.2">
      <c r="B47" s="94" t="s">
        <v>6889</v>
      </c>
      <c r="C47" s="94" t="s">
        <v>6890</v>
      </c>
      <c r="D47" s="208">
        <v>42479</v>
      </c>
      <c r="E47" s="301"/>
      <c r="F47" s="95" t="s">
        <v>2398</v>
      </c>
      <c r="G47" s="94"/>
      <c r="I47" s="96">
        <v>39</v>
      </c>
      <c r="J47" s="207">
        <v>2950</v>
      </c>
      <c r="K47" s="207">
        <v>3430</v>
      </c>
      <c r="L47" s="207">
        <v>3910</v>
      </c>
      <c r="M47" s="207">
        <v>4390</v>
      </c>
      <c r="N47" s="207">
        <v>4870</v>
      </c>
      <c r="O47" s="207">
        <v>5350</v>
      </c>
      <c r="P47" s="207">
        <v>5830</v>
      </c>
      <c r="Q47" s="207">
        <v>6310</v>
      </c>
    </row>
    <row r="48" spans="2:17" x14ac:dyDescent="0.2">
      <c r="B48" s="94" t="s">
        <v>6891</v>
      </c>
      <c r="C48" s="94" t="s">
        <v>6892</v>
      </c>
      <c r="D48" s="208">
        <v>33047</v>
      </c>
      <c r="E48" s="301"/>
      <c r="F48" s="95" t="s">
        <v>2677</v>
      </c>
      <c r="G48" s="94"/>
      <c r="I48" s="96">
        <v>41</v>
      </c>
      <c r="J48" s="207">
        <v>3000</v>
      </c>
      <c r="K48" s="207">
        <v>3500</v>
      </c>
      <c r="L48" s="207">
        <v>4000</v>
      </c>
      <c r="M48" s="207">
        <v>4500</v>
      </c>
      <c r="N48" s="207">
        <v>5000</v>
      </c>
      <c r="O48" s="207">
        <v>5500</v>
      </c>
      <c r="P48" s="207">
        <v>6000</v>
      </c>
      <c r="Q48" s="207">
        <v>6500</v>
      </c>
    </row>
    <row r="49" spans="2:7" x14ac:dyDescent="0.2">
      <c r="B49" s="94" t="s">
        <v>6893</v>
      </c>
      <c r="C49" s="94" t="s">
        <v>6894</v>
      </c>
      <c r="D49" s="208">
        <v>41305</v>
      </c>
      <c r="E49" s="301"/>
      <c r="F49" s="95" t="s">
        <v>17</v>
      </c>
      <c r="G49" s="94"/>
    </row>
    <row r="50" spans="2:7" x14ac:dyDescent="0.2">
      <c r="B50" s="94" t="s">
        <v>6895</v>
      </c>
      <c r="C50" s="94" t="s">
        <v>6896</v>
      </c>
      <c r="D50" s="208">
        <v>41625</v>
      </c>
      <c r="E50" s="301"/>
      <c r="F50" s="95" t="s">
        <v>2679</v>
      </c>
      <c r="G50" s="94"/>
    </row>
    <row r="51" spans="2:7" x14ac:dyDescent="0.2">
      <c r="B51" s="94" t="s">
        <v>6897</v>
      </c>
      <c r="C51" s="94" t="s">
        <v>6898</v>
      </c>
      <c r="D51" s="208">
        <v>40400</v>
      </c>
      <c r="E51" s="301"/>
      <c r="F51" s="95" t="s">
        <v>2681</v>
      </c>
      <c r="G51" s="94"/>
    </row>
    <row r="52" spans="2:7" x14ac:dyDescent="0.2">
      <c r="B52" s="94" t="s">
        <v>6899</v>
      </c>
      <c r="C52" s="94" t="s">
        <v>6900</v>
      </c>
      <c r="D52" s="208">
        <v>42279</v>
      </c>
      <c r="E52" s="301"/>
      <c r="F52" s="95" t="s">
        <v>1435</v>
      </c>
      <c r="G52" s="94"/>
    </row>
    <row r="53" spans="2:7" x14ac:dyDescent="0.2">
      <c r="B53" s="94" t="s">
        <v>6901</v>
      </c>
      <c r="C53" s="94" t="s">
        <v>6902</v>
      </c>
      <c r="D53" s="208">
        <v>44655</v>
      </c>
      <c r="E53" s="301"/>
      <c r="F53" s="95" t="s">
        <v>2675</v>
      </c>
      <c r="G53" s="94"/>
    </row>
    <row r="54" spans="2:7" x14ac:dyDescent="0.2">
      <c r="B54" s="94" t="s">
        <v>6886</v>
      </c>
      <c r="C54" s="94" t="s">
        <v>66</v>
      </c>
      <c r="D54" s="208">
        <v>37868</v>
      </c>
      <c r="E54" s="301"/>
      <c r="F54" s="95" t="s">
        <v>2397</v>
      </c>
      <c r="G54" s="94"/>
    </row>
    <row r="55" spans="2:7" x14ac:dyDescent="0.2">
      <c r="B55" s="94" t="s">
        <v>6903</v>
      </c>
      <c r="C55" s="94" t="s">
        <v>2225</v>
      </c>
      <c r="D55" s="208">
        <v>39878</v>
      </c>
      <c r="E55" s="301"/>
      <c r="F55" s="95" t="s">
        <v>2398</v>
      </c>
      <c r="G55" s="94"/>
    </row>
    <row r="56" spans="2:7" x14ac:dyDescent="0.2">
      <c r="B56" s="94" t="s">
        <v>1555</v>
      </c>
      <c r="C56" s="94" t="s">
        <v>6904</v>
      </c>
      <c r="D56" s="208">
        <v>45182</v>
      </c>
      <c r="E56" s="301"/>
      <c r="F56" s="95" t="s">
        <v>2677</v>
      </c>
      <c r="G56" s="94"/>
    </row>
    <row r="57" spans="2:7" x14ac:dyDescent="0.2">
      <c r="B57" s="94" t="s">
        <v>713</v>
      </c>
      <c r="C57" s="94" t="s">
        <v>6905</v>
      </c>
      <c r="D57" s="208">
        <v>42844</v>
      </c>
      <c r="E57" s="301"/>
      <c r="F57" s="95" t="s">
        <v>17</v>
      </c>
      <c r="G57" s="94"/>
    </row>
    <row r="58" spans="2:7" x14ac:dyDescent="0.2">
      <c r="B58" s="94" t="s">
        <v>6906</v>
      </c>
      <c r="C58" s="94" t="s">
        <v>6907</v>
      </c>
      <c r="D58" s="208">
        <v>43059</v>
      </c>
      <c r="E58" s="301"/>
      <c r="F58" s="95" t="s">
        <v>2679</v>
      </c>
      <c r="G58" s="94"/>
    </row>
    <row r="59" spans="2:7" x14ac:dyDescent="0.2">
      <c r="B59" s="94" t="s">
        <v>6908</v>
      </c>
      <c r="C59" s="94" t="s">
        <v>6909</v>
      </c>
      <c r="D59" s="208">
        <v>43323</v>
      </c>
      <c r="E59" s="301"/>
      <c r="F59" s="95" t="s">
        <v>2681</v>
      </c>
      <c r="G59" s="94"/>
    </row>
    <row r="60" spans="2:7" x14ac:dyDescent="0.2">
      <c r="B60" s="94" t="s">
        <v>6910</v>
      </c>
      <c r="C60" s="94" t="s">
        <v>6911</v>
      </c>
      <c r="D60" s="208">
        <v>42731</v>
      </c>
      <c r="E60" s="301"/>
      <c r="F60" s="95" t="s">
        <v>1435</v>
      </c>
      <c r="G60" s="94"/>
    </row>
    <row r="61" spans="2:7" x14ac:dyDescent="0.2">
      <c r="B61" s="94" t="s">
        <v>6912</v>
      </c>
      <c r="C61" s="94" t="s">
        <v>6913</v>
      </c>
      <c r="D61" s="208">
        <v>38885</v>
      </c>
      <c r="E61" s="301"/>
      <c r="F61" s="95" t="s">
        <v>2675</v>
      </c>
      <c r="G61" s="94"/>
    </row>
    <row r="62" spans="2:7" x14ac:dyDescent="0.2">
      <c r="B62" s="94" t="s">
        <v>6914</v>
      </c>
      <c r="C62" s="94" t="s">
        <v>6915</v>
      </c>
      <c r="D62" s="208">
        <v>40475</v>
      </c>
      <c r="E62" s="301"/>
      <c r="F62" s="95" t="s">
        <v>1435</v>
      </c>
      <c r="G62" s="94"/>
    </row>
    <row r="63" spans="2:7" x14ac:dyDescent="0.2">
      <c r="B63" s="94" t="s">
        <v>6916</v>
      </c>
      <c r="C63" s="94" t="s">
        <v>6917</v>
      </c>
      <c r="D63" s="208">
        <v>41540</v>
      </c>
      <c r="E63" s="301"/>
      <c r="F63" s="95" t="s">
        <v>2675</v>
      </c>
      <c r="G63" s="94"/>
    </row>
    <row r="64" spans="2:7" x14ac:dyDescent="0.2">
      <c r="B64" s="94" t="s">
        <v>6918</v>
      </c>
      <c r="C64" s="94" t="s">
        <v>6919</v>
      </c>
      <c r="D64" s="208">
        <v>39528</v>
      </c>
      <c r="E64" s="301"/>
      <c r="F64" s="95" t="s">
        <v>2397</v>
      </c>
      <c r="G64" s="94"/>
    </row>
    <row r="65" spans="2:7" x14ac:dyDescent="0.2">
      <c r="B65" s="94" t="s">
        <v>6920</v>
      </c>
      <c r="C65" s="94" t="s">
        <v>108</v>
      </c>
      <c r="D65" s="208">
        <v>38776</v>
      </c>
      <c r="E65" s="301"/>
      <c r="F65" s="95" t="s">
        <v>2398</v>
      </c>
      <c r="G65" s="94"/>
    </row>
    <row r="66" spans="2:7" x14ac:dyDescent="0.2">
      <c r="B66" s="94" t="s">
        <v>6921</v>
      </c>
      <c r="C66" s="94" t="s">
        <v>6922</v>
      </c>
      <c r="D66" s="208">
        <v>40392</v>
      </c>
      <c r="E66" s="301"/>
      <c r="F66" s="95" t="s">
        <v>2677</v>
      </c>
      <c r="G66" s="94"/>
    </row>
    <row r="67" spans="2:7" x14ac:dyDescent="0.2">
      <c r="B67" s="94" t="s">
        <v>6923</v>
      </c>
      <c r="C67" s="94" t="s">
        <v>6924</v>
      </c>
      <c r="D67" s="208">
        <v>40604</v>
      </c>
      <c r="E67" s="301"/>
      <c r="F67" s="95" t="s">
        <v>17</v>
      </c>
      <c r="G67" s="94"/>
    </row>
    <row r="68" spans="2:7" x14ac:dyDescent="0.2">
      <c r="B68" s="94" t="s">
        <v>1673</v>
      </c>
      <c r="C68" s="94" t="s">
        <v>89</v>
      </c>
      <c r="D68" s="208">
        <v>41229</v>
      </c>
      <c r="E68" s="301"/>
      <c r="F68" s="95" t="s">
        <v>2679</v>
      </c>
      <c r="G68" s="94"/>
    </row>
    <row r="69" spans="2:7" x14ac:dyDescent="0.2">
      <c r="B69" s="94" t="s">
        <v>6925</v>
      </c>
      <c r="C69" s="94" t="s">
        <v>6926</v>
      </c>
      <c r="D69" s="208">
        <v>43180</v>
      </c>
      <c r="E69" s="301"/>
      <c r="F69" s="95" t="s">
        <v>2681</v>
      </c>
      <c r="G69" s="94"/>
    </row>
    <row r="70" spans="2:7" x14ac:dyDescent="0.2">
      <c r="B70" s="94" t="s">
        <v>6927</v>
      </c>
      <c r="C70" s="94" t="s">
        <v>6928</v>
      </c>
      <c r="D70" s="208">
        <v>42386</v>
      </c>
      <c r="E70" s="301"/>
      <c r="F70" s="95" t="s">
        <v>1435</v>
      </c>
      <c r="G70" s="94"/>
    </row>
    <row r="71" spans="2:7" x14ac:dyDescent="0.2">
      <c r="B71" s="94" t="s">
        <v>6929</v>
      </c>
      <c r="C71" s="94" t="s">
        <v>67</v>
      </c>
      <c r="D71" s="208">
        <v>41856</v>
      </c>
      <c r="E71" s="301"/>
      <c r="F71" s="95" t="s">
        <v>2675</v>
      </c>
      <c r="G71" s="94"/>
    </row>
    <row r="72" spans="2:7" x14ac:dyDescent="0.2">
      <c r="B72" s="94" t="s">
        <v>6930</v>
      </c>
      <c r="C72" s="94" t="s">
        <v>1822</v>
      </c>
      <c r="D72" s="208">
        <v>42838</v>
      </c>
      <c r="E72" s="301"/>
      <c r="F72" s="95" t="s">
        <v>2397</v>
      </c>
      <c r="G72" s="94"/>
    </row>
    <row r="73" spans="2:7" x14ac:dyDescent="0.2">
      <c r="B73" s="94" t="s">
        <v>6931</v>
      </c>
      <c r="C73" s="94" t="s">
        <v>857</v>
      </c>
      <c r="D73" s="208">
        <v>32630</v>
      </c>
      <c r="E73" s="301"/>
      <c r="F73" s="95" t="s">
        <v>2398</v>
      </c>
      <c r="G73" s="94"/>
    </row>
    <row r="74" spans="2:7" x14ac:dyDescent="0.2">
      <c r="B74" s="94" t="s">
        <v>68</v>
      </c>
      <c r="C74" s="94" t="s">
        <v>6932</v>
      </c>
      <c r="D74" s="208">
        <v>42836</v>
      </c>
      <c r="E74" s="301"/>
      <c r="F74" s="95" t="s">
        <v>2677</v>
      </c>
      <c r="G74" s="94"/>
    </row>
    <row r="75" spans="2:7" x14ac:dyDescent="0.2">
      <c r="B75" s="94" t="s">
        <v>6933</v>
      </c>
      <c r="C75" s="94" t="s">
        <v>6934</v>
      </c>
      <c r="D75" s="208">
        <v>42583</v>
      </c>
      <c r="E75" s="301"/>
      <c r="F75" s="95" t="s">
        <v>17</v>
      </c>
      <c r="G75" s="94"/>
    </row>
    <row r="76" spans="2:7" x14ac:dyDescent="0.2">
      <c r="B76" s="94" t="s">
        <v>6935</v>
      </c>
      <c r="C76" s="94" t="s">
        <v>6936</v>
      </c>
      <c r="D76" s="208">
        <v>42271</v>
      </c>
      <c r="E76" s="301"/>
      <c r="F76" s="95" t="s">
        <v>2679</v>
      </c>
      <c r="G76" s="94"/>
    </row>
    <row r="77" spans="2:7" x14ac:dyDescent="0.2">
      <c r="B77" s="94" t="s">
        <v>6937</v>
      </c>
      <c r="C77" s="94" t="s">
        <v>6938</v>
      </c>
      <c r="D77" s="208">
        <v>42471</v>
      </c>
      <c r="E77" s="301"/>
      <c r="F77" s="95" t="s">
        <v>2681</v>
      </c>
      <c r="G77" s="94"/>
    </row>
    <row r="78" spans="2:7" x14ac:dyDescent="0.2">
      <c r="B78" s="94" t="s">
        <v>6939</v>
      </c>
      <c r="C78" s="94" t="s">
        <v>6940</v>
      </c>
      <c r="D78" s="208">
        <v>42471</v>
      </c>
      <c r="E78" s="301"/>
      <c r="F78" s="95" t="s">
        <v>1435</v>
      </c>
      <c r="G78" s="94"/>
    </row>
    <row r="79" spans="2:7" x14ac:dyDescent="0.2">
      <c r="B79" s="94" t="s">
        <v>6941</v>
      </c>
      <c r="C79" s="94" t="s">
        <v>861</v>
      </c>
      <c r="D79" s="208">
        <v>43210</v>
      </c>
      <c r="E79" s="301"/>
      <c r="F79" s="95" t="s">
        <v>2675</v>
      </c>
      <c r="G79" s="94"/>
    </row>
    <row r="80" spans="2:7" x14ac:dyDescent="0.2">
      <c r="B80" s="94" t="s">
        <v>6942</v>
      </c>
      <c r="C80" s="94" t="s">
        <v>62</v>
      </c>
      <c r="D80" s="208">
        <v>38023</v>
      </c>
      <c r="E80" s="301"/>
      <c r="F80" s="95" t="s">
        <v>1435</v>
      </c>
      <c r="G80" s="94"/>
    </row>
    <row r="81" spans="2:7" x14ac:dyDescent="0.2">
      <c r="B81" s="94" t="s">
        <v>713</v>
      </c>
      <c r="C81" s="94" t="s">
        <v>6943</v>
      </c>
      <c r="D81" s="208">
        <v>39363</v>
      </c>
      <c r="E81" s="301"/>
      <c r="F81" s="95" t="s">
        <v>2675</v>
      </c>
      <c r="G81" s="94"/>
    </row>
    <row r="82" spans="2:7" x14ac:dyDescent="0.2">
      <c r="B82" s="94" t="s">
        <v>6944</v>
      </c>
      <c r="C82" s="94" t="s">
        <v>6945</v>
      </c>
      <c r="D82" s="208">
        <v>40543</v>
      </c>
      <c r="E82" s="301"/>
      <c r="F82" s="95" t="s">
        <v>2397</v>
      </c>
      <c r="G82" s="94"/>
    </row>
    <row r="83" spans="2:7" x14ac:dyDescent="0.2">
      <c r="B83" s="94" t="s">
        <v>6946</v>
      </c>
      <c r="C83" s="94" t="s">
        <v>6947</v>
      </c>
      <c r="D83" s="208">
        <v>38566</v>
      </c>
      <c r="E83" s="301"/>
      <c r="F83" s="95" t="s">
        <v>2398</v>
      </c>
      <c r="G83" s="94"/>
    </row>
    <row r="84" spans="2:7" x14ac:dyDescent="0.2">
      <c r="B84" s="94" t="s">
        <v>6948</v>
      </c>
      <c r="C84" s="94" t="s">
        <v>6949</v>
      </c>
      <c r="D84" s="208">
        <v>38877</v>
      </c>
      <c r="E84" s="301"/>
      <c r="F84" s="95" t="s">
        <v>2677</v>
      </c>
      <c r="G84" s="94"/>
    </row>
    <row r="85" spans="2:7" x14ac:dyDescent="0.2">
      <c r="B85" s="94" t="s">
        <v>6950</v>
      </c>
      <c r="C85" s="94" t="s">
        <v>6951</v>
      </c>
      <c r="D85" s="208">
        <v>31849</v>
      </c>
      <c r="E85" s="301"/>
      <c r="F85" s="95" t="s">
        <v>17</v>
      </c>
      <c r="G85" s="94"/>
    </row>
    <row r="86" spans="2:7" x14ac:dyDescent="0.2">
      <c r="B86" s="94" t="s">
        <v>6952</v>
      </c>
      <c r="C86" s="94" t="s">
        <v>6953</v>
      </c>
      <c r="D86" s="208">
        <v>40467</v>
      </c>
      <c r="E86" s="301"/>
      <c r="F86" s="95" t="s">
        <v>2679</v>
      </c>
      <c r="G86" s="94"/>
    </row>
    <row r="87" spans="2:7" x14ac:dyDescent="0.2">
      <c r="B87" s="94" t="s">
        <v>6954</v>
      </c>
      <c r="C87" s="94" t="s">
        <v>73</v>
      </c>
      <c r="D87" s="208">
        <v>40709</v>
      </c>
      <c r="E87" s="301"/>
      <c r="F87" s="95" t="s">
        <v>2681</v>
      </c>
      <c r="G87" s="94"/>
    </row>
    <row r="88" spans="2:7" x14ac:dyDescent="0.2">
      <c r="B88" s="94" t="s">
        <v>6955</v>
      </c>
      <c r="C88" s="94" t="s">
        <v>861</v>
      </c>
      <c r="D88" s="208">
        <v>40431</v>
      </c>
      <c r="E88" s="301"/>
      <c r="F88" s="95" t="s">
        <v>1435</v>
      </c>
      <c r="G88" s="94"/>
    </row>
    <row r="89" spans="2:7" x14ac:dyDescent="0.2">
      <c r="B89" s="94" t="s">
        <v>6956</v>
      </c>
      <c r="C89" s="94" t="s">
        <v>6957</v>
      </c>
      <c r="D89" s="208">
        <v>41532</v>
      </c>
      <c r="E89" s="301"/>
      <c r="F89" s="95" t="s">
        <v>2675</v>
      </c>
      <c r="G89" s="94"/>
    </row>
    <row r="90" spans="2:7" x14ac:dyDescent="0.2">
      <c r="B90" s="94" t="s">
        <v>6958</v>
      </c>
      <c r="C90" s="94" t="s">
        <v>6959</v>
      </c>
      <c r="D90" s="208">
        <v>40938</v>
      </c>
      <c r="E90" s="301"/>
      <c r="F90" s="95" t="s">
        <v>2397</v>
      </c>
      <c r="G90" s="94"/>
    </row>
    <row r="91" spans="2:7" x14ac:dyDescent="0.2">
      <c r="B91" s="94" t="s">
        <v>6960</v>
      </c>
      <c r="C91" s="94" t="s">
        <v>6961</v>
      </c>
      <c r="D91" s="208">
        <v>39546</v>
      </c>
      <c r="E91" s="301"/>
      <c r="F91" s="95" t="s">
        <v>2398</v>
      </c>
      <c r="G91" s="94"/>
    </row>
    <row r="92" spans="2:7" x14ac:dyDescent="0.2">
      <c r="B92" s="94" t="s">
        <v>6962</v>
      </c>
      <c r="C92" s="94" t="s">
        <v>6963</v>
      </c>
      <c r="D92" s="208">
        <v>43470</v>
      </c>
      <c r="E92" s="301"/>
      <c r="F92" s="95" t="s">
        <v>2677</v>
      </c>
      <c r="G92" s="94"/>
    </row>
    <row r="93" spans="2:7" x14ac:dyDescent="0.2">
      <c r="B93" s="94" t="s">
        <v>6964</v>
      </c>
      <c r="C93" s="94" t="s">
        <v>916</v>
      </c>
      <c r="D93" s="208">
        <v>39371</v>
      </c>
      <c r="E93" s="301"/>
      <c r="F93" s="95" t="s">
        <v>17</v>
      </c>
      <c r="G93" s="94"/>
    </row>
    <row r="94" spans="2:7" x14ac:dyDescent="0.2">
      <c r="B94" s="94" t="s">
        <v>6965</v>
      </c>
      <c r="C94" s="94" t="s">
        <v>6966</v>
      </c>
      <c r="D94" s="208">
        <v>39740</v>
      </c>
      <c r="E94" s="301"/>
      <c r="F94" s="95" t="s">
        <v>2679</v>
      </c>
      <c r="G94" s="94"/>
    </row>
    <row r="95" spans="2:7" x14ac:dyDescent="0.2">
      <c r="B95" s="94" t="s">
        <v>6967</v>
      </c>
      <c r="C95" s="94" t="s">
        <v>6877</v>
      </c>
      <c r="D95" s="208">
        <v>41243</v>
      </c>
      <c r="E95" s="301"/>
      <c r="F95" s="95" t="s">
        <v>2681</v>
      </c>
      <c r="G95" s="94"/>
    </row>
    <row r="96" spans="2:7" x14ac:dyDescent="0.2">
      <c r="B96" s="94" t="s">
        <v>6968</v>
      </c>
      <c r="C96" s="94" t="s">
        <v>6871</v>
      </c>
      <c r="D96" s="208">
        <v>40551</v>
      </c>
      <c r="E96" s="301"/>
      <c r="F96" s="95" t="s">
        <v>1435</v>
      </c>
      <c r="G96" s="94"/>
    </row>
    <row r="97" spans="2:7" x14ac:dyDescent="0.2">
      <c r="B97" s="94" t="s">
        <v>59</v>
      </c>
      <c r="C97" s="94" t="s">
        <v>6969</v>
      </c>
      <c r="D97" s="208">
        <v>40534</v>
      </c>
      <c r="E97" s="301"/>
      <c r="F97" s="95" t="s">
        <v>2675</v>
      </c>
      <c r="G97" s="94"/>
    </row>
    <row r="98" spans="2:7" x14ac:dyDescent="0.2">
      <c r="B98" s="94" t="s">
        <v>6970</v>
      </c>
      <c r="C98" s="94" t="s">
        <v>6971</v>
      </c>
      <c r="D98" s="208">
        <v>41181</v>
      </c>
      <c r="E98" s="301"/>
      <c r="F98" s="95" t="s">
        <v>1435</v>
      </c>
      <c r="G98" s="94"/>
    </row>
    <row r="99" spans="2:7" x14ac:dyDescent="0.2">
      <c r="B99" s="94" t="s">
        <v>6972</v>
      </c>
      <c r="C99" s="94" t="s">
        <v>6963</v>
      </c>
      <c r="D99" s="208">
        <v>42594</v>
      </c>
      <c r="E99" s="301"/>
      <c r="F99" s="95" t="s">
        <v>2675</v>
      </c>
      <c r="G99" s="94"/>
    </row>
    <row r="100" spans="2:7" x14ac:dyDescent="0.2">
      <c r="B100" s="94" t="s">
        <v>6973</v>
      </c>
      <c r="C100" s="94" t="s">
        <v>6875</v>
      </c>
      <c r="D100" s="208">
        <v>38031</v>
      </c>
      <c r="E100" s="301"/>
      <c r="F100" s="95" t="s">
        <v>2397</v>
      </c>
      <c r="G100" s="94"/>
    </row>
    <row r="101" spans="2:7" x14ac:dyDescent="0.2">
      <c r="B101" s="94" t="s">
        <v>6974</v>
      </c>
      <c r="C101" s="94" t="s">
        <v>52</v>
      </c>
      <c r="D101" s="208">
        <v>41043</v>
      </c>
      <c r="E101" s="301"/>
      <c r="F101" s="95" t="s">
        <v>2398</v>
      </c>
      <c r="G101" s="94"/>
    </row>
    <row r="102" spans="2:7" x14ac:dyDescent="0.2">
      <c r="B102" s="94" t="s">
        <v>6975</v>
      </c>
      <c r="C102" s="94" t="s">
        <v>81</v>
      </c>
      <c r="D102" s="208">
        <v>41587</v>
      </c>
      <c r="E102" s="301"/>
      <c r="F102" s="95" t="s">
        <v>2677</v>
      </c>
      <c r="G102" s="94"/>
    </row>
    <row r="103" spans="2:7" x14ac:dyDescent="0.2">
      <c r="B103" s="94" t="s">
        <v>6976</v>
      </c>
      <c r="C103" s="94" t="s">
        <v>6977</v>
      </c>
      <c r="D103" s="208">
        <v>41945</v>
      </c>
      <c r="E103" s="301"/>
      <c r="F103" s="95" t="s">
        <v>17</v>
      </c>
      <c r="G103" s="94"/>
    </row>
    <row r="104" spans="2:7" x14ac:dyDescent="0.2">
      <c r="B104" s="94" t="s">
        <v>6978</v>
      </c>
      <c r="C104" s="94" t="s">
        <v>6979</v>
      </c>
      <c r="D104" s="208">
        <v>41608</v>
      </c>
      <c r="E104" s="301"/>
      <c r="F104" s="95" t="s">
        <v>2679</v>
      </c>
      <c r="G104" s="94"/>
    </row>
    <row r="105" spans="2:7" x14ac:dyDescent="0.2">
      <c r="B105" s="94" t="s">
        <v>6980</v>
      </c>
      <c r="C105" s="94" t="s">
        <v>62</v>
      </c>
      <c r="D105" s="208">
        <v>42846</v>
      </c>
      <c r="E105" s="301"/>
      <c r="F105" s="95" t="s">
        <v>2681</v>
      </c>
      <c r="G105" s="94"/>
    </row>
    <row r="106" spans="2:7" x14ac:dyDescent="0.2">
      <c r="B106" s="94" t="s">
        <v>6981</v>
      </c>
      <c r="C106" s="94" t="s">
        <v>6982</v>
      </c>
      <c r="D106" s="208">
        <v>39554</v>
      </c>
      <c r="E106" s="301"/>
      <c r="F106" s="95" t="s">
        <v>1435</v>
      </c>
      <c r="G106" s="94"/>
    </row>
    <row r="107" spans="2:7" x14ac:dyDescent="0.2">
      <c r="B107" s="94" t="s">
        <v>6983</v>
      </c>
      <c r="C107" s="94" t="s">
        <v>6984</v>
      </c>
      <c r="D107" s="208">
        <v>39385</v>
      </c>
      <c r="E107" s="301"/>
      <c r="F107" s="95" t="s">
        <v>2675</v>
      </c>
      <c r="G107" s="94"/>
    </row>
    <row r="108" spans="2:7" x14ac:dyDescent="0.2">
      <c r="B108" s="94" t="s">
        <v>6985</v>
      </c>
      <c r="C108" s="94" t="s">
        <v>6986</v>
      </c>
      <c r="D108" s="208">
        <v>37876</v>
      </c>
      <c r="E108" s="301"/>
      <c r="F108" s="95" t="s">
        <v>2397</v>
      </c>
      <c r="G108" s="94"/>
    </row>
    <row r="109" spans="2:7" x14ac:dyDescent="0.2">
      <c r="B109" s="94" t="s">
        <v>6987</v>
      </c>
      <c r="C109" s="94" t="s">
        <v>6988</v>
      </c>
      <c r="D109" s="208">
        <v>41601</v>
      </c>
      <c r="E109" s="301"/>
      <c r="F109" s="95" t="s">
        <v>2398</v>
      </c>
      <c r="G109" s="94"/>
    </row>
    <row r="110" spans="2:7" x14ac:dyDescent="0.2">
      <c r="B110" s="94" t="s">
        <v>6989</v>
      </c>
      <c r="C110" s="94" t="s">
        <v>6990</v>
      </c>
      <c r="D110" s="208">
        <v>42112</v>
      </c>
      <c r="E110" s="301"/>
      <c r="F110" s="95" t="s">
        <v>2677</v>
      </c>
      <c r="G110" s="94"/>
    </row>
    <row r="111" spans="2:7" x14ac:dyDescent="0.2">
      <c r="B111" s="94" t="s">
        <v>88</v>
      </c>
      <c r="C111" s="94" t="s">
        <v>6991</v>
      </c>
      <c r="D111" s="208">
        <v>41572</v>
      </c>
      <c r="E111" s="301"/>
      <c r="F111" s="95" t="s">
        <v>17</v>
      </c>
      <c r="G111" s="94"/>
    </row>
    <row r="112" spans="2:7" x14ac:dyDescent="0.2">
      <c r="B112" s="94" t="s">
        <v>6992</v>
      </c>
      <c r="C112" s="94" t="s">
        <v>6993</v>
      </c>
      <c r="D112" s="208">
        <v>41038</v>
      </c>
      <c r="E112" s="301"/>
      <c r="F112" s="95" t="s">
        <v>2679</v>
      </c>
      <c r="G112" s="94"/>
    </row>
    <row r="113" spans="2:7" x14ac:dyDescent="0.2">
      <c r="B113" s="94" t="s">
        <v>102</v>
      </c>
      <c r="C113" s="94" t="s">
        <v>6994</v>
      </c>
      <c r="D113" s="208">
        <v>40189</v>
      </c>
      <c r="E113" s="301"/>
      <c r="F113" s="95" t="s">
        <v>2681</v>
      </c>
      <c r="G113" s="94"/>
    </row>
    <row r="114" spans="2:7" x14ac:dyDescent="0.2">
      <c r="B114" s="94" t="s">
        <v>6995</v>
      </c>
      <c r="C114" s="94" t="s">
        <v>62</v>
      </c>
      <c r="D114" s="208">
        <v>40952</v>
      </c>
      <c r="E114" s="301"/>
      <c r="F114" s="95" t="s">
        <v>1435</v>
      </c>
      <c r="G114" s="94"/>
    </row>
    <row r="115" spans="2:7" x14ac:dyDescent="0.2">
      <c r="B115" s="94" t="s">
        <v>6996</v>
      </c>
      <c r="C115" s="94" t="s">
        <v>6997</v>
      </c>
      <c r="D115" s="208">
        <v>41228</v>
      </c>
      <c r="E115" s="301"/>
      <c r="F115" s="95" t="s">
        <v>2675</v>
      </c>
      <c r="G115" s="94"/>
    </row>
    <row r="116" spans="2:7" x14ac:dyDescent="0.2">
      <c r="B116" s="94" t="s">
        <v>6998</v>
      </c>
      <c r="C116" s="94" t="s">
        <v>6999</v>
      </c>
      <c r="D116" s="208">
        <v>40921</v>
      </c>
      <c r="E116" s="301"/>
      <c r="F116" s="95" t="s">
        <v>1435</v>
      </c>
      <c r="G116" s="94"/>
    </row>
    <row r="117" spans="2:7" x14ac:dyDescent="0.2">
      <c r="B117" s="94" t="s">
        <v>7000</v>
      </c>
      <c r="C117" s="94" t="s">
        <v>7001</v>
      </c>
      <c r="D117" s="208">
        <v>41800</v>
      </c>
      <c r="E117" s="301"/>
      <c r="F117" s="95" t="s">
        <v>2675</v>
      </c>
      <c r="G117" s="94"/>
    </row>
    <row r="118" spans="2:7" x14ac:dyDescent="0.2">
      <c r="B118" s="94" t="s">
        <v>7002</v>
      </c>
      <c r="C118" s="94" t="s">
        <v>7003</v>
      </c>
      <c r="D118" s="208">
        <v>43390</v>
      </c>
      <c r="E118" s="301"/>
      <c r="F118" s="95" t="s">
        <v>2397</v>
      </c>
      <c r="G118" s="94"/>
    </row>
    <row r="119" spans="2:7" x14ac:dyDescent="0.2">
      <c r="B119" s="94" t="s">
        <v>7004</v>
      </c>
      <c r="C119" s="94" t="s">
        <v>7005</v>
      </c>
      <c r="D119" s="208">
        <v>41465</v>
      </c>
      <c r="E119" s="301"/>
      <c r="F119" s="95" t="s">
        <v>2398</v>
      </c>
      <c r="G119" s="94"/>
    </row>
    <row r="120" spans="2:7" x14ac:dyDescent="0.2">
      <c r="B120" s="94" t="s">
        <v>7006</v>
      </c>
      <c r="C120" s="94" t="s">
        <v>7007</v>
      </c>
      <c r="D120" s="208">
        <v>42990</v>
      </c>
      <c r="E120" s="301"/>
      <c r="F120" s="95" t="s">
        <v>2677</v>
      </c>
      <c r="G120" s="94"/>
    </row>
    <row r="121" spans="2:7" x14ac:dyDescent="0.2">
      <c r="B121" s="94" t="s">
        <v>7008</v>
      </c>
      <c r="C121" s="94" t="s">
        <v>269</v>
      </c>
      <c r="D121" s="208">
        <v>42562</v>
      </c>
      <c r="E121" s="301"/>
      <c r="F121" s="95" t="s">
        <v>17</v>
      </c>
      <c r="G121" s="94"/>
    </row>
    <row r="122" spans="2:7" x14ac:dyDescent="0.2">
      <c r="B122" s="94" t="s">
        <v>7009</v>
      </c>
      <c r="C122" s="94" t="s">
        <v>7010</v>
      </c>
      <c r="D122" s="208">
        <v>42139</v>
      </c>
      <c r="E122" s="301"/>
      <c r="F122" s="95" t="s">
        <v>2679</v>
      </c>
      <c r="G122" s="94"/>
    </row>
    <row r="123" spans="2:7" x14ac:dyDescent="0.2">
      <c r="B123" s="94" t="s">
        <v>7011</v>
      </c>
      <c r="C123" s="94" t="s">
        <v>7012</v>
      </c>
      <c r="D123" s="208">
        <v>41705</v>
      </c>
      <c r="E123" s="301"/>
      <c r="F123" s="95" t="s">
        <v>2681</v>
      </c>
      <c r="G123" s="94"/>
    </row>
    <row r="124" spans="2:7" x14ac:dyDescent="0.2">
      <c r="B124" s="94" t="s">
        <v>7013</v>
      </c>
      <c r="C124" s="94" t="s">
        <v>7014</v>
      </c>
      <c r="D124" s="208">
        <v>42542</v>
      </c>
      <c r="E124" s="301"/>
      <c r="F124" s="95" t="s">
        <v>1435</v>
      </c>
      <c r="G124" s="94"/>
    </row>
    <row r="125" spans="2:7" x14ac:dyDescent="0.2">
      <c r="B125" s="94" t="s">
        <v>7015</v>
      </c>
      <c r="C125" s="94" t="s">
        <v>7016</v>
      </c>
      <c r="D125" s="208">
        <v>42479</v>
      </c>
      <c r="E125" s="301"/>
      <c r="F125" s="95" t="s">
        <v>2675</v>
      </c>
      <c r="G125" s="94"/>
    </row>
    <row r="126" spans="2:7" x14ac:dyDescent="0.2">
      <c r="B126" s="94" t="s">
        <v>7017</v>
      </c>
      <c r="C126" s="94" t="s">
        <v>7018</v>
      </c>
      <c r="D126" s="208">
        <v>42591</v>
      </c>
      <c r="E126" s="301"/>
      <c r="F126" s="95" t="s">
        <v>2397</v>
      </c>
      <c r="G126" s="94"/>
    </row>
    <row r="127" spans="2:7" x14ac:dyDescent="0.2">
      <c r="B127" s="94" t="s">
        <v>713</v>
      </c>
      <c r="C127" s="94" t="s">
        <v>6861</v>
      </c>
      <c r="D127" s="208">
        <v>41189</v>
      </c>
      <c r="E127" s="301"/>
      <c r="F127" s="95" t="s">
        <v>2398</v>
      </c>
      <c r="G127" s="94"/>
    </row>
    <row r="128" spans="2:7" x14ac:dyDescent="0.2">
      <c r="B128" s="94" t="s">
        <v>7019</v>
      </c>
      <c r="C128" s="94" t="s">
        <v>7020</v>
      </c>
      <c r="D128" s="208">
        <v>40439</v>
      </c>
      <c r="E128" s="301"/>
      <c r="F128" s="95" t="s">
        <v>2677</v>
      </c>
      <c r="G128" s="94"/>
    </row>
    <row r="129" spans="2:7" x14ac:dyDescent="0.2">
      <c r="B129" s="94" t="s">
        <v>7021</v>
      </c>
      <c r="C129" s="94" t="s">
        <v>6924</v>
      </c>
      <c r="D129" s="208">
        <v>39416</v>
      </c>
      <c r="E129" s="301"/>
      <c r="F129" s="95" t="s">
        <v>17</v>
      </c>
      <c r="G129" s="94"/>
    </row>
    <row r="130" spans="2:7" x14ac:dyDescent="0.2">
      <c r="B130" s="94" t="s">
        <v>7022</v>
      </c>
      <c r="C130" s="94" t="s">
        <v>7023</v>
      </c>
      <c r="D130" s="208">
        <v>41839</v>
      </c>
      <c r="E130" s="301"/>
      <c r="F130" s="95" t="s">
        <v>2679</v>
      </c>
      <c r="G130" s="94"/>
    </row>
    <row r="131" spans="2:7" x14ac:dyDescent="0.2">
      <c r="B131" s="94" t="s">
        <v>7024</v>
      </c>
      <c r="C131" s="94" t="s">
        <v>7025</v>
      </c>
      <c r="D131" s="208">
        <v>42061</v>
      </c>
      <c r="E131" s="301"/>
      <c r="F131" s="95" t="s">
        <v>2681</v>
      </c>
      <c r="G131" s="94"/>
    </row>
    <row r="132" spans="2:7" x14ac:dyDescent="0.2">
      <c r="B132" s="94" t="s">
        <v>7026</v>
      </c>
      <c r="C132" s="94" t="s">
        <v>7027</v>
      </c>
      <c r="D132" s="208">
        <v>41846</v>
      </c>
      <c r="E132" s="301"/>
      <c r="F132" s="95" t="s">
        <v>1435</v>
      </c>
      <c r="G132" s="94"/>
    </row>
    <row r="133" spans="2:7" x14ac:dyDescent="0.2">
      <c r="B133" s="94" t="s">
        <v>7028</v>
      </c>
      <c r="C133" s="94" t="s">
        <v>7029</v>
      </c>
      <c r="D133" s="208">
        <v>42363</v>
      </c>
      <c r="E133" s="301"/>
      <c r="F133" s="95" t="s">
        <v>2675</v>
      </c>
      <c r="G133" s="94"/>
    </row>
    <row r="134" spans="2:7" x14ac:dyDescent="0.2">
      <c r="B134" s="94" t="s">
        <v>7030</v>
      </c>
      <c r="C134" s="94" t="s">
        <v>7031</v>
      </c>
      <c r="D134" s="208">
        <v>42071</v>
      </c>
      <c r="E134" s="301"/>
      <c r="F134" s="95" t="s">
        <v>1435</v>
      </c>
      <c r="G134" s="94"/>
    </row>
    <row r="135" spans="2:7" x14ac:dyDescent="0.2">
      <c r="B135" s="94" t="s">
        <v>713</v>
      </c>
      <c r="C135" s="94" t="s">
        <v>508</v>
      </c>
      <c r="D135" s="208">
        <v>41251</v>
      </c>
      <c r="E135" s="301"/>
      <c r="F135" s="95" t="s">
        <v>2675</v>
      </c>
      <c r="G135" s="94"/>
    </row>
    <row r="136" spans="2:7" x14ac:dyDescent="0.2">
      <c r="B136" s="94" t="s">
        <v>7032</v>
      </c>
      <c r="C136" s="94" t="s">
        <v>6877</v>
      </c>
      <c r="D136" s="208">
        <v>39712</v>
      </c>
      <c r="E136" s="301"/>
      <c r="F136" s="95" t="s">
        <v>2397</v>
      </c>
      <c r="G136" s="94"/>
    </row>
    <row r="137" spans="2:7" x14ac:dyDescent="0.2">
      <c r="B137" s="94" t="s">
        <v>7033</v>
      </c>
      <c r="C137" s="94" t="s">
        <v>7034</v>
      </c>
      <c r="D137" s="208">
        <v>38653</v>
      </c>
      <c r="E137" s="301"/>
      <c r="F137" s="95" t="s">
        <v>2398</v>
      </c>
      <c r="G137" s="94"/>
    </row>
    <row r="138" spans="2:7" x14ac:dyDescent="0.2">
      <c r="B138" s="94" t="s">
        <v>7035</v>
      </c>
      <c r="C138" s="94" t="s">
        <v>7036</v>
      </c>
      <c r="D138" s="208">
        <v>40317</v>
      </c>
      <c r="E138" s="301"/>
      <c r="F138" s="95" t="s">
        <v>2677</v>
      </c>
      <c r="G138" s="94"/>
    </row>
    <row r="139" spans="2:7" x14ac:dyDescent="0.2">
      <c r="B139" s="94" t="s">
        <v>7037</v>
      </c>
      <c r="C139" s="94" t="s">
        <v>1141</v>
      </c>
      <c r="D139" s="208">
        <f ca="1">TODAY()</f>
        <v>45346</v>
      </c>
      <c r="E139" s="301"/>
      <c r="F139" s="95" t="s">
        <v>17</v>
      </c>
      <c r="G139" s="94"/>
    </row>
  </sheetData>
  <mergeCells count="1">
    <mergeCell ref="I25:Q25"/>
  </mergeCells>
  <pageMargins left="0.75" right="0.75" top="1" bottom="1" header="0.5" footer="0.5"/>
  <pageSetup paperSize="9" orientation="portrait" r:id="rId1"/>
  <headerFooter alignWithMargins="0"/>
  <colBreaks count="1" manualBreakCount="1">
    <brk id="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BF982-29AA-41E2-BFFD-DA3EB29BFC5E}">
  <sheetPr codeName="Sheet3">
    <outlinePr summaryBelow="0" summaryRight="0"/>
  </sheetPr>
  <dimension ref="A2:AZ1418"/>
  <sheetViews>
    <sheetView topLeftCell="I1" workbookViewId="0">
      <selection activeCell="AB13" sqref="AB13"/>
    </sheetView>
  </sheetViews>
  <sheetFormatPr defaultColWidth="7.75" defaultRowHeight="14.25" x14ac:dyDescent="0.2"/>
  <cols>
    <col min="1" max="1" width="15.5" customWidth="1"/>
    <col min="2" max="21" width="4.5" customWidth="1"/>
    <col min="23" max="23" width="4.875" customWidth="1"/>
    <col min="24" max="24" width="10.625" bestFit="1" customWidth="1"/>
    <col min="25" max="25" width="12.25" bestFit="1" customWidth="1"/>
    <col min="26" max="26" width="7.75" bestFit="1" customWidth="1"/>
    <col min="27" max="27" width="6.25" bestFit="1" customWidth="1"/>
    <col min="28" max="28" width="8.75" bestFit="1" customWidth="1"/>
    <col min="29" max="29" width="4.625" bestFit="1" customWidth="1"/>
    <col min="30" max="30" width="6.125" customWidth="1"/>
    <col min="31" max="31" width="4.125" bestFit="1" customWidth="1"/>
    <col min="32" max="32" width="18" customWidth="1"/>
    <col min="33" max="33" width="4.375" bestFit="1" customWidth="1"/>
    <col min="34" max="34" width="4.75" bestFit="1" customWidth="1"/>
    <col min="35" max="35" width="3.875" customWidth="1"/>
    <col min="36" max="36" width="4" customWidth="1"/>
  </cols>
  <sheetData>
    <row r="2" spans="1:52" x14ac:dyDescent="0.2">
      <c r="Q2" s="143" t="s">
        <v>1435</v>
      </c>
      <c r="R2" s="143" t="s">
        <v>2675</v>
      </c>
      <c r="S2" s="143" t="s">
        <v>2397</v>
      </c>
      <c r="T2" s="143" t="s">
        <v>2398</v>
      </c>
      <c r="U2" s="143" t="s">
        <v>2705</v>
      </c>
      <c r="X2" s="217" t="s">
        <v>8027</v>
      </c>
      <c r="Y2" s="217" t="s">
        <v>3546</v>
      </c>
      <c r="Z2" s="217" t="s">
        <v>3569</v>
      </c>
      <c r="AA2" s="217" t="s">
        <v>8028</v>
      </c>
      <c r="AB2" s="217" t="s">
        <v>8029</v>
      </c>
      <c r="AC2" s="217" t="s">
        <v>8030</v>
      </c>
      <c r="AD2" s="217" t="s">
        <v>8213</v>
      </c>
      <c r="AG2" s="431" t="s">
        <v>1435</v>
      </c>
      <c r="AH2" s="431" t="s">
        <v>2675</v>
      </c>
      <c r="AI2" s="431" t="s">
        <v>2397</v>
      </c>
      <c r="AJ2" s="431" t="s">
        <v>2398</v>
      </c>
      <c r="AK2" s="431" t="s">
        <v>2705</v>
      </c>
    </row>
    <row r="3" spans="1:52" x14ac:dyDescent="0.2">
      <c r="Q3" s="144">
        <v>-0.5</v>
      </c>
      <c r="R3" s="144">
        <v>-0.5</v>
      </c>
      <c r="S3" s="144">
        <v>0</v>
      </c>
      <c r="T3" s="144">
        <v>0</v>
      </c>
      <c r="U3" s="145">
        <v>1</v>
      </c>
      <c r="X3" s="219">
        <f>AVERAGE(V7:V1418)</f>
        <v>17.19830028328612</v>
      </c>
      <c r="Y3" s="219">
        <f>MAX(V7:V1418)</f>
        <v>35</v>
      </c>
      <c r="Z3" s="219">
        <f>MIN(V7:V1418)</f>
        <v>-2.5</v>
      </c>
      <c r="AA3" s="219">
        <f>MEDIAN(V7:V1418)</f>
        <v>17</v>
      </c>
      <c r="AB3" s="219">
        <f>COUNTA(A7:A1418)</f>
        <v>706</v>
      </c>
      <c r="AC3" s="219">
        <f>COUNTIF(V7:V1418,"&gt;=20")</f>
        <v>262</v>
      </c>
      <c r="AD3" s="218">
        <f>AC3/AB3</f>
        <v>0.37110481586402266</v>
      </c>
      <c r="AG3" s="432">
        <v>-0.5</v>
      </c>
      <c r="AH3" s="432">
        <v>-0.5</v>
      </c>
      <c r="AI3" s="432">
        <v>0</v>
      </c>
      <c r="AJ3" s="432">
        <v>0</v>
      </c>
      <c r="AK3" s="433">
        <v>1</v>
      </c>
    </row>
    <row r="4" spans="1:52" s="142" customFormat="1" ht="12.75" x14ac:dyDescent="0.2">
      <c r="A4" s="148"/>
      <c r="B4" s="417" t="s">
        <v>8026</v>
      </c>
      <c r="C4" s="417"/>
      <c r="D4" s="148"/>
      <c r="E4" s="148"/>
      <c r="F4" s="148"/>
      <c r="G4" s="148"/>
      <c r="H4" s="148"/>
      <c r="I4" s="148"/>
      <c r="J4" s="148"/>
      <c r="K4" s="148"/>
      <c r="L4" s="148"/>
      <c r="M4" s="148"/>
      <c r="N4" s="148"/>
      <c r="O4" s="148"/>
      <c r="P4" s="148"/>
      <c r="Q4" s="148"/>
      <c r="R4" s="148"/>
      <c r="S4" s="148"/>
      <c r="T4" s="148"/>
      <c r="U4" s="148"/>
    </row>
    <row r="5" spans="1:52" s="142" customFormat="1" ht="12.75" x14ac:dyDescent="0.2">
      <c r="B5" s="150" t="s">
        <v>7280</v>
      </c>
      <c r="C5" s="150" t="s">
        <v>7281</v>
      </c>
      <c r="D5" s="150" t="s">
        <v>7282</v>
      </c>
      <c r="E5" s="150" t="s">
        <v>7283</v>
      </c>
      <c r="F5" s="150" t="s">
        <v>7284</v>
      </c>
      <c r="G5" s="150" t="s">
        <v>7285</v>
      </c>
      <c r="H5" s="150" t="s">
        <v>7286</v>
      </c>
      <c r="I5" s="150" t="s">
        <v>7287</v>
      </c>
      <c r="J5" s="150" t="s">
        <v>7288</v>
      </c>
      <c r="K5" s="150" t="s">
        <v>7289</v>
      </c>
      <c r="L5" s="150" t="s">
        <v>7290</v>
      </c>
      <c r="M5" s="150" t="s">
        <v>7291</v>
      </c>
      <c r="N5" s="150" t="s">
        <v>7292</v>
      </c>
      <c r="O5" s="150" t="s">
        <v>7293</v>
      </c>
      <c r="P5" s="150" t="s">
        <v>7294</v>
      </c>
      <c r="Q5" s="150" t="s">
        <v>7295</v>
      </c>
      <c r="R5" s="150" t="s">
        <v>7296</v>
      </c>
      <c r="S5" s="150" t="s">
        <v>7297</v>
      </c>
      <c r="T5" s="150" t="s">
        <v>7298</v>
      </c>
      <c r="U5" s="150" t="s">
        <v>7299</v>
      </c>
      <c r="AF5" s="142" t="s">
        <v>8942</v>
      </c>
      <c r="AG5" s="142" t="s">
        <v>7280</v>
      </c>
      <c r="AH5" s="142" t="s">
        <v>7281</v>
      </c>
      <c r="AI5" s="142" t="s">
        <v>7282</v>
      </c>
      <c r="AJ5" s="142" t="s">
        <v>7283</v>
      </c>
      <c r="AK5" s="142" t="s">
        <v>7284</v>
      </c>
      <c r="AL5" s="142" t="s">
        <v>7285</v>
      </c>
      <c r="AM5" s="142" t="s">
        <v>7286</v>
      </c>
      <c r="AN5" s="142" t="s">
        <v>7287</v>
      </c>
      <c r="AO5" s="142" t="s">
        <v>7288</v>
      </c>
      <c r="AP5" s="142" t="s">
        <v>7289</v>
      </c>
      <c r="AQ5" s="142" t="s">
        <v>7290</v>
      </c>
      <c r="AR5" s="142" t="s">
        <v>7291</v>
      </c>
      <c r="AS5" s="142" t="s">
        <v>7292</v>
      </c>
      <c r="AT5" s="142" t="s">
        <v>7293</v>
      </c>
      <c r="AU5" s="142" t="s">
        <v>7294</v>
      </c>
      <c r="AV5" s="142" t="s">
        <v>7295</v>
      </c>
      <c r="AW5" s="142" t="s">
        <v>7296</v>
      </c>
      <c r="AX5" s="142" t="s">
        <v>7297</v>
      </c>
      <c r="AY5" s="142" t="s">
        <v>7298</v>
      </c>
      <c r="AZ5" s="142" t="s">
        <v>7299</v>
      </c>
    </row>
    <row r="6" spans="1:52" s="142" customFormat="1" x14ac:dyDescent="0.2">
      <c r="A6" s="149" t="s">
        <v>8034</v>
      </c>
      <c r="B6" s="149" t="s">
        <v>7300</v>
      </c>
      <c r="C6" s="149" t="s">
        <v>7301</v>
      </c>
      <c r="D6" s="149" t="s">
        <v>7302</v>
      </c>
      <c r="E6" s="149" t="s">
        <v>7303</v>
      </c>
      <c r="F6" s="149" t="s">
        <v>7304</v>
      </c>
      <c r="G6" s="149" t="s">
        <v>7305</v>
      </c>
      <c r="H6" s="149" t="s">
        <v>7306</v>
      </c>
      <c r="I6" s="149" t="s">
        <v>7307</v>
      </c>
      <c r="J6" s="149" t="s">
        <v>7308</v>
      </c>
      <c r="K6" s="149" t="s">
        <v>7309</v>
      </c>
      <c r="L6" s="149" t="s">
        <v>7310</v>
      </c>
      <c r="M6" s="149" t="s">
        <v>7311</v>
      </c>
      <c r="N6" s="149" t="s">
        <v>7312</v>
      </c>
      <c r="O6" s="149" t="s">
        <v>7313</v>
      </c>
      <c r="P6" s="149" t="s">
        <v>7314</v>
      </c>
      <c r="Q6" s="149" t="s">
        <v>7315</v>
      </c>
      <c r="R6" s="149" t="s">
        <v>7316</v>
      </c>
      <c r="S6" s="149" t="s">
        <v>7317</v>
      </c>
      <c r="T6" s="149" t="s">
        <v>7318</v>
      </c>
      <c r="U6" s="149" t="s">
        <v>7319</v>
      </c>
      <c r="V6" s="149" t="s">
        <v>8212</v>
      </c>
      <c r="X6" s="434" t="s">
        <v>8943</v>
      </c>
      <c r="Y6" s="434"/>
      <c r="Z6" s="434"/>
      <c r="AA6" s="434"/>
      <c r="AB6" s="434"/>
      <c r="AC6" s="434"/>
      <c r="AF6" s="142" t="s">
        <v>8034</v>
      </c>
      <c r="AG6" s="142" t="s">
        <v>7300</v>
      </c>
      <c r="AH6" s="142" t="s">
        <v>7301</v>
      </c>
      <c r="AI6" s="142" t="s">
        <v>7302</v>
      </c>
      <c r="AJ6" s="142" t="s">
        <v>7303</v>
      </c>
      <c r="AK6" s="142" t="s">
        <v>7304</v>
      </c>
      <c r="AL6" s="142" t="s">
        <v>7305</v>
      </c>
      <c r="AM6" s="142" t="s">
        <v>7306</v>
      </c>
      <c r="AN6" s="142" t="s">
        <v>7307</v>
      </c>
      <c r="AO6" s="142" t="s">
        <v>7308</v>
      </c>
      <c r="AP6" s="142" t="s">
        <v>7309</v>
      </c>
      <c r="AQ6" s="142" t="s">
        <v>7310</v>
      </c>
      <c r="AR6" s="142" t="s">
        <v>7311</v>
      </c>
      <c r="AS6" s="142" t="s">
        <v>7312</v>
      </c>
      <c r="AT6" s="142" t="s">
        <v>7313</v>
      </c>
      <c r="AU6" s="142" t="s">
        <v>7314</v>
      </c>
      <c r="AV6" s="142" t="s">
        <v>7315</v>
      </c>
      <c r="AW6" s="142" t="s">
        <v>7316</v>
      </c>
      <c r="AX6" s="142" t="s">
        <v>7317</v>
      </c>
      <c r="AY6" s="142" t="s">
        <v>7318</v>
      </c>
      <c r="AZ6" s="142" t="s">
        <v>7319</v>
      </c>
    </row>
    <row r="7" spans="1:52" s="142" customFormat="1" x14ac:dyDescent="0.2">
      <c r="A7" s="151" t="s">
        <v>7320</v>
      </c>
      <c r="B7" s="152" t="s">
        <v>2705</v>
      </c>
      <c r="C7" s="152" t="s">
        <v>2705</v>
      </c>
      <c r="D7" s="152" t="s">
        <v>2398</v>
      </c>
      <c r="E7" s="152" t="s">
        <v>2705</v>
      </c>
      <c r="F7" s="152" t="s">
        <v>2705</v>
      </c>
      <c r="G7" s="152" t="s">
        <v>2705</v>
      </c>
      <c r="H7" s="152" t="s">
        <v>1435</v>
      </c>
      <c r="I7" s="152" t="s">
        <v>2398</v>
      </c>
      <c r="J7" s="152" t="s">
        <v>2705</v>
      </c>
      <c r="K7" s="152" t="s">
        <v>2705</v>
      </c>
      <c r="L7" s="152" t="s">
        <v>2398</v>
      </c>
      <c r="M7" s="152" t="s">
        <v>2705</v>
      </c>
      <c r="N7" s="152" t="s">
        <v>2705</v>
      </c>
      <c r="O7" s="152" t="s">
        <v>1435</v>
      </c>
      <c r="P7" s="152" t="s">
        <v>2705</v>
      </c>
      <c r="Q7" s="152" t="s">
        <v>2705</v>
      </c>
      <c r="R7" s="152" t="s">
        <v>2705</v>
      </c>
      <c r="S7" s="152" t="s">
        <v>2705</v>
      </c>
      <c r="T7" s="152" t="s">
        <v>2675</v>
      </c>
      <c r="U7" s="152" t="s">
        <v>2705</v>
      </c>
      <c r="V7" s="142" cm="1">
        <f t="array" ref="V7">IF(A7&lt;&gt;"",SUM(--(B7:U8 = "X")*$U$3,--(B7:U8 ="A")*$Q$3,--(B7:U8 ="B")*$R$3,--(B7:U8 ="C")*$S$3),"")</f>
        <v>19.5</v>
      </c>
      <c r="X7" s="435" t="s">
        <v>8944</v>
      </c>
      <c r="Y7" s="435" t="s">
        <v>8945</v>
      </c>
      <c r="Z7" s="435" t="s">
        <v>8946</v>
      </c>
      <c r="AA7" s="435" t="s">
        <v>8947</v>
      </c>
      <c r="AB7" s="435" t="s">
        <v>8948</v>
      </c>
      <c r="AC7" s="435" t="s">
        <v>8949</v>
      </c>
      <c r="AD7"/>
      <c r="AF7" s="142" t="s">
        <v>7320</v>
      </c>
      <c r="AG7" s="142" t="s">
        <v>2705</v>
      </c>
      <c r="AH7" s="142" t="s">
        <v>2705</v>
      </c>
      <c r="AI7" s="142" t="s">
        <v>2398</v>
      </c>
      <c r="AJ7" s="142" t="s">
        <v>2705</v>
      </c>
      <c r="AK7" s="142" t="s">
        <v>2705</v>
      </c>
      <c r="AL7" s="142" t="s">
        <v>2705</v>
      </c>
      <c r="AM7" s="142" t="s">
        <v>1435</v>
      </c>
      <c r="AN7" s="142" t="s">
        <v>2398</v>
      </c>
      <c r="AO7" s="142" t="s">
        <v>2705</v>
      </c>
      <c r="AP7" s="142" t="s">
        <v>2705</v>
      </c>
      <c r="AQ7" s="142" t="s">
        <v>2398</v>
      </c>
      <c r="AR7" s="142" t="s">
        <v>2705</v>
      </c>
      <c r="AS7" s="142" t="s">
        <v>2705</v>
      </c>
      <c r="AT7" s="142" t="s">
        <v>1435</v>
      </c>
      <c r="AU7" s="142" t="s">
        <v>2705</v>
      </c>
      <c r="AV7" s="142" t="s">
        <v>2705</v>
      </c>
      <c r="AW7" s="142" t="s">
        <v>2705</v>
      </c>
      <c r="AX7" s="142" t="s">
        <v>2705</v>
      </c>
      <c r="AY7" s="142" t="s">
        <v>2675</v>
      </c>
      <c r="AZ7" s="142" t="s">
        <v>2705</v>
      </c>
    </row>
    <row r="8" spans="1:52" s="142" customFormat="1" x14ac:dyDescent="0.2">
      <c r="A8" s="151"/>
      <c r="B8" s="152" t="s">
        <v>2397</v>
      </c>
      <c r="C8" s="152" t="s">
        <v>1435</v>
      </c>
      <c r="D8" s="152" t="s">
        <v>2705</v>
      </c>
      <c r="E8" s="152" t="s">
        <v>2705</v>
      </c>
      <c r="F8" s="152" t="s">
        <v>2705</v>
      </c>
      <c r="G8" s="152" t="s">
        <v>1435</v>
      </c>
      <c r="H8" s="152" t="s">
        <v>2705</v>
      </c>
      <c r="I8" s="152" t="s">
        <v>2705</v>
      </c>
      <c r="J8" s="152" t="s">
        <v>2705</v>
      </c>
      <c r="K8" s="152" t="s">
        <v>1435</v>
      </c>
      <c r="L8" s="152" t="s">
        <v>2705</v>
      </c>
      <c r="M8" s="152" t="s">
        <v>2705</v>
      </c>
      <c r="N8" s="152" t="s">
        <v>2675</v>
      </c>
      <c r="O8" s="152" t="s">
        <v>2398</v>
      </c>
      <c r="P8" s="152" t="s">
        <v>1435</v>
      </c>
      <c r="Q8" s="152" t="s">
        <v>2705</v>
      </c>
      <c r="R8" s="152" t="s">
        <v>1435</v>
      </c>
      <c r="S8" s="152" t="s">
        <v>2397</v>
      </c>
      <c r="T8" s="152" t="s">
        <v>2705</v>
      </c>
      <c r="U8" s="152" t="s">
        <v>2398</v>
      </c>
      <c r="V8" s="142" t="str" cm="1">
        <f t="array" ref="V8">IF(A8&lt;&gt;"",SUM(--(B8:U9 = "X")*$U$3,--(B8:U9 ="A")*$Q$3,--(B8:U9 ="B")*$R$3,--(B8:U9 ="C")*$S$3),"")</f>
        <v/>
      </c>
      <c r="X8" t="s">
        <v>8950</v>
      </c>
      <c r="Y8">
        <v>17.2</v>
      </c>
      <c r="Z8">
        <v>-2.5</v>
      </c>
      <c r="AA8">
        <v>35</v>
      </c>
      <c r="AB8">
        <v>17</v>
      </c>
      <c r="AC8">
        <v>706</v>
      </c>
      <c r="AD8"/>
      <c r="AG8" s="142" t="s">
        <v>2397</v>
      </c>
      <c r="AH8" s="142" t="s">
        <v>1435</v>
      </c>
      <c r="AI8" s="142" t="s">
        <v>2705</v>
      </c>
      <c r="AJ8" s="142" t="s">
        <v>2705</v>
      </c>
      <c r="AK8" s="142" t="s">
        <v>2705</v>
      </c>
      <c r="AL8" s="142" t="s">
        <v>1435</v>
      </c>
      <c r="AM8" s="142" t="s">
        <v>2705</v>
      </c>
      <c r="AN8" s="142" t="s">
        <v>2705</v>
      </c>
      <c r="AO8" s="142" t="s">
        <v>2705</v>
      </c>
      <c r="AP8" s="142" t="s">
        <v>1435</v>
      </c>
      <c r="AQ8" s="142" t="s">
        <v>2705</v>
      </c>
      <c r="AR8" s="142" t="s">
        <v>2705</v>
      </c>
      <c r="AS8" s="142" t="s">
        <v>2675</v>
      </c>
      <c r="AT8" s="142" t="s">
        <v>2398</v>
      </c>
      <c r="AU8" s="142" t="s">
        <v>1435</v>
      </c>
      <c r="AV8" s="142" t="s">
        <v>2705</v>
      </c>
      <c r="AW8" s="142" t="s">
        <v>1435</v>
      </c>
      <c r="AX8" s="142" t="s">
        <v>2397</v>
      </c>
      <c r="AY8" s="142" t="s">
        <v>2705</v>
      </c>
      <c r="AZ8" s="142" t="s">
        <v>2398</v>
      </c>
    </row>
    <row r="9" spans="1:52" s="142" customFormat="1" ht="12.75" x14ac:dyDescent="0.2">
      <c r="A9" s="151" t="s">
        <v>7321</v>
      </c>
      <c r="B9" s="152" t="s">
        <v>2705</v>
      </c>
      <c r="C9" s="152" t="s">
        <v>2705</v>
      </c>
      <c r="D9" s="152" t="s">
        <v>2705</v>
      </c>
      <c r="E9" s="152" t="s">
        <v>2705</v>
      </c>
      <c r="F9" s="152" t="s">
        <v>2705</v>
      </c>
      <c r="G9" s="152" t="s">
        <v>2705</v>
      </c>
      <c r="H9" s="152" t="s">
        <v>2705</v>
      </c>
      <c r="I9" s="152" t="s">
        <v>2705</v>
      </c>
      <c r="J9" s="152" t="s">
        <v>2705</v>
      </c>
      <c r="K9" s="152" t="s">
        <v>2397</v>
      </c>
      <c r="L9" s="152" t="s">
        <v>2705</v>
      </c>
      <c r="M9" s="152" t="s">
        <v>2705</v>
      </c>
      <c r="N9" s="152" t="s">
        <v>2705</v>
      </c>
      <c r="O9" s="152" t="s">
        <v>2705</v>
      </c>
      <c r="P9" s="152" t="s">
        <v>2705</v>
      </c>
      <c r="Q9" s="152" t="s">
        <v>2675</v>
      </c>
      <c r="R9" s="152" t="s">
        <v>2398</v>
      </c>
      <c r="S9" s="152" t="s">
        <v>2397</v>
      </c>
      <c r="T9" s="152" t="s">
        <v>2705</v>
      </c>
      <c r="U9" s="152" t="s">
        <v>2705</v>
      </c>
      <c r="V9" s="142" cm="1">
        <f t="array" ref="V9">IF(A9&lt;&gt;"",SUM(--(B9:U10 = "X")*$U$3,--(B9:U10 ="A")*$Q$3,--(B9:U10 ="B")*$R$3,--(B9:U10 ="C")*$S$3),"")</f>
        <v>22</v>
      </c>
      <c r="AF9" s="142" t="s">
        <v>7321</v>
      </c>
      <c r="AG9" s="142" t="s">
        <v>2705</v>
      </c>
      <c r="AH9" s="142" t="s">
        <v>2705</v>
      </c>
      <c r="AI9" s="142" t="s">
        <v>2705</v>
      </c>
      <c r="AJ9" s="142" t="s">
        <v>2705</v>
      </c>
      <c r="AK9" s="142" t="s">
        <v>2705</v>
      </c>
      <c r="AL9" s="142" t="s">
        <v>2705</v>
      </c>
      <c r="AM9" s="142" t="s">
        <v>2705</v>
      </c>
      <c r="AN9" s="142" t="s">
        <v>2705</v>
      </c>
      <c r="AO9" s="142" t="s">
        <v>2705</v>
      </c>
      <c r="AP9" s="142" t="s">
        <v>2397</v>
      </c>
      <c r="AQ9" s="142" t="s">
        <v>2705</v>
      </c>
      <c r="AR9" s="142" t="s">
        <v>2705</v>
      </c>
      <c r="AS9" s="142" t="s">
        <v>2705</v>
      </c>
      <c r="AT9" s="142" t="s">
        <v>2705</v>
      </c>
      <c r="AU9" s="142" t="s">
        <v>2705</v>
      </c>
      <c r="AV9" s="142" t="s">
        <v>2675</v>
      </c>
      <c r="AW9" s="142" t="s">
        <v>2398</v>
      </c>
      <c r="AX9" s="142" t="s">
        <v>2397</v>
      </c>
      <c r="AY9" s="142" t="s">
        <v>2705</v>
      </c>
      <c r="AZ9" s="142" t="s">
        <v>2705</v>
      </c>
    </row>
    <row r="10" spans="1:52" s="142" customFormat="1" ht="12.75" x14ac:dyDescent="0.2">
      <c r="A10" s="151"/>
      <c r="B10" s="152" t="s">
        <v>1435</v>
      </c>
      <c r="C10" s="152" t="s">
        <v>2675</v>
      </c>
      <c r="D10" s="152" t="s">
        <v>2705</v>
      </c>
      <c r="E10" s="152" t="s">
        <v>2705</v>
      </c>
      <c r="F10" s="152" t="s">
        <v>2705</v>
      </c>
      <c r="G10" s="152" t="s">
        <v>2397</v>
      </c>
      <c r="H10" s="152" t="s">
        <v>2675</v>
      </c>
      <c r="I10" s="152" t="s">
        <v>2705</v>
      </c>
      <c r="J10" s="152" t="s">
        <v>2397</v>
      </c>
      <c r="K10" s="152" t="s">
        <v>2705</v>
      </c>
      <c r="L10" s="152" t="s">
        <v>2397</v>
      </c>
      <c r="M10" s="152" t="s">
        <v>1435</v>
      </c>
      <c r="N10" s="152" t="s">
        <v>2705</v>
      </c>
      <c r="O10" s="152" t="s">
        <v>1435</v>
      </c>
      <c r="P10" s="152" t="s">
        <v>2705</v>
      </c>
      <c r="Q10" s="152" t="s">
        <v>2705</v>
      </c>
      <c r="R10" s="152" t="s">
        <v>1435</v>
      </c>
      <c r="S10" s="152" t="s">
        <v>2675</v>
      </c>
      <c r="T10" s="152" t="s">
        <v>2705</v>
      </c>
      <c r="U10" s="152" t="s">
        <v>2705</v>
      </c>
      <c r="V10" s="142" t="str" cm="1">
        <f t="array" ref="V10">IF(A10&lt;&gt;"",SUM(--(B10:U11 = "X")*$U$3,--(B10:U11 ="A")*$Q$3,--(B10:U11 ="B")*$R$3,--(B10:U11 ="C")*$S$3),"")</f>
        <v/>
      </c>
      <c r="AG10" s="142" t="s">
        <v>1435</v>
      </c>
      <c r="AH10" s="142" t="s">
        <v>2675</v>
      </c>
      <c r="AI10" s="142" t="s">
        <v>2705</v>
      </c>
      <c r="AJ10" s="142" t="s">
        <v>2705</v>
      </c>
      <c r="AK10" s="142" t="s">
        <v>2705</v>
      </c>
      <c r="AL10" s="142" t="s">
        <v>2397</v>
      </c>
      <c r="AM10" s="142" t="s">
        <v>2675</v>
      </c>
      <c r="AN10" s="142" t="s">
        <v>2705</v>
      </c>
      <c r="AO10" s="142" t="s">
        <v>2397</v>
      </c>
      <c r="AP10" s="142" t="s">
        <v>2705</v>
      </c>
      <c r="AQ10" s="142" t="s">
        <v>2397</v>
      </c>
      <c r="AR10" s="142" t="s">
        <v>1435</v>
      </c>
      <c r="AS10" s="142" t="s">
        <v>2705</v>
      </c>
      <c r="AT10" s="142" t="s">
        <v>1435</v>
      </c>
      <c r="AU10" s="142" t="s">
        <v>2705</v>
      </c>
      <c r="AV10" s="142" t="s">
        <v>2705</v>
      </c>
      <c r="AW10" s="142" t="s">
        <v>1435</v>
      </c>
      <c r="AX10" s="142" t="s">
        <v>2675</v>
      </c>
      <c r="AY10" s="142" t="s">
        <v>2705</v>
      </c>
      <c r="AZ10" s="142" t="s">
        <v>2705</v>
      </c>
    </row>
    <row r="11" spans="1:52" s="142" customFormat="1" ht="12.75" x14ac:dyDescent="0.2">
      <c r="A11" s="151" t="s">
        <v>7322</v>
      </c>
      <c r="B11" s="152" t="s">
        <v>2705</v>
      </c>
      <c r="C11" s="152" t="s">
        <v>2705</v>
      </c>
      <c r="D11" s="152" t="s">
        <v>2398</v>
      </c>
      <c r="E11" s="152" t="s">
        <v>2705</v>
      </c>
      <c r="F11" s="152" t="s">
        <v>2705</v>
      </c>
      <c r="G11" s="152" t="s">
        <v>2705</v>
      </c>
      <c r="H11" s="152" t="s">
        <v>2398</v>
      </c>
      <c r="I11" s="152" t="s">
        <v>2705</v>
      </c>
      <c r="J11" s="152" t="s">
        <v>2705</v>
      </c>
      <c r="K11" s="152" t="s">
        <v>2705</v>
      </c>
      <c r="L11" s="152" t="s">
        <v>2705</v>
      </c>
      <c r="M11" s="152" t="s">
        <v>2705</v>
      </c>
      <c r="N11" s="152" t="s">
        <v>2705</v>
      </c>
      <c r="O11" s="152" t="s">
        <v>2705</v>
      </c>
      <c r="P11" s="152" t="s">
        <v>2398</v>
      </c>
      <c r="Q11" s="152" t="s">
        <v>2675</v>
      </c>
      <c r="R11" s="152" t="s">
        <v>2705</v>
      </c>
      <c r="S11" s="152" t="s">
        <v>2398</v>
      </c>
      <c r="T11" s="152" t="s">
        <v>2398</v>
      </c>
      <c r="U11" s="152" t="s">
        <v>2705</v>
      </c>
      <c r="V11" s="142" cm="1">
        <f t="array" ref="V11">IF(A11&lt;&gt;"",SUM(--(B11:U12 = "X")*$U$3,--(B11:U12 ="A")*$Q$3,--(B11:U12 ="B")*$R$3,--(B11:U12 ="C")*$S$3),"")</f>
        <v>21.5</v>
      </c>
      <c r="X11" s="436" t="s">
        <v>8951</v>
      </c>
      <c r="Y11" s="436" t="s">
        <v>8952</v>
      </c>
      <c r="Z11" s="436" t="s">
        <v>8953</v>
      </c>
      <c r="AF11" s="142" t="s">
        <v>7322</v>
      </c>
      <c r="AG11" s="142" t="s">
        <v>2705</v>
      </c>
      <c r="AH11" s="142" t="s">
        <v>2705</v>
      </c>
      <c r="AI11" s="142" t="s">
        <v>2398</v>
      </c>
      <c r="AJ11" s="142" t="s">
        <v>2705</v>
      </c>
      <c r="AK11" s="142" t="s">
        <v>2705</v>
      </c>
      <c r="AL11" s="142" t="s">
        <v>2705</v>
      </c>
      <c r="AM11" s="142" t="s">
        <v>2398</v>
      </c>
      <c r="AN11" s="142" t="s">
        <v>2705</v>
      </c>
      <c r="AO11" s="142" t="s">
        <v>2705</v>
      </c>
      <c r="AP11" s="142" t="s">
        <v>2705</v>
      </c>
      <c r="AQ11" s="142" t="s">
        <v>2705</v>
      </c>
      <c r="AR11" s="142" t="s">
        <v>2705</v>
      </c>
      <c r="AS11" s="142" t="s">
        <v>2705</v>
      </c>
      <c r="AT11" s="142" t="s">
        <v>2705</v>
      </c>
      <c r="AU11" s="142" t="s">
        <v>2398</v>
      </c>
      <c r="AV11" s="142" t="s">
        <v>2675</v>
      </c>
      <c r="AW11" s="142" t="s">
        <v>2705</v>
      </c>
      <c r="AX11" s="142" t="s">
        <v>2398</v>
      </c>
      <c r="AY11" s="142" t="s">
        <v>2398</v>
      </c>
      <c r="AZ11" s="142" t="s">
        <v>2705</v>
      </c>
    </row>
    <row r="12" spans="1:52" s="142" customFormat="1" ht="12.75" x14ac:dyDescent="0.2">
      <c r="A12" s="151"/>
      <c r="B12" s="152" t="s">
        <v>2705</v>
      </c>
      <c r="C12" s="152" t="s">
        <v>2398</v>
      </c>
      <c r="D12" s="152" t="s">
        <v>2397</v>
      </c>
      <c r="E12" s="152" t="s">
        <v>2398</v>
      </c>
      <c r="F12" s="152" t="s">
        <v>2705</v>
      </c>
      <c r="G12" s="152" t="s">
        <v>2398</v>
      </c>
      <c r="H12" s="152" t="s">
        <v>2398</v>
      </c>
      <c r="I12" s="152" t="s">
        <v>2705</v>
      </c>
      <c r="J12" s="152" t="s">
        <v>2705</v>
      </c>
      <c r="K12" s="152" t="s">
        <v>2705</v>
      </c>
      <c r="L12" s="152" t="s">
        <v>2398</v>
      </c>
      <c r="M12" s="152" t="s">
        <v>2705</v>
      </c>
      <c r="N12" s="152" t="s">
        <v>2398</v>
      </c>
      <c r="O12" s="152" t="s">
        <v>2398</v>
      </c>
      <c r="P12" s="152" t="s">
        <v>2398</v>
      </c>
      <c r="Q12" s="152" t="s">
        <v>2705</v>
      </c>
      <c r="R12" s="152" t="s">
        <v>2398</v>
      </c>
      <c r="S12" s="152" t="s">
        <v>2398</v>
      </c>
      <c r="T12" s="152" t="s">
        <v>2398</v>
      </c>
      <c r="U12" s="152" t="s">
        <v>2705</v>
      </c>
      <c r="V12" s="142" t="str" cm="1">
        <f t="array" ref="V12">IF(A12&lt;&gt;"",SUM(--(B12:U13 = "X")*$U$3,--(B12:U13 ="A")*$Q$3,--(B12:U13 ="B")*$R$3,--(B12:U13 ="C")*$S$3),"")</f>
        <v/>
      </c>
      <c r="X12" s="437" t="s">
        <v>7320</v>
      </c>
      <c r="Y12" s="437">
        <v>19.5</v>
      </c>
      <c r="Z12" s="436">
        <f>_xlfn.XLOOKUP(answers[[#This Row],[StudentID]],$A$7:$A$1418,$V$7:$V$1418)</f>
        <v>19.5</v>
      </c>
      <c r="AG12" s="142" t="s">
        <v>2705</v>
      </c>
      <c r="AH12" s="142" t="s">
        <v>2398</v>
      </c>
      <c r="AI12" s="142" t="s">
        <v>2397</v>
      </c>
      <c r="AJ12" s="142" t="s">
        <v>2398</v>
      </c>
      <c r="AK12" s="142" t="s">
        <v>2705</v>
      </c>
      <c r="AL12" s="142" t="s">
        <v>2398</v>
      </c>
      <c r="AM12" s="142" t="s">
        <v>2398</v>
      </c>
      <c r="AN12" s="142" t="s">
        <v>2705</v>
      </c>
      <c r="AO12" s="142" t="s">
        <v>2705</v>
      </c>
      <c r="AP12" s="142" t="s">
        <v>2705</v>
      </c>
      <c r="AQ12" s="142" t="s">
        <v>2398</v>
      </c>
      <c r="AR12" s="142" t="s">
        <v>2705</v>
      </c>
      <c r="AS12" s="142" t="s">
        <v>2398</v>
      </c>
      <c r="AT12" s="142" t="s">
        <v>2398</v>
      </c>
      <c r="AU12" s="142" t="s">
        <v>2398</v>
      </c>
      <c r="AV12" s="142" t="s">
        <v>2705</v>
      </c>
      <c r="AW12" s="142" t="s">
        <v>2398</v>
      </c>
      <c r="AX12" s="142" t="s">
        <v>2398</v>
      </c>
      <c r="AY12" s="142" t="s">
        <v>2398</v>
      </c>
      <c r="AZ12" s="142" t="s">
        <v>2705</v>
      </c>
    </row>
    <row r="13" spans="1:52" s="142" customFormat="1" ht="12.75" x14ac:dyDescent="0.2">
      <c r="A13" s="151" t="s">
        <v>7323</v>
      </c>
      <c r="B13" s="152" t="s">
        <v>2705</v>
      </c>
      <c r="C13" s="152" t="s">
        <v>2705</v>
      </c>
      <c r="D13" s="152" t="s">
        <v>2705</v>
      </c>
      <c r="E13" s="152" t="s">
        <v>2705</v>
      </c>
      <c r="F13" s="152" t="s">
        <v>2705</v>
      </c>
      <c r="G13" s="152" t="s">
        <v>2705</v>
      </c>
      <c r="H13" s="152" t="s">
        <v>1435</v>
      </c>
      <c r="I13" s="152" t="s">
        <v>2398</v>
      </c>
      <c r="J13" s="152" t="s">
        <v>2705</v>
      </c>
      <c r="K13" s="152" t="s">
        <v>1435</v>
      </c>
      <c r="L13" s="152" t="s">
        <v>2705</v>
      </c>
      <c r="M13" s="152" t="s">
        <v>2705</v>
      </c>
      <c r="N13" s="152" t="s">
        <v>2705</v>
      </c>
      <c r="O13" s="152" t="s">
        <v>2398</v>
      </c>
      <c r="P13" s="152" t="s">
        <v>2398</v>
      </c>
      <c r="Q13" s="152" t="s">
        <v>2705</v>
      </c>
      <c r="R13" s="152" t="s">
        <v>2705</v>
      </c>
      <c r="S13" s="152" t="s">
        <v>2398</v>
      </c>
      <c r="T13" s="152" t="s">
        <v>2705</v>
      </c>
      <c r="U13" s="152" t="s">
        <v>2398</v>
      </c>
      <c r="V13" s="142" cm="1">
        <f t="array" ref="V13">IF(A13&lt;&gt;"",SUM(--(B13:U14 = "X")*$U$3,--(B13:U14 ="A")*$Q$3,--(B13:U14 ="B")*$R$3,--(B13:U14 ="C")*$S$3),"")</f>
        <v>19.5</v>
      </c>
      <c r="X13" s="437" t="s">
        <v>7321</v>
      </c>
      <c r="Y13" s="437">
        <v>22</v>
      </c>
      <c r="Z13" s="436">
        <f>_xlfn.XLOOKUP(answers[[#This Row],[StudentID]],$A$7:$A$1418,$V$7:$V$1418)</f>
        <v>22</v>
      </c>
      <c r="AF13" s="142" t="s">
        <v>7323</v>
      </c>
      <c r="AG13" s="142" t="s">
        <v>2705</v>
      </c>
      <c r="AH13" s="142" t="s">
        <v>2705</v>
      </c>
      <c r="AI13" s="142" t="s">
        <v>2705</v>
      </c>
      <c r="AJ13" s="142" t="s">
        <v>2705</v>
      </c>
      <c r="AK13" s="142" t="s">
        <v>2705</v>
      </c>
      <c r="AL13" s="142" t="s">
        <v>2705</v>
      </c>
      <c r="AM13" s="142" t="s">
        <v>1435</v>
      </c>
      <c r="AN13" s="142" t="s">
        <v>2398</v>
      </c>
      <c r="AO13" s="142" t="s">
        <v>2705</v>
      </c>
      <c r="AP13" s="142" t="s">
        <v>1435</v>
      </c>
      <c r="AQ13" s="142" t="s">
        <v>2705</v>
      </c>
      <c r="AR13" s="142" t="s">
        <v>2705</v>
      </c>
      <c r="AS13" s="142" t="s">
        <v>2705</v>
      </c>
      <c r="AT13" s="142" t="s">
        <v>2398</v>
      </c>
      <c r="AU13" s="142" t="s">
        <v>2398</v>
      </c>
      <c r="AV13" s="142" t="s">
        <v>2705</v>
      </c>
      <c r="AW13" s="142" t="s">
        <v>2705</v>
      </c>
      <c r="AX13" s="142" t="s">
        <v>2398</v>
      </c>
      <c r="AY13" s="142" t="s">
        <v>2705</v>
      </c>
      <c r="AZ13" s="142" t="s">
        <v>2398</v>
      </c>
    </row>
    <row r="14" spans="1:52" s="142" customFormat="1" ht="12.75" x14ac:dyDescent="0.2">
      <c r="A14" s="151"/>
      <c r="B14" s="152" t="s">
        <v>2705</v>
      </c>
      <c r="C14" s="152" t="s">
        <v>2675</v>
      </c>
      <c r="D14" s="152" t="s">
        <v>2398</v>
      </c>
      <c r="E14" s="152" t="s">
        <v>2705</v>
      </c>
      <c r="F14" s="152" t="s">
        <v>2675</v>
      </c>
      <c r="G14" s="152" t="s">
        <v>1435</v>
      </c>
      <c r="H14" s="152" t="s">
        <v>2705</v>
      </c>
      <c r="I14" s="152" t="s">
        <v>2705</v>
      </c>
      <c r="J14" s="152" t="s">
        <v>2705</v>
      </c>
      <c r="K14" s="152" t="s">
        <v>2705</v>
      </c>
      <c r="L14" s="152" t="s">
        <v>2398</v>
      </c>
      <c r="M14" s="152" t="s">
        <v>2398</v>
      </c>
      <c r="N14" s="152" t="s">
        <v>2705</v>
      </c>
      <c r="O14" s="152" t="s">
        <v>1435</v>
      </c>
      <c r="P14" s="152" t="s">
        <v>2398</v>
      </c>
      <c r="Q14" s="152" t="s">
        <v>2705</v>
      </c>
      <c r="R14" s="152" t="s">
        <v>2398</v>
      </c>
      <c r="S14" s="152" t="s">
        <v>2675</v>
      </c>
      <c r="T14" s="152" t="s">
        <v>2705</v>
      </c>
      <c r="U14" s="152" t="s">
        <v>2705</v>
      </c>
      <c r="V14" s="142" t="str" cm="1">
        <f t="array" ref="V14">IF(A14&lt;&gt;"",SUM(--(B14:U15 = "X")*$U$3,--(B14:U15 ="A")*$Q$3,--(B14:U15 ="B")*$R$3,--(B14:U15 ="C")*$S$3),"")</f>
        <v/>
      </c>
      <c r="X14" s="437" t="s">
        <v>7322</v>
      </c>
      <c r="Y14" s="437">
        <v>21.5</v>
      </c>
      <c r="Z14" s="436">
        <f>_xlfn.XLOOKUP(answers[[#This Row],[StudentID]],$A$7:$A$1418,$V$7:$V$1418)</f>
        <v>21.5</v>
      </c>
      <c r="AG14" s="142" t="s">
        <v>2705</v>
      </c>
      <c r="AH14" s="142" t="s">
        <v>2675</v>
      </c>
      <c r="AI14" s="142" t="s">
        <v>2398</v>
      </c>
      <c r="AJ14" s="142" t="s">
        <v>2705</v>
      </c>
      <c r="AK14" s="142" t="s">
        <v>2675</v>
      </c>
      <c r="AL14" s="142" t="s">
        <v>1435</v>
      </c>
      <c r="AM14" s="142" t="s">
        <v>2705</v>
      </c>
      <c r="AN14" s="142" t="s">
        <v>2705</v>
      </c>
      <c r="AO14" s="142" t="s">
        <v>2705</v>
      </c>
      <c r="AP14" s="142" t="s">
        <v>2705</v>
      </c>
      <c r="AQ14" s="142" t="s">
        <v>2398</v>
      </c>
      <c r="AR14" s="142" t="s">
        <v>2398</v>
      </c>
      <c r="AS14" s="142" t="s">
        <v>2705</v>
      </c>
      <c r="AT14" s="142" t="s">
        <v>1435</v>
      </c>
      <c r="AU14" s="142" t="s">
        <v>2398</v>
      </c>
      <c r="AV14" s="142" t="s">
        <v>2705</v>
      </c>
      <c r="AW14" s="142" t="s">
        <v>2398</v>
      </c>
      <c r="AX14" s="142" t="s">
        <v>2675</v>
      </c>
      <c r="AY14" s="142" t="s">
        <v>2705</v>
      </c>
      <c r="AZ14" s="142" t="s">
        <v>2705</v>
      </c>
    </row>
    <row r="15" spans="1:52" s="142" customFormat="1" ht="12.75" x14ac:dyDescent="0.2">
      <c r="A15" s="151" t="s">
        <v>7324</v>
      </c>
      <c r="B15" s="152" t="s">
        <v>2705</v>
      </c>
      <c r="C15" s="152" t="s">
        <v>2397</v>
      </c>
      <c r="D15" s="152" t="s">
        <v>2705</v>
      </c>
      <c r="E15" s="152" t="s">
        <v>2705</v>
      </c>
      <c r="F15" s="152" t="s">
        <v>2705</v>
      </c>
      <c r="G15" s="152" t="s">
        <v>2705</v>
      </c>
      <c r="H15" s="152" t="s">
        <v>2705</v>
      </c>
      <c r="I15" s="152" t="s">
        <v>2398</v>
      </c>
      <c r="J15" s="152" t="s">
        <v>2398</v>
      </c>
      <c r="K15" s="152" t="s">
        <v>2705</v>
      </c>
      <c r="L15" s="152" t="s">
        <v>2705</v>
      </c>
      <c r="M15" s="152" t="s">
        <v>2705</v>
      </c>
      <c r="N15" s="152" t="s">
        <v>2675</v>
      </c>
      <c r="O15" s="152" t="s">
        <v>2397</v>
      </c>
      <c r="P15" s="152" t="s">
        <v>2398</v>
      </c>
      <c r="Q15" s="152" t="s">
        <v>2705</v>
      </c>
      <c r="R15" s="152" t="s">
        <v>2397</v>
      </c>
      <c r="S15" s="152" t="s">
        <v>2675</v>
      </c>
      <c r="T15" s="152" t="s">
        <v>1435</v>
      </c>
      <c r="U15" s="152" t="s">
        <v>2705</v>
      </c>
      <c r="V15" s="142" cm="1">
        <f t="array" ref="V15">IF(A15&lt;&gt;"",SUM(--(B15:U16 = "X")*$U$3,--(B15:U16 ="A")*$Q$3,--(B15:U16 ="B")*$R$3,--(B15:U16 ="C")*$S$3),"")</f>
        <v>21.5</v>
      </c>
      <c r="X15" s="437" t="s">
        <v>7323</v>
      </c>
      <c r="Y15" s="437">
        <v>19.5</v>
      </c>
      <c r="Z15" s="436">
        <f>_xlfn.XLOOKUP(answers[[#This Row],[StudentID]],$A$7:$A$1418,$V$7:$V$1418)</f>
        <v>19.5</v>
      </c>
      <c r="AF15" s="142" t="s">
        <v>7324</v>
      </c>
      <c r="AG15" s="142" t="s">
        <v>2705</v>
      </c>
      <c r="AH15" s="142" t="s">
        <v>2397</v>
      </c>
      <c r="AI15" s="142" t="s">
        <v>2705</v>
      </c>
      <c r="AJ15" s="142" t="s">
        <v>2705</v>
      </c>
      <c r="AK15" s="142" t="s">
        <v>2705</v>
      </c>
      <c r="AL15" s="142" t="s">
        <v>2705</v>
      </c>
      <c r="AM15" s="142" t="s">
        <v>2705</v>
      </c>
      <c r="AN15" s="142" t="s">
        <v>2398</v>
      </c>
      <c r="AO15" s="142" t="s">
        <v>2398</v>
      </c>
      <c r="AP15" s="142" t="s">
        <v>2705</v>
      </c>
      <c r="AQ15" s="142" t="s">
        <v>2705</v>
      </c>
      <c r="AR15" s="142" t="s">
        <v>2705</v>
      </c>
      <c r="AS15" s="142" t="s">
        <v>2675</v>
      </c>
      <c r="AT15" s="142" t="s">
        <v>2397</v>
      </c>
      <c r="AU15" s="142" t="s">
        <v>2398</v>
      </c>
      <c r="AV15" s="142" t="s">
        <v>2705</v>
      </c>
      <c r="AW15" s="142" t="s">
        <v>2397</v>
      </c>
      <c r="AX15" s="142" t="s">
        <v>2675</v>
      </c>
      <c r="AY15" s="142" t="s">
        <v>1435</v>
      </c>
      <c r="AZ15" s="142" t="s">
        <v>2705</v>
      </c>
    </row>
    <row r="16" spans="1:52" s="142" customFormat="1" ht="12.75" x14ac:dyDescent="0.2">
      <c r="A16" s="151"/>
      <c r="B16" s="152" t="s">
        <v>2705</v>
      </c>
      <c r="C16" s="152" t="s">
        <v>2397</v>
      </c>
      <c r="D16" s="152" t="s">
        <v>2705</v>
      </c>
      <c r="E16" s="152" t="s">
        <v>2705</v>
      </c>
      <c r="F16" s="152" t="s">
        <v>2705</v>
      </c>
      <c r="G16" s="152" t="s">
        <v>2705</v>
      </c>
      <c r="H16" s="152" t="s">
        <v>2675</v>
      </c>
      <c r="I16" s="152" t="s">
        <v>2705</v>
      </c>
      <c r="J16" s="152" t="s">
        <v>2398</v>
      </c>
      <c r="K16" s="152" t="s">
        <v>2705</v>
      </c>
      <c r="L16" s="152" t="s">
        <v>2398</v>
      </c>
      <c r="M16" s="152" t="s">
        <v>2705</v>
      </c>
      <c r="N16" s="152" t="s">
        <v>2705</v>
      </c>
      <c r="O16" s="152" t="s">
        <v>2705</v>
      </c>
      <c r="P16" s="152" t="s">
        <v>2705</v>
      </c>
      <c r="Q16" s="152" t="s">
        <v>1435</v>
      </c>
      <c r="R16" s="152" t="s">
        <v>2398</v>
      </c>
      <c r="S16" s="152" t="s">
        <v>2398</v>
      </c>
      <c r="T16" s="152" t="s">
        <v>2705</v>
      </c>
      <c r="U16" s="152" t="s">
        <v>2705</v>
      </c>
      <c r="V16" s="142" t="str" cm="1">
        <f t="array" ref="V16">IF(A16&lt;&gt;"",SUM(--(B16:U17 = "X")*$U$3,--(B16:U17 ="A")*$Q$3,--(B16:U17 ="B")*$R$3,--(B16:U17 ="C")*$S$3),"")</f>
        <v/>
      </c>
      <c r="X16" s="437" t="s">
        <v>7324</v>
      </c>
      <c r="Y16" s="437">
        <v>21.5</v>
      </c>
      <c r="Z16" s="436">
        <f>_xlfn.XLOOKUP(answers[[#This Row],[StudentID]],$A$7:$A$1418,$V$7:$V$1418)</f>
        <v>21.5</v>
      </c>
      <c r="AG16" s="142" t="s">
        <v>2705</v>
      </c>
      <c r="AH16" s="142" t="s">
        <v>2397</v>
      </c>
      <c r="AI16" s="142" t="s">
        <v>2705</v>
      </c>
      <c r="AJ16" s="142" t="s">
        <v>2705</v>
      </c>
      <c r="AK16" s="142" t="s">
        <v>2705</v>
      </c>
      <c r="AL16" s="142" t="s">
        <v>2705</v>
      </c>
      <c r="AM16" s="142" t="s">
        <v>2675</v>
      </c>
      <c r="AN16" s="142" t="s">
        <v>2705</v>
      </c>
      <c r="AO16" s="142" t="s">
        <v>2398</v>
      </c>
      <c r="AP16" s="142" t="s">
        <v>2705</v>
      </c>
      <c r="AQ16" s="142" t="s">
        <v>2398</v>
      </c>
      <c r="AR16" s="142" t="s">
        <v>2705</v>
      </c>
      <c r="AS16" s="142" t="s">
        <v>2705</v>
      </c>
      <c r="AT16" s="142" t="s">
        <v>2705</v>
      </c>
      <c r="AU16" s="142" t="s">
        <v>2705</v>
      </c>
      <c r="AV16" s="142" t="s">
        <v>1435</v>
      </c>
      <c r="AW16" s="142" t="s">
        <v>2398</v>
      </c>
      <c r="AX16" s="142" t="s">
        <v>2398</v>
      </c>
      <c r="AY16" s="142" t="s">
        <v>2705</v>
      </c>
      <c r="AZ16" s="142" t="s">
        <v>2705</v>
      </c>
    </row>
    <row r="17" spans="1:52" s="142" customFormat="1" ht="12.75" x14ac:dyDescent="0.2">
      <c r="A17" s="151" t="s">
        <v>7325</v>
      </c>
      <c r="B17" s="152" t="s">
        <v>2705</v>
      </c>
      <c r="C17" s="152" t="s">
        <v>2398</v>
      </c>
      <c r="D17" s="152" t="s">
        <v>2705</v>
      </c>
      <c r="E17" s="152" t="s">
        <v>2398</v>
      </c>
      <c r="F17" s="152" t="s">
        <v>2705</v>
      </c>
      <c r="G17" s="152" t="s">
        <v>2705</v>
      </c>
      <c r="H17" s="152" t="s">
        <v>2705</v>
      </c>
      <c r="I17" s="152" t="s">
        <v>2705</v>
      </c>
      <c r="J17" s="152" t="s">
        <v>2705</v>
      </c>
      <c r="K17" s="152" t="s">
        <v>2705</v>
      </c>
      <c r="L17" s="152" t="s">
        <v>2398</v>
      </c>
      <c r="M17" s="152" t="s">
        <v>1435</v>
      </c>
      <c r="N17" s="152" t="s">
        <v>2705</v>
      </c>
      <c r="O17" s="152" t="s">
        <v>2705</v>
      </c>
      <c r="P17" s="152" t="s">
        <v>2398</v>
      </c>
      <c r="Q17" s="152" t="s">
        <v>2705</v>
      </c>
      <c r="R17" s="152" t="s">
        <v>2398</v>
      </c>
      <c r="S17" s="152" t="s">
        <v>2398</v>
      </c>
      <c r="T17" s="152" t="s">
        <v>2398</v>
      </c>
      <c r="U17" s="152" t="s">
        <v>2705</v>
      </c>
      <c r="V17" s="142" cm="1">
        <f t="array" ref="V17">IF(A17&lt;&gt;"",SUM(--(B17:U18 = "X")*$U$3,--(B17:U18 ="A")*$Q$3,--(B17:U18 ="B")*$R$3,--(B17:U18 ="C")*$S$3),"")</f>
        <v>19</v>
      </c>
      <c r="X17" s="437" t="s">
        <v>7325</v>
      </c>
      <c r="Y17" s="437">
        <v>19</v>
      </c>
      <c r="Z17" s="436">
        <f>_xlfn.XLOOKUP(answers[[#This Row],[StudentID]],$A$7:$A$1418,$V$7:$V$1418)</f>
        <v>19</v>
      </c>
      <c r="AF17" s="142" t="s">
        <v>7325</v>
      </c>
      <c r="AG17" s="142" t="s">
        <v>2705</v>
      </c>
      <c r="AH17" s="142" t="s">
        <v>2398</v>
      </c>
      <c r="AI17" s="142" t="s">
        <v>2705</v>
      </c>
      <c r="AJ17" s="142" t="s">
        <v>2398</v>
      </c>
      <c r="AK17" s="142" t="s">
        <v>2705</v>
      </c>
      <c r="AL17" s="142" t="s">
        <v>2705</v>
      </c>
      <c r="AM17" s="142" t="s">
        <v>2705</v>
      </c>
      <c r="AN17" s="142" t="s">
        <v>2705</v>
      </c>
      <c r="AO17" s="142" t="s">
        <v>2705</v>
      </c>
      <c r="AP17" s="142" t="s">
        <v>2705</v>
      </c>
      <c r="AQ17" s="142" t="s">
        <v>2398</v>
      </c>
      <c r="AR17" s="142" t="s">
        <v>1435</v>
      </c>
      <c r="AS17" s="142" t="s">
        <v>2705</v>
      </c>
      <c r="AT17" s="142" t="s">
        <v>2705</v>
      </c>
      <c r="AU17" s="142" t="s">
        <v>2398</v>
      </c>
      <c r="AV17" s="142" t="s">
        <v>2705</v>
      </c>
      <c r="AW17" s="142" t="s">
        <v>2398</v>
      </c>
      <c r="AX17" s="142" t="s">
        <v>2398</v>
      </c>
      <c r="AY17" s="142" t="s">
        <v>2398</v>
      </c>
      <c r="AZ17" s="142" t="s">
        <v>2705</v>
      </c>
    </row>
    <row r="18" spans="1:52" s="142" customFormat="1" ht="12.75" x14ac:dyDescent="0.2">
      <c r="A18" s="151"/>
      <c r="B18" s="152" t="s">
        <v>2705</v>
      </c>
      <c r="C18" s="152" t="s">
        <v>2398</v>
      </c>
      <c r="D18" s="152" t="s">
        <v>2705</v>
      </c>
      <c r="E18" s="152" t="s">
        <v>2705</v>
      </c>
      <c r="F18" s="152" t="s">
        <v>2675</v>
      </c>
      <c r="G18" s="152" t="s">
        <v>1435</v>
      </c>
      <c r="H18" s="152" t="s">
        <v>2398</v>
      </c>
      <c r="I18" s="152" t="s">
        <v>2705</v>
      </c>
      <c r="J18" s="152" t="s">
        <v>1435</v>
      </c>
      <c r="K18" s="152" t="s">
        <v>2398</v>
      </c>
      <c r="L18" s="152" t="s">
        <v>2398</v>
      </c>
      <c r="M18" s="152" t="s">
        <v>2705</v>
      </c>
      <c r="N18" s="152" t="s">
        <v>2398</v>
      </c>
      <c r="O18" s="152" t="s">
        <v>2398</v>
      </c>
      <c r="P18" s="152" t="s">
        <v>2705</v>
      </c>
      <c r="Q18" s="152" t="s">
        <v>2705</v>
      </c>
      <c r="R18" s="152" t="s">
        <v>2397</v>
      </c>
      <c r="S18" s="152" t="s">
        <v>2705</v>
      </c>
      <c r="T18" s="152" t="s">
        <v>2705</v>
      </c>
      <c r="U18" s="152" t="s">
        <v>2398</v>
      </c>
      <c r="V18" s="142" t="str" cm="1">
        <f t="array" ref="V18">IF(A18&lt;&gt;"",SUM(--(B18:U19 = "X")*$U$3,--(B18:U19 ="A")*$Q$3,--(B18:U19 ="B")*$R$3,--(B18:U19 ="C")*$S$3),"")</f>
        <v/>
      </c>
      <c r="X18" s="437" t="s">
        <v>7326</v>
      </c>
      <c r="Y18" s="437">
        <v>22</v>
      </c>
      <c r="Z18" s="436">
        <f>_xlfn.XLOOKUP(answers[[#This Row],[StudentID]],$A$7:$A$1418,$V$7:$V$1418)</f>
        <v>22</v>
      </c>
      <c r="AG18" s="142" t="s">
        <v>2705</v>
      </c>
      <c r="AH18" s="142" t="s">
        <v>2398</v>
      </c>
      <c r="AI18" s="142" t="s">
        <v>2705</v>
      </c>
      <c r="AJ18" s="142" t="s">
        <v>2705</v>
      </c>
      <c r="AK18" s="142" t="s">
        <v>2675</v>
      </c>
      <c r="AL18" s="142" t="s">
        <v>1435</v>
      </c>
      <c r="AM18" s="142" t="s">
        <v>2398</v>
      </c>
      <c r="AN18" s="142" t="s">
        <v>2705</v>
      </c>
      <c r="AO18" s="142" t="s">
        <v>1435</v>
      </c>
      <c r="AP18" s="142" t="s">
        <v>2398</v>
      </c>
      <c r="AQ18" s="142" t="s">
        <v>2398</v>
      </c>
      <c r="AR18" s="142" t="s">
        <v>2705</v>
      </c>
      <c r="AS18" s="142" t="s">
        <v>2398</v>
      </c>
      <c r="AT18" s="142" t="s">
        <v>2398</v>
      </c>
      <c r="AU18" s="142" t="s">
        <v>2705</v>
      </c>
      <c r="AV18" s="142" t="s">
        <v>2705</v>
      </c>
      <c r="AW18" s="142" t="s">
        <v>2397</v>
      </c>
      <c r="AX18" s="142" t="s">
        <v>2705</v>
      </c>
      <c r="AY18" s="142" t="s">
        <v>2705</v>
      </c>
      <c r="AZ18" s="142" t="s">
        <v>2398</v>
      </c>
    </row>
    <row r="19" spans="1:52" s="142" customFormat="1" ht="12.75" x14ac:dyDescent="0.2">
      <c r="A19" s="151" t="s">
        <v>7326</v>
      </c>
      <c r="B19" s="152" t="s">
        <v>1435</v>
      </c>
      <c r="C19" s="152" t="s">
        <v>2398</v>
      </c>
      <c r="D19" s="152" t="s">
        <v>2705</v>
      </c>
      <c r="E19" s="152" t="s">
        <v>2705</v>
      </c>
      <c r="F19" s="152" t="s">
        <v>2705</v>
      </c>
      <c r="G19" s="152" t="s">
        <v>2705</v>
      </c>
      <c r="H19" s="152" t="s">
        <v>2705</v>
      </c>
      <c r="I19" s="152" t="s">
        <v>2705</v>
      </c>
      <c r="J19" s="152" t="s">
        <v>2675</v>
      </c>
      <c r="K19" s="152" t="s">
        <v>2398</v>
      </c>
      <c r="L19" s="152" t="s">
        <v>2398</v>
      </c>
      <c r="M19" s="152" t="s">
        <v>2705</v>
      </c>
      <c r="N19" s="152" t="s">
        <v>2705</v>
      </c>
      <c r="O19" s="152" t="s">
        <v>2705</v>
      </c>
      <c r="P19" s="152" t="s">
        <v>2397</v>
      </c>
      <c r="Q19" s="152" t="s">
        <v>2705</v>
      </c>
      <c r="R19" s="152" t="s">
        <v>2705</v>
      </c>
      <c r="S19" s="152" t="s">
        <v>2705</v>
      </c>
      <c r="T19" s="152" t="s">
        <v>2398</v>
      </c>
      <c r="U19" s="152" t="s">
        <v>2705</v>
      </c>
      <c r="V19" s="142" cm="1">
        <f t="array" ref="V19">IF(A19&lt;&gt;"",SUM(--(B19:U20 = "X")*$U$3,--(B19:U20 ="A")*$Q$3,--(B19:U20 ="B")*$R$3,--(B19:U20 ="C")*$S$3),"")</f>
        <v>22</v>
      </c>
      <c r="X19" s="437" t="s">
        <v>7327</v>
      </c>
      <c r="Y19" s="437">
        <v>22.5</v>
      </c>
      <c r="Z19" s="436">
        <f>_xlfn.XLOOKUP(answers[[#This Row],[StudentID]],$A$7:$A$1418,$V$7:$V$1418)</f>
        <v>22.5</v>
      </c>
      <c r="AF19" s="142" t="s">
        <v>7326</v>
      </c>
      <c r="AG19" s="142" t="s">
        <v>1435</v>
      </c>
      <c r="AH19" s="142" t="s">
        <v>2398</v>
      </c>
      <c r="AI19" s="142" t="s">
        <v>2705</v>
      </c>
      <c r="AJ19" s="142" t="s">
        <v>2705</v>
      </c>
      <c r="AK19" s="142" t="s">
        <v>2705</v>
      </c>
      <c r="AL19" s="142" t="s">
        <v>2705</v>
      </c>
      <c r="AM19" s="142" t="s">
        <v>2705</v>
      </c>
      <c r="AN19" s="142" t="s">
        <v>2705</v>
      </c>
      <c r="AO19" s="142" t="s">
        <v>2675</v>
      </c>
      <c r="AP19" s="142" t="s">
        <v>2398</v>
      </c>
      <c r="AQ19" s="142" t="s">
        <v>2398</v>
      </c>
      <c r="AR19" s="142" t="s">
        <v>2705</v>
      </c>
      <c r="AS19" s="142" t="s">
        <v>2705</v>
      </c>
      <c r="AT19" s="142" t="s">
        <v>2705</v>
      </c>
      <c r="AU19" s="142" t="s">
        <v>2397</v>
      </c>
      <c r="AV19" s="142" t="s">
        <v>2705</v>
      </c>
      <c r="AW19" s="142" t="s">
        <v>2705</v>
      </c>
      <c r="AX19" s="142" t="s">
        <v>2705</v>
      </c>
      <c r="AY19" s="142" t="s">
        <v>2398</v>
      </c>
      <c r="AZ19" s="142" t="s">
        <v>2705</v>
      </c>
    </row>
    <row r="20" spans="1:52" s="142" customFormat="1" ht="12.75" x14ac:dyDescent="0.2">
      <c r="A20" s="151"/>
      <c r="B20" s="152" t="s">
        <v>2705</v>
      </c>
      <c r="C20" s="152" t="s">
        <v>2705</v>
      </c>
      <c r="D20" s="152" t="s">
        <v>1435</v>
      </c>
      <c r="E20" s="152" t="s">
        <v>2705</v>
      </c>
      <c r="F20" s="152" t="s">
        <v>2675</v>
      </c>
      <c r="G20" s="152" t="s">
        <v>2705</v>
      </c>
      <c r="H20" s="152" t="s">
        <v>2705</v>
      </c>
      <c r="I20" s="152" t="s">
        <v>2675</v>
      </c>
      <c r="J20" s="152" t="s">
        <v>2398</v>
      </c>
      <c r="K20" s="152" t="s">
        <v>2705</v>
      </c>
      <c r="L20" s="152" t="s">
        <v>2398</v>
      </c>
      <c r="M20" s="152" t="s">
        <v>2705</v>
      </c>
      <c r="N20" s="152" t="s">
        <v>2705</v>
      </c>
      <c r="O20" s="152" t="s">
        <v>2398</v>
      </c>
      <c r="P20" s="152" t="s">
        <v>2675</v>
      </c>
      <c r="Q20" s="152" t="s">
        <v>2705</v>
      </c>
      <c r="R20" s="152" t="s">
        <v>2705</v>
      </c>
      <c r="S20" s="152" t="s">
        <v>2705</v>
      </c>
      <c r="T20" s="152" t="s">
        <v>2705</v>
      </c>
      <c r="U20" s="152" t="s">
        <v>2398</v>
      </c>
      <c r="V20" s="142" t="str" cm="1">
        <f t="array" ref="V20">IF(A20&lt;&gt;"",SUM(--(B20:U21 = "X")*$U$3,--(B20:U21 ="A")*$Q$3,--(B20:U21 ="B")*$R$3,--(B20:U21 ="C")*$S$3),"")</f>
        <v/>
      </c>
      <c r="X20" s="437" t="s">
        <v>7328</v>
      </c>
      <c r="Y20" s="437">
        <v>25.5</v>
      </c>
      <c r="Z20" s="436">
        <f>_xlfn.XLOOKUP(answers[[#This Row],[StudentID]],$A$7:$A$1418,$V$7:$V$1418)</f>
        <v>25.5</v>
      </c>
      <c r="AG20" s="142" t="s">
        <v>2705</v>
      </c>
      <c r="AH20" s="142" t="s">
        <v>2705</v>
      </c>
      <c r="AI20" s="142" t="s">
        <v>1435</v>
      </c>
      <c r="AJ20" s="142" t="s">
        <v>2705</v>
      </c>
      <c r="AK20" s="142" t="s">
        <v>2675</v>
      </c>
      <c r="AL20" s="142" t="s">
        <v>2705</v>
      </c>
      <c r="AM20" s="142" t="s">
        <v>2705</v>
      </c>
      <c r="AN20" s="142" t="s">
        <v>2675</v>
      </c>
      <c r="AO20" s="142" t="s">
        <v>2398</v>
      </c>
      <c r="AP20" s="142" t="s">
        <v>2705</v>
      </c>
      <c r="AQ20" s="142" t="s">
        <v>2398</v>
      </c>
      <c r="AR20" s="142" t="s">
        <v>2705</v>
      </c>
      <c r="AS20" s="142" t="s">
        <v>2705</v>
      </c>
      <c r="AT20" s="142" t="s">
        <v>2398</v>
      </c>
      <c r="AU20" s="142" t="s">
        <v>2675</v>
      </c>
      <c r="AV20" s="142" t="s">
        <v>2705</v>
      </c>
      <c r="AW20" s="142" t="s">
        <v>2705</v>
      </c>
      <c r="AX20" s="142" t="s">
        <v>2705</v>
      </c>
      <c r="AY20" s="142" t="s">
        <v>2705</v>
      </c>
      <c r="AZ20" s="142" t="s">
        <v>2398</v>
      </c>
    </row>
    <row r="21" spans="1:52" s="142" customFormat="1" ht="12.75" x14ac:dyDescent="0.2">
      <c r="A21" s="151" t="s">
        <v>7327</v>
      </c>
      <c r="B21" s="152" t="s">
        <v>2398</v>
      </c>
      <c r="C21" s="152" t="s">
        <v>1435</v>
      </c>
      <c r="D21" s="152" t="s">
        <v>1435</v>
      </c>
      <c r="E21" s="152" t="s">
        <v>1435</v>
      </c>
      <c r="F21" s="152" t="s">
        <v>2705</v>
      </c>
      <c r="G21" s="152" t="s">
        <v>2705</v>
      </c>
      <c r="H21" s="152" t="s">
        <v>2705</v>
      </c>
      <c r="I21" s="152" t="s">
        <v>2398</v>
      </c>
      <c r="J21" s="152" t="s">
        <v>2705</v>
      </c>
      <c r="K21" s="152" t="s">
        <v>2705</v>
      </c>
      <c r="L21" s="152" t="s">
        <v>1435</v>
      </c>
      <c r="M21" s="152" t="s">
        <v>2705</v>
      </c>
      <c r="N21" s="152" t="s">
        <v>2705</v>
      </c>
      <c r="O21" s="152" t="s">
        <v>2675</v>
      </c>
      <c r="P21" s="152" t="s">
        <v>2705</v>
      </c>
      <c r="Q21" s="152" t="s">
        <v>2705</v>
      </c>
      <c r="R21" s="152" t="s">
        <v>2705</v>
      </c>
      <c r="S21" s="152" t="s">
        <v>2705</v>
      </c>
      <c r="T21" s="152" t="s">
        <v>2705</v>
      </c>
      <c r="U21" s="152" t="s">
        <v>2705</v>
      </c>
      <c r="V21" s="142" cm="1">
        <f t="array" ref="V21">IF(A21&lt;&gt;"",SUM(--(B21:U22 = "X")*$U$3,--(B21:U22 ="A")*$Q$3,--(B21:U22 ="B")*$R$3,--(B21:U22 ="C")*$S$3),"")</f>
        <v>22.5</v>
      </c>
      <c r="X21" s="437" t="s">
        <v>7329</v>
      </c>
      <c r="Y21" s="437">
        <v>15.5</v>
      </c>
      <c r="Z21" s="436">
        <f>_xlfn.XLOOKUP(answers[[#This Row],[StudentID]],$A$7:$A$1418,$V$7:$V$1418)</f>
        <v>15.5</v>
      </c>
      <c r="AF21" s="142" t="s">
        <v>7327</v>
      </c>
      <c r="AG21" s="142" t="s">
        <v>2398</v>
      </c>
      <c r="AH21" s="142" t="s">
        <v>1435</v>
      </c>
      <c r="AI21" s="142" t="s">
        <v>1435</v>
      </c>
      <c r="AJ21" s="142" t="s">
        <v>1435</v>
      </c>
      <c r="AK21" s="142" t="s">
        <v>2705</v>
      </c>
      <c r="AL21" s="142" t="s">
        <v>2705</v>
      </c>
      <c r="AM21" s="142" t="s">
        <v>2705</v>
      </c>
      <c r="AN21" s="142" t="s">
        <v>2398</v>
      </c>
      <c r="AO21" s="142" t="s">
        <v>2705</v>
      </c>
      <c r="AP21" s="142" t="s">
        <v>2705</v>
      </c>
      <c r="AQ21" s="142" t="s">
        <v>1435</v>
      </c>
      <c r="AR21" s="142" t="s">
        <v>2705</v>
      </c>
      <c r="AS21" s="142" t="s">
        <v>2705</v>
      </c>
      <c r="AT21" s="142" t="s">
        <v>2675</v>
      </c>
      <c r="AU21" s="142" t="s">
        <v>2705</v>
      </c>
      <c r="AV21" s="142" t="s">
        <v>2705</v>
      </c>
      <c r="AW21" s="142" t="s">
        <v>2705</v>
      </c>
      <c r="AX21" s="142" t="s">
        <v>2705</v>
      </c>
      <c r="AY21" s="142" t="s">
        <v>2705</v>
      </c>
      <c r="AZ21" s="142" t="s">
        <v>2705</v>
      </c>
    </row>
    <row r="22" spans="1:52" s="142" customFormat="1" ht="12.75" x14ac:dyDescent="0.2">
      <c r="A22" s="151"/>
      <c r="B22" s="152" t="s">
        <v>2705</v>
      </c>
      <c r="C22" s="152" t="s">
        <v>2705</v>
      </c>
      <c r="D22" s="152" t="s">
        <v>2705</v>
      </c>
      <c r="E22" s="152" t="s">
        <v>2705</v>
      </c>
      <c r="F22" s="152" t="s">
        <v>2705</v>
      </c>
      <c r="G22" s="152" t="s">
        <v>2705</v>
      </c>
      <c r="H22" s="152" t="s">
        <v>2397</v>
      </c>
      <c r="I22" s="152" t="s">
        <v>2705</v>
      </c>
      <c r="J22" s="152" t="s">
        <v>2705</v>
      </c>
      <c r="K22" s="152" t="s">
        <v>2675</v>
      </c>
      <c r="L22" s="152" t="s">
        <v>2705</v>
      </c>
      <c r="M22" s="152" t="s">
        <v>2397</v>
      </c>
      <c r="N22" s="152" t="s">
        <v>2705</v>
      </c>
      <c r="O22" s="152" t="s">
        <v>2705</v>
      </c>
      <c r="P22" s="152" t="s">
        <v>2675</v>
      </c>
      <c r="Q22" s="152" t="s">
        <v>2705</v>
      </c>
      <c r="R22" s="152" t="s">
        <v>2397</v>
      </c>
      <c r="S22" s="152" t="s">
        <v>2705</v>
      </c>
      <c r="T22" s="152" t="s">
        <v>2397</v>
      </c>
      <c r="U22" s="152" t="s">
        <v>2398</v>
      </c>
      <c r="V22" s="142" t="str" cm="1">
        <f t="array" ref="V22">IF(A22&lt;&gt;"",SUM(--(B22:U23 = "X")*$U$3,--(B22:U23 ="A")*$Q$3,--(B22:U23 ="B")*$R$3,--(B22:U23 ="C")*$S$3),"")</f>
        <v/>
      </c>
      <c r="X22" s="437" t="s">
        <v>7330</v>
      </c>
      <c r="Y22" s="437">
        <v>23.5</v>
      </c>
      <c r="Z22" s="436">
        <f>_xlfn.XLOOKUP(answers[[#This Row],[StudentID]],$A$7:$A$1418,$V$7:$V$1418)</f>
        <v>23.5</v>
      </c>
      <c r="AG22" s="142" t="s">
        <v>2705</v>
      </c>
      <c r="AH22" s="142" t="s">
        <v>2705</v>
      </c>
      <c r="AI22" s="142" t="s">
        <v>2705</v>
      </c>
      <c r="AJ22" s="142" t="s">
        <v>2705</v>
      </c>
      <c r="AK22" s="142" t="s">
        <v>2705</v>
      </c>
      <c r="AL22" s="142" t="s">
        <v>2705</v>
      </c>
      <c r="AM22" s="142" t="s">
        <v>2397</v>
      </c>
      <c r="AN22" s="142" t="s">
        <v>2705</v>
      </c>
      <c r="AO22" s="142" t="s">
        <v>2705</v>
      </c>
      <c r="AP22" s="142" t="s">
        <v>2675</v>
      </c>
      <c r="AQ22" s="142" t="s">
        <v>2705</v>
      </c>
      <c r="AR22" s="142" t="s">
        <v>2397</v>
      </c>
      <c r="AS22" s="142" t="s">
        <v>2705</v>
      </c>
      <c r="AT22" s="142" t="s">
        <v>2705</v>
      </c>
      <c r="AU22" s="142" t="s">
        <v>2675</v>
      </c>
      <c r="AV22" s="142" t="s">
        <v>2705</v>
      </c>
      <c r="AW22" s="142" t="s">
        <v>2397</v>
      </c>
      <c r="AX22" s="142" t="s">
        <v>2705</v>
      </c>
      <c r="AY22" s="142" t="s">
        <v>2397</v>
      </c>
      <c r="AZ22" s="142" t="s">
        <v>2398</v>
      </c>
    </row>
    <row r="23" spans="1:52" s="142" customFormat="1" ht="12.75" x14ac:dyDescent="0.2">
      <c r="A23" s="151" t="s">
        <v>7328</v>
      </c>
      <c r="B23" s="152" t="s">
        <v>2705</v>
      </c>
      <c r="C23" s="152" t="s">
        <v>2705</v>
      </c>
      <c r="D23" s="152" t="s">
        <v>2397</v>
      </c>
      <c r="E23" s="152" t="s">
        <v>2705</v>
      </c>
      <c r="F23" s="152" t="s">
        <v>2705</v>
      </c>
      <c r="G23" s="152" t="s">
        <v>2705</v>
      </c>
      <c r="H23" s="152" t="s">
        <v>2705</v>
      </c>
      <c r="I23" s="152" t="s">
        <v>2397</v>
      </c>
      <c r="J23" s="152" t="s">
        <v>1435</v>
      </c>
      <c r="K23" s="152" t="s">
        <v>2705</v>
      </c>
      <c r="L23" s="152" t="s">
        <v>2398</v>
      </c>
      <c r="M23" s="152" t="s">
        <v>2705</v>
      </c>
      <c r="N23" s="152" t="s">
        <v>2705</v>
      </c>
      <c r="O23" s="152" t="s">
        <v>2675</v>
      </c>
      <c r="P23" s="152" t="s">
        <v>2705</v>
      </c>
      <c r="Q23" s="152" t="s">
        <v>2705</v>
      </c>
      <c r="R23" s="152" t="s">
        <v>2705</v>
      </c>
      <c r="S23" s="152" t="s">
        <v>2675</v>
      </c>
      <c r="T23" s="152" t="s">
        <v>2705</v>
      </c>
      <c r="U23" s="152" t="s">
        <v>2705</v>
      </c>
      <c r="V23" s="142" cm="1">
        <f t="array" ref="V23">IF(A23&lt;&gt;"",SUM(--(B23:U24 = "X")*$U$3,--(B23:U24 ="A")*$Q$3,--(B23:U24 ="B")*$R$3,--(B23:U24 ="C")*$S$3),"")</f>
        <v>25.5</v>
      </c>
      <c r="X23" s="437" t="s">
        <v>7331</v>
      </c>
      <c r="Y23" s="437">
        <v>19.5</v>
      </c>
      <c r="Z23" s="436">
        <f>_xlfn.XLOOKUP(answers[[#This Row],[StudentID]],$A$7:$A$1418,$V$7:$V$1418)</f>
        <v>19.5</v>
      </c>
      <c r="AF23" s="142" t="s">
        <v>7328</v>
      </c>
      <c r="AG23" s="142" t="s">
        <v>2705</v>
      </c>
      <c r="AH23" s="142" t="s">
        <v>2705</v>
      </c>
      <c r="AI23" s="142" t="s">
        <v>2397</v>
      </c>
      <c r="AJ23" s="142" t="s">
        <v>2705</v>
      </c>
      <c r="AK23" s="142" t="s">
        <v>2705</v>
      </c>
      <c r="AL23" s="142" t="s">
        <v>2705</v>
      </c>
      <c r="AM23" s="142" t="s">
        <v>2705</v>
      </c>
      <c r="AN23" s="142" t="s">
        <v>2397</v>
      </c>
      <c r="AO23" s="142" t="s">
        <v>1435</v>
      </c>
      <c r="AP23" s="142" t="s">
        <v>2705</v>
      </c>
      <c r="AQ23" s="142" t="s">
        <v>2398</v>
      </c>
      <c r="AR23" s="142" t="s">
        <v>2705</v>
      </c>
      <c r="AS23" s="142" t="s">
        <v>2705</v>
      </c>
      <c r="AT23" s="142" t="s">
        <v>2675</v>
      </c>
      <c r="AU23" s="142" t="s">
        <v>2705</v>
      </c>
      <c r="AV23" s="142" t="s">
        <v>2705</v>
      </c>
      <c r="AW23" s="142" t="s">
        <v>2705</v>
      </c>
      <c r="AX23" s="142" t="s">
        <v>2675</v>
      </c>
      <c r="AY23" s="142" t="s">
        <v>2705</v>
      </c>
      <c r="AZ23" s="142" t="s">
        <v>2705</v>
      </c>
    </row>
    <row r="24" spans="1:52" s="142" customFormat="1" ht="12.75" x14ac:dyDescent="0.2">
      <c r="A24" s="151"/>
      <c r="B24" s="152" t="s">
        <v>2705</v>
      </c>
      <c r="C24" s="152" t="s">
        <v>2398</v>
      </c>
      <c r="D24" s="152" t="s">
        <v>2705</v>
      </c>
      <c r="E24" s="152" t="s">
        <v>2705</v>
      </c>
      <c r="F24" s="152" t="s">
        <v>2705</v>
      </c>
      <c r="G24" s="152" t="s">
        <v>2705</v>
      </c>
      <c r="H24" s="152" t="s">
        <v>2398</v>
      </c>
      <c r="I24" s="152" t="s">
        <v>2705</v>
      </c>
      <c r="J24" s="152" t="s">
        <v>2705</v>
      </c>
      <c r="K24" s="152" t="s">
        <v>2675</v>
      </c>
      <c r="L24" s="152" t="s">
        <v>2705</v>
      </c>
      <c r="M24" s="152" t="s">
        <v>2705</v>
      </c>
      <c r="N24" s="152" t="s">
        <v>2705</v>
      </c>
      <c r="O24" s="152" t="s">
        <v>2398</v>
      </c>
      <c r="P24" s="152" t="s">
        <v>2675</v>
      </c>
      <c r="Q24" s="152" t="s">
        <v>2705</v>
      </c>
      <c r="R24" s="152" t="s">
        <v>2705</v>
      </c>
      <c r="S24" s="152" t="s">
        <v>2705</v>
      </c>
      <c r="T24" s="152" t="s">
        <v>2398</v>
      </c>
      <c r="U24" s="152" t="s">
        <v>2705</v>
      </c>
      <c r="V24" s="142" t="str" cm="1">
        <f t="array" ref="V24">IF(A24&lt;&gt;"",SUM(--(B24:U25 = "X")*$U$3,--(B24:U25 ="A")*$Q$3,--(B24:U25 ="B")*$R$3,--(B24:U25 ="C")*$S$3),"")</f>
        <v/>
      </c>
      <c r="X24" s="437" t="s">
        <v>7332</v>
      </c>
      <c r="Y24" s="437">
        <v>25.5</v>
      </c>
      <c r="Z24" s="436">
        <f>_xlfn.XLOOKUP(answers[[#This Row],[StudentID]],$A$7:$A$1418,$V$7:$V$1418)</f>
        <v>25.5</v>
      </c>
      <c r="AG24" s="142" t="s">
        <v>2705</v>
      </c>
      <c r="AH24" s="142" t="s">
        <v>2398</v>
      </c>
      <c r="AI24" s="142" t="s">
        <v>2705</v>
      </c>
      <c r="AJ24" s="142" t="s">
        <v>2705</v>
      </c>
      <c r="AK24" s="142" t="s">
        <v>2705</v>
      </c>
      <c r="AL24" s="142" t="s">
        <v>2705</v>
      </c>
      <c r="AM24" s="142" t="s">
        <v>2398</v>
      </c>
      <c r="AN24" s="142" t="s">
        <v>2705</v>
      </c>
      <c r="AO24" s="142" t="s">
        <v>2705</v>
      </c>
      <c r="AP24" s="142" t="s">
        <v>2675</v>
      </c>
      <c r="AQ24" s="142" t="s">
        <v>2705</v>
      </c>
      <c r="AR24" s="142" t="s">
        <v>2705</v>
      </c>
      <c r="AS24" s="142" t="s">
        <v>2705</v>
      </c>
      <c r="AT24" s="142" t="s">
        <v>2398</v>
      </c>
      <c r="AU24" s="142" t="s">
        <v>2675</v>
      </c>
      <c r="AV24" s="142" t="s">
        <v>2705</v>
      </c>
      <c r="AW24" s="142" t="s">
        <v>2705</v>
      </c>
      <c r="AX24" s="142" t="s">
        <v>2705</v>
      </c>
      <c r="AY24" s="142" t="s">
        <v>2398</v>
      </c>
      <c r="AZ24" s="142" t="s">
        <v>2705</v>
      </c>
    </row>
    <row r="25" spans="1:52" s="142" customFormat="1" ht="12.75" x14ac:dyDescent="0.2">
      <c r="A25" s="151" t="s">
        <v>7329</v>
      </c>
      <c r="B25" s="152" t="s">
        <v>2398</v>
      </c>
      <c r="C25" s="152" t="s">
        <v>2705</v>
      </c>
      <c r="D25" s="152" t="s">
        <v>2705</v>
      </c>
      <c r="E25" s="152" t="s">
        <v>2398</v>
      </c>
      <c r="F25" s="152" t="s">
        <v>2398</v>
      </c>
      <c r="G25" s="152" t="s">
        <v>2398</v>
      </c>
      <c r="H25" s="152" t="s">
        <v>1435</v>
      </c>
      <c r="I25" s="152" t="s">
        <v>2398</v>
      </c>
      <c r="J25" s="152" t="s">
        <v>1435</v>
      </c>
      <c r="K25" s="152" t="s">
        <v>2398</v>
      </c>
      <c r="L25" s="152" t="s">
        <v>2705</v>
      </c>
      <c r="M25" s="152" t="s">
        <v>2398</v>
      </c>
      <c r="N25" s="152" t="s">
        <v>2705</v>
      </c>
      <c r="O25" s="152" t="s">
        <v>2398</v>
      </c>
      <c r="P25" s="152" t="s">
        <v>2675</v>
      </c>
      <c r="Q25" s="152" t="s">
        <v>2398</v>
      </c>
      <c r="R25" s="152" t="s">
        <v>2705</v>
      </c>
      <c r="S25" s="152" t="s">
        <v>2705</v>
      </c>
      <c r="T25" s="152" t="s">
        <v>2398</v>
      </c>
      <c r="U25" s="152" t="s">
        <v>2705</v>
      </c>
      <c r="V25" s="142" cm="1">
        <f t="array" ref="V25">IF(A25&lt;&gt;"",SUM(--(B25:U26 = "X")*$U$3,--(B25:U26 ="A")*$Q$3,--(B25:U26 ="B")*$R$3,--(B25:U26 ="C")*$S$3),"")</f>
        <v>15.5</v>
      </c>
      <c r="X25" s="437" t="s">
        <v>7333</v>
      </c>
      <c r="Y25" s="437">
        <v>26.5</v>
      </c>
      <c r="Z25" s="436">
        <f>_xlfn.XLOOKUP(answers[[#This Row],[StudentID]],$A$7:$A$1418,$V$7:$V$1418)</f>
        <v>26.5</v>
      </c>
      <c r="AF25" s="142" t="s">
        <v>7329</v>
      </c>
      <c r="AG25" s="142" t="s">
        <v>2398</v>
      </c>
      <c r="AH25" s="142" t="s">
        <v>2705</v>
      </c>
      <c r="AI25" s="142" t="s">
        <v>2705</v>
      </c>
      <c r="AJ25" s="142" t="s">
        <v>2398</v>
      </c>
      <c r="AK25" s="142" t="s">
        <v>2398</v>
      </c>
      <c r="AL25" s="142" t="s">
        <v>2398</v>
      </c>
      <c r="AM25" s="142" t="s">
        <v>1435</v>
      </c>
      <c r="AN25" s="142" t="s">
        <v>2398</v>
      </c>
      <c r="AO25" s="142" t="s">
        <v>1435</v>
      </c>
      <c r="AP25" s="142" t="s">
        <v>2398</v>
      </c>
      <c r="AQ25" s="142" t="s">
        <v>2705</v>
      </c>
      <c r="AR25" s="142" t="s">
        <v>2398</v>
      </c>
      <c r="AS25" s="142" t="s">
        <v>2705</v>
      </c>
      <c r="AT25" s="142" t="s">
        <v>2398</v>
      </c>
      <c r="AU25" s="142" t="s">
        <v>2675</v>
      </c>
      <c r="AV25" s="142" t="s">
        <v>2398</v>
      </c>
      <c r="AW25" s="142" t="s">
        <v>2705</v>
      </c>
      <c r="AX25" s="142" t="s">
        <v>2705</v>
      </c>
      <c r="AY25" s="142" t="s">
        <v>2398</v>
      </c>
      <c r="AZ25" s="142" t="s">
        <v>2705</v>
      </c>
    </row>
    <row r="26" spans="1:52" s="142" customFormat="1" ht="12.75" x14ac:dyDescent="0.2">
      <c r="A26" s="151"/>
      <c r="B26" s="152" t="s">
        <v>2398</v>
      </c>
      <c r="C26" s="152" t="s">
        <v>1435</v>
      </c>
      <c r="D26" s="152" t="s">
        <v>2705</v>
      </c>
      <c r="E26" s="152" t="s">
        <v>2705</v>
      </c>
      <c r="F26" s="152" t="s">
        <v>2398</v>
      </c>
      <c r="G26" s="152" t="s">
        <v>2705</v>
      </c>
      <c r="H26" s="152" t="s">
        <v>2705</v>
      </c>
      <c r="I26" s="152" t="s">
        <v>2705</v>
      </c>
      <c r="J26" s="152" t="s">
        <v>2705</v>
      </c>
      <c r="K26" s="152" t="s">
        <v>2705</v>
      </c>
      <c r="L26" s="152" t="s">
        <v>2398</v>
      </c>
      <c r="M26" s="152" t="s">
        <v>2398</v>
      </c>
      <c r="N26" s="152" t="s">
        <v>2398</v>
      </c>
      <c r="O26" s="152" t="s">
        <v>2705</v>
      </c>
      <c r="P26" s="152" t="s">
        <v>2705</v>
      </c>
      <c r="Q26" s="152" t="s">
        <v>2705</v>
      </c>
      <c r="R26" s="152" t="s">
        <v>1435</v>
      </c>
      <c r="S26" s="152" t="s">
        <v>2398</v>
      </c>
      <c r="T26" s="152" t="s">
        <v>2398</v>
      </c>
      <c r="U26" s="152" t="s">
        <v>2705</v>
      </c>
      <c r="V26" s="142" t="str" cm="1">
        <f t="array" ref="V26">IF(A26&lt;&gt;"",SUM(--(B26:U27 = "X")*$U$3,--(B26:U27 ="A")*$Q$3,--(B26:U27 ="B")*$R$3,--(B26:U27 ="C")*$S$3),"")</f>
        <v/>
      </c>
      <c r="X26" s="437" t="s">
        <v>7334</v>
      </c>
      <c r="Y26" s="437">
        <v>26.5</v>
      </c>
      <c r="Z26" s="436">
        <f>_xlfn.XLOOKUP(answers[[#This Row],[StudentID]],$A$7:$A$1418,$V$7:$V$1418)</f>
        <v>26.5</v>
      </c>
      <c r="AG26" s="142" t="s">
        <v>2398</v>
      </c>
      <c r="AH26" s="142" t="s">
        <v>1435</v>
      </c>
      <c r="AI26" s="142" t="s">
        <v>2705</v>
      </c>
      <c r="AJ26" s="142" t="s">
        <v>2705</v>
      </c>
      <c r="AK26" s="142" t="s">
        <v>2398</v>
      </c>
      <c r="AL26" s="142" t="s">
        <v>2705</v>
      </c>
      <c r="AM26" s="142" t="s">
        <v>2705</v>
      </c>
      <c r="AN26" s="142" t="s">
        <v>2705</v>
      </c>
      <c r="AO26" s="142" t="s">
        <v>2705</v>
      </c>
      <c r="AP26" s="142" t="s">
        <v>2705</v>
      </c>
      <c r="AQ26" s="142" t="s">
        <v>2398</v>
      </c>
      <c r="AR26" s="142" t="s">
        <v>2398</v>
      </c>
      <c r="AS26" s="142" t="s">
        <v>2398</v>
      </c>
      <c r="AT26" s="142" t="s">
        <v>2705</v>
      </c>
      <c r="AU26" s="142" t="s">
        <v>2705</v>
      </c>
      <c r="AV26" s="142" t="s">
        <v>2705</v>
      </c>
      <c r="AW26" s="142" t="s">
        <v>1435</v>
      </c>
      <c r="AX26" s="142" t="s">
        <v>2398</v>
      </c>
      <c r="AY26" s="142" t="s">
        <v>2398</v>
      </c>
      <c r="AZ26" s="142" t="s">
        <v>2705</v>
      </c>
    </row>
    <row r="27" spans="1:52" s="142" customFormat="1" ht="12.75" x14ac:dyDescent="0.2">
      <c r="A27" s="151" t="s">
        <v>7330</v>
      </c>
      <c r="B27" s="152" t="s">
        <v>2705</v>
      </c>
      <c r="C27" s="152" t="s">
        <v>2705</v>
      </c>
      <c r="D27" s="152" t="s">
        <v>2705</v>
      </c>
      <c r="E27" s="152" t="s">
        <v>2705</v>
      </c>
      <c r="F27" s="152" t="s">
        <v>2705</v>
      </c>
      <c r="G27" s="152" t="s">
        <v>2705</v>
      </c>
      <c r="H27" s="152" t="s">
        <v>2705</v>
      </c>
      <c r="I27" s="152" t="s">
        <v>2398</v>
      </c>
      <c r="J27" s="152" t="s">
        <v>2705</v>
      </c>
      <c r="K27" s="152" t="s">
        <v>2397</v>
      </c>
      <c r="L27" s="152" t="s">
        <v>2705</v>
      </c>
      <c r="M27" s="152" t="s">
        <v>2705</v>
      </c>
      <c r="N27" s="152" t="s">
        <v>2398</v>
      </c>
      <c r="O27" s="152" t="s">
        <v>2398</v>
      </c>
      <c r="P27" s="152" t="s">
        <v>2705</v>
      </c>
      <c r="Q27" s="152" t="s">
        <v>1435</v>
      </c>
      <c r="R27" s="152" t="s">
        <v>2398</v>
      </c>
      <c r="S27" s="152" t="s">
        <v>2705</v>
      </c>
      <c r="T27" s="152" t="s">
        <v>2705</v>
      </c>
      <c r="U27" s="152" t="s">
        <v>2705</v>
      </c>
      <c r="V27" s="142" cm="1">
        <f t="array" ref="V27">IF(A27&lt;&gt;"",SUM(--(B27:U28 = "X")*$U$3,--(B27:U28 ="A")*$Q$3,--(B27:U28 ="B")*$R$3,--(B27:U28 ="C")*$S$3),"")</f>
        <v>23.5</v>
      </c>
      <c r="X27" s="437" t="s">
        <v>7335</v>
      </c>
      <c r="Y27" s="437">
        <v>18.5</v>
      </c>
      <c r="Z27" s="436">
        <f>_xlfn.XLOOKUP(answers[[#This Row],[StudentID]],$A$7:$A$1418,$V$7:$V$1418)</f>
        <v>18.5</v>
      </c>
      <c r="AF27" s="142" t="s">
        <v>7330</v>
      </c>
      <c r="AG27" s="142" t="s">
        <v>2705</v>
      </c>
      <c r="AH27" s="142" t="s">
        <v>2705</v>
      </c>
      <c r="AI27" s="142" t="s">
        <v>2705</v>
      </c>
      <c r="AJ27" s="142" t="s">
        <v>2705</v>
      </c>
      <c r="AK27" s="142" t="s">
        <v>2705</v>
      </c>
      <c r="AL27" s="142" t="s">
        <v>2705</v>
      </c>
      <c r="AM27" s="142" t="s">
        <v>2705</v>
      </c>
      <c r="AN27" s="142" t="s">
        <v>2398</v>
      </c>
      <c r="AO27" s="142" t="s">
        <v>2705</v>
      </c>
      <c r="AP27" s="142" t="s">
        <v>2397</v>
      </c>
      <c r="AQ27" s="142" t="s">
        <v>2705</v>
      </c>
      <c r="AR27" s="142" t="s">
        <v>2705</v>
      </c>
      <c r="AS27" s="142" t="s">
        <v>2398</v>
      </c>
      <c r="AT27" s="142" t="s">
        <v>2398</v>
      </c>
      <c r="AU27" s="142" t="s">
        <v>2705</v>
      </c>
      <c r="AV27" s="142" t="s">
        <v>1435</v>
      </c>
      <c r="AW27" s="142" t="s">
        <v>2398</v>
      </c>
      <c r="AX27" s="142" t="s">
        <v>2705</v>
      </c>
      <c r="AY27" s="142" t="s">
        <v>2705</v>
      </c>
      <c r="AZ27" s="142" t="s">
        <v>2705</v>
      </c>
    </row>
    <row r="28" spans="1:52" s="142" customFormat="1" ht="12.75" x14ac:dyDescent="0.2">
      <c r="A28" s="151"/>
      <c r="B28" s="152" t="s">
        <v>2398</v>
      </c>
      <c r="C28" s="152" t="s">
        <v>2705</v>
      </c>
      <c r="D28" s="152" t="s">
        <v>2675</v>
      </c>
      <c r="E28" s="152" t="s">
        <v>2705</v>
      </c>
      <c r="F28" s="152" t="s">
        <v>2675</v>
      </c>
      <c r="G28" s="152" t="s">
        <v>2705</v>
      </c>
      <c r="H28" s="152" t="s">
        <v>2675</v>
      </c>
      <c r="I28" s="152" t="s">
        <v>2705</v>
      </c>
      <c r="J28" s="152" t="s">
        <v>2705</v>
      </c>
      <c r="K28" s="152" t="s">
        <v>2398</v>
      </c>
      <c r="L28" s="152" t="s">
        <v>2398</v>
      </c>
      <c r="M28" s="152" t="s">
        <v>2705</v>
      </c>
      <c r="N28" s="152" t="s">
        <v>2705</v>
      </c>
      <c r="O28" s="152" t="s">
        <v>2705</v>
      </c>
      <c r="P28" s="152" t="s">
        <v>2398</v>
      </c>
      <c r="Q28" s="152" t="s">
        <v>1435</v>
      </c>
      <c r="R28" s="152" t="s">
        <v>2705</v>
      </c>
      <c r="S28" s="152" t="s">
        <v>2705</v>
      </c>
      <c r="T28" s="152" t="s">
        <v>2705</v>
      </c>
      <c r="U28" s="152" t="s">
        <v>2705</v>
      </c>
      <c r="V28" s="142" t="str" cm="1">
        <f t="array" ref="V28">IF(A28&lt;&gt;"",SUM(--(B28:U29 = "X")*$U$3,--(B28:U29 ="A")*$Q$3,--(B28:U29 ="B")*$R$3,--(B28:U29 ="C")*$S$3),"")</f>
        <v/>
      </c>
      <c r="X28" s="437" t="s">
        <v>7336</v>
      </c>
      <c r="Y28" s="437">
        <v>23</v>
      </c>
      <c r="Z28" s="436">
        <f>_xlfn.XLOOKUP(answers[[#This Row],[StudentID]],$A$7:$A$1418,$V$7:$V$1418)</f>
        <v>23</v>
      </c>
      <c r="AG28" s="142" t="s">
        <v>2398</v>
      </c>
      <c r="AH28" s="142" t="s">
        <v>2705</v>
      </c>
      <c r="AI28" s="142" t="s">
        <v>2675</v>
      </c>
      <c r="AJ28" s="142" t="s">
        <v>2705</v>
      </c>
      <c r="AK28" s="142" t="s">
        <v>2675</v>
      </c>
      <c r="AL28" s="142" t="s">
        <v>2705</v>
      </c>
      <c r="AM28" s="142" t="s">
        <v>2675</v>
      </c>
      <c r="AN28" s="142" t="s">
        <v>2705</v>
      </c>
      <c r="AO28" s="142" t="s">
        <v>2705</v>
      </c>
      <c r="AP28" s="142" t="s">
        <v>2398</v>
      </c>
      <c r="AQ28" s="142" t="s">
        <v>2398</v>
      </c>
      <c r="AR28" s="142" t="s">
        <v>2705</v>
      </c>
      <c r="AS28" s="142" t="s">
        <v>2705</v>
      </c>
      <c r="AT28" s="142" t="s">
        <v>2705</v>
      </c>
      <c r="AU28" s="142" t="s">
        <v>2398</v>
      </c>
      <c r="AV28" s="142" t="s">
        <v>1435</v>
      </c>
      <c r="AW28" s="142" t="s">
        <v>2705</v>
      </c>
      <c r="AX28" s="142" t="s">
        <v>2705</v>
      </c>
      <c r="AY28" s="142" t="s">
        <v>2705</v>
      </c>
      <c r="AZ28" s="142" t="s">
        <v>2705</v>
      </c>
    </row>
    <row r="29" spans="1:52" s="142" customFormat="1" ht="12.75" x14ac:dyDescent="0.2">
      <c r="A29" s="151" t="s">
        <v>7331</v>
      </c>
      <c r="B29" s="152" t="s">
        <v>2705</v>
      </c>
      <c r="C29" s="152" t="s">
        <v>2705</v>
      </c>
      <c r="D29" s="152" t="s">
        <v>2705</v>
      </c>
      <c r="E29" s="152" t="s">
        <v>2398</v>
      </c>
      <c r="F29" s="152" t="s">
        <v>2705</v>
      </c>
      <c r="G29" s="152" t="s">
        <v>2705</v>
      </c>
      <c r="H29" s="152" t="s">
        <v>1435</v>
      </c>
      <c r="I29" s="152" t="s">
        <v>2705</v>
      </c>
      <c r="J29" s="152" t="s">
        <v>2705</v>
      </c>
      <c r="K29" s="152" t="s">
        <v>2705</v>
      </c>
      <c r="L29" s="152" t="s">
        <v>2705</v>
      </c>
      <c r="M29" s="152" t="s">
        <v>2705</v>
      </c>
      <c r="N29" s="152" t="s">
        <v>2705</v>
      </c>
      <c r="O29" s="152" t="s">
        <v>2398</v>
      </c>
      <c r="P29" s="152" t="s">
        <v>2398</v>
      </c>
      <c r="Q29" s="152" t="s">
        <v>2705</v>
      </c>
      <c r="R29" s="152" t="s">
        <v>2705</v>
      </c>
      <c r="S29" s="152" t="s">
        <v>2398</v>
      </c>
      <c r="T29" s="152" t="s">
        <v>1435</v>
      </c>
      <c r="U29" s="152" t="s">
        <v>2398</v>
      </c>
      <c r="V29" s="142" cm="1">
        <f t="array" ref="V29">IF(A29&lt;&gt;"",SUM(--(B29:U30 = "X")*$U$3,--(B29:U30 ="A")*$Q$3,--(B29:U30 ="B")*$R$3,--(B29:U30 ="C")*$S$3),"")</f>
        <v>19.5</v>
      </c>
      <c r="X29" s="437" t="s">
        <v>7337</v>
      </c>
      <c r="Y29" s="437">
        <v>25.5</v>
      </c>
      <c r="Z29" s="436">
        <f>_xlfn.XLOOKUP(answers[[#This Row],[StudentID]],$A$7:$A$1418,$V$7:$V$1418)</f>
        <v>25.5</v>
      </c>
      <c r="AF29" s="142" t="s">
        <v>7331</v>
      </c>
      <c r="AG29" s="142" t="s">
        <v>2705</v>
      </c>
      <c r="AH29" s="142" t="s">
        <v>2705</v>
      </c>
      <c r="AI29" s="142" t="s">
        <v>2705</v>
      </c>
      <c r="AJ29" s="142" t="s">
        <v>2398</v>
      </c>
      <c r="AK29" s="142" t="s">
        <v>2705</v>
      </c>
      <c r="AL29" s="142" t="s">
        <v>2705</v>
      </c>
      <c r="AM29" s="142" t="s">
        <v>1435</v>
      </c>
      <c r="AN29" s="142" t="s">
        <v>2705</v>
      </c>
      <c r="AO29" s="142" t="s">
        <v>2705</v>
      </c>
      <c r="AP29" s="142" t="s">
        <v>2705</v>
      </c>
      <c r="AQ29" s="142" t="s">
        <v>2705</v>
      </c>
      <c r="AR29" s="142" t="s">
        <v>2705</v>
      </c>
      <c r="AS29" s="142" t="s">
        <v>2705</v>
      </c>
      <c r="AT29" s="142" t="s">
        <v>2398</v>
      </c>
      <c r="AU29" s="142" t="s">
        <v>2398</v>
      </c>
      <c r="AV29" s="142" t="s">
        <v>2705</v>
      </c>
      <c r="AW29" s="142" t="s">
        <v>2705</v>
      </c>
      <c r="AX29" s="142" t="s">
        <v>2398</v>
      </c>
      <c r="AY29" s="142" t="s">
        <v>1435</v>
      </c>
      <c r="AZ29" s="142" t="s">
        <v>2398</v>
      </c>
    </row>
    <row r="30" spans="1:52" s="142" customFormat="1" ht="12.75" x14ac:dyDescent="0.2">
      <c r="A30" s="151"/>
      <c r="B30" s="152" t="s">
        <v>2705</v>
      </c>
      <c r="C30" s="152" t="s">
        <v>1435</v>
      </c>
      <c r="D30" s="152" t="s">
        <v>2705</v>
      </c>
      <c r="E30" s="152" t="s">
        <v>2398</v>
      </c>
      <c r="F30" s="152" t="s">
        <v>2675</v>
      </c>
      <c r="G30" s="152" t="s">
        <v>2397</v>
      </c>
      <c r="H30" s="152" t="s">
        <v>2705</v>
      </c>
      <c r="I30" s="152" t="s">
        <v>2705</v>
      </c>
      <c r="J30" s="152" t="s">
        <v>2398</v>
      </c>
      <c r="K30" s="152" t="s">
        <v>2705</v>
      </c>
      <c r="L30" s="152" t="s">
        <v>2398</v>
      </c>
      <c r="M30" s="152" t="s">
        <v>2705</v>
      </c>
      <c r="N30" s="152" t="s">
        <v>2398</v>
      </c>
      <c r="O30" s="152" t="s">
        <v>2398</v>
      </c>
      <c r="P30" s="152" t="s">
        <v>2398</v>
      </c>
      <c r="Q30" s="152" t="s">
        <v>2705</v>
      </c>
      <c r="R30" s="152" t="s">
        <v>2705</v>
      </c>
      <c r="S30" s="152" t="s">
        <v>2398</v>
      </c>
      <c r="T30" s="152" t="s">
        <v>2705</v>
      </c>
      <c r="U30" s="152" t="s">
        <v>2675</v>
      </c>
      <c r="V30" s="142" t="str" cm="1">
        <f t="array" ref="V30">IF(A30&lt;&gt;"",SUM(--(B30:U31 = "X")*$U$3,--(B30:U31 ="A")*$Q$3,--(B30:U31 ="B")*$R$3,--(B30:U31 ="C")*$S$3),"")</f>
        <v/>
      </c>
      <c r="X30" s="437" t="s">
        <v>7338</v>
      </c>
      <c r="Y30" s="437">
        <v>15.5</v>
      </c>
      <c r="Z30" s="436">
        <f>_xlfn.XLOOKUP(answers[[#This Row],[StudentID]],$A$7:$A$1418,$V$7:$V$1418)</f>
        <v>15.5</v>
      </c>
      <c r="AG30" s="142" t="s">
        <v>2705</v>
      </c>
      <c r="AH30" s="142" t="s">
        <v>1435</v>
      </c>
      <c r="AI30" s="142" t="s">
        <v>2705</v>
      </c>
      <c r="AJ30" s="142" t="s">
        <v>2398</v>
      </c>
      <c r="AK30" s="142" t="s">
        <v>2675</v>
      </c>
      <c r="AL30" s="142" t="s">
        <v>2397</v>
      </c>
      <c r="AM30" s="142" t="s">
        <v>2705</v>
      </c>
      <c r="AN30" s="142" t="s">
        <v>2705</v>
      </c>
      <c r="AO30" s="142" t="s">
        <v>2398</v>
      </c>
      <c r="AP30" s="142" t="s">
        <v>2705</v>
      </c>
      <c r="AQ30" s="142" t="s">
        <v>2398</v>
      </c>
      <c r="AR30" s="142" t="s">
        <v>2705</v>
      </c>
      <c r="AS30" s="142" t="s">
        <v>2398</v>
      </c>
      <c r="AT30" s="142" t="s">
        <v>2398</v>
      </c>
      <c r="AU30" s="142" t="s">
        <v>2398</v>
      </c>
      <c r="AV30" s="142" t="s">
        <v>2705</v>
      </c>
      <c r="AW30" s="142" t="s">
        <v>2705</v>
      </c>
      <c r="AX30" s="142" t="s">
        <v>2398</v>
      </c>
      <c r="AY30" s="142" t="s">
        <v>2705</v>
      </c>
      <c r="AZ30" s="142" t="s">
        <v>2675</v>
      </c>
    </row>
    <row r="31" spans="1:52" s="142" customFormat="1" ht="12.75" x14ac:dyDescent="0.2">
      <c r="A31" s="151" t="s">
        <v>7332</v>
      </c>
      <c r="B31" s="152" t="s">
        <v>2705</v>
      </c>
      <c r="C31" s="152" t="s">
        <v>2705</v>
      </c>
      <c r="D31" s="152" t="s">
        <v>2705</v>
      </c>
      <c r="E31" s="152" t="s">
        <v>2705</v>
      </c>
      <c r="F31" s="152" t="s">
        <v>2705</v>
      </c>
      <c r="G31" s="152" t="s">
        <v>2705</v>
      </c>
      <c r="H31" s="152" t="s">
        <v>2705</v>
      </c>
      <c r="I31" s="152" t="s">
        <v>2705</v>
      </c>
      <c r="J31" s="152" t="s">
        <v>2705</v>
      </c>
      <c r="K31" s="152" t="s">
        <v>2398</v>
      </c>
      <c r="L31" s="152" t="s">
        <v>2705</v>
      </c>
      <c r="M31" s="152" t="s">
        <v>2705</v>
      </c>
      <c r="N31" s="152" t="s">
        <v>2675</v>
      </c>
      <c r="O31" s="152" t="s">
        <v>2398</v>
      </c>
      <c r="P31" s="152" t="s">
        <v>2705</v>
      </c>
      <c r="Q31" s="152" t="s">
        <v>1435</v>
      </c>
      <c r="R31" s="152" t="s">
        <v>2675</v>
      </c>
      <c r="S31" s="152" t="s">
        <v>2398</v>
      </c>
      <c r="T31" s="152" t="s">
        <v>2705</v>
      </c>
      <c r="U31" s="152" t="s">
        <v>2398</v>
      </c>
      <c r="V31" s="142" cm="1">
        <f t="array" ref="V31">IF(A31&lt;&gt;"",SUM(--(B31:U32 = "X")*$U$3,--(B31:U32 ="A")*$Q$3,--(B31:U32 ="B")*$R$3,--(B31:U32 ="C")*$S$3),"")</f>
        <v>25.5</v>
      </c>
      <c r="X31" s="437" t="s">
        <v>7339</v>
      </c>
      <c r="Y31" s="437">
        <v>19.5</v>
      </c>
      <c r="Z31" s="436">
        <f>_xlfn.XLOOKUP(answers[[#This Row],[StudentID]],$A$7:$A$1418,$V$7:$V$1418)</f>
        <v>19.5</v>
      </c>
      <c r="AF31" s="142" t="s">
        <v>7332</v>
      </c>
      <c r="AG31" s="142" t="s">
        <v>2705</v>
      </c>
      <c r="AH31" s="142" t="s">
        <v>2705</v>
      </c>
      <c r="AI31" s="142" t="s">
        <v>2705</v>
      </c>
      <c r="AJ31" s="142" t="s">
        <v>2705</v>
      </c>
      <c r="AK31" s="142" t="s">
        <v>2705</v>
      </c>
      <c r="AL31" s="142" t="s">
        <v>2705</v>
      </c>
      <c r="AM31" s="142" t="s">
        <v>2705</v>
      </c>
      <c r="AN31" s="142" t="s">
        <v>2705</v>
      </c>
      <c r="AO31" s="142" t="s">
        <v>2705</v>
      </c>
      <c r="AP31" s="142" t="s">
        <v>2398</v>
      </c>
      <c r="AQ31" s="142" t="s">
        <v>2705</v>
      </c>
      <c r="AR31" s="142" t="s">
        <v>2705</v>
      </c>
      <c r="AS31" s="142" t="s">
        <v>2675</v>
      </c>
      <c r="AT31" s="142" t="s">
        <v>2398</v>
      </c>
      <c r="AU31" s="142" t="s">
        <v>2705</v>
      </c>
      <c r="AV31" s="142" t="s">
        <v>1435</v>
      </c>
      <c r="AW31" s="142" t="s">
        <v>2675</v>
      </c>
      <c r="AX31" s="142" t="s">
        <v>2398</v>
      </c>
      <c r="AY31" s="142" t="s">
        <v>2705</v>
      </c>
      <c r="AZ31" s="142" t="s">
        <v>2398</v>
      </c>
    </row>
    <row r="32" spans="1:52" s="142" customFormat="1" ht="12.75" x14ac:dyDescent="0.2">
      <c r="A32" s="151"/>
      <c r="B32" s="152" t="s">
        <v>2397</v>
      </c>
      <c r="C32" s="152" t="s">
        <v>2705</v>
      </c>
      <c r="D32" s="152" t="s">
        <v>2705</v>
      </c>
      <c r="E32" s="152" t="s">
        <v>2705</v>
      </c>
      <c r="F32" s="152" t="s">
        <v>2705</v>
      </c>
      <c r="G32" s="152" t="s">
        <v>2675</v>
      </c>
      <c r="H32" s="152" t="s">
        <v>2705</v>
      </c>
      <c r="I32" s="152" t="s">
        <v>2705</v>
      </c>
      <c r="J32" s="152" t="s">
        <v>2705</v>
      </c>
      <c r="K32" s="152" t="s">
        <v>2398</v>
      </c>
      <c r="L32" s="152" t="s">
        <v>2705</v>
      </c>
      <c r="M32" s="152" t="s">
        <v>2705</v>
      </c>
      <c r="N32" s="152" t="s">
        <v>2705</v>
      </c>
      <c r="O32" s="152" t="s">
        <v>2705</v>
      </c>
      <c r="P32" s="152" t="s">
        <v>2705</v>
      </c>
      <c r="Q32" s="152" t="s">
        <v>1435</v>
      </c>
      <c r="R32" s="152" t="s">
        <v>2705</v>
      </c>
      <c r="S32" s="152" t="s">
        <v>2705</v>
      </c>
      <c r="T32" s="152" t="s">
        <v>2398</v>
      </c>
      <c r="U32" s="152" t="s">
        <v>2705</v>
      </c>
      <c r="V32" s="142" t="str" cm="1">
        <f t="array" ref="V32">IF(A32&lt;&gt;"",SUM(--(B32:U33 = "X")*$U$3,--(B32:U33 ="A")*$Q$3,--(B32:U33 ="B")*$R$3,--(B32:U33 ="C")*$S$3),"")</f>
        <v/>
      </c>
      <c r="X32" s="437" t="s">
        <v>7340</v>
      </c>
      <c r="Y32" s="437">
        <v>20</v>
      </c>
      <c r="Z32" s="436">
        <f>_xlfn.XLOOKUP(answers[[#This Row],[StudentID]],$A$7:$A$1418,$V$7:$V$1418)</f>
        <v>20</v>
      </c>
      <c r="AG32" s="142" t="s">
        <v>2397</v>
      </c>
      <c r="AH32" s="142" t="s">
        <v>2705</v>
      </c>
      <c r="AI32" s="142" t="s">
        <v>2705</v>
      </c>
      <c r="AJ32" s="142" t="s">
        <v>2705</v>
      </c>
      <c r="AK32" s="142" t="s">
        <v>2705</v>
      </c>
      <c r="AL32" s="142" t="s">
        <v>2675</v>
      </c>
      <c r="AM32" s="142" t="s">
        <v>2705</v>
      </c>
      <c r="AN32" s="142" t="s">
        <v>2705</v>
      </c>
      <c r="AO32" s="142" t="s">
        <v>2705</v>
      </c>
      <c r="AP32" s="142" t="s">
        <v>2398</v>
      </c>
      <c r="AQ32" s="142" t="s">
        <v>2705</v>
      </c>
      <c r="AR32" s="142" t="s">
        <v>2705</v>
      </c>
      <c r="AS32" s="142" t="s">
        <v>2705</v>
      </c>
      <c r="AT32" s="142" t="s">
        <v>2705</v>
      </c>
      <c r="AU32" s="142" t="s">
        <v>2705</v>
      </c>
      <c r="AV32" s="142" t="s">
        <v>1435</v>
      </c>
      <c r="AW32" s="142" t="s">
        <v>2705</v>
      </c>
      <c r="AX32" s="142" t="s">
        <v>2705</v>
      </c>
      <c r="AY32" s="142" t="s">
        <v>2398</v>
      </c>
      <c r="AZ32" s="142" t="s">
        <v>2705</v>
      </c>
    </row>
    <row r="33" spans="1:52" s="142" customFormat="1" ht="12.75" x14ac:dyDescent="0.2">
      <c r="A33" s="151" t="s">
        <v>7333</v>
      </c>
      <c r="B33" s="152" t="s">
        <v>2705</v>
      </c>
      <c r="C33" s="152" t="s">
        <v>2705</v>
      </c>
      <c r="D33" s="152" t="s">
        <v>2705</v>
      </c>
      <c r="E33" s="152" t="s">
        <v>2705</v>
      </c>
      <c r="F33" s="152" t="s">
        <v>2705</v>
      </c>
      <c r="G33" s="152" t="s">
        <v>2705</v>
      </c>
      <c r="H33" s="152" t="s">
        <v>2705</v>
      </c>
      <c r="I33" s="152" t="s">
        <v>2398</v>
      </c>
      <c r="J33" s="152" t="s">
        <v>2705</v>
      </c>
      <c r="K33" s="152" t="s">
        <v>2705</v>
      </c>
      <c r="L33" s="152" t="s">
        <v>2705</v>
      </c>
      <c r="M33" s="152" t="s">
        <v>2705</v>
      </c>
      <c r="N33" s="152" t="s">
        <v>2705</v>
      </c>
      <c r="O33" s="152" t="s">
        <v>2398</v>
      </c>
      <c r="P33" s="152" t="s">
        <v>2675</v>
      </c>
      <c r="Q33" s="152" t="s">
        <v>1435</v>
      </c>
      <c r="R33" s="152" t="s">
        <v>2705</v>
      </c>
      <c r="S33" s="152" t="s">
        <v>2675</v>
      </c>
      <c r="T33" s="152" t="s">
        <v>2705</v>
      </c>
      <c r="U33" s="152" t="s">
        <v>2705</v>
      </c>
      <c r="V33" s="142" cm="1">
        <f t="array" ref="V33">IF(A33&lt;&gt;"",SUM(--(B33:U34 = "X")*$U$3,--(B33:U34 ="A")*$Q$3,--(B33:U34 ="B")*$R$3,--(B33:U34 ="C")*$S$3),"")</f>
        <v>26.5</v>
      </c>
      <c r="X33" s="437" t="s">
        <v>7341</v>
      </c>
      <c r="Y33" s="437">
        <v>16.5</v>
      </c>
      <c r="Z33" s="436">
        <f>_xlfn.XLOOKUP(answers[[#This Row],[StudentID]],$A$7:$A$1418,$V$7:$V$1418)</f>
        <v>16.5</v>
      </c>
      <c r="AF33" s="142" t="s">
        <v>7333</v>
      </c>
      <c r="AG33" s="142" t="s">
        <v>2705</v>
      </c>
      <c r="AH33" s="142" t="s">
        <v>2705</v>
      </c>
      <c r="AI33" s="142" t="s">
        <v>2705</v>
      </c>
      <c r="AJ33" s="142" t="s">
        <v>2705</v>
      </c>
      <c r="AK33" s="142" t="s">
        <v>2705</v>
      </c>
      <c r="AL33" s="142" t="s">
        <v>2705</v>
      </c>
      <c r="AM33" s="142" t="s">
        <v>2705</v>
      </c>
      <c r="AN33" s="142" t="s">
        <v>2398</v>
      </c>
      <c r="AO33" s="142" t="s">
        <v>2705</v>
      </c>
      <c r="AP33" s="142" t="s">
        <v>2705</v>
      </c>
      <c r="AQ33" s="142" t="s">
        <v>2705</v>
      </c>
      <c r="AR33" s="142" t="s">
        <v>2705</v>
      </c>
      <c r="AS33" s="142" t="s">
        <v>2705</v>
      </c>
      <c r="AT33" s="142" t="s">
        <v>2398</v>
      </c>
      <c r="AU33" s="142" t="s">
        <v>2675</v>
      </c>
      <c r="AV33" s="142" t="s">
        <v>1435</v>
      </c>
      <c r="AW33" s="142" t="s">
        <v>2705</v>
      </c>
      <c r="AX33" s="142" t="s">
        <v>2675</v>
      </c>
      <c r="AY33" s="142" t="s">
        <v>2705</v>
      </c>
      <c r="AZ33" s="142" t="s">
        <v>2705</v>
      </c>
    </row>
    <row r="34" spans="1:52" s="142" customFormat="1" ht="12.75" x14ac:dyDescent="0.2">
      <c r="A34" s="151"/>
      <c r="B34" s="152" t="s">
        <v>2398</v>
      </c>
      <c r="C34" s="152" t="s">
        <v>2705</v>
      </c>
      <c r="D34" s="152" t="s">
        <v>2705</v>
      </c>
      <c r="E34" s="152" t="s">
        <v>2705</v>
      </c>
      <c r="F34" s="152" t="s">
        <v>2705</v>
      </c>
      <c r="G34" s="152" t="s">
        <v>2398</v>
      </c>
      <c r="H34" s="152" t="s">
        <v>2705</v>
      </c>
      <c r="I34" s="152" t="s">
        <v>2705</v>
      </c>
      <c r="J34" s="152" t="s">
        <v>2705</v>
      </c>
      <c r="K34" s="152" t="s">
        <v>2398</v>
      </c>
      <c r="L34" s="152" t="s">
        <v>2705</v>
      </c>
      <c r="M34" s="152" t="s">
        <v>2398</v>
      </c>
      <c r="N34" s="152" t="s">
        <v>2705</v>
      </c>
      <c r="O34" s="152" t="s">
        <v>2705</v>
      </c>
      <c r="P34" s="152" t="s">
        <v>2705</v>
      </c>
      <c r="Q34" s="152" t="s">
        <v>2398</v>
      </c>
      <c r="R34" s="152" t="s">
        <v>2398</v>
      </c>
      <c r="S34" s="152" t="s">
        <v>2705</v>
      </c>
      <c r="T34" s="152" t="s">
        <v>2705</v>
      </c>
      <c r="U34" s="152" t="s">
        <v>2398</v>
      </c>
      <c r="V34" s="142" t="str" cm="1">
        <f t="array" ref="V34">IF(A34&lt;&gt;"",SUM(--(B34:U35 = "X")*$U$3,--(B34:U35 ="A")*$Q$3,--(B34:U35 ="B")*$R$3,--(B34:U35 ="C")*$S$3),"")</f>
        <v/>
      </c>
      <c r="X34" s="437" t="s">
        <v>7342</v>
      </c>
      <c r="Y34" s="437">
        <v>25</v>
      </c>
      <c r="Z34" s="436">
        <f>_xlfn.XLOOKUP(answers[[#This Row],[StudentID]],$A$7:$A$1418,$V$7:$V$1418)</f>
        <v>25</v>
      </c>
      <c r="AG34" s="142" t="s">
        <v>2398</v>
      </c>
      <c r="AH34" s="142" t="s">
        <v>2705</v>
      </c>
      <c r="AI34" s="142" t="s">
        <v>2705</v>
      </c>
      <c r="AJ34" s="142" t="s">
        <v>2705</v>
      </c>
      <c r="AK34" s="142" t="s">
        <v>2705</v>
      </c>
      <c r="AL34" s="142" t="s">
        <v>2398</v>
      </c>
      <c r="AM34" s="142" t="s">
        <v>2705</v>
      </c>
      <c r="AN34" s="142" t="s">
        <v>2705</v>
      </c>
      <c r="AO34" s="142" t="s">
        <v>2705</v>
      </c>
      <c r="AP34" s="142" t="s">
        <v>2398</v>
      </c>
      <c r="AQ34" s="142" t="s">
        <v>2705</v>
      </c>
      <c r="AR34" s="142" t="s">
        <v>2398</v>
      </c>
      <c r="AS34" s="142" t="s">
        <v>2705</v>
      </c>
      <c r="AT34" s="142" t="s">
        <v>2705</v>
      </c>
      <c r="AU34" s="142" t="s">
        <v>2705</v>
      </c>
      <c r="AV34" s="142" t="s">
        <v>2398</v>
      </c>
      <c r="AW34" s="142" t="s">
        <v>2398</v>
      </c>
      <c r="AX34" s="142" t="s">
        <v>2705</v>
      </c>
      <c r="AY34" s="142" t="s">
        <v>2705</v>
      </c>
      <c r="AZ34" s="142" t="s">
        <v>2398</v>
      </c>
    </row>
    <row r="35" spans="1:52" s="142" customFormat="1" ht="12.75" x14ac:dyDescent="0.2">
      <c r="A35" s="151" t="s">
        <v>7334</v>
      </c>
      <c r="B35" s="152" t="s">
        <v>2398</v>
      </c>
      <c r="C35" s="152" t="s">
        <v>2398</v>
      </c>
      <c r="D35" s="152" t="s">
        <v>2398</v>
      </c>
      <c r="E35" s="152" t="s">
        <v>2705</v>
      </c>
      <c r="F35" s="152" t="s">
        <v>2705</v>
      </c>
      <c r="G35" s="152" t="s">
        <v>2705</v>
      </c>
      <c r="H35" s="152" t="s">
        <v>2705</v>
      </c>
      <c r="I35" s="152" t="s">
        <v>2705</v>
      </c>
      <c r="J35" s="152" t="s">
        <v>2705</v>
      </c>
      <c r="K35" s="152" t="s">
        <v>2398</v>
      </c>
      <c r="L35" s="152" t="s">
        <v>2398</v>
      </c>
      <c r="M35" s="152" t="s">
        <v>2705</v>
      </c>
      <c r="N35" s="152" t="s">
        <v>2705</v>
      </c>
      <c r="O35" s="152" t="s">
        <v>2398</v>
      </c>
      <c r="P35" s="152" t="s">
        <v>2705</v>
      </c>
      <c r="Q35" s="152" t="s">
        <v>2705</v>
      </c>
      <c r="R35" s="152" t="s">
        <v>2705</v>
      </c>
      <c r="S35" s="152" t="s">
        <v>2705</v>
      </c>
      <c r="T35" s="152" t="s">
        <v>2398</v>
      </c>
      <c r="U35" s="152" t="s">
        <v>2705</v>
      </c>
      <c r="V35" s="142" cm="1">
        <f t="array" ref="V35">IF(A35&lt;&gt;"",SUM(--(B35:U36 = "X")*$U$3,--(B35:U36 ="A")*$Q$3,--(B35:U36 ="B")*$R$3,--(B35:U36 ="C")*$S$3),"")</f>
        <v>26.5</v>
      </c>
      <c r="X35" s="437" t="s">
        <v>7343</v>
      </c>
      <c r="Y35" s="437">
        <v>21</v>
      </c>
      <c r="Z35" s="436">
        <f>_xlfn.XLOOKUP(answers[[#This Row],[StudentID]],$A$7:$A$1418,$V$7:$V$1418)</f>
        <v>21</v>
      </c>
      <c r="AF35" s="142" t="s">
        <v>7334</v>
      </c>
      <c r="AG35" s="142" t="s">
        <v>2398</v>
      </c>
      <c r="AH35" s="142" t="s">
        <v>2398</v>
      </c>
      <c r="AI35" s="142" t="s">
        <v>2398</v>
      </c>
      <c r="AJ35" s="142" t="s">
        <v>2705</v>
      </c>
      <c r="AK35" s="142" t="s">
        <v>2705</v>
      </c>
      <c r="AL35" s="142" t="s">
        <v>2705</v>
      </c>
      <c r="AM35" s="142" t="s">
        <v>2705</v>
      </c>
      <c r="AN35" s="142" t="s">
        <v>2705</v>
      </c>
      <c r="AO35" s="142" t="s">
        <v>2705</v>
      </c>
      <c r="AP35" s="142" t="s">
        <v>2398</v>
      </c>
      <c r="AQ35" s="142" t="s">
        <v>2398</v>
      </c>
      <c r="AR35" s="142" t="s">
        <v>2705</v>
      </c>
      <c r="AS35" s="142" t="s">
        <v>2705</v>
      </c>
      <c r="AT35" s="142" t="s">
        <v>2398</v>
      </c>
      <c r="AU35" s="142" t="s">
        <v>2705</v>
      </c>
      <c r="AV35" s="142" t="s">
        <v>2705</v>
      </c>
      <c r="AW35" s="142" t="s">
        <v>2705</v>
      </c>
      <c r="AX35" s="142" t="s">
        <v>2705</v>
      </c>
      <c r="AY35" s="142" t="s">
        <v>2398</v>
      </c>
      <c r="AZ35" s="142" t="s">
        <v>2705</v>
      </c>
    </row>
    <row r="36" spans="1:52" s="142" customFormat="1" ht="12.75" x14ac:dyDescent="0.2">
      <c r="A36" s="151"/>
      <c r="B36" s="152" t="s">
        <v>2397</v>
      </c>
      <c r="C36" s="152" t="s">
        <v>2705</v>
      </c>
      <c r="D36" s="152" t="s">
        <v>2705</v>
      </c>
      <c r="E36" s="152" t="s">
        <v>2705</v>
      </c>
      <c r="F36" s="152" t="s">
        <v>2398</v>
      </c>
      <c r="G36" s="152" t="s">
        <v>2398</v>
      </c>
      <c r="H36" s="152" t="s">
        <v>2705</v>
      </c>
      <c r="I36" s="152" t="s">
        <v>2705</v>
      </c>
      <c r="J36" s="152" t="s">
        <v>2705</v>
      </c>
      <c r="K36" s="152" t="s">
        <v>2705</v>
      </c>
      <c r="L36" s="152" t="s">
        <v>2705</v>
      </c>
      <c r="M36" s="152" t="s">
        <v>2705</v>
      </c>
      <c r="N36" s="152" t="s">
        <v>2705</v>
      </c>
      <c r="O36" s="152" t="s">
        <v>2398</v>
      </c>
      <c r="P36" s="152" t="s">
        <v>2398</v>
      </c>
      <c r="Q36" s="152" t="s">
        <v>2705</v>
      </c>
      <c r="R36" s="152" t="s">
        <v>2705</v>
      </c>
      <c r="S36" s="152" t="s">
        <v>2705</v>
      </c>
      <c r="T36" s="152" t="s">
        <v>2705</v>
      </c>
      <c r="U36" s="152" t="s">
        <v>2675</v>
      </c>
      <c r="V36" s="142" t="str" cm="1">
        <f t="array" ref="V36">IF(A36&lt;&gt;"",SUM(--(B36:U37 = "X")*$U$3,--(B36:U37 ="A")*$Q$3,--(B36:U37 ="B")*$R$3,--(B36:U37 ="C")*$S$3),"")</f>
        <v/>
      </c>
      <c r="X36" s="437" t="s">
        <v>7344</v>
      </c>
      <c r="Y36" s="437">
        <v>15.5</v>
      </c>
      <c r="Z36" s="436">
        <f>_xlfn.XLOOKUP(answers[[#This Row],[StudentID]],$A$7:$A$1418,$V$7:$V$1418)</f>
        <v>15.5</v>
      </c>
      <c r="AG36" s="142" t="s">
        <v>2397</v>
      </c>
      <c r="AH36" s="142" t="s">
        <v>2705</v>
      </c>
      <c r="AI36" s="142" t="s">
        <v>2705</v>
      </c>
      <c r="AJ36" s="142" t="s">
        <v>2705</v>
      </c>
      <c r="AK36" s="142" t="s">
        <v>2398</v>
      </c>
      <c r="AL36" s="142" t="s">
        <v>2398</v>
      </c>
      <c r="AM36" s="142" t="s">
        <v>2705</v>
      </c>
      <c r="AN36" s="142" t="s">
        <v>2705</v>
      </c>
      <c r="AO36" s="142" t="s">
        <v>2705</v>
      </c>
      <c r="AP36" s="142" t="s">
        <v>2705</v>
      </c>
      <c r="AQ36" s="142" t="s">
        <v>2705</v>
      </c>
      <c r="AR36" s="142" t="s">
        <v>2705</v>
      </c>
      <c r="AS36" s="142" t="s">
        <v>2705</v>
      </c>
      <c r="AT36" s="142" t="s">
        <v>2398</v>
      </c>
      <c r="AU36" s="142" t="s">
        <v>2398</v>
      </c>
      <c r="AV36" s="142" t="s">
        <v>2705</v>
      </c>
      <c r="AW36" s="142" t="s">
        <v>2705</v>
      </c>
      <c r="AX36" s="142" t="s">
        <v>2705</v>
      </c>
      <c r="AY36" s="142" t="s">
        <v>2705</v>
      </c>
      <c r="AZ36" s="142" t="s">
        <v>2675</v>
      </c>
    </row>
    <row r="37" spans="1:52" s="142" customFormat="1" ht="12.75" x14ac:dyDescent="0.2">
      <c r="A37" s="151" t="s">
        <v>7335</v>
      </c>
      <c r="B37" s="152" t="s">
        <v>2705</v>
      </c>
      <c r="C37" s="152" t="s">
        <v>2705</v>
      </c>
      <c r="D37" s="152" t="s">
        <v>2398</v>
      </c>
      <c r="E37" s="152" t="s">
        <v>2398</v>
      </c>
      <c r="F37" s="152" t="s">
        <v>2398</v>
      </c>
      <c r="G37" s="152" t="s">
        <v>2705</v>
      </c>
      <c r="H37" s="152" t="s">
        <v>2398</v>
      </c>
      <c r="I37" s="152" t="s">
        <v>2398</v>
      </c>
      <c r="J37" s="152" t="s">
        <v>2705</v>
      </c>
      <c r="K37" s="152" t="s">
        <v>2705</v>
      </c>
      <c r="L37" s="152" t="s">
        <v>2705</v>
      </c>
      <c r="M37" s="152" t="s">
        <v>2705</v>
      </c>
      <c r="N37" s="152" t="s">
        <v>2705</v>
      </c>
      <c r="O37" s="152" t="s">
        <v>2705</v>
      </c>
      <c r="P37" s="152" t="s">
        <v>2398</v>
      </c>
      <c r="Q37" s="152" t="s">
        <v>2398</v>
      </c>
      <c r="R37" s="152" t="s">
        <v>2705</v>
      </c>
      <c r="S37" s="152" t="s">
        <v>2398</v>
      </c>
      <c r="T37" s="152" t="s">
        <v>2398</v>
      </c>
      <c r="U37" s="152" t="s">
        <v>2705</v>
      </c>
      <c r="V37" s="142" cm="1">
        <f t="array" ref="V37">IF(A37&lt;&gt;"",SUM(--(B37:U38 = "X")*$U$3,--(B37:U38 ="A")*$Q$3,--(B37:U38 ="B")*$R$3,--(B37:U38 ="C")*$S$3),"")</f>
        <v>18.5</v>
      </c>
      <c r="X37" s="437" t="s">
        <v>7345</v>
      </c>
      <c r="Y37" s="437">
        <v>14</v>
      </c>
      <c r="Z37" s="436">
        <f>_xlfn.XLOOKUP(answers[[#This Row],[StudentID]],$A$7:$A$1418,$V$7:$V$1418)</f>
        <v>14</v>
      </c>
      <c r="AF37" s="142" t="s">
        <v>7335</v>
      </c>
      <c r="AG37" s="142" t="s">
        <v>2705</v>
      </c>
      <c r="AH37" s="142" t="s">
        <v>2705</v>
      </c>
      <c r="AI37" s="142" t="s">
        <v>2398</v>
      </c>
      <c r="AJ37" s="142" t="s">
        <v>2398</v>
      </c>
      <c r="AK37" s="142" t="s">
        <v>2398</v>
      </c>
      <c r="AL37" s="142" t="s">
        <v>2705</v>
      </c>
      <c r="AM37" s="142" t="s">
        <v>2398</v>
      </c>
      <c r="AN37" s="142" t="s">
        <v>2398</v>
      </c>
      <c r="AO37" s="142" t="s">
        <v>2705</v>
      </c>
      <c r="AP37" s="142" t="s">
        <v>2705</v>
      </c>
      <c r="AQ37" s="142" t="s">
        <v>2705</v>
      </c>
      <c r="AR37" s="142" t="s">
        <v>2705</v>
      </c>
      <c r="AS37" s="142" t="s">
        <v>2705</v>
      </c>
      <c r="AT37" s="142" t="s">
        <v>2705</v>
      </c>
      <c r="AU37" s="142" t="s">
        <v>2398</v>
      </c>
      <c r="AV37" s="142" t="s">
        <v>2398</v>
      </c>
      <c r="AW37" s="142" t="s">
        <v>2705</v>
      </c>
      <c r="AX37" s="142" t="s">
        <v>2398</v>
      </c>
      <c r="AY37" s="142" t="s">
        <v>2398</v>
      </c>
      <c r="AZ37" s="142" t="s">
        <v>2705</v>
      </c>
    </row>
    <row r="38" spans="1:52" s="142" customFormat="1" ht="12.75" x14ac:dyDescent="0.2">
      <c r="A38" s="151"/>
      <c r="B38" s="152" t="s">
        <v>2398</v>
      </c>
      <c r="C38" s="152" t="s">
        <v>1435</v>
      </c>
      <c r="D38" s="152" t="s">
        <v>2705</v>
      </c>
      <c r="E38" s="152" t="s">
        <v>2398</v>
      </c>
      <c r="F38" s="152" t="s">
        <v>2705</v>
      </c>
      <c r="G38" s="152" t="s">
        <v>1435</v>
      </c>
      <c r="H38" s="152" t="s">
        <v>2398</v>
      </c>
      <c r="I38" s="152" t="s">
        <v>2705</v>
      </c>
      <c r="J38" s="152" t="s">
        <v>2705</v>
      </c>
      <c r="K38" s="152" t="s">
        <v>2705</v>
      </c>
      <c r="L38" s="152" t="s">
        <v>1435</v>
      </c>
      <c r="M38" s="152" t="s">
        <v>2705</v>
      </c>
      <c r="N38" s="152" t="s">
        <v>2705</v>
      </c>
      <c r="O38" s="152" t="s">
        <v>2398</v>
      </c>
      <c r="P38" s="152" t="s">
        <v>2675</v>
      </c>
      <c r="Q38" s="152" t="s">
        <v>2705</v>
      </c>
      <c r="R38" s="152" t="s">
        <v>2398</v>
      </c>
      <c r="S38" s="152" t="s">
        <v>2675</v>
      </c>
      <c r="T38" s="152" t="s">
        <v>2705</v>
      </c>
      <c r="U38" s="152" t="s">
        <v>2705</v>
      </c>
      <c r="V38" s="142" t="str" cm="1">
        <f t="array" ref="V38">IF(A38&lt;&gt;"",SUM(--(B38:U39 = "X")*$U$3,--(B38:U39 ="A")*$Q$3,--(B38:U39 ="B")*$R$3,--(B38:U39 ="C")*$S$3),"")</f>
        <v/>
      </c>
      <c r="X38" s="437" t="s">
        <v>7346</v>
      </c>
      <c r="Y38" s="437">
        <v>12</v>
      </c>
      <c r="Z38" s="436">
        <f>_xlfn.XLOOKUP(answers[[#This Row],[StudentID]],$A$7:$A$1418,$V$7:$V$1418)</f>
        <v>12</v>
      </c>
      <c r="AG38" s="142" t="s">
        <v>2398</v>
      </c>
      <c r="AH38" s="142" t="s">
        <v>1435</v>
      </c>
      <c r="AI38" s="142" t="s">
        <v>2705</v>
      </c>
      <c r="AJ38" s="142" t="s">
        <v>2398</v>
      </c>
      <c r="AK38" s="142" t="s">
        <v>2705</v>
      </c>
      <c r="AL38" s="142" t="s">
        <v>1435</v>
      </c>
      <c r="AM38" s="142" t="s">
        <v>2398</v>
      </c>
      <c r="AN38" s="142" t="s">
        <v>2705</v>
      </c>
      <c r="AO38" s="142" t="s">
        <v>2705</v>
      </c>
      <c r="AP38" s="142" t="s">
        <v>2705</v>
      </c>
      <c r="AQ38" s="142" t="s">
        <v>1435</v>
      </c>
      <c r="AR38" s="142" t="s">
        <v>2705</v>
      </c>
      <c r="AS38" s="142" t="s">
        <v>2705</v>
      </c>
      <c r="AT38" s="142" t="s">
        <v>2398</v>
      </c>
      <c r="AU38" s="142" t="s">
        <v>2675</v>
      </c>
      <c r="AV38" s="142" t="s">
        <v>2705</v>
      </c>
      <c r="AW38" s="142" t="s">
        <v>2398</v>
      </c>
      <c r="AX38" s="142" t="s">
        <v>2675</v>
      </c>
      <c r="AY38" s="142" t="s">
        <v>2705</v>
      </c>
      <c r="AZ38" s="142" t="s">
        <v>2705</v>
      </c>
    </row>
    <row r="39" spans="1:52" s="142" customFormat="1" ht="12.75" x14ac:dyDescent="0.2">
      <c r="A39" s="151" t="s">
        <v>7336</v>
      </c>
      <c r="B39" s="152" t="s">
        <v>2398</v>
      </c>
      <c r="C39" s="152" t="s">
        <v>2398</v>
      </c>
      <c r="D39" s="152" t="s">
        <v>2398</v>
      </c>
      <c r="E39" s="152" t="s">
        <v>2398</v>
      </c>
      <c r="F39" s="152" t="s">
        <v>2705</v>
      </c>
      <c r="G39" s="152" t="s">
        <v>2705</v>
      </c>
      <c r="H39" s="152" t="s">
        <v>2705</v>
      </c>
      <c r="I39" s="152" t="s">
        <v>2398</v>
      </c>
      <c r="J39" s="152" t="s">
        <v>1435</v>
      </c>
      <c r="K39" s="152" t="s">
        <v>2398</v>
      </c>
      <c r="L39" s="152" t="s">
        <v>1435</v>
      </c>
      <c r="M39" s="152" t="s">
        <v>2705</v>
      </c>
      <c r="N39" s="152" t="s">
        <v>2398</v>
      </c>
      <c r="O39" s="152" t="s">
        <v>2398</v>
      </c>
      <c r="P39" s="152" t="s">
        <v>2705</v>
      </c>
      <c r="Q39" s="152" t="s">
        <v>2705</v>
      </c>
      <c r="R39" s="152" t="s">
        <v>2398</v>
      </c>
      <c r="S39" s="152" t="s">
        <v>2705</v>
      </c>
      <c r="T39" s="152" t="s">
        <v>2705</v>
      </c>
      <c r="U39" s="152" t="s">
        <v>2705</v>
      </c>
      <c r="V39" s="142" cm="1">
        <f t="array" ref="V39">IF(A39&lt;&gt;"",SUM(--(B39:U40 = "X")*$U$3,--(B39:U40 ="A")*$Q$3,--(B39:U40 ="B")*$R$3,--(B39:U40 ="C")*$S$3),"")</f>
        <v>23</v>
      </c>
      <c r="X39" s="437" t="s">
        <v>7347</v>
      </c>
      <c r="Y39" s="437">
        <v>7.5</v>
      </c>
      <c r="Z39" s="436">
        <f>_xlfn.XLOOKUP(answers[[#This Row],[StudentID]],$A$7:$A$1418,$V$7:$V$1418)</f>
        <v>7.5</v>
      </c>
      <c r="AF39" s="142" t="s">
        <v>7336</v>
      </c>
      <c r="AG39" s="142" t="s">
        <v>2398</v>
      </c>
      <c r="AH39" s="142" t="s">
        <v>2398</v>
      </c>
      <c r="AI39" s="142" t="s">
        <v>2398</v>
      </c>
      <c r="AJ39" s="142" t="s">
        <v>2398</v>
      </c>
      <c r="AK39" s="142" t="s">
        <v>2705</v>
      </c>
      <c r="AL39" s="142" t="s">
        <v>2705</v>
      </c>
      <c r="AM39" s="142" t="s">
        <v>2705</v>
      </c>
      <c r="AN39" s="142" t="s">
        <v>2398</v>
      </c>
      <c r="AO39" s="142" t="s">
        <v>1435</v>
      </c>
      <c r="AP39" s="142" t="s">
        <v>2398</v>
      </c>
      <c r="AQ39" s="142" t="s">
        <v>1435</v>
      </c>
      <c r="AR39" s="142" t="s">
        <v>2705</v>
      </c>
      <c r="AS39" s="142" t="s">
        <v>2398</v>
      </c>
      <c r="AT39" s="142" t="s">
        <v>2398</v>
      </c>
      <c r="AU39" s="142" t="s">
        <v>2705</v>
      </c>
      <c r="AV39" s="142" t="s">
        <v>2705</v>
      </c>
      <c r="AW39" s="142" t="s">
        <v>2398</v>
      </c>
      <c r="AX39" s="142" t="s">
        <v>2705</v>
      </c>
      <c r="AY39" s="142" t="s">
        <v>2705</v>
      </c>
      <c r="AZ39" s="142" t="s">
        <v>2705</v>
      </c>
    </row>
    <row r="40" spans="1:52" s="142" customFormat="1" ht="12.75" x14ac:dyDescent="0.2">
      <c r="A40" s="151"/>
      <c r="B40" s="152" t="s">
        <v>2705</v>
      </c>
      <c r="C40" s="152" t="s">
        <v>2705</v>
      </c>
      <c r="D40" s="152" t="s">
        <v>2705</v>
      </c>
      <c r="E40" s="152" t="s">
        <v>2705</v>
      </c>
      <c r="F40" s="152" t="s">
        <v>2705</v>
      </c>
      <c r="G40" s="152" t="s">
        <v>2705</v>
      </c>
      <c r="H40" s="152" t="s">
        <v>2398</v>
      </c>
      <c r="I40" s="152" t="s">
        <v>2705</v>
      </c>
      <c r="J40" s="152" t="s">
        <v>2398</v>
      </c>
      <c r="K40" s="152" t="s">
        <v>2705</v>
      </c>
      <c r="L40" s="152" t="s">
        <v>2705</v>
      </c>
      <c r="M40" s="152" t="s">
        <v>2705</v>
      </c>
      <c r="N40" s="152" t="s">
        <v>2705</v>
      </c>
      <c r="O40" s="152" t="s">
        <v>2398</v>
      </c>
      <c r="P40" s="152" t="s">
        <v>2398</v>
      </c>
      <c r="Q40" s="152" t="s">
        <v>2705</v>
      </c>
      <c r="R40" s="152" t="s">
        <v>2705</v>
      </c>
      <c r="S40" s="152" t="s">
        <v>2705</v>
      </c>
      <c r="T40" s="152" t="s">
        <v>2705</v>
      </c>
      <c r="U40" s="152" t="s">
        <v>2398</v>
      </c>
      <c r="V40" s="142" t="str" cm="1">
        <f t="array" ref="V40">IF(A40&lt;&gt;"",SUM(--(B40:U41 = "X")*$U$3,--(B40:U41 ="A")*$Q$3,--(B40:U41 ="B")*$R$3,--(B40:U41 ="C")*$S$3),"")</f>
        <v/>
      </c>
      <c r="X40" s="437" t="s">
        <v>7348</v>
      </c>
      <c r="Y40" s="437">
        <v>20.5</v>
      </c>
      <c r="Z40" s="436">
        <f>_xlfn.XLOOKUP(answers[[#This Row],[StudentID]],$A$7:$A$1418,$V$7:$V$1418)</f>
        <v>20.5</v>
      </c>
      <c r="AG40" s="142" t="s">
        <v>2705</v>
      </c>
      <c r="AH40" s="142" t="s">
        <v>2705</v>
      </c>
      <c r="AI40" s="142" t="s">
        <v>2705</v>
      </c>
      <c r="AJ40" s="142" t="s">
        <v>2705</v>
      </c>
      <c r="AK40" s="142" t="s">
        <v>2705</v>
      </c>
      <c r="AL40" s="142" t="s">
        <v>2705</v>
      </c>
      <c r="AM40" s="142" t="s">
        <v>2398</v>
      </c>
      <c r="AN40" s="142" t="s">
        <v>2705</v>
      </c>
      <c r="AO40" s="142" t="s">
        <v>2398</v>
      </c>
      <c r="AP40" s="142" t="s">
        <v>2705</v>
      </c>
      <c r="AQ40" s="142" t="s">
        <v>2705</v>
      </c>
      <c r="AR40" s="142" t="s">
        <v>2705</v>
      </c>
      <c r="AS40" s="142" t="s">
        <v>2705</v>
      </c>
      <c r="AT40" s="142" t="s">
        <v>2398</v>
      </c>
      <c r="AU40" s="142" t="s">
        <v>2398</v>
      </c>
      <c r="AV40" s="142" t="s">
        <v>2705</v>
      </c>
      <c r="AW40" s="142" t="s">
        <v>2705</v>
      </c>
      <c r="AX40" s="142" t="s">
        <v>2705</v>
      </c>
      <c r="AY40" s="142" t="s">
        <v>2705</v>
      </c>
      <c r="AZ40" s="142" t="s">
        <v>2398</v>
      </c>
    </row>
    <row r="41" spans="1:52" s="142" customFormat="1" ht="12.75" x14ac:dyDescent="0.2">
      <c r="A41" s="151" t="s">
        <v>7337</v>
      </c>
      <c r="B41" s="152" t="s">
        <v>2398</v>
      </c>
      <c r="C41" s="152" t="s">
        <v>2705</v>
      </c>
      <c r="D41" s="152" t="s">
        <v>2705</v>
      </c>
      <c r="E41" s="152" t="s">
        <v>2705</v>
      </c>
      <c r="F41" s="152" t="s">
        <v>2397</v>
      </c>
      <c r="G41" s="152" t="s">
        <v>2398</v>
      </c>
      <c r="H41" s="152" t="s">
        <v>2398</v>
      </c>
      <c r="I41" s="152" t="s">
        <v>2705</v>
      </c>
      <c r="J41" s="152" t="s">
        <v>2705</v>
      </c>
      <c r="K41" s="152" t="s">
        <v>2705</v>
      </c>
      <c r="L41" s="152" t="s">
        <v>2705</v>
      </c>
      <c r="M41" s="152" t="s">
        <v>2398</v>
      </c>
      <c r="N41" s="152" t="s">
        <v>2705</v>
      </c>
      <c r="O41" s="152" t="s">
        <v>2705</v>
      </c>
      <c r="P41" s="152" t="s">
        <v>2705</v>
      </c>
      <c r="Q41" s="152" t="s">
        <v>2398</v>
      </c>
      <c r="R41" s="152" t="s">
        <v>2705</v>
      </c>
      <c r="S41" s="152" t="s">
        <v>2398</v>
      </c>
      <c r="T41" s="152" t="s">
        <v>2398</v>
      </c>
      <c r="U41" s="152" t="s">
        <v>2705</v>
      </c>
      <c r="V41" s="142" cm="1">
        <f t="array" ref="V41">IF(A41&lt;&gt;"",SUM(--(B41:U42 = "X")*$U$3,--(B41:U42 ="A")*$Q$3,--(B41:U42 ="B")*$R$3,--(B41:U42 ="C")*$S$3),"")</f>
        <v>25.5</v>
      </c>
      <c r="X41" s="437" t="s">
        <v>7349</v>
      </c>
      <c r="Y41" s="437">
        <v>27</v>
      </c>
      <c r="Z41" s="436">
        <f>_xlfn.XLOOKUP(answers[[#This Row],[StudentID]],$A$7:$A$1418,$V$7:$V$1418)</f>
        <v>27</v>
      </c>
      <c r="AF41" s="142" t="s">
        <v>7337</v>
      </c>
      <c r="AG41" s="142" t="s">
        <v>2398</v>
      </c>
      <c r="AH41" s="142" t="s">
        <v>2705</v>
      </c>
      <c r="AI41" s="142" t="s">
        <v>2705</v>
      </c>
      <c r="AJ41" s="142" t="s">
        <v>2705</v>
      </c>
      <c r="AK41" s="142" t="s">
        <v>2397</v>
      </c>
      <c r="AL41" s="142" t="s">
        <v>2398</v>
      </c>
      <c r="AM41" s="142" t="s">
        <v>2398</v>
      </c>
      <c r="AN41" s="142" t="s">
        <v>2705</v>
      </c>
      <c r="AO41" s="142" t="s">
        <v>2705</v>
      </c>
      <c r="AP41" s="142" t="s">
        <v>2705</v>
      </c>
      <c r="AQ41" s="142" t="s">
        <v>2705</v>
      </c>
      <c r="AR41" s="142" t="s">
        <v>2398</v>
      </c>
      <c r="AS41" s="142" t="s">
        <v>2705</v>
      </c>
      <c r="AT41" s="142" t="s">
        <v>2705</v>
      </c>
      <c r="AU41" s="142" t="s">
        <v>2705</v>
      </c>
      <c r="AV41" s="142" t="s">
        <v>2398</v>
      </c>
      <c r="AW41" s="142" t="s">
        <v>2705</v>
      </c>
      <c r="AX41" s="142" t="s">
        <v>2398</v>
      </c>
      <c r="AY41" s="142" t="s">
        <v>2398</v>
      </c>
      <c r="AZ41" s="142" t="s">
        <v>2705</v>
      </c>
    </row>
    <row r="42" spans="1:52" s="142" customFormat="1" ht="12.75" x14ac:dyDescent="0.2">
      <c r="A42" s="151"/>
      <c r="B42" s="152" t="s">
        <v>2705</v>
      </c>
      <c r="C42" s="152" t="s">
        <v>2705</v>
      </c>
      <c r="D42" s="152" t="s">
        <v>2705</v>
      </c>
      <c r="E42" s="152" t="s">
        <v>2705</v>
      </c>
      <c r="F42" s="152" t="s">
        <v>2705</v>
      </c>
      <c r="G42" s="152" t="s">
        <v>2705</v>
      </c>
      <c r="H42" s="152" t="s">
        <v>2705</v>
      </c>
      <c r="I42" s="152" t="s">
        <v>2705</v>
      </c>
      <c r="J42" s="152" t="s">
        <v>2397</v>
      </c>
      <c r="K42" s="152" t="s">
        <v>2705</v>
      </c>
      <c r="L42" s="152" t="s">
        <v>2397</v>
      </c>
      <c r="M42" s="152" t="s">
        <v>2705</v>
      </c>
      <c r="N42" s="152" t="s">
        <v>2675</v>
      </c>
      <c r="O42" s="152" t="s">
        <v>2705</v>
      </c>
      <c r="P42" s="152" t="s">
        <v>2705</v>
      </c>
      <c r="Q42" s="152" t="s">
        <v>2705</v>
      </c>
      <c r="R42" s="152" t="s">
        <v>1435</v>
      </c>
      <c r="S42" s="152" t="s">
        <v>2705</v>
      </c>
      <c r="T42" s="152" t="s">
        <v>2705</v>
      </c>
      <c r="U42" s="152" t="s">
        <v>2675</v>
      </c>
      <c r="V42" s="142" t="str" cm="1">
        <f t="array" ref="V42">IF(A42&lt;&gt;"",SUM(--(B42:U43 = "X")*$U$3,--(B42:U43 ="A")*$Q$3,--(B42:U43 ="B")*$R$3,--(B42:U43 ="C")*$S$3),"")</f>
        <v/>
      </c>
      <c r="X42" s="437" t="s">
        <v>7350</v>
      </c>
      <c r="Y42" s="437">
        <v>20</v>
      </c>
      <c r="Z42" s="436">
        <f>_xlfn.XLOOKUP(answers[[#This Row],[StudentID]],$A$7:$A$1418,$V$7:$V$1418)</f>
        <v>20</v>
      </c>
      <c r="AG42" s="142" t="s">
        <v>2705</v>
      </c>
      <c r="AH42" s="142" t="s">
        <v>2705</v>
      </c>
      <c r="AI42" s="142" t="s">
        <v>2705</v>
      </c>
      <c r="AJ42" s="142" t="s">
        <v>2705</v>
      </c>
      <c r="AK42" s="142" t="s">
        <v>2705</v>
      </c>
      <c r="AL42" s="142" t="s">
        <v>2705</v>
      </c>
      <c r="AM42" s="142" t="s">
        <v>2705</v>
      </c>
      <c r="AN42" s="142" t="s">
        <v>2705</v>
      </c>
      <c r="AO42" s="142" t="s">
        <v>2397</v>
      </c>
      <c r="AP42" s="142" t="s">
        <v>2705</v>
      </c>
      <c r="AQ42" s="142" t="s">
        <v>2397</v>
      </c>
      <c r="AR42" s="142" t="s">
        <v>2705</v>
      </c>
      <c r="AS42" s="142" t="s">
        <v>2675</v>
      </c>
      <c r="AT42" s="142" t="s">
        <v>2705</v>
      </c>
      <c r="AU42" s="142" t="s">
        <v>2705</v>
      </c>
      <c r="AV42" s="142" t="s">
        <v>2705</v>
      </c>
      <c r="AW42" s="142" t="s">
        <v>1435</v>
      </c>
      <c r="AX42" s="142" t="s">
        <v>2705</v>
      </c>
      <c r="AY42" s="142" t="s">
        <v>2705</v>
      </c>
      <c r="AZ42" s="142" t="s">
        <v>2675</v>
      </c>
    </row>
    <row r="43" spans="1:52" s="142" customFormat="1" ht="12.75" x14ac:dyDescent="0.2">
      <c r="A43" s="151" t="s">
        <v>7338</v>
      </c>
      <c r="B43" s="152" t="s">
        <v>2705</v>
      </c>
      <c r="C43" s="152" t="s">
        <v>2705</v>
      </c>
      <c r="D43" s="152" t="s">
        <v>2705</v>
      </c>
      <c r="E43" s="152" t="s">
        <v>2705</v>
      </c>
      <c r="F43" s="152" t="s">
        <v>2705</v>
      </c>
      <c r="G43" s="152" t="s">
        <v>2705</v>
      </c>
      <c r="H43" s="152" t="s">
        <v>2705</v>
      </c>
      <c r="I43" s="152" t="s">
        <v>2398</v>
      </c>
      <c r="J43" s="152" t="s">
        <v>2398</v>
      </c>
      <c r="K43" s="152" t="s">
        <v>1435</v>
      </c>
      <c r="L43" s="152" t="s">
        <v>2705</v>
      </c>
      <c r="M43" s="152" t="s">
        <v>2398</v>
      </c>
      <c r="N43" s="152" t="s">
        <v>2675</v>
      </c>
      <c r="O43" s="152" t="s">
        <v>2398</v>
      </c>
      <c r="P43" s="152" t="s">
        <v>2397</v>
      </c>
      <c r="Q43" s="152" t="s">
        <v>2398</v>
      </c>
      <c r="R43" s="152" t="s">
        <v>2675</v>
      </c>
      <c r="S43" s="152" t="s">
        <v>2705</v>
      </c>
      <c r="T43" s="152" t="s">
        <v>2705</v>
      </c>
      <c r="U43" s="152" t="s">
        <v>1435</v>
      </c>
      <c r="V43" s="142" cm="1">
        <f t="array" ref="V43">IF(A43&lt;&gt;"",SUM(--(B43:U44 = "X")*$U$3,--(B43:U44 ="A")*$Q$3,--(B43:U44 ="B")*$R$3,--(B43:U44 ="C")*$S$3),"")</f>
        <v>15.5</v>
      </c>
      <c r="X43" s="437" t="s">
        <v>7351</v>
      </c>
      <c r="Y43" s="437">
        <v>26</v>
      </c>
      <c r="Z43" s="436">
        <f>_xlfn.XLOOKUP(answers[[#This Row],[StudentID]],$A$7:$A$1418,$V$7:$V$1418)</f>
        <v>26</v>
      </c>
      <c r="AF43" s="142" t="s">
        <v>7338</v>
      </c>
      <c r="AG43" s="142" t="s">
        <v>2705</v>
      </c>
      <c r="AH43" s="142" t="s">
        <v>2705</v>
      </c>
      <c r="AI43" s="142" t="s">
        <v>2705</v>
      </c>
      <c r="AJ43" s="142" t="s">
        <v>2705</v>
      </c>
      <c r="AK43" s="142" t="s">
        <v>2705</v>
      </c>
      <c r="AL43" s="142" t="s">
        <v>2705</v>
      </c>
      <c r="AM43" s="142" t="s">
        <v>2705</v>
      </c>
      <c r="AN43" s="142" t="s">
        <v>2398</v>
      </c>
      <c r="AO43" s="142" t="s">
        <v>2398</v>
      </c>
      <c r="AP43" s="142" t="s">
        <v>1435</v>
      </c>
      <c r="AQ43" s="142" t="s">
        <v>2705</v>
      </c>
      <c r="AR43" s="142" t="s">
        <v>2398</v>
      </c>
      <c r="AS43" s="142" t="s">
        <v>2675</v>
      </c>
      <c r="AT43" s="142" t="s">
        <v>2398</v>
      </c>
      <c r="AU43" s="142" t="s">
        <v>2397</v>
      </c>
      <c r="AV43" s="142" t="s">
        <v>2398</v>
      </c>
      <c r="AW43" s="142" t="s">
        <v>2675</v>
      </c>
      <c r="AX43" s="142" t="s">
        <v>2705</v>
      </c>
      <c r="AY43" s="142" t="s">
        <v>2705</v>
      </c>
      <c r="AZ43" s="142" t="s">
        <v>1435</v>
      </c>
    </row>
    <row r="44" spans="1:52" s="142" customFormat="1" ht="12.75" x14ac:dyDescent="0.2">
      <c r="A44" s="151"/>
      <c r="B44" s="152" t="s">
        <v>2398</v>
      </c>
      <c r="C44" s="152" t="s">
        <v>2705</v>
      </c>
      <c r="D44" s="152" t="s">
        <v>2675</v>
      </c>
      <c r="E44" s="152" t="s">
        <v>2705</v>
      </c>
      <c r="F44" s="152" t="s">
        <v>2397</v>
      </c>
      <c r="G44" s="152" t="s">
        <v>1435</v>
      </c>
      <c r="H44" s="152" t="s">
        <v>2675</v>
      </c>
      <c r="I44" s="152" t="s">
        <v>2705</v>
      </c>
      <c r="J44" s="152" t="s">
        <v>2705</v>
      </c>
      <c r="K44" s="152" t="s">
        <v>2675</v>
      </c>
      <c r="L44" s="152" t="s">
        <v>2397</v>
      </c>
      <c r="M44" s="152" t="s">
        <v>2398</v>
      </c>
      <c r="N44" s="152" t="s">
        <v>2705</v>
      </c>
      <c r="O44" s="152" t="s">
        <v>2705</v>
      </c>
      <c r="P44" s="152" t="s">
        <v>2705</v>
      </c>
      <c r="Q44" s="152" t="s">
        <v>1435</v>
      </c>
      <c r="R44" s="152" t="s">
        <v>2705</v>
      </c>
      <c r="S44" s="152" t="s">
        <v>2705</v>
      </c>
      <c r="T44" s="152" t="s">
        <v>2398</v>
      </c>
      <c r="U44" s="152" t="s">
        <v>2705</v>
      </c>
      <c r="V44" s="142" t="str" cm="1">
        <f t="array" ref="V44">IF(A44&lt;&gt;"",SUM(--(B44:U45 = "X")*$U$3,--(B44:U45 ="A")*$Q$3,--(B44:U45 ="B")*$R$3,--(B44:U45 ="C")*$S$3),"")</f>
        <v/>
      </c>
      <c r="X44" s="437" t="s">
        <v>7352</v>
      </c>
      <c r="Y44" s="437">
        <v>16.5</v>
      </c>
      <c r="Z44" s="436">
        <f>_xlfn.XLOOKUP(answers[[#This Row],[StudentID]],$A$7:$A$1418,$V$7:$V$1418)</f>
        <v>16.5</v>
      </c>
      <c r="AG44" s="142" t="s">
        <v>2398</v>
      </c>
      <c r="AH44" s="142" t="s">
        <v>2705</v>
      </c>
      <c r="AI44" s="142" t="s">
        <v>2675</v>
      </c>
      <c r="AJ44" s="142" t="s">
        <v>2705</v>
      </c>
      <c r="AK44" s="142" t="s">
        <v>2397</v>
      </c>
      <c r="AL44" s="142" t="s">
        <v>1435</v>
      </c>
      <c r="AM44" s="142" t="s">
        <v>2675</v>
      </c>
      <c r="AN44" s="142" t="s">
        <v>2705</v>
      </c>
      <c r="AO44" s="142" t="s">
        <v>2705</v>
      </c>
      <c r="AP44" s="142" t="s">
        <v>2675</v>
      </c>
      <c r="AQ44" s="142" t="s">
        <v>2397</v>
      </c>
      <c r="AR44" s="142" t="s">
        <v>2398</v>
      </c>
      <c r="AS44" s="142" t="s">
        <v>2705</v>
      </c>
      <c r="AT44" s="142" t="s">
        <v>2705</v>
      </c>
      <c r="AU44" s="142" t="s">
        <v>2705</v>
      </c>
      <c r="AV44" s="142" t="s">
        <v>1435</v>
      </c>
      <c r="AW44" s="142" t="s">
        <v>2705</v>
      </c>
      <c r="AX44" s="142" t="s">
        <v>2705</v>
      </c>
      <c r="AY44" s="142" t="s">
        <v>2398</v>
      </c>
      <c r="AZ44" s="142" t="s">
        <v>2705</v>
      </c>
    </row>
    <row r="45" spans="1:52" s="142" customFormat="1" ht="12.75" x14ac:dyDescent="0.2">
      <c r="A45" s="151" t="s">
        <v>7339</v>
      </c>
      <c r="B45" s="152" t="s">
        <v>2705</v>
      </c>
      <c r="C45" s="152" t="s">
        <v>2705</v>
      </c>
      <c r="D45" s="152" t="s">
        <v>2675</v>
      </c>
      <c r="E45" s="152" t="s">
        <v>2398</v>
      </c>
      <c r="F45" s="152" t="s">
        <v>2705</v>
      </c>
      <c r="G45" s="152" t="s">
        <v>2705</v>
      </c>
      <c r="H45" s="152" t="s">
        <v>2398</v>
      </c>
      <c r="I45" s="152" t="s">
        <v>2675</v>
      </c>
      <c r="J45" s="152" t="s">
        <v>2705</v>
      </c>
      <c r="K45" s="152" t="s">
        <v>2398</v>
      </c>
      <c r="L45" s="152" t="s">
        <v>2675</v>
      </c>
      <c r="M45" s="152" t="s">
        <v>2705</v>
      </c>
      <c r="N45" s="152" t="s">
        <v>2705</v>
      </c>
      <c r="O45" s="152" t="s">
        <v>2398</v>
      </c>
      <c r="P45" s="152" t="s">
        <v>2705</v>
      </c>
      <c r="Q45" s="152" t="s">
        <v>2705</v>
      </c>
      <c r="R45" s="152" t="s">
        <v>2705</v>
      </c>
      <c r="S45" s="152" t="s">
        <v>2705</v>
      </c>
      <c r="T45" s="152" t="s">
        <v>2398</v>
      </c>
      <c r="U45" s="152" t="s">
        <v>2397</v>
      </c>
      <c r="V45" s="142" cm="1">
        <f t="array" ref="V45">IF(A45&lt;&gt;"",SUM(--(B45:U46 = "X")*$U$3,--(B45:U46 ="A")*$Q$3,--(B45:U46 ="B")*$R$3,--(B45:U46 ="C")*$S$3),"")</f>
        <v>19.5</v>
      </c>
      <c r="X45" s="437" t="s">
        <v>7353</v>
      </c>
      <c r="Y45" s="437">
        <v>15.5</v>
      </c>
      <c r="Z45" s="436">
        <f>_xlfn.XLOOKUP(answers[[#This Row],[StudentID]],$A$7:$A$1418,$V$7:$V$1418)</f>
        <v>15.5</v>
      </c>
      <c r="AF45" s="142" t="s">
        <v>7339</v>
      </c>
      <c r="AG45" s="142" t="s">
        <v>2705</v>
      </c>
      <c r="AH45" s="142" t="s">
        <v>2705</v>
      </c>
      <c r="AI45" s="142" t="s">
        <v>2675</v>
      </c>
      <c r="AJ45" s="142" t="s">
        <v>2398</v>
      </c>
      <c r="AK45" s="142" t="s">
        <v>2705</v>
      </c>
      <c r="AL45" s="142" t="s">
        <v>2705</v>
      </c>
      <c r="AM45" s="142" t="s">
        <v>2398</v>
      </c>
      <c r="AN45" s="142" t="s">
        <v>2675</v>
      </c>
      <c r="AO45" s="142" t="s">
        <v>2705</v>
      </c>
      <c r="AP45" s="142" t="s">
        <v>2398</v>
      </c>
      <c r="AQ45" s="142" t="s">
        <v>2675</v>
      </c>
      <c r="AR45" s="142" t="s">
        <v>2705</v>
      </c>
      <c r="AS45" s="142" t="s">
        <v>2705</v>
      </c>
      <c r="AT45" s="142" t="s">
        <v>2398</v>
      </c>
      <c r="AU45" s="142" t="s">
        <v>2705</v>
      </c>
      <c r="AV45" s="142" t="s">
        <v>2705</v>
      </c>
      <c r="AW45" s="142" t="s">
        <v>2705</v>
      </c>
      <c r="AX45" s="142" t="s">
        <v>2705</v>
      </c>
      <c r="AY45" s="142" t="s">
        <v>2398</v>
      </c>
      <c r="AZ45" s="142" t="s">
        <v>2397</v>
      </c>
    </row>
    <row r="46" spans="1:52" s="142" customFormat="1" ht="12.75" x14ac:dyDescent="0.2">
      <c r="A46" s="151"/>
      <c r="B46" s="152" t="s">
        <v>2398</v>
      </c>
      <c r="C46" s="152" t="s">
        <v>2675</v>
      </c>
      <c r="D46" s="152" t="s">
        <v>1435</v>
      </c>
      <c r="E46" s="152" t="s">
        <v>2398</v>
      </c>
      <c r="F46" s="152" t="s">
        <v>2398</v>
      </c>
      <c r="G46" s="152" t="s">
        <v>2705</v>
      </c>
      <c r="H46" s="152" t="s">
        <v>2705</v>
      </c>
      <c r="I46" s="152" t="s">
        <v>2398</v>
      </c>
      <c r="J46" s="152" t="s">
        <v>2705</v>
      </c>
      <c r="K46" s="152" t="s">
        <v>2705</v>
      </c>
      <c r="L46" s="152" t="s">
        <v>2705</v>
      </c>
      <c r="M46" s="152" t="s">
        <v>2705</v>
      </c>
      <c r="N46" s="152" t="s">
        <v>2398</v>
      </c>
      <c r="O46" s="152" t="s">
        <v>2705</v>
      </c>
      <c r="P46" s="152" t="s">
        <v>2398</v>
      </c>
      <c r="Q46" s="152" t="s">
        <v>2705</v>
      </c>
      <c r="R46" s="152" t="s">
        <v>2398</v>
      </c>
      <c r="S46" s="152" t="s">
        <v>2705</v>
      </c>
      <c r="T46" s="152" t="s">
        <v>2705</v>
      </c>
      <c r="U46" s="152" t="s">
        <v>2705</v>
      </c>
      <c r="V46" s="142" t="str" cm="1">
        <f t="array" ref="V46">IF(A46&lt;&gt;"",SUM(--(B46:U47 = "X")*$U$3,--(B46:U47 ="A")*$Q$3,--(B46:U47 ="B")*$R$3,--(B46:U47 ="C")*$S$3),"")</f>
        <v/>
      </c>
      <c r="X46" s="437" t="s">
        <v>7354</v>
      </c>
      <c r="Y46" s="437">
        <v>34</v>
      </c>
      <c r="Z46" s="436">
        <f>_xlfn.XLOOKUP(answers[[#This Row],[StudentID]],$A$7:$A$1418,$V$7:$V$1418)</f>
        <v>34</v>
      </c>
      <c r="AG46" s="142" t="s">
        <v>2398</v>
      </c>
      <c r="AH46" s="142" t="s">
        <v>2675</v>
      </c>
      <c r="AI46" s="142" t="s">
        <v>1435</v>
      </c>
      <c r="AJ46" s="142" t="s">
        <v>2398</v>
      </c>
      <c r="AK46" s="142" t="s">
        <v>2398</v>
      </c>
      <c r="AL46" s="142" t="s">
        <v>2705</v>
      </c>
      <c r="AM46" s="142" t="s">
        <v>2705</v>
      </c>
      <c r="AN46" s="142" t="s">
        <v>2398</v>
      </c>
      <c r="AO46" s="142" t="s">
        <v>2705</v>
      </c>
      <c r="AP46" s="142" t="s">
        <v>2705</v>
      </c>
      <c r="AQ46" s="142" t="s">
        <v>2705</v>
      </c>
      <c r="AR46" s="142" t="s">
        <v>2705</v>
      </c>
      <c r="AS46" s="142" t="s">
        <v>2398</v>
      </c>
      <c r="AT46" s="142" t="s">
        <v>2705</v>
      </c>
      <c r="AU46" s="142" t="s">
        <v>2398</v>
      </c>
      <c r="AV46" s="142" t="s">
        <v>2705</v>
      </c>
      <c r="AW46" s="142" t="s">
        <v>2398</v>
      </c>
      <c r="AX46" s="142" t="s">
        <v>2705</v>
      </c>
      <c r="AY46" s="142" t="s">
        <v>2705</v>
      </c>
      <c r="AZ46" s="142" t="s">
        <v>2705</v>
      </c>
    </row>
    <row r="47" spans="1:52" s="142" customFormat="1" ht="12.75" x14ac:dyDescent="0.2">
      <c r="A47" s="151" t="s">
        <v>7340</v>
      </c>
      <c r="B47" s="152" t="s">
        <v>2705</v>
      </c>
      <c r="C47" s="152" t="s">
        <v>2705</v>
      </c>
      <c r="D47" s="152" t="s">
        <v>2705</v>
      </c>
      <c r="E47" s="152" t="s">
        <v>2705</v>
      </c>
      <c r="F47" s="152" t="s">
        <v>2398</v>
      </c>
      <c r="G47" s="152" t="s">
        <v>2398</v>
      </c>
      <c r="H47" s="152" t="s">
        <v>2705</v>
      </c>
      <c r="I47" s="152" t="s">
        <v>2398</v>
      </c>
      <c r="J47" s="152" t="s">
        <v>2675</v>
      </c>
      <c r="K47" s="152" t="s">
        <v>2398</v>
      </c>
      <c r="L47" s="152" t="s">
        <v>2398</v>
      </c>
      <c r="M47" s="152" t="s">
        <v>2398</v>
      </c>
      <c r="N47" s="152" t="s">
        <v>2705</v>
      </c>
      <c r="O47" s="152" t="s">
        <v>2705</v>
      </c>
      <c r="P47" s="152" t="s">
        <v>2705</v>
      </c>
      <c r="Q47" s="152" t="s">
        <v>2705</v>
      </c>
      <c r="R47" s="152" t="s">
        <v>2705</v>
      </c>
      <c r="S47" s="152" t="s">
        <v>2705</v>
      </c>
      <c r="T47" s="152" t="s">
        <v>2398</v>
      </c>
      <c r="U47" s="152" t="s">
        <v>2398</v>
      </c>
      <c r="V47" s="142" cm="1">
        <f t="array" ref="V47">IF(A47&lt;&gt;"",SUM(--(B47:U48 = "X")*$U$3,--(B47:U48 ="A")*$Q$3,--(B47:U48 ="B")*$R$3,--(B47:U48 ="C")*$S$3),"")</f>
        <v>20</v>
      </c>
      <c r="X47" s="437" t="s">
        <v>7355</v>
      </c>
      <c r="Y47" s="437">
        <v>12</v>
      </c>
      <c r="Z47" s="436">
        <f>_xlfn.XLOOKUP(answers[[#This Row],[StudentID]],$A$7:$A$1418,$V$7:$V$1418)</f>
        <v>12</v>
      </c>
      <c r="AF47" s="142" t="s">
        <v>7340</v>
      </c>
      <c r="AG47" s="142" t="s">
        <v>2705</v>
      </c>
      <c r="AH47" s="142" t="s">
        <v>2705</v>
      </c>
      <c r="AI47" s="142" t="s">
        <v>2705</v>
      </c>
      <c r="AJ47" s="142" t="s">
        <v>2705</v>
      </c>
      <c r="AK47" s="142" t="s">
        <v>2398</v>
      </c>
      <c r="AL47" s="142" t="s">
        <v>2398</v>
      </c>
      <c r="AM47" s="142" t="s">
        <v>2705</v>
      </c>
      <c r="AN47" s="142" t="s">
        <v>2398</v>
      </c>
      <c r="AO47" s="142" t="s">
        <v>2675</v>
      </c>
      <c r="AP47" s="142" t="s">
        <v>2398</v>
      </c>
      <c r="AQ47" s="142" t="s">
        <v>2398</v>
      </c>
      <c r="AR47" s="142" t="s">
        <v>2398</v>
      </c>
      <c r="AS47" s="142" t="s">
        <v>2705</v>
      </c>
      <c r="AT47" s="142" t="s">
        <v>2705</v>
      </c>
      <c r="AU47" s="142" t="s">
        <v>2705</v>
      </c>
      <c r="AV47" s="142" t="s">
        <v>2705</v>
      </c>
      <c r="AW47" s="142" t="s">
        <v>2705</v>
      </c>
      <c r="AX47" s="142" t="s">
        <v>2705</v>
      </c>
      <c r="AY47" s="142" t="s">
        <v>2398</v>
      </c>
      <c r="AZ47" s="142" t="s">
        <v>2398</v>
      </c>
    </row>
    <row r="48" spans="1:52" s="142" customFormat="1" ht="12.75" x14ac:dyDescent="0.2">
      <c r="A48" s="151"/>
      <c r="B48" s="152" t="s">
        <v>2398</v>
      </c>
      <c r="C48" s="152" t="s">
        <v>2398</v>
      </c>
      <c r="D48" s="152" t="s">
        <v>2398</v>
      </c>
      <c r="E48" s="152" t="s">
        <v>2398</v>
      </c>
      <c r="F48" s="152" t="s">
        <v>2398</v>
      </c>
      <c r="G48" s="152" t="s">
        <v>2705</v>
      </c>
      <c r="H48" s="152" t="s">
        <v>2705</v>
      </c>
      <c r="I48" s="152" t="s">
        <v>2398</v>
      </c>
      <c r="J48" s="152" t="s">
        <v>2398</v>
      </c>
      <c r="K48" s="152" t="s">
        <v>2705</v>
      </c>
      <c r="L48" s="152" t="s">
        <v>2705</v>
      </c>
      <c r="M48" s="152" t="s">
        <v>2705</v>
      </c>
      <c r="N48" s="152" t="s">
        <v>2705</v>
      </c>
      <c r="O48" s="152" t="s">
        <v>2705</v>
      </c>
      <c r="P48" s="152" t="s">
        <v>2398</v>
      </c>
      <c r="Q48" s="152" t="s">
        <v>2705</v>
      </c>
      <c r="R48" s="152" t="s">
        <v>1435</v>
      </c>
      <c r="S48" s="152" t="s">
        <v>2705</v>
      </c>
      <c r="T48" s="152" t="s">
        <v>2705</v>
      </c>
      <c r="U48" s="152" t="s">
        <v>2398</v>
      </c>
      <c r="V48" s="142" t="str" cm="1">
        <f t="array" ref="V48">IF(A48&lt;&gt;"",SUM(--(B48:U49 = "X")*$U$3,--(B48:U49 ="A")*$Q$3,--(B48:U49 ="B")*$R$3,--(B48:U49 ="C")*$S$3),"")</f>
        <v/>
      </c>
      <c r="X48" s="437" t="s">
        <v>7356</v>
      </c>
      <c r="Y48" s="437">
        <v>25</v>
      </c>
      <c r="Z48" s="436">
        <f>_xlfn.XLOOKUP(answers[[#This Row],[StudentID]],$A$7:$A$1418,$V$7:$V$1418)</f>
        <v>25</v>
      </c>
      <c r="AG48" s="142" t="s">
        <v>2398</v>
      </c>
      <c r="AH48" s="142" t="s">
        <v>2398</v>
      </c>
      <c r="AI48" s="142" t="s">
        <v>2398</v>
      </c>
      <c r="AJ48" s="142" t="s">
        <v>2398</v>
      </c>
      <c r="AK48" s="142" t="s">
        <v>2398</v>
      </c>
      <c r="AL48" s="142" t="s">
        <v>2705</v>
      </c>
      <c r="AM48" s="142" t="s">
        <v>2705</v>
      </c>
      <c r="AN48" s="142" t="s">
        <v>2398</v>
      </c>
      <c r="AO48" s="142" t="s">
        <v>2398</v>
      </c>
      <c r="AP48" s="142" t="s">
        <v>2705</v>
      </c>
      <c r="AQ48" s="142" t="s">
        <v>2705</v>
      </c>
      <c r="AR48" s="142" t="s">
        <v>2705</v>
      </c>
      <c r="AS48" s="142" t="s">
        <v>2705</v>
      </c>
      <c r="AT48" s="142" t="s">
        <v>2705</v>
      </c>
      <c r="AU48" s="142" t="s">
        <v>2398</v>
      </c>
      <c r="AV48" s="142" t="s">
        <v>2705</v>
      </c>
      <c r="AW48" s="142" t="s">
        <v>1435</v>
      </c>
      <c r="AX48" s="142" t="s">
        <v>2705</v>
      </c>
      <c r="AY48" s="142" t="s">
        <v>2705</v>
      </c>
      <c r="AZ48" s="142" t="s">
        <v>2398</v>
      </c>
    </row>
    <row r="49" spans="1:52" s="142" customFormat="1" ht="12.75" x14ac:dyDescent="0.2">
      <c r="A49" s="151" t="s">
        <v>7341</v>
      </c>
      <c r="B49" s="152" t="s">
        <v>2675</v>
      </c>
      <c r="C49" s="152" t="s">
        <v>1435</v>
      </c>
      <c r="D49" s="152" t="s">
        <v>2705</v>
      </c>
      <c r="E49" s="152" t="s">
        <v>2398</v>
      </c>
      <c r="F49" s="152" t="s">
        <v>2398</v>
      </c>
      <c r="G49" s="152" t="s">
        <v>2705</v>
      </c>
      <c r="H49" s="152" t="s">
        <v>1435</v>
      </c>
      <c r="I49" s="152" t="s">
        <v>2675</v>
      </c>
      <c r="J49" s="152" t="s">
        <v>2675</v>
      </c>
      <c r="K49" s="152" t="s">
        <v>2705</v>
      </c>
      <c r="L49" s="152" t="s">
        <v>2398</v>
      </c>
      <c r="M49" s="152" t="s">
        <v>2705</v>
      </c>
      <c r="N49" s="152" t="s">
        <v>2705</v>
      </c>
      <c r="O49" s="152" t="s">
        <v>2705</v>
      </c>
      <c r="P49" s="152" t="s">
        <v>2705</v>
      </c>
      <c r="Q49" s="152" t="s">
        <v>2705</v>
      </c>
      <c r="R49" s="152" t="s">
        <v>2705</v>
      </c>
      <c r="S49" s="152" t="s">
        <v>2705</v>
      </c>
      <c r="T49" s="152" t="s">
        <v>2705</v>
      </c>
      <c r="U49" s="152" t="s">
        <v>2705</v>
      </c>
      <c r="V49" s="142" cm="1">
        <f t="array" ref="V49">IF(A49&lt;&gt;"",SUM(--(B49:U50 = "X")*$U$3,--(B49:U50 ="A")*$Q$3,--(B49:U50 ="B")*$R$3,--(B49:U50 ="C")*$S$3),"")</f>
        <v>16.5</v>
      </c>
      <c r="X49" s="437" t="s">
        <v>7357</v>
      </c>
      <c r="Y49" s="437">
        <v>16</v>
      </c>
      <c r="Z49" s="436">
        <f>_xlfn.XLOOKUP(answers[[#This Row],[StudentID]],$A$7:$A$1418,$V$7:$V$1418)</f>
        <v>16</v>
      </c>
      <c r="AF49" s="142" t="s">
        <v>7341</v>
      </c>
      <c r="AG49" s="142" t="s">
        <v>2675</v>
      </c>
      <c r="AH49" s="142" t="s">
        <v>1435</v>
      </c>
      <c r="AI49" s="142" t="s">
        <v>2705</v>
      </c>
      <c r="AJ49" s="142" t="s">
        <v>2398</v>
      </c>
      <c r="AK49" s="142" t="s">
        <v>2398</v>
      </c>
      <c r="AL49" s="142" t="s">
        <v>2705</v>
      </c>
      <c r="AM49" s="142" t="s">
        <v>1435</v>
      </c>
      <c r="AN49" s="142" t="s">
        <v>2675</v>
      </c>
      <c r="AO49" s="142" t="s">
        <v>2675</v>
      </c>
      <c r="AP49" s="142" t="s">
        <v>2705</v>
      </c>
      <c r="AQ49" s="142" t="s">
        <v>2398</v>
      </c>
      <c r="AR49" s="142" t="s">
        <v>2705</v>
      </c>
      <c r="AS49" s="142" t="s">
        <v>2705</v>
      </c>
      <c r="AT49" s="142" t="s">
        <v>2705</v>
      </c>
      <c r="AU49" s="142" t="s">
        <v>2705</v>
      </c>
      <c r="AV49" s="142" t="s">
        <v>2705</v>
      </c>
      <c r="AW49" s="142" t="s">
        <v>2705</v>
      </c>
      <c r="AX49" s="142" t="s">
        <v>2705</v>
      </c>
      <c r="AY49" s="142" t="s">
        <v>2705</v>
      </c>
      <c r="AZ49" s="142" t="s">
        <v>2705</v>
      </c>
    </row>
    <row r="50" spans="1:52" s="142" customFormat="1" ht="12.75" x14ac:dyDescent="0.2">
      <c r="A50" s="151"/>
      <c r="B50" s="152" t="s">
        <v>2675</v>
      </c>
      <c r="C50" s="152" t="s">
        <v>2398</v>
      </c>
      <c r="D50" s="152" t="s">
        <v>2398</v>
      </c>
      <c r="E50" s="152" t="s">
        <v>2398</v>
      </c>
      <c r="F50" s="152" t="s">
        <v>2397</v>
      </c>
      <c r="G50" s="152" t="s">
        <v>2705</v>
      </c>
      <c r="H50" s="152" t="s">
        <v>2398</v>
      </c>
      <c r="I50" s="152" t="s">
        <v>2705</v>
      </c>
      <c r="J50" s="152" t="s">
        <v>2398</v>
      </c>
      <c r="K50" s="152" t="s">
        <v>2398</v>
      </c>
      <c r="L50" s="152" t="s">
        <v>2398</v>
      </c>
      <c r="M50" s="152" t="s">
        <v>2397</v>
      </c>
      <c r="N50" s="152" t="s">
        <v>2705</v>
      </c>
      <c r="O50" s="152" t="s">
        <v>2705</v>
      </c>
      <c r="P50" s="152" t="s">
        <v>2675</v>
      </c>
      <c r="Q50" s="152" t="s">
        <v>2705</v>
      </c>
      <c r="R50" s="152" t="s">
        <v>2705</v>
      </c>
      <c r="S50" s="152" t="s">
        <v>2705</v>
      </c>
      <c r="T50" s="152" t="s">
        <v>2398</v>
      </c>
      <c r="U50" s="152" t="s">
        <v>2705</v>
      </c>
      <c r="V50" s="142" t="str" cm="1">
        <f t="array" ref="V50">IF(A50&lt;&gt;"",SUM(--(B50:U51 = "X")*$U$3,--(B50:U51 ="A")*$Q$3,--(B50:U51 ="B")*$R$3,--(B50:U51 ="C")*$S$3),"")</f>
        <v/>
      </c>
      <c r="X50" s="437" t="s">
        <v>7358</v>
      </c>
      <c r="Y50" s="437">
        <v>28</v>
      </c>
      <c r="Z50" s="436">
        <f>_xlfn.XLOOKUP(answers[[#This Row],[StudentID]],$A$7:$A$1418,$V$7:$V$1418)</f>
        <v>28</v>
      </c>
      <c r="AG50" s="142" t="s">
        <v>2675</v>
      </c>
      <c r="AH50" s="142" t="s">
        <v>2398</v>
      </c>
      <c r="AI50" s="142" t="s">
        <v>2398</v>
      </c>
      <c r="AJ50" s="142" t="s">
        <v>2398</v>
      </c>
      <c r="AK50" s="142" t="s">
        <v>2397</v>
      </c>
      <c r="AL50" s="142" t="s">
        <v>2705</v>
      </c>
      <c r="AM50" s="142" t="s">
        <v>2398</v>
      </c>
      <c r="AN50" s="142" t="s">
        <v>2705</v>
      </c>
      <c r="AO50" s="142" t="s">
        <v>2398</v>
      </c>
      <c r="AP50" s="142" t="s">
        <v>2398</v>
      </c>
      <c r="AQ50" s="142" t="s">
        <v>2398</v>
      </c>
      <c r="AR50" s="142" t="s">
        <v>2397</v>
      </c>
      <c r="AS50" s="142" t="s">
        <v>2705</v>
      </c>
      <c r="AT50" s="142" t="s">
        <v>2705</v>
      </c>
      <c r="AU50" s="142" t="s">
        <v>2675</v>
      </c>
      <c r="AV50" s="142" t="s">
        <v>2705</v>
      </c>
      <c r="AW50" s="142" t="s">
        <v>2705</v>
      </c>
      <c r="AX50" s="142" t="s">
        <v>2705</v>
      </c>
      <c r="AY50" s="142" t="s">
        <v>2398</v>
      </c>
      <c r="AZ50" s="142" t="s">
        <v>2705</v>
      </c>
    </row>
    <row r="51" spans="1:52" s="142" customFormat="1" ht="12.75" x14ac:dyDescent="0.2">
      <c r="A51" s="151" t="s">
        <v>7342</v>
      </c>
      <c r="B51" s="152" t="s">
        <v>2705</v>
      </c>
      <c r="C51" s="152" t="s">
        <v>2398</v>
      </c>
      <c r="D51" s="152" t="s">
        <v>2705</v>
      </c>
      <c r="E51" s="152" t="s">
        <v>1435</v>
      </c>
      <c r="F51" s="152" t="s">
        <v>2705</v>
      </c>
      <c r="G51" s="152" t="s">
        <v>2705</v>
      </c>
      <c r="H51" s="152" t="s">
        <v>2705</v>
      </c>
      <c r="I51" s="152" t="s">
        <v>2705</v>
      </c>
      <c r="J51" s="152" t="s">
        <v>2705</v>
      </c>
      <c r="K51" s="152" t="s">
        <v>2705</v>
      </c>
      <c r="L51" s="152" t="s">
        <v>2398</v>
      </c>
      <c r="M51" s="152" t="s">
        <v>2705</v>
      </c>
      <c r="N51" s="152" t="s">
        <v>2705</v>
      </c>
      <c r="O51" s="152" t="s">
        <v>2398</v>
      </c>
      <c r="P51" s="152" t="s">
        <v>2675</v>
      </c>
      <c r="Q51" s="152" t="s">
        <v>2705</v>
      </c>
      <c r="R51" s="152" t="s">
        <v>2705</v>
      </c>
      <c r="S51" s="152" t="s">
        <v>2705</v>
      </c>
      <c r="T51" s="152" t="s">
        <v>2705</v>
      </c>
      <c r="U51" s="152" t="s">
        <v>2398</v>
      </c>
      <c r="V51" s="142" cm="1">
        <f t="array" ref="V51">IF(A51&lt;&gt;"",SUM(--(B51:U52 = "X")*$U$3,--(B51:U52 ="A")*$Q$3,--(B51:U52 ="B")*$R$3,--(B51:U52 ="C")*$S$3),"")</f>
        <v>25</v>
      </c>
      <c r="X51" s="437" t="s">
        <v>7359</v>
      </c>
      <c r="Y51" s="437">
        <v>21.5</v>
      </c>
      <c r="Z51" s="436">
        <f>_xlfn.XLOOKUP(answers[[#This Row],[StudentID]],$A$7:$A$1418,$V$7:$V$1418)</f>
        <v>21.5</v>
      </c>
      <c r="AF51" s="142" t="s">
        <v>7342</v>
      </c>
      <c r="AG51" s="142" t="s">
        <v>2705</v>
      </c>
      <c r="AH51" s="142" t="s">
        <v>2398</v>
      </c>
      <c r="AI51" s="142" t="s">
        <v>2705</v>
      </c>
      <c r="AJ51" s="142" t="s">
        <v>1435</v>
      </c>
      <c r="AK51" s="142" t="s">
        <v>2705</v>
      </c>
      <c r="AL51" s="142" t="s">
        <v>2705</v>
      </c>
      <c r="AM51" s="142" t="s">
        <v>2705</v>
      </c>
      <c r="AN51" s="142" t="s">
        <v>2705</v>
      </c>
      <c r="AO51" s="142" t="s">
        <v>2705</v>
      </c>
      <c r="AP51" s="142" t="s">
        <v>2705</v>
      </c>
      <c r="AQ51" s="142" t="s">
        <v>2398</v>
      </c>
      <c r="AR51" s="142" t="s">
        <v>2705</v>
      </c>
      <c r="AS51" s="142" t="s">
        <v>2705</v>
      </c>
      <c r="AT51" s="142" t="s">
        <v>2398</v>
      </c>
      <c r="AU51" s="142" t="s">
        <v>2675</v>
      </c>
      <c r="AV51" s="142" t="s">
        <v>2705</v>
      </c>
      <c r="AW51" s="142" t="s">
        <v>2705</v>
      </c>
      <c r="AX51" s="142" t="s">
        <v>2705</v>
      </c>
      <c r="AY51" s="142" t="s">
        <v>2705</v>
      </c>
      <c r="AZ51" s="142" t="s">
        <v>2398</v>
      </c>
    </row>
    <row r="52" spans="1:52" s="142" customFormat="1" ht="12.75" x14ac:dyDescent="0.2">
      <c r="A52" s="151"/>
      <c r="B52" s="152" t="s">
        <v>2398</v>
      </c>
      <c r="C52" s="152" t="s">
        <v>2705</v>
      </c>
      <c r="D52" s="152" t="s">
        <v>2705</v>
      </c>
      <c r="E52" s="152" t="s">
        <v>2705</v>
      </c>
      <c r="F52" s="152" t="s">
        <v>2705</v>
      </c>
      <c r="G52" s="152" t="s">
        <v>2398</v>
      </c>
      <c r="H52" s="152" t="s">
        <v>2398</v>
      </c>
      <c r="I52" s="152" t="s">
        <v>2705</v>
      </c>
      <c r="J52" s="152" t="s">
        <v>2705</v>
      </c>
      <c r="K52" s="152" t="s">
        <v>2705</v>
      </c>
      <c r="L52" s="152" t="s">
        <v>2398</v>
      </c>
      <c r="M52" s="152" t="s">
        <v>2398</v>
      </c>
      <c r="N52" s="152" t="s">
        <v>2398</v>
      </c>
      <c r="O52" s="152" t="s">
        <v>2705</v>
      </c>
      <c r="P52" s="152" t="s">
        <v>2705</v>
      </c>
      <c r="Q52" s="152" t="s">
        <v>2705</v>
      </c>
      <c r="R52" s="152" t="s">
        <v>2398</v>
      </c>
      <c r="S52" s="152" t="s">
        <v>2705</v>
      </c>
      <c r="T52" s="152" t="s">
        <v>2398</v>
      </c>
      <c r="U52" s="152" t="s">
        <v>2705</v>
      </c>
      <c r="V52" s="142" t="str" cm="1">
        <f t="array" ref="V52">IF(A52&lt;&gt;"",SUM(--(B52:U53 = "X")*$U$3,--(B52:U53 ="A")*$Q$3,--(B52:U53 ="B")*$R$3,--(B52:U53 ="C")*$S$3),"")</f>
        <v/>
      </c>
      <c r="X52" s="437" t="s">
        <v>7360</v>
      </c>
      <c r="Y52" s="437">
        <v>22</v>
      </c>
      <c r="Z52" s="436">
        <f>_xlfn.XLOOKUP(answers[[#This Row],[StudentID]],$A$7:$A$1418,$V$7:$V$1418)</f>
        <v>22</v>
      </c>
      <c r="AG52" s="142" t="s">
        <v>2398</v>
      </c>
      <c r="AH52" s="142" t="s">
        <v>2705</v>
      </c>
      <c r="AI52" s="142" t="s">
        <v>2705</v>
      </c>
      <c r="AJ52" s="142" t="s">
        <v>2705</v>
      </c>
      <c r="AK52" s="142" t="s">
        <v>2705</v>
      </c>
      <c r="AL52" s="142" t="s">
        <v>2398</v>
      </c>
      <c r="AM52" s="142" t="s">
        <v>2398</v>
      </c>
      <c r="AN52" s="142" t="s">
        <v>2705</v>
      </c>
      <c r="AO52" s="142" t="s">
        <v>2705</v>
      </c>
      <c r="AP52" s="142" t="s">
        <v>2705</v>
      </c>
      <c r="AQ52" s="142" t="s">
        <v>2398</v>
      </c>
      <c r="AR52" s="142" t="s">
        <v>2398</v>
      </c>
      <c r="AS52" s="142" t="s">
        <v>2398</v>
      </c>
      <c r="AT52" s="142" t="s">
        <v>2705</v>
      </c>
      <c r="AU52" s="142" t="s">
        <v>2705</v>
      </c>
      <c r="AV52" s="142" t="s">
        <v>2705</v>
      </c>
      <c r="AW52" s="142" t="s">
        <v>2398</v>
      </c>
      <c r="AX52" s="142" t="s">
        <v>2705</v>
      </c>
      <c r="AY52" s="142" t="s">
        <v>2398</v>
      </c>
      <c r="AZ52" s="142" t="s">
        <v>2705</v>
      </c>
    </row>
    <row r="53" spans="1:52" s="142" customFormat="1" ht="12.75" x14ac:dyDescent="0.2">
      <c r="A53" s="151" t="s">
        <v>7343</v>
      </c>
      <c r="B53" s="152" t="s">
        <v>2705</v>
      </c>
      <c r="C53" s="152" t="s">
        <v>2705</v>
      </c>
      <c r="D53" s="152" t="s">
        <v>2705</v>
      </c>
      <c r="E53" s="152" t="s">
        <v>2398</v>
      </c>
      <c r="F53" s="152" t="s">
        <v>2398</v>
      </c>
      <c r="G53" s="152" t="s">
        <v>2705</v>
      </c>
      <c r="H53" s="152" t="s">
        <v>2705</v>
      </c>
      <c r="I53" s="152" t="s">
        <v>2705</v>
      </c>
      <c r="J53" s="152" t="s">
        <v>2705</v>
      </c>
      <c r="K53" s="152" t="s">
        <v>1435</v>
      </c>
      <c r="L53" s="152" t="s">
        <v>2705</v>
      </c>
      <c r="M53" s="152" t="s">
        <v>2398</v>
      </c>
      <c r="N53" s="152" t="s">
        <v>2398</v>
      </c>
      <c r="O53" s="152" t="s">
        <v>2705</v>
      </c>
      <c r="P53" s="152" t="s">
        <v>2398</v>
      </c>
      <c r="Q53" s="152" t="s">
        <v>2705</v>
      </c>
      <c r="R53" s="152" t="s">
        <v>2398</v>
      </c>
      <c r="S53" s="152" t="s">
        <v>2705</v>
      </c>
      <c r="T53" s="152" t="s">
        <v>2705</v>
      </c>
      <c r="U53" s="152" t="s">
        <v>2705</v>
      </c>
      <c r="V53" s="142" cm="1">
        <f t="array" ref="V53">IF(A53&lt;&gt;"",SUM(--(B53:U54 = "X")*$U$3,--(B53:U54 ="A")*$Q$3,--(B53:U54 ="B")*$R$3,--(B53:U54 ="C")*$S$3),"")</f>
        <v>21</v>
      </c>
      <c r="X53" s="437" t="s">
        <v>7361</v>
      </c>
      <c r="Y53" s="437">
        <v>19</v>
      </c>
      <c r="Z53" s="436">
        <f>_xlfn.XLOOKUP(answers[[#This Row],[StudentID]],$A$7:$A$1418,$V$7:$V$1418)</f>
        <v>19</v>
      </c>
      <c r="AF53" s="142" t="s">
        <v>7343</v>
      </c>
      <c r="AG53" s="142" t="s">
        <v>2705</v>
      </c>
      <c r="AH53" s="142" t="s">
        <v>2705</v>
      </c>
      <c r="AI53" s="142" t="s">
        <v>2705</v>
      </c>
      <c r="AJ53" s="142" t="s">
        <v>2398</v>
      </c>
      <c r="AK53" s="142" t="s">
        <v>2398</v>
      </c>
      <c r="AL53" s="142" t="s">
        <v>2705</v>
      </c>
      <c r="AM53" s="142" t="s">
        <v>2705</v>
      </c>
      <c r="AN53" s="142" t="s">
        <v>2705</v>
      </c>
      <c r="AO53" s="142" t="s">
        <v>2705</v>
      </c>
      <c r="AP53" s="142" t="s">
        <v>1435</v>
      </c>
      <c r="AQ53" s="142" t="s">
        <v>2705</v>
      </c>
      <c r="AR53" s="142" t="s">
        <v>2398</v>
      </c>
      <c r="AS53" s="142" t="s">
        <v>2398</v>
      </c>
      <c r="AT53" s="142" t="s">
        <v>2705</v>
      </c>
      <c r="AU53" s="142" t="s">
        <v>2398</v>
      </c>
      <c r="AV53" s="142" t="s">
        <v>2705</v>
      </c>
      <c r="AW53" s="142" t="s">
        <v>2398</v>
      </c>
      <c r="AX53" s="142" t="s">
        <v>2705</v>
      </c>
      <c r="AY53" s="142" t="s">
        <v>2705</v>
      </c>
      <c r="AZ53" s="142" t="s">
        <v>2705</v>
      </c>
    </row>
    <row r="54" spans="1:52" s="142" customFormat="1" ht="12.75" x14ac:dyDescent="0.2">
      <c r="A54" s="151"/>
      <c r="B54" s="152" t="s">
        <v>2705</v>
      </c>
      <c r="C54" s="152" t="s">
        <v>2705</v>
      </c>
      <c r="D54" s="152" t="s">
        <v>2398</v>
      </c>
      <c r="E54" s="152" t="s">
        <v>2705</v>
      </c>
      <c r="F54" s="152" t="s">
        <v>2705</v>
      </c>
      <c r="G54" s="152" t="s">
        <v>2675</v>
      </c>
      <c r="H54" s="152" t="s">
        <v>2705</v>
      </c>
      <c r="I54" s="152" t="s">
        <v>2705</v>
      </c>
      <c r="J54" s="152" t="s">
        <v>2398</v>
      </c>
      <c r="K54" s="152" t="s">
        <v>2705</v>
      </c>
      <c r="L54" s="152" t="s">
        <v>2398</v>
      </c>
      <c r="M54" s="152" t="s">
        <v>2397</v>
      </c>
      <c r="N54" s="152" t="s">
        <v>2705</v>
      </c>
      <c r="O54" s="152" t="s">
        <v>2398</v>
      </c>
      <c r="P54" s="152" t="s">
        <v>2398</v>
      </c>
      <c r="Q54" s="152" t="s">
        <v>2398</v>
      </c>
      <c r="R54" s="152" t="s">
        <v>2398</v>
      </c>
      <c r="S54" s="152" t="s">
        <v>2705</v>
      </c>
      <c r="T54" s="152" t="s">
        <v>2397</v>
      </c>
      <c r="U54" s="152" t="s">
        <v>2398</v>
      </c>
      <c r="V54" s="142" t="str" cm="1">
        <f t="array" ref="V54">IF(A54&lt;&gt;"",SUM(--(B54:U55 = "X")*$U$3,--(B54:U55 ="A")*$Q$3,--(B54:U55 ="B")*$R$3,--(B54:U55 ="C")*$S$3),"")</f>
        <v/>
      </c>
      <c r="X54" s="437" t="s">
        <v>7362</v>
      </c>
      <c r="Y54" s="437">
        <v>21.5</v>
      </c>
      <c r="Z54" s="436">
        <f>_xlfn.XLOOKUP(answers[[#This Row],[StudentID]],$A$7:$A$1418,$V$7:$V$1418)</f>
        <v>21.5</v>
      </c>
      <c r="AG54" s="142" t="s">
        <v>2705</v>
      </c>
      <c r="AH54" s="142" t="s">
        <v>2705</v>
      </c>
      <c r="AI54" s="142" t="s">
        <v>2398</v>
      </c>
      <c r="AJ54" s="142" t="s">
        <v>2705</v>
      </c>
      <c r="AK54" s="142" t="s">
        <v>2705</v>
      </c>
      <c r="AL54" s="142" t="s">
        <v>2675</v>
      </c>
      <c r="AM54" s="142" t="s">
        <v>2705</v>
      </c>
      <c r="AN54" s="142" t="s">
        <v>2705</v>
      </c>
      <c r="AO54" s="142" t="s">
        <v>2398</v>
      </c>
      <c r="AP54" s="142" t="s">
        <v>2705</v>
      </c>
      <c r="AQ54" s="142" t="s">
        <v>2398</v>
      </c>
      <c r="AR54" s="142" t="s">
        <v>2397</v>
      </c>
      <c r="AS54" s="142" t="s">
        <v>2705</v>
      </c>
      <c r="AT54" s="142" t="s">
        <v>2398</v>
      </c>
      <c r="AU54" s="142" t="s">
        <v>2398</v>
      </c>
      <c r="AV54" s="142" t="s">
        <v>2398</v>
      </c>
      <c r="AW54" s="142" t="s">
        <v>2398</v>
      </c>
      <c r="AX54" s="142" t="s">
        <v>2705</v>
      </c>
      <c r="AY54" s="142" t="s">
        <v>2397</v>
      </c>
      <c r="AZ54" s="142" t="s">
        <v>2398</v>
      </c>
    </row>
    <row r="55" spans="1:52" s="142" customFormat="1" ht="12.75" x14ac:dyDescent="0.2">
      <c r="A55" s="151" t="s">
        <v>7344</v>
      </c>
      <c r="B55" s="152" t="s">
        <v>2398</v>
      </c>
      <c r="C55" s="152" t="s">
        <v>2675</v>
      </c>
      <c r="D55" s="152" t="s">
        <v>2398</v>
      </c>
      <c r="E55" s="152" t="s">
        <v>2398</v>
      </c>
      <c r="F55" s="152" t="s">
        <v>2398</v>
      </c>
      <c r="G55" s="152" t="s">
        <v>2705</v>
      </c>
      <c r="H55" s="152" t="s">
        <v>2398</v>
      </c>
      <c r="I55" s="152" t="s">
        <v>2705</v>
      </c>
      <c r="J55" s="152" t="s">
        <v>2705</v>
      </c>
      <c r="K55" s="152" t="s">
        <v>2705</v>
      </c>
      <c r="L55" s="152" t="s">
        <v>2705</v>
      </c>
      <c r="M55" s="152" t="s">
        <v>2705</v>
      </c>
      <c r="N55" s="152" t="s">
        <v>2398</v>
      </c>
      <c r="O55" s="152" t="s">
        <v>2705</v>
      </c>
      <c r="P55" s="152" t="s">
        <v>2398</v>
      </c>
      <c r="Q55" s="152" t="s">
        <v>2675</v>
      </c>
      <c r="R55" s="152" t="s">
        <v>2398</v>
      </c>
      <c r="S55" s="152" t="s">
        <v>2398</v>
      </c>
      <c r="T55" s="152" t="s">
        <v>2398</v>
      </c>
      <c r="U55" s="152" t="s">
        <v>2398</v>
      </c>
      <c r="V55" s="142" cm="1">
        <f t="array" ref="V55">IF(A55&lt;&gt;"",SUM(--(B55:U56 = "X")*$U$3,--(B55:U56 ="A")*$Q$3,--(B55:U56 ="B")*$R$3,--(B55:U56 ="C")*$S$3),"")</f>
        <v>15.5</v>
      </c>
      <c r="X55" s="437" t="s">
        <v>7363</v>
      </c>
      <c r="Y55" s="437">
        <v>15.5</v>
      </c>
      <c r="Z55" s="436">
        <f>_xlfn.XLOOKUP(answers[[#This Row],[StudentID]],$A$7:$A$1418,$V$7:$V$1418)</f>
        <v>15.5</v>
      </c>
      <c r="AF55" s="142" t="s">
        <v>7344</v>
      </c>
      <c r="AG55" s="142" t="s">
        <v>2398</v>
      </c>
      <c r="AH55" s="142" t="s">
        <v>2675</v>
      </c>
      <c r="AI55" s="142" t="s">
        <v>2398</v>
      </c>
      <c r="AJ55" s="142" t="s">
        <v>2398</v>
      </c>
      <c r="AK55" s="142" t="s">
        <v>2398</v>
      </c>
      <c r="AL55" s="142" t="s">
        <v>2705</v>
      </c>
      <c r="AM55" s="142" t="s">
        <v>2398</v>
      </c>
      <c r="AN55" s="142" t="s">
        <v>2705</v>
      </c>
      <c r="AO55" s="142" t="s">
        <v>2705</v>
      </c>
      <c r="AP55" s="142" t="s">
        <v>2705</v>
      </c>
      <c r="AQ55" s="142" t="s">
        <v>2705</v>
      </c>
      <c r="AR55" s="142" t="s">
        <v>2705</v>
      </c>
      <c r="AS55" s="142" t="s">
        <v>2398</v>
      </c>
      <c r="AT55" s="142" t="s">
        <v>2705</v>
      </c>
      <c r="AU55" s="142" t="s">
        <v>2398</v>
      </c>
      <c r="AV55" s="142" t="s">
        <v>2675</v>
      </c>
      <c r="AW55" s="142" t="s">
        <v>2398</v>
      </c>
      <c r="AX55" s="142" t="s">
        <v>2398</v>
      </c>
      <c r="AY55" s="142" t="s">
        <v>2398</v>
      </c>
      <c r="AZ55" s="142" t="s">
        <v>2398</v>
      </c>
    </row>
    <row r="56" spans="1:52" s="142" customFormat="1" ht="12.75" x14ac:dyDescent="0.2">
      <c r="A56" s="151"/>
      <c r="B56" s="152" t="s">
        <v>2705</v>
      </c>
      <c r="C56" s="152" t="s">
        <v>2705</v>
      </c>
      <c r="D56" s="152" t="s">
        <v>2705</v>
      </c>
      <c r="E56" s="152" t="s">
        <v>2398</v>
      </c>
      <c r="F56" s="152" t="s">
        <v>2398</v>
      </c>
      <c r="G56" s="152" t="s">
        <v>2398</v>
      </c>
      <c r="H56" s="152" t="s">
        <v>2398</v>
      </c>
      <c r="I56" s="152" t="s">
        <v>2705</v>
      </c>
      <c r="J56" s="152" t="s">
        <v>2705</v>
      </c>
      <c r="K56" s="152" t="s">
        <v>2398</v>
      </c>
      <c r="L56" s="152" t="s">
        <v>2705</v>
      </c>
      <c r="M56" s="152" t="s">
        <v>2705</v>
      </c>
      <c r="N56" s="152" t="s">
        <v>2398</v>
      </c>
      <c r="O56" s="152" t="s">
        <v>2705</v>
      </c>
      <c r="P56" s="152" t="s">
        <v>2705</v>
      </c>
      <c r="Q56" s="152" t="s">
        <v>2705</v>
      </c>
      <c r="R56" s="152" t="s">
        <v>1435</v>
      </c>
      <c r="S56" s="152" t="s">
        <v>2398</v>
      </c>
      <c r="T56" s="152" t="s">
        <v>2398</v>
      </c>
      <c r="U56" s="152" t="s">
        <v>2398</v>
      </c>
      <c r="V56" s="142" t="str" cm="1">
        <f t="array" ref="V56">IF(A56&lt;&gt;"",SUM(--(B56:U57 = "X")*$U$3,--(B56:U57 ="A")*$Q$3,--(B56:U57 ="B")*$R$3,--(B56:U57 ="C")*$S$3),"")</f>
        <v/>
      </c>
      <c r="X56" s="437" t="s">
        <v>7364</v>
      </c>
      <c r="Y56" s="437">
        <v>15</v>
      </c>
      <c r="Z56" s="436">
        <f>_xlfn.XLOOKUP(answers[[#This Row],[StudentID]],$A$7:$A$1418,$V$7:$V$1418)</f>
        <v>15</v>
      </c>
      <c r="AG56" s="142" t="s">
        <v>2705</v>
      </c>
      <c r="AH56" s="142" t="s">
        <v>2705</v>
      </c>
      <c r="AI56" s="142" t="s">
        <v>2705</v>
      </c>
      <c r="AJ56" s="142" t="s">
        <v>2398</v>
      </c>
      <c r="AK56" s="142" t="s">
        <v>2398</v>
      </c>
      <c r="AL56" s="142" t="s">
        <v>2398</v>
      </c>
      <c r="AM56" s="142" t="s">
        <v>2398</v>
      </c>
      <c r="AN56" s="142" t="s">
        <v>2705</v>
      </c>
      <c r="AO56" s="142" t="s">
        <v>2705</v>
      </c>
      <c r="AP56" s="142" t="s">
        <v>2398</v>
      </c>
      <c r="AQ56" s="142" t="s">
        <v>2705</v>
      </c>
      <c r="AR56" s="142" t="s">
        <v>2705</v>
      </c>
      <c r="AS56" s="142" t="s">
        <v>2398</v>
      </c>
      <c r="AT56" s="142" t="s">
        <v>2705</v>
      </c>
      <c r="AU56" s="142" t="s">
        <v>2705</v>
      </c>
      <c r="AV56" s="142" t="s">
        <v>2705</v>
      </c>
      <c r="AW56" s="142" t="s">
        <v>1435</v>
      </c>
      <c r="AX56" s="142" t="s">
        <v>2398</v>
      </c>
      <c r="AY56" s="142" t="s">
        <v>2398</v>
      </c>
      <c r="AZ56" s="142" t="s">
        <v>2398</v>
      </c>
    </row>
    <row r="57" spans="1:52" s="142" customFormat="1" ht="12.75" x14ac:dyDescent="0.2">
      <c r="A57" s="151" t="s">
        <v>7345</v>
      </c>
      <c r="B57" s="152" t="s">
        <v>2398</v>
      </c>
      <c r="C57" s="152" t="s">
        <v>2675</v>
      </c>
      <c r="D57" s="152" t="s">
        <v>2705</v>
      </c>
      <c r="E57" s="152" t="s">
        <v>2705</v>
      </c>
      <c r="F57" s="152" t="s">
        <v>2705</v>
      </c>
      <c r="G57" s="152" t="s">
        <v>2705</v>
      </c>
      <c r="H57" s="152" t="s">
        <v>2398</v>
      </c>
      <c r="I57" s="152" t="s">
        <v>2398</v>
      </c>
      <c r="J57" s="152" t="s">
        <v>2705</v>
      </c>
      <c r="K57" s="152" t="s">
        <v>2398</v>
      </c>
      <c r="L57" s="152" t="s">
        <v>2675</v>
      </c>
      <c r="M57" s="152" t="s">
        <v>2705</v>
      </c>
      <c r="N57" s="152" t="s">
        <v>2705</v>
      </c>
      <c r="O57" s="152" t="s">
        <v>2705</v>
      </c>
      <c r="P57" s="152" t="s">
        <v>2705</v>
      </c>
      <c r="Q57" s="152" t="s">
        <v>2705</v>
      </c>
      <c r="R57" s="152" t="s">
        <v>2398</v>
      </c>
      <c r="S57" s="152" t="s">
        <v>2398</v>
      </c>
      <c r="T57" s="152" t="s">
        <v>2398</v>
      </c>
      <c r="U57" s="152" t="s">
        <v>2398</v>
      </c>
      <c r="V57" s="142" cm="1">
        <f t="array" ref="V57">IF(A57&lt;&gt;"",SUM(--(B57:U58 = "X")*$U$3,--(B57:U58 ="A")*$Q$3,--(B57:U58 ="B")*$R$3,--(B57:U58 ="C")*$S$3),"")</f>
        <v>14</v>
      </c>
      <c r="X57" s="437" t="s">
        <v>7365</v>
      </c>
      <c r="Y57" s="437">
        <v>22</v>
      </c>
      <c r="Z57" s="436">
        <f>_xlfn.XLOOKUP(answers[[#This Row],[StudentID]],$A$7:$A$1418,$V$7:$V$1418)</f>
        <v>22</v>
      </c>
      <c r="AF57" s="142" t="s">
        <v>7345</v>
      </c>
      <c r="AG57" s="142" t="s">
        <v>2398</v>
      </c>
      <c r="AH57" s="142" t="s">
        <v>2675</v>
      </c>
      <c r="AI57" s="142" t="s">
        <v>2705</v>
      </c>
      <c r="AJ57" s="142" t="s">
        <v>2705</v>
      </c>
      <c r="AK57" s="142" t="s">
        <v>2705</v>
      </c>
      <c r="AL57" s="142" t="s">
        <v>2705</v>
      </c>
      <c r="AM57" s="142" t="s">
        <v>2398</v>
      </c>
      <c r="AN57" s="142" t="s">
        <v>2398</v>
      </c>
      <c r="AO57" s="142" t="s">
        <v>2705</v>
      </c>
      <c r="AP57" s="142" t="s">
        <v>2398</v>
      </c>
      <c r="AQ57" s="142" t="s">
        <v>2675</v>
      </c>
      <c r="AR57" s="142" t="s">
        <v>2705</v>
      </c>
      <c r="AS57" s="142" t="s">
        <v>2705</v>
      </c>
      <c r="AT57" s="142" t="s">
        <v>2705</v>
      </c>
      <c r="AU57" s="142" t="s">
        <v>2705</v>
      </c>
      <c r="AV57" s="142" t="s">
        <v>2705</v>
      </c>
      <c r="AW57" s="142" t="s">
        <v>2398</v>
      </c>
      <c r="AX57" s="142" t="s">
        <v>2398</v>
      </c>
      <c r="AY57" s="142" t="s">
        <v>2398</v>
      </c>
      <c r="AZ57" s="142" t="s">
        <v>2398</v>
      </c>
    </row>
    <row r="58" spans="1:52" s="142" customFormat="1" ht="12.75" x14ac:dyDescent="0.2">
      <c r="A58" s="151"/>
      <c r="B58" s="152" t="s">
        <v>1435</v>
      </c>
      <c r="C58" s="152" t="s">
        <v>2675</v>
      </c>
      <c r="D58" s="152" t="s">
        <v>2398</v>
      </c>
      <c r="E58" s="152" t="s">
        <v>2705</v>
      </c>
      <c r="F58" s="152" t="s">
        <v>2397</v>
      </c>
      <c r="G58" s="152" t="s">
        <v>1435</v>
      </c>
      <c r="H58" s="152" t="s">
        <v>2705</v>
      </c>
      <c r="I58" s="152" t="s">
        <v>1435</v>
      </c>
      <c r="J58" s="152" t="s">
        <v>2398</v>
      </c>
      <c r="K58" s="152" t="s">
        <v>2705</v>
      </c>
      <c r="L58" s="152" t="s">
        <v>2397</v>
      </c>
      <c r="M58" s="152" t="s">
        <v>2705</v>
      </c>
      <c r="N58" s="152" t="s">
        <v>2397</v>
      </c>
      <c r="O58" s="152" t="s">
        <v>2397</v>
      </c>
      <c r="P58" s="152" t="s">
        <v>2705</v>
      </c>
      <c r="Q58" s="152" t="s">
        <v>2397</v>
      </c>
      <c r="R58" s="152" t="s">
        <v>2398</v>
      </c>
      <c r="S58" s="152" t="s">
        <v>2705</v>
      </c>
      <c r="T58" s="152" t="s">
        <v>2705</v>
      </c>
      <c r="U58" s="152" t="s">
        <v>2398</v>
      </c>
      <c r="V58" s="142" t="str" cm="1">
        <f t="array" ref="V58">IF(A58&lt;&gt;"",SUM(--(B58:U59 = "X")*$U$3,--(B58:U59 ="A")*$Q$3,--(B58:U59 ="B")*$R$3,--(B58:U59 ="C")*$S$3),"")</f>
        <v/>
      </c>
      <c r="X58" s="437" t="s">
        <v>7366</v>
      </c>
      <c r="Y58" s="437">
        <v>6.5</v>
      </c>
      <c r="Z58" s="436">
        <f>_xlfn.XLOOKUP(answers[[#This Row],[StudentID]],$A$7:$A$1418,$V$7:$V$1418)</f>
        <v>6.5</v>
      </c>
      <c r="AG58" s="142" t="s">
        <v>1435</v>
      </c>
      <c r="AH58" s="142" t="s">
        <v>2675</v>
      </c>
      <c r="AI58" s="142" t="s">
        <v>2398</v>
      </c>
      <c r="AJ58" s="142" t="s">
        <v>2705</v>
      </c>
      <c r="AK58" s="142" t="s">
        <v>2397</v>
      </c>
      <c r="AL58" s="142" t="s">
        <v>1435</v>
      </c>
      <c r="AM58" s="142" t="s">
        <v>2705</v>
      </c>
      <c r="AN58" s="142" t="s">
        <v>1435</v>
      </c>
      <c r="AO58" s="142" t="s">
        <v>2398</v>
      </c>
      <c r="AP58" s="142" t="s">
        <v>2705</v>
      </c>
      <c r="AQ58" s="142" t="s">
        <v>2397</v>
      </c>
      <c r="AR58" s="142" t="s">
        <v>2705</v>
      </c>
      <c r="AS58" s="142" t="s">
        <v>2397</v>
      </c>
      <c r="AT58" s="142" t="s">
        <v>2397</v>
      </c>
      <c r="AU58" s="142" t="s">
        <v>2705</v>
      </c>
      <c r="AV58" s="142" t="s">
        <v>2397</v>
      </c>
      <c r="AW58" s="142" t="s">
        <v>2398</v>
      </c>
      <c r="AX58" s="142" t="s">
        <v>2705</v>
      </c>
      <c r="AY58" s="142" t="s">
        <v>2705</v>
      </c>
      <c r="AZ58" s="142" t="s">
        <v>2398</v>
      </c>
    </row>
    <row r="59" spans="1:52" s="142" customFormat="1" ht="12.75" x14ac:dyDescent="0.2">
      <c r="A59" s="151" t="s">
        <v>7346</v>
      </c>
      <c r="B59" s="152" t="s">
        <v>2398</v>
      </c>
      <c r="C59" s="152" t="s">
        <v>2398</v>
      </c>
      <c r="D59" s="152" t="s">
        <v>2398</v>
      </c>
      <c r="E59" s="152" t="s">
        <v>2705</v>
      </c>
      <c r="F59" s="152" t="s">
        <v>2398</v>
      </c>
      <c r="G59" s="152" t="s">
        <v>2675</v>
      </c>
      <c r="H59" s="152" t="s">
        <v>2705</v>
      </c>
      <c r="I59" s="152" t="s">
        <v>2705</v>
      </c>
      <c r="J59" s="152" t="s">
        <v>2705</v>
      </c>
      <c r="K59" s="152" t="s">
        <v>2398</v>
      </c>
      <c r="L59" s="152" t="s">
        <v>2398</v>
      </c>
      <c r="M59" s="152" t="s">
        <v>2398</v>
      </c>
      <c r="N59" s="152" t="s">
        <v>2705</v>
      </c>
      <c r="O59" s="152" t="s">
        <v>2705</v>
      </c>
      <c r="P59" s="152" t="s">
        <v>2398</v>
      </c>
      <c r="Q59" s="152" t="s">
        <v>2398</v>
      </c>
      <c r="R59" s="152" t="s">
        <v>2705</v>
      </c>
      <c r="S59" s="152" t="s">
        <v>2398</v>
      </c>
      <c r="T59" s="152" t="s">
        <v>2398</v>
      </c>
      <c r="U59" s="152" t="s">
        <v>2398</v>
      </c>
      <c r="V59" s="142" cm="1">
        <f t="array" ref="V59">IF(A59&lt;&gt;"",SUM(--(B59:U60 = "X")*$U$3,--(B59:U60 ="A")*$Q$3,--(B59:U60 ="B")*$R$3,--(B59:U60 ="C")*$S$3),"")</f>
        <v>12</v>
      </c>
      <c r="X59" s="437" t="s">
        <v>7367</v>
      </c>
      <c r="Y59" s="437">
        <v>23.5</v>
      </c>
      <c r="Z59" s="436">
        <f>_xlfn.XLOOKUP(answers[[#This Row],[StudentID]],$A$7:$A$1418,$V$7:$V$1418)</f>
        <v>23.5</v>
      </c>
      <c r="AF59" s="142" t="s">
        <v>7346</v>
      </c>
      <c r="AG59" s="142" t="s">
        <v>2398</v>
      </c>
      <c r="AH59" s="142" t="s">
        <v>2398</v>
      </c>
      <c r="AI59" s="142" t="s">
        <v>2398</v>
      </c>
      <c r="AJ59" s="142" t="s">
        <v>2705</v>
      </c>
      <c r="AK59" s="142" t="s">
        <v>2398</v>
      </c>
      <c r="AL59" s="142" t="s">
        <v>2675</v>
      </c>
      <c r="AM59" s="142" t="s">
        <v>2705</v>
      </c>
      <c r="AN59" s="142" t="s">
        <v>2705</v>
      </c>
      <c r="AO59" s="142" t="s">
        <v>2705</v>
      </c>
      <c r="AP59" s="142" t="s">
        <v>2398</v>
      </c>
      <c r="AQ59" s="142" t="s">
        <v>2398</v>
      </c>
      <c r="AR59" s="142" t="s">
        <v>2398</v>
      </c>
      <c r="AS59" s="142" t="s">
        <v>2705</v>
      </c>
      <c r="AT59" s="142" t="s">
        <v>2705</v>
      </c>
      <c r="AU59" s="142" t="s">
        <v>2398</v>
      </c>
      <c r="AV59" s="142" t="s">
        <v>2398</v>
      </c>
      <c r="AW59" s="142" t="s">
        <v>2705</v>
      </c>
      <c r="AX59" s="142" t="s">
        <v>2398</v>
      </c>
      <c r="AY59" s="142" t="s">
        <v>2398</v>
      </c>
      <c r="AZ59" s="142" t="s">
        <v>2398</v>
      </c>
    </row>
    <row r="60" spans="1:52" s="142" customFormat="1" ht="12.75" x14ac:dyDescent="0.2">
      <c r="A60" s="151"/>
      <c r="B60" s="152" t="s">
        <v>2705</v>
      </c>
      <c r="C60" s="152" t="s">
        <v>2705</v>
      </c>
      <c r="D60" s="152" t="s">
        <v>2705</v>
      </c>
      <c r="E60" s="152" t="s">
        <v>2398</v>
      </c>
      <c r="F60" s="152" t="s">
        <v>2705</v>
      </c>
      <c r="G60" s="152" t="s">
        <v>2705</v>
      </c>
      <c r="H60" s="152" t="s">
        <v>2398</v>
      </c>
      <c r="I60" s="152" t="s">
        <v>2398</v>
      </c>
      <c r="J60" s="152" t="s">
        <v>2705</v>
      </c>
      <c r="K60" s="152" t="s">
        <v>1435</v>
      </c>
      <c r="L60" s="152" t="s">
        <v>2398</v>
      </c>
      <c r="M60" s="152" t="s">
        <v>1435</v>
      </c>
      <c r="N60" s="152" t="s">
        <v>2398</v>
      </c>
      <c r="O60" s="152" t="s">
        <v>2705</v>
      </c>
      <c r="P60" s="152" t="s">
        <v>2675</v>
      </c>
      <c r="Q60" s="152" t="s">
        <v>2705</v>
      </c>
      <c r="R60" s="152" t="s">
        <v>1435</v>
      </c>
      <c r="S60" s="152" t="s">
        <v>2397</v>
      </c>
      <c r="T60" s="152" t="s">
        <v>1435</v>
      </c>
      <c r="U60" s="152" t="s">
        <v>2397</v>
      </c>
      <c r="V60" s="142" t="str" cm="1">
        <f t="array" ref="V60">IF(A60&lt;&gt;"",SUM(--(B60:U61 = "X")*$U$3,--(B60:U61 ="A")*$Q$3,--(B60:U61 ="B")*$R$3,--(B60:U61 ="C")*$S$3),"")</f>
        <v/>
      </c>
      <c r="X60" s="437" t="s">
        <v>7368</v>
      </c>
      <c r="Y60" s="437">
        <v>13</v>
      </c>
      <c r="Z60" s="436">
        <f>_xlfn.XLOOKUP(answers[[#This Row],[StudentID]],$A$7:$A$1418,$V$7:$V$1418)</f>
        <v>13</v>
      </c>
      <c r="AG60" s="142" t="s">
        <v>2705</v>
      </c>
      <c r="AH60" s="142" t="s">
        <v>2705</v>
      </c>
      <c r="AI60" s="142" t="s">
        <v>2705</v>
      </c>
      <c r="AJ60" s="142" t="s">
        <v>2398</v>
      </c>
      <c r="AK60" s="142" t="s">
        <v>2705</v>
      </c>
      <c r="AL60" s="142" t="s">
        <v>2705</v>
      </c>
      <c r="AM60" s="142" t="s">
        <v>2398</v>
      </c>
      <c r="AN60" s="142" t="s">
        <v>2398</v>
      </c>
      <c r="AO60" s="142" t="s">
        <v>2705</v>
      </c>
      <c r="AP60" s="142" t="s">
        <v>1435</v>
      </c>
      <c r="AQ60" s="142" t="s">
        <v>2398</v>
      </c>
      <c r="AR60" s="142" t="s">
        <v>1435</v>
      </c>
      <c r="AS60" s="142" t="s">
        <v>2398</v>
      </c>
      <c r="AT60" s="142" t="s">
        <v>2705</v>
      </c>
      <c r="AU60" s="142" t="s">
        <v>2675</v>
      </c>
      <c r="AV60" s="142" t="s">
        <v>2705</v>
      </c>
      <c r="AW60" s="142" t="s">
        <v>1435</v>
      </c>
      <c r="AX60" s="142" t="s">
        <v>2397</v>
      </c>
      <c r="AY60" s="142" t="s">
        <v>1435</v>
      </c>
      <c r="AZ60" s="142" t="s">
        <v>2397</v>
      </c>
    </row>
    <row r="61" spans="1:52" s="142" customFormat="1" ht="12.75" x14ac:dyDescent="0.2">
      <c r="A61" s="151" t="s">
        <v>7347</v>
      </c>
      <c r="B61" s="152" t="s">
        <v>2398</v>
      </c>
      <c r="C61" s="152" t="s">
        <v>2675</v>
      </c>
      <c r="D61" s="152" t="s">
        <v>2398</v>
      </c>
      <c r="E61" s="152" t="s">
        <v>2397</v>
      </c>
      <c r="F61" s="152" t="s">
        <v>2397</v>
      </c>
      <c r="G61" s="152" t="s">
        <v>2705</v>
      </c>
      <c r="H61" s="152" t="s">
        <v>2397</v>
      </c>
      <c r="I61" s="152" t="s">
        <v>2705</v>
      </c>
      <c r="J61" s="152" t="s">
        <v>2675</v>
      </c>
      <c r="K61" s="152" t="s">
        <v>2398</v>
      </c>
      <c r="L61" s="152" t="s">
        <v>2398</v>
      </c>
      <c r="M61" s="152" t="s">
        <v>2398</v>
      </c>
      <c r="N61" s="152" t="s">
        <v>2675</v>
      </c>
      <c r="O61" s="152" t="s">
        <v>2675</v>
      </c>
      <c r="P61" s="152" t="s">
        <v>2705</v>
      </c>
      <c r="Q61" s="152" t="s">
        <v>2705</v>
      </c>
      <c r="R61" s="152" t="s">
        <v>2675</v>
      </c>
      <c r="S61" s="152" t="s">
        <v>2705</v>
      </c>
      <c r="T61" s="152" t="s">
        <v>2398</v>
      </c>
      <c r="U61" s="152" t="s">
        <v>2705</v>
      </c>
      <c r="V61" s="142" cm="1">
        <f t="array" ref="V61">IF(A61&lt;&gt;"",SUM(--(B61:U62 = "X")*$U$3,--(B61:U62 ="A")*$Q$3,--(B61:U62 ="B")*$R$3,--(B61:U62 ="C")*$S$3),"")</f>
        <v>7.5</v>
      </c>
      <c r="X61" s="437" t="s">
        <v>7369</v>
      </c>
      <c r="Y61" s="437">
        <v>12.5</v>
      </c>
      <c r="Z61" s="436">
        <f>_xlfn.XLOOKUP(answers[[#This Row],[StudentID]],$A$7:$A$1418,$V$7:$V$1418)</f>
        <v>12.5</v>
      </c>
      <c r="AF61" s="142" t="s">
        <v>7347</v>
      </c>
      <c r="AG61" s="142" t="s">
        <v>2398</v>
      </c>
      <c r="AH61" s="142" t="s">
        <v>2675</v>
      </c>
      <c r="AI61" s="142" t="s">
        <v>2398</v>
      </c>
      <c r="AJ61" s="142" t="s">
        <v>2397</v>
      </c>
      <c r="AK61" s="142" t="s">
        <v>2397</v>
      </c>
      <c r="AL61" s="142" t="s">
        <v>2705</v>
      </c>
      <c r="AM61" s="142" t="s">
        <v>2397</v>
      </c>
      <c r="AN61" s="142" t="s">
        <v>2705</v>
      </c>
      <c r="AO61" s="142" t="s">
        <v>2675</v>
      </c>
      <c r="AP61" s="142" t="s">
        <v>2398</v>
      </c>
      <c r="AQ61" s="142" t="s">
        <v>2398</v>
      </c>
      <c r="AR61" s="142" t="s">
        <v>2398</v>
      </c>
      <c r="AS61" s="142" t="s">
        <v>2675</v>
      </c>
      <c r="AT61" s="142" t="s">
        <v>2675</v>
      </c>
      <c r="AU61" s="142" t="s">
        <v>2705</v>
      </c>
      <c r="AV61" s="142" t="s">
        <v>2705</v>
      </c>
      <c r="AW61" s="142" t="s">
        <v>2675</v>
      </c>
      <c r="AX61" s="142" t="s">
        <v>2705</v>
      </c>
      <c r="AY61" s="142" t="s">
        <v>2398</v>
      </c>
      <c r="AZ61" s="142" t="s">
        <v>2705</v>
      </c>
    </row>
    <row r="62" spans="1:52" s="142" customFormat="1" ht="12.75" x14ac:dyDescent="0.2">
      <c r="A62" s="151"/>
      <c r="B62" s="152" t="s">
        <v>2398</v>
      </c>
      <c r="C62" s="152" t="s">
        <v>2675</v>
      </c>
      <c r="D62" s="152" t="s">
        <v>2398</v>
      </c>
      <c r="E62" s="152" t="s">
        <v>2675</v>
      </c>
      <c r="F62" s="152" t="s">
        <v>2705</v>
      </c>
      <c r="G62" s="152" t="s">
        <v>2705</v>
      </c>
      <c r="H62" s="152" t="s">
        <v>2398</v>
      </c>
      <c r="I62" s="152" t="s">
        <v>1435</v>
      </c>
      <c r="J62" s="152" t="s">
        <v>2398</v>
      </c>
      <c r="K62" s="152" t="s">
        <v>2398</v>
      </c>
      <c r="L62" s="152" t="s">
        <v>2705</v>
      </c>
      <c r="M62" s="152" t="s">
        <v>2397</v>
      </c>
      <c r="N62" s="152" t="s">
        <v>2705</v>
      </c>
      <c r="O62" s="152" t="s">
        <v>2398</v>
      </c>
      <c r="P62" s="152" t="s">
        <v>2705</v>
      </c>
      <c r="Q62" s="152" t="s">
        <v>2705</v>
      </c>
      <c r="R62" s="152" t="s">
        <v>2397</v>
      </c>
      <c r="S62" s="152" t="s">
        <v>2675</v>
      </c>
      <c r="T62" s="152" t="s">
        <v>2398</v>
      </c>
      <c r="U62" s="152" t="s">
        <v>2398</v>
      </c>
      <c r="V62" s="142" t="str" cm="1">
        <f t="array" ref="V62">IF(A62&lt;&gt;"",SUM(--(B62:U63 = "X")*$U$3,--(B62:U63 ="A")*$Q$3,--(B62:U63 ="B")*$R$3,--(B62:U63 ="C")*$S$3),"")</f>
        <v/>
      </c>
      <c r="X62" s="437" t="s">
        <v>7370</v>
      </c>
      <c r="Y62" s="437">
        <v>21</v>
      </c>
      <c r="Z62" s="436">
        <f>_xlfn.XLOOKUP(answers[[#This Row],[StudentID]],$A$7:$A$1418,$V$7:$V$1418)</f>
        <v>21</v>
      </c>
      <c r="AG62" s="142" t="s">
        <v>2398</v>
      </c>
      <c r="AH62" s="142" t="s">
        <v>2675</v>
      </c>
      <c r="AI62" s="142" t="s">
        <v>2398</v>
      </c>
      <c r="AJ62" s="142" t="s">
        <v>2675</v>
      </c>
      <c r="AK62" s="142" t="s">
        <v>2705</v>
      </c>
      <c r="AL62" s="142" t="s">
        <v>2705</v>
      </c>
      <c r="AM62" s="142" t="s">
        <v>2398</v>
      </c>
      <c r="AN62" s="142" t="s">
        <v>1435</v>
      </c>
      <c r="AO62" s="142" t="s">
        <v>2398</v>
      </c>
      <c r="AP62" s="142" t="s">
        <v>2398</v>
      </c>
      <c r="AQ62" s="142" t="s">
        <v>2705</v>
      </c>
      <c r="AR62" s="142" t="s">
        <v>2397</v>
      </c>
      <c r="AS62" s="142" t="s">
        <v>2705</v>
      </c>
      <c r="AT62" s="142" t="s">
        <v>2398</v>
      </c>
      <c r="AU62" s="142" t="s">
        <v>2705</v>
      </c>
      <c r="AV62" s="142" t="s">
        <v>2705</v>
      </c>
      <c r="AW62" s="142" t="s">
        <v>2397</v>
      </c>
      <c r="AX62" s="142" t="s">
        <v>2675</v>
      </c>
      <c r="AY62" s="142" t="s">
        <v>2398</v>
      </c>
      <c r="AZ62" s="142" t="s">
        <v>2398</v>
      </c>
    </row>
    <row r="63" spans="1:52" s="142" customFormat="1" ht="12.75" x14ac:dyDescent="0.2">
      <c r="A63" s="151" t="s">
        <v>7348</v>
      </c>
      <c r="B63" s="152" t="s">
        <v>2705</v>
      </c>
      <c r="C63" s="152" t="s">
        <v>2398</v>
      </c>
      <c r="D63" s="152" t="s">
        <v>2398</v>
      </c>
      <c r="E63" s="152" t="s">
        <v>2398</v>
      </c>
      <c r="F63" s="152" t="s">
        <v>2705</v>
      </c>
      <c r="G63" s="152" t="s">
        <v>2398</v>
      </c>
      <c r="H63" s="152" t="s">
        <v>2398</v>
      </c>
      <c r="I63" s="152" t="s">
        <v>2398</v>
      </c>
      <c r="J63" s="152" t="s">
        <v>2705</v>
      </c>
      <c r="K63" s="152" t="s">
        <v>2398</v>
      </c>
      <c r="L63" s="152" t="s">
        <v>2675</v>
      </c>
      <c r="M63" s="152" t="s">
        <v>2705</v>
      </c>
      <c r="N63" s="152" t="s">
        <v>2705</v>
      </c>
      <c r="O63" s="152" t="s">
        <v>2398</v>
      </c>
      <c r="P63" s="152" t="s">
        <v>2398</v>
      </c>
      <c r="Q63" s="152" t="s">
        <v>2398</v>
      </c>
      <c r="R63" s="152" t="s">
        <v>2705</v>
      </c>
      <c r="S63" s="152" t="s">
        <v>2705</v>
      </c>
      <c r="T63" s="152" t="s">
        <v>2398</v>
      </c>
      <c r="U63" s="152" t="s">
        <v>2705</v>
      </c>
      <c r="V63" s="142" cm="1">
        <f t="array" ref="V63">IF(A63&lt;&gt;"",SUM(--(B63:U64 = "X")*$U$3,--(B63:U64 ="A")*$Q$3,--(B63:U64 ="B")*$R$3,--(B63:U64 ="C")*$S$3),"")</f>
        <v>20.5</v>
      </c>
      <c r="X63" s="437" t="s">
        <v>7371</v>
      </c>
      <c r="Y63" s="437">
        <v>25.5</v>
      </c>
      <c r="Z63" s="436">
        <f>_xlfn.XLOOKUP(answers[[#This Row],[StudentID]],$A$7:$A$1418,$V$7:$V$1418)</f>
        <v>25.5</v>
      </c>
      <c r="AF63" s="142" t="s">
        <v>7348</v>
      </c>
      <c r="AG63" s="142" t="s">
        <v>2705</v>
      </c>
      <c r="AH63" s="142" t="s">
        <v>2398</v>
      </c>
      <c r="AI63" s="142" t="s">
        <v>2398</v>
      </c>
      <c r="AJ63" s="142" t="s">
        <v>2398</v>
      </c>
      <c r="AK63" s="142" t="s">
        <v>2705</v>
      </c>
      <c r="AL63" s="142" t="s">
        <v>2398</v>
      </c>
      <c r="AM63" s="142" t="s">
        <v>2398</v>
      </c>
      <c r="AN63" s="142" t="s">
        <v>2398</v>
      </c>
      <c r="AO63" s="142" t="s">
        <v>2705</v>
      </c>
      <c r="AP63" s="142" t="s">
        <v>2398</v>
      </c>
      <c r="AQ63" s="142" t="s">
        <v>2675</v>
      </c>
      <c r="AR63" s="142" t="s">
        <v>2705</v>
      </c>
      <c r="AS63" s="142" t="s">
        <v>2705</v>
      </c>
      <c r="AT63" s="142" t="s">
        <v>2398</v>
      </c>
      <c r="AU63" s="142" t="s">
        <v>2398</v>
      </c>
      <c r="AV63" s="142" t="s">
        <v>2398</v>
      </c>
      <c r="AW63" s="142" t="s">
        <v>2705</v>
      </c>
      <c r="AX63" s="142" t="s">
        <v>2705</v>
      </c>
      <c r="AY63" s="142" t="s">
        <v>2398</v>
      </c>
      <c r="AZ63" s="142" t="s">
        <v>2705</v>
      </c>
    </row>
    <row r="64" spans="1:52" s="142" customFormat="1" ht="12.75" x14ac:dyDescent="0.2">
      <c r="A64" s="151"/>
      <c r="B64" s="152" t="s">
        <v>2397</v>
      </c>
      <c r="C64" s="152" t="s">
        <v>2705</v>
      </c>
      <c r="D64" s="152" t="s">
        <v>2398</v>
      </c>
      <c r="E64" s="152" t="s">
        <v>2675</v>
      </c>
      <c r="F64" s="152" t="s">
        <v>2398</v>
      </c>
      <c r="G64" s="152" t="s">
        <v>2398</v>
      </c>
      <c r="H64" s="152" t="s">
        <v>2705</v>
      </c>
      <c r="I64" s="152" t="s">
        <v>2705</v>
      </c>
      <c r="J64" s="152" t="s">
        <v>2705</v>
      </c>
      <c r="K64" s="152" t="s">
        <v>2705</v>
      </c>
      <c r="L64" s="152" t="s">
        <v>2705</v>
      </c>
      <c r="M64" s="152" t="s">
        <v>2705</v>
      </c>
      <c r="N64" s="152" t="s">
        <v>2705</v>
      </c>
      <c r="O64" s="152" t="s">
        <v>2705</v>
      </c>
      <c r="P64" s="152" t="s">
        <v>2705</v>
      </c>
      <c r="Q64" s="152" t="s">
        <v>2705</v>
      </c>
      <c r="R64" s="152" t="s">
        <v>1435</v>
      </c>
      <c r="S64" s="152" t="s">
        <v>2705</v>
      </c>
      <c r="T64" s="152" t="s">
        <v>2705</v>
      </c>
      <c r="U64" s="152" t="s">
        <v>2705</v>
      </c>
      <c r="V64" s="142" t="str" cm="1">
        <f t="array" ref="V64">IF(A64&lt;&gt;"",SUM(--(B64:U65 = "X")*$U$3,--(B64:U65 ="A")*$Q$3,--(B64:U65 ="B")*$R$3,--(B64:U65 ="C")*$S$3),"")</f>
        <v/>
      </c>
      <c r="X64" s="437" t="s">
        <v>7372</v>
      </c>
      <c r="Y64" s="437">
        <v>16</v>
      </c>
      <c r="Z64" s="436">
        <f>_xlfn.XLOOKUP(answers[[#This Row],[StudentID]],$A$7:$A$1418,$V$7:$V$1418)</f>
        <v>16</v>
      </c>
      <c r="AG64" s="142" t="s">
        <v>2397</v>
      </c>
      <c r="AH64" s="142" t="s">
        <v>2705</v>
      </c>
      <c r="AI64" s="142" t="s">
        <v>2398</v>
      </c>
      <c r="AJ64" s="142" t="s">
        <v>2675</v>
      </c>
      <c r="AK64" s="142" t="s">
        <v>2398</v>
      </c>
      <c r="AL64" s="142" t="s">
        <v>2398</v>
      </c>
      <c r="AM64" s="142" t="s">
        <v>2705</v>
      </c>
      <c r="AN64" s="142" t="s">
        <v>2705</v>
      </c>
      <c r="AO64" s="142" t="s">
        <v>2705</v>
      </c>
      <c r="AP64" s="142" t="s">
        <v>2705</v>
      </c>
      <c r="AQ64" s="142" t="s">
        <v>2705</v>
      </c>
      <c r="AR64" s="142" t="s">
        <v>2705</v>
      </c>
      <c r="AS64" s="142" t="s">
        <v>2705</v>
      </c>
      <c r="AT64" s="142" t="s">
        <v>2705</v>
      </c>
      <c r="AU64" s="142" t="s">
        <v>2705</v>
      </c>
      <c r="AV64" s="142" t="s">
        <v>2705</v>
      </c>
      <c r="AW64" s="142" t="s">
        <v>1435</v>
      </c>
      <c r="AX64" s="142" t="s">
        <v>2705</v>
      </c>
      <c r="AY64" s="142" t="s">
        <v>2705</v>
      </c>
      <c r="AZ64" s="142" t="s">
        <v>2705</v>
      </c>
    </row>
    <row r="65" spans="1:52" s="142" customFormat="1" ht="12.75" x14ac:dyDescent="0.2">
      <c r="A65" s="151" t="s">
        <v>7349</v>
      </c>
      <c r="B65" s="152" t="s">
        <v>2705</v>
      </c>
      <c r="C65" s="152" t="s">
        <v>2705</v>
      </c>
      <c r="D65" s="152" t="s">
        <v>2705</v>
      </c>
      <c r="E65" s="152" t="s">
        <v>2705</v>
      </c>
      <c r="F65" s="152" t="s">
        <v>2705</v>
      </c>
      <c r="G65" s="152" t="s">
        <v>2705</v>
      </c>
      <c r="H65" s="152" t="s">
        <v>2705</v>
      </c>
      <c r="I65" s="152" t="s">
        <v>2705</v>
      </c>
      <c r="J65" s="152" t="s">
        <v>2705</v>
      </c>
      <c r="K65" s="152" t="s">
        <v>2398</v>
      </c>
      <c r="L65" s="152" t="s">
        <v>2705</v>
      </c>
      <c r="M65" s="152" t="s">
        <v>2705</v>
      </c>
      <c r="N65" s="152" t="s">
        <v>2675</v>
      </c>
      <c r="O65" s="152" t="s">
        <v>2398</v>
      </c>
      <c r="P65" s="152" t="s">
        <v>2705</v>
      </c>
      <c r="Q65" s="152" t="s">
        <v>2398</v>
      </c>
      <c r="R65" s="152" t="s">
        <v>2398</v>
      </c>
      <c r="S65" s="152" t="s">
        <v>2398</v>
      </c>
      <c r="T65" s="152" t="s">
        <v>2705</v>
      </c>
      <c r="U65" s="152" t="s">
        <v>2398</v>
      </c>
      <c r="V65" s="142" cm="1">
        <f t="array" ref="V65">IF(A65&lt;&gt;"",SUM(--(B65:U66 = "X")*$U$3,--(B65:U66 ="A")*$Q$3,--(B65:U66 ="B")*$R$3,--(B65:U66 ="C")*$S$3),"")</f>
        <v>27</v>
      </c>
      <c r="X65" s="437" t="s">
        <v>7373</v>
      </c>
      <c r="Y65" s="437">
        <v>15.5</v>
      </c>
      <c r="Z65" s="436">
        <f>_xlfn.XLOOKUP(answers[[#This Row],[StudentID]],$A$7:$A$1418,$V$7:$V$1418)</f>
        <v>15.5</v>
      </c>
      <c r="AF65" s="142" t="s">
        <v>7349</v>
      </c>
      <c r="AG65" s="142" t="s">
        <v>2705</v>
      </c>
      <c r="AH65" s="142" t="s">
        <v>2705</v>
      </c>
      <c r="AI65" s="142" t="s">
        <v>2705</v>
      </c>
      <c r="AJ65" s="142" t="s">
        <v>2705</v>
      </c>
      <c r="AK65" s="142" t="s">
        <v>2705</v>
      </c>
      <c r="AL65" s="142" t="s">
        <v>2705</v>
      </c>
      <c r="AM65" s="142" t="s">
        <v>2705</v>
      </c>
      <c r="AN65" s="142" t="s">
        <v>2705</v>
      </c>
      <c r="AO65" s="142" t="s">
        <v>2705</v>
      </c>
      <c r="AP65" s="142" t="s">
        <v>2398</v>
      </c>
      <c r="AQ65" s="142" t="s">
        <v>2705</v>
      </c>
      <c r="AR65" s="142" t="s">
        <v>2705</v>
      </c>
      <c r="AS65" s="142" t="s">
        <v>2675</v>
      </c>
      <c r="AT65" s="142" t="s">
        <v>2398</v>
      </c>
      <c r="AU65" s="142" t="s">
        <v>2705</v>
      </c>
      <c r="AV65" s="142" t="s">
        <v>2398</v>
      </c>
      <c r="AW65" s="142" t="s">
        <v>2398</v>
      </c>
      <c r="AX65" s="142" t="s">
        <v>2398</v>
      </c>
      <c r="AY65" s="142" t="s">
        <v>2705</v>
      </c>
      <c r="AZ65" s="142" t="s">
        <v>2398</v>
      </c>
    </row>
    <row r="66" spans="1:52" s="142" customFormat="1" ht="12.75" x14ac:dyDescent="0.2">
      <c r="A66" s="151"/>
      <c r="B66" s="152" t="s">
        <v>2398</v>
      </c>
      <c r="C66" s="152" t="s">
        <v>2705</v>
      </c>
      <c r="D66" s="152" t="s">
        <v>2705</v>
      </c>
      <c r="E66" s="152" t="s">
        <v>2705</v>
      </c>
      <c r="F66" s="152" t="s">
        <v>2705</v>
      </c>
      <c r="G66" s="152" t="s">
        <v>2675</v>
      </c>
      <c r="H66" s="152" t="s">
        <v>2705</v>
      </c>
      <c r="I66" s="152" t="s">
        <v>2705</v>
      </c>
      <c r="J66" s="152" t="s">
        <v>2705</v>
      </c>
      <c r="K66" s="152" t="s">
        <v>2398</v>
      </c>
      <c r="L66" s="152" t="s">
        <v>2705</v>
      </c>
      <c r="M66" s="152" t="s">
        <v>2398</v>
      </c>
      <c r="N66" s="152" t="s">
        <v>2705</v>
      </c>
      <c r="O66" s="152" t="s">
        <v>2705</v>
      </c>
      <c r="P66" s="152" t="s">
        <v>2705</v>
      </c>
      <c r="Q66" s="152" t="s">
        <v>2398</v>
      </c>
      <c r="R66" s="152" t="s">
        <v>2705</v>
      </c>
      <c r="S66" s="152" t="s">
        <v>2705</v>
      </c>
      <c r="T66" s="152" t="s">
        <v>2705</v>
      </c>
      <c r="U66" s="152" t="s">
        <v>2705</v>
      </c>
      <c r="V66" s="142" t="str" cm="1">
        <f t="array" ref="V66">IF(A66&lt;&gt;"",SUM(--(B66:U67 = "X")*$U$3,--(B66:U67 ="A")*$Q$3,--(B66:U67 ="B")*$R$3,--(B66:U67 ="C")*$S$3),"")</f>
        <v/>
      </c>
      <c r="X66" s="437" t="s">
        <v>7374</v>
      </c>
      <c r="Y66" s="437">
        <v>19</v>
      </c>
      <c r="Z66" s="436">
        <f>_xlfn.XLOOKUP(answers[[#This Row],[StudentID]],$A$7:$A$1418,$V$7:$V$1418)</f>
        <v>19</v>
      </c>
      <c r="AG66" s="142" t="s">
        <v>2398</v>
      </c>
      <c r="AH66" s="142" t="s">
        <v>2705</v>
      </c>
      <c r="AI66" s="142" t="s">
        <v>2705</v>
      </c>
      <c r="AJ66" s="142" t="s">
        <v>2705</v>
      </c>
      <c r="AK66" s="142" t="s">
        <v>2705</v>
      </c>
      <c r="AL66" s="142" t="s">
        <v>2675</v>
      </c>
      <c r="AM66" s="142" t="s">
        <v>2705</v>
      </c>
      <c r="AN66" s="142" t="s">
        <v>2705</v>
      </c>
      <c r="AO66" s="142" t="s">
        <v>2705</v>
      </c>
      <c r="AP66" s="142" t="s">
        <v>2398</v>
      </c>
      <c r="AQ66" s="142" t="s">
        <v>2705</v>
      </c>
      <c r="AR66" s="142" t="s">
        <v>2398</v>
      </c>
      <c r="AS66" s="142" t="s">
        <v>2705</v>
      </c>
      <c r="AT66" s="142" t="s">
        <v>2705</v>
      </c>
      <c r="AU66" s="142" t="s">
        <v>2705</v>
      </c>
      <c r="AV66" s="142" t="s">
        <v>2398</v>
      </c>
      <c r="AW66" s="142" t="s">
        <v>2705</v>
      </c>
      <c r="AX66" s="142" t="s">
        <v>2705</v>
      </c>
      <c r="AY66" s="142" t="s">
        <v>2705</v>
      </c>
      <c r="AZ66" s="142" t="s">
        <v>2705</v>
      </c>
    </row>
    <row r="67" spans="1:52" s="142" customFormat="1" ht="12.75" x14ac:dyDescent="0.2">
      <c r="A67" s="151" t="s">
        <v>7350</v>
      </c>
      <c r="B67" s="152" t="s">
        <v>2705</v>
      </c>
      <c r="C67" s="152" t="s">
        <v>2398</v>
      </c>
      <c r="D67" s="152" t="s">
        <v>2705</v>
      </c>
      <c r="E67" s="152" t="s">
        <v>2398</v>
      </c>
      <c r="F67" s="152" t="s">
        <v>2398</v>
      </c>
      <c r="G67" s="152" t="s">
        <v>2705</v>
      </c>
      <c r="H67" s="152" t="s">
        <v>2705</v>
      </c>
      <c r="I67" s="152" t="s">
        <v>2398</v>
      </c>
      <c r="J67" s="152" t="s">
        <v>2705</v>
      </c>
      <c r="K67" s="152" t="s">
        <v>2705</v>
      </c>
      <c r="L67" s="152" t="s">
        <v>1435</v>
      </c>
      <c r="M67" s="152" t="s">
        <v>2705</v>
      </c>
      <c r="N67" s="152" t="s">
        <v>2398</v>
      </c>
      <c r="O67" s="152" t="s">
        <v>2398</v>
      </c>
      <c r="P67" s="152" t="s">
        <v>2398</v>
      </c>
      <c r="Q67" s="152" t="s">
        <v>2705</v>
      </c>
      <c r="R67" s="152" t="s">
        <v>2705</v>
      </c>
      <c r="S67" s="152" t="s">
        <v>2705</v>
      </c>
      <c r="T67" s="152" t="s">
        <v>2398</v>
      </c>
      <c r="U67" s="152" t="s">
        <v>2705</v>
      </c>
      <c r="V67" s="142" cm="1">
        <f t="array" ref="V67">IF(A67&lt;&gt;"",SUM(--(B67:U68 = "X")*$U$3,--(B67:U68 ="A")*$Q$3,--(B67:U68 ="B")*$R$3,--(B67:U68 ="C")*$S$3),"")</f>
        <v>20</v>
      </c>
      <c r="X67" s="437" t="s">
        <v>7375</v>
      </c>
      <c r="Y67" s="437">
        <v>10</v>
      </c>
      <c r="Z67" s="436">
        <f>_xlfn.XLOOKUP(answers[[#This Row],[StudentID]],$A$7:$A$1418,$V$7:$V$1418)</f>
        <v>10</v>
      </c>
      <c r="AF67" s="142" t="s">
        <v>7350</v>
      </c>
      <c r="AG67" s="142" t="s">
        <v>2705</v>
      </c>
      <c r="AH67" s="142" t="s">
        <v>2398</v>
      </c>
      <c r="AI67" s="142" t="s">
        <v>2705</v>
      </c>
      <c r="AJ67" s="142" t="s">
        <v>2398</v>
      </c>
      <c r="AK67" s="142" t="s">
        <v>2398</v>
      </c>
      <c r="AL67" s="142" t="s">
        <v>2705</v>
      </c>
      <c r="AM67" s="142" t="s">
        <v>2705</v>
      </c>
      <c r="AN67" s="142" t="s">
        <v>2398</v>
      </c>
      <c r="AO67" s="142" t="s">
        <v>2705</v>
      </c>
      <c r="AP67" s="142" t="s">
        <v>2705</v>
      </c>
      <c r="AQ67" s="142" t="s">
        <v>1435</v>
      </c>
      <c r="AR67" s="142" t="s">
        <v>2705</v>
      </c>
      <c r="AS67" s="142" t="s">
        <v>2398</v>
      </c>
      <c r="AT67" s="142" t="s">
        <v>2398</v>
      </c>
      <c r="AU67" s="142" t="s">
        <v>2398</v>
      </c>
      <c r="AV67" s="142" t="s">
        <v>2705</v>
      </c>
      <c r="AW67" s="142" t="s">
        <v>2705</v>
      </c>
      <c r="AX67" s="142" t="s">
        <v>2705</v>
      </c>
      <c r="AY67" s="142" t="s">
        <v>2398</v>
      </c>
      <c r="AZ67" s="142" t="s">
        <v>2705</v>
      </c>
    </row>
    <row r="68" spans="1:52" s="142" customFormat="1" ht="12.75" x14ac:dyDescent="0.2">
      <c r="A68" s="151"/>
      <c r="B68" s="152" t="s">
        <v>2675</v>
      </c>
      <c r="C68" s="152" t="s">
        <v>2398</v>
      </c>
      <c r="D68" s="152" t="s">
        <v>2705</v>
      </c>
      <c r="E68" s="152" t="s">
        <v>2705</v>
      </c>
      <c r="F68" s="152" t="s">
        <v>2705</v>
      </c>
      <c r="G68" s="152" t="s">
        <v>2705</v>
      </c>
      <c r="H68" s="152" t="s">
        <v>2398</v>
      </c>
      <c r="I68" s="152" t="s">
        <v>2398</v>
      </c>
      <c r="J68" s="152" t="s">
        <v>2705</v>
      </c>
      <c r="K68" s="152" t="s">
        <v>2398</v>
      </c>
      <c r="L68" s="152" t="s">
        <v>2705</v>
      </c>
      <c r="M68" s="152" t="s">
        <v>2397</v>
      </c>
      <c r="N68" s="152" t="s">
        <v>2705</v>
      </c>
      <c r="O68" s="152" t="s">
        <v>2398</v>
      </c>
      <c r="P68" s="152" t="s">
        <v>2398</v>
      </c>
      <c r="Q68" s="152" t="s">
        <v>2398</v>
      </c>
      <c r="R68" s="152" t="s">
        <v>2398</v>
      </c>
      <c r="S68" s="152" t="s">
        <v>2705</v>
      </c>
      <c r="T68" s="152" t="s">
        <v>2705</v>
      </c>
      <c r="U68" s="152" t="s">
        <v>2705</v>
      </c>
      <c r="V68" s="142" t="str" cm="1">
        <f t="array" ref="V68">IF(A68&lt;&gt;"",SUM(--(B68:U69 = "X")*$U$3,--(B68:U69 ="A")*$Q$3,--(B68:U69 ="B")*$R$3,--(B68:U69 ="C")*$S$3),"")</f>
        <v/>
      </c>
      <c r="X68" s="437" t="s">
        <v>7376</v>
      </c>
      <c r="Y68" s="437">
        <v>12</v>
      </c>
      <c r="Z68" s="436">
        <f>_xlfn.XLOOKUP(answers[[#This Row],[StudentID]],$A$7:$A$1418,$V$7:$V$1418)</f>
        <v>12</v>
      </c>
      <c r="AG68" s="142" t="s">
        <v>2675</v>
      </c>
      <c r="AH68" s="142" t="s">
        <v>2398</v>
      </c>
      <c r="AI68" s="142" t="s">
        <v>2705</v>
      </c>
      <c r="AJ68" s="142" t="s">
        <v>2705</v>
      </c>
      <c r="AK68" s="142" t="s">
        <v>2705</v>
      </c>
      <c r="AL68" s="142" t="s">
        <v>2705</v>
      </c>
      <c r="AM68" s="142" t="s">
        <v>2398</v>
      </c>
      <c r="AN68" s="142" t="s">
        <v>2398</v>
      </c>
      <c r="AO68" s="142" t="s">
        <v>2705</v>
      </c>
      <c r="AP68" s="142" t="s">
        <v>2398</v>
      </c>
      <c r="AQ68" s="142" t="s">
        <v>2705</v>
      </c>
      <c r="AR68" s="142" t="s">
        <v>2397</v>
      </c>
      <c r="AS68" s="142" t="s">
        <v>2705</v>
      </c>
      <c r="AT68" s="142" t="s">
        <v>2398</v>
      </c>
      <c r="AU68" s="142" t="s">
        <v>2398</v>
      </c>
      <c r="AV68" s="142" t="s">
        <v>2398</v>
      </c>
      <c r="AW68" s="142" t="s">
        <v>2398</v>
      </c>
      <c r="AX68" s="142" t="s">
        <v>2705</v>
      </c>
      <c r="AY68" s="142" t="s">
        <v>2705</v>
      </c>
      <c r="AZ68" s="142" t="s">
        <v>2705</v>
      </c>
    </row>
    <row r="69" spans="1:52" s="142" customFormat="1" ht="12.75" x14ac:dyDescent="0.2">
      <c r="A69" s="151" t="s">
        <v>7351</v>
      </c>
      <c r="B69" s="152" t="s">
        <v>2398</v>
      </c>
      <c r="C69" s="152" t="s">
        <v>2705</v>
      </c>
      <c r="D69" s="152" t="s">
        <v>2675</v>
      </c>
      <c r="E69" s="152" t="s">
        <v>2705</v>
      </c>
      <c r="F69" s="152" t="s">
        <v>2705</v>
      </c>
      <c r="G69" s="152" t="s">
        <v>2705</v>
      </c>
      <c r="H69" s="152" t="s">
        <v>2705</v>
      </c>
      <c r="I69" s="152" t="s">
        <v>2705</v>
      </c>
      <c r="J69" s="152" t="s">
        <v>2705</v>
      </c>
      <c r="K69" s="152" t="s">
        <v>2398</v>
      </c>
      <c r="L69" s="152" t="s">
        <v>2705</v>
      </c>
      <c r="M69" s="152" t="s">
        <v>2705</v>
      </c>
      <c r="N69" s="152" t="s">
        <v>2705</v>
      </c>
      <c r="O69" s="152" t="s">
        <v>2398</v>
      </c>
      <c r="P69" s="152" t="s">
        <v>2398</v>
      </c>
      <c r="Q69" s="152" t="s">
        <v>2705</v>
      </c>
      <c r="R69" s="152" t="s">
        <v>2705</v>
      </c>
      <c r="S69" s="152" t="s">
        <v>2705</v>
      </c>
      <c r="T69" s="152" t="s">
        <v>2398</v>
      </c>
      <c r="U69" s="152" t="s">
        <v>2398</v>
      </c>
      <c r="V69" s="142" cm="1">
        <f t="array" ref="V69">IF(A69&lt;&gt;"",SUM(--(B69:U70 = "X")*$U$3,--(B69:U70 ="A")*$Q$3,--(B69:U70 ="B")*$R$3,--(B69:U70 ="C")*$S$3),"")</f>
        <v>26</v>
      </c>
      <c r="X69" s="437" t="s">
        <v>7377</v>
      </c>
      <c r="Y69" s="437">
        <v>14</v>
      </c>
      <c r="Z69" s="436">
        <f>_xlfn.XLOOKUP(answers[[#This Row],[StudentID]],$A$7:$A$1418,$V$7:$V$1418)</f>
        <v>14</v>
      </c>
      <c r="AF69" s="142" t="s">
        <v>7351</v>
      </c>
      <c r="AG69" s="142" t="s">
        <v>2398</v>
      </c>
      <c r="AH69" s="142" t="s">
        <v>2705</v>
      </c>
      <c r="AI69" s="142" t="s">
        <v>2675</v>
      </c>
      <c r="AJ69" s="142" t="s">
        <v>2705</v>
      </c>
      <c r="AK69" s="142" t="s">
        <v>2705</v>
      </c>
      <c r="AL69" s="142" t="s">
        <v>2705</v>
      </c>
      <c r="AM69" s="142" t="s">
        <v>2705</v>
      </c>
      <c r="AN69" s="142" t="s">
        <v>2705</v>
      </c>
      <c r="AO69" s="142" t="s">
        <v>2705</v>
      </c>
      <c r="AP69" s="142" t="s">
        <v>2398</v>
      </c>
      <c r="AQ69" s="142" t="s">
        <v>2705</v>
      </c>
      <c r="AR69" s="142" t="s">
        <v>2705</v>
      </c>
      <c r="AS69" s="142" t="s">
        <v>2705</v>
      </c>
      <c r="AT69" s="142" t="s">
        <v>2398</v>
      </c>
      <c r="AU69" s="142" t="s">
        <v>2398</v>
      </c>
      <c r="AV69" s="142" t="s">
        <v>2705</v>
      </c>
      <c r="AW69" s="142" t="s">
        <v>2705</v>
      </c>
      <c r="AX69" s="142" t="s">
        <v>2705</v>
      </c>
      <c r="AY69" s="142" t="s">
        <v>2398</v>
      </c>
      <c r="AZ69" s="142" t="s">
        <v>2398</v>
      </c>
    </row>
    <row r="70" spans="1:52" s="142" customFormat="1" ht="12.75" x14ac:dyDescent="0.2">
      <c r="A70" s="151"/>
      <c r="B70" s="152" t="s">
        <v>2398</v>
      </c>
      <c r="C70" s="152" t="s">
        <v>2705</v>
      </c>
      <c r="D70" s="152" t="s">
        <v>2398</v>
      </c>
      <c r="E70" s="152" t="s">
        <v>2675</v>
      </c>
      <c r="F70" s="152" t="s">
        <v>2705</v>
      </c>
      <c r="G70" s="152" t="s">
        <v>2398</v>
      </c>
      <c r="H70" s="152" t="s">
        <v>2705</v>
      </c>
      <c r="I70" s="152" t="s">
        <v>2705</v>
      </c>
      <c r="J70" s="152" t="s">
        <v>2705</v>
      </c>
      <c r="K70" s="152" t="s">
        <v>2705</v>
      </c>
      <c r="L70" s="152" t="s">
        <v>2705</v>
      </c>
      <c r="M70" s="152" t="s">
        <v>2705</v>
      </c>
      <c r="N70" s="152" t="s">
        <v>2705</v>
      </c>
      <c r="O70" s="152" t="s">
        <v>2398</v>
      </c>
      <c r="P70" s="152" t="s">
        <v>2705</v>
      </c>
      <c r="Q70" s="152" t="s">
        <v>2705</v>
      </c>
      <c r="R70" s="152" t="s">
        <v>2398</v>
      </c>
      <c r="S70" s="152" t="s">
        <v>2705</v>
      </c>
      <c r="T70" s="152" t="s">
        <v>2705</v>
      </c>
      <c r="U70" s="152" t="s">
        <v>2705</v>
      </c>
      <c r="V70" s="142" t="str" cm="1">
        <f t="array" ref="V70">IF(A70&lt;&gt;"",SUM(--(B70:U71 = "X")*$U$3,--(B70:U71 ="A")*$Q$3,--(B70:U71 ="B")*$R$3,--(B70:U71 ="C")*$S$3),"")</f>
        <v/>
      </c>
      <c r="X70" s="437" t="s">
        <v>7378</v>
      </c>
      <c r="Y70" s="437">
        <v>13</v>
      </c>
      <c r="Z70" s="436">
        <f>_xlfn.XLOOKUP(answers[[#This Row],[StudentID]],$A$7:$A$1418,$V$7:$V$1418)</f>
        <v>13</v>
      </c>
      <c r="AG70" s="142" t="s">
        <v>2398</v>
      </c>
      <c r="AH70" s="142" t="s">
        <v>2705</v>
      </c>
      <c r="AI70" s="142" t="s">
        <v>2398</v>
      </c>
      <c r="AJ70" s="142" t="s">
        <v>2675</v>
      </c>
      <c r="AK70" s="142" t="s">
        <v>2705</v>
      </c>
      <c r="AL70" s="142" t="s">
        <v>2398</v>
      </c>
      <c r="AM70" s="142" t="s">
        <v>2705</v>
      </c>
      <c r="AN70" s="142" t="s">
        <v>2705</v>
      </c>
      <c r="AO70" s="142" t="s">
        <v>2705</v>
      </c>
      <c r="AP70" s="142" t="s">
        <v>2705</v>
      </c>
      <c r="AQ70" s="142" t="s">
        <v>2705</v>
      </c>
      <c r="AR70" s="142" t="s">
        <v>2705</v>
      </c>
      <c r="AS70" s="142" t="s">
        <v>2705</v>
      </c>
      <c r="AT70" s="142" t="s">
        <v>2398</v>
      </c>
      <c r="AU70" s="142" t="s">
        <v>2705</v>
      </c>
      <c r="AV70" s="142" t="s">
        <v>2705</v>
      </c>
      <c r="AW70" s="142" t="s">
        <v>2398</v>
      </c>
      <c r="AX70" s="142" t="s">
        <v>2705</v>
      </c>
      <c r="AY70" s="142" t="s">
        <v>2705</v>
      </c>
      <c r="AZ70" s="142" t="s">
        <v>2705</v>
      </c>
    </row>
    <row r="71" spans="1:52" s="142" customFormat="1" ht="12.75" x14ac:dyDescent="0.2">
      <c r="A71" s="151" t="s">
        <v>7352</v>
      </c>
      <c r="B71" s="152" t="s">
        <v>2398</v>
      </c>
      <c r="C71" s="152" t="s">
        <v>2705</v>
      </c>
      <c r="D71" s="152" t="s">
        <v>2675</v>
      </c>
      <c r="E71" s="152" t="s">
        <v>2398</v>
      </c>
      <c r="F71" s="152" t="s">
        <v>2705</v>
      </c>
      <c r="G71" s="152" t="s">
        <v>2705</v>
      </c>
      <c r="H71" s="152" t="s">
        <v>2705</v>
      </c>
      <c r="I71" s="152" t="s">
        <v>2398</v>
      </c>
      <c r="J71" s="152" t="s">
        <v>2675</v>
      </c>
      <c r="K71" s="152" t="s">
        <v>2675</v>
      </c>
      <c r="L71" s="152" t="s">
        <v>2398</v>
      </c>
      <c r="M71" s="152" t="s">
        <v>2705</v>
      </c>
      <c r="N71" s="152" t="s">
        <v>2705</v>
      </c>
      <c r="O71" s="152" t="s">
        <v>2705</v>
      </c>
      <c r="P71" s="152" t="s">
        <v>2705</v>
      </c>
      <c r="Q71" s="152" t="s">
        <v>2705</v>
      </c>
      <c r="R71" s="152" t="s">
        <v>2397</v>
      </c>
      <c r="S71" s="152" t="s">
        <v>2705</v>
      </c>
      <c r="T71" s="152" t="s">
        <v>2398</v>
      </c>
      <c r="U71" s="152" t="s">
        <v>2705</v>
      </c>
      <c r="V71" s="142" cm="1">
        <f t="array" ref="V71">IF(A71&lt;&gt;"",SUM(--(B71:U72 = "X")*$U$3,--(B71:U72 ="A")*$Q$3,--(B71:U72 ="B")*$R$3,--(B71:U72 ="C")*$S$3),"")</f>
        <v>16.5</v>
      </c>
      <c r="X71" s="437" t="s">
        <v>7379</v>
      </c>
      <c r="Y71" s="437">
        <v>20</v>
      </c>
      <c r="Z71" s="436">
        <f>_xlfn.XLOOKUP(answers[[#This Row],[StudentID]],$A$7:$A$1418,$V$7:$V$1418)</f>
        <v>20</v>
      </c>
      <c r="AF71" s="142" t="s">
        <v>7352</v>
      </c>
      <c r="AG71" s="142" t="s">
        <v>2398</v>
      </c>
      <c r="AH71" s="142" t="s">
        <v>2705</v>
      </c>
      <c r="AI71" s="142" t="s">
        <v>2675</v>
      </c>
      <c r="AJ71" s="142" t="s">
        <v>2398</v>
      </c>
      <c r="AK71" s="142" t="s">
        <v>2705</v>
      </c>
      <c r="AL71" s="142" t="s">
        <v>2705</v>
      </c>
      <c r="AM71" s="142" t="s">
        <v>2705</v>
      </c>
      <c r="AN71" s="142" t="s">
        <v>2398</v>
      </c>
      <c r="AO71" s="142" t="s">
        <v>2675</v>
      </c>
      <c r="AP71" s="142" t="s">
        <v>2675</v>
      </c>
      <c r="AQ71" s="142" t="s">
        <v>2398</v>
      </c>
      <c r="AR71" s="142" t="s">
        <v>2705</v>
      </c>
      <c r="AS71" s="142" t="s">
        <v>2705</v>
      </c>
      <c r="AT71" s="142" t="s">
        <v>2705</v>
      </c>
      <c r="AU71" s="142" t="s">
        <v>2705</v>
      </c>
      <c r="AV71" s="142" t="s">
        <v>2705</v>
      </c>
      <c r="AW71" s="142" t="s">
        <v>2397</v>
      </c>
      <c r="AX71" s="142" t="s">
        <v>2705</v>
      </c>
      <c r="AY71" s="142" t="s">
        <v>2398</v>
      </c>
      <c r="AZ71" s="142" t="s">
        <v>2705</v>
      </c>
    </row>
    <row r="72" spans="1:52" s="142" customFormat="1" ht="12.75" x14ac:dyDescent="0.2">
      <c r="A72" s="151"/>
      <c r="B72" s="152" t="s">
        <v>2705</v>
      </c>
      <c r="C72" s="152" t="s">
        <v>2398</v>
      </c>
      <c r="D72" s="152" t="s">
        <v>1435</v>
      </c>
      <c r="E72" s="152" t="s">
        <v>2675</v>
      </c>
      <c r="F72" s="152" t="s">
        <v>2398</v>
      </c>
      <c r="G72" s="152" t="s">
        <v>2398</v>
      </c>
      <c r="H72" s="152" t="s">
        <v>1435</v>
      </c>
      <c r="I72" s="152" t="s">
        <v>2398</v>
      </c>
      <c r="J72" s="152" t="s">
        <v>2398</v>
      </c>
      <c r="K72" s="152" t="s">
        <v>2705</v>
      </c>
      <c r="L72" s="152" t="s">
        <v>2705</v>
      </c>
      <c r="M72" s="152" t="s">
        <v>2705</v>
      </c>
      <c r="N72" s="152" t="s">
        <v>2705</v>
      </c>
      <c r="O72" s="152" t="s">
        <v>2705</v>
      </c>
      <c r="P72" s="152" t="s">
        <v>2675</v>
      </c>
      <c r="Q72" s="152" t="s">
        <v>2705</v>
      </c>
      <c r="R72" s="152" t="s">
        <v>2398</v>
      </c>
      <c r="S72" s="152" t="s">
        <v>2705</v>
      </c>
      <c r="T72" s="152" t="s">
        <v>2398</v>
      </c>
      <c r="U72" s="152" t="s">
        <v>2705</v>
      </c>
      <c r="V72" s="142" t="str" cm="1">
        <f t="array" ref="V72">IF(A72&lt;&gt;"",SUM(--(B72:U73 = "X")*$U$3,--(B72:U73 ="A")*$Q$3,--(B72:U73 ="B")*$R$3,--(B72:U73 ="C")*$S$3),"")</f>
        <v/>
      </c>
      <c r="X72" s="437" t="s">
        <v>7380</v>
      </c>
      <c r="Y72" s="437">
        <v>12</v>
      </c>
      <c r="Z72" s="436">
        <f>_xlfn.XLOOKUP(answers[[#This Row],[StudentID]],$A$7:$A$1418,$V$7:$V$1418)</f>
        <v>12</v>
      </c>
      <c r="AG72" s="142" t="s">
        <v>2705</v>
      </c>
      <c r="AH72" s="142" t="s">
        <v>2398</v>
      </c>
      <c r="AI72" s="142" t="s">
        <v>1435</v>
      </c>
      <c r="AJ72" s="142" t="s">
        <v>2675</v>
      </c>
      <c r="AK72" s="142" t="s">
        <v>2398</v>
      </c>
      <c r="AL72" s="142" t="s">
        <v>2398</v>
      </c>
      <c r="AM72" s="142" t="s">
        <v>1435</v>
      </c>
      <c r="AN72" s="142" t="s">
        <v>2398</v>
      </c>
      <c r="AO72" s="142" t="s">
        <v>2398</v>
      </c>
      <c r="AP72" s="142" t="s">
        <v>2705</v>
      </c>
      <c r="AQ72" s="142" t="s">
        <v>2705</v>
      </c>
      <c r="AR72" s="142" t="s">
        <v>2705</v>
      </c>
      <c r="AS72" s="142" t="s">
        <v>2705</v>
      </c>
      <c r="AT72" s="142" t="s">
        <v>2705</v>
      </c>
      <c r="AU72" s="142" t="s">
        <v>2675</v>
      </c>
      <c r="AV72" s="142" t="s">
        <v>2705</v>
      </c>
      <c r="AW72" s="142" t="s">
        <v>2398</v>
      </c>
      <c r="AX72" s="142" t="s">
        <v>2705</v>
      </c>
      <c r="AY72" s="142" t="s">
        <v>2398</v>
      </c>
      <c r="AZ72" s="142" t="s">
        <v>2705</v>
      </c>
    </row>
    <row r="73" spans="1:52" s="142" customFormat="1" ht="12.75" x14ac:dyDescent="0.2">
      <c r="A73" s="151" t="s">
        <v>7353</v>
      </c>
      <c r="B73" s="152" t="s">
        <v>2675</v>
      </c>
      <c r="C73" s="152" t="s">
        <v>2705</v>
      </c>
      <c r="D73" s="152" t="s">
        <v>2705</v>
      </c>
      <c r="E73" s="152" t="s">
        <v>2705</v>
      </c>
      <c r="F73" s="152" t="s">
        <v>2398</v>
      </c>
      <c r="G73" s="152" t="s">
        <v>2705</v>
      </c>
      <c r="H73" s="152" t="s">
        <v>1435</v>
      </c>
      <c r="I73" s="152" t="s">
        <v>2398</v>
      </c>
      <c r="J73" s="152" t="s">
        <v>2705</v>
      </c>
      <c r="K73" s="152" t="s">
        <v>2705</v>
      </c>
      <c r="L73" s="152" t="s">
        <v>2705</v>
      </c>
      <c r="M73" s="152" t="s">
        <v>2398</v>
      </c>
      <c r="N73" s="152" t="s">
        <v>2705</v>
      </c>
      <c r="O73" s="152" t="s">
        <v>2398</v>
      </c>
      <c r="P73" s="152" t="s">
        <v>2675</v>
      </c>
      <c r="Q73" s="152" t="s">
        <v>2398</v>
      </c>
      <c r="R73" s="152" t="s">
        <v>2398</v>
      </c>
      <c r="S73" s="152" t="s">
        <v>2398</v>
      </c>
      <c r="T73" s="152" t="s">
        <v>2398</v>
      </c>
      <c r="U73" s="152" t="s">
        <v>2705</v>
      </c>
      <c r="V73" s="142" cm="1">
        <f t="array" ref="V73">IF(A73&lt;&gt;"",SUM(--(B73:U74 = "X")*$U$3,--(B73:U74 ="A")*$Q$3,--(B73:U74 ="B")*$R$3,--(B73:U74 ="C")*$S$3),"")</f>
        <v>15.5</v>
      </c>
      <c r="X73" s="437" t="s">
        <v>7381</v>
      </c>
      <c r="Y73" s="437">
        <v>17</v>
      </c>
      <c r="Z73" s="436">
        <f>_xlfn.XLOOKUP(answers[[#This Row],[StudentID]],$A$7:$A$1418,$V$7:$V$1418)</f>
        <v>17</v>
      </c>
      <c r="AF73" s="142" t="s">
        <v>7353</v>
      </c>
      <c r="AG73" s="142" t="s">
        <v>2675</v>
      </c>
      <c r="AH73" s="142" t="s">
        <v>2705</v>
      </c>
      <c r="AI73" s="142" t="s">
        <v>2705</v>
      </c>
      <c r="AJ73" s="142" t="s">
        <v>2705</v>
      </c>
      <c r="AK73" s="142" t="s">
        <v>2398</v>
      </c>
      <c r="AL73" s="142" t="s">
        <v>2705</v>
      </c>
      <c r="AM73" s="142" t="s">
        <v>1435</v>
      </c>
      <c r="AN73" s="142" t="s">
        <v>2398</v>
      </c>
      <c r="AO73" s="142" t="s">
        <v>2705</v>
      </c>
      <c r="AP73" s="142" t="s">
        <v>2705</v>
      </c>
      <c r="AQ73" s="142" t="s">
        <v>2705</v>
      </c>
      <c r="AR73" s="142" t="s">
        <v>2398</v>
      </c>
      <c r="AS73" s="142" t="s">
        <v>2705</v>
      </c>
      <c r="AT73" s="142" t="s">
        <v>2398</v>
      </c>
      <c r="AU73" s="142" t="s">
        <v>2675</v>
      </c>
      <c r="AV73" s="142" t="s">
        <v>2398</v>
      </c>
      <c r="AW73" s="142" t="s">
        <v>2398</v>
      </c>
      <c r="AX73" s="142" t="s">
        <v>2398</v>
      </c>
      <c r="AY73" s="142" t="s">
        <v>2398</v>
      </c>
      <c r="AZ73" s="142" t="s">
        <v>2705</v>
      </c>
    </row>
    <row r="74" spans="1:52" s="142" customFormat="1" ht="12.75" x14ac:dyDescent="0.2">
      <c r="A74" s="151"/>
      <c r="B74" s="152" t="s">
        <v>1435</v>
      </c>
      <c r="C74" s="152" t="s">
        <v>1435</v>
      </c>
      <c r="D74" s="152" t="s">
        <v>2705</v>
      </c>
      <c r="E74" s="152" t="s">
        <v>2705</v>
      </c>
      <c r="F74" s="152" t="s">
        <v>2705</v>
      </c>
      <c r="G74" s="152" t="s">
        <v>2398</v>
      </c>
      <c r="H74" s="152" t="s">
        <v>2705</v>
      </c>
      <c r="I74" s="152" t="s">
        <v>2705</v>
      </c>
      <c r="J74" s="152" t="s">
        <v>2705</v>
      </c>
      <c r="K74" s="152" t="s">
        <v>2705</v>
      </c>
      <c r="L74" s="152" t="s">
        <v>1435</v>
      </c>
      <c r="M74" s="152" t="s">
        <v>2675</v>
      </c>
      <c r="N74" s="152" t="s">
        <v>2705</v>
      </c>
      <c r="O74" s="152" t="s">
        <v>2398</v>
      </c>
      <c r="P74" s="152" t="s">
        <v>2675</v>
      </c>
      <c r="Q74" s="152" t="s">
        <v>2705</v>
      </c>
      <c r="R74" s="152" t="s">
        <v>1435</v>
      </c>
      <c r="S74" s="152" t="s">
        <v>2398</v>
      </c>
      <c r="T74" s="152" t="s">
        <v>2705</v>
      </c>
      <c r="U74" s="152" t="s">
        <v>2705</v>
      </c>
      <c r="V74" s="142" t="str" cm="1">
        <f t="array" ref="V74">IF(A74&lt;&gt;"",SUM(--(B74:U75 = "X")*$U$3,--(B74:U75 ="A")*$Q$3,--(B74:U75 ="B")*$R$3,--(B74:U75 ="C")*$S$3),"")</f>
        <v/>
      </c>
      <c r="X74" s="437" t="s">
        <v>7382</v>
      </c>
      <c r="Y74" s="437">
        <v>24</v>
      </c>
      <c r="Z74" s="436">
        <f>_xlfn.XLOOKUP(answers[[#This Row],[StudentID]],$A$7:$A$1418,$V$7:$V$1418)</f>
        <v>24</v>
      </c>
      <c r="AG74" s="142" t="s">
        <v>1435</v>
      </c>
      <c r="AH74" s="142" t="s">
        <v>1435</v>
      </c>
      <c r="AI74" s="142" t="s">
        <v>2705</v>
      </c>
      <c r="AJ74" s="142" t="s">
        <v>2705</v>
      </c>
      <c r="AK74" s="142" t="s">
        <v>2705</v>
      </c>
      <c r="AL74" s="142" t="s">
        <v>2398</v>
      </c>
      <c r="AM74" s="142" t="s">
        <v>2705</v>
      </c>
      <c r="AN74" s="142" t="s">
        <v>2705</v>
      </c>
      <c r="AO74" s="142" t="s">
        <v>2705</v>
      </c>
      <c r="AP74" s="142" t="s">
        <v>2705</v>
      </c>
      <c r="AQ74" s="142" t="s">
        <v>1435</v>
      </c>
      <c r="AR74" s="142" t="s">
        <v>2675</v>
      </c>
      <c r="AS74" s="142" t="s">
        <v>2705</v>
      </c>
      <c r="AT74" s="142" t="s">
        <v>2398</v>
      </c>
      <c r="AU74" s="142" t="s">
        <v>2675</v>
      </c>
      <c r="AV74" s="142" t="s">
        <v>2705</v>
      </c>
      <c r="AW74" s="142" t="s">
        <v>1435</v>
      </c>
      <c r="AX74" s="142" t="s">
        <v>2398</v>
      </c>
      <c r="AY74" s="142" t="s">
        <v>2705</v>
      </c>
      <c r="AZ74" s="142" t="s">
        <v>2705</v>
      </c>
    </row>
    <row r="75" spans="1:52" s="142" customFormat="1" ht="12.75" x14ac:dyDescent="0.2">
      <c r="A75" s="151" t="s">
        <v>7354</v>
      </c>
      <c r="B75" s="152" t="s">
        <v>2705</v>
      </c>
      <c r="C75" s="152" t="s">
        <v>2705</v>
      </c>
      <c r="D75" s="152" t="s">
        <v>2398</v>
      </c>
      <c r="E75" s="152" t="s">
        <v>1435</v>
      </c>
      <c r="F75" s="152" t="s">
        <v>2705</v>
      </c>
      <c r="G75" s="152" t="s">
        <v>2705</v>
      </c>
      <c r="H75" s="152" t="s">
        <v>2705</v>
      </c>
      <c r="I75" s="152" t="s">
        <v>2705</v>
      </c>
      <c r="J75" s="152" t="s">
        <v>2705</v>
      </c>
      <c r="K75" s="152" t="s">
        <v>2398</v>
      </c>
      <c r="L75" s="152" t="s">
        <v>2705</v>
      </c>
      <c r="M75" s="152" t="s">
        <v>2705</v>
      </c>
      <c r="N75" s="152" t="s">
        <v>2705</v>
      </c>
      <c r="O75" s="152" t="s">
        <v>2705</v>
      </c>
      <c r="P75" s="152" t="s">
        <v>2705</v>
      </c>
      <c r="Q75" s="152" t="s">
        <v>2705</v>
      </c>
      <c r="R75" s="152" t="s">
        <v>2705</v>
      </c>
      <c r="S75" s="152" t="s">
        <v>2705</v>
      </c>
      <c r="T75" s="152" t="s">
        <v>2705</v>
      </c>
      <c r="U75" s="152" t="s">
        <v>2705</v>
      </c>
      <c r="V75" s="142" cm="1">
        <f t="array" ref="V75">IF(A75&lt;&gt;"",SUM(--(B75:U76 = "X")*$U$3,--(B75:U76 ="A")*$Q$3,--(B75:U76 ="B")*$R$3,--(B75:U76 ="C")*$S$3),"")</f>
        <v>34</v>
      </c>
      <c r="X75" s="437" t="s">
        <v>7383</v>
      </c>
      <c r="Y75" s="437">
        <v>17</v>
      </c>
      <c r="Z75" s="436">
        <f>_xlfn.XLOOKUP(answers[[#This Row],[StudentID]],$A$7:$A$1418,$V$7:$V$1418)</f>
        <v>17</v>
      </c>
      <c r="AF75" s="142" t="s">
        <v>7354</v>
      </c>
      <c r="AG75" s="142" t="s">
        <v>2705</v>
      </c>
      <c r="AH75" s="142" t="s">
        <v>2705</v>
      </c>
      <c r="AI75" s="142" t="s">
        <v>2398</v>
      </c>
      <c r="AJ75" s="142" t="s">
        <v>1435</v>
      </c>
      <c r="AK75" s="142" t="s">
        <v>2705</v>
      </c>
      <c r="AL75" s="142" t="s">
        <v>2705</v>
      </c>
      <c r="AM75" s="142" t="s">
        <v>2705</v>
      </c>
      <c r="AN75" s="142" t="s">
        <v>2705</v>
      </c>
      <c r="AO75" s="142" t="s">
        <v>2705</v>
      </c>
      <c r="AP75" s="142" t="s">
        <v>2398</v>
      </c>
      <c r="AQ75" s="142" t="s">
        <v>2705</v>
      </c>
      <c r="AR75" s="142" t="s">
        <v>2705</v>
      </c>
      <c r="AS75" s="142" t="s">
        <v>2705</v>
      </c>
      <c r="AT75" s="142" t="s">
        <v>2705</v>
      </c>
      <c r="AU75" s="142" t="s">
        <v>2705</v>
      </c>
      <c r="AV75" s="142" t="s">
        <v>2705</v>
      </c>
      <c r="AW75" s="142" t="s">
        <v>2705</v>
      </c>
      <c r="AX75" s="142" t="s">
        <v>2705</v>
      </c>
      <c r="AY75" s="142" t="s">
        <v>2705</v>
      </c>
      <c r="AZ75" s="142" t="s">
        <v>2705</v>
      </c>
    </row>
    <row r="76" spans="1:52" s="142" customFormat="1" ht="12.75" x14ac:dyDescent="0.2">
      <c r="A76" s="151"/>
      <c r="B76" s="152" t="s">
        <v>2705</v>
      </c>
      <c r="C76" s="152" t="s">
        <v>2398</v>
      </c>
      <c r="D76" s="152" t="s">
        <v>2705</v>
      </c>
      <c r="E76" s="152" t="s">
        <v>2705</v>
      </c>
      <c r="F76" s="152" t="s">
        <v>2705</v>
      </c>
      <c r="G76" s="152" t="s">
        <v>2705</v>
      </c>
      <c r="H76" s="152" t="s">
        <v>2705</v>
      </c>
      <c r="I76" s="152" t="s">
        <v>1435</v>
      </c>
      <c r="J76" s="152" t="s">
        <v>2705</v>
      </c>
      <c r="K76" s="152" t="s">
        <v>2705</v>
      </c>
      <c r="L76" s="152" t="s">
        <v>2705</v>
      </c>
      <c r="M76" s="152" t="s">
        <v>2705</v>
      </c>
      <c r="N76" s="152" t="s">
        <v>2705</v>
      </c>
      <c r="O76" s="152" t="s">
        <v>2705</v>
      </c>
      <c r="P76" s="152" t="s">
        <v>2705</v>
      </c>
      <c r="Q76" s="152" t="s">
        <v>2705</v>
      </c>
      <c r="R76" s="152" t="s">
        <v>2705</v>
      </c>
      <c r="S76" s="152" t="s">
        <v>2705</v>
      </c>
      <c r="T76" s="152" t="s">
        <v>2705</v>
      </c>
      <c r="U76" s="152" t="s">
        <v>2705</v>
      </c>
      <c r="V76" s="142" t="str" cm="1">
        <f t="array" ref="V76">IF(A76&lt;&gt;"",SUM(--(B76:U77 = "X")*$U$3,--(B76:U77 ="A")*$Q$3,--(B76:U77 ="B")*$R$3,--(B76:U77 ="C")*$S$3),"")</f>
        <v/>
      </c>
      <c r="X76" s="437" t="s">
        <v>7384</v>
      </c>
      <c r="Y76" s="437">
        <v>30.5</v>
      </c>
      <c r="Z76" s="436">
        <f>_xlfn.XLOOKUP(answers[[#This Row],[StudentID]],$A$7:$A$1418,$V$7:$V$1418)</f>
        <v>30.5</v>
      </c>
      <c r="AG76" s="142" t="s">
        <v>2705</v>
      </c>
      <c r="AH76" s="142" t="s">
        <v>2398</v>
      </c>
      <c r="AI76" s="142" t="s">
        <v>2705</v>
      </c>
      <c r="AJ76" s="142" t="s">
        <v>2705</v>
      </c>
      <c r="AK76" s="142" t="s">
        <v>2705</v>
      </c>
      <c r="AL76" s="142" t="s">
        <v>2705</v>
      </c>
      <c r="AM76" s="142" t="s">
        <v>2705</v>
      </c>
      <c r="AN76" s="142" t="s">
        <v>1435</v>
      </c>
      <c r="AO76" s="142" t="s">
        <v>2705</v>
      </c>
      <c r="AP76" s="142" t="s">
        <v>2705</v>
      </c>
      <c r="AQ76" s="142" t="s">
        <v>2705</v>
      </c>
      <c r="AR76" s="142" t="s">
        <v>2705</v>
      </c>
      <c r="AS76" s="142" t="s">
        <v>2705</v>
      </c>
      <c r="AT76" s="142" t="s">
        <v>2705</v>
      </c>
      <c r="AU76" s="142" t="s">
        <v>2705</v>
      </c>
      <c r="AV76" s="142" t="s">
        <v>2705</v>
      </c>
      <c r="AW76" s="142" t="s">
        <v>2705</v>
      </c>
      <c r="AX76" s="142" t="s">
        <v>2705</v>
      </c>
      <c r="AY76" s="142" t="s">
        <v>2705</v>
      </c>
      <c r="AZ76" s="142" t="s">
        <v>2705</v>
      </c>
    </row>
    <row r="77" spans="1:52" s="142" customFormat="1" ht="12.75" x14ac:dyDescent="0.2">
      <c r="A77" s="151" t="s">
        <v>7355</v>
      </c>
      <c r="B77" s="152" t="s">
        <v>1435</v>
      </c>
      <c r="C77" s="152" t="s">
        <v>2705</v>
      </c>
      <c r="D77" s="152" t="s">
        <v>1435</v>
      </c>
      <c r="E77" s="152" t="s">
        <v>2705</v>
      </c>
      <c r="F77" s="152" t="s">
        <v>1435</v>
      </c>
      <c r="G77" s="152" t="s">
        <v>2705</v>
      </c>
      <c r="H77" s="152" t="s">
        <v>2398</v>
      </c>
      <c r="I77" s="152" t="s">
        <v>2675</v>
      </c>
      <c r="J77" s="152" t="s">
        <v>2675</v>
      </c>
      <c r="K77" s="152" t="s">
        <v>2398</v>
      </c>
      <c r="L77" s="152" t="s">
        <v>2675</v>
      </c>
      <c r="M77" s="152" t="s">
        <v>2705</v>
      </c>
      <c r="N77" s="152" t="s">
        <v>2705</v>
      </c>
      <c r="O77" s="152" t="s">
        <v>2705</v>
      </c>
      <c r="P77" s="152" t="s">
        <v>2705</v>
      </c>
      <c r="Q77" s="152" t="s">
        <v>2705</v>
      </c>
      <c r="R77" s="152" t="s">
        <v>2705</v>
      </c>
      <c r="S77" s="152" t="s">
        <v>2705</v>
      </c>
      <c r="T77" s="152" t="s">
        <v>2398</v>
      </c>
      <c r="U77" s="152" t="s">
        <v>2705</v>
      </c>
      <c r="V77" s="142" cm="1">
        <f t="array" ref="V77">IF(A77&lt;&gt;"",SUM(--(B77:U78 = "X")*$U$3,--(B77:U78 ="A")*$Q$3,--(B77:U78 ="B")*$R$3,--(B77:U78 ="C")*$S$3),"")</f>
        <v>12</v>
      </c>
      <c r="X77" s="437" t="s">
        <v>7385</v>
      </c>
      <c r="Y77" s="437">
        <v>18.5</v>
      </c>
      <c r="Z77" s="436">
        <f>_xlfn.XLOOKUP(answers[[#This Row],[StudentID]],$A$7:$A$1418,$V$7:$V$1418)</f>
        <v>18.5</v>
      </c>
      <c r="AF77" s="142" t="s">
        <v>7355</v>
      </c>
      <c r="AG77" s="142" t="s">
        <v>1435</v>
      </c>
      <c r="AH77" s="142" t="s">
        <v>2705</v>
      </c>
      <c r="AI77" s="142" t="s">
        <v>1435</v>
      </c>
      <c r="AJ77" s="142" t="s">
        <v>2705</v>
      </c>
      <c r="AK77" s="142" t="s">
        <v>1435</v>
      </c>
      <c r="AL77" s="142" t="s">
        <v>2705</v>
      </c>
      <c r="AM77" s="142" t="s">
        <v>2398</v>
      </c>
      <c r="AN77" s="142" t="s">
        <v>2675</v>
      </c>
      <c r="AO77" s="142" t="s">
        <v>2675</v>
      </c>
      <c r="AP77" s="142" t="s">
        <v>2398</v>
      </c>
      <c r="AQ77" s="142" t="s">
        <v>2675</v>
      </c>
      <c r="AR77" s="142" t="s">
        <v>2705</v>
      </c>
      <c r="AS77" s="142" t="s">
        <v>2705</v>
      </c>
      <c r="AT77" s="142" t="s">
        <v>2705</v>
      </c>
      <c r="AU77" s="142" t="s">
        <v>2705</v>
      </c>
      <c r="AV77" s="142" t="s">
        <v>2705</v>
      </c>
      <c r="AW77" s="142" t="s">
        <v>2705</v>
      </c>
      <c r="AX77" s="142" t="s">
        <v>2705</v>
      </c>
      <c r="AY77" s="142" t="s">
        <v>2398</v>
      </c>
      <c r="AZ77" s="142" t="s">
        <v>2705</v>
      </c>
    </row>
    <row r="78" spans="1:52" s="142" customFormat="1" ht="12.75" x14ac:dyDescent="0.2">
      <c r="A78" s="151"/>
      <c r="B78" s="152" t="s">
        <v>2398</v>
      </c>
      <c r="C78" s="152" t="s">
        <v>2675</v>
      </c>
      <c r="D78" s="152" t="s">
        <v>2705</v>
      </c>
      <c r="E78" s="152" t="s">
        <v>2705</v>
      </c>
      <c r="F78" s="152" t="s">
        <v>2398</v>
      </c>
      <c r="G78" s="152" t="s">
        <v>2398</v>
      </c>
      <c r="H78" s="152" t="s">
        <v>2705</v>
      </c>
      <c r="I78" s="152" t="s">
        <v>2398</v>
      </c>
      <c r="J78" s="152" t="s">
        <v>2398</v>
      </c>
      <c r="K78" s="152" t="s">
        <v>2398</v>
      </c>
      <c r="L78" s="152" t="s">
        <v>2675</v>
      </c>
      <c r="M78" s="152" t="s">
        <v>2398</v>
      </c>
      <c r="N78" s="152" t="s">
        <v>2705</v>
      </c>
      <c r="O78" s="152" t="s">
        <v>2705</v>
      </c>
      <c r="P78" s="152" t="s">
        <v>1435</v>
      </c>
      <c r="Q78" s="152" t="s">
        <v>1435</v>
      </c>
      <c r="R78" s="152" t="s">
        <v>2398</v>
      </c>
      <c r="S78" s="152" t="s">
        <v>2705</v>
      </c>
      <c r="T78" s="152" t="s">
        <v>2398</v>
      </c>
      <c r="U78" s="152" t="s">
        <v>2398</v>
      </c>
      <c r="V78" s="142" t="str" cm="1">
        <f t="array" ref="V78">IF(A78&lt;&gt;"",SUM(--(B78:U79 = "X")*$U$3,--(B78:U79 ="A")*$Q$3,--(B78:U79 ="B")*$R$3,--(B78:U79 ="C")*$S$3),"")</f>
        <v/>
      </c>
      <c r="X78" s="437" t="s">
        <v>7386</v>
      </c>
      <c r="Y78" s="437">
        <v>12</v>
      </c>
      <c r="Z78" s="436">
        <f>_xlfn.XLOOKUP(answers[[#This Row],[StudentID]],$A$7:$A$1418,$V$7:$V$1418)</f>
        <v>12</v>
      </c>
      <c r="AG78" s="142" t="s">
        <v>2398</v>
      </c>
      <c r="AH78" s="142" t="s">
        <v>2675</v>
      </c>
      <c r="AI78" s="142" t="s">
        <v>2705</v>
      </c>
      <c r="AJ78" s="142" t="s">
        <v>2705</v>
      </c>
      <c r="AK78" s="142" t="s">
        <v>2398</v>
      </c>
      <c r="AL78" s="142" t="s">
        <v>2398</v>
      </c>
      <c r="AM78" s="142" t="s">
        <v>2705</v>
      </c>
      <c r="AN78" s="142" t="s">
        <v>2398</v>
      </c>
      <c r="AO78" s="142" t="s">
        <v>2398</v>
      </c>
      <c r="AP78" s="142" t="s">
        <v>2398</v>
      </c>
      <c r="AQ78" s="142" t="s">
        <v>2675</v>
      </c>
      <c r="AR78" s="142" t="s">
        <v>2398</v>
      </c>
      <c r="AS78" s="142" t="s">
        <v>2705</v>
      </c>
      <c r="AT78" s="142" t="s">
        <v>2705</v>
      </c>
      <c r="AU78" s="142" t="s">
        <v>1435</v>
      </c>
      <c r="AV78" s="142" t="s">
        <v>1435</v>
      </c>
      <c r="AW78" s="142" t="s">
        <v>2398</v>
      </c>
      <c r="AX78" s="142" t="s">
        <v>2705</v>
      </c>
      <c r="AY78" s="142" t="s">
        <v>2398</v>
      </c>
      <c r="AZ78" s="142" t="s">
        <v>2398</v>
      </c>
    </row>
    <row r="79" spans="1:52" s="142" customFormat="1" ht="12.75" x14ac:dyDescent="0.2">
      <c r="A79" s="151" t="s">
        <v>7356</v>
      </c>
      <c r="B79" s="152" t="s">
        <v>2705</v>
      </c>
      <c r="C79" s="152" t="s">
        <v>2705</v>
      </c>
      <c r="D79" s="152" t="s">
        <v>2705</v>
      </c>
      <c r="E79" s="152" t="s">
        <v>2398</v>
      </c>
      <c r="F79" s="152" t="s">
        <v>2705</v>
      </c>
      <c r="G79" s="152" t="s">
        <v>2705</v>
      </c>
      <c r="H79" s="152" t="s">
        <v>2705</v>
      </c>
      <c r="I79" s="152" t="s">
        <v>2705</v>
      </c>
      <c r="J79" s="152" t="s">
        <v>2705</v>
      </c>
      <c r="K79" s="152" t="s">
        <v>1435</v>
      </c>
      <c r="L79" s="152" t="s">
        <v>2705</v>
      </c>
      <c r="M79" s="152" t="s">
        <v>2398</v>
      </c>
      <c r="N79" s="152" t="s">
        <v>2398</v>
      </c>
      <c r="O79" s="152" t="s">
        <v>2397</v>
      </c>
      <c r="P79" s="152" t="s">
        <v>2705</v>
      </c>
      <c r="Q79" s="152" t="s">
        <v>2398</v>
      </c>
      <c r="R79" s="152" t="s">
        <v>2398</v>
      </c>
      <c r="S79" s="152" t="s">
        <v>2705</v>
      </c>
      <c r="T79" s="152" t="s">
        <v>1435</v>
      </c>
      <c r="U79" s="152" t="s">
        <v>2705</v>
      </c>
      <c r="V79" s="142" cm="1">
        <f t="array" ref="V79">IF(A79&lt;&gt;"",SUM(--(B79:U80 = "X")*$U$3,--(B79:U80 ="A")*$Q$3,--(B79:U80 ="B")*$R$3,--(B79:U80 ="C")*$S$3),"")</f>
        <v>25</v>
      </c>
      <c r="X79" s="437" t="s">
        <v>7387</v>
      </c>
      <c r="Y79" s="437">
        <v>15.5</v>
      </c>
      <c r="Z79" s="436">
        <f>_xlfn.XLOOKUP(answers[[#This Row],[StudentID]],$A$7:$A$1418,$V$7:$V$1418)</f>
        <v>15.5</v>
      </c>
      <c r="AF79" s="142" t="s">
        <v>7356</v>
      </c>
      <c r="AG79" s="142" t="s">
        <v>2705</v>
      </c>
      <c r="AH79" s="142" t="s">
        <v>2705</v>
      </c>
      <c r="AI79" s="142" t="s">
        <v>2705</v>
      </c>
      <c r="AJ79" s="142" t="s">
        <v>2398</v>
      </c>
      <c r="AK79" s="142" t="s">
        <v>2705</v>
      </c>
      <c r="AL79" s="142" t="s">
        <v>2705</v>
      </c>
      <c r="AM79" s="142" t="s">
        <v>2705</v>
      </c>
      <c r="AN79" s="142" t="s">
        <v>2705</v>
      </c>
      <c r="AO79" s="142" t="s">
        <v>2705</v>
      </c>
      <c r="AP79" s="142" t="s">
        <v>1435</v>
      </c>
      <c r="AQ79" s="142" t="s">
        <v>2705</v>
      </c>
      <c r="AR79" s="142" t="s">
        <v>2398</v>
      </c>
      <c r="AS79" s="142" t="s">
        <v>2398</v>
      </c>
      <c r="AT79" s="142" t="s">
        <v>2397</v>
      </c>
      <c r="AU79" s="142" t="s">
        <v>2705</v>
      </c>
      <c r="AV79" s="142" t="s">
        <v>2398</v>
      </c>
      <c r="AW79" s="142" t="s">
        <v>2398</v>
      </c>
      <c r="AX79" s="142" t="s">
        <v>2705</v>
      </c>
      <c r="AY79" s="142" t="s">
        <v>1435</v>
      </c>
      <c r="AZ79" s="142" t="s">
        <v>2705</v>
      </c>
    </row>
    <row r="80" spans="1:52" s="142" customFormat="1" ht="12.75" x14ac:dyDescent="0.2">
      <c r="A80" s="151"/>
      <c r="B80" s="152" t="s">
        <v>2705</v>
      </c>
      <c r="C80" s="152" t="s">
        <v>2398</v>
      </c>
      <c r="D80" s="152" t="s">
        <v>2705</v>
      </c>
      <c r="E80" s="152" t="s">
        <v>2705</v>
      </c>
      <c r="F80" s="152" t="s">
        <v>2398</v>
      </c>
      <c r="G80" s="152" t="s">
        <v>2675</v>
      </c>
      <c r="H80" s="152" t="s">
        <v>2705</v>
      </c>
      <c r="I80" s="152" t="s">
        <v>2705</v>
      </c>
      <c r="J80" s="152" t="s">
        <v>2705</v>
      </c>
      <c r="K80" s="152" t="s">
        <v>2675</v>
      </c>
      <c r="L80" s="152" t="s">
        <v>2705</v>
      </c>
      <c r="M80" s="152" t="s">
        <v>2398</v>
      </c>
      <c r="N80" s="152" t="s">
        <v>2705</v>
      </c>
      <c r="O80" s="152" t="s">
        <v>2705</v>
      </c>
      <c r="P80" s="152" t="s">
        <v>2705</v>
      </c>
      <c r="Q80" s="152" t="s">
        <v>2705</v>
      </c>
      <c r="R80" s="152" t="s">
        <v>2705</v>
      </c>
      <c r="S80" s="152" t="s">
        <v>2705</v>
      </c>
      <c r="T80" s="152" t="s">
        <v>2705</v>
      </c>
      <c r="U80" s="152" t="s">
        <v>2705</v>
      </c>
      <c r="V80" s="142" t="str" cm="1">
        <f t="array" ref="V80">IF(A80&lt;&gt;"",SUM(--(B80:U81 = "X")*$U$3,--(B80:U81 ="A")*$Q$3,--(B80:U81 ="B")*$R$3,--(B80:U81 ="C")*$S$3),"")</f>
        <v/>
      </c>
      <c r="X80" s="437" t="s">
        <v>7388</v>
      </c>
      <c r="Y80" s="437">
        <v>20.5</v>
      </c>
      <c r="Z80" s="436">
        <f>_xlfn.XLOOKUP(answers[[#This Row],[StudentID]],$A$7:$A$1418,$V$7:$V$1418)</f>
        <v>20.5</v>
      </c>
      <c r="AG80" s="142" t="s">
        <v>2705</v>
      </c>
      <c r="AH80" s="142" t="s">
        <v>2398</v>
      </c>
      <c r="AI80" s="142" t="s">
        <v>2705</v>
      </c>
      <c r="AJ80" s="142" t="s">
        <v>2705</v>
      </c>
      <c r="AK80" s="142" t="s">
        <v>2398</v>
      </c>
      <c r="AL80" s="142" t="s">
        <v>2675</v>
      </c>
      <c r="AM80" s="142" t="s">
        <v>2705</v>
      </c>
      <c r="AN80" s="142" t="s">
        <v>2705</v>
      </c>
      <c r="AO80" s="142" t="s">
        <v>2705</v>
      </c>
      <c r="AP80" s="142" t="s">
        <v>2675</v>
      </c>
      <c r="AQ80" s="142" t="s">
        <v>2705</v>
      </c>
      <c r="AR80" s="142" t="s">
        <v>2398</v>
      </c>
      <c r="AS80" s="142" t="s">
        <v>2705</v>
      </c>
      <c r="AT80" s="142" t="s">
        <v>2705</v>
      </c>
      <c r="AU80" s="142" t="s">
        <v>2705</v>
      </c>
      <c r="AV80" s="142" t="s">
        <v>2705</v>
      </c>
      <c r="AW80" s="142" t="s">
        <v>2705</v>
      </c>
      <c r="AX80" s="142" t="s">
        <v>2705</v>
      </c>
      <c r="AY80" s="142" t="s">
        <v>2705</v>
      </c>
      <c r="AZ80" s="142" t="s">
        <v>2705</v>
      </c>
    </row>
    <row r="81" spans="1:52" s="142" customFormat="1" ht="12.75" x14ac:dyDescent="0.2">
      <c r="A81" s="151" t="s">
        <v>7357</v>
      </c>
      <c r="B81" s="152" t="s">
        <v>2675</v>
      </c>
      <c r="C81" s="152" t="s">
        <v>2705</v>
      </c>
      <c r="D81" s="152" t="s">
        <v>2705</v>
      </c>
      <c r="E81" s="152" t="s">
        <v>2398</v>
      </c>
      <c r="F81" s="152" t="s">
        <v>2398</v>
      </c>
      <c r="G81" s="152" t="s">
        <v>1435</v>
      </c>
      <c r="H81" s="152" t="s">
        <v>2705</v>
      </c>
      <c r="I81" s="152" t="s">
        <v>2705</v>
      </c>
      <c r="J81" s="152" t="s">
        <v>2675</v>
      </c>
      <c r="K81" s="152" t="s">
        <v>2398</v>
      </c>
      <c r="L81" s="152" t="s">
        <v>2705</v>
      </c>
      <c r="M81" s="152" t="s">
        <v>2705</v>
      </c>
      <c r="N81" s="152" t="s">
        <v>2705</v>
      </c>
      <c r="O81" s="152" t="s">
        <v>2398</v>
      </c>
      <c r="P81" s="152" t="s">
        <v>2398</v>
      </c>
      <c r="Q81" s="152" t="s">
        <v>2398</v>
      </c>
      <c r="R81" s="152" t="s">
        <v>2675</v>
      </c>
      <c r="S81" s="152" t="s">
        <v>2398</v>
      </c>
      <c r="T81" s="152" t="s">
        <v>2705</v>
      </c>
      <c r="U81" s="152" t="s">
        <v>2398</v>
      </c>
      <c r="V81" s="142" cm="1">
        <f t="array" ref="V81">IF(A81&lt;&gt;"",SUM(--(B81:U82 = "X")*$U$3,--(B81:U82 ="A")*$Q$3,--(B81:U82 ="B")*$R$3,--(B81:U82 ="C")*$S$3),"")</f>
        <v>16</v>
      </c>
      <c r="X81" s="437" t="s">
        <v>7389</v>
      </c>
      <c r="Y81" s="437">
        <v>8</v>
      </c>
      <c r="Z81" s="436">
        <f>_xlfn.XLOOKUP(answers[[#This Row],[StudentID]],$A$7:$A$1418,$V$7:$V$1418)</f>
        <v>8</v>
      </c>
      <c r="AF81" s="142" t="s">
        <v>7357</v>
      </c>
      <c r="AG81" s="142" t="s">
        <v>2675</v>
      </c>
      <c r="AH81" s="142" t="s">
        <v>2705</v>
      </c>
      <c r="AI81" s="142" t="s">
        <v>2705</v>
      </c>
      <c r="AJ81" s="142" t="s">
        <v>2398</v>
      </c>
      <c r="AK81" s="142" t="s">
        <v>2398</v>
      </c>
      <c r="AL81" s="142" t="s">
        <v>1435</v>
      </c>
      <c r="AM81" s="142" t="s">
        <v>2705</v>
      </c>
      <c r="AN81" s="142" t="s">
        <v>2705</v>
      </c>
      <c r="AO81" s="142" t="s">
        <v>2675</v>
      </c>
      <c r="AP81" s="142" t="s">
        <v>2398</v>
      </c>
      <c r="AQ81" s="142" t="s">
        <v>2705</v>
      </c>
      <c r="AR81" s="142" t="s">
        <v>2705</v>
      </c>
      <c r="AS81" s="142" t="s">
        <v>2705</v>
      </c>
      <c r="AT81" s="142" t="s">
        <v>2398</v>
      </c>
      <c r="AU81" s="142" t="s">
        <v>2398</v>
      </c>
      <c r="AV81" s="142" t="s">
        <v>2398</v>
      </c>
      <c r="AW81" s="142" t="s">
        <v>2675</v>
      </c>
      <c r="AX81" s="142" t="s">
        <v>2398</v>
      </c>
      <c r="AY81" s="142" t="s">
        <v>2705</v>
      </c>
      <c r="AZ81" s="142" t="s">
        <v>2398</v>
      </c>
    </row>
    <row r="82" spans="1:52" s="142" customFormat="1" ht="12.75" x14ac:dyDescent="0.2">
      <c r="A82" s="151"/>
      <c r="B82" s="152" t="s">
        <v>2398</v>
      </c>
      <c r="C82" s="152" t="s">
        <v>2398</v>
      </c>
      <c r="D82" s="152" t="s">
        <v>2398</v>
      </c>
      <c r="E82" s="152" t="s">
        <v>2705</v>
      </c>
      <c r="F82" s="152" t="s">
        <v>2398</v>
      </c>
      <c r="G82" s="152" t="s">
        <v>2705</v>
      </c>
      <c r="H82" s="152" t="s">
        <v>2398</v>
      </c>
      <c r="I82" s="152" t="s">
        <v>2705</v>
      </c>
      <c r="J82" s="152" t="s">
        <v>2398</v>
      </c>
      <c r="K82" s="152" t="s">
        <v>2705</v>
      </c>
      <c r="L82" s="152" t="s">
        <v>2705</v>
      </c>
      <c r="M82" s="152" t="s">
        <v>2705</v>
      </c>
      <c r="N82" s="152" t="s">
        <v>2398</v>
      </c>
      <c r="O82" s="152" t="s">
        <v>2705</v>
      </c>
      <c r="P82" s="152" t="s">
        <v>2705</v>
      </c>
      <c r="Q82" s="152" t="s">
        <v>2398</v>
      </c>
      <c r="R82" s="152" t="s">
        <v>2398</v>
      </c>
      <c r="S82" s="152" t="s">
        <v>2398</v>
      </c>
      <c r="T82" s="152" t="s">
        <v>2705</v>
      </c>
      <c r="U82" s="152" t="s">
        <v>2705</v>
      </c>
      <c r="V82" s="142" t="str" cm="1">
        <f t="array" ref="V82">IF(A82&lt;&gt;"",SUM(--(B82:U83 = "X")*$U$3,--(B82:U83 ="A")*$Q$3,--(B82:U83 ="B")*$R$3,--(B82:U83 ="C")*$S$3),"")</f>
        <v/>
      </c>
      <c r="X82" s="437" t="s">
        <v>7390</v>
      </c>
      <c r="Y82" s="437">
        <v>12.5</v>
      </c>
      <c r="Z82" s="436">
        <f>_xlfn.XLOOKUP(answers[[#This Row],[StudentID]],$A$7:$A$1418,$V$7:$V$1418)</f>
        <v>12.5</v>
      </c>
      <c r="AG82" s="142" t="s">
        <v>2398</v>
      </c>
      <c r="AH82" s="142" t="s">
        <v>2398</v>
      </c>
      <c r="AI82" s="142" t="s">
        <v>2398</v>
      </c>
      <c r="AJ82" s="142" t="s">
        <v>2705</v>
      </c>
      <c r="AK82" s="142" t="s">
        <v>2398</v>
      </c>
      <c r="AL82" s="142" t="s">
        <v>2705</v>
      </c>
      <c r="AM82" s="142" t="s">
        <v>2398</v>
      </c>
      <c r="AN82" s="142" t="s">
        <v>2705</v>
      </c>
      <c r="AO82" s="142" t="s">
        <v>2398</v>
      </c>
      <c r="AP82" s="142" t="s">
        <v>2705</v>
      </c>
      <c r="AQ82" s="142" t="s">
        <v>2705</v>
      </c>
      <c r="AR82" s="142" t="s">
        <v>2705</v>
      </c>
      <c r="AS82" s="142" t="s">
        <v>2398</v>
      </c>
      <c r="AT82" s="142" t="s">
        <v>2705</v>
      </c>
      <c r="AU82" s="142" t="s">
        <v>2705</v>
      </c>
      <c r="AV82" s="142" t="s">
        <v>2398</v>
      </c>
      <c r="AW82" s="142" t="s">
        <v>2398</v>
      </c>
      <c r="AX82" s="142" t="s">
        <v>2398</v>
      </c>
      <c r="AY82" s="142" t="s">
        <v>2705</v>
      </c>
      <c r="AZ82" s="142" t="s">
        <v>2705</v>
      </c>
    </row>
    <row r="83" spans="1:52" s="142" customFormat="1" ht="12.75" x14ac:dyDescent="0.2">
      <c r="A83" s="151" t="s">
        <v>7358</v>
      </c>
      <c r="B83" s="152" t="s">
        <v>2705</v>
      </c>
      <c r="C83" s="152" t="s">
        <v>2705</v>
      </c>
      <c r="D83" s="152" t="s">
        <v>2398</v>
      </c>
      <c r="E83" s="152" t="s">
        <v>2398</v>
      </c>
      <c r="F83" s="152" t="s">
        <v>2398</v>
      </c>
      <c r="G83" s="152" t="s">
        <v>2705</v>
      </c>
      <c r="H83" s="152" t="s">
        <v>2705</v>
      </c>
      <c r="I83" s="152" t="s">
        <v>2397</v>
      </c>
      <c r="J83" s="152" t="s">
        <v>1435</v>
      </c>
      <c r="K83" s="152" t="s">
        <v>2705</v>
      </c>
      <c r="L83" s="152" t="s">
        <v>2705</v>
      </c>
      <c r="M83" s="152" t="s">
        <v>2705</v>
      </c>
      <c r="N83" s="152" t="s">
        <v>2397</v>
      </c>
      <c r="O83" s="152" t="s">
        <v>2705</v>
      </c>
      <c r="P83" s="152" t="s">
        <v>2705</v>
      </c>
      <c r="Q83" s="152" t="s">
        <v>2705</v>
      </c>
      <c r="R83" s="152" t="s">
        <v>2705</v>
      </c>
      <c r="S83" s="152" t="s">
        <v>2705</v>
      </c>
      <c r="T83" s="152" t="s">
        <v>2705</v>
      </c>
      <c r="U83" s="152" t="s">
        <v>2705</v>
      </c>
      <c r="V83" s="142" cm="1">
        <f t="array" ref="V83">IF(A83&lt;&gt;"",SUM(--(B83:U84 = "X")*$U$3,--(B83:U84 ="A")*$Q$3,--(B83:U84 ="B")*$R$3,--(B83:U84 ="C")*$S$3),"")</f>
        <v>28</v>
      </c>
      <c r="X83" s="437" t="s">
        <v>7391</v>
      </c>
      <c r="Y83" s="437">
        <v>21</v>
      </c>
      <c r="Z83" s="436">
        <f>_xlfn.XLOOKUP(answers[[#This Row],[StudentID]],$A$7:$A$1418,$V$7:$V$1418)</f>
        <v>21</v>
      </c>
      <c r="AF83" s="142" t="s">
        <v>7358</v>
      </c>
      <c r="AG83" s="142" t="s">
        <v>2705</v>
      </c>
      <c r="AH83" s="142" t="s">
        <v>2705</v>
      </c>
      <c r="AI83" s="142" t="s">
        <v>2398</v>
      </c>
      <c r="AJ83" s="142" t="s">
        <v>2398</v>
      </c>
      <c r="AK83" s="142" t="s">
        <v>2398</v>
      </c>
      <c r="AL83" s="142" t="s">
        <v>2705</v>
      </c>
      <c r="AM83" s="142" t="s">
        <v>2705</v>
      </c>
      <c r="AN83" s="142" t="s">
        <v>2397</v>
      </c>
      <c r="AO83" s="142" t="s">
        <v>1435</v>
      </c>
      <c r="AP83" s="142" t="s">
        <v>2705</v>
      </c>
      <c r="AQ83" s="142" t="s">
        <v>2705</v>
      </c>
      <c r="AR83" s="142" t="s">
        <v>2705</v>
      </c>
      <c r="AS83" s="142" t="s">
        <v>2397</v>
      </c>
      <c r="AT83" s="142" t="s">
        <v>2705</v>
      </c>
      <c r="AU83" s="142" t="s">
        <v>2705</v>
      </c>
      <c r="AV83" s="142" t="s">
        <v>2705</v>
      </c>
      <c r="AW83" s="142" t="s">
        <v>2705</v>
      </c>
      <c r="AX83" s="142" t="s">
        <v>2705</v>
      </c>
      <c r="AY83" s="142" t="s">
        <v>2705</v>
      </c>
      <c r="AZ83" s="142" t="s">
        <v>2705</v>
      </c>
    </row>
    <row r="84" spans="1:52" s="142" customFormat="1" ht="12.75" x14ac:dyDescent="0.2">
      <c r="A84" s="151"/>
      <c r="B84" s="152" t="s">
        <v>2675</v>
      </c>
      <c r="C84" s="152" t="s">
        <v>2398</v>
      </c>
      <c r="D84" s="152" t="s">
        <v>2705</v>
      </c>
      <c r="E84" s="152" t="s">
        <v>2705</v>
      </c>
      <c r="F84" s="152" t="s">
        <v>2705</v>
      </c>
      <c r="G84" s="152" t="s">
        <v>2705</v>
      </c>
      <c r="H84" s="152" t="s">
        <v>2705</v>
      </c>
      <c r="I84" s="152" t="s">
        <v>2705</v>
      </c>
      <c r="J84" s="152" t="s">
        <v>2398</v>
      </c>
      <c r="K84" s="152" t="s">
        <v>2705</v>
      </c>
      <c r="L84" s="152" t="s">
        <v>2705</v>
      </c>
      <c r="M84" s="152" t="s">
        <v>2705</v>
      </c>
      <c r="N84" s="152" t="s">
        <v>2398</v>
      </c>
      <c r="O84" s="152" t="s">
        <v>2705</v>
      </c>
      <c r="P84" s="152" t="s">
        <v>2398</v>
      </c>
      <c r="Q84" s="152" t="s">
        <v>2705</v>
      </c>
      <c r="R84" s="152" t="s">
        <v>2705</v>
      </c>
      <c r="S84" s="152" t="s">
        <v>2705</v>
      </c>
      <c r="T84" s="152" t="s">
        <v>2705</v>
      </c>
      <c r="U84" s="152" t="s">
        <v>2705</v>
      </c>
      <c r="V84" s="142" t="str" cm="1">
        <f t="array" ref="V84">IF(A84&lt;&gt;"",SUM(--(B84:U85 = "X")*$U$3,--(B84:U85 ="A")*$Q$3,--(B84:U85 ="B")*$R$3,--(B84:U85 ="C")*$S$3),"")</f>
        <v/>
      </c>
      <c r="X84" s="437" t="s">
        <v>7392</v>
      </c>
      <c r="Y84" s="437">
        <v>29</v>
      </c>
      <c r="Z84" s="436">
        <f>_xlfn.XLOOKUP(answers[[#This Row],[StudentID]],$A$7:$A$1418,$V$7:$V$1418)</f>
        <v>29</v>
      </c>
      <c r="AG84" s="142" t="s">
        <v>2675</v>
      </c>
      <c r="AH84" s="142" t="s">
        <v>2398</v>
      </c>
      <c r="AI84" s="142" t="s">
        <v>2705</v>
      </c>
      <c r="AJ84" s="142" t="s">
        <v>2705</v>
      </c>
      <c r="AK84" s="142" t="s">
        <v>2705</v>
      </c>
      <c r="AL84" s="142" t="s">
        <v>2705</v>
      </c>
      <c r="AM84" s="142" t="s">
        <v>2705</v>
      </c>
      <c r="AN84" s="142" t="s">
        <v>2705</v>
      </c>
      <c r="AO84" s="142" t="s">
        <v>2398</v>
      </c>
      <c r="AP84" s="142" t="s">
        <v>2705</v>
      </c>
      <c r="AQ84" s="142" t="s">
        <v>2705</v>
      </c>
      <c r="AR84" s="142" t="s">
        <v>2705</v>
      </c>
      <c r="AS84" s="142" t="s">
        <v>2398</v>
      </c>
      <c r="AT84" s="142" t="s">
        <v>2705</v>
      </c>
      <c r="AU84" s="142" t="s">
        <v>2398</v>
      </c>
      <c r="AV84" s="142" t="s">
        <v>2705</v>
      </c>
      <c r="AW84" s="142" t="s">
        <v>2705</v>
      </c>
      <c r="AX84" s="142" t="s">
        <v>2705</v>
      </c>
      <c r="AY84" s="142" t="s">
        <v>2705</v>
      </c>
      <c r="AZ84" s="142" t="s">
        <v>2705</v>
      </c>
    </row>
    <row r="85" spans="1:52" s="142" customFormat="1" ht="12.75" x14ac:dyDescent="0.2">
      <c r="A85" s="151" t="s">
        <v>7359</v>
      </c>
      <c r="B85" s="152" t="s">
        <v>2398</v>
      </c>
      <c r="C85" s="152" t="s">
        <v>2398</v>
      </c>
      <c r="D85" s="152" t="s">
        <v>2398</v>
      </c>
      <c r="E85" s="152" t="s">
        <v>2398</v>
      </c>
      <c r="F85" s="152" t="s">
        <v>2705</v>
      </c>
      <c r="G85" s="152" t="s">
        <v>2705</v>
      </c>
      <c r="H85" s="152" t="s">
        <v>2705</v>
      </c>
      <c r="I85" s="152" t="s">
        <v>2398</v>
      </c>
      <c r="J85" s="152" t="s">
        <v>2705</v>
      </c>
      <c r="K85" s="152" t="s">
        <v>2705</v>
      </c>
      <c r="L85" s="152" t="s">
        <v>2705</v>
      </c>
      <c r="M85" s="152" t="s">
        <v>2705</v>
      </c>
      <c r="N85" s="152" t="s">
        <v>2705</v>
      </c>
      <c r="O85" s="152" t="s">
        <v>2705</v>
      </c>
      <c r="P85" s="152" t="s">
        <v>2398</v>
      </c>
      <c r="Q85" s="152" t="s">
        <v>2705</v>
      </c>
      <c r="R85" s="152" t="s">
        <v>2398</v>
      </c>
      <c r="S85" s="152" t="s">
        <v>2398</v>
      </c>
      <c r="T85" s="152" t="s">
        <v>2705</v>
      </c>
      <c r="U85" s="152" t="s">
        <v>2398</v>
      </c>
      <c r="V85" s="142" cm="1">
        <f t="array" ref="V85">IF(A85&lt;&gt;"",SUM(--(B85:U86 = "X")*$U$3,--(B85:U86 ="A")*$Q$3,--(B85:U86 ="B")*$R$3,--(B85:U86 ="C")*$S$3),"")</f>
        <v>21.5</v>
      </c>
      <c r="X85" s="437" t="s">
        <v>7393</v>
      </c>
      <c r="Y85" s="437">
        <v>15</v>
      </c>
      <c r="Z85" s="436">
        <f>_xlfn.XLOOKUP(answers[[#This Row],[StudentID]],$A$7:$A$1418,$V$7:$V$1418)</f>
        <v>15</v>
      </c>
      <c r="AF85" s="142" t="s">
        <v>7359</v>
      </c>
      <c r="AG85" s="142" t="s">
        <v>2398</v>
      </c>
      <c r="AH85" s="142" t="s">
        <v>2398</v>
      </c>
      <c r="AI85" s="142" t="s">
        <v>2398</v>
      </c>
      <c r="AJ85" s="142" t="s">
        <v>2398</v>
      </c>
      <c r="AK85" s="142" t="s">
        <v>2705</v>
      </c>
      <c r="AL85" s="142" t="s">
        <v>2705</v>
      </c>
      <c r="AM85" s="142" t="s">
        <v>2705</v>
      </c>
      <c r="AN85" s="142" t="s">
        <v>2398</v>
      </c>
      <c r="AO85" s="142" t="s">
        <v>2705</v>
      </c>
      <c r="AP85" s="142" t="s">
        <v>2705</v>
      </c>
      <c r="AQ85" s="142" t="s">
        <v>2705</v>
      </c>
      <c r="AR85" s="142" t="s">
        <v>2705</v>
      </c>
      <c r="AS85" s="142" t="s">
        <v>2705</v>
      </c>
      <c r="AT85" s="142" t="s">
        <v>2705</v>
      </c>
      <c r="AU85" s="142" t="s">
        <v>2398</v>
      </c>
      <c r="AV85" s="142" t="s">
        <v>2705</v>
      </c>
      <c r="AW85" s="142" t="s">
        <v>2398</v>
      </c>
      <c r="AX85" s="142" t="s">
        <v>2398</v>
      </c>
      <c r="AY85" s="142" t="s">
        <v>2705</v>
      </c>
      <c r="AZ85" s="142" t="s">
        <v>2398</v>
      </c>
    </row>
    <row r="86" spans="1:52" s="142" customFormat="1" ht="12.75" x14ac:dyDescent="0.2">
      <c r="A86" s="151"/>
      <c r="B86" s="152" t="s">
        <v>2705</v>
      </c>
      <c r="C86" s="152" t="s">
        <v>2705</v>
      </c>
      <c r="D86" s="152" t="s">
        <v>2705</v>
      </c>
      <c r="E86" s="152" t="s">
        <v>2705</v>
      </c>
      <c r="F86" s="152" t="s">
        <v>2675</v>
      </c>
      <c r="G86" s="152" t="s">
        <v>2705</v>
      </c>
      <c r="H86" s="152" t="s">
        <v>2398</v>
      </c>
      <c r="I86" s="152" t="s">
        <v>2705</v>
      </c>
      <c r="J86" s="152" t="s">
        <v>2705</v>
      </c>
      <c r="K86" s="152" t="s">
        <v>2705</v>
      </c>
      <c r="L86" s="152" t="s">
        <v>2398</v>
      </c>
      <c r="M86" s="152" t="s">
        <v>1435</v>
      </c>
      <c r="N86" s="152" t="s">
        <v>2705</v>
      </c>
      <c r="O86" s="152" t="s">
        <v>2398</v>
      </c>
      <c r="P86" s="152" t="s">
        <v>2398</v>
      </c>
      <c r="Q86" s="152" t="s">
        <v>2705</v>
      </c>
      <c r="R86" s="152" t="s">
        <v>1435</v>
      </c>
      <c r="S86" s="152" t="s">
        <v>2398</v>
      </c>
      <c r="T86" s="152" t="s">
        <v>2705</v>
      </c>
      <c r="U86" s="152" t="s">
        <v>2705</v>
      </c>
      <c r="V86" s="142" t="str" cm="1">
        <f t="array" ref="V86">IF(A86&lt;&gt;"",SUM(--(B86:U87 = "X")*$U$3,--(B86:U87 ="A")*$Q$3,--(B86:U87 ="B")*$R$3,--(B86:U87 ="C")*$S$3),"")</f>
        <v/>
      </c>
      <c r="X86" s="437" t="s">
        <v>7394</v>
      </c>
      <c r="Y86" s="437">
        <v>14.5</v>
      </c>
      <c r="Z86" s="436">
        <f>_xlfn.XLOOKUP(answers[[#This Row],[StudentID]],$A$7:$A$1418,$V$7:$V$1418)</f>
        <v>14.5</v>
      </c>
      <c r="AG86" s="142" t="s">
        <v>2705</v>
      </c>
      <c r="AH86" s="142" t="s">
        <v>2705</v>
      </c>
      <c r="AI86" s="142" t="s">
        <v>2705</v>
      </c>
      <c r="AJ86" s="142" t="s">
        <v>2705</v>
      </c>
      <c r="AK86" s="142" t="s">
        <v>2675</v>
      </c>
      <c r="AL86" s="142" t="s">
        <v>2705</v>
      </c>
      <c r="AM86" s="142" t="s">
        <v>2398</v>
      </c>
      <c r="AN86" s="142" t="s">
        <v>2705</v>
      </c>
      <c r="AO86" s="142" t="s">
        <v>2705</v>
      </c>
      <c r="AP86" s="142" t="s">
        <v>2705</v>
      </c>
      <c r="AQ86" s="142" t="s">
        <v>2398</v>
      </c>
      <c r="AR86" s="142" t="s">
        <v>1435</v>
      </c>
      <c r="AS86" s="142" t="s">
        <v>2705</v>
      </c>
      <c r="AT86" s="142" t="s">
        <v>2398</v>
      </c>
      <c r="AU86" s="142" t="s">
        <v>2398</v>
      </c>
      <c r="AV86" s="142" t="s">
        <v>2705</v>
      </c>
      <c r="AW86" s="142" t="s">
        <v>1435</v>
      </c>
      <c r="AX86" s="142" t="s">
        <v>2398</v>
      </c>
      <c r="AY86" s="142" t="s">
        <v>2705</v>
      </c>
      <c r="AZ86" s="142" t="s">
        <v>2705</v>
      </c>
    </row>
    <row r="87" spans="1:52" s="142" customFormat="1" ht="12.75" x14ac:dyDescent="0.2">
      <c r="A87" s="151" t="s">
        <v>7360</v>
      </c>
      <c r="B87" s="152" t="s">
        <v>2705</v>
      </c>
      <c r="C87" s="152" t="s">
        <v>2705</v>
      </c>
      <c r="D87" s="152" t="s">
        <v>2398</v>
      </c>
      <c r="E87" s="152" t="s">
        <v>2398</v>
      </c>
      <c r="F87" s="152" t="s">
        <v>2705</v>
      </c>
      <c r="G87" s="152" t="s">
        <v>2705</v>
      </c>
      <c r="H87" s="152" t="s">
        <v>2705</v>
      </c>
      <c r="I87" s="152" t="s">
        <v>2398</v>
      </c>
      <c r="J87" s="152" t="s">
        <v>2705</v>
      </c>
      <c r="K87" s="152" t="s">
        <v>2705</v>
      </c>
      <c r="L87" s="152" t="s">
        <v>2705</v>
      </c>
      <c r="M87" s="152" t="s">
        <v>2705</v>
      </c>
      <c r="N87" s="152" t="s">
        <v>1435</v>
      </c>
      <c r="O87" s="152" t="s">
        <v>2398</v>
      </c>
      <c r="P87" s="152" t="s">
        <v>2705</v>
      </c>
      <c r="Q87" s="152" t="s">
        <v>2705</v>
      </c>
      <c r="R87" s="152" t="s">
        <v>2398</v>
      </c>
      <c r="S87" s="152" t="s">
        <v>2398</v>
      </c>
      <c r="T87" s="152" t="s">
        <v>2398</v>
      </c>
      <c r="U87" s="152" t="s">
        <v>2398</v>
      </c>
      <c r="V87" s="142" cm="1">
        <f t="array" ref="V87">IF(A87&lt;&gt;"",SUM(--(B87:U88 = "X")*$U$3,--(B87:U88 ="A")*$Q$3,--(B87:U88 ="B")*$R$3,--(B87:U88 ="C")*$S$3),"")</f>
        <v>22</v>
      </c>
      <c r="X87" s="437" t="s">
        <v>7395</v>
      </c>
      <c r="Y87" s="437">
        <v>13</v>
      </c>
      <c r="Z87" s="436">
        <f>_xlfn.XLOOKUP(answers[[#This Row],[StudentID]],$A$7:$A$1418,$V$7:$V$1418)</f>
        <v>13</v>
      </c>
      <c r="AF87" s="142" t="s">
        <v>7360</v>
      </c>
      <c r="AG87" s="142" t="s">
        <v>2705</v>
      </c>
      <c r="AH87" s="142" t="s">
        <v>2705</v>
      </c>
      <c r="AI87" s="142" t="s">
        <v>2398</v>
      </c>
      <c r="AJ87" s="142" t="s">
        <v>2398</v>
      </c>
      <c r="AK87" s="142" t="s">
        <v>2705</v>
      </c>
      <c r="AL87" s="142" t="s">
        <v>2705</v>
      </c>
      <c r="AM87" s="142" t="s">
        <v>2705</v>
      </c>
      <c r="AN87" s="142" t="s">
        <v>2398</v>
      </c>
      <c r="AO87" s="142" t="s">
        <v>2705</v>
      </c>
      <c r="AP87" s="142" t="s">
        <v>2705</v>
      </c>
      <c r="AQ87" s="142" t="s">
        <v>2705</v>
      </c>
      <c r="AR87" s="142" t="s">
        <v>2705</v>
      </c>
      <c r="AS87" s="142" t="s">
        <v>1435</v>
      </c>
      <c r="AT87" s="142" t="s">
        <v>2398</v>
      </c>
      <c r="AU87" s="142" t="s">
        <v>2705</v>
      </c>
      <c r="AV87" s="142" t="s">
        <v>2705</v>
      </c>
      <c r="AW87" s="142" t="s">
        <v>2398</v>
      </c>
      <c r="AX87" s="142" t="s">
        <v>2398</v>
      </c>
      <c r="AY87" s="142" t="s">
        <v>2398</v>
      </c>
      <c r="AZ87" s="142" t="s">
        <v>2398</v>
      </c>
    </row>
    <row r="88" spans="1:52" s="142" customFormat="1" ht="12.75" x14ac:dyDescent="0.2">
      <c r="A88" s="151"/>
      <c r="B88" s="152" t="s">
        <v>2397</v>
      </c>
      <c r="C88" s="152" t="s">
        <v>2398</v>
      </c>
      <c r="D88" s="152" t="s">
        <v>2705</v>
      </c>
      <c r="E88" s="152" t="s">
        <v>2705</v>
      </c>
      <c r="F88" s="152" t="s">
        <v>2398</v>
      </c>
      <c r="G88" s="152" t="s">
        <v>2398</v>
      </c>
      <c r="H88" s="152" t="s">
        <v>1435</v>
      </c>
      <c r="I88" s="152" t="s">
        <v>2705</v>
      </c>
      <c r="J88" s="152" t="s">
        <v>2705</v>
      </c>
      <c r="K88" s="152" t="s">
        <v>2705</v>
      </c>
      <c r="L88" s="152" t="s">
        <v>2705</v>
      </c>
      <c r="M88" s="152" t="s">
        <v>2398</v>
      </c>
      <c r="N88" s="152" t="s">
        <v>2705</v>
      </c>
      <c r="O88" s="152" t="s">
        <v>2705</v>
      </c>
      <c r="P88" s="152" t="s">
        <v>2398</v>
      </c>
      <c r="Q88" s="152" t="s">
        <v>2705</v>
      </c>
      <c r="R88" s="152" t="s">
        <v>2705</v>
      </c>
      <c r="S88" s="152" t="s">
        <v>2705</v>
      </c>
      <c r="T88" s="152" t="s">
        <v>2398</v>
      </c>
      <c r="U88" s="152" t="s">
        <v>2705</v>
      </c>
      <c r="V88" s="142" t="str" cm="1">
        <f t="array" ref="V88">IF(A88&lt;&gt;"",SUM(--(B88:U89 = "X")*$U$3,--(B88:U89 ="A")*$Q$3,--(B88:U89 ="B")*$R$3,--(B88:U89 ="C")*$S$3),"")</f>
        <v/>
      </c>
      <c r="X88" s="437" t="s">
        <v>7396</v>
      </c>
      <c r="Y88" s="437">
        <v>30.5</v>
      </c>
      <c r="Z88" s="436">
        <f>_xlfn.XLOOKUP(answers[[#This Row],[StudentID]],$A$7:$A$1418,$V$7:$V$1418)</f>
        <v>30.5</v>
      </c>
      <c r="AG88" s="142" t="s">
        <v>2397</v>
      </c>
      <c r="AH88" s="142" t="s">
        <v>2398</v>
      </c>
      <c r="AI88" s="142" t="s">
        <v>2705</v>
      </c>
      <c r="AJ88" s="142" t="s">
        <v>2705</v>
      </c>
      <c r="AK88" s="142" t="s">
        <v>2398</v>
      </c>
      <c r="AL88" s="142" t="s">
        <v>2398</v>
      </c>
      <c r="AM88" s="142" t="s">
        <v>1435</v>
      </c>
      <c r="AN88" s="142" t="s">
        <v>2705</v>
      </c>
      <c r="AO88" s="142" t="s">
        <v>2705</v>
      </c>
      <c r="AP88" s="142" t="s">
        <v>2705</v>
      </c>
      <c r="AQ88" s="142" t="s">
        <v>2705</v>
      </c>
      <c r="AR88" s="142" t="s">
        <v>2398</v>
      </c>
      <c r="AS88" s="142" t="s">
        <v>2705</v>
      </c>
      <c r="AT88" s="142" t="s">
        <v>2705</v>
      </c>
      <c r="AU88" s="142" t="s">
        <v>2398</v>
      </c>
      <c r="AV88" s="142" t="s">
        <v>2705</v>
      </c>
      <c r="AW88" s="142" t="s">
        <v>2705</v>
      </c>
      <c r="AX88" s="142" t="s">
        <v>2705</v>
      </c>
      <c r="AY88" s="142" t="s">
        <v>2398</v>
      </c>
      <c r="AZ88" s="142" t="s">
        <v>2705</v>
      </c>
    </row>
    <row r="89" spans="1:52" s="142" customFormat="1" ht="12.75" x14ac:dyDescent="0.2">
      <c r="A89" s="151" t="s">
        <v>7361</v>
      </c>
      <c r="B89" s="152" t="s">
        <v>2398</v>
      </c>
      <c r="C89" s="152" t="s">
        <v>2705</v>
      </c>
      <c r="D89" s="152" t="s">
        <v>2398</v>
      </c>
      <c r="E89" s="152" t="s">
        <v>2398</v>
      </c>
      <c r="F89" s="152" t="s">
        <v>2705</v>
      </c>
      <c r="G89" s="152" t="s">
        <v>2705</v>
      </c>
      <c r="H89" s="152" t="s">
        <v>2398</v>
      </c>
      <c r="I89" s="152" t="s">
        <v>2398</v>
      </c>
      <c r="J89" s="152" t="s">
        <v>2675</v>
      </c>
      <c r="K89" s="152" t="s">
        <v>2705</v>
      </c>
      <c r="L89" s="152" t="s">
        <v>1435</v>
      </c>
      <c r="M89" s="152" t="s">
        <v>2705</v>
      </c>
      <c r="N89" s="152" t="s">
        <v>2398</v>
      </c>
      <c r="O89" s="152" t="s">
        <v>2398</v>
      </c>
      <c r="P89" s="152" t="s">
        <v>2705</v>
      </c>
      <c r="Q89" s="152" t="s">
        <v>2705</v>
      </c>
      <c r="R89" s="152" t="s">
        <v>2398</v>
      </c>
      <c r="S89" s="152" t="s">
        <v>2705</v>
      </c>
      <c r="T89" s="152" t="s">
        <v>2705</v>
      </c>
      <c r="U89" s="152" t="s">
        <v>2705</v>
      </c>
      <c r="V89" s="142" cm="1">
        <f t="array" ref="V89">IF(A89&lt;&gt;"",SUM(--(B89:U90 = "X")*$U$3,--(B89:U90 ="A")*$Q$3,--(B89:U90 ="B")*$R$3,--(B89:U90 ="C")*$S$3),"")</f>
        <v>19</v>
      </c>
      <c r="X89" s="437" t="s">
        <v>7397</v>
      </c>
      <c r="Y89" s="437">
        <v>8</v>
      </c>
      <c r="Z89" s="436">
        <f>_xlfn.XLOOKUP(answers[[#This Row],[StudentID]],$A$7:$A$1418,$V$7:$V$1418)</f>
        <v>8</v>
      </c>
      <c r="AF89" s="142" t="s">
        <v>7361</v>
      </c>
      <c r="AG89" s="142" t="s">
        <v>2398</v>
      </c>
      <c r="AH89" s="142" t="s">
        <v>2705</v>
      </c>
      <c r="AI89" s="142" t="s">
        <v>2398</v>
      </c>
      <c r="AJ89" s="142" t="s">
        <v>2398</v>
      </c>
      <c r="AK89" s="142" t="s">
        <v>2705</v>
      </c>
      <c r="AL89" s="142" t="s">
        <v>2705</v>
      </c>
      <c r="AM89" s="142" t="s">
        <v>2398</v>
      </c>
      <c r="AN89" s="142" t="s">
        <v>2398</v>
      </c>
      <c r="AO89" s="142" t="s">
        <v>2675</v>
      </c>
      <c r="AP89" s="142" t="s">
        <v>2705</v>
      </c>
      <c r="AQ89" s="142" t="s">
        <v>1435</v>
      </c>
      <c r="AR89" s="142" t="s">
        <v>2705</v>
      </c>
      <c r="AS89" s="142" t="s">
        <v>2398</v>
      </c>
      <c r="AT89" s="142" t="s">
        <v>2398</v>
      </c>
      <c r="AU89" s="142" t="s">
        <v>2705</v>
      </c>
      <c r="AV89" s="142" t="s">
        <v>2705</v>
      </c>
      <c r="AW89" s="142" t="s">
        <v>2398</v>
      </c>
      <c r="AX89" s="142" t="s">
        <v>2705</v>
      </c>
      <c r="AY89" s="142" t="s">
        <v>2705</v>
      </c>
      <c r="AZ89" s="142" t="s">
        <v>2705</v>
      </c>
    </row>
    <row r="90" spans="1:52" s="142" customFormat="1" ht="12.75" x14ac:dyDescent="0.2">
      <c r="A90" s="151"/>
      <c r="B90" s="152" t="s">
        <v>2398</v>
      </c>
      <c r="C90" s="152" t="s">
        <v>2675</v>
      </c>
      <c r="D90" s="152" t="s">
        <v>2705</v>
      </c>
      <c r="E90" s="152" t="s">
        <v>2705</v>
      </c>
      <c r="F90" s="152" t="s">
        <v>2705</v>
      </c>
      <c r="G90" s="152" t="s">
        <v>2398</v>
      </c>
      <c r="H90" s="152" t="s">
        <v>2398</v>
      </c>
      <c r="I90" s="152" t="s">
        <v>2398</v>
      </c>
      <c r="J90" s="152" t="s">
        <v>2705</v>
      </c>
      <c r="K90" s="152" t="s">
        <v>2705</v>
      </c>
      <c r="L90" s="152" t="s">
        <v>2705</v>
      </c>
      <c r="M90" s="152" t="s">
        <v>1435</v>
      </c>
      <c r="N90" s="152" t="s">
        <v>2705</v>
      </c>
      <c r="O90" s="152" t="s">
        <v>2705</v>
      </c>
      <c r="P90" s="152" t="s">
        <v>2398</v>
      </c>
      <c r="Q90" s="152" t="s">
        <v>2705</v>
      </c>
      <c r="R90" s="152" t="s">
        <v>2398</v>
      </c>
      <c r="S90" s="152" t="s">
        <v>2705</v>
      </c>
      <c r="T90" s="152" t="s">
        <v>2397</v>
      </c>
      <c r="U90" s="152" t="s">
        <v>2705</v>
      </c>
      <c r="V90" s="142" t="str" cm="1">
        <f t="array" ref="V90">IF(A90&lt;&gt;"",SUM(--(B90:U91 = "X")*$U$3,--(B90:U91 ="A")*$Q$3,--(B90:U91 ="B")*$R$3,--(B90:U91 ="C")*$S$3),"")</f>
        <v/>
      </c>
      <c r="X90" s="437" t="s">
        <v>7398</v>
      </c>
      <c r="Y90" s="437">
        <v>16</v>
      </c>
      <c r="Z90" s="436">
        <f>_xlfn.XLOOKUP(answers[[#This Row],[StudentID]],$A$7:$A$1418,$V$7:$V$1418)</f>
        <v>16</v>
      </c>
      <c r="AG90" s="142" t="s">
        <v>2398</v>
      </c>
      <c r="AH90" s="142" t="s">
        <v>2675</v>
      </c>
      <c r="AI90" s="142" t="s">
        <v>2705</v>
      </c>
      <c r="AJ90" s="142" t="s">
        <v>2705</v>
      </c>
      <c r="AK90" s="142" t="s">
        <v>2705</v>
      </c>
      <c r="AL90" s="142" t="s">
        <v>2398</v>
      </c>
      <c r="AM90" s="142" t="s">
        <v>2398</v>
      </c>
      <c r="AN90" s="142" t="s">
        <v>2398</v>
      </c>
      <c r="AO90" s="142" t="s">
        <v>2705</v>
      </c>
      <c r="AP90" s="142" t="s">
        <v>2705</v>
      </c>
      <c r="AQ90" s="142" t="s">
        <v>2705</v>
      </c>
      <c r="AR90" s="142" t="s">
        <v>1435</v>
      </c>
      <c r="AS90" s="142" t="s">
        <v>2705</v>
      </c>
      <c r="AT90" s="142" t="s">
        <v>2705</v>
      </c>
      <c r="AU90" s="142" t="s">
        <v>2398</v>
      </c>
      <c r="AV90" s="142" t="s">
        <v>2705</v>
      </c>
      <c r="AW90" s="142" t="s">
        <v>2398</v>
      </c>
      <c r="AX90" s="142" t="s">
        <v>2705</v>
      </c>
      <c r="AY90" s="142" t="s">
        <v>2397</v>
      </c>
      <c r="AZ90" s="142" t="s">
        <v>2705</v>
      </c>
    </row>
    <row r="91" spans="1:52" s="142" customFormat="1" ht="12.75" x14ac:dyDescent="0.2">
      <c r="A91" s="151" t="s">
        <v>7362</v>
      </c>
      <c r="B91" s="152" t="s">
        <v>2705</v>
      </c>
      <c r="C91" s="152" t="s">
        <v>2705</v>
      </c>
      <c r="D91" s="152" t="s">
        <v>2705</v>
      </c>
      <c r="E91" s="152" t="s">
        <v>2705</v>
      </c>
      <c r="F91" s="152" t="s">
        <v>2705</v>
      </c>
      <c r="G91" s="152" t="s">
        <v>2705</v>
      </c>
      <c r="H91" s="152" t="s">
        <v>2705</v>
      </c>
      <c r="I91" s="152" t="s">
        <v>2705</v>
      </c>
      <c r="J91" s="152" t="s">
        <v>2675</v>
      </c>
      <c r="K91" s="152" t="s">
        <v>2705</v>
      </c>
      <c r="L91" s="152" t="s">
        <v>2398</v>
      </c>
      <c r="M91" s="152" t="s">
        <v>2398</v>
      </c>
      <c r="N91" s="152" t="s">
        <v>2705</v>
      </c>
      <c r="O91" s="152" t="s">
        <v>2398</v>
      </c>
      <c r="P91" s="152" t="s">
        <v>2398</v>
      </c>
      <c r="Q91" s="152" t="s">
        <v>2675</v>
      </c>
      <c r="R91" s="152" t="s">
        <v>2398</v>
      </c>
      <c r="S91" s="152" t="s">
        <v>2398</v>
      </c>
      <c r="T91" s="152" t="s">
        <v>2705</v>
      </c>
      <c r="U91" s="152" t="s">
        <v>2398</v>
      </c>
      <c r="V91" s="142" cm="1">
        <f t="array" ref="V91">IF(A91&lt;&gt;"",SUM(--(B91:U92 = "X")*$U$3,--(B91:U92 ="A")*$Q$3,--(B91:U92 ="B")*$R$3,--(B91:U92 ="C")*$S$3),"")</f>
        <v>21.5</v>
      </c>
      <c r="X91" s="437" t="s">
        <v>7399</v>
      </c>
      <c r="Y91" s="437">
        <v>13</v>
      </c>
      <c r="Z91" s="436">
        <f>_xlfn.XLOOKUP(answers[[#This Row],[StudentID]],$A$7:$A$1418,$V$7:$V$1418)</f>
        <v>13</v>
      </c>
      <c r="AF91" s="142" t="s">
        <v>7362</v>
      </c>
      <c r="AG91" s="142" t="s">
        <v>2705</v>
      </c>
      <c r="AH91" s="142" t="s">
        <v>2705</v>
      </c>
      <c r="AI91" s="142" t="s">
        <v>2705</v>
      </c>
      <c r="AJ91" s="142" t="s">
        <v>2705</v>
      </c>
      <c r="AK91" s="142" t="s">
        <v>2705</v>
      </c>
      <c r="AL91" s="142" t="s">
        <v>2705</v>
      </c>
      <c r="AM91" s="142" t="s">
        <v>2705</v>
      </c>
      <c r="AN91" s="142" t="s">
        <v>2705</v>
      </c>
      <c r="AO91" s="142" t="s">
        <v>2675</v>
      </c>
      <c r="AP91" s="142" t="s">
        <v>2705</v>
      </c>
      <c r="AQ91" s="142" t="s">
        <v>2398</v>
      </c>
      <c r="AR91" s="142" t="s">
        <v>2398</v>
      </c>
      <c r="AS91" s="142" t="s">
        <v>2705</v>
      </c>
      <c r="AT91" s="142" t="s">
        <v>2398</v>
      </c>
      <c r="AU91" s="142" t="s">
        <v>2398</v>
      </c>
      <c r="AV91" s="142" t="s">
        <v>2675</v>
      </c>
      <c r="AW91" s="142" t="s">
        <v>2398</v>
      </c>
      <c r="AX91" s="142" t="s">
        <v>2398</v>
      </c>
      <c r="AY91" s="142" t="s">
        <v>2705</v>
      </c>
      <c r="AZ91" s="142" t="s">
        <v>2398</v>
      </c>
    </row>
    <row r="92" spans="1:52" s="142" customFormat="1" ht="12.75" x14ac:dyDescent="0.2">
      <c r="A92" s="151"/>
      <c r="B92" s="152" t="s">
        <v>2705</v>
      </c>
      <c r="C92" s="152" t="s">
        <v>1435</v>
      </c>
      <c r="D92" s="152" t="s">
        <v>2705</v>
      </c>
      <c r="E92" s="152" t="s">
        <v>2705</v>
      </c>
      <c r="F92" s="152" t="s">
        <v>2705</v>
      </c>
      <c r="G92" s="152" t="s">
        <v>2398</v>
      </c>
      <c r="H92" s="152" t="s">
        <v>2398</v>
      </c>
      <c r="I92" s="152" t="s">
        <v>2705</v>
      </c>
      <c r="J92" s="152" t="s">
        <v>2705</v>
      </c>
      <c r="K92" s="152" t="s">
        <v>2705</v>
      </c>
      <c r="L92" s="152" t="s">
        <v>2398</v>
      </c>
      <c r="M92" s="152" t="s">
        <v>2705</v>
      </c>
      <c r="N92" s="152" t="s">
        <v>2398</v>
      </c>
      <c r="O92" s="152" t="s">
        <v>2705</v>
      </c>
      <c r="P92" s="152" t="s">
        <v>2705</v>
      </c>
      <c r="Q92" s="152" t="s">
        <v>2705</v>
      </c>
      <c r="R92" s="152" t="s">
        <v>1435</v>
      </c>
      <c r="S92" s="152" t="s">
        <v>2675</v>
      </c>
      <c r="T92" s="152" t="s">
        <v>2705</v>
      </c>
      <c r="U92" s="152" t="s">
        <v>2705</v>
      </c>
      <c r="V92" s="142" t="str" cm="1">
        <f t="array" ref="V92">IF(A92&lt;&gt;"",SUM(--(B92:U93 = "X")*$U$3,--(B92:U93 ="A")*$Q$3,--(B92:U93 ="B")*$R$3,--(B92:U93 ="C")*$S$3),"")</f>
        <v/>
      </c>
      <c r="X92" s="437" t="s">
        <v>7400</v>
      </c>
      <c r="Y92" s="437">
        <v>9.5</v>
      </c>
      <c r="Z92" s="436">
        <f>_xlfn.XLOOKUP(answers[[#This Row],[StudentID]],$A$7:$A$1418,$V$7:$V$1418)</f>
        <v>9.5</v>
      </c>
      <c r="AG92" s="142" t="s">
        <v>2705</v>
      </c>
      <c r="AH92" s="142" t="s">
        <v>1435</v>
      </c>
      <c r="AI92" s="142" t="s">
        <v>2705</v>
      </c>
      <c r="AJ92" s="142" t="s">
        <v>2705</v>
      </c>
      <c r="AK92" s="142" t="s">
        <v>2705</v>
      </c>
      <c r="AL92" s="142" t="s">
        <v>2398</v>
      </c>
      <c r="AM92" s="142" t="s">
        <v>2398</v>
      </c>
      <c r="AN92" s="142" t="s">
        <v>2705</v>
      </c>
      <c r="AO92" s="142" t="s">
        <v>2705</v>
      </c>
      <c r="AP92" s="142" t="s">
        <v>2705</v>
      </c>
      <c r="AQ92" s="142" t="s">
        <v>2398</v>
      </c>
      <c r="AR92" s="142" t="s">
        <v>2705</v>
      </c>
      <c r="AS92" s="142" t="s">
        <v>2398</v>
      </c>
      <c r="AT92" s="142" t="s">
        <v>2705</v>
      </c>
      <c r="AU92" s="142" t="s">
        <v>2705</v>
      </c>
      <c r="AV92" s="142" t="s">
        <v>2705</v>
      </c>
      <c r="AW92" s="142" t="s">
        <v>1435</v>
      </c>
      <c r="AX92" s="142" t="s">
        <v>2675</v>
      </c>
      <c r="AY92" s="142" t="s">
        <v>2705</v>
      </c>
      <c r="AZ92" s="142" t="s">
        <v>2705</v>
      </c>
    </row>
    <row r="93" spans="1:52" s="142" customFormat="1" ht="12.75" x14ac:dyDescent="0.2">
      <c r="A93" s="151" t="s">
        <v>7363</v>
      </c>
      <c r="B93" s="152" t="s">
        <v>2398</v>
      </c>
      <c r="C93" s="152" t="s">
        <v>2705</v>
      </c>
      <c r="D93" s="152" t="s">
        <v>2398</v>
      </c>
      <c r="E93" s="152" t="s">
        <v>2398</v>
      </c>
      <c r="F93" s="152" t="s">
        <v>2705</v>
      </c>
      <c r="G93" s="152" t="s">
        <v>2705</v>
      </c>
      <c r="H93" s="152" t="s">
        <v>2705</v>
      </c>
      <c r="I93" s="152" t="s">
        <v>2398</v>
      </c>
      <c r="J93" s="152" t="s">
        <v>2705</v>
      </c>
      <c r="K93" s="152" t="s">
        <v>2705</v>
      </c>
      <c r="L93" s="152" t="s">
        <v>2398</v>
      </c>
      <c r="M93" s="152" t="s">
        <v>2705</v>
      </c>
      <c r="N93" s="152" t="s">
        <v>2705</v>
      </c>
      <c r="O93" s="152" t="s">
        <v>2705</v>
      </c>
      <c r="P93" s="152" t="s">
        <v>2398</v>
      </c>
      <c r="Q93" s="152" t="s">
        <v>1435</v>
      </c>
      <c r="R93" s="152" t="s">
        <v>2398</v>
      </c>
      <c r="S93" s="152" t="s">
        <v>2397</v>
      </c>
      <c r="T93" s="152" t="s">
        <v>1435</v>
      </c>
      <c r="U93" s="152" t="s">
        <v>2705</v>
      </c>
      <c r="V93" s="142" cm="1">
        <f t="array" ref="V93">IF(A93&lt;&gt;"",SUM(--(B93:U94 = "X")*$U$3,--(B93:U94 ="A")*$Q$3,--(B93:U94 ="B")*$R$3,--(B93:U94 ="C")*$S$3),"")</f>
        <v>15.5</v>
      </c>
      <c r="X93" s="437" t="s">
        <v>7401</v>
      </c>
      <c r="Y93" s="437">
        <v>16</v>
      </c>
      <c r="Z93" s="436">
        <f>_xlfn.XLOOKUP(answers[[#This Row],[StudentID]],$A$7:$A$1418,$V$7:$V$1418)</f>
        <v>16</v>
      </c>
      <c r="AF93" s="142" t="s">
        <v>7363</v>
      </c>
      <c r="AG93" s="142" t="s">
        <v>2398</v>
      </c>
      <c r="AH93" s="142" t="s">
        <v>2705</v>
      </c>
      <c r="AI93" s="142" t="s">
        <v>2398</v>
      </c>
      <c r="AJ93" s="142" t="s">
        <v>2398</v>
      </c>
      <c r="AK93" s="142" t="s">
        <v>2705</v>
      </c>
      <c r="AL93" s="142" t="s">
        <v>2705</v>
      </c>
      <c r="AM93" s="142" t="s">
        <v>2705</v>
      </c>
      <c r="AN93" s="142" t="s">
        <v>2398</v>
      </c>
      <c r="AO93" s="142" t="s">
        <v>2705</v>
      </c>
      <c r="AP93" s="142" t="s">
        <v>2705</v>
      </c>
      <c r="AQ93" s="142" t="s">
        <v>2398</v>
      </c>
      <c r="AR93" s="142" t="s">
        <v>2705</v>
      </c>
      <c r="AS93" s="142" t="s">
        <v>2705</v>
      </c>
      <c r="AT93" s="142" t="s">
        <v>2705</v>
      </c>
      <c r="AU93" s="142" t="s">
        <v>2398</v>
      </c>
      <c r="AV93" s="142" t="s">
        <v>1435</v>
      </c>
      <c r="AW93" s="142" t="s">
        <v>2398</v>
      </c>
      <c r="AX93" s="142" t="s">
        <v>2397</v>
      </c>
      <c r="AY93" s="142" t="s">
        <v>1435</v>
      </c>
      <c r="AZ93" s="142" t="s">
        <v>2705</v>
      </c>
    </row>
    <row r="94" spans="1:52" s="142" customFormat="1" ht="12.75" x14ac:dyDescent="0.2">
      <c r="A94" s="151"/>
      <c r="B94" s="152" t="s">
        <v>2705</v>
      </c>
      <c r="C94" s="152" t="s">
        <v>2705</v>
      </c>
      <c r="D94" s="152" t="s">
        <v>2705</v>
      </c>
      <c r="E94" s="152" t="s">
        <v>2675</v>
      </c>
      <c r="F94" s="152" t="s">
        <v>2705</v>
      </c>
      <c r="G94" s="152" t="s">
        <v>1435</v>
      </c>
      <c r="H94" s="152" t="s">
        <v>2398</v>
      </c>
      <c r="I94" s="152" t="s">
        <v>2705</v>
      </c>
      <c r="J94" s="152" t="s">
        <v>2398</v>
      </c>
      <c r="K94" s="152" t="s">
        <v>2398</v>
      </c>
      <c r="L94" s="152" t="s">
        <v>1435</v>
      </c>
      <c r="M94" s="152" t="s">
        <v>2675</v>
      </c>
      <c r="N94" s="152" t="s">
        <v>2398</v>
      </c>
      <c r="O94" s="152" t="s">
        <v>2705</v>
      </c>
      <c r="P94" s="152" t="s">
        <v>1435</v>
      </c>
      <c r="Q94" s="152" t="s">
        <v>2705</v>
      </c>
      <c r="R94" s="152" t="s">
        <v>2397</v>
      </c>
      <c r="S94" s="152" t="s">
        <v>2705</v>
      </c>
      <c r="T94" s="152" t="s">
        <v>2705</v>
      </c>
      <c r="U94" s="152" t="s">
        <v>2397</v>
      </c>
      <c r="V94" s="142" t="str" cm="1">
        <f t="array" ref="V94">IF(A94&lt;&gt;"",SUM(--(B94:U95 = "X")*$U$3,--(B94:U95 ="A")*$Q$3,--(B94:U95 ="B")*$R$3,--(B94:U95 ="C")*$S$3),"")</f>
        <v/>
      </c>
      <c r="X94" s="437" t="s">
        <v>7402</v>
      </c>
      <c r="Y94" s="437">
        <v>3.5</v>
      </c>
      <c r="Z94" s="436">
        <f>_xlfn.XLOOKUP(answers[[#This Row],[StudentID]],$A$7:$A$1418,$V$7:$V$1418)</f>
        <v>3.5</v>
      </c>
      <c r="AG94" s="142" t="s">
        <v>2705</v>
      </c>
      <c r="AH94" s="142" t="s">
        <v>2705</v>
      </c>
      <c r="AI94" s="142" t="s">
        <v>2705</v>
      </c>
      <c r="AJ94" s="142" t="s">
        <v>2675</v>
      </c>
      <c r="AK94" s="142" t="s">
        <v>2705</v>
      </c>
      <c r="AL94" s="142" t="s">
        <v>1435</v>
      </c>
      <c r="AM94" s="142" t="s">
        <v>2398</v>
      </c>
      <c r="AN94" s="142" t="s">
        <v>2705</v>
      </c>
      <c r="AO94" s="142" t="s">
        <v>2398</v>
      </c>
      <c r="AP94" s="142" t="s">
        <v>2398</v>
      </c>
      <c r="AQ94" s="142" t="s">
        <v>1435</v>
      </c>
      <c r="AR94" s="142" t="s">
        <v>2675</v>
      </c>
      <c r="AS94" s="142" t="s">
        <v>2398</v>
      </c>
      <c r="AT94" s="142" t="s">
        <v>2705</v>
      </c>
      <c r="AU94" s="142" t="s">
        <v>1435</v>
      </c>
      <c r="AV94" s="142" t="s">
        <v>2705</v>
      </c>
      <c r="AW94" s="142" t="s">
        <v>2397</v>
      </c>
      <c r="AX94" s="142" t="s">
        <v>2705</v>
      </c>
      <c r="AY94" s="142" t="s">
        <v>2705</v>
      </c>
      <c r="AZ94" s="142" t="s">
        <v>2397</v>
      </c>
    </row>
    <row r="95" spans="1:52" s="142" customFormat="1" ht="12.75" x14ac:dyDescent="0.2">
      <c r="A95" s="151" t="s">
        <v>7364</v>
      </c>
      <c r="B95" s="152" t="s">
        <v>2397</v>
      </c>
      <c r="C95" s="152" t="s">
        <v>1435</v>
      </c>
      <c r="D95" s="152" t="s">
        <v>2705</v>
      </c>
      <c r="E95" s="152" t="s">
        <v>2398</v>
      </c>
      <c r="F95" s="152" t="s">
        <v>1435</v>
      </c>
      <c r="G95" s="152" t="s">
        <v>2705</v>
      </c>
      <c r="H95" s="152" t="s">
        <v>2705</v>
      </c>
      <c r="I95" s="152" t="s">
        <v>2705</v>
      </c>
      <c r="J95" s="152" t="s">
        <v>2675</v>
      </c>
      <c r="K95" s="152" t="s">
        <v>2398</v>
      </c>
      <c r="L95" s="152" t="s">
        <v>2705</v>
      </c>
      <c r="M95" s="152" t="s">
        <v>1435</v>
      </c>
      <c r="N95" s="152" t="s">
        <v>2675</v>
      </c>
      <c r="O95" s="152" t="s">
        <v>2398</v>
      </c>
      <c r="P95" s="152" t="s">
        <v>2705</v>
      </c>
      <c r="Q95" s="152" t="s">
        <v>2398</v>
      </c>
      <c r="R95" s="152" t="s">
        <v>2398</v>
      </c>
      <c r="S95" s="152" t="s">
        <v>2705</v>
      </c>
      <c r="T95" s="152" t="s">
        <v>2705</v>
      </c>
      <c r="U95" s="152" t="s">
        <v>2705</v>
      </c>
      <c r="V95" s="142" cm="1">
        <f t="array" ref="V95">IF(A95&lt;&gt;"",SUM(--(B95:U96 = "X")*$U$3,--(B95:U96 ="A")*$Q$3,--(B95:U96 ="B")*$R$3,--(B95:U96 ="C")*$S$3),"")</f>
        <v>15</v>
      </c>
      <c r="X95" s="437" t="s">
        <v>7403</v>
      </c>
      <c r="Y95" s="437">
        <v>20</v>
      </c>
      <c r="Z95" s="436">
        <f>_xlfn.XLOOKUP(answers[[#This Row],[StudentID]],$A$7:$A$1418,$V$7:$V$1418)</f>
        <v>20</v>
      </c>
      <c r="AF95" s="142" t="s">
        <v>7364</v>
      </c>
      <c r="AG95" s="142" t="s">
        <v>2397</v>
      </c>
      <c r="AH95" s="142" t="s">
        <v>1435</v>
      </c>
      <c r="AI95" s="142" t="s">
        <v>2705</v>
      </c>
      <c r="AJ95" s="142" t="s">
        <v>2398</v>
      </c>
      <c r="AK95" s="142" t="s">
        <v>1435</v>
      </c>
      <c r="AL95" s="142" t="s">
        <v>2705</v>
      </c>
      <c r="AM95" s="142" t="s">
        <v>2705</v>
      </c>
      <c r="AN95" s="142" t="s">
        <v>2705</v>
      </c>
      <c r="AO95" s="142" t="s">
        <v>2675</v>
      </c>
      <c r="AP95" s="142" t="s">
        <v>2398</v>
      </c>
      <c r="AQ95" s="142" t="s">
        <v>2705</v>
      </c>
      <c r="AR95" s="142" t="s">
        <v>1435</v>
      </c>
      <c r="AS95" s="142" t="s">
        <v>2675</v>
      </c>
      <c r="AT95" s="142" t="s">
        <v>2398</v>
      </c>
      <c r="AU95" s="142" t="s">
        <v>2705</v>
      </c>
      <c r="AV95" s="142" t="s">
        <v>2398</v>
      </c>
      <c r="AW95" s="142" t="s">
        <v>2398</v>
      </c>
      <c r="AX95" s="142" t="s">
        <v>2705</v>
      </c>
      <c r="AY95" s="142" t="s">
        <v>2705</v>
      </c>
      <c r="AZ95" s="142" t="s">
        <v>2705</v>
      </c>
    </row>
    <row r="96" spans="1:52" s="142" customFormat="1" ht="12.75" x14ac:dyDescent="0.2">
      <c r="A96" s="151"/>
      <c r="B96" s="152" t="s">
        <v>2397</v>
      </c>
      <c r="C96" s="152" t="s">
        <v>2705</v>
      </c>
      <c r="D96" s="152" t="s">
        <v>1435</v>
      </c>
      <c r="E96" s="152" t="s">
        <v>2705</v>
      </c>
      <c r="F96" s="152" t="s">
        <v>2675</v>
      </c>
      <c r="G96" s="152" t="s">
        <v>2675</v>
      </c>
      <c r="H96" s="152" t="s">
        <v>2675</v>
      </c>
      <c r="I96" s="152" t="s">
        <v>2705</v>
      </c>
      <c r="J96" s="152" t="s">
        <v>2705</v>
      </c>
      <c r="K96" s="152" t="s">
        <v>2398</v>
      </c>
      <c r="L96" s="152" t="s">
        <v>2705</v>
      </c>
      <c r="M96" s="152" t="s">
        <v>2398</v>
      </c>
      <c r="N96" s="152" t="s">
        <v>2705</v>
      </c>
      <c r="O96" s="152" t="s">
        <v>2705</v>
      </c>
      <c r="P96" s="152" t="s">
        <v>2398</v>
      </c>
      <c r="Q96" s="152" t="s">
        <v>1435</v>
      </c>
      <c r="R96" s="152" t="s">
        <v>2705</v>
      </c>
      <c r="S96" s="152" t="s">
        <v>2705</v>
      </c>
      <c r="T96" s="152" t="s">
        <v>2705</v>
      </c>
      <c r="U96" s="152" t="s">
        <v>2705</v>
      </c>
      <c r="V96" s="142" t="str" cm="1">
        <f t="array" ref="V96">IF(A96&lt;&gt;"",SUM(--(B96:U97 = "X")*$U$3,--(B96:U97 ="A")*$Q$3,--(B96:U97 ="B")*$R$3,--(B96:U97 ="C")*$S$3),"")</f>
        <v/>
      </c>
      <c r="X96" s="437" t="s">
        <v>7404</v>
      </c>
      <c r="Y96" s="437">
        <v>24.5</v>
      </c>
      <c r="Z96" s="436">
        <f>_xlfn.XLOOKUP(answers[[#This Row],[StudentID]],$A$7:$A$1418,$V$7:$V$1418)</f>
        <v>24.5</v>
      </c>
      <c r="AG96" s="142" t="s">
        <v>2397</v>
      </c>
      <c r="AH96" s="142" t="s">
        <v>2705</v>
      </c>
      <c r="AI96" s="142" t="s">
        <v>1435</v>
      </c>
      <c r="AJ96" s="142" t="s">
        <v>2705</v>
      </c>
      <c r="AK96" s="142" t="s">
        <v>2675</v>
      </c>
      <c r="AL96" s="142" t="s">
        <v>2675</v>
      </c>
      <c r="AM96" s="142" t="s">
        <v>2675</v>
      </c>
      <c r="AN96" s="142" t="s">
        <v>2705</v>
      </c>
      <c r="AO96" s="142" t="s">
        <v>2705</v>
      </c>
      <c r="AP96" s="142" t="s">
        <v>2398</v>
      </c>
      <c r="AQ96" s="142" t="s">
        <v>2705</v>
      </c>
      <c r="AR96" s="142" t="s">
        <v>2398</v>
      </c>
      <c r="AS96" s="142" t="s">
        <v>2705</v>
      </c>
      <c r="AT96" s="142" t="s">
        <v>2705</v>
      </c>
      <c r="AU96" s="142" t="s">
        <v>2398</v>
      </c>
      <c r="AV96" s="142" t="s">
        <v>1435</v>
      </c>
      <c r="AW96" s="142" t="s">
        <v>2705</v>
      </c>
      <c r="AX96" s="142" t="s">
        <v>2705</v>
      </c>
      <c r="AY96" s="142" t="s">
        <v>2705</v>
      </c>
      <c r="AZ96" s="142" t="s">
        <v>2705</v>
      </c>
    </row>
    <row r="97" spans="1:52" s="142" customFormat="1" ht="12.75" x14ac:dyDescent="0.2">
      <c r="A97" s="151" t="s">
        <v>7365</v>
      </c>
      <c r="B97" s="152" t="s">
        <v>2705</v>
      </c>
      <c r="C97" s="152" t="s">
        <v>2705</v>
      </c>
      <c r="D97" s="152" t="s">
        <v>2705</v>
      </c>
      <c r="E97" s="152" t="s">
        <v>2705</v>
      </c>
      <c r="F97" s="152" t="s">
        <v>2398</v>
      </c>
      <c r="G97" s="152" t="s">
        <v>2705</v>
      </c>
      <c r="H97" s="152" t="s">
        <v>2398</v>
      </c>
      <c r="I97" s="152" t="s">
        <v>2398</v>
      </c>
      <c r="J97" s="152" t="s">
        <v>2398</v>
      </c>
      <c r="K97" s="152" t="s">
        <v>2705</v>
      </c>
      <c r="L97" s="152" t="s">
        <v>2705</v>
      </c>
      <c r="M97" s="152" t="s">
        <v>2705</v>
      </c>
      <c r="N97" s="152" t="s">
        <v>2705</v>
      </c>
      <c r="O97" s="152" t="s">
        <v>2398</v>
      </c>
      <c r="P97" s="152" t="s">
        <v>2705</v>
      </c>
      <c r="Q97" s="152" t="s">
        <v>2398</v>
      </c>
      <c r="R97" s="152" t="s">
        <v>2705</v>
      </c>
      <c r="S97" s="152" t="s">
        <v>2398</v>
      </c>
      <c r="T97" s="152" t="s">
        <v>2398</v>
      </c>
      <c r="U97" s="152" t="s">
        <v>2398</v>
      </c>
      <c r="V97" s="142" cm="1">
        <f t="array" ref="V97">IF(A97&lt;&gt;"",SUM(--(B97:U98 = "X")*$U$3,--(B97:U98 ="A")*$Q$3,--(B97:U98 ="B")*$R$3,--(B97:U98 ="C")*$S$3),"")</f>
        <v>22</v>
      </c>
      <c r="X97" s="437" t="s">
        <v>7405</v>
      </c>
      <c r="Y97" s="437">
        <v>14</v>
      </c>
      <c r="Z97" s="436">
        <f>_xlfn.XLOOKUP(answers[[#This Row],[StudentID]],$A$7:$A$1418,$V$7:$V$1418)</f>
        <v>14</v>
      </c>
      <c r="AF97" s="142" t="s">
        <v>7365</v>
      </c>
      <c r="AG97" s="142" t="s">
        <v>2705</v>
      </c>
      <c r="AH97" s="142" t="s">
        <v>2705</v>
      </c>
      <c r="AI97" s="142" t="s">
        <v>2705</v>
      </c>
      <c r="AJ97" s="142" t="s">
        <v>2705</v>
      </c>
      <c r="AK97" s="142" t="s">
        <v>2398</v>
      </c>
      <c r="AL97" s="142" t="s">
        <v>2705</v>
      </c>
      <c r="AM97" s="142" t="s">
        <v>2398</v>
      </c>
      <c r="AN97" s="142" t="s">
        <v>2398</v>
      </c>
      <c r="AO97" s="142" t="s">
        <v>2398</v>
      </c>
      <c r="AP97" s="142" t="s">
        <v>2705</v>
      </c>
      <c r="AQ97" s="142" t="s">
        <v>2705</v>
      </c>
      <c r="AR97" s="142" t="s">
        <v>2705</v>
      </c>
      <c r="AS97" s="142" t="s">
        <v>2705</v>
      </c>
      <c r="AT97" s="142" t="s">
        <v>2398</v>
      </c>
      <c r="AU97" s="142" t="s">
        <v>2705</v>
      </c>
      <c r="AV97" s="142" t="s">
        <v>2398</v>
      </c>
      <c r="AW97" s="142" t="s">
        <v>2705</v>
      </c>
      <c r="AX97" s="142" t="s">
        <v>2398</v>
      </c>
      <c r="AY97" s="142" t="s">
        <v>2398</v>
      </c>
      <c r="AZ97" s="142" t="s">
        <v>2398</v>
      </c>
    </row>
    <row r="98" spans="1:52" s="142" customFormat="1" ht="12.75" x14ac:dyDescent="0.2">
      <c r="A98" s="151"/>
      <c r="B98" s="152" t="s">
        <v>2705</v>
      </c>
      <c r="C98" s="152" t="s">
        <v>2398</v>
      </c>
      <c r="D98" s="152" t="s">
        <v>2705</v>
      </c>
      <c r="E98" s="152" t="s">
        <v>2705</v>
      </c>
      <c r="F98" s="152" t="s">
        <v>2705</v>
      </c>
      <c r="G98" s="152" t="s">
        <v>2398</v>
      </c>
      <c r="H98" s="152" t="s">
        <v>2398</v>
      </c>
      <c r="I98" s="152" t="s">
        <v>2705</v>
      </c>
      <c r="J98" s="152" t="s">
        <v>2705</v>
      </c>
      <c r="K98" s="152" t="s">
        <v>2705</v>
      </c>
      <c r="L98" s="152" t="s">
        <v>2398</v>
      </c>
      <c r="M98" s="152" t="s">
        <v>1435</v>
      </c>
      <c r="N98" s="152" t="s">
        <v>2705</v>
      </c>
      <c r="O98" s="152" t="s">
        <v>2705</v>
      </c>
      <c r="P98" s="152" t="s">
        <v>2675</v>
      </c>
      <c r="Q98" s="152" t="s">
        <v>2705</v>
      </c>
      <c r="R98" s="152" t="s">
        <v>2398</v>
      </c>
      <c r="S98" s="152" t="s">
        <v>2398</v>
      </c>
      <c r="T98" s="152" t="s">
        <v>2705</v>
      </c>
      <c r="U98" s="152" t="s">
        <v>2705</v>
      </c>
      <c r="V98" s="142" t="str" cm="1">
        <f t="array" ref="V98">IF(A98&lt;&gt;"",SUM(--(B98:U99 = "X")*$U$3,--(B98:U99 ="A")*$Q$3,--(B98:U99 ="B")*$R$3,--(B98:U99 ="C")*$S$3),"")</f>
        <v/>
      </c>
      <c r="X98" s="437" t="s">
        <v>7406</v>
      </c>
      <c r="Y98" s="437">
        <v>22</v>
      </c>
      <c r="Z98" s="436">
        <f>_xlfn.XLOOKUP(answers[[#This Row],[StudentID]],$A$7:$A$1418,$V$7:$V$1418)</f>
        <v>22</v>
      </c>
      <c r="AG98" s="142" t="s">
        <v>2705</v>
      </c>
      <c r="AH98" s="142" t="s">
        <v>2398</v>
      </c>
      <c r="AI98" s="142" t="s">
        <v>2705</v>
      </c>
      <c r="AJ98" s="142" t="s">
        <v>2705</v>
      </c>
      <c r="AK98" s="142" t="s">
        <v>2705</v>
      </c>
      <c r="AL98" s="142" t="s">
        <v>2398</v>
      </c>
      <c r="AM98" s="142" t="s">
        <v>2398</v>
      </c>
      <c r="AN98" s="142" t="s">
        <v>2705</v>
      </c>
      <c r="AO98" s="142" t="s">
        <v>2705</v>
      </c>
      <c r="AP98" s="142" t="s">
        <v>2705</v>
      </c>
      <c r="AQ98" s="142" t="s">
        <v>2398</v>
      </c>
      <c r="AR98" s="142" t="s">
        <v>1435</v>
      </c>
      <c r="AS98" s="142" t="s">
        <v>2705</v>
      </c>
      <c r="AT98" s="142" t="s">
        <v>2705</v>
      </c>
      <c r="AU98" s="142" t="s">
        <v>2675</v>
      </c>
      <c r="AV98" s="142" t="s">
        <v>2705</v>
      </c>
      <c r="AW98" s="142" t="s">
        <v>2398</v>
      </c>
      <c r="AX98" s="142" t="s">
        <v>2398</v>
      </c>
      <c r="AY98" s="142" t="s">
        <v>2705</v>
      </c>
      <c r="AZ98" s="142" t="s">
        <v>2705</v>
      </c>
    </row>
    <row r="99" spans="1:52" s="142" customFormat="1" ht="12.75" x14ac:dyDescent="0.2">
      <c r="A99" s="151" t="s">
        <v>7366</v>
      </c>
      <c r="B99" s="152" t="s">
        <v>2398</v>
      </c>
      <c r="C99" s="152" t="s">
        <v>2705</v>
      </c>
      <c r="D99" s="152" t="s">
        <v>2705</v>
      </c>
      <c r="E99" s="152" t="s">
        <v>1435</v>
      </c>
      <c r="F99" s="152" t="s">
        <v>2675</v>
      </c>
      <c r="G99" s="152" t="s">
        <v>2705</v>
      </c>
      <c r="H99" s="152" t="s">
        <v>2398</v>
      </c>
      <c r="I99" s="152" t="s">
        <v>2398</v>
      </c>
      <c r="J99" s="152" t="s">
        <v>2705</v>
      </c>
      <c r="K99" s="152" t="s">
        <v>2398</v>
      </c>
      <c r="L99" s="152" t="s">
        <v>1435</v>
      </c>
      <c r="M99" s="152" t="s">
        <v>1435</v>
      </c>
      <c r="N99" s="152" t="s">
        <v>2705</v>
      </c>
      <c r="O99" s="152" t="s">
        <v>2398</v>
      </c>
      <c r="P99" s="152" t="s">
        <v>2398</v>
      </c>
      <c r="Q99" s="152" t="s">
        <v>2705</v>
      </c>
      <c r="R99" s="152" t="s">
        <v>2705</v>
      </c>
      <c r="S99" s="152" t="s">
        <v>2675</v>
      </c>
      <c r="T99" s="152" t="s">
        <v>2705</v>
      </c>
      <c r="U99" s="152" t="s">
        <v>2397</v>
      </c>
      <c r="V99" s="142" cm="1">
        <f t="array" ref="V99">IF(A99&lt;&gt;"",SUM(--(B99:U100 = "X")*$U$3,--(B99:U100 ="A")*$Q$3,--(B99:U100 ="B")*$R$3,--(B99:U100 ="C")*$S$3),"")</f>
        <v>6.5</v>
      </c>
      <c r="X99" s="437" t="s">
        <v>7407</v>
      </c>
      <c r="Y99" s="437">
        <v>14</v>
      </c>
      <c r="Z99" s="436">
        <f>_xlfn.XLOOKUP(answers[[#This Row],[StudentID]],$A$7:$A$1418,$V$7:$V$1418)</f>
        <v>14</v>
      </c>
      <c r="AF99" s="142" t="s">
        <v>7366</v>
      </c>
      <c r="AG99" s="142" t="s">
        <v>2398</v>
      </c>
      <c r="AH99" s="142" t="s">
        <v>2705</v>
      </c>
      <c r="AI99" s="142" t="s">
        <v>2705</v>
      </c>
      <c r="AJ99" s="142" t="s">
        <v>1435</v>
      </c>
      <c r="AK99" s="142" t="s">
        <v>2675</v>
      </c>
      <c r="AL99" s="142" t="s">
        <v>2705</v>
      </c>
      <c r="AM99" s="142" t="s">
        <v>2398</v>
      </c>
      <c r="AN99" s="142" t="s">
        <v>2398</v>
      </c>
      <c r="AO99" s="142" t="s">
        <v>2705</v>
      </c>
      <c r="AP99" s="142" t="s">
        <v>2398</v>
      </c>
      <c r="AQ99" s="142" t="s">
        <v>1435</v>
      </c>
      <c r="AR99" s="142" t="s">
        <v>1435</v>
      </c>
      <c r="AS99" s="142" t="s">
        <v>2705</v>
      </c>
      <c r="AT99" s="142" t="s">
        <v>2398</v>
      </c>
      <c r="AU99" s="142" t="s">
        <v>2398</v>
      </c>
      <c r="AV99" s="142" t="s">
        <v>2705</v>
      </c>
      <c r="AW99" s="142" t="s">
        <v>2705</v>
      </c>
      <c r="AX99" s="142" t="s">
        <v>2675</v>
      </c>
      <c r="AY99" s="142" t="s">
        <v>2705</v>
      </c>
      <c r="AZ99" s="142" t="s">
        <v>2397</v>
      </c>
    </row>
    <row r="100" spans="1:52" s="142" customFormat="1" ht="12.75" x14ac:dyDescent="0.2">
      <c r="A100" s="151"/>
      <c r="B100" s="152" t="s">
        <v>2398</v>
      </c>
      <c r="C100" s="152" t="s">
        <v>2675</v>
      </c>
      <c r="D100" s="152" t="s">
        <v>2398</v>
      </c>
      <c r="E100" s="152" t="s">
        <v>2398</v>
      </c>
      <c r="F100" s="152" t="s">
        <v>2705</v>
      </c>
      <c r="G100" s="152" t="s">
        <v>2675</v>
      </c>
      <c r="H100" s="152" t="s">
        <v>2397</v>
      </c>
      <c r="I100" s="152" t="s">
        <v>2398</v>
      </c>
      <c r="J100" s="152" t="s">
        <v>2398</v>
      </c>
      <c r="K100" s="152" t="s">
        <v>2705</v>
      </c>
      <c r="L100" s="152" t="s">
        <v>1435</v>
      </c>
      <c r="M100" s="152" t="s">
        <v>1435</v>
      </c>
      <c r="N100" s="152" t="s">
        <v>2705</v>
      </c>
      <c r="O100" s="152" t="s">
        <v>2398</v>
      </c>
      <c r="P100" s="152" t="s">
        <v>2705</v>
      </c>
      <c r="Q100" s="152" t="s">
        <v>2398</v>
      </c>
      <c r="R100" s="152" t="s">
        <v>2675</v>
      </c>
      <c r="S100" s="152" t="s">
        <v>2675</v>
      </c>
      <c r="T100" s="152" t="s">
        <v>2397</v>
      </c>
      <c r="U100" s="152" t="s">
        <v>2398</v>
      </c>
      <c r="V100" s="142" t="str" cm="1">
        <f t="array" ref="V100">IF(A100&lt;&gt;"",SUM(--(B100:U101 = "X")*$U$3,--(B100:U101 ="A")*$Q$3,--(B100:U101 ="B")*$R$3,--(B100:U101 ="C")*$S$3),"")</f>
        <v/>
      </c>
      <c r="X100" s="437" t="s">
        <v>7408</v>
      </c>
      <c r="Y100" s="437">
        <v>21.5</v>
      </c>
      <c r="Z100" s="436">
        <f>_xlfn.XLOOKUP(answers[[#This Row],[StudentID]],$A$7:$A$1418,$V$7:$V$1418)</f>
        <v>21.5</v>
      </c>
      <c r="AG100" s="142" t="s">
        <v>2398</v>
      </c>
      <c r="AH100" s="142" t="s">
        <v>2675</v>
      </c>
      <c r="AI100" s="142" t="s">
        <v>2398</v>
      </c>
      <c r="AJ100" s="142" t="s">
        <v>2398</v>
      </c>
      <c r="AK100" s="142" t="s">
        <v>2705</v>
      </c>
      <c r="AL100" s="142" t="s">
        <v>2675</v>
      </c>
      <c r="AM100" s="142" t="s">
        <v>2397</v>
      </c>
      <c r="AN100" s="142" t="s">
        <v>2398</v>
      </c>
      <c r="AO100" s="142" t="s">
        <v>2398</v>
      </c>
      <c r="AP100" s="142" t="s">
        <v>2705</v>
      </c>
      <c r="AQ100" s="142" t="s">
        <v>1435</v>
      </c>
      <c r="AR100" s="142" t="s">
        <v>1435</v>
      </c>
      <c r="AS100" s="142" t="s">
        <v>2705</v>
      </c>
      <c r="AT100" s="142" t="s">
        <v>2398</v>
      </c>
      <c r="AU100" s="142" t="s">
        <v>2705</v>
      </c>
      <c r="AV100" s="142" t="s">
        <v>2398</v>
      </c>
      <c r="AW100" s="142" t="s">
        <v>2675</v>
      </c>
      <c r="AX100" s="142" t="s">
        <v>2675</v>
      </c>
      <c r="AY100" s="142" t="s">
        <v>2397</v>
      </c>
      <c r="AZ100" s="142" t="s">
        <v>2398</v>
      </c>
    </row>
    <row r="101" spans="1:52" s="142" customFormat="1" ht="12.75" x14ac:dyDescent="0.2">
      <c r="A101" s="151" t="s">
        <v>7367</v>
      </c>
      <c r="B101" s="152" t="s">
        <v>2398</v>
      </c>
      <c r="C101" s="152" t="s">
        <v>2705</v>
      </c>
      <c r="D101" s="152" t="s">
        <v>2675</v>
      </c>
      <c r="E101" s="152" t="s">
        <v>2705</v>
      </c>
      <c r="F101" s="152" t="s">
        <v>2705</v>
      </c>
      <c r="G101" s="152" t="s">
        <v>2705</v>
      </c>
      <c r="H101" s="152" t="s">
        <v>2705</v>
      </c>
      <c r="I101" s="152" t="s">
        <v>2398</v>
      </c>
      <c r="J101" s="152" t="s">
        <v>2398</v>
      </c>
      <c r="K101" s="152" t="s">
        <v>2398</v>
      </c>
      <c r="L101" s="152" t="s">
        <v>2675</v>
      </c>
      <c r="M101" s="152" t="s">
        <v>2705</v>
      </c>
      <c r="N101" s="152" t="s">
        <v>2705</v>
      </c>
      <c r="O101" s="152" t="s">
        <v>2398</v>
      </c>
      <c r="P101" s="152" t="s">
        <v>2705</v>
      </c>
      <c r="Q101" s="152" t="s">
        <v>2705</v>
      </c>
      <c r="R101" s="152" t="s">
        <v>2398</v>
      </c>
      <c r="S101" s="152" t="s">
        <v>2705</v>
      </c>
      <c r="T101" s="152" t="s">
        <v>2398</v>
      </c>
      <c r="U101" s="152" t="s">
        <v>2705</v>
      </c>
      <c r="V101" s="142" cm="1">
        <f t="array" ref="V101">IF(A101&lt;&gt;"",SUM(--(B101:U102 = "X")*$U$3,--(B101:U102 ="A")*$Q$3,--(B101:U102 ="B")*$R$3,--(B101:U102 ="C")*$S$3),"")</f>
        <v>23.5</v>
      </c>
      <c r="X101" s="437" t="s">
        <v>7409</v>
      </c>
      <c r="Y101" s="437">
        <v>21.5</v>
      </c>
      <c r="Z101" s="436">
        <f>_xlfn.XLOOKUP(answers[[#This Row],[StudentID]],$A$7:$A$1418,$V$7:$V$1418)</f>
        <v>21.5</v>
      </c>
      <c r="AF101" s="142" t="s">
        <v>7367</v>
      </c>
      <c r="AG101" s="142" t="s">
        <v>2398</v>
      </c>
      <c r="AH101" s="142" t="s">
        <v>2705</v>
      </c>
      <c r="AI101" s="142" t="s">
        <v>2675</v>
      </c>
      <c r="AJ101" s="142" t="s">
        <v>2705</v>
      </c>
      <c r="AK101" s="142" t="s">
        <v>2705</v>
      </c>
      <c r="AL101" s="142" t="s">
        <v>2705</v>
      </c>
      <c r="AM101" s="142" t="s">
        <v>2705</v>
      </c>
      <c r="AN101" s="142" t="s">
        <v>2398</v>
      </c>
      <c r="AO101" s="142" t="s">
        <v>2398</v>
      </c>
      <c r="AP101" s="142" t="s">
        <v>2398</v>
      </c>
      <c r="AQ101" s="142" t="s">
        <v>2675</v>
      </c>
      <c r="AR101" s="142" t="s">
        <v>2705</v>
      </c>
      <c r="AS101" s="142" t="s">
        <v>2705</v>
      </c>
      <c r="AT101" s="142" t="s">
        <v>2398</v>
      </c>
      <c r="AU101" s="142" t="s">
        <v>2705</v>
      </c>
      <c r="AV101" s="142" t="s">
        <v>2705</v>
      </c>
      <c r="AW101" s="142" t="s">
        <v>2398</v>
      </c>
      <c r="AX101" s="142" t="s">
        <v>2705</v>
      </c>
      <c r="AY101" s="142" t="s">
        <v>2398</v>
      </c>
      <c r="AZ101" s="142" t="s">
        <v>2705</v>
      </c>
    </row>
    <row r="102" spans="1:52" s="142" customFormat="1" ht="12.75" x14ac:dyDescent="0.2">
      <c r="A102" s="151"/>
      <c r="B102" s="152" t="s">
        <v>2398</v>
      </c>
      <c r="C102" s="152" t="s">
        <v>2397</v>
      </c>
      <c r="D102" s="152" t="s">
        <v>1435</v>
      </c>
      <c r="E102" s="152" t="s">
        <v>2705</v>
      </c>
      <c r="F102" s="152" t="s">
        <v>2398</v>
      </c>
      <c r="G102" s="152" t="s">
        <v>2705</v>
      </c>
      <c r="H102" s="152" t="s">
        <v>2705</v>
      </c>
      <c r="I102" s="152" t="s">
        <v>2705</v>
      </c>
      <c r="J102" s="152" t="s">
        <v>2705</v>
      </c>
      <c r="K102" s="152" t="s">
        <v>2705</v>
      </c>
      <c r="L102" s="152" t="s">
        <v>2398</v>
      </c>
      <c r="M102" s="152" t="s">
        <v>2705</v>
      </c>
      <c r="N102" s="152" t="s">
        <v>2705</v>
      </c>
      <c r="O102" s="152" t="s">
        <v>2705</v>
      </c>
      <c r="P102" s="152" t="s">
        <v>2705</v>
      </c>
      <c r="Q102" s="152" t="s">
        <v>2705</v>
      </c>
      <c r="R102" s="152" t="s">
        <v>2705</v>
      </c>
      <c r="S102" s="152" t="s">
        <v>2705</v>
      </c>
      <c r="T102" s="152" t="s">
        <v>2398</v>
      </c>
      <c r="U102" s="152" t="s">
        <v>2705</v>
      </c>
      <c r="V102" s="142" t="str" cm="1">
        <f t="array" ref="V102">IF(A102&lt;&gt;"",SUM(--(B102:U103 = "X")*$U$3,--(B102:U103 ="A")*$Q$3,--(B102:U103 ="B")*$R$3,--(B102:U103 ="C")*$S$3),"")</f>
        <v/>
      </c>
      <c r="X102" s="437" t="s">
        <v>7410</v>
      </c>
      <c r="Y102" s="437">
        <v>27.5</v>
      </c>
      <c r="Z102" s="436">
        <f>_xlfn.XLOOKUP(answers[[#This Row],[StudentID]],$A$7:$A$1418,$V$7:$V$1418)</f>
        <v>27.5</v>
      </c>
      <c r="AG102" s="142" t="s">
        <v>2398</v>
      </c>
      <c r="AH102" s="142" t="s">
        <v>2397</v>
      </c>
      <c r="AI102" s="142" t="s">
        <v>1435</v>
      </c>
      <c r="AJ102" s="142" t="s">
        <v>2705</v>
      </c>
      <c r="AK102" s="142" t="s">
        <v>2398</v>
      </c>
      <c r="AL102" s="142" t="s">
        <v>2705</v>
      </c>
      <c r="AM102" s="142" t="s">
        <v>2705</v>
      </c>
      <c r="AN102" s="142" t="s">
        <v>2705</v>
      </c>
      <c r="AO102" s="142" t="s">
        <v>2705</v>
      </c>
      <c r="AP102" s="142" t="s">
        <v>2705</v>
      </c>
      <c r="AQ102" s="142" t="s">
        <v>2398</v>
      </c>
      <c r="AR102" s="142" t="s">
        <v>2705</v>
      </c>
      <c r="AS102" s="142" t="s">
        <v>2705</v>
      </c>
      <c r="AT102" s="142" t="s">
        <v>2705</v>
      </c>
      <c r="AU102" s="142" t="s">
        <v>2705</v>
      </c>
      <c r="AV102" s="142" t="s">
        <v>2705</v>
      </c>
      <c r="AW102" s="142" t="s">
        <v>2705</v>
      </c>
      <c r="AX102" s="142" t="s">
        <v>2705</v>
      </c>
      <c r="AY102" s="142" t="s">
        <v>2398</v>
      </c>
      <c r="AZ102" s="142" t="s">
        <v>2705</v>
      </c>
    </row>
    <row r="103" spans="1:52" s="142" customFormat="1" ht="12.75" x14ac:dyDescent="0.2">
      <c r="A103" s="151" t="s">
        <v>7368</v>
      </c>
      <c r="B103" s="152" t="s">
        <v>2705</v>
      </c>
      <c r="C103" s="152" t="s">
        <v>2705</v>
      </c>
      <c r="D103" s="152" t="s">
        <v>2398</v>
      </c>
      <c r="E103" s="152" t="s">
        <v>2705</v>
      </c>
      <c r="F103" s="152" t="s">
        <v>2398</v>
      </c>
      <c r="G103" s="152" t="s">
        <v>1435</v>
      </c>
      <c r="H103" s="152" t="s">
        <v>2705</v>
      </c>
      <c r="I103" s="152" t="s">
        <v>2705</v>
      </c>
      <c r="J103" s="152" t="s">
        <v>2398</v>
      </c>
      <c r="K103" s="152" t="s">
        <v>2705</v>
      </c>
      <c r="L103" s="152" t="s">
        <v>2398</v>
      </c>
      <c r="M103" s="152" t="s">
        <v>2705</v>
      </c>
      <c r="N103" s="152" t="s">
        <v>2705</v>
      </c>
      <c r="O103" s="152" t="s">
        <v>2398</v>
      </c>
      <c r="P103" s="152" t="s">
        <v>2398</v>
      </c>
      <c r="Q103" s="152" t="s">
        <v>2675</v>
      </c>
      <c r="R103" s="152" t="s">
        <v>2398</v>
      </c>
      <c r="S103" s="152" t="s">
        <v>2398</v>
      </c>
      <c r="T103" s="152" t="s">
        <v>2675</v>
      </c>
      <c r="U103" s="152" t="s">
        <v>2398</v>
      </c>
      <c r="V103" s="142" cm="1">
        <f t="array" ref="V103">IF(A103&lt;&gt;"",SUM(--(B103:U104 = "X")*$U$3,--(B103:U104 ="A")*$Q$3,--(B103:U104 ="B")*$R$3,--(B103:U104 ="C")*$S$3),"")</f>
        <v>13</v>
      </c>
      <c r="X103" s="437" t="s">
        <v>7411</v>
      </c>
      <c r="Y103" s="437">
        <v>19.5</v>
      </c>
      <c r="Z103" s="436">
        <f>_xlfn.XLOOKUP(answers[[#This Row],[StudentID]],$A$7:$A$1418,$V$7:$V$1418)</f>
        <v>19.5</v>
      </c>
      <c r="AF103" s="142" t="s">
        <v>7368</v>
      </c>
      <c r="AG103" s="142" t="s">
        <v>2705</v>
      </c>
      <c r="AH103" s="142" t="s">
        <v>2705</v>
      </c>
      <c r="AI103" s="142" t="s">
        <v>2398</v>
      </c>
      <c r="AJ103" s="142" t="s">
        <v>2705</v>
      </c>
      <c r="AK103" s="142" t="s">
        <v>2398</v>
      </c>
      <c r="AL103" s="142" t="s">
        <v>1435</v>
      </c>
      <c r="AM103" s="142" t="s">
        <v>2705</v>
      </c>
      <c r="AN103" s="142" t="s">
        <v>2705</v>
      </c>
      <c r="AO103" s="142" t="s">
        <v>2398</v>
      </c>
      <c r="AP103" s="142" t="s">
        <v>2705</v>
      </c>
      <c r="AQ103" s="142" t="s">
        <v>2398</v>
      </c>
      <c r="AR103" s="142" t="s">
        <v>2705</v>
      </c>
      <c r="AS103" s="142" t="s">
        <v>2705</v>
      </c>
      <c r="AT103" s="142" t="s">
        <v>2398</v>
      </c>
      <c r="AU103" s="142" t="s">
        <v>2398</v>
      </c>
      <c r="AV103" s="142" t="s">
        <v>2675</v>
      </c>
      <c r="AW103" s="142" t="s">
        <v>2398</v>
      </c>
      <c r="AX103" s="142" t="s">
        <v>2398</v>
      </c>
      <c r="AY103" s="142" t="s">
        <v>2675</v>
      </c>
      <c r="AZ103" s="142" t="s">
        <v>2398</v>
      </c>
    </row>
    <row r="104" spans="1:52" s="142" customFormat="1" ht="12.75" x14ac:dyDescent="0.2">
      <c r="A104" s="151"/>
      <c r="B104" s="152" t="s">
        <v>2397</v>
      </c>
      <c r="C104" s="152" t="s">
        <v>2705</v>
      </c>
      <c r="D104" s="152" t="s">
        <v>2705</v>
      </c>
      <c r="E104" s="152" t="s">
        <v>2398</v>
      </c>
      <c r="F104" s="152" t="s">
        <v>2705</v>
      </c>
      <c r="G104" s="152" t="s">
        <v>2398</v>
      </c>
      <c r="H104" s="152" t="s">
        <v>2398</v>
      </c>
      <c r="I104" s="152" t="s">
        <v>2705</v>
      </c>
      <c r="J104" s="152" t="s">
        <v>1435</v>
      </c>
      <c r="K104" s="152" t="s">
        <v>2705</v>
      </c>
      <c r="L104" s="152" t="s">
        <v>2398</v>
      </c>
      <c r="M104" s="152" t="s">
        <v>2675</v>
      </c>
      <c r="N104" s="152" t="s">
        <v>2398</v>
      </c>
      <c r="O104" s="152" t="s">
        <v>2398</v>
      </c>
      <c r="P104" s="152" t="s">
        <v>2398</v>
      </c>
      <c r="Q104" s="152" t="s">
        <v>2705</v>
      </c>
      <c r="R104" s="152" t="s">
        <v>2398</v>
      </c>
      <c r="S104" s="152" t="s">
        <v>2675</v>
      </c>
      <c r="T104" s="152" t="s">
        <v>2705</v>
      </c>
      <c r="U104" s="152" t="s">
        <v>2705</v>
      </c>
      <c r="V104" s="142" t="str" cm="1">
        <f t="array" ref="V104">IF(A104&lt;&gt;"",SUM(--(B104:U105 = "X")*$U$3,--(B104:U105 ="A")*$Q$3,--(B104:U105 ="B")*$R$3,--(B104:U105 ="C")*$S$3),"")</f>
        <v/>
      </c>
      <c r="X104" s="437" t="s">
        <v>7412</v>
      </c>
      <c r="Y104" s="437">
        <v>18.5</v>
      </c>
      <c r="Z104" s="436">
        <f>_xlfn.XLOOKUP(answers[[#This Row],[StudentID]],$A$7:$A$1418,$V$7:$V$1418)</f>
        <v>18.5</v>
      </c>
      <c r="AG104" s="142" t="s">
        <v>2397</v>
      </c>
      <c r="AH104" s="142" t="s">
        <v>2705</v>
      </c>
      <c r="AI104" s="142" t="s">
        <v>2705</v>
      </c>
      <c r="AJ104" s="142" t="s">
        <v>2398</v>
      </c>
      <c r="AK104" s="142" t="s">
        <v>2705</v>
      </c>
      <c r="AL104" s="142" t="s">
        <v>2398</v>
      </c>
      <c r="AM104" s="142" t="s">
        <v>2398</v>
      </c>
      <c r="AN104" s="142" t="s">
        <v>2705</v>
      </c>
      <c r="AO104" s="142" t="s">
        <v>1435</v>
      </c>
      <c r="AP104" s="142" t="s">
        <v>2705</v>
      </c>
      <c r="AQ104" s="142" t="s">
        <v>2398</v>
      </c>
      <c r="AR104" s="142" t="s">
        <v>2675</v>
      </c>
      <c r="AS104" s="142" t="s">
        <v>2398</v>
      </c>
      <c r="AT104" s="142" t="s">
        <v>2398</v>
      </c>
      <c r="AU104" s="142" t="s">
        <v>2398</v>
      </c>
      <c r="AV104" s="142" t="s">
        <v>2705</v>
      </c>
      <c r="AW104" s="142" t="s">
        <v>2398</v>
      </c>
      <c r="AX104" s="142" t="s">
        <v>2675</v>
      </c>
      <c r="AY104" s="142" t="s">
        <v>2705</v>
      </c>
      <c r="AZ104" s="142" t="s">
        <v>2705</v>
      </c>
    </row>
    <row r="105" spans="1:52" s="142" customFormat="1" ht="12.75" x14ac:dyDescent="0.2">
      <c r="A105" s="151" t="s">
        <v>7369</v>
      </c>
      <c r="B105" s="152" t="s">
        <v>2398</v>
      </c>
      <c r="C105" s="152" t="s">
        <v>2398</v>
      </c>
      <c r="D105" s="152" t="s">
        <v>2398</v>
      </c>
      <c r="E105" s="152" t="s">
        <v>2705</v>
      </c>
      <c r="F105" s="152" t="s">
        <v>2397</v>
      </c>
      <c r="G105" s="152" t="s">
        <v>2398</v>
      </c>
      <c r="H105" s="152" t="s">
        <v>2398</v>
      </c>
      <c r="I105" s="152" t="s">
        <v>2398</v>
      </c>
      <c r="J105" s="152" t="s">
        <v>2675</v>
      </c>
      <c r="K105" s="152" t="s">
        <v>2398</v>
      </c>
      <c r="L105" s="152" t="s">
        <v>2398</v>
      </c>
      <c r="M105" s="152" t="s">
        <v>2705</v>
      </c>
      <c r="N105" s="152" t="s">
        <v>2398</v>
      </c>
      <c r="O105" s="152" t="s">
        <v>2398</v>
      </c>
      <c r="P105" s="152" t="s">
        <v>2397</v>
      </c>
      <c r="Q105" s="152" t="s">
        <v>2705</v>
      </c>
      <c r="R105" s="152" t="s">
        <v>2398</v>
      </c>
      <c r="S105" s="152" t="s">
        <v>2705</v>
      </c>
      <c r="T105" s="152" t="s">
        <v>2398</v>
      </c>
      <c r="U105" s="152" t="s">
        <v>2705</v>
      </c>
      <c r="V105" s="142" cm="1">
        <f t="array" ref="V105">IF(A105&lt;&gt;"",SUM(--(B105:U106 = "X")*$U$3,--(B105:U106 ="A")*$Q$3,--(B105:U106 ="B")*$R$3,--(B105:U106 ="C")*$S$3),"")</f>
        <v>12.5</v>
      </c>
      <c r="X105" s="437" t="s">
        <v>7413</v>
      </c>
      <c r="Y105" s="437">
        <v>11</v>
      </c>
      <c r="Z105" s="436">
        <f>_xlfn.XLOOKUP(answers[[#This Row],[StudentID]],$A$7:$A$1418,$V$7:$V$1418)</f>
        <v>11</v>
      </c>
      <c r="AF105" s="142" t="s">
        <v>7369</v>
      </c>
      <c r="AG105" s="142" t="s">
        <v>2398</v>
      </c>
      <c r="AH105" s="142" t="s">
        <v>2398</v>
      </c>
      <c r="AI105" s="142" t="s">
        <v>2398</v>
      </c>
      <c r="AJ105" s="142" t="s">
        <v>2705</v>
      </c>
      <c r="AK105" s="142" t="s">
        <v>2397</v>
      </c>
      <c r="AL105" s="142" t="s">
        <v>2398</v>
      </c>
      <c r="AM105" s="142" t="s">
        <v>2398</v>
      </c>
      <c r="AN105" s="142" t="s">
        <v>2398</v>
      </c>
      <c r="AO105" s="142" t="s">
        <v>2675</v>
      </c>
      <c r="AP105" s="142" t="s">
        <v>2398</v>
      </c>
      <c r="AQ105" s="142" t="s">
        <v>2398</v>
      </c>
      <c r="AR105" s="142" t="s">
        <v>2705</v>
      </c>
      <c r="AS105" s="142" t="s">
        <v>2398</v>
      </c>
      <c r="AT105" s="142" t="s">
        <v>2398</v>
      </c>
      <c r="AU105" s="142" t="s">
        <v>2397</v>
      </c>
      <c r="AV105" s="142" t="s">
        <v>2705</v>
      </c>
      <c r="AW105" s="142" t="s">
        <v>2398</v>
      </c>
      <c r="AX105" s="142" t="s">
        <v>2705</v>
      </c>
      <c r="AY105" s="142" t="s">
        <v>2398</v>
      </c>
      <c r="AZ105" s="142" t="s">
        <v>2705</v>
      </c>
    </row>
    <row r="106" spans="1:52" s="142" customFormat="1" ht="12.75" x14ac:dyDescent="0.2">
      <c r="A106" s="151"/>
      <c r="B106" s="152" t="s">
        <v>2705</v>
      </c>
      <c r="C106" s="152" t="s">
        <v>2397</v>
      </c>
      <c r="D106" s="152" t="s">
        <v>1435</v>
      </c>
      <c r="E106" s="152" t="s">
        <v>2675</v>
      </c>
      <c r="F106" s="152" t="s">
        <v>2398</v>
      </c>
      <c r="G106" s="152" t="s">
        <v>2705</v>
      </c>
      <c r="H106" s="152" t="s">
        <v>2705</v>
      </c>
      <c r="I106" s="152" t="s">
        <v>2398</v>
      </c>
      <c r="J106" s="152" t="s">
        <v>2705</v>
      </c>
      <c r="K106" s="152" t="s">
        <v>2705</v>
      </c>
      <c r="L106" s="152" t="s">
        <v>2705</v>
      </c>
      <c r="M106" s="152" t="s">
        <v>2705</v>
      </c>
      <c r="N106" s="152" t="s">
        <v>2675</v>
      </c>
      <c r="O106" s="152" t="s">
        <v>2705</v>
      </c>
      <c r="P106" s="152" t="s">
        <v>2398</v>
      </c>
      <c r="Q106" s="152" t="s">
        <v>2398</v>
      </c>
      <c r="R106" s="152" t="s">
        <v>1435</v>
      </c>
      <c r="S106" s="152" t="s">
        <v>2705</v>
      </c>
      <c r="T106" s="152" t="s">
        <v>2705</v>
      </c>
      <c r="U106" s="152" t="s">
        <v>2398</v>
      </c>
      <c r="V106" s="142" t="str" cm="1">
        <f t="array" ref="V106">IF(A106&lt;&gt;"",SUM(--(B106:U107 = "X")*$U$3,--(B106:U107 ="A")*$Q$3,--(B106:U107 ="B")*$R$3,--(B106:U107 ="C")*$S$3),"")</f>
        <v/>
      </c>
      <c r="X106" s="437" t="s">
        <v>7414</v>
      </c>
      <c r="Y106" s="437">
        <v>16</v>
      </c>
      <c r="Z106" s="436">
        <f>_xlfn.XLOOKUP(answers[[#This Row],[StudentID]],$A$7:$A$1418,$V$7:$V$1418)</f>
        <v>16</v>
      </c>
      <c r="AG106" s="142" t="s">
        <v>2705</v>
      </c>
      <c r="AH106" s="142" t="s">
        <v>2397</v>
      </c>
      <c r="AI106" s="142" t="s">
        <v>1435</v>
      </c>
      <c r="AJ106" s="142" t="s">
        <v>2675</v>
      </c>
      <c r="AK106" s="142" t="s">
        <v>2398</v>
      </c>
      <c r="AL106" s="142" t="s">
        <v>2705</v>
      </c>
      <c r="AM106" s="142" t="s">
        <v>2705</v>
      </c>
      <c r="AN106" s="142" t="s">
        <v>2398</v>
      </c>
      <c r="AO106" s="142" t="s">
        <v>2705</v>
      </c>
      <c r="AP106" s="142" t="s">
        <v>2705</v>
      </c>
      <c r="AQ106" s="142" t="s">
        <v>2705</v>
      </c>
      <c r="AR106" s="142" t="s">
        <v>2705</v>
      </c>
      <c r="AS106" s="142" t="s">
        <v>2675</v>
      </c>
      <c r="AT106" s="142" t="s">
        <v>2705</v>
      </c>
      <c r="AU106" s="142" t="s">
        <v>2398</v>
      </c>
      <c r="AV106" s="142" t="s">
        <v>2398</v>
      </c>
      <c r="AW106" s="142" t="s">
        <v>1435</v>
      </c>
      <c r="AX106" s="142" t="s">
        <v>2705</v>
      </c>
      <c r="AY106" s="142" t="s">
        <v>2705</v>
      </c>
      <c r="AZ106" s="142" t="s">
        <v>2398</v>
      </c>
    </row>
    <row r="107" spans="1:52" s="142" customFormat="1" ht="12.75" x14ac:dyDescent="0.2">
      <c r="A107" s="151" t="s">
        <v>7370</v>
      </c>
      <c r="B107" s="152" t="s">
        <v>2705</v>
      </c>
      <c r="C107" s="152" t="s">
        <v>2398</v>
      </c>
      <c r="D107" s="152" t="s">
        <v>2705</v>
      </c>
      <c r="E107" s="152" t="s">
        <v>2705</v>
      </c>
      <c r="F107" s="152" t="s">
        <v>2705</v>
      </c>
      <c r="G107" s="152" t="s">
        <v>2705</v>
      </c>
      <c r="H107" s="152" t="s">
        <v>2705</v>
      </c>
      <c r="I107" s="152" t="s">
        <v>2705</v>
      </c>
      <c r="J107" s="152" t="s">
        <v>2398</v>
      </c>
      <c r="K107" s="152" t="s">
        <v>2398</v>
      </c>
      <c r="L107" s="152" t="s">
        <v>2705</v>
      </c>
      <c r="M107" s="152" t="s">
        <v>2705</v>
      </c>
      <c r="N107" s="152" t="s">
        <v>2398</v>
      </c>
      <c r="O107" s="152" t="s">
        <v>2705</v>
      </c>
      <c r="P107" s="152" t="s">
        <v>2705</v>
      </c>
      <c r="Q107" s="152" t="s">
        <v>1435</v>
      </c>
      <c r="R107" s="152" t="s">
        <v>2705</v>
      </c>
      <c r="S107" s="152" t="s">
        <v>2705</v>
      </c>
      <c r="T107" s="152" t="s">
        <v>2705</v>
      </c>
      <c r="U107" s="152" t="s">
        <v>2398</v>
      </c>
      <c r="V107" s="142" cm="1">
        <f t="array" ref="V107">IF(A107&lt;&gt;"",SUM(--(B107:U108 = "X")*$U$3,--(B107:U108 ="A")*$Q$3,--(B107:U108 ="B")*$R$3,--(B107:U108 ="C")*$S$3),"")</f>
        <v>21</v>
      </c>
      <c r="X107" s="437" t="s">
        <v>7415</v>
      </c>
      <c r="Y107" s="437">
        <v>17</v>
      </c>
      <c r="Z107" s="436">
        <f>_xlfn.XLOOKUP(answers[[#This Row],[StudentID]],$A$7:$A$1418,$V$7:$V$1418)</f>
        <v>17</v>
      </c>
      <c r="AF107" s="142" t="s">
        <v>7370</v>
      </c>
      <c r="AG107" s="142" t="s">
        <v>2705</v>
      </c>
      <c r="AH107" s="142" t="s">
        <v>2398</v>
      </c>
      <c r="AI107" s="142" t="s">
        <v>2705</v>
      </c>
      <c r="AJ107" s="142" t="s">
        <v>2705</v>
      </c>
      <c r="AK107" s="142" t="s">
        <v>2705</v>
      </c>
      <c r="AL107" s="142" t="s">
        <v>2705</v>
      </c>
      <c r="AM107" s="142" t="s">
        <v>2705</v>
      </c>
      <c r="AN107" s="142" t="s">
        <v>2705</v>
      </c>
      <c r="AO107" s="142" t="s">
        <v>2398</v>
      </c>
      <c r="AP107" s="142" t="s">
        <v>2398</v>
      </c>
      <c r="AQ107" s="142" t="s">
        <v>2705</v>
      </c>
      <c r="AR107" s="142" t="s">
        <v>2705</v>
      </c>
      <c r="AS107" s="142" t="s">
        <v>2398</v>
      </c>
      <c r="AT107" s="142" t="s">
        <v>2705</v>
      </c>
      <c r="AU107" s="142" t="s">
        <v>2705</v>
      </c>
      <c r="AV107" s="142" t="s">
        <v>1435</v>
      </c>
      <c r="AW107" s="142" t="s">
        <v>2705</v>
      </c>
      <c r="AX107" s="142" t="s">
        <v>2705</v>
      </c>
      <c r="AY107" s="142" t="s">
        <v>2705</v>
      </c>
      <c r="AZ107" s="142" t="s">
        <v>2398</v>
      </c>
    </row>
    <row r="108" spans="1:52" s="142" customFormat="1" ht="12.75" x14ac:dyDescent="0.2">
      <c r="A108" s="151"/>
      <c r="B108" s="152" t="s">
        <v>2398</v>
      </c>
      <c r="C108" s="152" t="s">
        <v>2705</v>
      </c>
      <c r="D108" s="152" t="s">
        <v>2705</v>
      </c>
      <c r="E108" s="152" t="s">
        <v>2398</v>
      </c>
      <c r="F108" s="152" t="s">
        <v>2398</v>
      </c>
      <c r="G108" s="152" t="s">
        <v>2398</v>
      </c>
      <c r="H108" s="152" t="s">
        <v>2398</v>
      </c>
      <c r="I108" s="152" t="s">
        <v>2398</v>
      </c>
      <c r="J108" s="152" t="s">
        <v>2398</v>
      </c>
      <c r="K108" s="152" t="s">
        <v>2398</v>
      </c>
      <c r="L108" s="152" t="s">
        <v>2705</v>
      </c>
      <c r="M108" s="152" t="s">
        <v>2398</v>
      </c>
      <c r="N108" s="152" t="s">
        <v>2705</v>
      </c>
      <c r="O108" s="152" t="s">
        <v>2705</v>
      </c>
      <c r="P108" s="152" t="s">
        <v>2398</v>
      </c>
      <c r="Q108" s="152" t="s">
        <v>1435</v>
      </c>
      <c r="R108" s="152" t="s">
        <v>2705</v>
      </c>
      <c r="S108" s="152" t="s">
        <v>2705</v>
      </c>
      <c r="T108" s="152" t="s">
        <v>2705</v>
      </c>
      <c r="U108" s="152" t="s">
        <v>2398</v>
      </c>
      <c r="V108" s="142" t="str" cm="1">
        <f t="array" ref="V108">IF(A108&lt;&gt;"",SUM(--(B108:U109 = "X")*$U$3,--(B108:U109 ="A")*$Q$3,--(B108:U109 ="B")*$R$3,--(B108:U109 ="C")*$S$3),"")</f>
        <v/>
      </c>
      <c r="X108" s="437" t="s">
        <v>7416</v>
      </c>
      <c r="Y108" s="437">
        <v>10</v>
      </c>
      <c r="Z108" s="436">
        <f>_xlfn.XLOOKUP(answers[[#This Row],[StudentID]],$A$7:$A$1418,$V$7:$V$1418)</f>
        <v>10</v>
      </c>
      <c r="AG108" s="142" t="s">
        <v>2398</v>
      </c>
      <c r="AH108" s="142" t="s">
        <v>2705</v>
      </c>
      <c r="AI108" s="142" t="s">
        <v>2705</v>
      </c>
      <c r="AJ108" s="142" t="s">
        <v>2398</v>
      </c>
      <c r="AK108" s="142" t="s">
        <v>2398</v>
      </c>
      <c r="AL108" s="142" t="s">
        <v>2398</v>
      </c>
      <c r="AM108" s="142" t="s">
        <v>2398</v>
      </c>
      <c r="AN108" s="142" t="s">
        <v>2398</v>
      </c>
      <c r="AO108" s="142" t="s">
        <v>2398</v>
      </c>
      <c r="AP108" s="142" t="s">
        <v>2398</v>
      </c>
      <c r="AQ108" s="142" t="s">
        <v>2705</v>
      </c>
      <c r="AR108" s="142" t="s">
        <v>2398</v>
      </c>
      <c r="AS108" s="142" t="s">
        <v>2705</v>
      </c>
      <c r="AT108" s="142" t="s">
        <v>2705</v>
      </c>
      <c r="AU108" s="142" t="s">
        <v>2398</v>
      </c>
      <c r="AV108" s="142" t="s">
        <v>1435</v>
      </c>
      <c r="AW108" s="142" t="s">
        <v>2705</v>
      </c>
      <c r="AX108" s="142" t="s">
        <v>2705</v>
      </c>
      <c r="AY108" s="142" t="s">
        <v>2705</v>
      </c>
      <c r="AZ108" s="142" t="s">
        <v>2398</v>
      </c>
    </row>
    <row r="109" spans="1:52" s="142" customFormat="1" ht="12.75" x14ac:dyDescent="0.2">
      <c r="A109" s="151" t="s">
        <v>7371</v>
      </c>
      <c r="B109" s="152" t="s">
        <v>2705</v>
      </c>
      <c r="C109" s="152" t="s">
        <v>2705</v>
      </c>
      <c r="D109" s="152" t="s">
        <v>2398</v>
      </c>
      <c r="E109" s="152" t="s">
        <v>2398</v>
      </c>
      <c r="F109" s="152" t="s">
        <v>2705</v>
      </c>
      <c r="G109" s="152" t="s">
        <v>2705</v>
      </c>
      <c r="H109" s="152" t="s">
        <v>2705</v>
      </c>
      <c r="I109" s="152" t="s">
        <v>2705</v>
      </c>
      <c r="J109" s="152" t="s">
        <v>2398</v>
      </c>
      <c r="K109" s="152" t="s">
        <v>2398</v>
      </c>
      <c r="L109" s="152" t="s">
        <v>2398</v>
      </c>
      <c r="M109" s="152" t="s">
        <v>2398</v>
      </c>
      <c r="N109" s="152" t="s">
        <v>2705</v>
      </c>
      <c r="O109" s="152" t="s">
        <v>2705</v>
      </c>
      <c r="P109" s="152" t="s">
        <v>2705</v>
      </c>
      <c r="Q109" s="152" t="s">
        <v>2705</v>
      </c>
      <c r="R109" s="152" t="s">
        <v>2705</v>
      </c>
      <c r="S109" s="152" t="s">
        <v>2705</v>
      </c>
      <c r="T109" s="152" t="s">
        <v>2398</v>
      </c>
      <c r="U109" s="152" t="s">
        <v>2705</v>
      </c>
      <c r="V109" s="142" cm="1">
        <f t="array" ref="V109">IF(A109&lt;&gt;"",SUM(--(B109:U110 = "X")*$U$3,--(B109:U110 ="A")*$Q$3,--(B109:U110 ="B")*$R$3,--(B109:U110 ="C")*$S$3),"")</f>
        <v>25.5</v>
      </c>
      <c r="X109" s="437" t="s">
        <v>7417</v>
      </c>
      <c r="Y109" s="437">
        <v>14</v>
      </c>
      <c r="Z109" s="436">
        <f>_xlfn.XLOOKUP(answers[[#This Row],[StudentID]],$A$7:$A$1418,$V$7:$V$1418)</f>
        <v>14</v>
      </c>
      <c r="AF109" s="142" t="s">
        <v>7371</v>
      </c>
      <c r="AG109" s="142" t="s">
        <v>2705</v>
      </c>
      <c r="AH109" s="142" t="s">
        <v>2705</v>
      </c>
      <c r="AI109" s="142" t="s">
        <v>2398</v>
      </c>
      <c r="AJ109" s="142" t="s">
        <v>2398</v>
      </c>
      <c r="AK109" s="142" t="s">
        <v>2705</v>
      </c>
      <c r="AL109" s="142" t="s">
        <v>2705</v>
      </c>
      <c r="AM109" s="142" t="s">
        <v>2705</v>
      </c>
      <c r="AN109" s="142" t="s">
        <v>2705</v>
      </c>
      <c r="AO109" s="142" t="s">
        <v>2398</v>
      </c>
      <c r="AP109" s="142" t="s">
        <v>2398</v>
      </c>
      <c r="AQ109" s="142" t="s">
        <v>2398</v>
      </c>
      <c r="AR109" s="142" t="s">
        <v>2398</v>
      </c>
      <c r="AS109" s="142" t="s">
        <v>2705</v>
      </c>
      <c r="AT109" s="142" t="s">
        <v>2705</v>
      </c>
      <c r="AU109" s="142" t="s">
        <v>2705</v>
      </c>
      <c r="AV109" s="142" t="s">
        <v>2705</v>
      </c>
      <c r="AW109" s="142" t="s">
        <v>2705</v>
      </c>
      <c r="AX109" s="142" t="s">
        <v>2705</v>
      </c>
      <c r="AY109" s="142" t="s">
        <v>2398</v>
      </c>
      <c r="AZ109" s="142" t="s">
        <v>2705</v>
      </c>
    </row>
    <row r="110" spans="1:52" s="142" customFormat="1" ht="12.75" x14ac:dyDescent="0.2">
      <c r="A110" s="151"/>
      <c r="B110" s="152" t="s">
        <v>2705</v>
      </c>
      <c r="C110" s="152" t="s">
        <v>2398</v>
      </c>
      <c r="D110" s="152" t="s">
        <v>2398</v>
      </c>
      <c r="E110" s="152" t="s">
        <v>2398</v>
      </c>
      <c r="F110" s="152" t="s">
        <v>2705</v>
      </c>
      <c r="G110" s="152" t="s">
        <v>2705</v>
      </c>
      <c r="H110" s="152" t="s">
        <v>2398</v>
      </c>
      <c r="I110" s="152" t="s">
        <v>1435</v>
      </c>
      <c r="J110" s="152" t="s">
        <v>2705</v>
      </c>
      <c r="K110" s="152" t="s">
        <v>2705</v>
      </c>
      <c r="L110" s="152" t="s">
        <v>2705</v>
      </c>
      <c r="M110" s="152" t="s">
        <v>2398</v>
      </c>
      <c r="N110" s="152" t="s">
        <v>2705</v>
      </c>
      <c r="O110" s="152" t="s">
        <v>2705</v>
      </c>
      <c r="P110" s="152" t="s">
        <v>2398</v>
      </c>
      <c r="Q110" s="152" t="s">
        <v>2705</v>
      </c>
      <c r="R110" s="152" t="s">
        <v>2705</v>
      </c>
      <c r="S110" s="152" t="s">
        <v>2705</v>
      </c>
      <c r="T110" s="152" t="s">
        <v>2705</v>
      </c>
      <c r="U110" s="152" t="s">
        <v>2705</v>
      </c>
      <c r="V110" s="142" t="str" cm="1">
        <f t="array" ref="V110">IF(A110&lt;&gt;"",SUM(--(B110:U111 = "X")*$U$3,--(B110:U111 ="A")*$Q$3,--(B110:U111 ="B")*$R$3,--(B110:U111 ="C")*$S$3),"")</f>
        <v/>
      </c>
      <c r="X110" s="437" t="s">
        <v>7418</v>
      </c>
      <c r="Y110" s="437">
        <v>16</v>
      </c>
      <c r="Z110" s="436">
        <f>_xlfn.XLOOKUP(answers[[#This Row],[StudentID]],$A$7:$A$1418,$V$7:$V$1418)</f>
        <v>16</v>
      </c>
      <c r="AG110" s="142" t="s">
        <v>2705</v>
      </c>
      <c r="AH110" s="142" t="s">
        <v>2398</v>
      </c>
      <c r="AI110" s="142" t="s">
        <v>2398</v>
      </c>
      <c r="AJ110" s="142" t="s">
        <v>2398</v>
      </c>
      <c r="AK110" s="142" t="s">
        <v>2705</v>
      </c>
      <c r="AL110" s="142" t="s">
        <v>2705</v>
      </c>
      <c r="AM110" s="142" t="s">
        <v>2398</v>
      </c>
      <c r="AN110" s="142" t="s">
        <v>1435</v>
      </c>
      <c r="AO110" s="142" t="s">
        <v>2705</v>
      </c>
      <c r="AP110" s="142" t="s">
        <v>2705</v>
      </c>
      <c r="AQ110" s="142" t="s">
        <v>2705</v>
      </c>
      <c r="AR110" s="142" t="s">
        <v>2398</v>
      </c>
      <c r="AS110" s="142" t="s">
        <v>2705</v>
      </c>
      <c r="AT110" s="142" t="s">
        <v>2705</v>
      </c>
      <c r="AU110" s="142" t="s">
        <v>2398</v>
      </c>
      <c r="AV110" s="142" t="s">
        <v>2705</v>
      </c>
      <c r="AW110" s="142" t="s">
        <v>2705</v>
      </c>
      <c r="AX110" s="142" t="s">
        <v>2705</v>
      </c>
      <c r="AY110" s="142" t="s">
        <v>2705</v>
      </c>
      <c r="AZ110" s="142" t="s">
        <v>2705</v>
      </c>
    </row>
    <row r="111" spans="1:52" s="142" customFormat="1" ht="12.75" x14ac:dyDescent="0.2">
      <c r="A111" s="151" t="s">
        <v>7372</v>
      </c>
      <c r="B111" s="152" t="s">
        <v>2705</v>
      </c>
      <c r="C111" s="152" t="s">
        <v>2705</v>
      </c>
      <c r="D111" s="152" t="s">
        <v>2705</v>
      </c>
      <c r="E111" s="152" t="s">
        <v>2675</v>
      </c>
      <c r="F111" s="152" t="s">
        <v>2705</v>
      </c>
      <c r="G111" s="152" t="s">
        <v>2398</v>
      </c>
      <c r="H111" s="152" t="s">
        <v>2705</v>
      </c>
      <c r="I111" s="152" t="s">
        <v>2398</v>
      </c>
      <c r="J111" s="152" t="s">
        <v>2705</v>
      </c>
      <c r="K111" s="152" t="s">
        <v>1435</v>
      </c>
      <c r="L111" s="152" t="s">
        <v>2705</v>
      </c>
      <c r="M111" s="152" t="s">
        <v>2705</v>
      </c>
      <c r="N111" s="152" t="s">
        <v>2675</v>
      </c>
      <c r="O111" s="152" t="s">
        <v>1435</v>
      </c>
      <c r="P111" s="152" t="s">
        <v>2675</v>
      </c>
      <c r="Q111" s="152" t="s">
        <v>2397</v>
      </c>
      <c r="R111" s="152" t="s">
        <v>2397</v>
      </c>
      <c r="S111" s="152" t="s">
        <v>2398</v>
      </c>
      <c r="T111" s="152" t="s">
        <v>2705</v>
      </c>
      <c r="U111" s="152" t="s">
        <v>2398</v>
      </c>
      <c r="V111" s="142" cm="1">
        <f t="array" ref="V111">IF(A111&lt;&gt;"",SUM(--(B111:U112 = "X")*$U$3,--(B111:U112 ="A")*$Q$3,--(B111:U112 ="B")*$R$3,--(B111:U112 ="C")*$S$3),"")</f>
        <v>16</v>
      </c>
      <c r="X111" s="437" t="s">
        <v>7419</v>
      </c>
      <c r="Y111" s="437">
        <v>21.5</v>
      </c>
      <c r="Z111" s="436">
        <f>_xlfn.XLOOKUP(answers[[#This Row],[StudentID]],$A$7:$A$1418,$V$7:$V$1418)</f>
        <v>21.5</v>
      </c>
      <c r="AF111" s="142" t="s">
        <v>7372</v>
      </c>
      <c r="AG111" s="142" t="s">
        <v>2705</v>
      </c>
      <c r="AH111" s="142" t="s">
        <v>2705</v>
      </c>
      <c r="AI111" s="142" t="s">
        <v>2705</v>
      </c>
      <c r="AJ111" s="142" t="s">
        <v>2675</v>
      </c>
      <c r="AK111" s="142" t="s">
        <v>2705</v>
      </c>
      <c r="AL111" s="142" t="s">
        <v>2398</v>
      </c>
      <c r="AM111" s="142" t="s">
        <v>2705</v>
      </c>
      <c r="AN111" s="142" t="s">
        <v>2398</v>
      </c>
      <c r="AO111" s="142" t="s">
        <v>2705</v>
      </c>
      <c r="AP111" s="142" t="s">
        <v>1435</v>
      </c>
      <c r="AQ111" s="142" t="s">
        <v>2705</v>
      </c>
      <c r="AR111" s="142" t="s">
        <v>2705</v>
      </c>
      <c r="AS111" s="142" t="s">
        <v>2675</v>
      </c>
      <c r="AT111" s="142" t="s">
        <v>1435</v>
      </c>
      <c r="AU111" s="142" t="s">
        <v>2675</v>
      </c>
      <c r="AV111" s="142" t="s">
        <v>2397</v>
      </c>
      <c r="AW111" s="142" t="s">
        <v>2397</v>
      </c>
      <c r="AX111" s="142" t="s">
        <v>2398</v>
      </c>
      <c r="AY111" s="142" t="s">
        <v>2705</v>
      </c>
      <c r="AZ111" s="142" t="s">
        <v>2398</v>
      </c>
    </row>
    <row r="112" spans="1:52" s="142" customFormat="1" ht="12.75" x14ac:dyDescent="0.2">
      <c r="A112" s="151"/>
      <c r="B112" s="152" t="s">
        <v>2705</v>
      </c>
      <c r="C112" s="152" t="s">
        <v>2398</v>
      </c>
      <c r="D112" s="152" t="s">
        <v>2675</v>
      </c>
      <c r="E112" s="152" t="s">
        <v>2705</v>
      </c>
      <c r="F112" s="152" t="s">
        <v>2705</v>
      </c>
      <c r="G112" s="152" t="s">
        <v>2675</v>
      </c>
      <c r="H112" s="152" t="s">
        <v>2675</v>
      </c>
      <c r="I112" s="152" t="s">
        <v>2705</v>
      </c>
      <c r="J112" s="152" t="s">
        <v>2705</v>
      </c>
      <c r="K112" s="152" t="s">
        <v>2705</v>
      </c>
      <c r="L112" s="152" t="s">
        <v>2705</v>
      </c>
      <c r="M112" s="152" t="s">
        <v>2398</v>
      </c>
      <c r="N112" s="152" t="s">
        <v>2398</v>
      </c>
      <c r="O112" s="152" t="s">
        <v>2705</v>
      </c>
      <c r="P112" s="152" t="s">
        <v>2705</v>
      </c>
      <c r="Q112" s="152" t="s">
        <v>2398</v>
      </c>
      <c r="R112" s="152" t="s">
        <v>2398</v>
      </c>
      <c r="S112" s="152" t="s">
        <v>2705</v>
      </c>
      <c r="T112" s="152" t="s">
        <v>2398</v>
      </c>
      <c r="U112" s="152" t="s">
        <v>2705</v>
      </c>
      <c r="V112" s="142" t="str" cm="1">
        <f t="array" ref="V112">IF(A112&lt;&gt;"",SUM(--(B112:U113 = "X")*$U$3,--(B112:U113 ="A")*$Q$3,--(B112:U113 ="B")*$R$3,--(B112:U113 ="C")*$S$3),"")</f>
        <v/>
      </c>
      <c r="X112" s="437" t="s">
        <v>7420</v>
      </c>
      <c r="Y112" s="437">
        <v>21</v>
      </c>
      <c r="Z112" s="436">
        <f>_xlfn.XLOOKUP(answers[[#This Row],[StudentID]],$A$7:$A$1418,$V$7:$V$1418)</f>
        <v>21</v>
      </c>
      <c r="AG112" s="142" t="s">
        <v>2705</v>
      </c>
      <c r="AH112" s="142" t="s">
        <v>2398</v>
      </c>
      <c r="AI112" s="142" t="s">
        <v>2675</v>
      </c>
      <c r="AJ112" s="142" t="s">
        <v>2705</v>
      </c>
      <c r="AK112" s="142" t="s">
        <v>2705</v>
      </c>
      <c r="AL112" s="142" t="s">
        <v>2675</v>
      </c>
      <c r="AM112" s="142" t="s">
        <v>2675</v>
      </c>
      <c r="AN112" s="142" t="s">
        <v>2705</v>
      </c>
      <c r="AO112" s="142" t="s">
        <v>2705</v>
      </c>
      <c r="AP112" s="142" t="s">
        <v>2705</v>
      </c>
      <c r="AQ112" s="142" t="s">
        <v>2705</v>
      </c>
      <c r="AR112" s="142" t="s">
        <v>2398</v>
      </c>
      <c r="AS112" s="142" t="s">
        <v>2398</v>
      </c>
      <c r="AT112" s="142" t="s">
        <v>2705</v>
      </c>
      <c r="AU112" s="142" t="s">
        <v>2705</v>
      </c>
      <c r="AV112" s="142" t="s">
        <v>2398</v>
      </c>
      <c r="AW112" s="142" t="s">
        <v>2398</v>
      </c>
      <c r="AX112" s="142" t="s">
        <v>2705</v>
      </c>
      <c r="AY112" s="142" t="s">
        <v>2398</v>
      </c>
      <c r="AZ112" s="142" t="s">
        <v>2705</v>
      </c>
    </row>
    <row r="113" spans="1:52" s="142" customFormat="1" ht="12.75" x14ac:dyDescent="0.2">
      <c r="A113" s="151" t="s">
        <v>7373</v>
      </c>
      <c r="B113" s="152" t="s">
        <v>2705</v>
      </c>
      <c r="C113" s="152" t="s">
        <v>2705</v>
      </c>
      <c r="D113" s="152" t="s">
        <v>2705</v>
      </c>
      <c r="E113" s="152" t="s">
        <v>1435</v>
      </c>
      <c r="F113" s="152" t="s">
        <v>2705</v>
      </c>
      <c r="G113" s="152" t="s">
        <v>2705</v>
      </c>
      <c r="H113" s="152" t="s">
        <v>2705</v>
      </c>
      <c r="I113" s="152" t="s">
        <v>2398</v>
      </c>
      <c r="J113" s="152" t="s">
        <v>2398</v>
      </c>
      <c r="K113" s="152" t="s">
        <v>1435</v>
      </c>
      <c r="L113" s="152" t="s">
        <v>2705</v>
      </c>
      <c r="M113" s="152" t="s">
        <v>2705</v>
      </c>
      <c r="N113" s="152" t="s">
        <v>2675</v>
      </c>
      <c r="O113" s="152" t="s">
        <v>2398</v>
      </c>
      <c r="P113" s="152" t="s">
        <v>2398</v>
      </c>
      <c r="Q113" s="152" t="s">
        <v>2397</v>
      </c>
      <c r="R113" s="152" t="s">
        <v>2675</v>
      </c>
      <c r="S113" s="152" t="s">
        <v>2398</v>
      </c>
      <c r="T113" s="152" t="s">
        <v>2397</v>
      </c>
      <c r="U113" s="152" t="s">
        <v>1435</v>
      </c>
      <c r="V113" s="142" cm="1">
        <f t="array" ref="V113">IF(A113&lt;&gt;"",SUM(--(B113:U114 = "X")*$U$3,--(B113:U114 ="A")*$Q$3,--(B113:U114 ="B")*$R$3,--(B113:U114 ="C")*$S$3),"")</f>
        <v>15.5</v>
      </c>
      <c r="X113" s="437" t="s">
        <v>7421</v>
      </c>
      <c r="Y113" s="437">
        <v>16.5</v>
      </c>
      <c r="Z113" s="436">
        <f>_xlfn.XLOOKUP(answers[[#This Row],[StudentID]],$A$7:$A$1418,$V$7:$V$1418)</f>
        <v>16.5</v>
      </c>
      <c r="AF113" s="142" t="s">
        <v>7373</v>
      </c>
      <c r="AG113" s="142" t="s">
        <v>2705</v>
      </c>
      <c r="AH113" s="142" t="s">
        <v>2705</v>
      </c>
      <c r="AI113" s="142" t="s">
        <v>2705</v>
      </c>
      <c r="AJ113" s="142" t="s">
        <v>1435</v>
      </c>
      <c r="AK113" s="142" t="s">
        <v>2705</v>
      </c>
      <c r="AL113" s="142" t="s">
        <v>2705</v>
      </c>
      <c r="AM113" s="142" t="s">
        <v>2705</v>
      </c>
      <c r="AN113" s="142" t="s">
        <v>2398</v>
      </c>
      <c r="AO113" s="142" t="s">
        <v>2398</v>
      </c>
      <c r="AP113" s="142" t="s">
        <v>1435</v>
      </c>
      <c r="AQ113" s="142" t="s">
        <v>2705</v>
      </c>
      <c r="AR113" s="142" t="s">
        <v>2705</v>
      </c>
      <c r="AS113" s="142" t="s">
        <v>2675</v>
      </c>
      <c r="AT113" s="142" t="s">
        <v>2398</v>
      </c>
      <c r="AU113" s="142" t="s">
        <v>2398</v>
      </c>
      <c r="AV113" s="142" t="s">
        <v>2397</v>
      </c>
      <c r="AW113" s="142" t="s">
        <v>2675</v>
      </c>
      <c r="AX113" s="142" t="s">
        <v>2398</v>
      </c>
      <c r="AY113" s="142" t="s">
        <v>2397</v>
      </c>
      <c r="AZ113" s="142" t="s">
        <v>1435</v>
      </c>
    </row>
    <row r="114" spans="1:52" s="142" customFormat="1" ht="12.75" x14ac:dyDescent="0.2">
      <c r="A114" s="151"/>
      <c r="B114" s="152" t="s">
        <v>2397</v>
      </c>
      <c r="C114" s="152" t="s">
        <v>2705</v>
      </c>
      <c r="D114" s="152" t="s">
        <v>2675</v>
      </c>
      <c r="E114" s="152" t="s">
        <v>2398</v>
      </c>
      <c r="F114" s="152" t="s">
        <v>2705</v>
      </c>
      <c r="G114" s="152" t="s">
        <v>1435</v>
      </c>
      <c r="H114" s="152" t="s">
        <v>2705</v>
      </c>
      <c r="I114" s="152" t="s">
        <v>2705</v>
      </c>
      <c r="J114" s="152" t="s">
        <v>2675</v>
      </c>
      <c r="K114" s="152" t="s">
        <v>2675</v>
      </c>
      <c r="L114" s="152" t="s">
        <v>2705</v>
      </c>
      <c r="M114" s="152" t="s">
        <v>2398</v>
      </c>
      <c r="N114" s="152" t="s">
        <v>2705</v>
      </c>
      <c r="O114" s="152" t="s">
        <v>2705</v>
      </c>
      <c r="P114" s="152" t="s">
        <v>2705</v>
      </c>
      <c r="Q114" s="152" t="s">
        <v>2398</v>
      </c>
      <c r="R114" s="152" t="s">
        <v>2705</v>
      </c>
      <c r="S114" s="152" t="s">
        <v>2705</v>
      </c>
      <c r="T114" s="152" t="s">
        <v>2705</v>
      </c>
      <c r="U114" s="152" t="s">
        <v>2705</v>
      </c>
      <c r="V114" s="142" t="str" cm="1">
        <f t="array" ref="V114">IF(A114&lt;&gt;"",SUM(--(B114:U115 = "X")*$U$3,--(B114:U115 ="A")*$Q$3,--(B114:U115 ="B")*$R$3,--(B114:U115 ="C")*$S$3),"")</f>
        <v/>
      </c>
      <c r="X114" s="437" t="s">
        <v>7422</v>
      </c>
      <c r="Y114" s="437">
        <v>11.5</v>
      </c>
      <c r="Z114" s="436">
        <f>_xlfn.XLOOKUP(answers[[#This Row],[StudentID]],$A$7:$A$1418,$V$7:$V$1418)</f>
        <v>11.5</v>
      </c>
      <c r="AG114" s="142" t="s">
        <v>2397</v>
      </c>
      <c r="AH114" s="142" t="s">
        <v>2705</v>
      </c>
      <c r="AI114" s="142" t="s">
        <v>2675</v>
      </c>
      <c r="AJ114" s="142" t="s">
        <v>2398</v>
      </c>
      <c r="AK114" s="142" t="s">
        <v>2705</v>
      </c>
      <c r="AL114" s="142" t="s">
        <v>1435</v>
      </c>
      <c r="AM114" s="142" t="s">
        <v>2705</v>
      </c>
      <c r="AN114" s="142" t="s">
        <v>2705</v>
      </c>
      <c r="AO114" s="142" t="s">
        <v>2675</v>
      </c>
      <c r="AP114" s="142" t="s">
        <v>2675</v>
      </c>
      <c r="AQ114" s="142" t="s">
        <v>2705</v>
      </c>
      <c r="AR114" s="142" t="s">
        <v>2398</v>
      </c>
      <c r="AS114" s="142" t="s">
        <v>2705</v>
      </c>
      <c r="AT114" s="142" t="s">
        <v>2705</v>
      </c>
      <c r="AU114" s="142" t="s">
        <v>2705</v>
      </c>
      <c r="AV114" s="142" t="s">
        <v>2398</v>
      </c>
      <c r="AW114" s="142" t="s">
        <v>2705</v>
      </c>
      <c r="AX114" s="142" t="s">
        <v>2705</v>
      </c>
      <c r="AY114" s="142" t="s">
        <v>2705</v>
      </c>
      <c r="AZ114" s="142" t="s">
        <v>2705</v>
      </c>
    </row>
    <row r="115" spans="1:52" s="142" customFormat="1" ht="12.75" x14ac:dyDescent="0.2">
      <c r="A115" s="151" t="s">
        <v>7374</v>
      </c>
      <c r="B115" s="152" t="s">
        <v>2398</v>
      </c>
      <c r="C115" s="152" t="s">
        <v>2398</v>
      </c>
      <c r="D115" s="152" t="s">
        <v>2398</v>
      </c>
      <c r="E115" s="152" t="s">
        <v>2398</v>
      </c>
      <c r="F115" s="152" t="s">
        <v>2398</v>
      </c>
      <c r="G115" s="152" t="s">
        <v>2705</v>
      </c>
      <c r="H115" s="152" t="s">
        <v>2705</v>
      </c>
      <c r="I115" s="152" t="s">
        <v>2398</v>
      </c>
      <c r="J115" s="152" t="s">
        <v>2705</v>
      </c>
      <c r="K115" s="152" t="s">
        <v>2675</v>
      </c>
      <c r="L115" s="152" t="s">
        <v>2675</v>
      </c>
      <c r="M115" s="152" t="s">
        <v>2398</v>
      </c>
      <c r="N115" s="152" t="s">
        <v>2705</v>
      </c>
      <c r="O115" s="152" t="s">
        <v>2705</v>
      </c>
      <c r="P115" s="152" t="s">
        <v>2705</v>
      </c>
      <c r="Q115" s="152" t="s">
        <v>2705</v>
      </c>
      <c r="R115" s="152" t="s">
        <v>2705</v>
      </c>
      <c r="S115" s="152" t="s">
        <v>2705</v>
      </c>
      <c r="T115" s="152" t="s">
        <v>2398</v>
      </c>
      <c r="U115" s="152" t="s">
        <v>2705</v>
      </c>
      <c r="V115" s="142" cm="1">
        <f t="array" ref="V115">IF(A115&lt;&gt;"",SUM(--(B115:U116 = "X")*$U$3,--(B115:U116 ="A")*$Q$3,--(B115:U116 ="B")*$R$3,--(B115:U116 ="C")*$S$3),"")</f>
        <v>19</v>
      </c>
      <c r="X115" s="437" t="s">
        <v>7423</v>
      </c>
      <c r="Y115" s="437">
        <v>12</v>
      </c>
      <c r="Z115" s="436">
        <f>_xlfn.XLOOKUP(answers[[#This Row],[StudentID]],$A$7:$A$1418,$V$7:$V$1418)</f>
        <v>12</v>
      </c>
      <c r="AF115" s="142" t="s">
        <v>7374</v>
      </c>
      <c r="AG115" s="142" t="s">
        <v>2398</v>
      </c>
      <c r="AH115" s="142" t="s">
        <v>2398</v>
      </c>
      <c r="AI115" s="142" t="s">
        <v>2398</v>
      </c>
      <c r="AJ115" s="142" t="s">
        <v>2398</v>
      </c>
      <c r="AK115" s="142" t="s">
        <v>2398</v>
      </c>
      <c r="AL115" s="142" t="s">
        <v>2705</v>
      </c>
      <c r="AM115" s="142" t="s">
        <v>2705</v>
      </c>
      <c r="AN115" s="142" t="s">
        <v>2398</v>
      </c>
      <c r="AO115" s="142" t="s">
        <v>2705</v>
      </c>
      <c r="AP115" s="142" t="s">
        <v>2675</v>
      </c>
      <c r="AQ115" s="142" t="s">
        <v>2675</v>
      </c>
      <c r="AR115" s="142" t="s">
        <v>2398</v>
      </c>
      <c r="AS115" s="142" t="s">
        <v>2705</v>
      </c>
      <c r="AT115" s="142" t="s">
        <v>2705</v>
      </c>
      <c r="AU115" s="142" t="s">
        <v>2705</v>
      </c>
      <c r="AV115" s="142" t="s">
        <v>2705</v>
      </c>
      <c r="AW115" s="142" t="s">
        <v>2705</v>
      </c>
      <c r="AX115" s="142" t="s">
        <v>2705</v>
      </c>
      <c r="AY115" s="142" t="s">
        <v>2398</v>
      </c>
      <c r="AZ115" s="142" t="s">
        <v>2705</v>
      </c>
    </row>
    <row r="116" spans="1:52" s="142" customFormat="1" ht="12.75" x14ac:dyDescent="0.2">
      <c r="A116" s="151"/>
      <c r="B116" s="152" t="s">
        <v>2397</v>
      </c>
      <c r="C116" s="152" t="s">
        <v>2705</v>
      </c>
      <c r="D116" s="152" t="s">
        <v>2397</v>
      </c>
      <c r="E116" s="152" t="s">
        <v>2705</v>
      </c>
      <c r="F116" s="152" t="s">
        <v>2705</v>
      </c>
      <c r="G116" s="152" t="s">
        <v>2398</v>
      </c>
      <c r="H116" s="152" t="s">
        <v>2705</v>
      </c>
      <c r="I116" s="152" t="s">
        <v>2705</v>
      </c>
      <c r="J116" s="152" t="s">
        <v>2397</v>
      </c>
      <c r="K116" s="152" t="s">
        <v>2398</v>
      </c>
      <c r="L116" s="152" t="s">
        <v>2675</v>
      </c>
      <c r="M116" s="152" t="s">
        <v>2705</v>
      </c>
      <c r="N116" s="152" t="s">
        <v>2705</v>
      </c>
      <c r="O116" s="152" t="s">
        <v>2705</v>
      </c>
      <c r="P116" s="152" t="s">
        <v>2705</v>
      </c>
      <c r="Q116" s="152" t="s">
        <v>2398</v>
      </c>
      <c r="R116" s="152" t="s">
        <v>1435</v>
      </c>
      <c r="S116" s="152" t="s">
        <v>2705</v>
      </c>
      <c r="T116" s="152" t="s">
        <v>2705</v>
      </c>
      <c r="U116" s="152" t="s">
        <v>2398</v>
      </c>
      <c r="V116" s="142" t="str" cm="1">
        <f t="array" ref="V116">IF(A116&lt;&gt;"",SUM(--(B116:U117 = "X")*$U$3,--(B116:U117 ="A")*$Q$3,--(B116:U117 ="B")*$R$3,--(B116:U117 ="C")*$S$3),"")</f>
        <v/>
      </c>
      <c r="X116" s="437" t="s">
        <v>7424</v>
      </c>
      <c r="Y116" s="437">
        <v>14.5</v>
      </c>
      <c r="Z116" s="436">
        <f>_xlfn.XLOOKUP(answers[[#This Row],[StudentID]],$A$7:$A$1418,$V$7:$V$1418)</f>
        <v>14.5</v>
      </c>
      <c r="AG116" s="142" t="s">
        <v>2397</v>
      </c>
      <c r="AH116" s="142" t="s">
        <v>2705</v>
      </c>
      <c r="AI116" s="142" t="s">
        <v>2397</v>
      </c>
      <c r="AJ116" s="142" t="s">
        <v>2705</v>
      </c>
      <c r="AK116" s="142" t="s">
        <v>2705</v>
      </c>
      <c r="AL116" s="142" t="s">
        <v>2398</v>
      </c>
      <c r="AM116" s="142" t="s">
        <v>2705</v>
      </c>
      <c r="AN116" s="142" t="s">
        <v>2705</v>
      </c>
      <c r="AO116" s="142" t="s">
        <v>2397</v>
      </c>
      <c r="AP116" s="142" t="s">
        <v>2398</v>
      </c>
      <c r="AQ116" s="142" t="s">
        <v>2675</v>
      </c>
      <c r="AR116" s="142" t="s">
        <v>2705</v>
      </c>
      <c r="AS116" s="142" t="s">
        <v>2705</v>
      </c>
      <c r="AT116" s="142" t="s">
        <v>2705</v>
      </c>
      <c r="AU116" s="142" t="s">
        <v>2705</v>
      </c>
      <c r="AV116" s="142" t="s">
        <v>2398</v>
      </c>
      <c r="AW116" s="142" t="s">
        <v>1435</v>
      </c>
      <c r="AX116" s="142" t="s">
        <v>2705</v>
      </c>
      <c r="AY116" s="142" t="s">
        <v>2705</v>
      </c>
      <c r="AZ116" s="142" t="s">
        <v>2398</v>
      </c>
    </row>
    <row r="117" spans="1:52" s="142" customFormat="1" ht="12.75" x14ac:dyDescent="0.2">
      <c r="A117" s="151" t="s">
        <v>7375</v>
      </c>
      <c r="B117" s="152" t="s">
        <v>2675</v>
      </c>
      <c r="C117" s="152" t="s">
        <v>2705</v>
      </c>
      <c r="D117" s="152" t="s">
        <v>2705</v>
      </c>
      <c r="E117" s="152" t="s">
        <v>2705</v>
      </c>
      <c r="F117" s="152" t="s">
        <v>1435</v>
      </c>
      <c r="G117" s="152" t="s">
        <v>2398</v>
      </c>
      <c r="H117" s="152" t="s">
        <v>2705</v>
      </c>
      <c r="I117" s="152" t="s">
        <v>2397</v>
      </c>
      <c r="J117" s="152" t="s">
        <v>2675</v>
      </c>
      <c r="K117" s="152" t="s">
        <v>2398</v>
      </c>
      <c r="L117" s="152" t="s">
        <v>2705</v>
      </c>
      <c r="M117" s="152" t="s">
        <v>2705</v>
      </c>
      <c r="N117" s="152" t="s">
        <v>2675</v>
      </c>
      <c r="O117" s="152" t="s">
        <v>1435</v>
      </c>
      <c r="P117" s="152" t="s">
        <v>2398</v>
      </c>
      <c r="Q117" s="152" t="s">
        <v>2398</v>
      </c>
      <c r="R117" s="152" t="s">
        <v>2397</v>
      </c>
      <c r="S117" s="152" t="s">
        <v>2675</v>
      </c>
      <c r="T117" s="152" t="s">
        <v>2398</v>
      </c>
      <c r="U117" s="152" t="s">
        <v>1435</v>
      </c>
      <c r="V117" s="142" cm="1">
        <f t="array" ref="V117">IF(A117&lt;&gt;"",SUM(--(B117:U118 = "X")*$U$3,--(B117:U118 ="A")*$Q$3,--(B117:U118 ="B")*$R$3,--(B117:U118 ="C")*$S$3),"")</f>
        <v>10</v>
      </c>
      <c r="X117" s="437" t="s">
        <v>7425</v>
      </c>
      <c r="Y117" s="437">
        <v>16</v>
      </c>
      <c r="Z117" s="436">
        <f>_xlfn.XLOOKUP(answers[[#This Row],[StudentID]],$A$7:$A$1418,$V$7:$V$1418)</f>
        <v>16</v>
      </c>
      <c r="AF117" s="142" t="s">
        <v>7375</v>
      </c>
      <c r="AG117" s="142" t="s">
        <v>2675</v>
      </c>
      <c r="AH117" s="142" t="s">
        <v>2705</v>
      </c>
      <c r="AI117" s="142" t="s">
        <v>2705</v>
      </c>
      <c r="AJ117" s="142" t="s">
        <v>2705</v>
      </c>
      <c r="AK117" s="142" t="s">
        <v>1435</v>
      </c>
      <c r="AL117" s="142" t="s">
        <v>2398</v>
      </c>
      <c r="AM117" s="142" t="s">
        <v>2705</v>
      </c>
      <c r="AN117" s="142" t="s">
        <v>2397</v>
      </c>
      <c r="AO117" s="142" t="s">
        <v>2675</v>
      </c>
      <c r="AP117" s="142" t="s">
        <v>2398</v>
      </c>
      <c r="AQ117" s="142" t="s">
        <v>2705</v>
      </c>
      <c r="AR117" s="142" t="s">
        <v>2705</v>
      </c>
      <c r="AS117" s="142" t="s">
        <v>2675</v>
      </c>
      <c r="AT117" s="142" t="s">
        <v>1435</v>
      </c>
      <c r="AU117" s="142" t="s">
        <v>2398</v>
      </c>
      <c r="AV117" s="142" t="s">
        <v>2398</v>
      </c>
      <c r="AW117" s="142" t="s">
        <v>2397</v>
      </c>
      <c r="AX117" s="142" t="s">
        <v>2675</v>
      </c>
      <c r="AY117" s="142" t="s">
        <v>2398</v>
      </c>
      <c r="AZ117" s="142" t="s">
        <v>1435</v>
      </c>
    </row>
    <row r="118" spans="1:52" s="142" customFormat="1" ht="12.75" x14ac:dyDescent="0.2">
      <c r="A118" s="151"/>
      <c r="B118" s="152" t="s">
        <v>2705</v>
      </c>
      <c r="C118" s="152" t="s">
        <v>2705</v>
      </c>
      <c r="D118" s="152" t="s">
        <v>2675</v>
      </c>
      <c r="E118" s="152" t="s">
        <v>2675</v>
      </c>
      <c r="F118" s="152" t="s">
        <v>2705</v>
      </c>
      <c r="G118" s="152" t="s">
        <v>1435</v>
      </c>
      <c r="H118" s="152" t="s">
        <v>2675</v>
      </c>
      <c r="I118" s="152" t="s">
        <v>2705</v>
      </c>
      <c r="J118" s="152" t="s">
        <v>2705</v>
      </c>
      <c r="K118" s="152" t="s">
        <v>2705</v>
      </c>
      <c r="L118" s="152" t="s">
        <v>2705</v>
      </c>
      <c r="M118" s="152" t="s">
        <v>2398</v>
      </c>
      <c r="N118" s="152" t="s">
        <v>2705</v>
      </c>
      <c r="O118" s="152" t="s">
        <v>2705</v>
      </c>
      <c r="P118" s="152" t="s">
        <v>2397</v>
      </c>
      <c r="Q118" s="152" t="s">
        <v>1435</v>
      </c>
      <c r="R118" s="152" t="s">
        <v>2705</v>
      </c>
      <c r="S118" s="152" t="s">
        <v>1435</v>
      </c>
      <c r="T118" s="152" t="s">
        <v>1435</v>
      </c>
      <c r="U118" s="152" t="s">
        <v>2705</v>
      </c>
      <c r="V118" s="142" t="str" cm="1">
        <f t="array" ref="V118">IF(A118&lt;&gt;"",SUM(--(B118:U119 = "X")*$U$3,--(B118:U119 ="A")*$Q$3,--(B118:U119 ="B")*$R$3,--(B118:U119 ="C")*$S$3),"")</f>
        <v/>
      </c>
      <c r="X118" s="437" t="s">
        <v>7426</v>
      </c>
      <c r="Y118" s="437">
        <v>10.5</v>
      </c>
      <c r="Z118" s="436">
        <f>_xlfn.XLOOKUP(answers[[#This Row],[StudentID]],$A$7:$A$1418,$V$7:$V$1418)</f>
        <v>10.5</v>
      </c>
      <c r="AG118" s="142" t="s">
        <v>2705</v>
      </c>
      <c r="AH118" s="142" t="s">
        <v>2705</v>
      </c>
      <c r="AI118" s="142" t="s">
        <v>2675</v>
      </c>
      <c r="AJ118" s="142" t="s">
        <v>2675</v>
      </c>
      <c r="AK118" s="142" t="s">
        <v>2705</v>
      </c>
      <c r="AL118" s="142" t="s">
        <v>1435</v>
      </c>
      <c r="AM118" s="142" t="s">
        <v>2675</v>
      </c>
      <c r="AN118" s="142" t="s">
        <v>2705</v>
      </c>
      <c r="AO118" s="142" t="s">
        <v>2705</v>
      </c>
      <c r="AP118" s="142" t="s">
        <v>2705</v>
      </c>
      <c r="AQ118" s="142" t="s">
        <v>2705</v>
      </c>
      <c r="AR118" s="142" t="s">
        <v>2398</v>
      </c>
      <c r="AS118" s="142" t="s">
        <v>2705</v>
      </c>
      <c r="AT118" s="142" t="s">
        <v>2705</v>
      </c>
      <c r="AU118" s="142" t="s">
        <v>2397</v>
      </c>
      <c r="AV118" s="142" t="s">
        <v>1435</v>
      </c>
      <c r="AW118" s="142" t="s">
        <v>2705</v>
      </c>
      <c r="AX118" s="142" t="s">
        <v>1435</v>
      </c>
      <c r="AY118" s="142" t="s">
        <v>1435</v>
      </c>
      <c r="AZ118" s="142" t="s">
        <v>2705</v>
      </c>
    </row>
    <row r="119" spans="1:52" s="142" customFormat="1" ht="12.75" x14ac:dyDescent="0.2">
      <c r="A119" s="151" t="s">
        <v>7376</v>
      </c>
      <c r="B119" s="152" t="s">
        <v>2675</v>
      </c>
      <c r="C119" s="152" t="s">
        <v>2675</v>
      </c>
      <c r="D119" s="152" t="s">
        <v>2397</v>
      </c>
      <c r="E119" s="152" t="s">
        <v>1435</v>
      </c>
      <c r="F119" s="152" t="s">
        <v>2675</v>
      </c>
      <c r="G119" s="152" t="s">
        <v>2705</v>
      </c>
      <c r="H119" s="152" t="s">
        <v>2398</v>
      </c>
      <c r="I119" s="152" t="s">
        <v>2397</v>
      </c>
      <c r="J119" s="152" t="s">
        <v>2675</v>
      </c>
      <c r="K119" s="152" t="s">
        <v>2705</v>
      </c>
      <c r="L119" s="152" t="s">
        <v>2398</v>
      </c>
      <c r="M119" s="152" t="s">
        <v>2705</v>
      </c>
      <c r="N119" s="152" t="s">
        <v>2675</v>
      </c>
      <c r="O119" s="152" t="s">
        <v>2705</v>
      </c>
      <c r="P119" s="152" t="s">
        <v>1435</v>
      </c>
      <c r="Q119" s="152" t="s">
        <v>2705</v>
      </c>
      <c r="R119" s="152" t="s">
        <v>1435</v>
      </c>
      <c r="S119" s="152" t="s">
        <v>2675</v>
      </c>
      <c r="T119" s="152" t="s">
        <v>2397</v>
      </c>
      <c r="U119" s="152" t="s">
        <v>2705</v>
      </c>
      <c r="V119" s="142" cm="1">
        <f t="array" ref="V119">IF(A119&lt;&gt;"",SUM(--(B119:U120 = "X")*$U$3,--(B119:U120 ="A")*$Q$3,--(B119:U120 ="B")*$R$3,--(B119:U120 ="C")*$S$3),"")</f>
        <v>12</v>
      </c>
      <c r="X119" s="437" t="s">
        <v>7427</v>
      </c>
      <c r="Y119" s="437">
        <v>10</v>
      </c>
      <c r="Z119" s="436">
        <f>_xlfn.XLOOKUP(answers[[#This Row],[StudentID]],$A$7:$A$1418,$V$7:$V$1418)</f>
        <v>10</v>
      </c>
      <c r="AF119" s="142" t="s">
        <v>7376</v>
      </c>
      <c r="AG119" s="142" t="s">
        <v>2675</v>
      </c>
      <c r="AH119" s="142" t="s">
        <v>2675</v>
      </c>
      <c r="AI119" s="142" t="s">
        <v>2397</v>
      </c>
      <c r="AJ119" s="142" t="s">
        <v>1435</v>
      </c>
      <c r="AK119" s="142" t="s">
        <v>2675</v>
      </c>
      <c r="AL119" s="142" t="s">
        <v>2705</v>
      </c>
      <c r="AM119" s="142" t="s">
        <v>2398</v>
      </c>
      <c r="AN119" s="142" t="s">
        <v>2397</v>
      </c>
      <c r="AO119" s="142" t="s">
        <v>2675</v>
      </c>
      <c r="AP119" s="142" t="s">
        <v>2705</v>
      </c>
      <c r="AQ119" s="142" t="s">
        <v>2398</v>
      </c>
      <c r="AR119" s="142" t="s">
        <v>2705</v>
      </c>
      <c r="AS119" s="142" t="s">
        <v>2675</v>
      </c>
      <c r="AT119" s="142" t="s">
        <v>2705</v>
      </c>
      <c r="AU119" s="142" t="s">
        <v>1435</v>
      </c>
      <c r="AV119" s="142" t="s">
        <v>2705</v>
      </c>
      <c r="AW119" s="142" t="s">
        <v>1435</v>
      </c>
      <c r="AX119" s="142" t="s">
        <v>2675</v>
      </c>
      <c r="AY119" s="142" t="s">
        <v>2397</v>
      </c>
      <c r="AZ119" s="142" t="s">
        <v>2705</v>
      </c>
    </row>
    <row r="120" spans="1:52" s="142" customFormat="1" ht="12.75" x14ac:dyDescent="0.2">
      <c r="A120" s="151"/>
      <c r="B120" s="152" t="s">
        <v>2705</v>
      </c>
      <c r="C120" s="152" t="s">
        <v>2705</v>
      </c>
      <c r="D120" s="152" t="s">
        <v>2705</v>
      </c>
      <c r="E120" s="152" t="s">
        <v>2705</v>
      </c>
      <c r="F120" s="152" t="s">
        <v>2705</v>
      </c>
      <c r="G120" s="152" t="s">
        <v>2705</v>
      </c>
      <c r="H120" s="152" t="s">
        <v>2398</v>
      </c>
      <c r="I120" s="152" t="s">
        <v>2705</v>
      </c>
      <c r="J120" s="152" t="s">
        <v>2398</v>
      </c>
      <c r="K120" s="152" t="s">
        <v>1435</v>
      </c>
      <c r="L120" s="152" t="s">
        <v>2398</v>
      </c>
      <c r="M120" s="152" t="s">
        <v>1435</v>
      </c>
      <c r="N120" s="152" t="s">
        <v>1435</v>
      </c>
      <c r="O120" s="152" t="s">
        <v>2398</v>
      </c>
      <c r="P120" s="152" t="s">
        <v>2705</v>
      </c>
      <c r="Q120" s="152" t="s">
        <v>2705</v>
      </c>
      <c r="R120" s="152" t="s">
        <v>2705</v>
      </c>
      <c r="S120" s="152" t="s">
        <v>2705</v>
      </c>
      <c r="T120" s="152" t="s">
        <v>2705</v>
      </c>
      <c r="U120" s="152" t="s">
        <v>2398</v>
      </c>
      <c r="V120" s="142" t="str" cm="1">
        <f t="array" ref="V120">IF(A120&lt;&gt;"",SUM(--(B120:U121 = "X")*$U$3,--(B120:U121 ="A")*$Q$3,--(B120:U121 ="B")*$R$3,--(B120:U121 ="C")*$S$3),"")</f>
        <v/>
      </c>
      <c r="X120" s="437" t="s">
        <v>7428</v>
      </c>
      <c r="Y120" s="437">
        <v>15</v>
      </c>
      <c r="Z120" s="436">
        <f>_xlfn.XLOOKUP(answers[[#This Row],[StudentID]],$A$7:$A$1418,$V$7:$V$1418)</f>
        <v>15</v>
      </c>
      <c r="AG120" s="142" t="s">
        <v>2705</v>
      </c>
      <c r="AH120" s="142" t="s">
        <v>2705</v>
      </c>
      <c r="AI120" s="142" t="s">
        <v>2705</v>
      </c>
      <c r="AJ120" s="142" t="s">
        <v>2705</v>
      </c>
      <c r="AK120" s="142" t="s">
        <v>2705</v>
      </c>
      <c r="AL120" s="142" t="s">
        <v>2705</v>
      </c>
      <c r="AM120" s="142" t="s">
        <v>2398</v>
      </c>
      <c r="AN120" s="142" t="s">
        <v>2705</v>
      </c>
      <c r="AO120" s="142" t="s">
        <v>2398</v>
      </c>
      <c r="AP120" s="142" t="s">
        <v>1435</v>
      </c>
      <c r="AQ120" s="142" t="s">
        <v>2398</v>
      </c>
      <c r="AR120" s="142" t="s">
        <v>1435</v>
      </c>
      <c r="AS120" s="142" t="s">
        <v>1435</v>
      </c>
      <c r="AT120" s="142" t="s">
        <v>2398</v>
      </c>
      <c r="AU120" s="142" t="s">
        <v>2705</v>
      </c>
      <c r="AV120" s="142" t="s">
        <v>2705</v>
      </c>
      <c r="AW120" s="142" t="s">
        <v>2705</v>
      </c>
      <c r="AX120" s="142" t="s">
        <v>2705</v>
      </c>
      <c r="AY120" s="142" t="s">
        <v>2705</v>
      </c>
      <c r="AZ120" s="142" t="s">
        <v>2398</v>
      </c>
    </row>
    <row r="121" spans="1:52" s="142" customFormat="1" ht="12.75" x14ac:dyDescent="0.2">
      <c r="A121" s="151" t="s">
        <v>7377</v>
      </c>
      <c r="B121" s="152" t="s">
        <v>1435</v>
      </c>
      <c r="C121" s="152" t="s">
        <v>2705</v>
      </c>
      <c r="D121" s="152" t="s">
        <v>2398</v>
      </c>
      <c r="E121" s="152" t="s">
        <v>2397</v>
      </c>
      <c r="F121" s="152" t="s">
        <v>1435</v>
      </c>
      <c r="G121" s="152" t="s">
        <v>2705</v>
      </c>
      <c r="H121" s="152" t="s">
        <v>2398</v>
      </c>
      <c r="I121" s="152" t="s">
        <v>2398</v>
      </c>
      <c r="J121" s="152" t="s">
        <v>2705</v>
      </c>
      <c r="K121" s="152" t="s">
        <v>2705</v>
      </c>
      <c r="L121" s="152" t="s">
        <v>2705</v>
      </c>
      <c r="M121" s="152" t="s">
        <v>2675</v>
      </c>
      <c r="N121" s="152" t="s">
        <v>2705</v>
      </c>
      <c r="O121" s="152" t="s">
        <v>2398</v>
      </c>
      <c r="P121" s="152" t="s">
        <v>2398</v>
      </c>
      <c r="Q121" s="152" t="s">
        <v>1435</v>
      </c>
      <c r="R121" s="152" t="s">
        <v>2675</v>
      </c>
      <c r="S121" s="152" t="s">
        <v>2675</v>
      </c>
      <c r="T121" s="152" t="s">
        <v>2705</v>
      </c>
      <c r="U121" s="152" t="s">
        <v>2398</v>
      </c>
      <c r="V121" s="142" cm="1">
        <f t="array" ref="V121">IF(A121&lt;&gt;"",SUM(--(B121:U122 = "X")*$U$3,--(B121:U122 ="A")*$Q$3,--(B121:U122 ="B")*$R$3,--(B121:U122 ="C")*$S$3),"")</f>
        <v>14</v>
      </c>
      <c r="X121" s="437" t="s">
        <v>7429</v>
      </c>
      <c r="Y121" s="437">
        <v>15.5</v>
      </c>
      <c r="Z121" s="436">
        <f>_xlfn.XLOOKUP(answers[[#This Row],[StudentID]],$A$7:$A$1418,$V$7:$V$1418)</f>
        <v>15.5</v>
      </c>
      <c r="AF121" s="142" t="s">
        <v>7377</v>
      </c>
      <c r="AG121" s="142" t="s">
        <v>1435</v>
      </c>
      <c r="AH121" s="142" t="s">
        <v>2705</v>
      </c>
      <c r="AI121" s="142" t="s">
        <v>2398</v>
      </c>
      <c r="AJ121" s="142" t="s">
        <v>2397</v>
      </c>
      <c r="AK121" s="142" t="s">
        <v>1435</v>
      </c>
      <c r="AL121" s="142" t="s">
        <v>2705</v>
      </c>
      <c r="AM121" s="142" t="s">
        <v>2398</v>
      </c>
      <c r="AN121" s="142" t="s">
        <v>2398</v>
      </c>
      <c r="AO121" s="142" t="s">
        <v>2705</v>
      </c>
      <c r="AP121" s="142" t="s">
        <v>2705</v>
      </c>
      <c r="AQ121" s="142" t="s">
        <v>2705</v>
      </c>
      <c r="AR121" s="142" t="s">
        <v>2675</v>
      </c>
      <c r="AS121" s="142" t="s">
        <v>2705</v>
      </c>
      <c r="AT121" s="142" t="s">
        <v>2398</v>
      </c>
      <c r="AU121" s="142" t="s">
        <v>2398</v>
      </c>
      <c r="AV121" s="142" t="s">
        <v>1435</v>
      </c>
      <c r="AW121" s="142" t="s">
        <v>2675</v>
      </c>
      <c r="AX121" s="142" t="s">
        <v>2675</v>
      </c>
      <c r="AY121" s="142" t="s">
        <v>2705</v>
      </c>
      <c r="AZ121" s="142" t="s">
        <v>2398</v>
      </c>
    </row>
    <row r="122" spans="1:52" s="142" customFormat="1" ht="12.75" x14ac:dyDescent="0.2">
      <c r="A122" s="151"/>
      <c r="B122" s="152" t="s">
        <v>2705</v>
      </c>
      <c r="C122" s="152" t="s">
        <v>1435</v>
      </c>
      <c r="D122" s="152" t="s">
        <v>2705</v>
      </c>
      <c r="E122" s="152" t="s">
        <v>2397</v>
      </c>
      <c r="F122" s="152" t="s">
        <v>2705</v>
      </c>
      <c r="G122" s="152" t="s">
        <v>1435</v>
      </c>
      <c r="H122" s="152" t="s">
        <v>2398</v>
      </c>
      <c r="I122" s="152" t="s">
        <v>2705</v>
      </c>
      <c r="J122" s="152" t="s">
        <v>2705</v>
      </c>
      <c r="K122" s="152" t="s">
        <v>2398</v>
      </c>
      <c r="L122" s="152" t="s">
        <v>2705</v>
      </c>
      <c r="M122" s="152" t="s">
        <v>1435</v>
      </c>
      <c r="N122" s="152" t="s">
        <v>2705</v>
      </c>
      <c r="O122" s="152" t="s">
        <v>2705</v>
      </c>
      <c r="P122" s="152" t="s">
        <v>2705</v>
      </c>
      <c r="Q122" s="152" t="s">
        <v>2705</v>
      </c>
      <c r="R122" s="152" t="s">
        <v>2397</v>
      </c>
      <c r="S122" s="152" t="s">
        <v>2675</v>
      </c>
      <c r="T122" s="152" t="s">
        <v>2705</v>
      </c>
      <c r="U122" s="152" t="s">
        <v>2705</v>
      </c>
      <c r="V122" s="142" t="str" cm="1">
        <f t="array" ref="V122">IF(A122&lt;&gt;"",SUM(--(B122:U123 = "X")*$U$3,--(B122:U123 ="A")*$Q$3,--(B122:U123 ="B")*$R$3,--(B122:U123 ="C")*$S$3),"")</f>
        <v/>
      </c>
      <c r="X122" s="437" t="s">
        <v>7430</v>
      </c>
      <c r="Y122" s="437">
        <v>17.5</v>
      </c>
      <c r="Z122" s="436">
        <f>_xlfn.XLOOKUP(answers[[#This Row],[StudentID]],$A$7:$A$1418,$V$7:$V$1418)</f>
        <v>17.5</v>
      </c>
      <c r="AG122" s="142" t="s">
        <v>2705</v>
      </c>
      <c r="AH122" s="142" t="s">
        <v>1435</v>
      </c>
      <c r="AI122" s="142" t="s">
        <v>2705</v>
      </c>
      <c r="AJ122" s="142" t="s">
        <v>2397</v>
      </c>
      <c r="AK122" s="142" t="s">
        <v>2705</v>
      </c>
      <c r="AL122" s="142" t="s">
        <v>1435</v>
      </c>
      <c r="AM122" s="142" t="s">
        <v>2398</v>
      </c>
      <c r="AN122" s="142" t="s">
        <v>2705</v>
      </c>
      <c r="AO122" s="142" t="s">
        <v>2705</v>
      </c>
      <c r="AP122" s="142" t="s">
        <v>2398</v>
      </c>
      <c r="AQ122" s="142" t="s">
        <v>2705</v>
      </c>
      <c r="AR122" s="142" t="s">
        <v>1435</v>
      </c>
      <c r="AS122" s="142" t="s">
        <v>2705</v>
      </c>
      <c r="AT122" s="142" t="s">
        <v>2705</v>
      </c>
      <c r="AU122" s="142" t="s">
        <v>2705</v>
      </c>
      <c r="AV122" s="142" t="s">
        <v>2705</v>
      </c>
      <c r="AW122" s="142" t="s">
        <v>2397</v>
      </c>
      <c r="AX122" s="142" t="s">
        <v>2675</v>
      </c>
      <c r="AY122" s="142" t="s">
        <v>2705</v>
      </c>
      <c r="AZ122" s="142" t="s">
        <v>2705</v>
      </c>
    </row>
    <row r="123" spans="1:52" s="142" customFormat="1" ht="12.75" x14ac:dyDescent="0.2">
      <c r="A123" s="151" t="s">
        <v>7378</v>
      </c>
      <c r="B123" s="152" t="s">
        <v>2398</v>
      </c>
      <c r="C123" s="152" t="s">
        <v>2398</v>
      </c>
      <c r="D123" s="152" t="s">
        <v>1435</v>
      </c>
      <c r="E123" s="152" t="s">
        <v>2397</v>
      </c>
      <c r="F123" s="152" t="s">
        <v>2705</v>
      </c>
      <c r="G123" s="152" t="s">
        <v>2705</v>
      </c>
      <c r="H123" s="152" t="s">
        <v>2398</v>
      </c>
      <c r="I123" s="152" t="s">
        <v>2398</v>
      </c>
      <c r="J123" s="152" t="s">
        <v>2705</v>
      </c>
      <c r="K123" s="152" t="s">
        <v>2705</v>
      </c>
      <c r="L123" s="152" t="s">
        <v>2705</v>
      </c>
      <c r="M123" s="152" t="s">
        <v>1435</v>
      </c>
      <c r="N123" s="152" t="s">
        <v>2398</v>
      </c>
      <c r="O123" s="152" t="s">
        <v>2398</v>
      </c>
      <c r="P123" s="152" t="s">
        <v>2398</v>
      </c>
      <c r="Q123" s="152" t="s">
        <v>2705</v>
      </c>
      <c r="R123" s="152" t="s">
        <v>1435</v>
      </c>
      <c r="S123" s="152" t="s">
        <v>2705</v>
      </c>
      <c r="T123" s="152" t="s">
        <v>2397</v>
      </c>
      <c r="U123" s="152" t="s">
        <v>2705</v>
      </c>
      <c r="V123" s="142" cm="1">
        <f t="array" ref="V123">IF(A123&lt;&gt;"",SUM(--(B123:U124 = "X")*$U$3,--(B123:U124 ="A")*$Q$3,--(B123:U124 ="B")*$R$3,--(B123:U124 ="C")*$S$3),"")</f>
        <v>13</v>
      </c>
      <c r="X123" s="437" t="s">
        <v>7431</v>
      </c>
      <c r="Y123" s="437">
        <v>14</v>
      </c>
      <c r="Z123" s="436">
        <f>_xlfn.XLOOKUP(answers[[#This Row],[StudentID]],$A$7:$A$1418,$V$7:$V$1418)</f>
        <v>14</v>
      </c>
      <c r="AF123" s="142" t="s">
        <v>7378</v>
      </c>
      <c r="AG123" s="142" t="s">
        <v>2398</v>
      </c>
      <c r="AH123" s="142" t="s">
        <v>2398</v>
      </c>
      <c r="AI123" s="142" t="s">
        <v>1435</v>
      </c>
      <c r="AJ123" s="142" t="s">
        <v>2397</v>
      </c>
      <c r="AK123" s="142" t="s">
        <v>2705</v>
      </c>
      <c r="AL123" s="142" t="s">
        <v>2705</v>
      </c>
      <c r="AM123" s="142" t="s">
        <v>2398</v>
      </c>
      <c r="AN123" s="142" t="s">
        <v>2398</v>
      </c>
      <c r="AO123" s="142" t="s">
        <v>2705</v>
      </c>
      <c r="AP123" s="142" t="s">
        <v>2705</v>
      </c>
      <c r="AQ123" s="142" t="s">
        <v>2705</v>
      </c>
      <c r="AR123" s="142" t="s">
        <v>1435</v>
      </c>
      <c r="AS123" s="142" t="s">
        <v>2398</v>
      </c>
      <c r="AT123" s="142" t="s">
        <v>2398</v>
      </c>
      <c r="AU123" s="142" t="s">
        <v>2398</v>
      </c>
      <c r="AV123" s="142" t="s">
        <v>2705</v>
      </c>
      <c r="AW123" s="142" t="s">
        <v>1435</v>
      </c>
      <c r="AX123" s="142" t="s">
        <v>2705</v>
      </c>
      <c r="AY123" s="142" t="s">
        <v>2397</v>
      </c>
      <c r="AZ123" s="142" t="s">
        <v>2705</v>
      </c>
    </row>
    <row r="124" spans="1:52" s="142" customFormat="1" ht="12.75" x14ac:dyDescent="0.2">
      <c r="A124" s="151"/>
      <c r="B124" s="152" t="s">
        <v>2398</v>
      </c>
      <c r="C124" s="152" t="s">
        <v>2705</v>
      </c>
      <c r="D124" s="152" t="s">
        <v>2398</v>
      </c>
      <c r="E124" s="152" t="s">
        <v>2398</v>
      </c>
      <c r="F124" s="152" t="s">
        <v>2705</v>
      </c>
      <c r="G124" s="152" t="s">
        <v>2675</v>
      </c>
      <c r="H124" s="152" t="s">
        <v>2397</v>
      </c>
      <c r="I124" s="152" t="s">
        <v>2705</v>
      </c>
      <c r="J124" s="152" t="s">
        <v>2398</v>
      </c>
      <c r="K124" s="152" t="s">
        <v>2705</v>
      </c>
      <c r="L124" s="152" t="s">
        <v>2398</v>
      </c>
      <c r="M124" s="152" t="s">
        <v>1435</v>
      </c>
      <c r="N124" s="152" t="s">
        <v>2705</v>
      </c>
      <c r="O124" s="152" t="s">
        <v>2398</v>
      </c>
      <c r="P124" s="152" t="s">
        <v>2675</v>
      </c>
      <c r="Q124" s="152" t="s">
        <v>2705</v>
      </c>
      <c r="R124" s="152" t="s">
        <v>2705</v>
      </c>
      <c r="S124" s="152" t="s">
        <v>2705</v>
      </c>
      <c r="T124" s="152" t="s">
        <v>2397</v>
      </c>
      <c r="U124" s="152" t="s">
        <v>2398</v>
      </c>
      <c r="V124" s="142" t="str" cm="1">
        <f t="array" ref="V124">IF(A124&lt;&gt;"",SUM(--(B124:U125 = "X")*$U$3,--(B124:U125 ="A")*$Q$3,--(B124:U125 ="B")*$R$3,--(B124:U125 ="C")*$S$3),"")</f>
        <v/>
      </c>
      <c r="X124" s="437" t="s">
        <v>7432</v>
      </c>
      <c r="Y124" s="437">
        <v>8.5</v>
      </c>
      <c r="Z124" s="436">
        <f>_xlfn.XLOOKUP(answers[[#This Row],[StudentID]],$A$7:$A$1418,$V$7:$V$1418)</f>
        <v>8.5</v>
      </c>
      <c r="AG124" s="142" t="s">
        <v>2398</v>
      </c>
      <c r="AH124" s="142" t="s">
        <v>2705</v>
      </c>
      <c r="AI124" s="142" t="s">
        <v>2398</v>
      </c>
      <c r="AJ124" s="142" t="s">
        <v>2398</v>
      </c>
      <c r="AK124" s="142" t="s">
        <v>2705</v>
      </c>
      <c r="AL124" s="142" t="s">
        <v>2675</v>
      </c>
      <c r="AM124" s="142" t="s">
        <v>2397</v>
      </c>
      <c r="AN124" s="142" t="s">
        <v>2705</v>
      </c>
      <c r="AO124" s="142" t="s">
        <v>2398</v>
      </c>
      <c r="AP124" s="142" t="s">
        <v>2705</v>
      </c>
      <c r="AQ124" s="142" t="s">
        <v>2398</v>
      </c>
      <c r="AR124" s="142" t="s">
        <v>1435</v>
      </c>
      <c r="AS124" s="142" t="s">
        <v>2705</v>
      </c>
      <c r="AT124" s="142" t="s">
        <v>2398</v>
      </c>
      <c r="AU124" s="142" t="s">
        <v>2675</v>
      </c>
      <c r="AV124" s="142" t="s">
        <v>2705</v>
      </c>
      <c r="AW124" s="142" t="s">
        <v>2705</v>
      </c>
      <c r="AX124" s="142" t="s">
        <v>2705</v>
      </c>
      <c r="AY124" s="142" t="s">
        <v>2397</v>
      </c>
      <c r="AZ124" s="142" t="s">
        <v>2398</v>
      </c>
    </row>
    <row r="125" spans="1:52" s="142" customFormat="1" ht="12.75" x14ac:dyDescent="0.2">
      <c r="A125" s="151" t="s">
        <v>7379</v>
      </c>
      <c r="B125" s="152" t="s">
        <v>2705</v>
      </c>
      <c r="C125" s="152" t="s">
        <v>1435</v>
      </c>
      <c r="D125" s="152" t="s">
        <v>2675</v>
      </c>
      <c r="E125" s="152" t="s">
        <v>2398</v>
      </c>
      <c r="F125" s="152" t="s">
        <v>2398</v>
      </c>
      <c r="G125" s="152" t="s">
        <v>2705</v>
      </c>
      <c r="H125" s="152" t="s">
        <v>2398</v>
      </c>
      <c r="I125" s="152" t="s">
        <v>2398</v>
      </c>
      <c r="J125" s="152" t="s">
        <v>2675</v>
      </c>
      <c r="K125" s="152" t="s">
        <v>2398</v>
      </c>
      <c r="L125" s="152" t="s">
        <v>2675</v>
      </c>
      <c r="M125" s="152" t="s">
        <v>2705</v>
      </c>
      <c r="N125" s="152" t="s">
        <v>2705</v>
      </c>
      <c r="O125" s="152" t="s">
        <v>2705</v>
      </c>
      <c r="P125" s="152" t="s">
        <v>2397</v>
      </c>
      <c r="Q125" s="152" t="s">
        <v>2705</v>
      </c>
      <c r="R125" s="152" t="s">
        <v>2705</v>
      </c>
      <c r="S125" s="152" t="s">
        <v>2705</v>
      </c>
      <c r="T125" s="152" t="s">
        <v>2705</v>
      </c>
      <c r="U125" s="152" t="s">
        <v>2705</v>
      </c>
      <c r="V125" s="142" cm="1">
        <f t="array" ref="V125">IF(A125&lt;&gt;"",SUM(--(B125:U126 = "X")*$U$3,--(B125:U126 ="A")*$Q$3,--(B125:U126 ="B")*$R$3,--(B125:U126 ="C")*$S$3),"")</f>
        <v>20</v>
      </c>
      <c r="X125" s="437" t="s">
        <v>7433</v>
      </c>
      <c r="Y125" s="437">
        <v>20.5</v>
      </c>
      <c r="Z125" s="436">
        <f>_xlfn.XLOOKUP(answers[[#This Row],[StudentID]],$A$7:$A$1418,$V$7:$V$1418)</f>
        <v>20.5</v>
      </c>
      <c r="AF125" s="142" t="s">
        <v>7379</v>
      </c>
      <c r="AG125" s="142" t="s">
        <v>2705</v>
      </c>
      <c r="AH125" s="142" t="s">
        <v>1435</v>
      </c>
      <c r="AI125" s="142" t="s">
        <v>2675</v>
      </c>
      <c r="AJ125" s="142" t="s">
        <v>2398</v>
      </c>
      <c r="AK125" s="142" t="s">
        <v>2398</v>
      </c>
      <c r="AL125" s="142" t="s">
        <v>2705</v>
      </c>
      <c r="AM125" s="142" t="s">
        <v>2398</v>
      </c>
      <c r="AN125" s="142" t="s">
        <v>2398</v>
      </c>
      <c r="AO125" s="142" t="s">
        <v>2675</v>
      </c>
      <c r="AP125" s="142" t="s">
        <v>2398</v>
      </c>
      <c r="AQ125" s="142" t="s">
        <v>2675</v>
      </c>
      <c r="AR125" s="142" t="s">
        <v>2705</v>
      </c>
      <c r="AS125" s="142" t="s">
        <v>2705</v>
      </c>
      <c r="AT125" s="142" t="s">
        <v>2705</v>
      </c>
      <c r="AU125" s="142" t="s">
        <v>2397</v>
      </c>
      <c r="AV125" s="142" t="s">
        <v>2705</v>
      </c>
      <c r="AW125" s="142" t="s">
        <v>2705</v>
      </c>
      <c r="AX125" s="142" t="s">
        <v>2705</v>
      </c>
      <c r="AY125" s="142" t="s">
        <v>2705</v>
      </c>
      <c r="AZ125" s="142" t="s">
        <v>2705</v>
      </c>
    </row>
    <row r="126" spans="1:52" s="142" customFormat="1" ht="12.75" x14ac:dyDescent="0.2">
      <c r="A126" s="151"/>
      <c r="B126" s="152" t="s">
        <v>2705</v>
      </c>
      <c r="C126" s="152" t="s">
        <v>2398</v>
      </c>
      <c r="D126" s="152" t="s">
        <v>2398</v>
      </c>
      <c r="E126" s="152" t="s">
        <v>2675</v>
      </c>
      <c r="F126" s="152" t="s">
        <v>2705</v>
      </c>
      <c r="G126" s="152" t="s">
        <v>2705</v>
      </c>
      <c r="H126" s="152" t="s">
        <v>2705</v>
      </c>
      <c r="I126" s="152" t="s">
        <v>1435</v>
      </c>
      <c r="J126" s="152" t="s">
        <v>2705</v>
      </c>
      <c r="K126" s="152" t="s">
        <v>2705</v>
      </c>
      <c r="L126" s="152" t="s">
        <v>2398</v>
      </c>
      <c r="M126" s="152" t="s">
        <v>2705</v>
      </c>
      <c r="N126" s="152" t="s">
        <v>2705</v>
      </c>
      <c r="O126" s="152" t="s">
        <v>2705</v>
      </c>
      <c r="P126" s="152" t="s">
        <v>2705</v>
      </c>
      <c r="Q126" s="152" t="s">
        <v>2705</v>
      </c>
      <c r="R126" s="152" t="s">
        <v>2398</v>
      </c>
      <c r="S126" s="152" t="s">
        <v>2705</v>
      </c>
      <c r="T126" s="152" t="s">
        <v>2398</v>
      </c>
      <c r="U126" s="152" t="s">
        <v>2705</v>
      </c>
      <c r="V126" s="142" t="str" cm="1">
        <f t="array" ref="V126">IF(A126&lt;&gt;"",SUM(--(B126:U127 = "X")*$U$3,--(B126:U127 ="A")*$Q$3,--(B126:U127 ="B")*$R$3,--(B126:U127 ="C")*$S$3),"")</f>
        <v/>
      </c>
      <c r="X126" s="437" t="s">
        <v>7434</v>
      </c>
      <c r="Y126" s="437">
        <v>28</v>
      </c>
      <c r="Z126" s="436">
        <f>_xlfn.XLOOKUP(answers[[#This Row],[StudentID]],$A$7:$A$1418,$V$7:$V$1418)</f>
        <v>28</v>
      </c>
      <c r="AG126" s="142" t="s">
        <v>2705</v>
      </c>
      <c r="AH126" s="142" t="s">
        <v>2398</v>
      </c>
      <c r="AI126" s="142" t="s">
        <v>2398</v>
      </c>
      <c r="AJ126" s="142" t="s">
        <v>2675</v>
      </c>
      <c r="AK126" s="142" t="s">
        <v>2705</v>
      </c>
      <c r="AL126" s="142" t="s">
        <v>2705</v>
      </c>
      <c r="AM126" s="142" t="s">
        <v>2705</v>
      </c>
      <c r="AN126" s="142" t="s">
        <v>1435</v>
      </c>
      <c r="AO126" s="142" t="s">
        <v>2705</v>
      </c>
      <c r="AP126" s="142" t="s">
        <v>2705</v>
      </c>
      <c r="AQ126" s="142" t="s">
        <v>2398</v>
      </c>
      <c r="AR126" s="142" t="s">
        <v>2705</v>
      </c>
      <c r="AS126" s="142" t="s">
        <v>2705</v>
      </c>
      <c r="AT126" s="142" t="s">
        <v>2705</v>
      </c>
      <c r="AU126" s="142" t="s">
        <v>2705</v>
      </c>
      <c r="AV126" s="142" t="s">
        <v>2705</v>
      </c>
      <c r="AW126" s="142" t="s">
        <v>2398</v>
      </c>
      <c r="AX126" s="142" t="s">
        <v>2705</v>
      </c>
      <c r="AY126" s="142" t="s">
        <v>2398</v>
      </c>
      <c r="AZ126" s="142" t="s">
        <v>2705</v>
      </c>
    </row>
    <row r="127" spans="1:52" s="142" customFormat="1" ht="12.75" x14ac:dyDescent="0.2">
      <c r="A127" s="151" t="s">
        <v>7380</v>
      </c>
      <c r="B127" s="152" t="s">
        <v>2705</v>
      </c>
      <c r="C127" s="152" t="s">
        <v>2398</v>
      </c>
      <c r="D127" s="152" t="s">
        <v>2705</v>
      </c>
      <c r="E127" s="152" t="s">
        <v>2705</v>
      </c>
      <c r="F127" s="152" t="s">
        <v>1435</v>
      </c>
      <c r="G127" s="152" t="s">
        <v>2398</v>
      </c>
      <c r="H127" s="152" t="s">
        <v>1435</v>
      </c>
      <c r="I127" s="152" t="s">
        <v>2398</v>
      </c>
      <c r="J127" s="152" t="s">
        <v>2398</v>
      </c>
      <c r="K127" s="152" t="s">
        <v>2397</v>
      </c>
      <c r="L127" s="152" t="s">
        <v>2675</v>
      </c>
      <c r="M127" s="152" t="s">
        <v>2398</v>
      </c>
      <c r="N127" s="152" t="s">
        <v>2398</v>
      </c>
      <c r="O127" s="152" t="s">
        <v>2705</v>
      </c>
      <c r="P127" s="152" t="s">
        <v>2398</v>
      </c>
      <c r="Q127" s="152" t="s">
        <v>2705</v>
      </c>
      <c r="R127" s="152" t="s">
        <v>2705</v>
      </c>
      <c r="S127" s="152" t="s">
        <v>2705</v>
      </c>
      <c r="T127" s="152" t="s">
        <v>2398</v>
      </c>
      <c r="U127" s="152" t="s">
        <v>2705</v>
      </c>
      <c r="V127" s="142" cm="1">
        <f t="array" ref="V127">IF(A127&lt;&gt;"",SUM(--(B127:U128 = "X")*$U$3,--(B127:U128 ="A")*$Q$3,--(B127:U128 ="B")*$R$3,--(B127:U128 ="C")*$S$3),"")</f>
        <v>12</v>
      </c>
      <c r="X127" s="437" t="s">
        <v>7435</v>
      </c>
      <c r="Y127" s="437">
        <v>25</v>
      </c>
      <c r="Z127" s="436">
        <f>_xlfn.XLOOKUP(answers[[#This Row],[StudentID]],$A$7:$A$1418,$V$7:$V$1418)</f>
        <v>25</v>
      </c>
      <c r="AF127" s="142" t="s">
        <v>7380</v>
      </c>
      <c r="AG127" s="142" t="s">
        <v>2705</v>
      </c>
      <c r="AH127" s="142" t="s">
        <v>2398</v>
      </c>
      <c r="AI127" s="142" t="s">
        <v>2705</v>
      </c>
      <c r="AJ127" s="142" t="s">
        <v>2705</v>
      </c>
      <c r="AK127" s="142" t="s">
        <v>1435</v>
      </c>
      <c r="AL127" s="142" t="s">
        <v>2398</v>
      </c>
      <c r="AM127" s="142" t="s">
        <v>1435</v>
      </c>
      <c r="AN127" s="142" t="s">
        <v>2398</v>
      </c>
      <c r="AO127" s="142" t="s">
        <v>2398</v>
      </c>
      <c r="AP127" s="142" t="s">
        <v>2397</v>
      </c>
      <c r="AQ127" s="142" t="s">
        <v>2675</v>
      </c>
      <c r="AR127" s="142" t="s">
        <v>2398</v>
      </c>
      <c r="AS127" s="142" t="s">
        <v>2398</v>
      </c>
      <c r="AT127" s="142" t="s">
        <v>2705</v>
      </c>
      <c r="AU127" s="142" t="s">
        <v>2398</v>
      </c>
      <c r="AV127" s="142" t="s">
        <v>2705</v>
      </c>
      <c r="AW127" s="142" t="s">
        <v>2705</v>
      </c>
      <c r="AX127" s="142" t="s">
        <v>2705</v>
      </c>
      <c r="AY127" s="142" t="s">
        <v>2398</v>
      </c>
      <c r="AZ127" s="142" t="s">
        <v>2705</v>
      </c>
    </row>
    <row r="128" spans="1:52" s="142" customFormat="1" ht="12.75" x14ac:dyDescent="0.2">
      <c r="A128" s="151"/>
      <c r="B128" s="152" t="s">
        <v>2398</v>
      </c>
      <c r="C128" s="152" t="s">
        <v>2398</v>
      </c>
      <c r="D128" s="152" t="s">
        <v>2398</v>
      </c>
      <c r="E128" s="152" t="s">
        <v>2705</v>
      </c>
      <c r="F128" s="152" t="s">
        <v>2398</v>
      </c>
      <c r="G128" s="152" t="s">
        <v>2705</v>
      </c>
      <c r="H128" s="152" t="s">
        <v>1435</v>
      </c>
      <c r="I128" s="152" t="s">
        <v>2705</v>
      </c>
      <c r="J128" s="152" t="s">
        <v>2398</v>
      </c>
      <c r="K128" s="152" t="s">
        <v>2705</v>
      </c>
      <c r="L128" s="152" t="s">
        <v>2675</v>
      </c>
      <c r="M128" s="152" t="s">
        <v>2398</v>
      </c>
      <c r="N128" s="152" t="s">
        <v>2705</v>
      </c>
      <c r="O128" s="152" t="s">
        <v>2397</v>
      </c>
      <c r="P128" s="152" t="s">
        <v>2705</v>
      </c>
      <c r="Q128" s="152" t="s">
        <v>2398</v>
      </c>
      <c r="R128" s="152" t="s">
        <v>1435</v>
      </c>
      <c r="S128" s="152" t="s">
        <v>2398</v>
      </c>
      <c r="T128" s="152" t="s">
        <v>2705</v>
      </c>
      <c r="U128" s="152" t="s">
        <v>2398</v>
      </c>
      <c r="V128" s="142" t="str" cm="1">
        <f t="array" ref="V128">IF(A128&lt;&gt;"",SUM(--(B128:U129 = "X")*$U$3,--(B128:U129 ="A")*$Q$3,--(B128:U129 ="B")*$R$3,--(B128:U129 ="C")*$S$3),"")</f>
        <v/>
      </c>
      <c r="X128" s="437" t="s">
        <v>7436</v>
      </c>
      <c r="Y128" s="437">
        <v>14</v>
      </c>
      <c r="Z128" s="436">
        <f>_xlfn.XLOOKUP(answers[[#This Row],[StudentID]],$A$7:$A$1418,$V$7:$V$1418)</f>
        <v>14</v>
      </c>
      <c r="AG128" s="142" t="s">
        <v>2398</v>
      </c>
      <c r="AH128" s="142" t="s">
        <v>2398</v>
      </c>
      <c r="AI128" s="142" t="s">
        <v>2398</v>
      </c>
      <c r="AJ128" s="142" t="s">
        <v>2705</v>
      </c>
      <c r="AK128" s="142" t="s">
        <v>2398</v>
      </c>
      <c r="AL128" s="142" t="s">
        <v>2705</v>
      </c>
      <c r="AM128" s="142" t="s">
        <v>1435</v>
      </c>
      <c r="AN128" s="142" t="s">
        <v>2705</v>
      </c>
      <c r="AO128" s="142" t="s">
        <v>2398</v>
      </c>
      <c r="AP128" s="142" t="s">
        <v>2705</v>
      </c>
      <c r="AQ128" s="142" t="s">
        <v>2675</v>
      </c>
      <c r="AR128" s="142" t="s">
        <v>2398</v>
      </c>
      <c r="AS128" s="142" t="s">
        <v>2705</v>
      </c>
      <c r="AT128" s="142" t="s">
        <v>2397</v>
      </c>
      <c r="AU128" s="142" t="s">
        <v>2705</v>
      </c>
      <c r="AV128" s="142" t="s">
        <v>2398</v>
      </c>
      <c r="AW128" s="142" t="s">
        <v>1435</v>
      </c>
      <c r="AX128" s="142" t="s">
        <v>2398</v>
      </c>
      <c r="AY128" s="142" t="s">
        <v>2705</v>
      </c>
      <c r="AZ128" s="142" t="s">
        <v>2398</v>
      </c>
    </row>
    <row r="129" spans="1:52" s="142" customFormat="1" ht="12.75" x14ac:dyDescent="0.2">
      <c r="A129" s="151" t="s">
        <v>7381</v>
      </c>
      <c r="B129" s="152" t="s">
        <v>2398</v>
      </c>
      <c r="C129" s="152" t="s">
        <v>2705</v>
      </c>
      <c r="D129" s="152" t="s">
        <v>2398</v>
      </c>
      <c r="E129" s="152" t="s">
        <v>2705</v>
      </c>
      <c r="F129" s="152" t="s">
        <v>1435</v>
      </c>
      <c r="G129" s="152" t="s">
        <v>2398</v>
      </c>
      <c r="H129" s="152" t="s">
        <v>2705</v>
      </c>
      <c r="I129" s="152" t="s">
        <v>1435</v>
      </c>
      <c r="J129" s="152" t="s">
        <v>2705</v>
      </c>
      <c r="K129" s="152" t="s">
        <v>2705</v>
      </c>
      <c r="L129" s="152" t="s">
        <v>2705</v>
      </c>
      <c r="M129" s="152" t="s">
        <v>1435</v>
      </c>
      <c r="N129" s="152" t="s">
        <v>2705</v>
      </c>
      <c r="O129" s="152" t="s">
        <v>2398</v>
      </c>
      <c r="P129" s="152" t="s">
        <v>2398</v>
      </c>
      <c r="Q129" s="152" t="s">
        <v>2705</v>
      </c>
      <c r="R129" s="152" t="s">
        <v>2705</v>
      </c>
      <c r="S129" s="152" t="s">
        <v>2705</v>
      </c>
      <c r="T129" s="152" t="s">
        <v>2705</v>
      </c>
      <c r="U129" s="152" t="s">
        <v>2398</v>
      </c>
      <c r="V129" s="142" cm="1">
        <f t="array" ref="V129">IF(A129&lt;&gt;"",SUM(--(B129:U130 = "X")*$U$3,--(B129:U130 ="A")*$Q$3,--(B129:U130 ="B")*$R$3,--(B129:U130 ="C")*$S$3),"")</f>
        <v>17</v>
      </c>
      <c r="X129" s="437" t="s">
        <v>7437</v>
      </c>
      <c r="Y129" s="437">
        <v>12.5</v>
      </c>
      <c r="Z129" s="436">
        <f>_xlfn.XLOOKUP(answers[[#This Row],[StudentID]],$A$7:$A$1418,$V$7:$V$1418)</f>
        <v>12.5</v>
      </c>
      <c r="AF129" s="142" t="s">
        <v>7381</v>
      </c>
      <c r="AG129" s="142" t="s">
        <v>2398</v>
      </c>
      <c r="AH129" s="142" t="s">
        <v>2705</v>
      </c>
      <c r="AI129" s="142" t="s">
        <v>2398</v>
      </c>
      <c r="AJ129" s="142" t="s">
        <v>2705</v>
      </c>
      <c r="AK129" s="142" t="s">
        <v>1435</v>
      </c>
      <c r="AL129" s="142" t="s">
        <v>2398</v>
      </c>
      <c r="AM129" s="142" t="s">
        <v>2705</v>
      </c>
      <c r="AN129" s="142" t="s">
        <v>1435</v>
      </c>
      <c r="AO129" s="142" t="s">
        <v>2705</v>
      </c>
      <c r="AP129" s="142" t="s">
        <v>2705</v>
      </c>
      <c r="AQ129" s="142" t="s">
        <v>2705</v>
      </c>
      <c r="AR129" s="142" t="s">
        <v>1435</v>
      </c>
      <c r="AS129" s="142" t="s">
        <v>2705</v>
      </c>
      <c r="AT129" s="142" t="s">
        <v>2398</v>
      </c>
      <c r="AU129" s="142" t="s">
        <v>2398</v>
      </c>
      <c r="AV129" s="142" t="s">
        <v>2705</v>
      </c>
      <c r="AW129" s="142" t="s">
        <v>2705</v>
      </c>
      <c r="AX129" s="142" t="s">
        <v>2705</v>
      </c>
      <c r="AY129" s="142" t="s">
        <v>2705</v>
      </c>
      <c r="AZ129" s="142" t="s">
        <v>2398</v>
      </c>
    </row>
    <row r="130" spans="1:52" s="142" customFormat="1" ht="12.75" x14ac:dyDescent="0.2">
      <c r="A130" s="151"/>
      <c r="B130" s="152" t="s">
        <v>2397</v>
      </c>
      <c r="C130" s="152" t="s">
        <v>2398</v>
      </c>
      <c r="D130" s="152" t="s">
        <v>2705</v>
      </c>
      <c r="E130" s="152" t="s">
        <v>2675</v>
      </c>
      <c r="F130" s="152" t="s">
        <v>2705</v>
      </c>
      <c r="G130" s="152" t="s">
        <v>2398</v>
      </c>
      <c r="H130" s="152" t="s">
        <v>2705</v>
      </c>
      <c r="I130" s="152" t="s">
        <v>2398</v>
      </c>
      <c r="J130" s="152" t="s">
        <v>2705</v>
      </c>
      <c r="K130" s="152" t="s">
        <v>2705</v>
      </c>
      <c r="L130" s="152" t="s">
        <v>1435</v>
      </c>
      <c r="M130" s="152" t="s">
        <v>2398</v>
      </c>
      <c r="N130" s="152" t="s">
        <v>2398</v>
      </c>
      <c r="O130" s="152" t="s">
        <v>2705</v>
      </c>
      <c r="P130" s="152" t="s">
        <v>2398</v>
      </c>
      <c r="Q130" s="152" t="s">
        <v>2705</v>
      </c>
      <c r="R130" s="152" t="s">
        <v>2705</v>
      </c>
      <c r="S130" s="152" t="s">
        <v>2398</v>
      </c>
      <c r="T130" s="152" t="s">
        <v>2705</v>
      </c>
      <c r="U130" s="152" t="s">
        <v>2675</v>
      </c>
      <c r="V130" s="142" t="str" cm="1">
        <f t="array" ref="V130">IF(A130&lt;&gt;"",SUM(--(B130:U131 = "X")*$U$3,--(B130:U131 ="A")*$Q$3,--(B130:U131 ="B")*$R$3,--(B130:U131 ="C")*$S$3),"")</f>
        <v/>
      </c>
      <c r="X130" s="437" t="s">
        <v>7438</v>
      </c>
      <c r="Y130" s="437">
        <v>14</v>
      </c>
      <c r="Z130" s="436">
        <f>_xlfn.XLOOKUP(answers[[#This Row],[StudentID]],$A$7:$A$1418,$V$7:$V$1418)</f>
        <v>14</v>
      </c>
      <c r="AG130" s="142" t="s">
        <v>2397</v>
      </c>
      <c r="AH130" s="142" t="s">
        <v>2398</v>
      </c>
      <c r="AI130" s="142" t="s">
        <v>2705</v>
      </c>
      <c r="AJ130" s="142" t="s">
        <v>2675</v>
      </c>
      <c r="AK130" s="142" t="s">
        <v>2705</v>
      </c>
      <c r="AL130" s="142" t="s">
        <v>2398</v>
      </c>
      <c r="AM130" s="142" t="s">
        <v>2705</v>
      </c>
      <c r="AN130" s="142" t="s">
        <v>2398</v>
      </c>
      <c r="AO130" s="142" t="s">
        <v>2705</v>
      </c>
      <c r="AP130" s="142" t="s">
        <v>2705</v>
      </c>
      <c r="AQ130" s="142" t="s">
        <v>1435</v>
      </c>
      <c r="AR130" s="142" t="s">
        <v>2398</v>
      </c>
      <c r="AS130" s="142" t="s">
        <v>2398</v>
      </c>
      <c r="AT130" s="142" t="s">
        <v>2705</v>
      </c>
      <c r="AU130" s="142" t="s">
        <v>2398</v>
      </c>
      <c r="AV130" s="142" t="s">
        <v>2705</v>
      </c>
      <c r="AW130" s="142" t="s">
        <v>2705</v>
      </c>
      <c r="AX130" s="142" t="s">
        <v>2398</v>
      </c>
      <c r="AY130" s="142" t="s">
        <v>2705</v>
      </c>
      <c r="AZ130" s="142" t="s">
        <v>2675</v>
      </c>
    </row>
    <row r="131" spans="1:52" s="142" customFormat="1" ht="12.75" x14ac:dyDescent="0.2">
      <c r="A131" s="151" t="s">
        <v>7382</v>
      </c>
      <c r="B131" s="152" t="s">
        <v>2705</v>
      </c>
      <c r="C131" s="152" t="s">
        <v>2705</v>
      </c>
      <c r="D131" s="152" t="s">
        <v>2675</v>
      </c>
      <c r="E131" s="152" t="s">
        <v>2705</v>
      </c>
      <c r="F131" s="152" t="s">
        <v>2398</v>
      </c>
      <c r="G131" s="152" t="s">
        <v>2705</v>
      </c>
      <c r="H131" s="152" t="s">
        <v>2398</v>
      </c>
      <c r="I131" s="152" t="s">
        <v>2705</v>
      </c>
      <c r="J131" s="152" t="s">
        <v>2398</v>
      </c>
      <c r="K131" s="152" t="s">
        <v>2398</v>
      </c>
      <c r="L131" s="152" t="s">
        <v>2705</v>
      </c>
      <c r="M131" s="152" t="s">
        <v>2705</v>
      </c>
      <c r="N131" s="152" t="s">
        <v>2705</v>
      </c>
      <c r="O131" s="152" t="s">
        <v>1435</v>
      </c>
      <c r="P131" s="152" t="s">
        <v>2705</v>
      </c>
      <c r="Q131" s="152" t="s">
        <v>2705</v>
      </c>
      <c r="R131" s="152" t="s">
        <v>2705</v>
      </c>
      <c r="S131" s="152" t="s">
        <v>2705</v>
      </c>
      <c r="T131" s="152" t="s">
        <v>2705</v>
      </c>
      <c r="U131" s="152" t="s">
        <v>2705</v>
      </c>
      <c r="V131" s="142" cm="1">
        <f t="array" ref="V131">IF(A131&lt;&gt;"",SUM(--(B131:U132 = "X")*$U$3,--(B131:U132 ="A")*$Q$3,--(B131:U132 ="B")*$R$3,--(B131:U132 ="C")*$S$3),"")</f>
        <v>24</v>
      </c>
      <c r="X131" s="437" t="s">
        <v>7439</v>
      </c>
      <c r="Y131" s="437">
        <v>6</v>
      </c>
      <c r="Z131" s="436">
        <f>_xlfn.XLOOKUP(answers[[#This Row],[StudentID]],$A$7:$A$1418,$V$7:$V$1418)</f>
        <v>6</v>
      </c>
      <c r="AF131" s="142" t="s">
        <v>7382</v>
      </c>
      <c r="AG131" s="142" t="s">
        <v>2705</v>
      </c>
      <c r="AH131" s="142" t="s">
        <v>2705</v>
      </c>
      <c r="AI131" s="142" t="s">
        <v>2675</v>
      </c>
      <c r="AJ131" s="142" t="s">
        <v>2705</v>
      </c>
      <c r="AK131" s="142" t="s">
        <v>2398</v>
      </c>
      <c r="AL131" s="142" t="s">
        <v>2705</v>
      </c>
      <c r="AM131" s="142" t="s">
        <v>2398</v>
      </c>
      <c r="AN131" s="142" t="s">
        <v>2705</v>
      </c>
      <c r="AO131" s="142" t="s">
        <v>2398</v>
      </c>
      <c r="AP131" s="142" t="s">
        <v>2398</v>
      </c>
      <c r="AQ131" s="142" t="s">
        <v>2705</v>
      </c>
      <c r="AR131" s="142" t="s">
        <v>2705</v>
      </c>
      <c r="AS131" s="142" t="s">
        <v>2705</v>
      </c>
      <c r="AT131" s="142" t="s">
        <v>1435</v>
      </c>
      <c r="AU131" s="142" t="s">
        <v>2705</v>
      </c>
      <c r="AV131" s="142" t="s">
        <v>2705</v>
      </c>
      <c r="AW131" s="142" t="s">
        <v>2705</v>
      </c>
      <c r="AX131" s="142" t="s">
        <v>2705</v>
      </c>
      <c r="AY131" s="142" t="s">
        <v>2705</v>
      </c>
      <c r="AZ131" s="142" t="s">
        <v>2705</v>
      </c>
    </row>
    <row r="132" spans="1:52" s="142" customFormat="1" ht="12.75" x14ac:dyDescent="0.2">
      <c r="A132" s="151"/>
      <c r="B132" s="152" t="s">
        <v>2705</v>
      </c>
      <c r="C132" s="152" t="s">
        <v>2705</v>
      </c>
      <c r="D132" s="152" t="s">
        <v>1435</v>
      </c>
      <c r="E132" s="152" t="s">
        <v>2705</v>
      </c>
      <c r="F132" s="152" t="s">
        <v>2398</v>
      </c>
      <c r="G132" s="152" t="s">
        <v>2705</v>
      </c>
      <c r="H132" s="152" t="s">
        <v>2705</v>
      </c>
      <c r="I132" s="152" t="s">
        <v>2675</v>
      </c>
      <c r="J132" s="152" t="s">
        <v>2705</v>
      </c>
      <c r="K132" s="152" t="s">
        <v>2705</v>
      </c>
      <c r="L132" s="152" t="s">
        <v>2398</v>
      </c>
      <c r="M132" s="152" t="s">
        <v>2398</v>
      </c>
      <c r="N132" s="152" t="s">
        <v>2705</v>
      </c>
      <c r="O132" s="152" t="s">
        <v>2705</v>
      </c>
      <c r="P132" s="152" t="s">
        <v>2675</v>
      </c>
      <c r="Q132" s="152" t="s">
        <v>2705</v>
      </c>
      <c r="R132" s="152" t="s">
        <v>1435</v>
      </c>
      <c r="S132" s="152" t="s">
        <v>2705</v>
      </c>
      <c r="T132" s="152" t="s">
        <v>2705</v>
      </c>
      <c r="U132" s="152" t="s">
        <v>2705</v>
      </c>
      <c r="V132" s="142" t="str" cm="1">
        <f t="array" ref="V132">IF(A132&lt;&gt;"",SUM(--(B132:U133 = "X")*$U$3,--(B132:U133 ="A")*$Q$3,--(B132:U133 ="B")*$R$3,--(B132:U133 ="C")*$S$3),"")</f>
        <v/>
      </c>
      <c r="X132" s="437" t="s">
        <v>7440</v>
      </c>
      <c r="Y132" s="437">
        <v>11</v>
      </c>
      <c r="Z132" s="436">
        <f>_xlfn.XLOOKUP(answers[[#This Row],[StudentID]],$A$7:$A$1418,$V$7:$V$1418)</f>
        <v>11</v>
      </c>
      <c r="AG132" s="142" t="s">
        <v>2705</v>
      </c>
      <c r="AH132" s="142" t="s">
        <v>2705</v>
      </c>
      <c r="AI132" s="142" t="s">
        <v>1435</v>
      </c>
      <c r="AJ132" s="142" t="s">
        <v>2705</v>
      </c>
      <c r="AK132" s="142" t="s">
        <v>2398</v>
      </c>
      <c r="AL132" s="142" t="s">
        <v>2705</v>
      </c>
      <c r="AM132" s="142" t="s">
        <v>2705</v>
      </c>
      <c r="AN132" s="142" t="s">
        <v>2675</v>
      </c>
      <c r="AO132" s="142" t="s">
        <v>2705</v>
      </c>
      <c r="AP132" s="142" t="s">
        <v>2705</v>
      </c>
      <c r="AQ132" s="142" t="s">
        <v>2398</v>
      </c>
      <c r="AR132" s="142" t="s">
        <v>2398</v>
      </c>
      <c r="AS132" s="142" t="s">
        <v>2705</v>
      </c>
      <c r="AT132" s="142" t="s">
        <v>2705</v>
      </c>
      <c r="AU132" s="142" t="s">
        <v>2675</v>
      </c>
      <c r="AV132" s="142" t="s">
        <v>2705</v>
      </c>
      <c r="AW132" s="142" t="s">
        <v>1435</v>
      </c>
      <c r="AX132" s="142" t="s">
        <v>2705</v>
      </c>
      <c r="AY132" s="142" t="s">
        <v>2705</v>
      </c>
      <c r="AZ132" s="142" t="s">
        <v>2705</v>
      </c>
    </row>
    <row r="133" spans="1:52" s="142" customFormat="1" ht="12.75" x14ac:dyDescent="0.2">
      <c r="A133" s="151" t="s">
        <v>7383</v>
      </c>
      <c r="B133" s="152" t="s">
        <v>2705</v>
      </c>
      <c r="C133" s="152" t="s">
        <v>2705</v>
      </c>
      <c r="D133" s="152" t="s">
        <v>2398</v>
      </c>
      <c r="E133" s="152" t="s">
        <v>2705</v>
      </c>
      <c r="F133" s="152" t="s">
        <v>2705</v>
      </c>
      <c r="G133" s="152" t="s">
        <v>2705</v>
      </c>
      <c r="H133" s="152" t="s">
        <v>2705</v>
      </c>
      <c r="I133" s="152" t="s">
        <v>2397</v>
      </c>
      <c r="J133" s="152" t="s">
        <v>2675</v>
      </c>
      <c r="K133" s="152" t="s">
        <v>1435</v>
      </c>
      <c r="L133" s="152" t="s">
        <v>1435</v>
      </c>
      <c r="M133" s="152" t="s">
        <v>1435</v>
      </c>
      <c r="N133" s="152" t="s">
        <v>2398</v>
      </c>
      <c r="O133" s="152" t="s">
        <v>2705</v>
      </c>
      <c r="P133" s="152" t="s">
        <v>2705</v>
      </c>
      <c r="Q133" s="152" t="s">
        <v>2705</v>
      </c>
      <c r="R133" s="152" t="s">
        <v>2675</v>
      </c>
      <c r="S133" s="152" t="s">
        <v>2705</v>
      </c>
      <c r="T133" s="152" t="s">
        <v>2705</v>
      </c>
      <c r="U133" s="152" t="s">
        <v>2705</v>
      </c>
      <c r="V133" s="142" cm="1">
        <f t="array" ref="V133">IF(A133&lt;&gt;"",SUM(--(B133:U134 = "X")*$U$3,--(B133:U134 ="A")*$Q$3,--(B133:U134 ="B")*$R$3,--(B133:U134 ="C")*$S$3),"")</f>
        <v>17</v>
      </c>
      <c r="X133" s="437" t="s">
        <v>7441</v>
      </c>
      <c r="Y133" s="437">
        <v>23</v>
      </c>
      <c r="Z133" s="436">
        <f>_xlfn.XLOOKUP(answers[[#This Row],[StudentID]],$A$7:$A$1418,$V$7:$V$1418)</f>
        <v>23</v>
      </c>
      <c r="AF133" s="142" t="s">
        <v>7383</v>
      </c>
      <c r="AG133" s="142" t="s">
        <v>2705</v>
      </c>
      <c r="AH133" s="142" t="s">
        <v>2705</v>
      </c>
      <c r="AI133" s="142" t="s">
        <v>2398</v>
      </c>
      <c r="AJ133" s="142" t="s">
        <v>2705</v>
      </c>
      <c r="AK133" s="142" t="s">
        <v>2705</v>
      </c>
      <c r="AL133" s="142" t="s">
        <v>2705</v>
      </c>
      <c r="AM133" s="142" t="s">
        <v>2705</v>
      </c>
      <c r="AN133" s="142" t="s">
        <v>2397</v>
      </c>
      <c r="AO133" s="142" t="s">
        <v>2675</v>
      </c>
      <c r="AP133" s="142" t="s">
        <v>1435</v>
      </c>
      <c r="AQ133" s="142" t="s">
        <v>1435</v>
      </c>
      <c r="AR133" s="142" t="s">
        <v>1435</v>
      </c>
      <c r="AS133" s="142" t="s">
        <v>2398</v>
      </c>
      <c r="AT133" s="142" t="s">
        <v>2705</v>
      </c>
      <c r="AU133" s="142" t="s">
        <v>2705</v>
      </c>
      <c r="AV133" s="142" t="s">
        <v>2705</v>
      </c>
      <c r="AW133" s="142" t="s">
        <v>2675</v>
      </c>
      <c r="AX133" s="142" t="s">
        <v>2705</v>
      </c>
      <c r="AY133" s="142" t="s">
        <v>2705</v>
      </c>
      <c r="AZ133" s="142" t="s">
        <v>2705</v>
      </c>
    </row>
    <row r="134" spans="1:52" s="142" customFormat="1" ht="12.75" x14ac:dyDescent="0.2">
      <c r="A134" s="151"/>
      <c r="B134" s="152" t="s">
        <v>2398</v>
      </c>
      <c r="C134" s="152" t="s">
        <v>2705</v>
      </c>
      <c r="D134" s="152" t="s">
        <v>2398</v>
      </c>
      <c r="E134" s="152" t="s">
        <v>2398</v>
      </c>
      <c r="F134" s="152" t="s">
        <v>2705</v>
      </c>
      <c r="G134" s="152" t="s">
        <v>2705</v>
      </c>
      <c r="H134" s="152" t="s">
        <v>2398</v>
      </c>
      <c r="I134" s="152" t="s">
        <v>2705</v>
      </c>
      <c r="J134" s="152" t="s">
        <v>2398</v>
      </c>
      <c r="K134" s="152" t="s">
        <v>2705</v>
      </c>
      <c r="L134" s="152" t="s">
        <v>2398</v>
      </c>
      <c r="M134" s="152" t="s">
        <v>2705</v>
      </c>
      <c r="N134" s="152" t="s">
        <v>2398</v>
      </c>
      <c r="O134" s="152" t="s">
        <v>2675</v>
      </c>
      <c r="P134" s="152" t="s">
        <v>2398</v>
      </c>
      <c r="Q134" s="152" t="s">
        <v>2398</v>
      </c>
      <c r="R134" s="152" t="s">
        <v>2705</v>
      </c>
      <c r="S134" s="152" t="s">
        <v>2705</v>
      </c>
      <c r="T134" s="152" t="s">
        <v>2398</v>
      </c>
      <c r="U134" s="152" t="s">
        <v>2398</v>
      </c>
      <c r="V134" s="142" t="str" cm="1">
        <f t="array" ref="V134">IF(A134&lt;&gt;"",SUM(--(B134:U135 = "X")*$U$3,--(B134:U135 ="A")*$Q$3,--(B134:U135 ="B")*$R$3,--(B134:U135 ="C")*$S$3),"")</f>
        <v/>
      </c>
      <c r="X134" s="437" t="s">
        <v>7442</v>
      </c>
      <c r="Y134" s="437">
        <v>13.5</v>
      </c>
      <c r="Z134" s="436">
        <f>_xlfn.XLOOKUP(answers[[#This Row],[StudentID]],$A$7:$A$1418,$V$7:$V$1418)</f>
        <v>13.5</v>
      </c>
      <c r="AG134" s="142" t="s">
        <v>2398</v>
      </c>
      <c r="AH134" s="142" t="s">
        <v>2705</v>
      </c>
      <c r="AI134" s="142" t="s">
        <v>2398</v>
      </c>
      <c r="AJ134" s="142" t="s">
        <v>2398</v>
      </c>
      <c r="AK134" s="142" t="s">
        <v>2705</v>
      </c>
      <c r="AL134" s="142" t="s">
        <v>2705</v>
      </c>
      <c r="AM134" s="142" t="s">
        <v>2398</v>
      </c>
      <c r="AN134" s="142" t="s">
        <v>2705</v>
      </c>
      <c r="AO134" s="142" t="s">
        <v>2398</v>
      </c>
      <c r="AP134" s="142" t="s">
        <v>2705</v>
      </c>
      <c r="AQ134" s="142" t="s">
        <v>2398</v>
      </c>
      <c r="AR134" s="142" t="s">
        <v>2705</v>
      </c>
      <c r="AS134" s="142" t="s">
        <v>2398</v>
      </c>
      <c r="AT134" s="142" t="s">
        <v>2675</v>
      </c>
      <c r="AU134" s="142" t="s">
        <v>2398</v>
      </c>
      <c r="AV134" s="142" t="s">
        <v>2398</v>
      </c>
      <c r="AW134" s="142" t="s">
        <v>2705</v>
      </c>
      <c r="AX134" s="142" t="s">
        <v>2705</v>
      </c>
      <c r="AY134" s="142" t="s">
        <v>2398</v>
      </c>
      <c r="AZ134" s="142" t="s">
        <v>2398</v>
      </c>
    </row>
    <row r="135" spans="1:52" s="142" customFormat="1" ht="12.75" x14ac:dyDescent="0.2">
      <c r="A135" s="151" t="s">
        <v>7384</v>
      </c>
      <c r="B135" s="152" t="s">
        <v>2398</v>
      </c>
      <c r="C135" s="152" t="s">
        <v>2705</v>
      </c>
      <c r="D135" s="152" t="s">
        <v>2705</v>
      </c>
      <c r="E135" s="152" t="s">
        <v>2705</v>
      </c>
      <c r="F135" s="152" t="s">
        <v>2705</v>
      </c>
      <c r="G135" s="152" t="s">
        <v>2705</v>
      </c>
      <c r="H135" s="152" t="s">
        <v>2705</v>
      </c>
      <c r="I135" s="152" t="s">
        <v>2398</v>
      </c>
      <c r="J135" s="152" t="s">
        <v>2398</v>
      </c>
      <c r="K135" s="152" t="s">
        <v>2705</v>
      </c>
      <c r="L135" s="152" t="s">
        <v>2705</v>
      </c>
      <c r="M135" s="152" t="s">
        <v>2705</v>
      </c>
      <c r="N135" s="152" t="s">
        <v>2705</v>
      </c>
      <c r="O135" s="152" t="s">
        <v>2705</v>
      </c>
      <c r="P135" s="152" t="s">
        <v>2705</v>
      </c>
      <c r="Q135" s="152" t="s">
        <v>2705</v>
      </c>
      <c r="R135" s="152" t="s">
        <v>2398</v>
      </c>
      <c r="S135" s="152" t="s">
        <v>2705</v>
      </c>
      <c r="T135" s="152" t="s">
        <v>2705</v>
      </c>
      <c r="U135" s="152" t="s">
        <v>2705</v>
      </c>
      <c r="V135" s="142" cm="1">
        <f t="array" ref="V135">IF(A135&lt;&gt;"",SUM(--(B135:U136 = "X")*$U$3,--(B135:U136 ="A")*$Q$3,--(B135:U136 ="B")*$R$3,--(B135:U136 ="C")*$S$3),"")</f>
        <v>30.5</v>
      </c>
      <c r="X135" s="437" t="s">
        <v>7443</v>
      </c>
      <c r="Y135" s="437">
        <v>18</v>
      </c>
      <c r="Z135" s="436">
        <f>_xlfn.XLOOKUP(answers[[#This Row],[StudentID]],$A$7:$A$1418,$V$7:$V$1418)</f>
        <v>18</v>
      </c>
      <c r="AF135" s="142" t="s">
        <v>7384</v>
      </c>
      <c r="AG135" s="142" t="s">
        <v>2398</v>
      </c>
      <c r="AH135" s="142" t="s">
        <v>2705</v>
      </c>
      <c r="AI135" s="142" t="s">
        <v>2705</v>
      </c>
      <c r="AJ135" s="142" t="s">
        <v>2705</v>
      </c>
      <c r="AK135" s="142" t="s">
        <v>2705</v>
      </c>
      <c r="AL135" s="142" t="s">
        <v>2705</v>
      </c>
      <c r="AM135" s="142" t="s">
        <v>2705</v>
      </c>
      <c r="AN135" s="142" t="s">
        <v>2398</v>
      </c>
      <c r="AO135" s="142" t="s">
        <v>2398</v>
      </c>
      <c r="AP135" s="142" t="s">
        <v>2705</v>
      </c>
      <c r="AQ135" s="142" t="s">
        <v>2705</v>
      </c>
      <c r="AR135" s="142" t="s">
        <v>2705</v>
      </c>
      <c r="AS135" s="142" t="s">
        <v>2705</v>
      </c>
      <c r="AT135" s="142" t="s">
        <v>2705</v>
      </c>
      <c r="AU135" s="142" t="s">
        <v>2705</v>
      </c>
      <c r="AV135" s="142" t="s">
        <v>2705</v>
      </c>
      <c r="AW135" s="142" t="s">
        <v>2398</v>
      </c>
      <c r="AX135" s="142" t="s">
        <v>2705</v>
      </c>
      <c r="AY135" s="142" t="s">
        <v>2705</v>
      </c>
      <c r="AZ135" s="142" t="s">
        <v>2705</v>
      </c>
    </row>
    <row r="136" spans="1:52" s="142" customFormat="1" ht="12.75" x14ac:dyDescent="0.2">
      <c r="A136" s="151"/>
      <c r="B136" s="152" t="s">
        <v>2398</v>
      </c>
      <c r="C136" s="152" t="s">
        <v>2398</v>
      </c>
      <c r="D136" s="152" t="s">
        <v>2705</v>
      </c>
      <c r="E136" s="152" t="s">
        <v>2705</v>
      </c>
      <c r="F136" s="152" t="s">
        <v>2705</v>
      </c>
      <c r="G136" s="152" t="s">
        <v>2705</v>
      </c>
      <c r="H136" s="152" t="s">
        <v>2705</v>
      </c>
      <c r="I136" s="152" t="s">
        <v>2705</v>
      </c>
      <c r="J136" s="152" t="s">
        <v>2705</v>
      </c>
      <c r="K136" s="152" t="s">
        <v>2705</v>
      </c>
      <c r="L136" s="152" t="s">
        <v>1435</v>
      </c>
      <c r="M136" s="152" t="s">
        <v>2398</v>
      </c>
      <c r="N136" s="152" t="s">
        <v>2705</v>
      </c>
      <c r="O136" s="152" t="s">
        <v>2705</v>
      </c>
      <c r="P136" s="152" t="s">
        <v>2398</v>
      </c>
      <c r="Q136" s="152" t="s">
        <v>2705</v>
      </c>
      <c r="R136" s="152" t="s">
        <v>2705</v>
      </c>
      <c r="S136" s="152" t="s">
        <v>2705</v>
      </c>
      <c r="T136" s="152" t="s">
        <v>2705</v>
      </c>
      <c r="U136" s="152" t="s">
        <v>2705</v>
      </c>
      <c r="V136" s="142" t="str" cm="1">
        <f t="array" ref="V136">IF(A136&lt;&gt;"",SUM(--(B136:U137 = "X")*$U$3,--(B136:U137 ="A")*$Q$3,--(B136:U137 ="B")*$R$3,--(B136:U137 ="C")*$S$3),"")</f>
        <v/>
      </c>
      <c r="X136" s="437" t="s">
        <v>7444</v>
      </c>
      <c r="Y136" s="437">
        <v>13.5</v>
      </c>
      <c r="Z136" s="436">
        <f>_xlfn.XLOOKUP(answers[[#This Row],[StudentID]],$A$7:$A$1418,$V$7:$V$1418)</f>
        <v>13.5</v>
      </c>
      <c r="AG136" s="142" t="s">
        <v>2398</v>
      </c>
      <c r="AH136" s="142" t="s">
        <v>2398</v>
      </c>
      <c r="AI136" s="142" t="s">
        <v>2705</v>
      </c>
      <c r="AJ136" s="142" t="s">
        <v>2705</v>
      </c>
      <c r="AK136" s="142" t="s">
        <v>2705</v>
      </c>
      <c r="AL136" s="142" t="s">
        <v>2705</v>
      </c>
      <c r="AM136" s="142" t="s">
        <v>2705</v>
      </c>
      <c r="AN136" s="142" t="s">
        <v>2705</v>
      </c>
      <c r="AO136" s="142" t="s">
        <v>2705</v>
      </c>
      <c r="AP136" s="142" t="s">
        <v>2705</v>
      </c>
      <c r="AQ136" s="142" t="s">
        <v>1435</v>
      </c>
      <c r="AR136" s="142" t="s">
        <v>2398</v>
      </c>
      <c r="AS136" s="142" t="s">
        <v>2705</v>
      </c>
      <c r="AT136" s="142" t="s">
        <v>2705</v>
      </c>
      <c r="AU136" s="142" t="s">
        <v>2398</v>
      </c>
      <c r="AV136" s="142" t="s">
        <v>2705</v>
      </c>
      <c r="AW136" s="142" t="s">
        <v>2705</v>
      </c>
      <c r="AX136" s="142" t="s">
        <v>2705</v>
      </c>
      <c r="AY136" s="142" t="s">
        <v>2705</v>
      </c>
      <c r="AZ136" s="142" t="s">
        <v>2705</v>
      </c>
    </row>
    <row r="137" spans="1:52" s="142" customFormat="1" ht="12.75" x14ac:dyDescent="0.2">
      <c r="A137" s="151" t="s">
        <v>7385</v>
      </c>
      <c r="B137" s="152" t="s">
        <v>1435</v>
      </c>
      <c r="C137" s="152" t="s">
        <v>2398</v>
      </c>
      <c r="D137" s="152" t="s">
        <v>2705</v>
      </c>
      <c r="E137" s="152" t="s">
        <v>2705</v>
      </c>
      <c r="F137" s="152" t="s">
        <v>1435</v>
      </c>
      <c r="G137" s="152" t="s">
        <v>2398</v>
      </c>
      <c r="H137" s="152" t="s">
        <v>2705</v>
      </c>
      <c r="I137" s="152" t="s">
        <v>2705</v>
      </c>
      <c r="J137" s="152" t="s">
        <v>2675</v>
      </c>
      <c r="K137" s="152" t="s">
        <v>2705</v>
      </c>
      <c r="L137" s="152" t="s">
        <v>2705</v>
      </c>
      <c r="M137" s="152" t="s">
        <v>2705</v>
      </c>
      <c r="N137" s="152" t="s">
        <v>2398</v>
      </c>
      <c r="O137" s="152" t="s">
        <v>2705</v>
      </c>
      <c r="P137" s="152" t="s">
        <v>2705</v>
      </c>
      <c r="Q137" s="152" t="s">
        <v>2675</v>
      </c>
      <c r="R137" s="152" t="s">
        <v>2705</v>
      </c>
      <c r="S137" s="152" t="s">
        <v>2705</v>
      </c>
      <c r="T137" s="152" t="s">
        <v>2398</v>
      </c>
      <c r="U137" s="152" t="s">
        <v>2398</v>
      </c>
      <c r="V137" s="142" cm="1">
        <f t="array" ref="V137">IF(A137&lt;&gt;"",SUM(--(B137:U138 = "X")*$U$3,--(B137:U138 ="A")*$Q$3,--(B137:U138 ="B")*$R$3,--(B137:U138 ="C")*$S$3),"")</f>
        <v>18.5</v>
      </c>
      <c r="X137" s="437" t="s">
        <v>7445</v>
      </c>
      <c r="Y137" s="437">
        <v>10</v>
      </c>
      <c r="Z137" s="436">
        <f>_xlfn.XLOOKUP(answers[[#This Row],[StudentID]],$A$7:$A$1418,$V$7:$V$1418)</f>
        <v>10</v>
      </c>
      <c r="AF137" s="142" t="s">
        <v>7385</v>
      </c>
      <c r="AG137" s="142" t="s">
        <v>1435</v>
      </c>
      <c r="AH137" s="142" t="s">
        <v>2398</v>
      </c>
      <c r="AI137" s="142" t="s">
        <v>2705</v>
      </c>
      <c r="AJ137" s="142" t="s">
        <v>2705</v>
      </c>
      <c r="AK137" s="142" t="s">
        <v>1435</v>
      </c>
      <c r="AL137" s="142" t="s">
        <v>2398</v>
      </c>
      <c r="AM137" s="142" t="s">
        <v>2705</v>
      </c>
      <c r="AN137" s="142" t="s">
        <v>2705</v>
      </c>
      <c r="AO137" s="142" t="s">
        <v>2675</v>
      </c>
      <c r="AP137" s="142" t="s">
        <v>2705</v>
      </c>
      <c r="AQ137" s="142" t="s">
        <v>2705</v>
      </c>
      <c r="AR137" s="142" t="s">
        <v>2705</v>
      </c>
      <c r="AS137" s="142" t="s">
        <v>2398</v>
      </c>
      <c r="AT137" s="142" t="s">
        <v>2705</v>
      </c>
      <c r="AU137" s="142" t="s">
        <v>2705</v>
      </c>
      <c r="AV137" s="142" t="s">
        <v>2675</v>
      </c>
      <c r="AW137" s="142" t="s">
        <v>2705</v>
      </c>
      <c r="AX137" s="142" t="s">
        <v>2705</v>
      </c>
      <c r="AY137" s="142" t="s">
        <v>2398</v>
      </c>
      <c r="AZ137" s="142" t="s">
        <v>2398</v>
      </c>
    </row>
    <row r="138" spans="1:52" s="142" customFormat="1" ht="12.75" x14ac:dyDescent="0.2">
      <c r="A138" s="151"/>
      <c r="B138" s="152" t="s">
        <v>2705</v>
      </c>
      <c r="C138" s="152" t="s">
        <v>2705</v>
      </c>
      <c r="D138" s="152" t="s">
        <v>2705</v>
      </c>
      <c r="E138" s="152" t="s">
        <v>2705</v>
      </c>
      <c r="F138" s="152" t="s">
        <v>2398</v>
      </c>
      <c r="G138" s="152" t="s">
        <v>2397</v>
      </c>
      <c r="H138" s="152" t="s">
        <v>2705</v>
      </c>
      <c r="I138" s="152" t="s">
        <v>2705</v>
      </c>
      <c r="J138" s="152" t="s">
        <v>2705</v>
      </c>
      <c r="K138" s="152" t="s">
        <v>2397</v>
      </c>
      <c r="L138" s="152" t="s">
        <v>2705</v>
      </c>
      <c r="M138" s="152" t="s">
        <v>2705</v>
      </c>
      <c r="N138" s="152" t="s">
        <v>2675</v>
      </c>
      <c r="O138" s="152" t="s">
        <v>2705</v>
      </c>
      <c r="P138" s="152" t="s">
        <v>2705</v>
      </c>
      <c r="Q138" s="152" t="s">
        <v>2397</v>
      </c>
      <c r="R138" s="152" t="s">
        <v>1435</v>
      </c>
      <c r="S138" s="152" t="s">
        <v>2398</v>
      </c>
      <c r="T138" s="152" t="s">
        <v>2398</v>
      </c>
      <c r="U138" s="152" t="s">
        <v>2675</v>
      </c>
      <c r="V138" s="142" t="str" cm="1">
        <f t="array" ref="V138">IF(A138&lt;&gt;"",SUM(--(B138:U139 = "X")*$U$3,--(B138:U139 ="A")*$Q$3,--(B138:U139 ="B")*$R$3,--(B138:U139 ="C")*$S$3),"")</f>
        <v/>
      </c>
      <c r="X138" s="437" t="s">
        <v>7446</v>
      </c>
      <c r="Y138" s="437">
        <v>16.5</v>
      </c>
      <c r="Z138" s="436">
        <f>_xlfn.XLOOKUP(answers[[#This Row],[StudentID]],$A$7:$A$1418,$V$7:$V$1418)</f>
        <v>16.5</v>
      </c>
      <c r="AG138" s="142" t="s">
        <v>2705</v>
      </c>
      <c r="AH138" s="142" t="s">
        <v>2705</v>
      </c>
      <c r="AI138" s="142" t="s">
        <v>2705</v>
      </c>
      <c r="AJ138" s="142" t="s">
        <v>2705</v>
      </c>
      <c r="AK138" s="142" t="s">
        <v>2398</v>
      </c>
      <c r="AL138" s="142" t="s">
        <v>2397</v>
      </c>
      <c r="AM138" s="142" t="s">
        <v>2705</v>
      </c>
      <c r="AN138" s="142" t="s">
        <v>2705</v>
      </c>
      <c r="AO138" s="142" t="s">
        <v>2705</v>
      </c>
      <c r="AP138" s="142" t="s">
        <v>2397</v>
      </c>
      <c r="AQ138" s="142" t="s">
        <v>2705</v>
      </c>
      <c r="AR138" s="142" t="s">
        <v>2705</v>
      </c>
      <c r="AS138" s="142" t="s">
        <v>2675</v>
      </c>
      <c r="AT138" s="142" t="s">
        <v>2705</v>
      </c>
      <c r="AU138" s="142" t="s">
        <v>2705</v>
      </c>
      <c r="AV138" s="142" t="s">
        <v>2397</v>
      </c>
      <c r="AW138" s="142" t="s">
        <v>1435</v>
      </c>
      <c r="AX138" s="142" t="s">
        <v>2398</v>
      </c>
      <c r="AY138" s="142" t="s">
        <v>2398</v>
      </c>
      <c r="AZ138" s="142" t="s">
        <v>2675</v>
      </c>
    </row>
    <row r="139" spans="1:52" s="142" customFormat="1" ht="12.75" x14ac:dyDescent="0.2">
      <c r="A139" s="151" t="s">
        <v>7386</v>
      </c>
      <c r="B139" s="152" t="s">
        <v>2397</v>
      </c>
      <c r="C139" s="152" t="s">
        <v>1435</v>
      </c>
      <c r="D139" s="152" t="s">
        <v>2397</v>
      </c>
      <c r="E139" s="152" t="s">
        <v>2705</v>
      </c>
      <c r="F139" s="152" t="s">
        <v>2705</v>
      </c>
      <c r="G139" s="152" t="s">
        <v>2705</v>
      </c>
      <c r="H139" s="152" t="s">
        <v>2705</v>
      </c>
      <c r="I139" s="152" t="s">
        <v>2398</v>
      </c>
      <c r="J139" s="152" t="s">
        <v>2675</v>
      </c>
      <c r="K139" s="152" t="s">
        <v>2705</v>
      </c>
      <c r="L139" s="152" t="s">
        <v>1435</v>
      </c>
      <c r="M139" s="152" t="s">
        <v>2705</v>
      </c>
      <c r="N139" s="152" t="s">
        <v>2675</v>
      </c>
      <c r="O139" s="152" t="s">
        <v>2397</v>
      </c>
      <c r="P139" s="152" t="s">
        <v>2398</v>
      </c>
      <c r="Q139" s="152" t="s">
        <v>1435</v>
      </c>
      <c r="R139" s="152" t="s">
        <v>2675</v>
      </c>
      <c r="S139" s="152" t="s">
        <v>2675</v>
      </c>
      <c r="T139" s="152" t="s">
        <v>2397</v>
      </c>
      <c r="U139" s="152" t="s">
        <v>2705</v>
      </c>
      <c r="V139" s="142" cm="1">
        <f t="array" ref="V139">IF(A139&lt;&gt;"",SUM(--(B139:U140 = "X")*$U$3,--(B139:U140 ="A")*$Q$3,--(B139:U140 ="B")*$R$3,--(B139:U140 ="C")*$S$3),"")</f>
        <v>12</v>
      </c>
      <c r="X139" s="437" t="s">
        <v>7447</v>
      </c>
      <c r="Y139" s="437">
        <v>18.5</v>
      </c>
      <c r="Z139" s="436">
        <f>_xlfn.XLOOKUP(answers[[#This Row],[StudentID]],$A$7:$A$1418,$V$7:$V$1418)</f>
        <v>18.5</v>
      </c>
      <c r="AF139" s="142" t="s">
        <v>7386</v>
      </c>
      <c r="AG139" s="142" t="s">
        <v>2397</v>
      </c>
      <c r="AH139" s="142" t="s">
        <v>1435</v>
      </c>
      <c r="AI139" s="142" t="s">
        <v>2397</v>
      </c>
      <c r="AJ139" s="142" t="s">
        <v>2705</v>
      </c>
      <c r="AK139" s="142" t="s">
        <v>2705</v>
      </c>
      <c r="AL139" s="142" t="s">
        <v>2705</v>
      </c>
      <c r="AM139" s="142" t="s">
        <v>2705</v>
      </c>
      <c r="AN139" s="142" t="s">
        <v>2398</v>
      </c>
      <c r="AO139" s="142" t="s">
        <v>2675</v>
      </c>
      <c r="AP139" s="142" t="s">
        <v>2705</v>
      </c>
      <c r="AQ139" s="142" t="s">
        <v>1435</v>
      </c>
      <c r="AR139" s="142" t="s">
        <v>2705</v>
      </c>
      <c r="AS139" s="142" t="s">
        <v>2675</v>
      </c>
      <c r="AT139" s="142" t="s">
        <v>2397</v>
      </c>
      <c r="AU139" s="142" t="s">
        <v>2398</v>
      </c>
      <c r="AV139" s="142" t="s">
        <v>1435</v>
      </c>
      <c r="AW139" s="142" t="s">
        <v>2675</v>
      </c>
      <c r="AX139" s="142" t="s">
        <v>2675</v>
      </c>
      <c r="AY139" s="142" t="s">
        <v>2397</v>
      </c>
      <c r="AZ139" s="142" t="s">
        <v>2705</v>
      </c>
    </row>
    <row r="140" spans="1:52" s="142" customFormat="1" ht="12.75" x14ac:dyDescent="0.2">
      <c r="A140" s="151"/>
      <c r="B140" s="152" t="s">
        <v>2705</v>
      </c>
      <c r="C140" s="152" t="s">
        <v>2675</v>
      </c>
      <c r="D140" s="152" t="s">
        <v>2398</v>
      </c>
      <c r="E140" s="152" t="s">
        <v>2675</v>
      </c>
      <c r="F140" s="152" t="s">
        <v>2705</v>
      </c>
      <c r="G140" s="152" t="s">
        <v>2705</v>
      </c>
      <c r="H140" s="152" t="s">
        <v>2705</v>
      </c>
      <c r="I140" s="152" t="s">
        <v>2705</v>
      </c>
      <c r="J140" s="152" t="s">
        <v>2705</v>
      </c>
      <c r="K140" s="152" t="s">
        <v>2398</v>
      </c>
      <c r="L140" s="152" t="s">
        <v>1435</v>
      </c>
      <c r="M140" s="152" t="s">
        <v>1435</v>
      </c>
      <c r="N140" s="152" t="s">
        <v>2397</v>
      </c>
      <c r="O140" s="152" t="s">
        <v>2675</v>
      </c>
      <c r="P140" s="152" t="s">
        <v>2705</v>
      </c>
      <c r="Q140" s="152" t="s">
        <v>2705</v>
      </c>
      <c r="R140" s="152" t="s">
        <v>2705</v>
      </c>
      <c r="S140" s="152" t="s">
        <v>2705</v>
      </c>
      <c r="T140" s="152" t="s">
        <v>2705</v>
      </c>
      <c r="U140" s="152" t="s">
        <v>2398</v>
      </c>
      <c r="V140" s="142" t="str" cm="1">
        <f t="array" ref="V140">IF(A140&lt;&gt;"",SUM(--(B140:U141 = "X")*$U$3,--(B140:U141 ="A")*$Q$3,--(B140:U141 ="B")*$R$3,--(B140:U141 ="C")*$S$3),"")</f>
        <v/>
      </c>
      <c r="X140" s="437" t="s">
        <v>7448</v>
      </c>
      <c r="Y140" s="437">
        <v>15.5</v>
      </c>
      <c r="Z140" s="436">
        <f>_xlfn.XLOOKUP(answers[[#This Row],[StudentID]],$A$7:$A$1418,$V$7:$V$1418)</f>
        <v>15.5</v>
      </c>
      <c r="AG140" s="142" t="s">
        <v>2705</v>
      </c>
      <c r="AH140" s="142" t="s">
        <v>2675</v>
      </c>
      <c r="AI140" s="142" t="s">
        <v>2398</v>
      </c>
      <c r="AJ140" s="142" t="s">
        <v>2675</v>
      </c>
      <c r="AK140" s="142" t="s">
        <v>2705</v>
      </c>
      <c r="AL140" s="142" t="s">
        <v>2705</v>
      </c>
      <c r="AM140" s="142" t="s">
        <v>2705</v>
      </c>
      <c r="AN140" s="142" t="s">
        <v>2705</v>
      </c>
      <c r="AO140" s="142" t="s">
        <v>2705</v>
      </c>
      <c r="AP140" s="142" t="s">
        <v>2398</v>
      </c>
      <c r="AQ140" s="142" t="s">
        <v>1435</v>
      </c>
      <c r="AR140" s="142" t="s">
        <v>1435</v>
      </c>
      <c r="AS140" s="142" t="s">
        <v>2397</v>
      </c>
      <c r="AT140" s="142" t="s">
        <v>2675</v>
      </c>
      <c r="AU140" s="142" t="s">
        <v>2705</v>
      </c>
      <c r="AV140" s="142" t="s">
        <v>2705</v>
      </c>
      <c r="AW140" s="142" t="s">
        <v>2705</v>
      </c>
      <c r="AX140" s="142" t="s">
        <v>2705</v>
      </c>
      <c r="AY140" s="142" t="s">
        <v>2705</v>
      </c>
      <c r="AZ140" s="142" t="s">
        <v>2398</v>
      </c>
    </row>
    <row r="141" spans="1:52" s="142" customFormat="1" ht="12.75" x14ac:dyDescent="0.2">
      <c r="A141" s="151" t="s">
        <v>7387</v>
      </c>
      <c r="B141" s="152" t="s">
        <v>2705</v>
      </c>
      <c r="C141" s="152" t="s">
        <v>2705</v>
      </c>
      <c r="D141" s="152" t="s">
        <v>2705</v>
      </c>
      <c r="E141" s="152" t="s">
        <v>2398</v>
      </c>
      <c r="F141" s="152" t="s">
        <v>1435</v>
      </c>
      <c r="G141" s="152" t="s">
        <v>2398</v>
      </c>
      <c r="H141" s="152" t="s">
        <v>2705</v>
      </c>
      <c r="I141" s="152" t="s">
        <v>2398</v>
      </c>
      <c r="J141" s="152" t="s">
        <v>2398</v>
      </c>
      <c r="K141" s="152" t="s">
        <v>2705</v>
      </c>
      <c r="L141" s="152" t="s">
        <v>2705</v>
      </c>
      <c r="M141" s="152" t="s">
        <v>2398</v>
      </c>
      <c r="N141" s="152" t="s">
        <v>2675</v>
      </c>
      <c r="O141" s="152" t="s">
        <v>2398</v>
      </c>
      <c r="P141" s="152" t="s">
        <v>2398</v>
      </c>
      <c r="Q141" s="152" t="s">
        <v>2705</v>
      </c>
      <c r="R141" s="152" t="s">
        <v>2705</v>
      </c>
      <c r="S141" s="152" t="s">
        <v>2398</v>
      </c>
      <c r="T141" s="152" t="s">
        <v>2398</v>
      </c>
      <c r="U141" s="152" t="s">
        <v>2675</v>
      </c>
      <c r="V141" s="142" cm="1">
        <f t="array" ref="V141">IF(A141&lt;&gt;"",SUM(--(B141:U142 = "X")*$U$3,--(B141:U142 ="A")*$Q$3,--(B141:U142 ="B")*$R$3,--(B141:U142 ="C")*$S$3),"")</f>
        <v>15.5</v>
      </c>
      <c r="X141" s="437" t="s">
        <v>7449</v>
      </c>
      <c r="Y141" s="437">
        <v>14.5</v>
      </c>
      <c r="Z141" s="436">
        <f>_xlfn.XLOOKUP(answers[[#This Row],[StudentID]],$A$7:$A$1418,$V$7:$V$1418)</f>
        <v>14.5</v>
      </c>
      <c r="AF141" s="142" t="s">
        <v>7387</v>
      </c>
      <c r="AG141" s="142" t="s">
        <v>2705</v>
      </c>
      <c r="AH141" s="142" t="s">
        <v>2705</v>
      </c>
      <c r="AI141" s="142" t="s">
        <v>2705</v>
      </c>
      <c r="AJ141" s="142" t="s">
        <v>2398</v>
      </c>
      <c r="AK141" s="142" t="s">
        <v>1435</v>
      </c>
      <c r="AL141" s="142" t="s">
        <v>2398</v>
      </c>
      <c r="AM141" s="142" t="s">
        <v>2705</v>
      </c>
      <c r="AN141" s="142" t="s">
        <v>2398</v>
      </c>
      <c r="AO141" s="142" t="s">
        <v>2398</v>
      </c>
      <c r="AP141" s="142" t="s">
        <v>2705</v>
      </c>
      <c r="AQ141" s="142" t="s">
        <v>2705</v>
      </c>
      <c r="AR141" s="142" t="s">
        <v>2398</v>
      </c>
      <c r="AS141" s="142" t="s">
        <v>2675</v>
      </c>
      <c r="AT141" s="142" t="s">
        <v>2398</v>
      </c>
      <c r="AU141" s="142" t="s">
        <v>2398</v>
      </c>
      <c r="AV141" s="142" t="s">
        <v>2705</v>
      </c>
      <c r="AW141" s="142" t="s">
        <v>2705</v>
      </c>
      <c r="AX141" s="142" t="s">
        <v>2398</v>
      </c>
      <c r="AY141" s="142" t="s">
        <v>2398</v>
      </c>
      <c r="AZ141" s="142" t="s">
        <v>2675</v>
      </c>
    </row>
    <row r="142" spans="1:52" s="142" customFormat="1" ht="12.75" x14ac:dyDescent="0.2">
      <c r="A142" s="151"/>
      <c r="B142" s="152" t="s">
        <v>2705</v>
      </c>
      <c r="C142" s="152" t="s">
        <v>2398</v>
      </c>
      <c r="D142" s="152" t="s">
        <v>2705</v>
      </c>
      <c r="E142" s="152" t="s">
        <v>2705</v>
      </c>
      <c r="F142" s="152" t="s">
        <v>2705</v>
      </c>
      <c r="G142" s="152" t="s">
        <v>2675</v>
      </c>
      <c r="H142" s="152" t="s">
        <v>2398</v>
      </c>
      <c r="I142" s="152" t="s">
        <v>2398</v>
      </c>
      <c r="J142" s="152" t="s">
        <v>2705</v>
      </c>
      <c r="K142" s="152" t="s">
        <v>2398</v>
      </c>
      <c r="L142" s="152" t="s">
        <v>2705</v>
      </c>
      <c r="M142" s="152" t="s">
        <v>2398</v>
      </c>
      <c r="N142" s="152" t="s">
        <v>2397</v>
      </c>
      <c r="O142" s="152" t="s">
        <v>2705</v>
      </c>
      <c r="P142" s="152" t="s">
        <v>2398</v>
      </c>
      <c r="Q142" s="152" t="s">
        <v>2398</v>
      </c>
      <c r="R142" s="152" t="s">
        <v>2705</v>
      </c>
      <c r="S142" s="152" t="s">
        <v>2705</v>
      </c>
      <c r="T142" s="152" t="s">
        <v>1435</v>
      </c>
      <c r="U142" s="152" t="s">
        <v>2705</v>
      </c>
      <c r="V142" s="142" t="str" cm="1">
        <f t="array" ref="V142">IF(A142&lt;&gt;"",SUM(--(B142:U143 = "X")*$U$3,--(B142:U143 ="A")*$Q$3,--(B142:U143 ="B")*$R$3,--(B142:U143 ="C")*$S$3),"")</f>
        <v/>
      </c>
      <c r="X142" s="437" t="s">
        <v>7450</v>
      </c>
      <c r="Y142" s="437">
        <v>10.5</v>
      </c>
      <c r="Z142" s="436">
        <f>_xlfn.XLOOKUP(answers[[#This Row],[StudentID]],$A$7:$A$1418,$V$7:$V$1418)</f>
        <v>10.5</v>
      </c>
      <c r="AG142" s="142" t="s">
        <v>2705</v>
      </c>
      <c r="AH142" s="142" t="s">
        <v>2398</v>
      </c>
      <c r="AI142" s="142" t="s">
        <v>2705</v>
      </c>
      <c r="AJ142" s="142" t="s">
        <v>2705</v>
      </c>
      <c r="AK142" s="142" t="s">
        <v>2705</v>
      </c>
      <c r="AL142" s="142" t="s">
        <v>2675</v>
      </c>
      <c r="AM142" s="142" t="s">
        <v>2398</v>
      </c>
      <c r="AN142" s="142" t="s">
        <v>2398</v>
      </c>
      <c r="AO142" s="142" t="s">
        <v>2705</v>
      </c>
      <c r="AP142" s="142" t="s">
        <v>2398</v>
      </c>
      <c r="AQ142" s="142" t="s">
        <v>2705</v>
      </c>
      <c r="AR142" s="142" t="s">
        <v>2398</v>
      </c>
      <c r="AS142" s="142" t="s">
        <v>2397</v>
      </c>
      <c r="AT142" s="142" t="s">
        <v>2705</v>
      </c>
      <c r="AU142" s="142" t="s">
        <v>2398</v>
      </c>
      <c r="AV142" s="142" t="s">
        <v>2398</v>
      </c>
      <c r="AW142" s="142" t="s">
        <v>2705</v>
      </c>
      <c r="AX142" s="142" t="s">
        <v>2705</v>
      </c>
      <c r="AY142" s="142" t="s">
        <v>1435</v>
      </c>
      <c r="AZ142" s="142" t="s">
        <v>2705</v>
      </c>
    </row>
    <row r="143" spans="1:52" s="142" customFormat="1" ht="12.75" x14ac:dyDescent="0.2">
      <c r="A143" s="151" t="s">
        <v>7388</v>
      </c>
      <c r="B143" s="152" t="s">
        <v>2705</v>
      </c>
      <c r="C143" s="152" t="s">
        <v>2398</v>
      </c>
      <c r="D143" s="152" t="s">
        <v>2675</v>
      </c>
      <c r="E143" s="152" t="s">
        <v>2705</v>
      </c>
      <c r="F143" s="152" t="s">
        <v>2398</v>
      </c>
      <c r="G143" s="152" t="s">
        <v>2705</v>
      </c>
      <c r="H143" s="152" t="s">
        <v>2705</v>
      </c>
      <c r="I143" s="152" t="s">
        <v>2398</v>
      </c>
      <c r="J143" s="152" t="s">
        <v>2705</v>
      </c>
      <c r="K143" s="152" t="s">
        <v>2675</v>
      </c>
      <c r="L143" s="152" t="s">
        <v>2398</v>
      </c>
      <c r="M143" s="152" t="s">
        <v>2398</v>
      </c>
      <c r="N143" s="152" t="s">
        <v>2705</v>
      </c>
      <c r="O143" s="152" t="s">
        <v>2398</v>
      </c>
      <c r="P143" s="152" t="s">
        <v>2398</v>
      </c>
      <c r="Q143" s="152" t="s">
        <v>2705</v>
      </c>
      <c r="R143" s="152" t="s">
        <v>2705</v>
      </c>
      <c r="S143" s="152" t="s">
        <v>2705</v>
      </c>
      <c r="T143" s="152" t="s">
        <v>2398</v>
      </c>
      <c r="U143" s="152" t="s">
        <v>2705</v>
      </c>
      <c r="V143" s="142" cm="1">
        <f t="array" ref="V143">IF(A143&lt;&gt;"",SUM(--(B143:U144 = "X")*$U$3,--(B143:U144 ="A")*$Q$3,--(B143:U144 ="B")*$R$3,--(B143:U144 ="C")*$S$3),"")</f>
        <v>20.5</v>
      </c>
      <c r="X143" s="437" t="s">
        <v>7451</v>
      </c>
      <c r="Y143" s="437">
        <v>23.5</v>
      </c>
      <c r="Z143" s="436">
        <f>_xlfn.XLOOKUP(answers[[#This Row],[StudentID]],$A$7:$A$1418,$V$7:$V$1418)</f>
        <v>23.5</v>
      </c>
      <c r="AF143" s="142" t="s">
        <v>7388</v>
      </c>
      <c r="AG143" s="142" t="s">
        <v>2705</v>
      </c>
      <c r="AH143" s="142" t="s">
        <v>2398</v>
      </c>
      <c r="AI143" s="142" t="s">
        <v>2675</v>
      </c>
      <c r="AJ143" s="142" t="s">
        <v>2705</v>
      </c>
      <c r="AK143" s="142" t="s">
        <v>2398</v>
      </c>
      <c r="AL143" s="142" t="s">
        <v>2705</v>
      </c>
      <c r="AM143" s="142" t="s">
        <v>2705</v>
      </c>
      <c r="AN143" s="142" t="s">
        <v>2398</v>
      </c>
      <c r="AO143" s="142" t="s">
        <v>2705</v>
      </c>
      <c r="AP143" s="142" t="s">
        <v>2675</v>
      </c>
      <c r="AQ143" s="142" t="s">
        <v>2398</v>
      </c>
      <c r="AR143" s="142" t="s">
        <v>2398</v>
      </c>
      <c r="AS143" s="142" t="s">
        <v>2705</v>
      </c>
      <c r="AT143" s="142" t="s">
        <v>2398</v>
      </c>
      <c r="AU143" s="142" t="s">
        <v>2398</v>
      </c>
      <c r="AV143" s="142" t="s">
        <v>2705</v>
      </c>
      <c r="AW143" s="142" t="s">
        <v>2705</v>
      </c>
      <c r="AX143" s="142" t="s">
        <v>2705</v>
      </c>
      <c r="AY143" s="142" t="s">
        <v>2398</v>
      </c>
      <c r="AZ143" s="142" t="s">
        <v>2705</v>
      </c>
    </row>
    <row r="144" spans="1:52" s="142" customFormat="1" ht="12.75" x14ac:dyDescent="0.2">
      <c r="A144" s="151"/>
      <c r="B144" s="152" t="s">
        <v>2398</v>
      </c>
      <c r="C144" s="152" t="s">
        <v>2398</v>
      </c>
      <c r="D144" s="152" t="s">
        <v>1435</v>
      </c>
      <c r="E144" s="152" t="s">
        <v>2705</v>
      </c>
      <c r="F144" s="152" t="s">
        <v>2398</v>
      </c>
      <c r="G144" s="152" t="s">
        <v>2705</v>
      </c>
      <c r="H144" s="152" t="s">
        <v>2705</v>
      </c>
      <c r="I144" s="152" t="s">
        <v>2705</v>
      </c>
      <c r="J144" s="152" t="s">
        <v>2397</v>
      </c>
      <c r="K144" s="152" t="s">
        <v>2705</v>
      </c>
      <c r="L144" s="152" t="s">
        <v>2705</v>
      </c>
      <c r="M144" s="152" t="s">
        <v>2705</v>
      </c>
      <c r="N144" s="152" t="s">
        <v>2705</v>
      </c>
      <c r="O144" s="152" t="s">
        <v>2705</v>
      </c>
      <c r="P144" s="152" t="s">
        <v>2705</v>
      </c>
      <c r="Q144" s="152" t="s">
        <v>2705</v>
      </c>
      <c r="R144" s="152" t="s">
        <v>1435</v>
      </c>
      <c r="S144" s="152" t="s">
        <v>2705</v>
      </c>
      <c r="T144" s="152" t="s">
        <v>2705</v>
      </c>
      <c r="U144" s="152" t="s">
        <v>2675</v>
      </c>
      <c r="V144" s="142" t="str" cm="1">
        <f t="array" ref="V144">IF(A144&lt;&gt;"",SUM(--(B144:U145 = "X")*$U$3,--(B144:U145 ="A")*$Q$3,--(B144:U145 ="B")*$R$3,--(B144:U145 ="C")*$S$3),"")</f>
        <v/>
      </c>
      <c r="X144" s="437" t="s">
        <v>7452</v>
      </c>
      <c r="Y144" s="437">
        <v>25.5</v>
      </c>
      <c r="Z144" s="436">
        <f>_xlfn.XLOOKUP(answers[[#This Row],[StudentID]],$A$7:$A$1418,$V$7:$V$1418)</f>
        <v>25.5</v>
      </c>
      <c r="AG144" s="142" t="s">
        <v>2398</v>
      </c>
      <c r="AH144" s="142" t="s">
        <v>2398</v>
      </c>
      <c r="AI144" s="142" t="s">
        <v>1435</v>
      </c>
      <c r="AJ144" s="142" t="s">
        <v>2705</v>
      </c>
      <c r="AK144" s="142" t="s">
        <v>2398</v>
      </c>
      <c r="AL144" s="142" t="s">
        <v>2705</v>
      </c>
      <c r="AM144" s="142" t="s">
        <v>2705</v>
      </c>
      <c r="AN144" s="142" t="s">
        <v>2705</v>
      </c>
      <c r="AO144" s="142" t="s">
        <v>2397</v>
      </c>
      <c r="AP144" s="142" t="s">
        <v>2705</v>
      </c>
      <c r="AQ144" s="142" t="s">
        <v>2705</v>
      </c>
      <c r="AR144" s="142" t="s">
        <v>2705</v>
      </c>
      <c r="AS144" s="142" t="s">
        <v>2705</v>
      </c>
      <c r="AT144" s="142" t="s">
        <v>2705</v>
      </c>
      <c r="AU144" s="142" t="s">
        <v>2705</v>
      </c>
      <c r="AV144" s="142" t="s">
        <v>2705</v>
      </c>
      <c r="AW144" s="142" t="s">
        <v>1435</v>
      </c>
      <c r="AX144" s="142" t="s">
        <v>2705</v>
      </c>
      <c r="AY144" s="142" t="s">
        <v>2705</v>
      </c>
      <c r="AZ144" s="142" t="s">
        <v>2675</v>
      </c>
    </row>
    <row r="145" spans="1:52" s="142" customFormat="1" ht="12.75" x14ac:dyDescent="0.2">
      <c r="A145" s="151" t="s">
        <v>7389</v>
      </c>
      <c r="B145" s="152" t="s">
        <v>2705</v>
      </c>
      <c r="C145" s="152" t="s">
        <v>2398</v>
      </c>
      <c r="D145" s="152" t="s">
        <v>2675</v>
      </c>
      <c r="E145" s="152" t="s">
        <v>2398</v>
      </c>
      <c r="F145" s="152" t="s">
        <v>1435</v>
      </c>
      <c r="G145" s="152" t="s">
        <v>2705</v>
      </c>
      <c r="H145" s="152" t="s">
        <v>2398</v>
      </c>
      <c r="I145" s="152" t="s">
        <v>2675</v>
      </c>
      <c r="J145" s="152" t="s">
        <v>2705</v>
      </c>
      <c r="K145" s="152" t="s">
        <v>2398</v>
      </c>
      <c r="L145" s="152" t="s">
        <v>1435</v>
      </c>
      <c r="M145" s="152" t="s">
        <v>2675</v>
      </c>
      <c r="N145" s="152" t="s">
        <v>2705</v>
      </c>
      <c r="O145" s="152" t="s">
        <v>2705</v>
      </c>
      <c r="P145" s="152" t="s">
        <v>2397</v>
      </c>
      <c r="Q145" s="152" t="s">
        <v>2675</v>
      </c>
      <c r="R145" s="152" t="s">
        <v>2705</v>
      </c>
      <c r="S145" s="152" t="s">
        <v>2398</v>
      </c>
      <c r="T145" s="152" t="s">
        <v>2398</v>
      </c>
      <c r="U145" s="152" t="s">
        <v>2398</v>
      </c>
      <c r="V145" s="142" cm="1">
        <f t="array" ref="V145">IF(A145&lt;&gt;"",SUM(--(B145:U146 = "X")*$U$3,--(B145:U146 ="A")*$Q$3,--(B145:U146 ="B")*$R$3,--(B145:U146 ="C")*$S$3),"")</f>
        <v>8</v>
      </c>
      <c r="X145" s="437" t="s">
        <v>7453</v>
      </c>
      <c r="Y145" s="437">
        <v>6</v>
      </c>
      <c r="Z145" s="436">
        <f>_xlfn.XLOOKUP(answers[[#This Row],[StudentID]],$A$7:$A$1418,$V$7:$V$1418)</f>
        <v>6</v>
      </c>
      <c r="AF145" s="142" t="s">
        <v>7389</v>
      </c>
      <c r="AG145" s="142" t="s">
        <v>2705</v>
      </c>
      <c r="AH145" s="142" t="s">
        <v>2398</v>
      </c>
      <c r="AI145" s="142" t="s">
        <v>2675</v>
      </c>
      <c r="AJ145" s="142" t="s">
        <v>2398</v>
      </c>
      <c r="AK145" s="142" t="s">
        <v>1435</v>
      </c>
      <c r="AL145" s="142" t="s">
        <v>2705</v>
      </c>
      <c r="AM145" s="142" t="s">
        <v>2398</v>
      </c>
      <c r="AN145" s="142" t="s">
        <v>2675</v>
      </c>
      <c r="AO145" s="142" t="s">
        <v>2705</v>
      </c>
      <c r="AP145" s="142" t="s">
        <v>2398</v>
      </c>
      <c r="AQ145" s="142" t="s">
        <v>1435</v>
      </c>
      <c r="AR145" s="142" t="s">
        <v>2675</v>
      </c>
      <c r="AS145" s="142" t="s">
        <v>2705</v>
      </c>
      <c r="AT145" s="142" t="s">
        <v>2705</v>
      </c>
      <c r="AU145" s="142" t="s">
        <v>2397</v>
      </c>
      <c r="AV145" s="142" t="s">
        <v>2675</v>
      </c>
      <c r="AW145" s="142" t="s">
        <v>2705</v>
      </c>
      <c r="AX145" s="142" t="s">
        <v>2398</v>
      </c>
      <c r="AY145" s="142" t="s">
        <v>2398</v>
      </c>
      <c r="AZ145" s="142" t="s">
        <v>2398</v>
      </c>
    </row>
    <row r="146" spans="1:52" s="142" customFormat="1" ht="12.75" x14ac:dyDescent="0.2">
      <c r="A146" s="151"/>
      <c r="B146" s="152" t="s">
        <v>2705</v>
      </c>
      <c r="C146" s="152" t="s">
        <v>2675</v>
      </c>
      <c r="D146" s="152" t="s">
        <v>1435</v>
      </c>
      <c r="E146" s="152" t="s">
        <v>2675</v>
      </c>
      <c r="F146" s="152" t="s">
        <v>2398</v>
      </c>
      <c r="G146" s="152" t="s">
        <v>2705</v>
      </c>
      <c r="H146" s="152" t="s">
        <v>2705</v>
      </c>
      <c r="I146" s="152" t="s">
        <v>2398</v>
      </c>
      <c r="J146" s="152" t="s">
        <v>2398</v>
      </c>
      <c r="K146" s="152" t="s">
        <v>2397</v>
      </c>
      <c r="L146" s="152" t="s">
        <v>2397</v>
      </c>
      <c r="M146" s="152" t="s">
        <v>2398</v>
      </c>
      <c r="N146" s="152" t="s">
        <v>2705</v>
      </c>
      <c r="O146" s="152" t="s">
        <v>2398</v>
      </c>
      <c r="P146" s="152" t="s">
        <v>2705</v>
      </c>
      <c r="Q146" s="152" t="s">
        <v>2398</v>
      </c>
      <c r="R146" s="152" t="s">
        <v>2398</v>
      </c>
      <c r="S146" s="152" t="s">
        <v>2705</v>
      </c>
      <c r="T146" s="152" t="s">
        <v>2705</v>
      </c>
      <c r="U146" s="152" t="s">
        <v>2675</v>
      </c>
      <c r="V146" s="142" t="str" cm="1">
        <f t="array" ref="V146">IF(A146&lt;&gt;"",SUM(--(B146:U147 = "X")*$U$3,--(B146:U147 ="A")*$Q$3,--(B146:U147 ="B")*$R$3,--(B146:U147 ="C")*$S$3),"")</f>
        <v/>
      </c>
      <c r="X146" s="437" t="s">
        <v>7454</v>
      </c>
      <c r="Y146" s="437">
        <v>13.5</v>
      </c>
      <c r="Z146" s="436">
        <f>_xlfn.XLOOKUP(answers[[#This Row],[StudentID]],$A$7:$A$1418,$V$7:$V$1418)</f>
        <v>13.5</v>
      </c>
      <c r="AG146" s="142" t="s">
        <v>2705</v>
      </c>
      <c r="AH146" s="142" t="s">
        <v>2675</v>
      </c>
      <c r="AI146" s="142" t="s">
        <v>1435</v>
      </c>
      <c r="AJ146" s="142" t="s">
        <v>2675</v>
      </c>
      <c r="AK146" s="142" t="s">
        <v>2398</v>
      </c>
      <c r="AL146" s="142" t="s">
        <v>2705</v>
      </c>
      <c r="AM146" s="142" t="s">
        <v>2705</v>
      </c>
      <c r="AN146" s="142" t="s">
        <v>2398</v>
      </c>
      <c r="AO146" s="142" t="s">
        <v>2398</v>
      </c>
      <c r="AP146" s="142" t="s">
        <v>2397</v>
      </c>
      <c r="AQ146" s="142" t="s">
        <v>2397</v>
      </c>
      <c r="AR146" s="142" t="s">
        <v>2398</v>
      </c>
      <c r="AS146" s="142" t="s">
        <v>2705</v>
      </c>
      <c r="AT146" s="142" t="s">
        <v>2398</v>
      </c>
      <c r="AU146" s="142" t="s">
        <v>2705</v>
      </c>
      <c r="AV146" s="142" t="s">
        <v>2398</v>
      </c>
      <c r="AW146" s="142" t="s">
        <v>2398</v>
      </c>
      <c r="AX146" s="142" t="s">
        <v>2705</v>
      </c>
      <c r="AY146" s="142" t="s">
        <v>2705</v>
      </c>
      <c r="AZ146" s="142" t="s">
        <v>2675</v>
      </c>
    </row>
    <row r="147" spans="1:52" s="142" customFormat="1" ht="12.75" x14ac:dyDescent="0.2">
      <c r="A147" s="151" t="s">
        <v>7390</v>
      </c>
      <c r="B147" s="152" t="s">
        <v>2397</v>
      </c>
      <c r="C147" s="152" t="s">
        <v>2705</v>
      </c>
      <c r="D147" s="152" t="s">
        <v>1435</v>
      </c>
      <c r="E147" s="152" t="s">
        <v>2705</v>
      </c>
      <c r="F147" s="152" t="s">
        <v>2398</v>
      </c>
      <c r="G147" s="152" t="s">
        <v>2705</v>
      </c>
      <c r="H147" s="152" t="s">
        <v>2398</v>
      </c>
      <c r="I147" s="152" t="s">
        <v>2398</v>
      </c>
      <c r="J147" s="152" t="s">
        <v>2398</v>
      </c>
      <c r="K147" s="152" t="s">
        <v>2398</v>
      </c>
      <c r="L147" s="152" t="s">
        <v>2398</v>
      </c>
      <c r="M147" s="152" t="s">
        <v>1435</v>
      </c>
      <c r="N147" s="152" t="s">
        <v>2705</v>
      </c>
      <c r="O147" s="152" t="s">
        <v>2705</v>
      </c>
      <c r="P147" s="152" t="s">
        <v>2397</v>
      </c>
      <c r="Q147" s="152" t="s">
        <v>1435</v>
      </c>
      <c r="R147" s="152" t="s">
        <v>2705</v>
      </c>
      <c r="S147" s="152" t="s">
        <v>2705</v>
      </c>
      <c r="T147" s="152" t="s">
        <v>2398</v>
      </c>
      <c r="U147" s="152" t="s">
        <v>2398</v>
      </c>
      <c r="V147" s="142" cm="1">
        <f t="array" ref="V147">IF(A147&lt;&gt;"",SUM(--(B147:U148 = "X")*$U$3,--(B147:U148 ="A")*$Q$3,--(B147:U148 ="B")*$R$3,--(B147:U148 ="C")*$S$3),"")</f>
        <v>12.5</v>
      </c>
      <c r="X147" s="437" t="s">
        <v>7455</v>
      </c>
      <c r="Y147" s="437">
        <v>14.5</v>
      </c>
      <c r="Z147" s="436">
        <f>_xlfn.XLOOKUP(answers[[#This Row],[StudentID]],$A$7:$A$1418,$V$7:$V$1418)</f>
        <v>14.5</v>
      </c>
      <c r="AF147" s="142" t="s">
        <v>7390</v>
      </c>
      <c r="AG147" s="142" t="s">
        <v>2397</v>
      </c>
      <c r="AH147" s="142" t="s">
        <v>2705</v>
      </c>
      <c r="AI147" s="142" t="s">
        <v>1435</v>
      </c>
      <c r="AJ147" s="142" t="s">
        <v>2705</v>
      </c>
      <c r="AK147" s="142" t="s">
        <v>2398</v>
      </c>
      <c r="AL147" s="142" t="s">
        <v>2705</v>
      </c>
      <c r="AM147" s="142" t="s">
        <v>2398</v>
      </c>
      <c r="AN147" s="142" t="s">
        <v>2398</v>
      </c>
      <c r="AO147" s="142" t="s">
        <v>2398</v>
      </c>
      <c r="AP147" s="142" t="s">
        <v>2398</v>
      </c>
      <c r="AQ147" s="142" t="s">
        <v>2398</v>
      </c>
      <c r="AR147" s="142" t="s">
        <v>1435</v>
      </c>
      <c r="AS147" s="142" t="s">
        <v>2705</v>
      </c>
      <c r="AT147" s="142" t="s">
        <v>2705</v>
      </c>
      <c r="AU147" s="142" t="s">
        <v>2397</v>
      </c>
      <c r="AV147" s="142" t="s">
        <v>1435</v>
      </c>
      <c r="AW147" s="142" t="s">
        <v>2705</v>
      </c>
      <c r="AX147" s="142" t="s">
        <v>2705</v>
      </c>
      <c r="AY147" s="142" t="s">
        <v>2398</v>
      </c>
      <c r="AZ147" s="142" t="s">
        <v>2398</v>
      </c>
    </row>
    <row r="148" spans="1:52" s="142" customFormat="1" ht="12.75" x14ac:dyDescent="0.2">
      <c r="A148" s="151"/>
      <c r="B148" s="152" t="s">
        <v>1435</v>
      </c>
      <c r="C148" s="152" t="s">
        <v>2398</v>
      </c>
      <c r="D148" s="152" t="s">
        <v>2398</v>
      </c>
      <c r="E148" s="152" t="s">
        <v>2675</v>
      </c>
      <c r="F148" s="152" t="s">
        <v>2705</v>
      </c>
      <c r="G148" s="152" t="s">
        <v>2398</v>
      </c>
      <c r="H148" s="152" t="s">
        <v>2705</v>
      </c>
      <c r="I148" s="152" t="s">
        <v>2705</v>
      </c>
      <c r="J148" s="152" t="s">
        <v>2705</v>
      </c>
      <c r="K148" s="152" t="s">
        <v>2705</v>
      </c>
      <c r="L148" s="152" t="s">
        <v>2398</v>
      </c>
      <c r="M148" s="152" t="s">
        <v>2398</v>
      </c>
      <c r="N148" s="152" t="s">
        <v>2705</v>
      </c>
      <c r="O148" s="152" t="s">
        <v>2705</v>
      </c>
      <c r="P148" s="152" t="s">
        <v>1435</v>
      </c>
      <c r="Q148" s="152" t="s">
        <v>2705</v>
      </c>
      <c r="R148" s="152" t="s">
        <v>1435</v>
      </c>
      <c r="S148" s="152" t="s">
        <v>2705</v>
      </c>
      <c r="T148" s="152" t="s">
        <v>2397</v>
      </c>
      <c r="U148" s="152" t="s">
        <v>2398</v>
      </c>
      <c r="V148" s="142" t="str" cm="1">
        <f t="array" ref="V148">IF(A148&lt;&gt;"",SUM(--(B148:U149 = "X")*$U$3,--(B148:U149 ="A")*$Q$3,--(B148:U149 ="B")*$R$3,--(B148:U149 ="C")*$S$3),"")</f>
        <v/>
      </c>
      <c r="X148" s="437" t="s">
        <v>7456</v>
      </c>
      <c r="Y148" s="437">
        <v>15</v>
      </c>
      <c r="Z148" s="436">
        <f>_xlfn.XLOOKUP(answers[[#This Row],[StudentID]],$A$7:$A$1418,$V$7:$V$1418)</f>
        <v>15</v>
      </c>
      <c r="AG148" s="142" t="s">
        <v>1435</v>
      </c>
      <c r="AH148" s="142" t="s">
        <v>2398</v>
      </c>
      <c r="AI148" s="142" t="s">
        <v>2398</v>
      </c>
      <c r="AJ148" s="142" t="s">
        <v>2675</v>
      </c>
      <c r="AK148" s="142" t="s">
        <v>2705</v>
      </c>
      <c r="AL148" s="142" t="s">
        <v>2398</v>
      </c>
      <c r="AM148" s="142" t="s">
        <v>2705</v>
      </c>
      <c r="AN148" s="142" t="s">
        <v>2705</v>
      </c>
      <c r="AO148" s="142" t="s">
        <v>2705</v>
      </c>
      <c r="AP148" s="142" t="s">
        <v>2705</v>
      </c>
      <c r="AQ148" s="142" t="s">
        <v>2398</v>
      </c>
      <c r="AR148" s="142" t="s">
        <v>2398</v>
      </c>
      <c r="AS148" s="142" t="s">
        <v>2705</v>
      </c>
      <c r="AT148" s="142" t="s">
        <v>2705</v>
      </c>
      <c r="AU148" s="142" t="s">
        <v>1435</v>
      </c>
      <c r="AV148" s="142" t="s">
        <v>2705</v>
      </c>
      <c r="AW148" s="142" t="s">
        <v>1435</v>
      </c>
      <c r="AX148" s="142" t="s">
        <v>2705</v>
      </c>
      <c r="AY148" s="142" t="s">
        <v>2397</v>
      </c>
      <c r="AZ148" s="142" t="s">
        <v>2398</v>
      </c>
    </row>
    <row r="149" spans="1:52" s="142" customFormat="1" ht="12.75" x14ac:dyDescent="0.2">
      <c r="A149" s="151" t="s">
        <v>7391</v>
      </c>
      <c r="B149" s="152" t="s">
        <v>2398</v>
      </c>
      <c r="C149" s="152" t="s">
        <v>2398</v>
      </c>
      <c r="D149" s="152" t="s">
        <v>2398</v>
      </c>
      <c r="E149" s="152" t="s">
        <v>2398</v>
      </c>
      <c r="F149" s="152" t="s">
        <v>2398</v>
      </c>
      <c r="G149" s="152" t="s">
        <v>2705</v>
      </c>
      <c r="H149" s="152" t="s">
        <v>2398</v>
      </c>
      <c r="I149" s="152" t="s">
        <v>2398</v>
      </c>
      <c r="J149" s="152" t="s">
        <v>2705</v>
      </c>
      <c r="K149" s="152" t="s">
        <v>2705</v>
      </c>
      <c r="L149" s="152" t="s">
        <v>2705</v>
      </c>
      <c r="M149" s="152" t="s">
        <v>2705</v>
      </c>
      <c r="N149" s="152" t="s">
        <v>2398</v>
      </c>
      <c r="O149" s="152" t="s">
        <v>2705</v>
      </c>
      <c r="P149" s="152" t="s">
        <v>2705</v>
      </c>
      <c r="Q149" s="152" t="s">
        <v>2705</v>
      </c>
      <c r="R149" s="152" t="s">
        <v>2705</v>
      </c>
      <c r="S149" s="152" t="s">
        <v>2705</v>
      </c>
      <c r="T149" s="152" t="s">
        <v>2705</v>
      </c>
      <c r="U149" s="152" t="s">
        <v>2705</v>
      </c>
      <c r="V149" s="142" cm="1">
        <f t="array" ref="V149">IF(A149&lt;&gt;"",SUM(--(B149:U150 = "X")*$U$3,--(B149:U150 ="A")*$Q$3,--(B149:U150 ="B")*$R$3,--(B149:U150 ="C")*$S$3),"")</f>
        <v>21</v>
      </c>
      <c r="X149" s="437" t="s">
        <v>7457</v>
      </c>
      <c r="Y149" s="437">
        <v>12.5</v>
      </c>
      <c r="Z149" s="436">
        <f>_xlfn.XLOOKUP(answers[[#This Row],[StudentID]],$A$7:$A$1418,$V$7:$V$1418)</f>
        <v>12.5</v>
      </c>
      <c r="AF149" s="142" t="s">
        <v>7391</v>
      </c>
      <c r="AG149" s="142" t="s">
        <v>2398</v>
      </c>
      <c r="AH149" s="142" t="s">
        <v>2398</v>
      </c>
      <c r="AI149" s="142" t="s">
        <v>2398</v>
      </c>
      <c r="AJ149" s="142" t="s">
        <v>2398</v>
      </c>
      <c r="AK149" s="142" t="s">
        <v>2398</v>
      </c>
      <c r="AL149" s="142" t="s">
        <v>2705</v>
      </c>
      <c r="AM149" s="142" t="s">
        <v>2398</v>
      </c>
      <c r="AN149" s="142" t="s">
        <v>2398</v>
      </c>
      <c r="AO149" s="142" t="s">
        <v>2705</v>
      </c>
      <c r="AP149" s="142" t="s">
        <v>2705</v>
      </c>
      <c r="AQ149" s="142" t="s">
        <v>2705</v>
      </c>
      <c r="AR149" s="142" t="s">
        <v>2705</v>
      </c>
      <c r="AS149" s="142" t="s">
        <v>2398</v>
      </c>
      <c r="AT149" s="142" t="s">
        <v>2705</v>
      </c>
      <c r="AU149" s="142" t="s">
        <v>2705</v>
      </c>
      <c r="AV149" s="142" t="s">
        <v>2705</v>
      </c>
      <c r="AW149" s="142" t="s">
        <v>2705</v>
      </c>
      <c r="AX149" s="142" t="s">
        <v>2705</v>
      </c>
      <c r="AY149" s="142" t="s">
        <v>2705</v>
      </c>
      <c r="AZ149" s="142" t="s">
        <v>2705</v>
      </c>
    </row>
    <row r="150" spans="1:52" s="142" customFormat="1" ht="12.75" x14ac:dyDescent="0.2">
      <c r="A150" s="151"/>
      <c r="B150" s="152" t="s">
        <v>2398</v>
      </c>
      <c r="C150" s="152" t="s">
        <v>2675</v>
      </c>
      <c r="D150" s="152" t="s">
        <v>2705</v>
      </c>
      <c r="E150" s="152" t="s">
        <v>2675</v>
      </c>
      <c r="F150" s="152" t="s">
        <v>2705</v>
      </c>
      <c r="G150" s="152" t="s">
        <v>2705</v>
      </c>
      <c r="H150" s="152" t="s">
        <v>2705</v>
      </c>
      <c r="I150" s="152" t="s">
        <v>2705</v>
      </c>
      <c r="J150" s="152" t="s">
        <v>1435</v>
      </c>
      <c r="K150" s="152" t="s">
        <v>2705</v>
      </c>
      <c r="L150" s="152" t="s">
        <v>2398</v>
      </c>
      <c r="M150" s="152" t="s">
        <v>2398</v>
      </c>
      <c r="N150" s="152" t="s">
        <v>2705</v>
      </c>
      <c r="O150" s="152" t="s">
        <v>2705</v>
      </c>
      <c r="P150" s="152" t="s">
        <v>1435</v>
      </c>
      <c r="Q150" s="152" t="s">
        <v>2705</v>
      </c>
      <c r="R150" s="152" t="s">
        <v>2398</v>
      </c>
      <c r="S150" s="152" t="s">
        <v>2705</v>
      </c>
      <c r="T150" s="152" t="s">
        <v>2705</v>
      </c>
      <c r="U150" s="152" t="s">
        <v>2398</v>
      </c>
      <c r="V150" s="142" t="str" cm="1">
        <f t="array" ref="V150">IF(A150&lt;&gt;"",SUM(--(B150:U151 = "X")*$U$3,--(B150:U151 ="A")*$Q$3,--(B150:U151 ="B")*$R$3,--(B150:U151 ="C")*$S$3),"")</f>
        <v/>
      </c>
      <c r="X150" s="437" t="s">
        <v>7458</v>
      </c>
      <c r="Y150" s="437">
        <v>30.5</v>
      </c>
      <c r="Z150" s="436">
        <f>_xlfn.XLOOKUP(answers[[#This Row],[StudentID]],$A$7:$A$1418,$V$7:$V$1418)</f>
        <v>30.5</v>
      </c>
      <c r="AG150" s="142" t="s">
        <v>2398</v>
      </c>
      <c r="AH150" s="142" t="s">
        <v>2675</v>
      </c>
      <c r="AI150" s="142" t="s">
        <v>2705</v>
      </c>
      <c r="AJ150" s="142" t="s">
        <v>2675</v>
      </c>
      <c r="AK150" s="142" t="s">
        <v>2705</v>
      </c>
      <c r="AL150" s="142" t="s">
        <v>2705</v>
      </c>
      <c r="AM150" s="142" t="s">
        <v>2705</v>
      </c>
      <c r="AN150" s="142" t="s">
        <v>2705</v>
      </c>
      <c r="AO150" s="142" t="s">
        <v>1435</v>
      </c>
      <c r="AP150" s="142" t="s">
        <v>2705</v>
      </c>
      <c r="AQ150" s="142" t="s">
        <v>2398</v>
      </c>
      <c r="AR150" s="142" t="s">
        <v>2398</v>
      </c>
      <c r="AS150" s="142" t="s">
        <v>2705</v>
      </c>
      <c r="AT150" s="142" t="s">
        <v>2705</v>
      </c>
      <c r="AU150" s="142" t="s">
        <v>1435</v>
      </c>
      <c r="AV150" s="142" t="s">
        <v>2705</v>
      </c>
      <c r="AW150" s="142" t="s">
        <v>2398</v>
      </c>
      <c r="AX150" s="142" t="s">
        <v>2705</v>
      </c>
      <c r="AY150" s="142" t="s">
        <v>2705</v>
      </c>
      <c r="AZ150" s="142" t="s">
        <v>2398</v>
      </c>
    </row>
    <row r="151" spans="1:52" s="142" customFormat="1" ht="12.75" x14ac:dyDescent="0.2">
      <c r="A151" s="151" t="s">
        <v>7392</v>
      </c>
      <c r="B151" s="152" t="s">
        <v>2705</v>
      </c>
      <c r="C151" s="152" t="s">
        <v>2705</v>
      </c>
      <c r="D151" s="152" t="s">
        <v>2705</v>
      </c>
      <c r="E151" s="152" t="s">
        <v>1435</v>
      </c>
      <c r="F151" s="152" t="s">
        <v>2705</v>
      </c>
      <c r="G151" s="152" t="s">
        <v>2705</v>
      </c>
      <c r="H151" s="152" t="s">
        <v>2398</v>
      </c>
      <c r="I151" s="152" t="s">
        <v>2705</v>
      </c>
      <c r="J151" s="152" t="s">
        <v>2398</v>
      </c>
      <c r="K151" s="152" t="s">
        <v>2705</v>
      </c>
      <c r="L151" s="152" t="s">
        <v>1435</v>
      </c>
      <c r="M151" s="152" t="s">
        <v>2705</v>
      </c>
      <c r="N151" s="152" t="s">
        <v>2705</v>
      </c>
      <c r="O151" s="152" t="s">
        <v>2705</v>
      </c>
      <c r="P151" s="152" t="s">
        <v>2705</v>
      </c>
      <c r="Q151" s="152" t="s">
        <v>2705</v>
      </c>
      <c r="R151" s="152" t="s">
        <v>2705</v>
      </c>
      <c r="S151" s="152" t="s">
        <v>2675</v>
      </c>
      <c r="T151" s="152" t="s">
        <v>2705</v>
      </c>
      <c r="U151" s="152" t="s">
        <v>2705</v>
      </c>
      <c r="V151" s="142" cm="1">
        <f t="array" ref="V151">IF(A151&lt;&gt;"",SUM(--(B151:U152 = "X")*$U$3,--(B151:U152 ="A")*$Q$3,--(B151:U152 ="B")*$R$3,--(B151:U152 ="C")*$S$3),"")</f>
        <v>29</v>
      </c>
      <c r="X151" s="437" t="s">
        <v>7459</v>
      </c>
      <c r="Y151" s="437">
        <v>10</v>
      </c>
      <c r="Z151" s="436">
        <f>_xlfn.XLOOKUP(answers[[#This Row],[StudentID]],$A$7:$A$1418,$V$7:$V$1418)</f>
        <v>10</v>
      </c>
      <c r="AF151" s="142" t="s">
        <v>7392</v>
      </c>
      <c r="AG151" s="142" t="s">
        <v>2705</v>
      </c>
      <c r="AH151" s="142" t="s">
        <v>2705</v>
      </c>
      <c r="AI151" s="142" t="s">
        <v>2705</v>
      </c>
      <c r="AJ151" s="142" t="s">
        <v>1435</v>
      </c>
      <c r="AK151" s="142" t="s">
        <v>2705</v>
      </c>
      <c r="AL151" s="142" t="s">
        <v>2705</v>
      </c>
      <c r="AM151" s="142" t="s">
        <v>2398</v>
      </c>
      <c r="AN151" s="142" t="s">
        <v>2705</v>
      </c>
      <c r="AO151" s="142" t="s">
        <v>2398</v>
      </c>
      <c r="AP151" s="142" t="s">
        <v>2705</v>
      </c>
      <c r="AQ151" s="142" t="s">
        <v>1435</v>
      </c>
      <c r="AR151" s="142" t="s">
        <v>2705</v>
      </c>
      <c r="AS151" s="142" t="s">
        <v>2705</v>
      </c>
      <c r="AT151" s="142" t="s">
        <v>2705</v>
      </c>
      <c r="AU151" s="142" t="s">
        <v>2705</v>
      </c>
      <c r="AV151" s="142" t="s">
        <v>2705</v>
      </c>
      <c r="AW151" s="142" t="s">
        <v>2705</v>
      </c>
      <c r="AX151" s="142" t="s">
        <v>2675</v>
      </c>
      <c r="AY151" s="142" t="s">
        <v>2705</v>
      </c>
      <c r="AZ151" s="142" t="s">
        <v>2705</v>
      </c>
    </row>
    <row r="152" spans="1:52" s="142" customFormat="1" ht="12.75" x14ac:dyDescent="0.2">
      <c r="A152" s="151"/>
      <c r="B152" s="152" t="s">
        <v>2705</v>
      </c>
      <c r="C152" s="152" t="s">
        <v>2398</v>
      </c>
      <c r="D152" s="152" t="s">
        <v>2705</v>
      </c>
      <c r="E152" s="152" t="s">
        <v>2705</v>
      </c>
      <c r="F152" s="152" t="s">
        <v>2705</v>
      </c>
      <c r="G152" s="152" t="s">
        <v>2705</v>
      </c>
      <c r="H152" s="152" t="s">
        <v>2398</v>
      </c>
      <c r="I152" s="152" t="s">
        <v>2398</v>
      </c>
      <c r="J152" s="152" t="s">
        <v>2705</v>
      </c>
      <c r="K152" s="152" t="s">
        <v>2705</v>
      </c>
      <c r="L152" s="152" t="s">
        <v>2705</v>
      </c>
      <c r="M152" s="152" t="s">
        <v>2705</v>
      </c>
      <c r="N152" s="152" t="s">
        <v>2705</v>
      </c>
      <c r="O152" s="152" t="s">
        <v>2705</v>
      </c>
      <c r="P152" s="152" t="s">
        <v>2675</v>
      </c>
      <c r="Q152" s="152" t="s">
        <v>2705</v>
      </c>
      <c r="R152" s="152" t="s">
        <v>2705</v>
      </c>
      <c r="S152" s="152" t="s">
        <v>2705</v>
      </c>
      <c r="T152" s="152" t="s">
        <v>2705</v>
      </c>
      <c r="U152" s="152" t="s">
        <v>2705</v>
      </c>
      <c r="V152" s="142" t="str" cm="1">
        <f t="array" ref="V152">IF(A152&lt;&gt;"",SUM(--(B152:U153 = "X")*$U$3,--(B152:U153 ="A")*$Q$3,--(B152:U153 ="B")*$R$3,--(B152:U153 ="C")*$S$3),"")</f>
        <v/>
      </c>
      <c r="X152" s="437" t="s">
        <v>7460</v>
      </c>
      <c r="Y152" s="437">
        <v>-2.5</v>
      </c>
      <c r="Z152" s="436">
        <f>_xlfn.XLOOKUP(answers[[#This Row],[StudentID]],$A$7:$A$1418,$V$7:$V$1418)</f>
        <v>-2.5</v>
      </c>
      <c r="AG152" s="142" t="s">
        <v>2705</v>
      </c>
      <c r="AH152" s="142" t="s">
        <v>2398</v>
      </c>
      <c r="AI152" s="142" t="s">
        <v>2705</v>
      </c>
      <c r="AJ152" s="142" t="s">
        <v>2705</v>
      </c>
      <c r="AK152" s="142" t="s">
        <v>2705</v>
      </c>
      <c r="AL152" s="142" t="s">
        <v>2705</v>
      </c>
      <c r="AM152" s="142" t="s">
        <v>2398</v>
      </c>
      <c r="AN152" s="142" t="s">
        <v>2398</v>
      </c>
      <c r="AO152" s="142" t="s">
        <v>2705</v>
      </c>
      <c r="AP152" s="142" t="s">
        <v>2705</v>
      </c>
      <c r="AQ152" s="142" t="s">
        <v>2705</v>
      </c>
      <c r="AR152" s="142" t="s">
        <v>2705</v>
      </c>
      <c r="AS152" s="142" t="s">
        <v>2705</v>
      </c>
      <c r="AT152" s="142" t="s">
        <v>2705</v>
      </c>
      <c r="AU152" s="142" t="s">
        <v>2675</v>
      </c>
      <c r="AV152" s="142" t="s">
        <v>2705</v>
      </c>
      <c r="AW152" s="142" t="s">
        <v>2705</v>
      </c>
      <c r="AX152" s="142" t="s">
        <v>2705</v>
      </c>
      <c r="AY152" s="142" t="s">
        <v>2705</v>
      </c>
      <c r="AZ152" s="142" t="s">
        <v>2705</v>
      </c>
    </row>
    <row r="153" spans="1:52" s="142" customFormat="1" ht="12.75" x14ac:dyDescent="0.2">
      <c r="A153" s="151" t="s">
        <v>7393</v>
      </c>
      <c r="B153" s="152" t="s">
        <v>2705</v>
      </c>
      <c r="C153" s="152" t="s">
        <v>2705</v>
      </c>
      <c r="D153" s="152" t="s">
        <v>2397</v>
      </c>
      <c r="E153" s="152" t="s">
        <v>1435</v>
      </c>
      <c r="F153" s="152" t="s">
        <v>2397</v>
      </c>
      <c r="G153" s="152" t="s">
        <v>2705</v>
      </c>
      <c r="H153" s="152" t="s">
        <v>2705</v>
      </c>
      <c r="I153" s="152" t="s">
        <v>2675</v>
      </c>
      <c r="J153" s="152" t="s">
        <v>1435</v>
      </c>
      <c r="K153" s="152" t="s">
        <v>2705</v>
      </c>
      <c r="L153" s="152" t="s">
        <v>2397</v>
      </c>
      <c r="M153" s="152" t="s">
        <v>2397</v>
      </c>
      <c r="N153" s="152" t="s">
        <v>2675</v>
      </c>
      <c r="O153" s="152" t="s">
        <v>2397</v>
      </c>
      <c r="P153" s="152" t="s">
        <v>2705</v>
      </c>
      <c r="Q153" s="152" t="s">
        <v>2397</v>
      </c>
      <c r="R153" s="152" t="s">
        <v>2675</v>
      </c>
      <c r="S153" s="152" t="s">
        <v>2675</v>
      </c>
      <c r="T153" s="152" t="s">
        <v>1435</v>
      </c>
      <c r="U153" s="152" t="s">
        <v>2705</v>
      </c>
      <c r="V153" s="142" cm="1">
        <f t="array" ref="V153">IF(A153&lt;&gt;"",SUM(--(B153:U154 = "X")*$U$3,--(B153:U154 ="A")*$Q$3,--(B153:U154 ="B")*$R$3,--(B153:U154 ="C")*$S$3),"")</f>
        <v>15</v>
      </c>
      <c r="X153" s="437" t="s">
        <v>7461</v>
      </c>
      <c r="Y153" s="437">
        <v>12.5</v>
      </c>
      <c r="Z153" s="436">
        <f>_xlfn.XLOOKUP(answers[[#This Row],[StudentID]],$A$7:$A$1418,$V$7:$V$1418)</f>
        <v>12.5</v>
      </c>
      <c r="AF153" s="142" t="s">
        <v>7393</v>
      </c>
      <c r="AG153" s="142" t="s">
        <v>2705</v>
      </c>
      <c r="AH153" s="142" t="s">
        <v>2705</v>
      </c>
      <c r="AI153" s="142" t="s">
        <v>2397</v>
      </c>
      <c r="AJ153" s="142" t="s">
        <v>1435</v>
      </c>
      <c r="AK153" s="142" t="s">
        <v>2397</v>
      </c>
      <c r="AL153" s="142" t="s">
        <v>2705</v>
      </c>
      <c r="AM153" s="142" t="s">
        <v>2705</v>
      </c>
      <c r="AN153" s="142" t="s">
        <v>2675</v>
      </c>
      <c r="AO153" s="142" t="s">
        <v>1435</v>
      </c>
      <c r="AP153" s="142" t="s">
        <v>2705</v>
      </c>
      <c r="AQ153" s="142" t="s">
        <v>2397</v>
      </c>
      <c r="AR153" s="142" t="s">
        <v>2397</v>
      </c>
      <c r="AS153" s="142" t="s">
        <v>2675</v>
      </c>
      <c r="AT153" s="142" t="s">
        <v>2397</v>
      </c>
      <c r="AU153" s="142" t="s">
        <v>2705</v>
      </c>
      <c r="AV153" s="142" t="s">
        <v>2397</v>
      </c>
      <c r="AW153" s="142" t="s">
        <v>2675</v>
      </c>
      <c r="AX153" s="142" t="s">
        <v>2675</v>
      </c>
      <c r="AY153" s="142" t="s">
        <v>1435</v>
      </c>
      <c r="AZ153" s="142" t="s">
        <v>2705</v>
      </c>
    </row>
    <row r="154" spans="1:52" s="142" customFormat="1" ht="12.75" x14ac:dyDescent="0.2">
      <c r="A154" s="151"/>
      <c r="B154" s="152" t="s">
        <v>2675</v>
      </c>
      <c r="C154" s="152" t="s">
        <v>2675</v>
      </c>
      <c r="D154" s="152" t="s">
        <v>2398</v>
      </c>
      <c r="E154" s="152" t="s">
        <v>2398</v>
      </c>
      <c r="F154" s="152" t="s">
        <v>2705</v>
      </c>
      <c r="G154" s="152" t="s">
        <v>2705</v>
      </c>
      <c r="H154" s="152" t="s">
        <v>2705</v>
      </c>
      <c r="I154" s="152" t="s">
        <v>2705</v>
      </c>
      <c r="J154" s="152" t="s">
        <v>2705</v>
      </c>
      <c r="K154" s="152" t="s">
        <v>2705</v>
      </c>
      <c r="L154" s="152" t="s">
        <v>2705</v>
      </c>
      <c r="M154" s="152" t="s">
        <v>2705</v>
      </c>
      <c r="N154" s="152" t="s">
        <v>2397</v>
      </c>
      <c r="O154" s="152" t="s">
        <v>2675</v>
      </c>
      <c r="P154" s="152" t="s">
        <v>2705</v>
      </c>
      <c r="Q154" s="152" t="s">
        <v>2398</v>
      </c>
      <c r="R154" s="152" t="s">
        <v>2705</v>
      </c>
      <c r="S154" s="152" t="s">
        <v>2705</v>
      </c>
      <c r="T154" s="152" t="s">
        <v>2705</v>
      </c>
      <c r="U154" s="152" t="s">
        <v>2705</v>
      </c>
      <c r="V154" s="142" t="str" cm="1">
        <f t="array" ref="V154">IF(A154&lt;&gt;"",SUM(--(B154:U155 = "X")*$U$3,--(B154:U155 ="A")*$Q$3,--(B154:U155 ="B")*$R$3,--(B154:U155 ="C")*$S$3),"")</f>
        <v/>
      </c>
      <c r="X154" s="437" t="s">
        <v>7462</v>
      </c>
      <c r="Y154" s="437">
        <v>22.5</v>
      </c>
      <c r="Z154" s="436">
        <f>_xlfn.XLOOKUP(answers[[#This Row],[StudentID]],$A$7:$A$1418,$V$7:$V$1418)</f>
        <v>22.5</v>
      </c>
      <c r="AG154" s="142" t="s">
        <v>2675</v>
      </c>
      <c r="AH154" s="142" t="s">
        <v>2675</v>
      </c>
      <c r="AI154" s="142" t="s">
        <v>2398</v>
      </c>
      <c r="AJ154" s="142" t="s">
        <v>2398</v>
      </c>
      <c r="AK154" s="142" t="s">
        <v>2705</v>
      </c>
      <c r="AL154" s="142" t="s">
        <v>2705</v>
      </c>
      <c r="AM154" s="142" t="s">
        <v>2705</v>
      </c>
      <c r="AN154" s="142" t="s">
        <v>2705</v>
      </c>
      <c r="AO154" s="142" t="s">
        <v>2705</v>
      </c>
      <c r="AP154" s="142" t="s">
        <v>2705</v>
      </c>
      <c r="AQ154" s="142" t="s">
        <v>2705</v>
      </c>
      <c r="AR154" s="142" t="s">
        <v>2705</v>
      </c>
      <c r="AS154" s="142" t="s">
        <v>2397</v>
      </c>
      <c r="AT154" s="142" t="s">
        <v>2675</v>
      </c>
      <c r="AU154" s="142" t="s">
        <v>2705</v>
      </c>
      <c r="AV154" s="142" t="s">
        <v>2398</v>
      </c>
      <c r="AW154" s="142" t="s">
        <v>2705</v>
      </c>
      <c r="AX154" s="142" t="s">
        <v>2705</v>
      </c>
      <c r="AY154" s="142" t="s">
        <v>2705</v>
      </c>
      <c r="AZ154" s="142" t="s">
        <v>2705</v>
      </c>
    </row>
    <row r="155" spans="1:52" s="142" customFormat="1" ht="12.75" x14ac:dyDescent="0.2">
      <c r="A155" s="151" t="s">
        <v>7394</v>
      </c>
      <c r="B155" s="152" t="s">
        <v>2397</v>
      </c>
      <c r="C155" s="152" t="s">
        <v>2705</v>
      </c>
      <c r="D155" s="152" t="s">
        <v>2675</v>
      </c>
      <c r="E155" s="152" t="s">
        <v>1435</v>
      </c>
      <c r="F155" s="152" t="s">
        <v>1435</v>
      </c>
      <c r="G155" s="152" t="s">
        <v>2705</v>
      </c>
      <c r="H155" s="152" t="s">
        <v>2705</v>
      </c>
      <c r="I155" s="152" t="s">
        <v>2398</v>
      </c>
      <c r="J155" s="152" t="s">
        <v>2675</v>
      </c>
      <c r="K155" s="152" t="s">
        <v>1435</v>
      </c>
      <c r="L155" s="152" t="s">
        <v>2705</v>
      </c>
      <c r="M155" s="152" t="s">
        <v>2705</v>
      </c>
      <c r="N155" s="152" t="s">
        <v>2675</v>
      </c>
      <c r="O155" s="152" t="s">
        <v>2705</v>
      </c>
      <c r="P155" s="152" t="s">
        <v>2398</v>
      </c>
      <c r="Q155" s="152" t="s">
        <v>2397</v>
      </c>
      <c r="R155" s="152" t="s">
        <v>2397</v>
      </c>
      <c r="S155" s="152" t="s">
        <v>2675</v>
      </c>
      <c r="T155" s="152" t="s">
        <v>2705</v>
      </c>
      <c r="U155" s="152" t="s">
        <v>2705</v>
      </c>
      <c r="V155" s="142" cm="1">
        <f t="array" ref="V155">IF(A155&lt;&gt;"",SUM(--(B155:U156 = "X")*$U$3,--(B155:U156 ="A")*$Q$3,--(B155:U156 ="B")*$R$3,--(B155:U156 ="C")*$S$3),"")</f>
        <v>14.5</v>
      </c>
      <c r="X155" s="437" t="s">
        <v>7463</v>
      </c>
      <c r="Y155" s="437">
        <v>26.5</v>
      </c>
      <c r="Z155" s="436">
        <f>_xlfn.XLOOKUP(answers[[#This Row],[StudentID]],$A$7:$A$1418,$V$7:$V$1418)</f>
        <v>26.5</v>
      </c>
      <c r="AF155" s="142" t="s">
        <v>7394</v>
      </c>
      <c r="AG155" s="142" t="s">
        <v>2397</v>
      </c>
      <c r="AH155" s="142" t="s">
        <v>2705</v>
      </c>
      <c r="AI155" s="142" t="s">
        <v>2675</v>
      </c>
      <c r="AJ155" s="142" t="s">
        <v>1435</v>
      </c>
      <c r="AK155" s="142" t="s">
        <v>1435</v>
      </c>
      <c r="AL155" s="142" t="s">
        <v>2705</v>
      </c>
      <c r="AM155" s="142" t="s">
        <v>2705</v>
      </c>
      <c r="AN155" s="142" t="s">
        <v>2398</v>
      </c>
      <c r="AO155" s="142" t="s">
        <v>2675</v>
      </c>
      <c r="AP155" s="142" t="s">
        <v>1435</v>
      </c>
      <c r="AQ155" s="142" t="s">
        <v>2705</v>
      </c>
      <c r="AR155" s="142" t="s">
        <v>2705</v>
      </c>
      <c r="AS155" s="142" t="s">
        <v>2675</v>
      </c>
      <c r="AT155" s="142" t="s">
        <v>2705</v>
      </c>
      <c r="AU155" s="142" t="s">
        <v>2398</v>
      </c>
      <c r="AV155" s="142" t="s">
        <v>2397</v>
      </c>
      <c r="AW155" s="142" t="s">
        <v>2397</v>
      </c>
      <c r="AX155" s="142" t="s">
        <v>2675</v>
      </c>
      <c r="AY155" s="142" t="s">
        <v>2705</v>
      </c>
      <c r="AZ155" s="142" t="s">
        <v>2705</v>
      </c>
    </row>
    <row r="156" spans="1:52" s="142" customFormat="1" ht="12.75" x14ac:dyDescent="0.2">
      <c r="A156" s="151"/>
      <c r="B156" s="152" t="s">
        <v>2397</v>
      </c>
      <c r="C156" s="152" t="s">
        <v>2705</v>
      </c>
      <c r="D156" s="152" t="s">
        <v>2705</v>
      </c>
      <c r="E156" s="152" t="s">
        <v>2705</v>
      </c>
      <c r="F156" s="152" t="s">
        <v>2705</v>
      </c>
      <c r="G156" s="152" t="s">
        <v>2675</v>
      </c>
      <c r="H156" s="152" t="s">
        <v>2398</v>
      </c>
      <c r="I156" s="152" t="s">
        <v>2705</v>
      </c>
      <c r="J156" s="152" t="s">
        <v>2705</v>
      </c>
      <c r="K156" s="152" t="s">
        <v>2675</v>
      </c>
      <c r="L156" s="152" t="s">
        <v>2705</v>
      </c>
      <c r="M156" s="152" t="s">
        <v>2398</v>
      </c>
      <c r="N156" s="152" t="s">
        <v>1435</v>
      </c>
      <c r="O156" s="152" t="s">
        <v>2705</v>
      </c>
      <c r="P156" s="152" t="s">
        <v>2705</v>
      </c>
      <c r="Q156" s="152" t="s">
        <v>2705</v>
      </c>
      <c r="R156" s="152" t="s">
        <v>1435</v>
      </c>
      <c r="S156" s="152" t="s">
        <v>2397</v>
      </c>
      <c r="T156" s="152" t="s">
        <v>2705</v>
      </c>
      <c r="U156" s="152" t="s">
        <v>2705</v>
      </c>
      <c r="V156" s="142" t="str" cm="1">
        <f t="array" ref="V156">IF(A156&lt;&gt;"",SUM(--(B156:U157 = "X")*$U$3,--(B156:U157 ="A")*$Q$3,--(B156:U157 ="B")*$R$3,--(B156:U157 ="C")*$S$3),"")</f>
        <v/>
      </c>
      <c r="X156" s="437" t="s">
        <v>7464</v>
      </c>
      <c r="Y156" s="437">
        <v>22</v>
      </c>
      <c r="Z156" s="436">
        <f>_xlfn.XLOOKUP(answers[[#This Row],[StudentID]],$A$7:$A$1418,$V$7:$V$1418)</f>
        <v>22</v>
      </c>
      <c r="AG156" s="142" t="s">
        <v>2397</v>
      </c>
      <c r="AH156" s="142" t="s">
        <v>2705</v>
      </c>
      <c r="AI156" s="142" t="s">
        <v>2705</v>
      </c>
      <c r="AJ156" s="142" t="s">
        <v>2705</v>
      </c>
      <c r="AK156" s="142" t="s">
        <v>2705</v>
      </c>
      <c r="AL156" s="142" t="s">
        <v>2675</v>
      </c>
      <c r="AM156" s="142" t="s">
        <v>2398</v>
      </c>
      <c r="AN156" s="142" t="s">
        <v>2705</v>
      </c>
      <c r="AO156" s="142" t="s">
        <v>2705</v>
      </c>
      <c r="AP156" s="142" t="s">
        <v>2675</v>
      </c>
      <c r="AQ156" s="142" t="s">
        <v>2705</v>
      </c>
      <c r="AR156" s="142" t="s">
        <v>2398</v>
      </c>
      <c r="AS156" s="142" t="s">
        <v>1435</v>
      </c>
      <c r="AT156" s="142" t="s">
        <v>2705</v>
      </c>
      <c r="AU156" s="142" t="s">
        <v>2705</v>
      </c>
      <c r="AV156" s="142" t="s">
        <v>2705</v>
      </c>
      <c r="AW156" s="142" t="s">
        <v>1435</v>
      </c>
      <c r="AX156" s="142" t="s">
        <v>2397</v>
      </c>
      <c r="AY156" s="142" t="s">
        <v>2705</v>
      </c>
      <c r="AZ156" s="142" t="s">
        <v>2705</v>
      </c>
    </row>
    <row r="157" spans="1:52" s="142" customFormat="1" ht="12.75" x14ac:dyDescent="0.2">
      <c r="A157" s="151" t="s">
        <v>7395</v>
      </c>
      <c r="B157" s="152" t="s">
        <v>2705</v>
      </c>
      <c r="C157" s="152" t="s">
        <v>2398</v>
      </c>
      <c r="D157" s="152" t="s">
        <v>2398</v>
      </c>
      <c r="E157" s="152" t="s">
        <v>2398</v>
      </c>
      <c r="F157" s="152" t="s">
        <v>2398</v>
      </c>
      <c r="G157" s="152" t="s">
        <v>2398</v>
      </c>
      <c r="H157" s="152" t="s">
        <v>2705</v>
      </c>
      <c r="I157" s="152" t="s">
        <v>2398</v>
      </c>
      <c r="J157" s="152" t="s">
        <v>2705</v>
      </c>
      <c r="K157" s="152" t="s">
        <v>2398</v>
      </c>
      <c r="L157" s="152" t="s">
        <v>2705</v>
      </c>
      <c r="M157" s="152" t="s">
        <v>2398</v>
      </c>
      <c r="N157" s="152" t="s">
        <v>2705</v>
      </c>
      <c r="O157" s="152" t="s">
        <v>2398</v>
      </c>
      <c r="P157" s="152" t="s">
        <v>2675</v>
      </c>
      <c r="Q157" s="152" t="s">
        <v>2705</v>
      </c>
      <c r="R157" s="152" t="s">
        <v>2705</v>
      </c>
      <c r="S157" s="152" t="s">
        <v>2398</v>
      </c>
      <c r="T157" s="152" t="s">
        <v>2675</v>
      </c>
      <c r="U157" s="152" t="s">
        <v>2398</v>
      </c>
      <c r="V157" s="142" cm="1">
        <f t="array" ref="V157">IF(A157&lt;&gt;"",SUM(--(B157:U158 = "X")*$U$3,--(B157:U158 ="A")*$Q$3,--(B157:U158 ="B")*$R$3,--(B157:U158 ="C")*$S$3),"")</f>
        <v>13</v>
      </c>
      <c r="X157" s="437" t="s">
        <v>7465</v>
      </c>
      <c r="Y157" s="437">
        <v>14.5</v>
      </c>
      <c r="Z157" s="436">
        <f>_xlfn.XLOOKUP(answers[[#This Row],[StudentID]],$A$7:$A$1418,$V$7:$V$1418)</f>
        <v>14.5</v>
      </c>
      <c r="AF157" s="142" t="s">
        <v>7395</v>
      </c>
      <c r="AG157" s="142" t="s">
        <v>2705</v>
      </c>
      <c r="AH157" s="142" t="s">
        <v>2398</v>
      </c>
      <c r="AI157" s="142" t="s">
        <v>2398</v>
      </c>
      <c r="AJ157" s="142" t="s">
        <v>2398</v>
      </c>
      <c r="AK157" s="142" t="s">
        <v>2398</v>
      </c>
      <c r="AL157" s="142" t="s">
        <v>2398</v>
      </c>
      <c r="AM157" s="142" t="s">
        <v>2705</v>
      </c>
      <c r="AN157" s="142" t="s">
        <v>2398</v>
      </c>
      <c r="AO157" s="142" t="s">
        <v>2705</v>
      </c>
      <c r="AP157" s="142" t="s">
        <v>2398</v>
      </c>
      <c r="AQ157" s="142" t="s">
        <v>2705</v>
      </c>
      <c r="AR157" s="142" t="s">
        <v>2398</v>
      </c>
      <c r="AS157" s="142" t="s">
        <v>2705</v>
      </c>
      <c r="AT157" s="142" t="s">
        <v>2398</v>
      </c>
      <c r="AU157" s="142" t="s">
        <v>2675</v>
      </c>
      <c r="AV157" s="142" t="s">
        <v>2705</v>
      </c>
      <c r="AW157" s="142" t="s">
        <v>2705</v>
      </c>
      <c r="AX157" s="142" t="s">
        <v>2398</v>
      </c>
      <c r="AY157" s="142" t="s">
        <v>2675</v>
      </c>
      <c r="AZ157" s="142" t="s">
        <v>2398</v>
      </c>
    </row>
    <row r="158" spans="1:52" s="142" customFormat="1" ht="12.75" x14ac:dyDescent="0.2">
      <c r="A158" s="151"/>
      <c r="B158" s="152" t="s">
        <v>2705</v>
      </c>
      <c r="C158" s="152" t="s">
        <v>2675</v>
      </c>
      <c r="D158" s="152" t="s">
        <v>2705</v>
      </c>
      <c r="E158" s="152" t="s">
        <v>2398</v>
      </c>
      <c r="F158" s="152" t="s">
        <v>2675</v>
      </c>
      <c r="G158" s="152" t="s">
        <v>1435</v>
      </c>
      <c r="H158" s="152" t="s">
        <v>2705</v>
      </c>
      <c r="I158" s="152" t="s">
        <v>2705</v>
      </c>
      <c r="J158" s="152" t="s">
        <v>2705</v>
      </c>
      <c r="K158" s="152" t="s">
        <v>2705</v>
      </c>
      <c r="L158" s="152" t="s">
        <v>1435</v>
      </c>
      <c r="M158" s="152" t="s">
        <v>2398</v>
      </c>
      <c r="N158" s="152" t="s">
        <v>2675</v>
      </c>
      <c r="O158" s="152" t="s">
        <v>2398</v>
      </c>
      <c r="P158" s="152" t="s">
        <v>1435</v>
      </c>
      <c r="Q158" s="152" t="s">
        <v>2705</v>
      </c>
      <c r="R158" s="152" t="s">
        <v>2398</v>
      </c>
      <c r="S158" s="152" t="s">
        <v>2705</v>
      </c>
      <c r="T158" s="152" t="s">
        <v>2705</v>
      </c>
      <c r="U158" s="152" t="s">
        <v>2705</v>
      </c>
      <c r="V158" s="142" t="str" cm="1">
        <f t="array" ref="V158">IF(A158&lt;&gt;"",SUM(--(B158:U159 = "X")*$U$3,--(B158:U159 ="A")*$Q$3,--(B158:U159 ="B")*$R$3,--(B158:U159 ="C")*$S$3),"")</f>
        <v/>
      </c>
      <c r="X158" s="437" t="s">
        <v>7466</v>
      </c>
      <c r="Y158" s="437">
        <v>13</v>
      </c>
      <c r="Z158" s="436">
        <f>_xlfn.XLOOKUP(answers[[#This Row],[StudentID]],$A$7:$A$1418,$V$7:$V$1418)</f>
        <v>13</v>
      </c>
      <c r="AG158" s="142" t="s">
        <v>2705</v>
      </c>
      <c r="AH158" s="142" t="s">
        <v>2675</v>
      </c>
      <c r="AI158" s="142" t="s">
        <v>2705</v>
      </c>
      <c r="AJ158" s="142" t="s">
        <v>2398</v>
      </c>
      <c r="AK158" s="142" t="s">
        <v>2675</v>
      </c>
      <c r="AL158" s="142" t="s">
        <v>1435</v>
      </c>
      <c r="AM158" s="142" t="s">
        <v>2705</v>
      </c>
      <c r="AN158" s="142" t="s">
        <v>2705</v>
      </c>
      <c r="AO158" s="142" t="s">
        <v>2705</v>
      </c>
      <c r="AP158" s="142" t="s">
        <v>2705</v>
      </c>
      <c r="AQ158" s="142" t="s">
        <v>1435</v>
      </c>
      <c r="AR158" s="142" t="s">
        <v>2398</v>
      </c>
      <c r="AS158" s="142" t="s">
        <v>2675</v>
      </c>
      <c r="AT158" s="142" t="s">
        <v>2398</v>
      </c>
      <c r="AU158" s="142" t="s">
        <v>1435</v>
      </c>
      <c r="AV158" s="142" t="s">
        <v>2705</v>
      </c>
      <c r="AW158" s="142" t="s">
        <v>2398</v>
      </c>
      <c r="AX158" s="142" t="s">
        <v>2705</v>
      </c>
      <c r="AY158" s="142" t="s">
        <v>2705</v>
      </c>
      <c r="AZ158" s="142" t="s">
        <v>2705</v>
      </c>
    </row>
    <row r="159" spans="1:52" s="142" customFormat="1" ht="12.75" x14ac:dyDescent="0.2">
      <c r="A159" s="151" t="s">
        <v>7396</v>
      </c>
      <c r="B159" s="152" t="s">
        <v>2675</v>
      </c>
      <c r="C159" s="152" t="s">
        <v>2705</v>
      </c>
      <c r="D159" s="152" t="s">
        <v>2705</v>
      </c>
      <c r="E159" s="152" t="s">
        <v>2705</v>
      </c>
      <c r="F159" s="152" t="s">
        <v>2705</v>
      </c>
      <c r="G159" s="152" t="s">
        <v>2705</v>
      </c>
      <c r="H159" s="152" t="s">
        <v>2705</v>
      </c>
      <c r="I159" s="152" t="s">
        <v>2705</v>
      </c>
      <c r="J159" s="152" t="s">
        <v>2705</v>
      </c>
      <c r="K159" s="152" t="s">
        <v>2705</v>
      </c>
      <c r="L159" s="152" t="s">
        <v>2705</v>
      </c>
      <c r="M159" s="152" t="s">
        <v>2705</v>
      </c>
      <c r="N159" s="152" t="s">
        <v>2705</v>
      </c>
      <c r="O159" s="152" t="s">
        <v>2705</v>
      </c>
      <c r="P159" s="152" t="s">
        <v>2705</v>
      </c>
      <c r="Q159" s="152" t="s">
        <v>2398</v>
      </c>
      <c r="R159" s="152" t="s">
        <v>2675</v>
      </c>
      <c r="S159" s="152" t="s">
        <v>2705</v>
      </c>
      <c r="T159" s="152" t="s">
        <v>2705</v>
      </c>
      <c r="U159" s="152" t="s">
        <v>2705</v>
      </c>
      <c r="V159" s="142" cm="1">
        <f t="array" ref="V159">IF(A159&lt;&gt;"",SUM(--(B159:U160 = "X")*$U$3,--(B159:U160 ="A")*$Q$3,--(B159:U160 ="B")*$R$3,--(B159:U160 ="C")*$S$3),"")</f>
        <v>30.5</v>
      </c>
      <c r="X159" s="437" t="s">
        <v>7467</v>
      </c>
      <c r="Y159" s="437">
        <v>15.5</v>
      </c>
      <c r="Z159" s="436">
        <f>_xlfn.XLOOKUP(answers[[#This Row],[StudentID]],$A$7:$A$1418,$V$7:$V$1418)</f>
        <v>15.5</v>
      </c>
      <c r="AF159" s="142" t="s">
        <v>7396</v>
      </c>
      <c r="AG159" s="142" t="s">
        <v>2675</v>
      </c>
      <c r="AH159" s="142" t="s">
        <v>2705</v>
      </c>
      <c r="AI159" s="142" t="s">
        <v>2705</v>
      </c>
      <c r="AJ159" s="142" t="s">
        <v>2705</v>
      </c>
      <c r="AK159" s="142" t="s">
        <v>2705</v>
      </c>
      <c r="AL159" s="142" t="s">
        <v>2705</v>
      </c>
      <c r="AM159" s="142" t="s">
        <v>2705</v>
      </c>
      <c r="AN159" s="142" t="s">
        <v>2705</v>
      </c>
      <c r="AO159" s="142" t="s">
        <v>2705</v>
      </c>
      <c r="AP159" s="142" t="s">
        <v>2705</v>
      </c>
      <c r="AQ159" s="142" t="s">
        <v>2705</v>
      </c>
      <c r="AR159" s="142" t="s">
        <v>2705</v>
      </c>
      <c r="AS159" s="142" t="s">
        <v>2705</v>
      </c>
      <c r="AT159" s="142" t="s">
        <v>2705</v>
      </c>
      <c r="AU159" s="142" t="s">
        <v>2705</v>
      </c>
      <c r="AV159" s="142" t="s">
        <v>2398</v>
      </c>
      <c r="AW159" s="142" t="s">
        <v>2675</v>
      </c>
      <c r="AX159" s="142" t="s">
        <v>2705</v>
      </c>
      <c r="AY159" s="142" t="s">
        <v>2705</v>
      </c>
      <c r="AZ159" s="142" t="s">
        <v>2705</v>
      </c>
    </row>
    <row r="160" spans="1:52" s="142" customFormat="1" ht="12.75" x14ac:dyDescent="0.2">
      <c r="A160" s="151"/>
      <c r="B160" s="152" t="s">
        <v>2705</v>
      </c>
      <c r="C160" s="152" t="s">
        <v>2705</v>
      </c>
      <c r="D160" s="152" t="s">
        <v>2705</v>
      </c>
      <c r="E160" s="152" t="s">
        <v>2705</v>
      </c>
      <c r="F160" s="152" t="s">
        <v>2705</v>
      </c>
      <c r="G160" s="152" t="s">
        <v>2675</v>
      </c>
      <c r="H160" s="152" t="s">
        <v>2705</v>
      </c>
      <c r="I160" s="152" t="s">
        <v>2705</v>
      </c>
      <c r="J160" s="152" t="s">
        <v>2705</v>
      </c>
      <c r="K160" s="152" t="s">
        <v>2675</v>
      </c>
      <c r="L160" s="152" t="s">
        <v>2705</v>
      </c>
      <c r="M160" s="152" t="s">
        <v>2705</v>
      </c>
      <c r="N160" s="152" t="s">
        <v>2705</v>
      </c>
      <c r="O160" s="152" t="s">
        <v>2705</v>
      </c>
      <c r="P160" s="152" t="s">
        <v>2705</v>
      </c>
      <c r="Q160" s="152" t="s">
        <v>2398</v>
      </c>
      <c r="R160" s="152" t="s">
        <v>2705</v>
      </c>
      <c r="S160" s="152" t="s">
        <v>2705</v>
      </c>
      <c r="T160" s="152" t="s">
        <v>2675</v>
      </c>
      <c r="U160" s="152" t="s">
        <v>2705</v>
      </c>
      <c r="V160" s="142" t="str" cm="1">
        <f t="array" ref="V160">IF(A160&lt;&gt;"",SUM(--(B160:U161 = "X")*$U$3,--(B160:U161 ="A")*$Q$3,--(B160:U161 ="B")*$R$3,--(B160:U161 ="C")*$S$3),"")</f>
        <v/>
      </c>
      <c r="X160" s="437" t="s">
        <v>7468</v>
      </c>
      <c r="Y160" s="437">
        <v>7.5</v>
      </c>
      <c r="Z160" s="436">
        <f>_xlfn.XLOOKUP(answers[[#This Row],[StudentID]],$A$7:$A$1418,$V$7:$V$1418)</f>
        <v>7.5</v>
      </c>
      <c r="AG160" s="142" t="s">
        <v>2705</v>
      </c>
      <c r="AH160" s="142" t="s">
        <v>2705</v>
      </c>
      <c r="AI160" s="142" t="s">
        <v>2705</v>
      </c>
      <c r="AJ160" s="142" t="s">
        <v>2705</v>
      </c>
      <c r="AK160" s="142" t="s">
        <v>2705</v>
      </c>
      <c r="AL160" s="142" t="s">
        <v>2675</v>
      </c>
      <c r="AM160" s="142" t="s">
        <v>2705</v>
      </c>
      <c r="AN160" s="142" t="s">
        <v>2705</v>
      </c>
      <c r="AO160" s="142" t="s">
        <v>2705</v>
      </c>
      <c r="AP160" s="142" t="s">
        <v>2675</v>
      </c>
      <c r="AQ160" s="142" t="s">
        <v>2705</v>
      </c>
      <c r="AR160" s="142" t="s">
        <v>2705</v>
      </c>
      <c r="AS160" s="142" t="s">
        <v>2705</v>
      </c>
      <c r="AT160" s="142" t="s">
        <v>2705</v>
      </c>
      <c r="AU160" s="142" t="s">
        <v>2705</v>
      </c>
      <c r="AV160" s="142" t="s">
        <v>2398</v>
      </c>
      <c r="AW160" s="142" t="s">
        <v>2705</v>
      </c>
      <c r="AX160" s="142" t="s">
        <v>2705</v>
      </c>
      <c r="AY160" s="142" t="s">
        <v>2675</v>
      </c>
      <c r="AZ160" s="142" t="s">
        <v>2705</v>
      </c>
    </row>
    <row r="161" spans="1:52" s="142" customFormat="1" ht="12.75" x14ac:dyDescent="0.2">
      <c r="A161" s="151" t="s">
        <v>7397</v>
      </c>
      <c r="B161" s="152" t="s">
        <v>2705</v>
      </c>
      <c r="C161" s="152" t="s">
        <v>1435</v>
      </c>
      <c r="D161" s="152" t="s">
        <v>2675</v>
      </c>
      <c r="E161" s="152" t="s">
        <v>2675</v>
      </c>
      <c r="F161" s="152" t="s">
        <v>1435</v>
      </c>
      <c r="G161" s="152" t="s">
        <v>2398</v>
      </c>
      <c r="H161" s="152" t="s">
        <v>2705</v>
      </c>
      <c r="I161" s="152" t="s">
        <v>2397</v>
      </c>
      <c r="J161" s="152" t="s">
        <v>2397</v>
      </c>
      <c r="K161" s="152" t="s">
        <v>1435</v>
      </c>
      <c r="L161" s="152" t="s">
        <v>2705</v>
      </c>
      <c r="M161" s="152" t="s">
        <v>1435</v>
      </c>
      <c r="N161" s="152" t="s">
        <v>2675</v>
      </c>
      <c r="O161" s="152" t="s">
        <v>2398</v>
      </c>
      <c r="P161" s="152" t="s">
        <v>2398</v>
      </c>
      <c r="Q161" s="152" t="s">
        <v>2397</v>
      </c>
      <c r="R161" s="152" t="s">
        <v>2397</v>
      </c>
      <c r="S161" s="152" t="s">
        <v>2398</v>
      </c>
      <c r="T161" s="152" t="s">
        <v>2398</v>
      </c>
      <c r="U161" s="152" t="s">
        <v>2705</v>
      </c>
      <c r="V161" s="142" cm="1">
        <f t="array" ref="V161">IF(A161&lt;&gt;"",SUM(--(B161:U162 = "X")*$U$3,--(B161:U162 ="A")*$Q$3,--(B161:U162 ="B")*$R$3,--(B161:U162 ="C")*$S$3),"")</f>
        <v>8</v>
      </c>
      <c r="X161" s="437" t="s">
        <v>7469</v>
      </c>
      <c r="Y161" s="437">
        <v>9.5</v>
      </c>
      <c r="Z161" s="436">
        <f>_xlfn.XLOOKUP(answers[[#This Row],[StudentID]],$A$7:$A$1418,$V$7:$V$1418)</f>
        <v>9.5</v>
      </c>
      <c r="AF161" s="142" t="s">
        <v>7397</v>
      </c>
      <c r="AG161" s="142" t="s">
        <v>2705</v>
      </c>
      <c r="AH161" s="142" t="s">
        <v>1435</v>
      </c>
      <c r="AI161" s="142" t="s">
        <v>2675</v>
      </c>
      <c r="AJ161" s="142" t="s">
        <v>2675</v>
      </c>
      <c r="AK161" s="142" t="s">
        <v>1435</v>
      </c>
      <c r="AL161" s="142" t="s">
        <v>2398</v>
      </c>
      <c r="AM161" s="142" t="s">
        <v>2705</v>
      </c>
      <c r="AN161" s="142" t="s">
        <v>2397</v>
      </c>
      <c r="AO161" s="142" t="s">
        <v>2397</v>
      </c>
      <c r="AP161" s="142" t="s">
        <v>1435</v>
      </c>
      <c r="AQ161" s="142" t="s">
        <v>2705</v>
      </c>
      <c r="AR161" s="142" t="s">
        <v>1435</v>
      </c>
      <c r="AS161" s="142" t="s">
        <v>2675</v>
      </c>
      <c r="AT161" s="142" t="s">
        <v>2398</v>
      </c>
      <c r="AU161" s="142" t="s">
        <v>2398</v>
      </c>
      <c r="AV161" s="142" t="s">
        <v>2397</v>
      </c>
      <c r="AW161" s="142" t="s">
        <v>2397</v>
      </c>
      <c r="AX161" s="142" t="s">
        <v>2398</v>
      </c>
      <c r="AY161" s="142" t="s">
        <v>2398</v>
      </c>
      <c r="AZ161" s="142" t="s">
        <v>2705</v>
      </c>
    </row>
    <row r="162" spans="1:52" s="142" customFormat="1" ht="12.75" x14ac:dyDescent="0.2">
      <c r="A162" s="151"/>
      <c r="B162" s="152" t="s">
        <v>2705</v>
      </c>
      <c r="C162" s="152" t="s">
        <v>2705</v>
      </c>
      <c r="D162" s="152" t="s">
        <v>1435</v>
      </c>
      <c r="E162" s="152" t="s">
        <v>2705</v>
      </c>
      <c r="F162" s="152" t="s">
        <v>2398</v>
      </c>
      <c r="G162" s="152" t="s">
        <v>2705</v>
      </c>
      <c r="H162" s="152" t="s">
        <v>2675</v>
      </c>
      <c r="I162" s="152" t="s">
        <v>2705</v>
      </c>
      <c r="J162" s="152" t="s">
        <v>2675</v>
      </c>
      <c r="K162" s="152" t="s">
        <v>2675</v>
      </c>
      <c r="L162" s="152" t="s">
        <v>2705</v>
      </c>
      <c r="M162" s="152" t="s">
        <v>2398</v>
      </c>
      <c r="N162" s="152" t="s">
        <v>2397</v>
      </c>
      <c r="O162" s="152" t="s">
        <v>2705</v>
      </c>
      <c r="P162" s="152" t="s">
        <v>2705</v>
      </c>
      <c r="Q162" s="152" t="s">
        <v>2705</v>
      </c>
      <c r="R162" s="152" t="s">
        <v>2398</v>
      </c>
      <c r="S162" s="152" t="s">
        <v>2397</v>
      </c>
      <c r="T162" s="152" t="s">
        <v>2675</v>
      </c>
      <c r="U162" s="152" t="s">
        <v>2705</v>
      </c>
      <c r="V162" s="142" t="str" cm="1">
        <f t="array" ref="V162">IF(A162&lt;&gt;"",SUM(--(B162:U163 = "X")*$U$3,--(B162:U163 ="A")*$Q$3,--(B162:U163 ="B")*$R$3,--(B162:U163 ="C")*$S$3),"")</f>
        <v/>
      </c>
      <c r="X162" s="437" t="s">
        <v>7470</v>
      </c>
      <c r="Y162" s="437">
        <v>17</v>
      </c>
      <c r="Z162" s="436">
        <f>_xlfn.XLOOKUP(answers[[#This Row],[StudentID]],$A$7:$A$1418,$V$7:$V$1418)</f>
        <v>17</v>
      </c>
      <c r="AG162" s="142" t="s">
        <v>2705</v>
      </c>
      <c r="AH162" s="142" t="s">
        <v>2705</v>
      </c>
      <c r="AI162" s="142" t="s">
        <v>1435</v>
      </c>
      <c r="AJ162" s="142" t="s">
        <v>2705</v>
      </c>
      <c r="AK162" s="142" t="s">
        <v>2398</v>
      </c>
      <c r="AL162" s="142" t="s">
        <v>2705</v>
      </c>
      <c r="AM162" s="142" t="s">
        <v>2675</v>
      </c>
      <c r="AN162" s="142" t="s">
        <v>2705</v>
      </c>
      <c r="AO162" s="142" t="s">
        <v>2675</v>
      </c>
      <c r="AP162" s="142" t="s">
        <v>2675</v>
      </c>
      <c r="AQ162" s="142" t="s">
        <v>2705</v>
      </c>
      <c r="AR162" s="142" t="s">
        <v>2398</v>
      </c>
      <c r="AS162" s="142" t="s">
        <v>2397</v>
      </c>
      <c r="AT162" s="142" t="s">
        <v>2705</v>
      </c>
      <c r="AU162" s="142" t="s">
        <v>2705</v>
      </c>
      <c r="AV162" s="142" t="s">
        <v>2705</v>
      </c>
      <c r="AW162" s="142" t="s">
        <v>2398</v>
      </c>
      <c r="AX162" s="142" t="s">
        <v>2397</v>
      </c>
      <c r="AY162" s="142" t="s">
        <v>2675</v>
      </c>
      <c r="AZ162" s="142" t="s">
        <v>2705</v>
      </c>
    </row>
    <row r="163" spans="1:52" s="142" customFormat="1" ht="12.75" x14ac:dyDescent="0.2">
      <c r="A163" s="151" t="s">
        <v>7398</v>
      </c>
      <c r="B163" s="152" t="s">
        <v>2398</v>
      </c>
      <c r="C163" s="152" t="s">
        <v>2675</v>
      </c>
      <c r="D163" s="152" t="s">
        <v>2705</v>
      </c>
      <c r="E163" s="152" t="s">
        <v>2705</v>
      </c>
      <c r="F163" s="152" t="s">
        <v>2398</v>
      </c>
      <c r="G163" s="152" t="s">
        <v>2705</v>
      </c>
      <c r="H163" s="152" t="s">
        <v>1435</v>
      </c>
      <c r="I163" s="152" t="s">
        <v>2705</v>
      </c>
      <c r="J163" s="152" t="s">
        <v>2705</v>
      </c>
      <c r="K163" s="152" t="s">
        <v>2705</v>
      </c>
      <c r="L163" s="152" t="s">
        <v>2705</v>
      </c>
      <c r="M163" s="152" t="s">
        <v>2398</v>
      </c>
      <c r="N163" s="152" t="s">
        <v>2705</v>
      </c>
      <c r="O163" s="152" t="s">
        <v>2705</v>
      </c>
      <c r="P163" s="152" t="s">
        <v>2675</v>
      </c>
      <c r="Q163" s="152" t="s">
        <v>1435</v>
      </c>
      <c r="R163" s="152" t="s">
        <v>2398</v>
      </c>
      <c r="S163" s="152" t="s">
        <v>2398</v>
      </c>
      <c r="T163" s="152" t="s">
        <v>2398</v>
      </c>
      <c r="U163" s="152" t="s">
        <v>2398</v>
      </c>
      <c r="V163" s="142" cm="1">
        <f t="array" ref="V163">IF(A163&lt;&gt;"",SUM(--(B163:U164 = "X")*$U$3,--(B163:U164 ="A")*$Q$3,--(B163:U164 ="B")*$R$3,--(B163:U164 ="C")*$S$3),"")</f>
        <v>16</v>
      </c>
      <c r="X163" s="437" t="s">
        <v>7471</v>
      </c>
      <c r="Y163" s="437">
        <v>21</v>
      </c>
      <c r="Z163" s="436">
        <f>_xlfn.XLOOKUP(answers[[#This Row],[StudentID]],$A$7:$A$1418,$V$7:$V$1418)</f>
        <v>21</v>
      </c>
      <c r="AF163" s="142" t="s">
        <v>7398</v>
      </c>
      <c r="AG163" s="142" t="s">
        <v>2398</v>
      </c>
      <c r="AH163" s="142" t="s">
        <v>2675</v>
      </c>
      <c r="AI163" s="142" t="s">
        <v>2705</v>
      </c>
      <c r="AJ163" s="142" t="s">
        <v>2705</v>
      </c>
      <c r="AK163" s="142" t="s">
        <v>2398</v>
      </c>
      <c r="AL163" s="142" t="s">
        <v>2705</v>
      </c>
      <c r="AM163" s="142" t="s">
        <v>1435</v>
      </c>
      <c r="AN163" s="142" t="s">
        <v>2705</v>
      </c>
      <c r="AO163" s="142" t="s">
        <v>2705</v>
      </c>
      <c r="AP163" s="142" t="s">
        <v>2705</v>
      </c>
      <c r="AQ163" s="142" t="s">
        <v>2705</v>
      </c>
      <c r="AR163" s="142" t="s">
        <v>2398</v>
      </c>
      <c r="AS163" s="142" t="s">
        <v>2705</v>
      </c>
      <c r="AT163" s="142" t="s">
        <v>2705</v>
      </c>
      <c r="AU163" s="142" t="s">
        <v>2675</v>
      </c>
      <c r="AV163" s="142" t="s">
        <v>1435</v>
      </c>
      <c r="AW163" s="142" t="s">
        <v>2398</v>
      </c>
      <c r="AX163" s="142" t="s">
        <v>2398</v>
      </c>
      <c r="AY163" s="142" t="s">
        <v>2398</v>
      </c>
      <c r="AZ163" s="142" t="s">
        <v>2398</v>
      </c>
    </row>
    <row r="164" spans="1:52" s="142" customFormat="1" ht="12.75" x14ac:dyDescent="0.2">
      <c r="A164" s="151"/>
      <c r="B164" s="152" t="s">
        <v>2398</v>
      </c>
      <c r="C164" s="152" t="s">
        <v>2705</v>
      </c>
      <c r="D164" s="152" t="s">
        <v>2398</v>
      </c>
      <c r="E164" s="152" t="s">
        <v>2705</v>
      </c>
      <c r="F164" s="152" t="s">
        <v>2705</v>
      </c>
      <c r="G164" s="152" t="s">
        <v>1435</v>
      </c>
      <c r="H164" s="152" t="s">
        <v>2398</v>
      </c>
      <c r="I164" s="152" t="s">
        <v>2705</v>
      </c>
      <c r="J164" s="152" t="s">
        <v>2705</v>
      </c>
      <c r="K164" s="152" t="s">
        <v>1435</v>
      </c>
      <c r="L164" s="152" t="s">
        <v>2398</v>
      </c>
      <c r="M164" s="152" t="s">
        <v>2398</v>
      </c>
      <c r="N164" s="152" t="s">
        <v>2705</v>
      </c>
      <c r="O164" s="152" t="s">
        <v>2705</v>
      </c>
      <c r="P164" s="152" t="s">
        <v>2398</v>
      </c>
      <c r="Q164" s="152" t="s">
        <v>2705</v>
      </c>
      <c r="R164" s="152" t="s">
        <v>2398</v>
      </c>
      <c r="S164" s="152" t="s">
        <v>2398</v>
      </c>
      <c r="T164" s="152" t="s">
        <v>2705</v>
      </c>
      <c r="U164" s="152" t="s">
        <v>2705</v>
      </c>
      <c r="V164" s="142" t="str" cm="1">
        <f t="array" ref="V164">IF(A164&lt;&gt;"",SUM(--(B164:U165 = "X")*$U$3,--(B164:U165 ="A")*$Q$3,--(B164:U165 ="B")*$R$3,--(B164:U165 ="C")*$S$3),"")</f>
        <v/>
      </c>
      <c r="X164" s="437" t="s">
        <v>7472</v>
      </c>
      <c r="Y164" s="437">
        <v>18.5</v>
      </c>
      <c r="Z164" s="436">
        <f>_xlfn.XLOOKUP(answers[[#This Row],[StudentID]],$A$7:$A$1418,$V$7:$V$1418)</f>
        <v>18.5</v>
      </c>
      <c r="AG164" s="142" t="s">
        <v>2398</v>
      </c>
      <c r="AH164" s="142" t="s">
        <v>2705</v>
      </c>
      <c r="AI164" s="142" t="s">
        <v>2398</v>
      </c>
      <c r="AJ164" s="142" t="s">
        <v>2705</v>
      </c>
      <c r="AK164" s="142" t="s">
        <v>2705</v>
      </c>
      <c r="AL164" s="142" t="s">
        <v>1435</v>
      </c>
      <c r="AM164" s="142" t="s">
        <v>2398</v>
      </c>
      <c r="AN164" s="142" t="s">
        <v>2705</v>
      </c>
      <c r="AO164" s="142" t="s">
        <v>2705</v>
      </c>
      <c r="AP164" s="142" t="s">
        <v>1435</v>
      </c>
      <c r="AQ164" s="142" t="s">
        <v>2398</v>
      </c>
      <c r="AR164" s="142" t="s">
        <v>2398</v>
      </c>
      <c r="AS164" s="142" t="s">
        <v>2705</v>
      </c>
      <c r="AT164" s="142" t="s">
        <v>2705</v>
      </c>
      <c r="AU164" s="142" t="s">
        <v>2398</v>
      </c>
      <c r="AV164" s="142" t="s">
        <v>2705</v>
      </c>
      <c r="AW164" s="142" t="s">
        <v>2398</v>
      </c>
      <c r="AX164" s="142" t="s">
        <v>2398</v>
      </c>
      <c r="AY164" s="142" t="s">
        <v>2705</v>
      </c>
      <c r="AZ164" s="142" t="s">
        <v>2705</v>
      </c>
    </row>
    <row r="165" spans="1:52" s="142" customFormat="1" ht="12.75" x14ac:dyDescent="0.2">
      <c r="A165" s="151" t="s">
        <v>7399</v>
      </c>
      <c r="B165" s="152" t="s">
        <v>2705</v>
      </c>
      <c r="C165" s="152" t="s">
        <v>1435</v>
      </c>
      <c r="D165" s="152" t="s">
        <v>2675</v>
      </c>
      <c r="E165" s="152" t="s">
        <v>2705</v>
      </c>
      <c r="F165" s="152" t="s">
        <v>2705</v>
      </c>
      <c r="G165" s="152" t="s">
        <v>2705</v>
      </c>
      <c r="H165" s="152" t="s">
        <v>2398</v>
      </c>
      <c r="I165" s="152" t="s">
        <v>2398</v>
      </c>
      <c r="J165" s="152" t="s">
        <v>2675</v>
      </c>
      <c r="K165" s="152" t="s">
        <v>2397</v>
      </c>
      <c r="L165" s="152" t="s">
        <v>2398</v>
      </c>
      <c r="M165" s="152" t="s">
        <v>2398</v>
      </c>
      <c r="N165" s="152" t="s">
        <v>2705</v>
      </c>
      <c r="O165" s="152" t="s">
        <v>1435</v>
      </c>
      <c r="P165" s="152" t="s">
        <v>2705</v>
      </c>
      <c r="Q165" s="152" t="s">
        <v>2675</v>
      </c>
      <c r="R165" s="152" t="s">
        <v>2705</v>
      </c>
      <c r="S165" s="152" t="s">
        <v>2397</v>
      </c>
      <c r="T165" s="152" t="s">
        <v>2705</v>
      </c>
      <c r="U165" s="152" t="s">
        <v>2705</v>
      </c>
      <c r="V165" s="142" cm="1">
        <f t="array" ref="V165">IF(A165&lt;&gt;"",SUM(--(B165:U166 = "X")*$U$3,--(B165:U166 ="A")*$Q$3,--(B165:U166 ="B")*$R$3,--(B165:U166 ="C")*$S$3),"")</f>
        <v>13</v>
      </c>
      <c r="X165" s="437" t="s">
        <v>7473</v>
      </c>
      <c r="Y165" s="437">
        <v>7.5</v>
      </c>
      <c r="Z165" s="436">
        <f>_xlfn.XLOOKUP(answers[[#This Row],[StudentID]],$A$7:$A$1418,$V$7:$V$1418)</f>
        <v>7.5</v>
      </c>
      <c r="AF165" s="142" t="s">
        <v>7399</v>
      </c>
      <c r="AG165" s="142" t="s">
        <v>2705</v>
      </c>
      <c r="AH165" s="142" t="s">
        <v>1435</v>
      </c>
      <c r="AI165" s="142" t="s">
        <v>2675</v>
      </c>
      <c r="AJ165" s="142" t="s">
        <v>2705</v>
      </c>
      <c r="AK165" s="142" t="s">
        <v>2705</v>
      </c>
      <c r="AL165" s="142" t="s">
        <v>2705</v>
      </c>
      <c r="AM165" s="142" t="s">
        <v>2398</v>
      </c>
      <c r="AN165" s="142" t="s">
        <v>2398</v>
      </c>
      <c r="AO165" s="142" t="s">
        <v>2675</v>
      </c>
      <c r="AP165" s="142" t="s">
        <v>2397</v>
      </c>
      <c r="AQ165" s="142" t="s">
        <v>2398</v>
      </c>
      <c r="AR165" s="142" t="s">
        <v>2398</v>
      </c>
      <c r="AS165" s="142" t="s">
        <v>2705</v>
      </c>
      <c r="AT165" s="142" t="s">
        <v>1435</v>
      </c>
      <c r="AU165" s="142" t="s">
        <v>2705</v>
      </c>
      <c r="AV165" s="142" t="s">
        <v>2675</v>
      </c>
      <c r="AW165" s="142" t="s">
        <v>2705</v>
      </c>
      <c r="AX165" s="142" t="s">
        <v>2397</v>
      </c>
      <c r="AY165" s="142" t="s">
        <v>2705</v>
      </c>
      <c r="AZ165" s="142" t="s">
        <v>2705</v>
      </c>
    </row>
    <row r="166" spans="1:52" s="142" customFormat="1" ht="12.75" x14ac:dyDescent="0.2">
      <c r="A166" s="151"/>
      <c r="B166" s="152" t="s">
        <v>2705</v>
      </c>
      <c r="C166" s="152" t="s">
        <v>2675</v>
      </c>
      <c r="D166" s="152" t="s">
        <v>1435</v>
      </c>
      <c r="E166" s="152" t="s">
        <v>1435</v>
      </c>
      <c r="F166" s="152" t="s">
        <v>2705</v>
      </c>
      <c r="G166" s="152" t="s">
        <v>2397</v>
      </c>
      <c r="H166" s="152" t="s">
        <v>2705</v>
      </c>
      <c r="I166" s="152" t="s">
        <v>2705</v>
      </c>
      <c r="J166" s="152" t="s">
        <v>2705</v>
      </c>
      <c r="K166" s="152" t="s">
        <v>2397</v>
      </c>
      <c r="L166" s="152" t="s">
        <v>2675</v>
      </c>
      <c r="M166" s="152" t="s">
        <v>2705</v>
      </c>
      <c r="N166" s="152" t="s">
        <v>2705</v>
      </c>
      <c r="O166" s="152" t="s">
        <v>2705</v>
      </c>
      <c r="P166" s="152" t="s">
        <v>1435</v>
      </c>
      <c r="Q166" s="152" t="s">
        <v>1435</v>
      </c>
      <c r="R166" s="152" t="s">
        <v>2398</v>
      </c>
      <c r="S166" s="152" t="s">
        <v>2705</v>
      </c>
      <c r="T166" s="152" t="s">
        <v>2705</v>
      </c>
      <c r="U166" s="152" t="s">
        <v>2675</v>
      </c>
      <c r="V166" s="142" t="str" cm="1">
        <f t="array" ref="V166">IF(A166&lt;&gt;"",SUM(--(B166:U167 = "X")*$U$3,--(B166:U167 ="A")*$Q$3,--(B166:U167 ="B")*$R$3,--(B166:U167 ="C")*$S$3),"")</f>
        <v/>
      </c>
      <c r="X166" s="437" t="s">
        <v>7474</v>
      </c>
      <c r="Y166" s="437">
        <v>12</v>
      </c>
      <c r="Z166" s="436">
        <f>_xlfn.XLOOKUP(answers[[#This Row],[StudentID]],$A$7:$A$1418,$V$7:$V$1418)</f>
        <v>12</v>
      </c>
      <c r="AG166" s="142" t="s">
        <v>2705</v>
      </c>
      <c r="AH166" s="142" t="s">
        <v>2675</v>
      </c>
      <c r="AI166" s="142" t="s">
        <v>1435</v>
      </c>
      <c r="AJ166" s="142" t="s">
        <v>1435</v>
      </c>
      <c r="AK166" s="142" t="s">
        <v>2705</v>
      </c>
      <c r="AL166" s="142" t="s">
        <v>2397</v>
      </c>
      <c r="AM166" s="142" t="s">
        <v>2705</v>
      </c>
      <c r="AN166" s="142" t="s">
        <v>2705</v>
      </c>
      <c r="AO166" s="142" t="s">
        <v>2705</v>
      </c>
      <c r="AP166" s="142" t="s">
        <v>2397</v>
      </c>
      <c r="AQ166" s="142" t="s">
        <v>2675</v>
      </c>
      <c r="AR166" s="142" t="s">
        <v>2705</v>
      </c>
      <c r="AS166" s="142" t="s">
        <v>2705</v>
      </c>
      <c r="AT166" s="142" t="s">
        <v>2705</v>
      </c>
      <c r="AU166" s="142" t="s">
        <v>1435</v>
      </c>
      <c r="AV166" s="142" t="s">
        <v>1435</v>
      </c>
      <c r="AW166" s="142" t="s">
        <v>2398</v>
      </c>
      <c r="AX166" s="142" t="s">
        <v>2705</v>
      </c>
      <c r="AY166" s="142" t="s">
        <v>2705</v>
      </c>
      <c r="AZ166" s="142" t="s">
        <v>2675</v>
      </c>
    </row>
    <row r="167" spans="1:52" s="142" customFormat="1" ht="12.75" x14ac:dyDescent="0.2">
      <c r="A167" s="151" t="s">
        <v>7400</v>
      </c>
      <c r="B167" s="152" t="s">
        <v>2675</v>
      </c>
      <c r="C167" s="152" t="s">
        <v>2705</v>
      </c>
      <c r="D167" s="152" t="s">
        <v>1435</v>
      </c>
      <c r="E167" s="152" t="s">
        <v>2398</v>
      </c>
      <c r="F167" s="152" t="s">
        <v>2397</v>
      </c>
      <c r="G167" s="152" t="s">
        <v>2705</v>
      </c>
      <c r="H167" s="152" t="s">
        <v>2705</v>
      </c>
      <c r="I167" s="152" t="s">
        <v>2675</v>
      </c>
      <c r="J167" s="152" t="s">
        <v>2675</v>
      </c>
      <c r="K167" s="152" t="s">
        <v>2705</v>
      </c>
      <c r="L167" s="152" t="s">
        <v>2398</v>
      </c>
      <c r="M167" s="152" t="s">
        <v>2705</v>
      </c>
      <c r="N167" s="152" t="s">
        <v>2397</v>
      </c>
      <c r="O167" s="152" t="s">
        <v>2675</v>
      </c>
      <c r="P167" s="152" t="s">
        <v>2705</v>
      </c>
      <c r="Q167" s="152" t="s">
        <v>2398</v>
      </c>
      <c r="R167" s="152" t="s">
        <v>2398</v>
      </c>
      <c r="S167" s="152" t="s">
        <v>2705</v>
      </c>
      <c r="T167" s="152" t="s">
        <v>2705</v>
      </c>
      <c r="U167" s="152" t="s">
        <v>2705</v>
      </c>
      <c r="V167" s="142" cm="1">
        <f t="array" ref="V167">IF(A167&lt;&gt;"",SUM(--(B167:U168 = "X")*$U$3,--(B167:U168 ="A")*$Q$3,--(B167:U168 ="B")*$R$3,--(B167:U168 ="C")*$S$3),"")</f>
        <v>9.5</v>
      </c>
      <c r="X167" s="437" t="s">
        <v>7475</v>
      </c>
      <c r="Y167" s="437">
        <v>5</v>
      </c>
      <c r="Z167" s="436">
        <f>_xlfn.XLOOKUP(answers[[#This Row],[StudentID]],$A$7:$A$1418,$V$7:$V$1418)</f>
        <v>5</v>
      </c>
      <c r="AF167" s="142" t="s">
        <v>7400</v>
      </c>
      <c r="AG167" s="142" t="s">
        <v>2675</v>
      </c>
      <c r="AH167" s="142" t="s">
        <v>2705</v>
      </c>
      <c r="AI167" s="142" t="s">
        <v>1435</v>
      </c>
      <c r="AJ167" s="142" t="s">
        <v>2398</v>
      </c>
      <c r="AK167" s="142" t="s">
        <v>2397</v>
      </c>
      <c r="AL167" s="142" t="s">
        <v>2705</v>
      </c>
      <c r="AM167" s="142" t="s">
        <v>2705</v>
      </c>
      <c r="AN167" s="142" t="s">
        <v>2675</v>
      </c>
      <c r="AO167" s="142" t="s">
        <v>2675</v>
      </c>
      <c r="AP167" s="142" t="s">
        <v>2705</v>
      </c>
      <c r="AQ167" s="142" t="s">
        <v>2398</v>
      </c>
      <c r="AR167" s="142" t="s">
        <v>2705</v>
      </c>
      <c r="AS167" s="142" t="s">
        <v>2397</v>
      </c>
      <c r="AT167" s="142" t="s">
        <v>2675</v>
      </c>
      <c r="AU167" s="142" t="s">
        <v>2705</v>
      </c>
      <c r="AV167" s="142" t="s">
        <v>2398</v>
      </c>
      <c r="AW167" s="142" t="s">
        <v>2398</v>
      </c>
      <c r="AX167" s="142" t="s">
        <v>2705</v>
      </c>
      <c r="AY167" s="142" t="s">
        <v>2705</v>
      </c>
      <c r="AZ167" s="142" t="s">
        <v>2705</v>
      </c>
    </row>
    <row r="168" spans="1:52" s="142" customFormat="1" ht="12.75" x14ac:dyDescent="0.2">
      <c r="A168" s="151"/>
      <c r="B168" s="152" t="s">
        <v>2675</v>
      </c>
      <c r="C168" s="152" t="s">
        <v>2675</v>
      </c>
      <c r="D168" s="152" t="s">
        <v>2398</v>
      </c>
      <c r="E168" s="152" t="s">
        <v>2705</v>
      </c>
      <c r="F168" s="152" t="s">
        <v>2705</v>
      </c>
      <c r="G168" s="152" t="s">
        <v>2705</v>
      </c>
      <c r="H168" s="152" t="s">
        <v>2675</v>
      </c>
      <c r="I168" s="152" t="s">
        <v>1435</v>
      </c>
      <c r="J168" s="152" t="s">
        <v>1435</v>
      </c>
      <c r="K168" s="152" t="s">
        <v>2398</v>
      </c>
      <c r="L168" s="152" t="s">
        <v>2705</v>
      </c>
      <c r="M168" s="152" t="s">
        <v>2397</v>
      </c>
      <c r="N168" s="152" t="s">
        <v>2398</v>
      </c>
      <c r="O168" s="152" t="s">
        <v>2398</v>
      </c>
      <c r="P168" s="152" t="s">
        <v>2705</v>
      </c>
      <c r="Q168" s="152" t="s">
        <v>2675</v>
      </c>
      <c r="R168" s="152" t="s">
        <v>2398</v>
      </c>
      <c r="S168" s="152" t="s">
        <v>2398</v>
      </c>
      <c r="T168" s="152" t="s">
        <v>2705</v>
      </c>
      <c r="U168" s="152" t="s">
        <v>2398</v>
      </c>
      <c r="V168" s="142" t="str" cm="1">
        <f t="array" ref="V168">IF(A168&lt;&gt;"",SUM(--(B168:U169 = "X")*$U$3,--(B168:U169 ="A")*$Q$3,--(B168:U169 ="B")*$R$3,--(B168:U169 ="C")*$S$3),"")</f>
        <v/>
      </c>
      <c r="X168" s="437" t="s">
        <v>7476</v>
      </c>
      <c r="Y168" s="437">
        <v>13</v>
      </c>
      <c r="Z168" s="436">
        <f>_xlfn.XLOOKUP(answers[[#This Row],[StudentID]],$A$7:$A$1418,$V$7:$V$1418)</f>
        <v>13</v>
      </c>
      <c r="AG168" s="142" t="s">
        <v>2675</v>
      </c>
      <c r="AH168" s="142" t="s">
        <v>2675</v>
      </c>
      <c r="AI168" s="142" t="s">
        <v>2398</v>
      </c>
      <c r="AJ168" s="142" t="s">
        <v>2705</v>
      </c>
      <c r="AK168" s="142" t="s">
        <v>2705</v>
      </c>
      <c r="AL168" s="142" t="s">
        <v>2705</v>
      </c>
      <c r="AM168" s="142" t="s">
        <v>2675</v>
      </c>
      <c r="AN168" s="142" t="s">
        <v>1435</v>
      </c>
      <c r="AO168" s="142" t="s">
        <v>1435</v>
      </c>
      <c r="AP168" s="142" t="s">
        <v>2398</v>
      </c>
      <c r="AQ168" s="142" t="s">
        <v>2705</v>
      </c>
      <c r="AR168" s="142" t="s">
        <v>2397</v>
      </c>
      <c r="AS168" s="142" t="s">
        <v>2398</v>
      </c>
      <c r="AT168" s="142" t="s">
        <v>2398</v>
      </c>
      <c r="AU168" s="142" t="s">
        <v>2705</v>
      </c>
      <c r="AV168" s="142" t="s">
        <v>2675</v>
      </c>
      <c r="AW168" s="142" t="s">
        <v>2398</v>
      </c>
      <c r="AX168" s="142" t="s">
        <v>2398</v>
      </c>
      <c r="AY168" s="142" t="s">
        <v>2705</v>
      </c>
      <c r="AZ168" s="142" t="s">
        <v>2398</v>
      </c>
    </row>
    <row r="169" spans="1:52" s="142" customFormat="1" ht="12.75" x14ac:dyDescent="0.2">
      <c r="A169" s="151" t="s">
        <v>7401</v>
      </c>
      <c r="B169" s="152" t="s">
        <v>2705</v>
      </c>
      <c r="C169" s="152" t="s">
        <v>2705</v>
      </c>
      <c r="D169" s="152" t="s">
        <v>2705</v>
      </c>
      <c r="E169" s="152" t="s">
        <v>2705</v>
      </c>
      <c r="F169" s="152" t="s">
        <v>2398</v>
      </c>
      <c r="G169" s="152" t="s">
        <v>2705</v>
      </c>
      <c r="H169" s="152" t="s">
        <v>2705</v>
      </c>
      <c r="I169" s="152" t="s">
        <v>2705</v>
      </c>
      <c r="J169" s="152" t="s">
        <v>2705</v>
      </c>
      <c r="K169" s="152" t="s">
        <v>2705</v>
      </c>
      <c r="L169" s="152" t="s">
        <v>2705</v>
      </c>
      <c r="M169" s="152" t="s">
        <v>2398</v>
      </c>
      <c r="N169" s="152" t="s">
        <v>2705</v>
      </c>
      <c r="O169" s="152" t="s">
        <v>1435</v>
      </c>
      <c r="P169" s="152" t="s">
        <v>2675</v>
      </c>
      <c r="Q169" s="152" t="s">
        <v>2398</v>
      </c>
      <c r="R169" s="152" t="s">
        <v>2398</v>
      </c>
      <c r="S169" s="152" t="s">
        <v>2398</v>
      </c>
      <c r="T169" s="152" t="s">
        <v>2675</v>
      </c>
      <c r="U169" s="152" t="s">
        <v>2398</v>
      </c>
      <c r="V169" s="142" cm="1">
        <f t="array" ref="V169">IF(A169&lt;&gt;"",SUM(--(B169:U170 = "X")*$U$3,--(B169:U170 ="A")*$Q$3,--(B169:U170 ="B")*$R$3,--(B169:U170 ="C")*$S$3),"")</f>
        <v>16</v>
      </c>
      <c r="X169" s="437" t="s">
        <v>7477</v>
      </c>
      <c r="Y169" s="437">
        <v>5</v>
      </c>
      <c r="Z169" s="436">
        <f>_xlfn.XLOOKUP(answers[[#This Row],[StudentID]],$A$7:$A$1418,$V$7:$V$1418)</f>
        <v>5</v>
      </c>
      <c r="AF169" s="142" t="s">
        <v>7401</v>
      </c>
      <c r="AG169" s="142" t="s">
        <v>2705</v>
      </c>
      <c r="AH169" s="142" t="s">
        <v>2705</v>
      </c>
      <c r="AI169" s="142" t="s">
        <v>2705</v>
      </c>
      <c r="AJ169" s="142" t="s">
        <v>2705</v>
      </c>
      <c r="AK169" s="142" t="s">
        <v>2398</v>
      </c>
      <c r="AL169" s="142" t="s">
        <v>2705</v>
      </c>
      <c r="AM169" s="142" t="s">
        <v>2705</v>
      </c>
      <c r="AN169" s="142" t="s">
        <v>2705</v>
      </c>
      <c r="AO169" s="142" t="s">
        <v>2705</v>
      </c>
      <c r="AP169" s="142" t="s">
        <v>2705</v>
      </c>
      <c r="AQ169" s="142" t="s">
        <v>2705</v>
      </c>
      <c r="AR169" s="142" t="s">
        <v>2398</v>
      </c>
      <c r="AS169" s="142" t="s">
        <v>2705</v>
      </c>
      <c r="AT169" s="142" t="s">
        <v>1435</v>
      </c>
      <c r="AU169" s="142" t="s">
        <v>2675</v>
      </c>
      <c r="AV169" s="142" t="s">
        <v>2398</v>
      </c>
      <c r="AW169" s="142" t="s">
        <v>2398</v>
      </c>
      <c r="AX169" s="142" t="s">
        <v>2398</v>
      </c>
      <c r="AY169" s="142" t="s">
        <v>2675</v>
      </c>
      <c r="AZ169" s="142" t="s">
        <v>2398</v>
      </c>
    </row>
    <row r="170" spans="1:52" s="142" customFormat="1" ht="12.75" x14ac:dyDescent="0.2">
      <c r="A170" s="151"/>
      <c r="B170" s="152" t="s">
        <v>2705</v>
      </c>
      <c r="C170" s="152" t="s">
        <v>2675</v>
      </c>
      <c r="D170" s="152" t="s">
        <v>2705</v>
      </c>
      <c r="E170" s="152" t="s">
        <v>2398</v>
      </c>
      <c r="F170" s="152" t="s">
        <v>2397</v>
      </c>
      <c r="G170" s="152" t="s">
        <v>2398</v>
      </c>
      <c r="H170" s="152" t="s">
        <v>2398</v>
      </c>
      <c r="I170" s="152" t="s">
        <v>2705</v>
      </c>
      <c r="J170" s="152" t="s">
        <v>2705</v>
      </c>
      <c r="K170" s="152" t="s">
        <v>1435</v>
      </c>
      <c r="L170" s="152" t="s">
        <v>2705</v>
      </c>
      <c r="M170" s="152" t="s">
        <v>1435</v>
      </c>
      <c r="N170" s="152" t="s">
        <v>2398</v>
      </c>
      <c r="O170" s="152" t="s">
        <v>2705</v>
      </c>
      <c r="P170" s="152" t="s">
        <v>2398</v>
      </c>
      <c r="Q170" s="152" t="s">
        <v>2705</v>
      </c>
      <c r="R170" s="152" t="s">
        <v>2398</v>
      </c>
      <c r="S170" s="152" t="s">
        <v>2705</v>
      </c>
      <c r="T170" s="152" t="s">
        <v>2398</v>
      </c>
      <c r="U170" s="152" t="s">
        <v>2397</v>
      </c>
      <c r="V170" s="142" t="str" cm="1">
        <f t="array" ref="V170">IF(A170&lt;&gt;"",SUM(--(B170:U171 = "X")*$U$3,--(B170:U171 ="A")*$Q$3,--(B170:U171 ="B")*$R$3,--(B170:U171 ="C")*$S$3),"")</f>
        <v/>
      </c>
      <c r="X170" s="437" t="s">
        <v>7478</v>
      </c>
      <c r="Y170" s="437">
        <v>10.5</v>
      </c>
      <c r="Z170" s="436">
        <f>_xlfn.XLOOKUP(answers[[#This Row],[StudentID]],$A$7:$A$1418,$V$7:$V$1418)</f>
        <v>10.5</v>
      </c>
      <c r="AG170" s="142" t="s">
        <v>2705</v>
      </c>
      <c r="AH170" s="142" t="s">
        <v>2675</v>
      </c>
      <c r="AI170" s="142" t="s">
        <v>2705</v>
      </c>
      <c r="AJ170" s="142" t="s">
        <v>2398</v>
      </c>
      <c r="AK170" s="142" t="s">
        <v>2397</v>
      </c>
      <c r="AL170" s="142" t="s">
        <v>2398</v>
      </c>
      <c r="AM170" s="142" t="s">
        <v>2398</v>
      </c>
      <c r="AN170" s="142" t="s">
        <v>2705</v>
      </c>
      <c r="AO170" s="142" t="s">
        <v>2705</v>
      </c>
      <c r="AP170" s="142" t="s">
        <v>1435</v>
      </c>
      <c r="AQ170" s="142" t="s">
        <v>2705</v>
      </c>
      <c r="AR170" s="142" t="s">
        <v>1435</v>
      </c>
      <c r="AS170" s="142" t="s">
        <v>2398</v>
      </c>
      <c r="AT170" s="142" t="s">
        <v>2705</v>
      </c>
      <c r="AU170" s="142" t="s">
        <v>2398</v>
      </c>
      <c r="AV170" s="142" t="s">
        <v>2705</v>
      </c>
      <c r="AW170" s="142" t="s">
        <v>2398</v>
      </c>
      <c r="AX170" s="142" t="s">
        <v>2705</v>
      </c>
      <c r="AY170" s="142" t="s">
        <v>2398</v>
      </c>
      <c r="AZ170" s="142" t="s">
        <v>2397</v>
      </c>
    </row>
    <row r="171" spans="1:52" s="142" customFormat="1" ht="12.75" x14ac:dyDescent="0.2">
      <c r="A171" s="151" t="s">
        <v>7402</v>
      </c>
      <c r="B171" s="152" t="s">
        <v>2398</v>
      </c>
      <c r="C171" s="152" t="s">
        <v>1435</v>
      </c>
      <c r="D171" s="152" t="s">
        <v>2675</v>
      </c>
      <c r="E171" s="152" t="s">
        <v>2675</v>
      </c>
      <c r="F171" s="152" t="s">
        <v>1435</v>
      </c>
      <c r="G171" s="152" t="s">
        <v>2398</v>
      </c>
      <c r="H171" s="152" t="s">
        <v>2675</v>
      </c>
      <c r="I171" s="152" t="s">
        <v>2705</v>
      </c>
      <c r="J171" s="152" t="s">
        <v>2398</v>
      </c>
      <c r="K171" s="152" t="s">
        <v>2675</v>
      </c>
      <c r="L171" s="152" t="s">
        <v>2398</v>
      </c>
      <c r="M171" s="152" t="s">
        <v>2705</v>
      </c>
      <c r="N171" s="152" t="s">
        <v>2705</v>
      </c>
      <c r="O171" s="152" t="s">
        <v>2675</v>
      </c>
      <c r="P171" s="152" t="s">
        <v>2397</v>
      </c>
      <c r="Q171" s="152" t="s">
        <v>2675</v>
      </c>
      <c r="R171" s="152" t="s">
        <v>2397</v>
      </c>
      <c r="S171" s="152" t="s">
        <v>2705</v>
      </c>
      <c r="T171" s="152" t="s">
        <v>2398</v>
      </c>
      <c r="U171" s="152" t="s">
        <v>2675</v>
      </c>
      <c r="V171" s="142" cm="1">
        <f t="array" ref="V171">IF(A171&lt;&gt;"",SUM(--(B171:U172 = "X")*$U$3,--(B171:U172 ="A")*$Q$3,--(B171:U172 ="B")*$R$3,--(B171:U172 ="C")*$S$3),"")</f>
        <v>3.5</v>
      </c>
      <c r="X171" s="437" t="s">
        <v>7479</v>
      </c>
      <c r="Y171" s="437">
        <v>18</v>
      </c>
      <c r="Z171" s="436">
        <f>_xlfn.XLOOKUP(answers[[#This Row],[StudentID]],$A$7:$A$1418,$V$7:$V$1418)</f>
        <v>18</v>
      </c>
      <c r="AF171" s="142" t="s">
        <v>7402</v>
      </c>
      <c r="AG171" s="142" t="s">
        <v>2398</v>
      </c>
      <c r="AH171" s="142" t="s">
        <v>1435</v>
      </c>
      <c r="AI171" s="142" t="s">
        <v>2675</v>
      </c>
      <c r="AJ171" s="142" t="s">
        <v>2675</v>
      </c>
      <c r="AK171" s="142" t="s">
        <v>1435</v>
      </c>
      <c r="AL171" s="142" t="s">
        <v>2398</v>
      </c>
      <c r="AM171" s="142" t="s">
        <v>2675</v>
      </c>
      <c r="AN171" s="142" t="s">
        <v>2705</v>
      </c>
      <c r="AO171" s="142" t="s">
        <v>2398</v>
      </c>
      <c r="AP171" s="142" t="s">
        <v>2675</v>
      </c>
      <c r="AQ171" s="142" t="s">
        <v>2398</v>
      </c>
      <c r="AR171" s="142" t="s">
        <v>2705</v>
      </c>
      <c r="AS171" s="142" t="s">
        <v>2705</v>
      </c>
      <c r="AT171" s="142" t="s">
        <v>2675</v>
      </c>
      <c r="AU171" s="142" t="s">
        <v>2397</v>
      </c>
      <c r="AV171" s="142" t="s">
        <v>2675</v>
      </c>
      <c r="AW171" s="142" t="s">
        <v>2397</v>
      </c>
      <c r="AX171" s="142" t="s">
        <v>2705</v>
      </c>
      <c r="AY171" s="142" t="s">
        <v>2398</v>
      </c>
      <c r="AZ171" s="142" t="s">
        <v>2675</v>
      </c>
    </row>
    <row r="172" spans="1:52" s="142" customFormat="1" ht="12.75" x14ac:dyDescent="0.2">
      <c r="A172" s="151"/>
      <c r="B172" s="152" t="s">
        <v>2398</v>
      </c>
      <c r="C172" s="152" t="s">
        <v>2398</v>
      </c>
      <c r="D172" s="152" t="s">
        <v>2705</v>
      </c>
      <c r="E172" s="152" t="s">
        <v>1435</v>
      </c>
      <c r="F172" s="152" t="s">
        <v>2398</v>
      </c>
      <c r="G172" s="152" t="s">
        <v>2398</v>
      </c>
      <c r="H172" s="152" t="s">
        <v>2705</v>
      </c>
      <c r="I172" s="152" t="s">
        <v>2398</v>
      </c>
      <c r="J172" s="152" t="s">
        <v>2675</v>
      </c>
      <c r="K172" s="152" t="s">
        <v>2397</v>
      </c>
      <c r="L172" s="152" t="s">
        <v>2398</v>
      </c>
      <c r="M172" s="152" t="s">
        <v>2398</v>
      </c>
      <c r="N172" s="152" t="s">
        <v>2705</v>
      </c>
      <c r="O172" s="152" t="s">
        <v>2705</v>
      </c>
      <c r="P172" s="152" t="s">
        <v>2705</v>
      </c>
      <c r="Q172" s="152" t="s">
        <v>2398</v>
      </c>
      <c r="R172" s="152" t="s">
        <v>1435</v>
      </c>
      <c r="S172" s="152" t="s">
        <v>2398</v>
      </c>
      <c r="T172" s="152" t="s">
        <v>2705</v>
      </c>
      <c r="U172" s="152" t="s">
        <v>2675</v>
      </c>
      <c r="V172" s="142" t="str" cm="1">
        <f t="array" ref="V172">IF(A172&lt;&gt;"",SUM(--(B172:U173 = "X")*$U$3,--(B172:U173 ="A")*$Q$3,--(B172:U173 ="B")*$R$3,--(B172:U173 ="C")*$S$3),"")</f>
        <v/>
      </c>
      <c r="X172" s="437" t="s">
        <v>7480</v>
      </c>
      <c r="Y172" s="437">
        <v>21</v>
      </c>
      <c r="Z172" s="436">
        <f>_xlfn.XLOOKUP(answers[[#This Row],[StudentID]],$A$7:$A$1418,$V$7:$V$1418)</f>
        <v>21</v>
      </c>
      <c r="AG172" s="142" t="s">
        <v>2398</v>
      </c>
      <c r="AH172" s="142" t="s">
        <v>2398</v>
      </c>
      <c r="AI172" s="142" t="s">
        <v>2705</v>
      </c>
      <c r="AJ172" s="142" t="s">
        <v>1435</v>
      </c>
      <c r="AK172" s="142" t="s">
        <v>2398</v>
      </c>
      <c r="AL172" s="142" t="s">
        <v>2398</v>
      </c>
      <c r="AM172" s="142" t="s">
        <v>2705</v>
      </c>
      <c r="AN172" s="142" t="s">
        <v>2398</v>
      </c>
      <c r="AO172" s="142" t="s">
        <v>2675</v>
      </c>
      <c r="AP172" s="142" t="s">
        <v>2397</v>
      </c>
      <c r="AQ172" s="142" t="s">
        <v>2398</v>
      </c>
      <c r="AR172" s="142" t="s">
        <v>2398</v>
      </c>
      <c r="AS172" s="142" t="s">
        <v>2705</v>
      </c>
      <c r="AT172" s="142" t="s">
        <v>2705</v>
      </c>
      <c r="AU172" s="142" t="s">
        <v>2705</v>
      </c>
      <c r="AV172" s="142" t="s">
        <v>2398</v>
      </c>
      <c r="AW172" s="142" t="s">
        <v>1435</v>
      </c>
      <c r="AX172" s="142" t="s">
        <v>2398</v>
      </c>
      <c r="AY172" s="142" t="s">
        <v>2705</v>
      </c>
      <c r="AZ172" s="142" t="s">
        <v>2675</v>
      </c>
    </row>
    <row r="173" spans="1:52" s="142" customFormat="1" ht="12.75" x14ac:dyDescent="0.2">
      <c r="A173" s="151" t="s">
        <v>7403</v>
      </c>
      <c r="B173" s="152" t="s">
        <v>2398</v>
      </c>
      <c r="C173" s="152" t="s">
        <v>2398</v>
      </c>
      <c r="D173" s="152" t="s">
        <v>2397</v>
      </c>
      <c r="E173" s="152" t="s">
        <v>2705</v>
      </c>
      <c r="F173" s="152" t="s">
        <v>2705</v>
      </c>
      <c r="G173" s="152" t="s">
        <v>2705</v>
      </c>
      <c r="H173" s="152" t="s">
        <v>2705</v>
      </c>
      <c r="I173" s="152" t="s">
        <v>2398</v>
      </c>
      <c r="J173" s="152" t="s">
        <v>2705</v>
      </c>
      <c r="K173" s="152" t="s">
        <v>2705</v>
      </c>
      <c r="L173" s="152" t="s">
        <v>2705</v>
      </c>
      <c r="M173" s="152" t="s">
        <v>2705</v>
      </c>
      <c r="N173" s="152" t="s">
        <v>2398</v>
      </c>
      <c r="O173" s="152" t="s">
        <v>2398</v>
      </c>
      <c r="P173" s="152" t="s">
        <v>2705</v>
      </c>
      <c r="Q173" s="152" t="s">
        <v>2705</v>
      </c>
      <c r="R173" s="152" t="s">
        <v>1435</v>
      </c>
      <c r="S173" s="152" t="s">
        <v>2705</v>
      </c>
      <c r="T173" s="152" t="s">
        <v>2397</v>
      </c>
      <c r="U173" s="152" t="s">
        <v>2705</v>
      </c>
      <c r="V173" s="142" cm="1">
        <f t="array" ref="V173">IF(A173&lt;&gt;"",SUM(--(B173:U174 = "X")*$U$3,--(B173:U174 ="A")*$Q$3,--(B173:U174 ="B")*$R$3,--(B173:U174 ="C")*$S$3),"")</f>
        <v>20</v>
      </c>
      <c r="X173" s="437" t="s">
        <v>7481</v>
      </c>
      <c r="Y173" s="437">
        <v>22</v>
      </c>
      <c r="Z173" s="436">
        <f>_xlfn.XLOOKUP(answers[[#This Row],[StudentID]],$A$7:$A$1418,$V$7:$V$1418)</f>
        <v>22</v>
      </c>
      <c r="AF173" s="142" t="s">
        <v>7403</v>
      </c>
      <c r="AG173" s="142" t="s">
        <v>2398</v>
      </c>
      <c r="AH173" s="142" t="s">
        <v>2398</v>
      </c>
      <c r="AI173" s="142" t="s">
        <v>2397</v>
      </c>
      <c r="AJ173" s="142" t="s">
        <v>2705</v>
      </c>
      <c r="AK173" s="142" t="s">
        <v>2705</v>
      </c>
      <c r="AL173" s="142" t="s">
        <v>2705</v>
      </c>
      <c r="AM173" s="142" t="s">
        <v>2705</v>
      </c>
      <c r="AN173" s="142" t="s">
        <v>2398</v>
      </c>
      <c r="AO173" s="142" t="s">
        <v>2705</v>
      </c>
      <c r="AP173" s="142" t="s">
        <v>2705</v>
      </c>
      <c r="AQ173" s="142" t="s">
        <v>2705</v>
      </c>
      <c r="AR173" s="142" t="s">
        <v>2705</v>
      </c>
      <c r="AS173" s="142" t="s">
        <v>2398</v>
      </c>
      <c r="AT173" s="142" t="s">
        <v>2398</v>
      </c>
      <c r="AU173" s="142" t="s">
        <v>2705</v>
      </c>
      <c r="AV173" s="142" t="s">
        <v>2705</v>
      </c>
      <c r="AW173" s="142" t="s">
        <v>1435</v>
      </c>
      <c r="AX173" s="142" t="s">
        <v>2705</v>
      </c>
      <c r="AY173" s="142" t="s">
        <v>2397</v>
      </c>
      <c r="AZ173" s="142" t="s">
        <v>2705</v>
      </c>
    </row>
    <row r="174" spans="1:52" s="142" customFormat="1" ht="12.75" x14ac:dyDescent="0.2">
      <c r="A174" s="151"/>
      <c r="B174" s="152" t="s">
        <v>2398</v>
      </c>
      <c r="C174" s="152" t="s">
        <v>2675</v>
      </c>
      <c r="D174" s="152" t="s">
        <v>2398</v>
      </c>
      <c r="E174" s="152" t="s">
        <v>2398</v>
      </c>
      <c r="F174" s="152" t="s">
        <v>2705</v>
      </c>
      <c r="G174" s="152" t="s">
        <v>2675</v>
      </c>
      <c r="H174" s="152" t="s">
        <v>2398</v>
      </c>
      <c r="I174" s="152" t="s">
        <v>2705</v>
      </c>
      <c r="J174" s="152" t="s">
        <v>2398</v>
      </c>
      <c r="K174" s="152" t="s">
        <v>2398</v>
      </c>
      <c r="L174" s="152" t="s">
        <v>2705</v>
      </c>
      <c r="M174" s="152" t="s">
        <v>2705</v>
      </c>
      <c r="N174" s="152" t="s">
        <v>2705</v>
      </c>
      <c r="O174" s="152" t="s">
        <v>2705</v>
      </c>
      <c r="P174" s="152" t="s">
        <v>2705</v>
      </c>
      <c r="Q174" s="152" t="s">
        <v>2675</v>
      </c>
      <c r="R174" s="152" t="s">
        <v>2705</v>
      </c>
      <c r="S174" s="152" t="s">
        <v>2705</v>
      </c>
      <c r="T174" s="152" t="s">
        <v>2705</v>
      </c>
      <c r="U174" s="152" t="s">
        <v>2398</v>
      </c>
      <c r="V174" s="142" t="str" cm="1">
        <f t="array" ref="V174">IF(A174&lt;&gt;"",SUM(--(B174:U175 = "X")*$U$3,--(B174:U175 ="A")*$Q$3,--(B174:U175 ="B")*$R$3,--(B174:U175 ="C")*$S$3),"")</f>
        <v/>
      </c>
      <c r="X174" s="437" t="s">
        <v>7482</v>
      </c>
      <c r="Y174" s="437">
        <v>20</v>
      </c>
      <c r="Z174" s="436">
        <f>_xlfn.XLOOKUP(answers[[#This Row],[StudentID]],$A$7:$A$1418,$V$7:$V$1418)</f>
        <v>20</v>
      </c>
      <c r="AG174" s="142" t="s">
        <v>2398</v>
      </c>
      <c r="AH174" s="142" t="s">
        <v>2675</v>
      </c>
      <c r="AI174" s="142" t="s">
        <v>2398</v>
      </c>
      <c r="AJ174" s="142" t="s">
        <v>2398</v>
      </c>
      <c r="AK174" s="142" t="s">
        <v>2705</v>
      </c>
      <c r="AL174" s="142" t="s">
        <v>2675</v>
      </c>
      <c r="AM174" s="142" t="s">
        <v>2398</v>
      </c>
      <c r="AN174" s="142" t="s">
        <v>2705</v>
      </c>
      <c r="AO174" s="142" t="s">
        <v>2398</v>
      </c>
      <c r="AP174" s="142" t="s">
        <v>2398</v>
      </c>
      <c r="AQ174" s="142" t="s">
        <v>2705</v>
      </c>
      <c r="AR174" s="142" t="s">
        <v>2705</v>
      </c>
      <c r="AS174" s="142" t="s">
        <v>2705</v>
      </c>
      <c r="AT174" s="142" t="s">
        <v>2705</v>
      </c>
      <c r="AU174" s="142" t="s">
        <v>2705</v>
      </c>
      <c r="AV174" s="142" t="s">
        <v>2675</v>
      </c>
      <c r="AW174" s="142" t="s">
        <v>2705</v>
      </c>
      <c r="AX174" s="142" t="s">
        <v>2705</v>
      </c>
      <c r="AY174" s="142" t="s">
        <v>2705</v>
      </c>
      <c r="AZ174" s="142" t="s">
        <v>2398</v>
      </c>
    </row>
    <row r="175" spans="1:52" s="142" customFormat="1" ht="12.75" x14ac:dyDescent="0.2">
      <c r="A175" s="151" t="s">
        <v>7404</v>
      </c>
      <c r="B175" s="152" t="s">
        <v>2705</v>
      </c>
      <c r="C175" s="152" t="s">
        <v>2705</v>
      </c>
      <c r="D175" s="152" t="s">
        <v>2398</v>
      </c>
      <c r="E175" s="152" t="s">
        <v>2398</v>
      </c>
      <c r="F175" s="152" t="s">
        <v>2705</v>
      </c>
      <c r="G175" s="152" t="s">
        <v>2705</v>
      </c>
      <c r="H175" s="152" t="s">
        <v>2705</v>
      </c>
      <c r="I175" s="152" t="s">
        <v>2397</v>
      </c>
      <c r="J175" s="152" t="s">
        <v>2705</v>
      </c>
      <c r="K175" s="152" t="s">
        <v>2705</v>
      </c>
      <c r="L175" s="152" t="s">
        <v>2398</v>
      </c>
      <c r="M175" s="152" t="s">
        <v>2705</v>
      </c>
      <c r="N175" s="152" t="s">
        <v>2398</v>
      </c>
      <c r="O175" s="152" t="s">
        <v>2398</v>
      </c>
      <c r="P175" s="152" t="s">
        <v>2705</v>
      </c>
      <c r="Q175" s="152" t="s">
        <v>2705</v>
      </c>
      <c r="R175" s="152" t="s">
        <v>2398</v>
      </c>
      <c r="S175" s="152" t="s">
        <v>2675</v>
      </c>
      <c r="T175" s="152" t="s">
        <v>2705</v>
      </c>
      <c r="U175" s="152" t="s">
        <v>2705</v>
      </c>
      <c r="V175" s="142" cm="1">
        <f t="array" ref="V175">IF(A175&lt;&gt;"",SUM(--(B175:U176 = "X")*$U$3,--(B175:U176 ="A")*$Q$3,--(B175:U176 ="B")*$R$3,--(B175:U176 ="C")*$S$3),"")</f>
        <v>24.5</v>
      </c>
      <c r="X175" s="437" t="s">
        <v>7483</v>
      </c>
      <c r="Y175" s="437">
        <v>21.5</v>
      </c>
      <c r="Z175" s="436">
        <f>_xlfn.XLOOKUP(answers[[#This Row],[StudentID]],$A$7:$A$1418,$V$7:$V$1418)</f>
        <v>21.5</v>
      </c>
      <c r="AF175" s="142" t="s">
        <v>7404</v>
      </c>
      <c r="AG175" s="142" t="s">
        <v>2705</v>
      </c>
      <c r="AH175" s="142" t="s">
        <v>2705</v>
      </c>
      <c r="AI175" s="142" t="s">
        <v>2398</v>
      </c>
      <c r="AJ175" s="142" t="s">
        <v>2398</v>
      </c>
      <c r="AK175" s="142" t="s">
        <v>2705</v>
      </c>
      <c r="AL175" s="142" t="s">
        <v>2705</v>
      </c>
      <c r="AM175" s="142" t="s">
        <v>2705</v>
      </c>
      <c r="AN175" s="142" t="s">
        <v>2397</v>
      </c>
      <c r="AO175" s="142" t="s">
        <v>2705</v>
      </c>
      <c r="AP175" s="142" t="s">
        <v>2705</v>
      </c>
      <c r="AQ175" s="142" t="s">
        <v>2398</v>
      </c>
      <c r="AR175" s="142" t="s">
        <v>2705</v>
      </c>
      <c r="AS175" s="142" t="s">
        <v>2398</v>
      </c>
      <c r="AT175" s="142" t="s">
        <v>2398</v>
      </c>
      <c r="AU175" s="142" t="s">
        <v>2705</v>
      </c>
      <c r="AV175" s="142" t="s">
        <v>2705</v>
      </c>
      <c r="AW175" s="142" t="s">
        <v>2398</v>
      </c>
      <c r="AX175" s="142" t="s">
        <v>2675</v>
      </c>
      <c r="AY175" s="142" t="s">
        <v>2705</v>
      </c>
      <c r="AZ175" s="142" t="s">
        <v>2705</v>
      </c>
    </row>
    <row r="176" spans="1:52" s="142" customFormat="1" ht="12.75" x14ac:dyDescent="0.2">
      <c r="A176" s="151"/>
      <c r="B176" s="152" t="s">
        <v>2705</v>
      </c>
      <c r="C176" s="152" t="s">
        <v>2398</v>
      </c>
      <c r="D176" s="152" t="s">
        <v>2705</v>
      </c>
      <c r="E176" s="152" t="s">
        <v>2705</v>
      </c>
      <c r="F176" s="152" t="s">
        <v>2705</v>
      </c>
      <c r="G176" s="152" t="s">
        <v>2705</v>
      </c>
      <c r="H176" s="152" t="s">
        <v>2398</v>
      </c>
      <c r="I176" s="152" t="s">
        <v>2398</v>
      </c>
      <c r="J176" s="152" t="s">
        <v>2705</v>
      </c>
      <c r="K176" s="152" t="s">
        <v>2398</v>
      </c>
      <c r="L176" s="152" t="s">
        <v>2705</v>
      </c>
      <c r="M176" s="152" t="s">
        <v>2398</v>
      </c>
      <c r="N176" s="152" t="s">
        <v>2705</v>
      </c>
      <c r="O176" s="152" t="s">
        <v>2398</v>
      </c>
      <c r="P176" s="152" t="s">
        <v>2398</v>
      </c>
      <c r="Q176" s="152" t="s">
        <v>2705</v>
      </c>
      <c r="R176" s="152" t="s">
        <v>2705</v>
      </c>
      <c r="S176" s="152" t="s">
        <v>2705</v>
      </c>
      <c r="T176" s="152" t="s">
        <v>2705</v>
      </c>
      <c r="U176" s="152" t="s">
        <v>2705</v>
      </c>
      <c r="V176" s="142" t="str" cm="1">
        <f t="array" ref="V176">IF(A176&lt;&gt;"",SUM(--(B176:U177 = "X")*$U$3,--(B176:U177 ="A")*$Q$3,--(B176:U177 ="B")*$R$3,--(B176:U177 ="C")*$S$3),"")</f>
        <v/>
      </c>
      <c r="X176" s="437" t="s">
        <v>7484</v>
      </c>
      <c r="Y176" s="437">
        <v>20.5</v>
      </c>
      <c r="Z176" s="436">
        <f>_xlfn.XLOOKUP(answers[[#This Row],[StudentID]],$A$7:$A$1418,$V$7:$V$1418)</f>
        <v>20.5</v>
      </c>
      <c r="AG176" s="142" t="s">
        <v>2705</v>
      </c>
      <c r="AH176" s="142" t="s">
        <v>2398</v>
      </c>
      <c r="AI176" s="142" t="s">
        <v>2705</v>
      </c>
      <c r="AJ176" s="142" t="s">
        <v>2705</v>
      </c>
      <c r="AK176" s="142" t="s">
        <v>2705</v>
      </c>
      <c r="AL176" s="142" t="s">
        <v>2705</v>
      </c>
      <c r="AM176" s="142" t="s">
        <v>2398</v>
      </c>
      <c r="AN176" s="142" t="s">
        <v>2398</v>
      </c>
      <c r="AO176" s="142" t="s">
        <v>2705</v>
      </c>
      <c r="AP176" s="142" t="s">
        <v>2398</v>
      </c>
      <c r="AQ176" s="142" t="s">
        <v>2705</v>
      </c>
      <c r="AR176" s="142" t="s">
        <v>2398</v>
      </c>
      <c r="AS176" s="142" t="s">
        <v>2705</v>
      </c>
      <c r="AT176" s="142" t="s">
        <v>2398</v>
      </c>
      <c r="AU176" s="142" t="s">
        <v>2398</v>
      </c>
      <c r="AV176" s="142" t="s">
        <v>2705</v>
      </c>
      <c r="AW176" s="142" t="s">
        <v>2705</v>
      </c>
      <c r="AX176" s="142" t="s">
        <v>2705</v>
      </c>
      <c r="AY176" s="142" t="s">
        <v>2705</v>
      </c>
      <c r="AZ176" s="142" t="s">
        <v>2705</v>
      </c>
    </row>
    <row r="177" spans="1:52" s="142" customFormat="1" ht="12.75" x14ac:dyDescent="0.2">
      <c r="A177" s="151" t="s">
        <v>7405</v>
      </c>
      <c r="B177" s="152" t="s">
        <v>2398</v>
      </c>
      <c r="C177" s="152" t="s">
        <v>2398</v>
      </c>
      <c r="D177" s="152" t="s">
        <v>2398</v>
      </c>
      <c r="E177" s="152" t="s">
        <v>1435</v>
      </c>
      <c r="F177" s="152" t="s">
        <v>2397</v>
      </c>
      <c r="G177" s="152" t="s">
        <v>2705</v>
      </c>
      <c r="H177" s="152" t="s">
        <v>1435</v>
      </c>
      <c r="I177" s="152" t="s">
        <v>2705</v>
      </c>
      <c r="J177" s="152" t="s">
        <v>2705</v>
      </c>
      <c r="K177" s="152" t="s">
        <v>2705</v>
      </c>
      <c r="L177" s="152" t="s">
        <v>1435</v>
      </c>
      <c r="M177" s="152" t="s">
        <v>1435</v>
      </c>
      <c r="N177" s="152" t="s">
        <v>2398</v>
      </c>
      <c r="O177" s="152" t="s">
        <v>2705</v>
      </c>
      <c r="P177" s="152" t="s">
        <v>1435</v>
      </c>
      <c r="Q177" s="152" t="s">
        <v>2705</v>
      </c>
      <c r="R177" s="152" t="s">
        <v>2398</v>
      </c>
      <c r="S177" s="152" t="s">
        <v>2398</v>
      </c>
      <c r="T177" s="152" t="s">
        <v>1435</v>
      </c>
      <c r="U177" s="152" t="s">
        <v>2705</v>
      </c>
      <c r="V177" s="142" cm="1">
        <f t="array" ref="V177">IF(A177&lt;&gt;"",SUM(--(B177:U178 = "X")*$U$3,--(B177:U178 ="A")*$Q$3,--(B177:U178 ="B")*$R$3,--(B177:U178 ="C")*$S$3),"")</f>
        <v>14</v>
      </c>
      <c r="X177" s="437" t="s">
        <v>7485</v>
      </c>
      <c r="Y177" s="437">
        <v>21.5</v>
      </c>
      <c r="Z177" s="436">
        <f>_xlfn.XLOOKUP(answers[[#This Row],[StudentID]],$A$7:$A$1418,$V$7:$V$1418)</f>
        <v>21.5</v>
      </c>
      <c r="AF177" s="142" t="s">
        <v>7405</v>
      </c>
      <c r="AG177" s="142" t="s">
        <v>2398</v>
      </c>
      <c r="AH177" s="142" t="s">
        <v>2398</v>
      </c>
      <c r="AI177" s="142" t="s">
        <v>2398</v>
      </c>
      <c r="AJ177" s="142" t="s">
        <v>1435</v>
      </c>
      <c r="AK177" s="142" t="s">
        <v>2397</v>
      </c>
      <c r="AL177" s="142" t="s">
        <v>2705</v>
      </c>
      <c r="AM177" s="142" t="s">
        <v>1435</v>
      </c>
      <c r="AN177" s="142" t="s">
        <v>2705</v>
      </c>
      <c r="AO177" s="142" t="s">
        <v>2705</v>
      </c>
      <c r="AP177" s="142" t="s">
        <v>2705</v>
      </c>
      <c r="AQ177" s="142" t="s">
        <v>1435</v>
      </c>
      <c r="AR177" s="142" t="s">
        <v>1435</v>
      </c>
      <c r="AS177" s="142" t="s">
        <v>2398</v>
      </c>
      <c r="AT177" s="142" t="s">
        <v>2705</v>
      </c>
      <c r="AU177" s="142" t="s">
        <v>1435</v>
      </c>
      <c r="AV177" s="142" t="s">
        <v>2705</v>
      </c>
      <c r="AW177" s="142" t="s">
        <v>2398</v>
      </c>
      <c r="AX177" s="142" t="s">
        <v>2398</v>
      </c>
      <c r="AY177" s="142" t="s">
        <v>1435</v>
      </c>
      <c r="AZ177" s="142" t="s">
        <v>2705</v>
      </c>
    </row>
    <row r="178" spans="1:52" s="142" customFormat="1" ht="12.75" x14ac:dyDescent="0.2">
      <c r="A178" s="151"/>
      <c r="B178" s="152" t="s">
        <v>2398</v>
      </c>
      <c r="C178" s="152" t="s">
        <v>2705</v>
      </c>
      <c r="D178" s="152" t="s">
        <v>2398</v>
      </c>
      <c r="E178" s="152" t="s">
        <v>2398</v>
      </c>
      <c r="F178" s="152" t="s">
        <v>2705</v>
      </c>
      <c r="G178" s="152" t="s">
        <v>2705</v>
      </c>
      <c r="H178" s="152" t="s">
        <v>2398</v>
      </c>
      <c r="I178" s="152" t="s">
        <v>2705</v>
      </c>
      <c r="J178" s="152" t="s">
        <v>2705</v>
      </c>
      <c r="K178" s="152" t="s">
        <v>2705</v>
      </c>
      <c r="L178" s="152" t="s">
        <v>2398</v>
      </c>
      <c r="M178" s="152" t="s">
        <v>2397</v>
      </c>
      <c r="N178" s="152" t="s">
        <v>2398</v>
      </c>
      <c r="O178" s="152" t="s">
        <v>2705</v>
      </c>
      <c r="P178" s="152" t="s">
        <v>2398</v>
      </c>
      <c r="Q178" s="152" t="s">
        <v>2705</v>
      </c>
      <c r="R178" s="152" t="s">
        <v>2705</v>
      </c>
      <c r="S178" s="152" t="s">
        <v>2705</v>
      </c>
      <c r="T178" s="152" t="s">
        <v>2397</v>
      </c>
      <c r="U178" s="152" t="s">
        <v>2398</v>
      </c>
      <c r="V178" s="142" t="str" cm="1">
        <f t="array" ref="V178">IF(A178&lt;&gt;"",SUM(--(B178:U179 = "X")*$U$3,--(B178:U179 ="A")*$Q$3,--(B178:U179 ="B")*$R$3,--(B178:U179 ="C")*$S$3),"")</f>
        <v/>
      </c>
      <c r="X178" s="437" t="s">
        <v>7486</v>
      </c>
      <c r="Y178" s="437">
        <v>25</v>
      </c>
      <c r="Z178" s="436">
        <f>_xlfn.XLOOKUP(answers[[#This Row],[StudentID]],$A$7:$A$1418,$V$7:$V$1418)</f>
        <v>25</v>
      </c>
      <c r="AG178" s="142" t="s">
        <v>2398</v>
      </c>
      <c r="AH178" s="142" t="s">
        <v>2705</v>
      </c>
      <c r="AI178" s="142" t="s">
        <v>2398</v>
      </c>
      <c r="AJ178" s="142" t="s">
        <v>2398</v>
      </c>
      <c r="AK178" s="142" t="s">
        <v>2705</v>
      </c>
      <c r="AL178" s="142" t="s">
        <v>2705</v>
      </c>
      <c r="AM178" s="142" t="s">
        <v>2398</v>
      </c>
      <c r="AN178" s="142" t="s">
        <v>2705</v>
      </c>
      <c r="AO178" s="142" t="s">
        <v>2705</v>
      </c>
      <c r="AP178" s="142" t="s">
        <v>2705</v>
      </c>
      <c r="AQ178" s="142" t="s">
        <v>2398</v>
      </c>
      <c r="AR178" s="142" t="s">
        <v>2397</v>
      </c>
      <c r="AS178" s="142" t="s">
        <v>2398</v>
      </c>
      <c r="AT178" s="142" t="s">
        <v>2705</v>
      </c>
      <c r="AU178" s="142" t="s">
        <v>2398</v>
      </c>
      <c r="AV178" s="142" t="s">
        <v>2705</v>
      </c>
      <c r="AW178" s="142" t="s">
        <v>2705</v>
      </c>
      <c r="AX178" s="142" t="s">
        <v>2705</v>
      </c>
      <c r="AY178" s="142" t="s">
        <v>2397</v>
      </c>
      <c r="AZ178" s="142" t="s">
        <v>2398</v>
      </c>
    </row>
    <row r="179" spans="1:52" s="142" customFormat="1" ht="12.75" x14ac:dyDescent="0.2">
      <c r="A179" s="151" t="s">
        <v>7406</v>
      </c>
      <c r="B179" s="152" t="s">
        <v>2705</v>
      </c>
      <c r="C179" s="152" t="s">
        <v>2705</v>
      </c>
      <c r="D179" s="152" t="s">
        <v>2705</v>
      </c>
      <c r="E179" s="152" t="s">
        <v>1435</v>
      </c>
      <c r="F179" s="152" t="s">
        <v>2705</v>
      </c>
      <c r="G179" s="152" t="s">
        <v>2705</v>
      </c>
      <c r="H179" s="152" t="s">
        <v>1435</v>
      </c>
      <c r="I179" s="152" t="s">
        <v>2398</v>
      </c>
      <c r="J179" s="152" t="s">
        <v>2398</v>
      </c>
      <c r="K179" s="152" t="s">
        <v>2705</v>
      </c>
      <c r="L179" s="152" t="s">
        <v>2705</v>
      </c>
      <c r="M179" s="152" t="s">
        <v>2705</v>
      </c>
      <c r="N179" s="152" t="s">
        <v>2398</v>
      </c>
      <c r="O179" s="152" t="s">
        <v>2705</v>
      </c>
      <c r="P179" s="152" t="s">
        <v>2705</v>
      </c>
      <c r="Q179" s="152" t="s">
        <v>2705</v>
      </c>
      <c r="R179" s="152" t="s">
        <v>2705</v>
      </c>
      <c r="S179" s="152" t="s">
        <v>2675</v>
      </c>
      <c r="T179" s="152" t="s">
        <v>2705</v>
      </c>
      <c r="U179" s="152" t="s">
        <v>2705</v>
      </c>
      <c r="V179" s="142" cm="1">
        <f t="array" ref="V179">IF(A179&lt;&gt;"",SUM(--(B179:U180 = "X")*$U$3,--(B179:U180 ="A")*$Q$3,--(B179:U180 ="B")*$R$3,--(B179:U180 ="C")*$S$3),"")</f>
        <v>22</v>
      </c>
      <c r="X179" s="437" t="s">
        <v>7487</v>
      </c>
      <c r="Y179" s="437">
        <v>17.5</v>
      </c>
      <c r="Z179" s="436">
        <f>_xlfn.XLOOKUP(answers[[#This Row],[StudentID]],$A$7:$A$1418,$V$7:$V$1418)</f>
        <v>17.5</v>
      </c>
      <c r="AF179" s="142" t="s">
        <v>7406</v>
      </c>
      <c r="AG179" s="142" t="s">
        <v>2705</v>
      </c>
      <c r="AH179" s="142" t="s">
        <v>2705</v>
      </c>
      <c r="AI179" s="142" t="s">
        <v>2705</v>
      </c>
      <c r="AJ179" s="142" t="s">
        <v>1435</v>
      </c>
      <c r="AK179" s="142" t="s">
        <v>2705</v>
      </c>
      <c r="AL179" s="142" t="s">
        <v>2705</v>
      </c>
      <c r="AM179" s="142" t="s">
        <v>1435</v>
      </c>
      <c r="AN179" s="142" t="s">
        <v>2398</v>
      </c>
      <c r="AO179" s="142" t="s">
        <v>2398</v>
      </c>
      <c r="AP179" s="142" t="s">
        <v>2705</v>
      </c>
      <c r="AQ179" s="142" t="s">
        <v>2705</v>
      </c>
      <c r="AR179" s="142" t="s">
        <v>2705</v>
      </c>
      <c r="AS179" s="142" t="s">
        <v>2398</v>
      </c>
      <c r="AT179" s="142" t="s">
        <v>2705</v>
      </c>
      <c r="AU179" s="142" t="s">
        <v>2705</v>
      </c>
      <c r="AV179" s="142" t="s">
        <v>2705</v>
      </c>
      <c r="AW179" s="142" t="s">
        <v>2705</v>
      </c>
      <c r="AX179" s="142" t="s">
        <v>2675</v>
      </c>
      <c r="AY179" s="142" t="s">
        <v>2705</v>
      </c>
      <c r="AZ179" s="142" t="s">
        <v>2705</v>
      </c>
    </row>
    <row r="180" spans="1:52" s="142" customFormat="1" ht="12.75" x14ac:dyDescent="0.2">
      <c r="A180" s="151"/>
      <c r="B180" s="152" t="s">
        <v>2398</v>
      </c>
      <c r="C180" s="152" t="s">
        <v>2398</v>
      </c>
      <c r="D180" s="152" t="s">
        <v>2398</v>
      </c>
      <c r="E180" s="152" t="s">
        <v>2705</v>
      </c>
      <c r="F180" s="152" t="s">
        <v>2705</v>
      </c>
      <c r="G180" s="152" t="s">
        <v>2705</v>
      </c>
      <c r="H180" s="152" t="s">
        <v>2705</v>
      </c>
      <c r="I180" s="152" t="s">
        <v>1435</v>
      </c>
      <c r="J180" s="152" t="s">
        <v>2705</v>
      </c>
      <c r="K180" s="152" t="s">
        <v>2398</v>
      </c>
      <c r="L180" s="152" t="s">
        <v>2705</v>
      </c>
      <c r="M180" s="152" t="s">
        <v>2398</v>
      </c>
      <c r="N180" s="152" t="s">
        <v>2705</v>
      </c>
      <c r="O180" s="152" t="s">
        <v>2398</v>
      </c>
      <c r="P180" s="152" t="s">
        <v>2398</v>
      </c>
      <c r="Q180" s="152" t="s">
        <v>2705</v>
      </c>
      <c r="R180" s="152" t="s">
        <v>2397</v>
      </c>
      <c r="S180" s="152" t="s">
        <v>2705</v>
      </c>
      <c r="T180" s="152" t="s">
        <v>2398</v>
      </c>
      <c r="U180" s="152" t="s">
        <v>2705</v>
      </c>
      <c r="V180" s="142" t="str" cm="1">
        <f t="array" ref="V180">IF(A180&lt;&gt;"",SUM(--(B180:U181 = "X")*$U$3,--(B180:U181 ="A")*$Q$3,--(B180:U181 ="B")*$R$3,--(B180:U181 ="C")*$S$3),"")</f>
        <v/>
      </c>
      <c r="X180" s="437" t="s">
        <v>7488</v>
      </c>
      <c r="Y180" s="437">
        <v>13</v>
      </c>
      <c r="Z180" s="436">
        <f>_xlfn.XLOOKUP(answers[[#This Row],[StudentID]],$A$7:$A$1418,$V$7:$V$1418)</f>
        <v>13</v>
      </c>
      <c r="AG180" s="142" t="s">
        <v>2398</v>
      </c>
      <c r="AH180" s="142" t="s">
        <v>2398</v>
      </c>
      <c r="AI180" s="142" t="s">
        <v>2398</v>
      </c>
      <c r="AJ180" s="142" t="s">
        <v>2705</v>
      </c>
      <c r="AK180" s="142" t="s">
        <v>2705</v>
      </c>
      <c r="AL180" s="142" t="s">
        <v>2705</v>
      </c>
      <c r="AM180" s="142" t="s">
        <v>2705</v>
      </c>
      <c r="AN180" s="142" t="s">
        <v>1435</v>
      </c>
      <c r="AO180" s="142" t="s">
        <v>2705</v>
      </c>
      <c r="AP180" s="142" t="s">
        <v>2398</v>
      </c>
      <c r="AQ180" s="142" t="s">
        <v>2705</v>
      </c>
      <c r="AR180" s="142" t="s">
        <v>2398</v>
      </c>
      <c r="AS180" s="142" t="s">
        <v>2705</v>
      </c>
      <c r="AT180" s="142" t="s">
        <v>2398</v>
      </c>
      <c r="AU180" s="142" t="s">
        <v>2398</v>
      </c>
      <c r="AV180" s="142" t="s">
        <v>2705</v>
      </c>
      <c r="AW180" s="142" t="s">
        <v>2397</v>
      </c>
      <c r="AX180" s="142" t="s">
        <v>2705</v>
      </c>
      <c r="AY180" s="142" t="s">
        <v>2398</v>
      </c>
      <c r="AZ180" s="142" t="s">
        <v>2705</v>
      </c>
    </row>
    <row r="181" spans="1:52" s="142" customFormat="1" ht="12.75" x14ac:dyDescent="0.2">
      <c r="A181" s="151" t="s">
        <v>7407</v>
      </c>
      <c r="B181" s="152" t="s">
        <v>2398</v>
      </c>
      <c r="C181" s="152" t="s">
        <v>2705</v>
      </c>
      <c r="D181" s="152" t="s">
        <v>2398</v>
      </c>
      <c r="E181" s="152" t="s">
        <v>2705</v>
      </c>
      <c r="F181" s="152" t="s">
        <v>2398</v>
      </c>
      <c r="G181" s="152" t="s">
        <v>2398</v>
      </c>
      <c r="H181" s="152" t="s">
        <v>2398</v>
      </c>
      <c r="I181" s="152" t="s">
        <v>2398</v>
      </c>
      <c r="J181" s="152" t="s">
        <v>2705</v>
      </c>
      <c r="K181" s="152" t="s">
        <v>2398</v>
      </c>
      <c r="L181" s="152" t="s">
        <v>2705</v>
      </c>
      <c r="M181" s="152" t="s">
        <v>2398</v>
      </c>
      <c r="N181" s="152" t="s">
        <v>2705</v>
      </c>
      <c r="O181" s="152" t="s">
        <v>2398</v>
      </c>
      <c r="P181" s="152" t="s">
        <v>2675</v>
      </c>
      <c r="Q181" s="152" t="s">
        <v>2398</v>
      </c>
      <c r="R181" s="152" t="s">
        <v>2675</v>
      </c>
      <c r="S181" s="152" t="s">
        <v>2398</v>
      </c>
      <c r="T181" s="152" t="s">
        <v>2398</v>
      </c>
      <c r="U181" s="152" t="s">
        <v>2398</v>
      </c>
      <c r="V181" s="142" cm="1">
        <f t="array" ref="V181">IF(A181&lt;&gt;"",SUM(--(B181:U182 = "X")*$U$3,--(B181:U182 ="A")*$Q$3,--(B181:U182 ="B")*$R$3,--(B181:U182 ="C")*$S$3),"")</f>
        <v>14</v>
      </c>
      <c r="X181" s="437" t="s">
        <v>7489</v>
      </c>
      <c r="Y181" s="437">
        <v>19.5</v>
      </c>
      <c r="Z181" s="436">
        <f>_xlfn.XLOOKUP(answers[[#This Row],[StudentID]],$A$7:$A$1418,$V$7:$V$1418)</f>
        <v>19.5</v>
      </c>
      <c r="AF181" s="142" t="s">
        <v>7407</v>
      </c>
      <c r="AG181" s="142" t="s">
        <v>2398</v>
      </c>
      <c r="AH181" s="142" t="s">
        <v>2705</v>
      </c>
      <c r="AI181" s="142" t="s">
        <v>2398</v>
      </c>
      <c r="AJ181" s="142" t="s">
        <v>2705</v>
      </c>
      <c r="AK181" s="142" t="s">
        <v>2398</v>
      </c>
      <c r="AL181" s="142" t="s">
        <v>2398</v>
      </c>
      <c r="AM181" s="142" t="s">
        <v>2398</v>
      </c>
      <c r="AN181" s="142" t="s">
        <v>2398</v>
      </c>
      <c r="AO181" s="142" t="s">
        <v>2705</v>
      </c>
      <c r="AP181" s="142" t="s">
        <v>2398</v>
      </c>
      <c r="AQ181" s="142" t="s">
        <v>2705</v>
      </c>
      <c r="AR181" s="142" t="s">
        <v>2398</v>
      </c>
      <c r="AS181" s="142" t="s">
        <v>2705</v>
      </c>
      <c r="AT181" s="142" t="s">
        <v>2398</v>
      </c>
      <c r="AU181" s="142" t="s">
        <v>2675</v>
      </c>
      <c r="AV181" s="142" t="s">
        <v>2398</v>
      </c>
      <c r="AW181" s="142" t="s">
        <v>2675</v>
      </c>
      <c r="AX181" s="142" t="s">
        <v>2398</v>
      </c>
      <c r="AY181" s="142" t="s">
        <v>2398</v>
      </c>
      <c r="AZ181" s="142" t="s">
        <v>2398</v>
      </c>
    </row>
    <row r="182" spans="1:52" s="142" customFormat="1" ht="12.75" x14ac:dyDescent="0.2">
      <c r="A182" s="151"/>
      <c r="B182" s="152" t="s">
        <v>1435</v>
      </c>
      <c r="C182" s="152" t="s">
        <v>1435</v>
      </c>
      <c r="D182" s="152" t="s">
        <v>2705</v>
      </c>
      <c r="E182" s="152" t="s">
        <v>2705</v>
      </c>
      <c r="F182" s="152" t="s">
        <v>2705</v>
      </c>
      <c r="G182" s="152" t="s">
        <v>2705</v>
      </c>
      <c r="H182" s="152" t="s">
        <v>2398</v>
      </c>
      <c r="I182" s="152" t="s">
        <v>2398</v>
      </c>
      <c r="J182" s="152" t="s">
        <v>2705</v>
      </c>
      <c r="K182" s="152" t="s">
        <v>2705</v>
      </c>
      <c r="L182" s="152" t="s">
        <v>1435</v>
      </c>
      <c r="M182" s="152" t="s">
        <v>2675</v>
      </c>
      <c r="N182" s="152" t="s">
        <v>2705</v>
      </c>
      <c r="O182" s="152" t="s">
        <v>2705</v>
      </c>
      <c r="P182" s="152" t="s">
        <v>2398</v>
      </c>
      <c r="Q182" s="152" t="s">
        <v>2705</v>
      </c>
      <c r="R182" s="152" t="s">
        <v>2705</v>
      </c>
      <c r="S182" s="152" t="s">
        <v>2705</v>
      </c>
      <c r="T182" s="152" t="s">
        <v>2705</v>
      </c>
      <c r="U182" s="152" t="s">
        <v>2398</v>
      </c>
      <c r="V182" s="142" t="str" cm="1">
        <f t="array" ref="V182">IF(A182&lt;&gt;"",SUM(--(B182:U183 = "X")*$U$3,--(B182:U183 ="A")*$Q$3,--(B182:U183 ="B")*$R$3,--(B182:U183 ="C")*$S$3),"")</f>
        <v/>
      </c>
      <c r="X182" s="437" t="s">
        <v>7490</v>
      </c>
      <c r="Y182" s="437">
        <v>22</v>
      </c>
      <c r="Z182" s="436">
        <f>_xlfn.XLOOKUP(answers[[#This Row],[StudentID]],$A$7:$A$1418,$V$7:$V$1418)</f>
        <v>22</v>
      </c>
      <c r="AG182" s="142" t="s">
        <v>1435</v>
      </c>
      <c r="AH182" s="142" t="s">
        <v>1435</v>
      </c>
      <c r="AI182" s="142" t="s">
        <v>2705</v>
      </c>
      <c r="AJ182" s="142" t="s">
        <v>2705</v>
      </c>
      <c r="AK182" s="142" t="s">
        <v>2705</v>
      </c>
      <c r="AL182" s="142" t="s">
        <v>2705</v>
      </c>
      <c r="AM182" s="142" t="s">
        <v>2398</v>
      </c>
      <c r="AN182" s="142" t="s">
        <v>2398</v>
      </c>
      <c r="AO182" s="142" t="s">
        <v>2705</v>
      </c>
      <c r="AP182" s="142" t="s">
        <v>2705</v>
      </c>
      <c r="AQ182" s="142" t="s">
        <v>1435</v>
      </c>
      <c r="AR182" s="142" t="s">
        <v>2675</v>
      </c>
      <c r="AS182" s="142" t="s">
        <v>2705</v>
      </c>
      <c r="AT182" s="142" t="s">
        <v>2705</v>
      </c>
      <c r="AU182" s="142" t="s">
        <v>2398</v>
      </c>
      <c r="AV182" s="142" t="s">
        <v>2705</v>
      </c>
      <c r="AW182" s="142" t="s">
        <v>2705</v>
      </c>
      <c r="AX182" s="142" t="s">
        <v>2705</v>
      </c>
      <c r="AY182" s="142" t="s">
        <v>2705</v>
      </c>
      <c r="AZ182" s="142" t="s">
        <v>2398</v>
      </c>
    </row>
    <row r="183" spans="1:52" s="142" customFormat="1" ht="12.75" x14ac:dyDescent="0.2">
      <c r="A183" s="151" t="s">
        <v>7408</v>
      </c>
      <c r="B183" s="152" t="s">
        <v>2705</v>
      </c>
      <c r="C183" s="152" t="s">
        <v>2705</v>
      </c>
      <c r="D183" s="152" t="s">
        <v>2398</v>
      </c>
      <c r="E183" s="152" t="s">
        <v>2705</v>
      </c>
      <c r="F183" s="152" t="s">
        <v>2705</v>
      </c>
      <c r="G183" s="152" t="s">
        <v>2705</v>
      </c>
      <c r="H183" s="152" t="s">
        <v>2705</v>
      </c>
      <c r="I183" s="152" t="s">
        <v>2705</v>
      </c>
      <c r="J183" s="152" t="s">
        <v>2705</v>
      </c>
      <c r="K183" s="152" t="s">
        <v>2705</v>
      </c>
      <c r="L183" s="152" t="s">
        <v>2398</v>
      </c>
      <c r="M183" s="152" t="s">
        <v>2398</v>
      </c>
      <c r="N183" s="152" t="s">
        <v>2705</v>
      </c>
      <c r="O183" s="152" t="s">
        <v>2398</v>
      </c>
      <c r="P183" s="152" t="s">
        <v>2398</v>
      </c>
      <c r="Q183" s="152" t="s">
        <v>2398</v>
      </c>
      <c r="R183" s="152" t="s">
        <v>2398</v>
      </c>
      <c r="S183" s="152" t="s">
        <v>2398</v>
      </c>
      <c r="T183" s="152" t="s">
        <v>2675</v>
      </c>
      <c r="U183" s="152" t="s">
        <v>2705</v>
      </c>
      <c r="V183" s="142" cm="1">
        <f t="array" ref="V183">IF(A183&lt;&gt;"",SUM(--(B183:U184 = "X")*$U$3,--(B183:U184 ="A")*$Q$3,--(B183:U184 ="B")*$R$3,--(B183:U184 ="C")*$S$3),"")</f>
        <v>21.5</v>
      </c>
      <c r="X183" s="437" t="s">
        <v>7491</v>
      </c>
      <c r="Y183" s="437">
        <v>25</v>
      </c>
      <c r="Z183" s="436">
        <f>_xlfn.XLOOKUP(answers[[#This Row],[StudentID]],$A$7:$A$1418,$V$7:$V$1418)</f>
        <v>25</v>
      </c>
      <c r="AF183" s="142" t="s">
        <v>7408</v>
      </c>
      <c r="AG183" s="142" t="s">
        <v>2705</v>
      </c>
      <c r="AH183" s="142" t="s">
        <v>2705</v>
      </c>
      <c r="AI183" s="142" t="s">
        <v>2398</v>
      </c>
      <c r="AJ183" s="142" t="s">
        <v>2705</v>
      </c>
      <c r="AK183" s="142" t="s">
        <v>2705</v>
      </c>
      <c r="AL183" s="142" t="s">
        <v>2705</v>
      </c>
      <c r="AM183" s="142" t="s">
        <v>2705</v>
      </c>
      <c r="AN183" s="142" t="s">
        <v>2705</v>
      </c>
      <c r="AO183" s="142" t="s">
        <v>2705</v>
      </c>
      <c r="AP183" s="142" t="s">
        <v>2705</v>
      </c>
      <c r="AQ183" s="142" t="s">
        <v>2398</v>
      </c>
      <c r="AR183" s="142" t="s">
        <v>2398</v>
      </c>
      <c r="AS183" s="142" t="s">
        <v>2705</v>
      </c>
      <c r="AT183" s="142" t="s">
        <v>2398</v>
      </c>
      <c r="AU183" s="142" t="s">
        <v>2398</v>
      </c>
      <c r="AV183" s="142" t="s">
        <v>2398</v>
      </c>
      <c r="AW183" s="142" t="s">
        <v>2398</v>
      </c>
      <c r="AX183" s="142" t="s">
        <v>2398</v>
      </c>
      <c r="AY183" s="142" t="s">
        <v>2675</v>
      </c>
      <c r="AZ183" s="142" t="s">
        <v>2705</v>
      </c>
    </row>
    <row r="184" spans="1:52" s="142" customFormat="1" ht="12.75" x14ac:dyDescent="0.2">
      <c r="A184" s="151"/>
      <c r="B184" s="152" t="s">
        <v>2398</v>
      </c>
      <c r="C184" s="152" t="s">
        <v>2705</v>
      </c>
      <c r="D184" s="152" t="s">
        <v>2705</v>
      </c>
      <c r="E184" s="152" t="s">
        <v>2675</v>
      </c>
      <c r="F184" s="152" t="s">
        <v>2705</v>
      </c>
      <c r="G184" s="152" t="s">
        <v>2705</v>
      </c>
      <c r="H184" s="152" t="s">
        <v>2398</v>
      </c>
      <c r="I184" s="152" t="s">
        <v>2705</v>
      </c>
      <c r="J184" s="152" t="s">
        <v>2705</v>
      </c>
      <c r="K184" s="152" t="s">
        <v>2705</v>
      </c>
      <c r="L184" s="152" t="s">
        <v>2398</v>
      </c>
      <c r="M184" s="152" t="s">
        <v>2705</v>
      </c>
      <c r="N184" s="152" t="s">
        <v>2398</v>
      </c>
      <c r="O184" s="152" t="s">
        <v>2705</v>
      </c>
      <c r="P184" s="152" t="s">
        <v>2705</v>
      </c>
      <c r="Q184" s="152" t="s">
        <v>2705</v>
      </c>
      <c r="R184" s="152" t="s">
        <v>1435</v>
      </c>
      <c r="S184" s="152" t="s">
        <v>2398</v>
      </c>
      <c r="T184" s="152" t="s">
        <v>2398</v>
      </c>
      <c r="U184" s="152" t="s">
        <v>2705</v>
      </c>
      <c r="V184" s="142" t="str" cm="1">
        <f t="array" ref="V184">IF(A184&lt;&gt;"",SUM(--(B184:U185 = "X")*$U$3,--(B184:U185 ="A")*$Q$3,--(B184:U185 ="B")*$R$3,--(B184:U185 ="C")*$S$3),"")</f>
        <v/>
      </c>
      <c r="X184" s="437" t="s">
        <v>7492</v>
      </c>
      <c r="Y184" s="437">
        <v>15.5</v>
      </c>
      <c r="Z184" s="436">
        <f>_xlfn.XLOOKUP(answers[[#This Row],[StudentID]],$A$7:$A$1418,$V$7:$V$1418)</f>
        <v>15.5</v>
      </c>
      <c r="AG184" s="142" t="s">
        <v>2398</v>
      </c>
      <c r="AH184" s="142" t="s">
        <v>2705</v>
      </c>
      <c r="AI184" s="142" t="s">
        <v>2705</v>
      </c>
      <c r="AJ184" s="142" t="s">
        <v>2675</v>
      </c>
      <c r="AK184" s="142" t="s">
        <v>2705</v>
      </c>
      <c r="AL184" s="142" t="s">
        <v>2705</v>
      </c>
      <c r="AM184" s="142" t="s">
        <v>2398</v>
      </c>
      <c r="AN184" s="142" t="s">
        <v>2705</v>
      </c>
      <c r="AO184" s="142" t="s">
        <v>2705</v>
      </c>
      <c r="AP184" s="142" t="s">
        <v>2705</v>
      </c>
      <c r="AQ184" s="142" t="s">
        <v>2398</v>
      </c>
      <c r="AR184" s="142" t="s">
        <v>2705</v>
      </c>
      <c r="AS184" s="142" t="s">
        <v>2398</v>
      </c>
      <c r="AT184" s="142" t="s">
        <v>2705</v>
      </c>
      <c r="AU184" s="142" t="s">
        <v>2705</v>
      </c>
      <c r="AV184" s="142" t="s">
        <v>2705</v>
      </c>
      <c r="AW184" s="142" t="s">
        <v>1435</v>
      </c>
      <c r="AX184" s="142" t="s">
        <v>2398</v>
      </c>
      <c r="AY184" s="142" t="s">
        <v>2398</v>
      </c>
      <c r="AZ184" s="142" t="s">
        <v>2705</v>
      </c>
    </row>
    <row r="185" spans="1:52" s="142" customFormat="1" ht="12.75" x14ac:dyDescent="0.2">
      <c r="A185" s="151" t="s">
        <v>7409</v>
      </c>
      <c r="B185" s="152" t="s">
        <v>2705</v>
      </c>
      <c r="C185" s="152" t="s">
        <v>2705</v>
      </c>
      <c r="D185" s="152" t="s">
        <v>2705</v>
      </c>
      <c r="E185" s="152" t="s">
        <v>2705</v>
      </c>
      <c r="F185" s="152" t="s">
        <v>2705</v>
      </c>
      <c r="G185" s="152" t="s">
        <v>1435</v>
      </c>
      <c r="H185" s="152" t="s">
        <v>2705</v>
      </c>
      <c r="I185" s="152" t="s">
        <v>2705</v>
      </c>
      <c r="J185" s="152" t="s">
        <v>2705</v>
      </c>
      <c r="K185" s="152" t="s">
        <v>2398</v>
      </c>
      <c r="L185" s="152" t="s">
        <v>2705</v>
      </c>
      <c r="M185" s="152" t="s">
        <v>2705</v>
      </c>
      <c r="N185" s="152" t="s">
        <v>2705</v>
      </c>
      <c r="O185" s="152" t="s">
        <v>2398</v>
      </c>
      <c r="P185" s="152" t="s">
        <v>2705</v>
      </c>
      <c r="Q185" s="152" t="s">
        <v>2705</v>
      </c>
      <c r="R185" s="152" t="s">
        <v>2705</v>
      </c>
      <c r="S185" s="152" t="s">
        <v>2705</v>
      </c>
      <c r="T185" s="152" t="s">
        <v>2705</v>
      </c>
      <c r="U185" s="152" t="s">
        <v>2705</v>
      </c>
      <c r="V185" s="142" cm="1">
        <f t="array" ref="V185">IF(A185&lt;&gt;"",SUM(--(B185:U186 = "X")*$U$3,--(B185:U186 ="A")*$Q$3,--(B185:U186 ="B")*$R$3,--(B185:U186 ="C")*$S$3),"")</f>
        <v>21.5</v>
      </c>
      <c r="X185" s="437" t="s">
        <v>7493</v>
      </c>
      <c r="Y185" s="437">
        <v>20.5</v>
      </c>
      <c r="Z185" s="436">
        <f>_xlfn.XLOOKUP(answers[[#This Row],[StudentID]],$A$7:$A$1418,$V$7:$V$1418)</f>
        <v>20.5</v>
      </c>
      <c r="AF185" s="142" t="s">
        <v>7409</v>
      </c>
      <c r="AG185" s="142" t="s">
        <v>2705</v>
      </c>
      <c r="AH185" s="142" t="s">
        <v>2705</v>
      </c>
      <c r="AI185" s="142" t="s">
        <v>2705</v>
      </c>
      <c r="AJ185" s="142" t="s">
        <v>2705</v>
      </c>
      <c r="AK185" s="142" t="s">
        <v>2705</v>
      </c>
      <c r="AL185" s="142" t="s">
        <v>1435</v>
      </c>
      <c r="AM185" s="142" t="s">
        <v>2705</v>
      </c>
      <c r="AN185" s="142" t="s">
        <v>2705</v>
      </c>
      <c r="AO185" s="142" t="s">
        <v>2705</v>
      </c>
      <c r="AP185" s="142" t="s">
        <v>2398</v>
      </c>
      <c r="AQ185" s="142" t="s">
        <v>2705</v>
      </c>
      <c r="AR185" s="142" t="s">
        <v>2705</v>
      </c>
      <c r="AS185" s="142" t="s">
        <v>2705</v>
      </c>
      <c r="AT185" s="142" t="s">
        <v>2398</v>
      </c>
      <c r="AU185" s="142" t="s">
        <v>2705</v>
      </c>
      <c r="AV185" s="142" t="s">
        <v>2705</v>
      </c>
      <c r="AW185" s="142" t="s">
        <v>2705</v>
      </c>
      <c r="AX185" s="142" t="s">
        <v>2705</v>
      </c>
      <c r="AY185" s="142" t="s">
        <v>2705</v>
      </c>
      <c r="AZ185" s="142" t="s">
        <v>2705</v>
      </c>
    </row>
    <row r="186" spans="1:52" s="142" customFormat="1" ht="12.75" x14ac:dyDescent="0.2">
      <c r="A186" s="151"/>
      <c r="B186" s="152" t="s">
        <v>2397</v>
      </c>
      <c r="C186" s="152" t="s">
        <v>2705</v>
      </c>
      <c r="D186" s="152" t="s">
        <v>2705</v>
      </c>
      <c r="E186" s="152" t="s">
        <v>2398</v>
      </c>
      <c r="F186" s="152" t="s">
        <v>2705</v>
      </c>
      <c r="G186" s="152" t="s">
        <v>2398</v>
      </c>
      <c r="H186" s="152" t="s">
        <v>2675</v>
      </c>
      <c r="I186" s="152" t="s">
        <v>2705</v>
      </c>
      <c r="J186" s="152" t="s">
        <v>2675</v>
      </c>
      <c r="K186" s="152" t="s">
        <v>2398</v>
      </c>
      <c r="L186" s="152" t="s">
        <v>2398</v>
      </c>
      <c r="M186" s="152" t="s">
        <v>2398</v>
      </c>
      <c r="N186" s="152" t="s">
        <v>2398</v>
      </c>
      <c r="O186" s="152" t="s">
        <v>2705</v>
      </c>
      <c r="P186" s="152" t="s">
        <v>2398</v>
      </c>
      <c r="Q186" s="152" t="s">
        <v>2398</v>
      </c>
      <c r="R186" s="152" t="s">
        <v>2398</v>
      </c>
      <c r="S186" s="152" t="s">
        <v>2397</v>
      </c>
      <c r="T186" s="152" t="s">
        <v>2398</v>
      </c>
      <c r="U186" s="152" t="s">
        <v>2705</v>
      </c>
      <c r="V186" s="142" t="str" cm="1">
        <f t="array" ref="V186">IF(A186&lt;&gt;"",SUM(--(B186:U187 = "X")*$U$3,--(B186:U187 ="A")*$Q$3,--(B186:U187 ="B")*$R$3,--(B186:U187 ="C")*$S$3),"")</f>
        <v/>
      </c>
      <c r="X186" s="437" t="s">
        <v>7494</v>
      </c>
      <c r="Y186" s="437">
        <v>17</v>
      </c>
      <c r="Z186" s="436">
        <f>_xlfn.XLOOKUP(answers[[#This Row],[StudentID]],$A$7:$A$1418,$V$7:$V$1418)</f>
        <v>17</v>
      </c>
      <c r="AG186" s="142" t="s">
        <v>2397</v>
      </c>
      <c r="AH186" s="142" t="s">
        <v>2705</v>
      </c>
      <c r="AI186" s="142" t="s">
        <v>2705</v>
      </c>
      <c r="AJ186" s="142" t="s">
        <v>2398</v>
      </c>
      <c r="AK186" s="142" t="s">
        <v>2705</v>
      </c>
      <c r="AL186" s="142" t="s">
        <v>2398</v>
      </c>
      <c r="AM186" s="142" t="s">
        <v>2675</v>
      </c>
      <c r="AN186" s="142" t="s">
        <v>2705</v>
      </c>
      <c r="AO186" s="142" t="s">
        <v>2675</v>
      </c>
      <c r="AP186" s="142" t="s">
        <v>2398</v>
      </c>
      <c r="AQ186" s="142" t="s">
        <v>2398</v>
      </c>
      <c r="AR186" s="142" t="s">
        <v>2398</v>
      </c>
      <c r="AS186" s="142" t="s">
        <v>2398</v>
      </c>
      <c r="AT186" s="142" t="s">
        <v>2705</v>
      </c>
      <c r="AU186" s="142" t="s">
        <v>2398</v>
      </c>
      <c r="AV186" s="142" t="s">
        <v>2398</v>
      </c>
      <c r="AW186" s="142" t="s">
        <v>2398</v>
      </c>
      <c r="AX186" s="142" t="s">
        <v>2397</v>
      </c>
      <c r="AY186" s="142" t="s">
        <v>2398</v>
      </c>
      <c r="AZ186" s="142" t="s">
        <v>2705</v>
      </c>
    </row>
    <row r="187" spans="1:52" s="142" customFormat="1" ht="12.75" x14ac:dyDescent="0.2">
      <c r="A187" s="151" t="s">
        <v>7410</v>
      </c>
      <c r="B187" s="152" t="s">
        <v>2705</v>
      </c>
      <c r="C187" s="152" t="s">
        <v>2398</v>
      </c>
      <c r="D187" s="152" t="s">
        <v>1435</v>
      </c>
      <c r="E187" s="152" t="s">
        <v>2705</v>
      </c>
      <c r="F187" s="152" t="s">
        <v>2705</v>
      </c>
      <c r="G187" s="152" t="s">
        <v>2398</v>
      </c>
      <c r="H187" s="152" t="s">
        <v>2705</v>
      </c>
      <c r="I187" s="152" t="s">
        <v>2705</v>
      </c>
      <c r="J187" s="152" t="s">
        <v>2705</v>
      </c>
      <c r="K187" s="152" t="s">
        <v>2398</v>
      </c>
      <c r="L187" s="152" t="s">
        <v>2398</v>
      </c>
      <c r="M187" s="152" t="s">
        <v>2705</v>
      </c>
      <c r="N187" s="152" t="s">
        <v>2675</v>
      </c>
      <c r="O187" s="152" t="s">
        <v>2705</v>
      </c>
      <c r="P187" s="152" t="s">
        <v>2705</v>
      </c>
      <c r="Q187" s="152" t="s">
        <v>2705</v>
      </c>
      <c r="R187" s="152" t="s">
        <v>2705</v>
      </c>
      <c r="S187" s="152" t="s">
        <v>2705</v>
      </c>
      <c r="T187" s="152" t="s">
        <v>2398</v>
      </c>
      <c r="U187" s="152" t="s">
        <v>2705</v>
      </c>
      <c r="V187" s="142" cm="1">
        <f t="array" ref="V187">IF(A187&lt;&gt;"",SUM(--(B187:U188 = "X")*$U$3,--(B187:U188 ="A")*$Q$3,--(B187:U188 ="B")*$R$3,--(B187:U188 ="C")*$S$3),"")</f>
        <v>27.5</v>
      </c>
      <c r="X187" s="437" t="s">
        <v>7495</v>
      </c>
      <c r="Y187" s="437">
        <v>26.5</v>
      </c>
      <c r="Z187" s="436">
        <f>_xlfn.XLOOKUP(answers[[#This Row],[StudentID]],$A$7:$A$1418,$V$7:$V$1418)</f>
        <v>26.5</v>
      </c>
      <c r="AF187" s="142" t="s">
        <v>7410</v>
      </c>
      <c r="AG187" s="142" t="s">
        <v>2705</v>
      </c>
      <c r="AH187" s="142" t="s">
        <v>2398</v>
      </c>
      <c r="AI187" s="142" t="s">
        <v>1435</v>
      </c>
      <c r="AJ187" s="142" t="s">
        <v>2705</v>
      </c>
      <c r="AK187" s="142" t="s">
        <v>2705</v>
      </c>
      <c r="AL187" s="142" t="s">
        <v>2398</v>
      </c>
      <c r="AM187" s="142" t="s">
        <v>2705</v>
      </c>
      <c r="AN187" s="142" t="s">
        <v>2705</v>
      </c>
      <c r="AO187" s="142" t="s">
        <v>2705</v>
      </c>
      <c r="AP187" s="142" t="s">
        <v>2398</v>
      </c>
      <c r="AQ187" s="142" t="s">
        <v>2398</v>
      </c>
      <c r="AR187" s="142" t="s">
        <v>2705</v>
      </c>
      <c r="AS187" s="142" t="s">
        <v>2675</v>
      </c>
      <c r="AT187" s="142" t="s">
        <v>2705</v>
      </c>
      <c r="AU187" s="142" t="s">
        <v>2705</v>
      </c>
      <c r="AV187" s="142" t="s">
        <v>2705</v>
      </c>
      <c r="AW187" s="142" t="s">
        <v>2705</v>
      </c>
      <c r="AX187" s="142" t="s">
        <v>2705</v>
      </c>
      <c r="AY187" s="142" t="s">
        <v>2398</v>
      </c>
      <c r="AZ187" s="142" t="s">
        <v>2705</v>
      </c>
    </row>
    <row r="188" spans="1:52" s="142" customFormat="1" ht="12.75" x14ac:dyDescent="0.2">
      <c r="A188" s="151"/>
      <c r="B188" s="152" t="s">
        <v>2398</v>
      </c>
      <c r="C188" s="152" t="s">
        <v>2705</v>
      </c>
      <c r="D188" s="152" t="s">
        <v>2398</v>
      </c>
      <c r="E188" s="152" t="s">
        <v>2398</v>
      </c>
      <c r="F188" s="152" t="s">
        <v>2705</v>
      </c>
      <c r="G188" s="152" t="s">
        <v>2705</v>
      </c>
      <c r="H188" s="152" t="s">
        <v>2705</v>
      </c>
      <c r="I188" s="152" t="s">
        <v>2705</v>
      </c>
      <c r="J188" s="152" t="s">
        <v>2705</v>
      </c>
      <c r="K188" s="152" t="s">
        <v>2705</v>
      </c>
      <c r="L188" s="152" t="s">
        <v>2705</v>
      </c>
      <c r="M188" s="152" t="s">
        <v>2705</v>
      </c>
      <c r="N188" s="152" t="s">
        <v>2705</v>
      </c>
      <c r="O188" s="152" t="s">
        <v>2705</v>
      </c>
      <c r="P188" s="152" t="s">
        <v>2705</v>
      </c>
      <c r="Q188" s="152" t="s">
        <v>1435</v>
      </c>
      <c r="R188" s="152" t="s">
        <v>2705</v>
      </c>
      <c r="S188" s="152" t="s">
        <v>2705</v>
      </c>
      <c r="T188" s="152" t="s">
        <v>2705</v>
      </c>
      <c r="U188" s="152" t="s">
        <v>2705</v>
      </c>
      <c r="V188" s="142" t="str" cm="1">
        <f t="array" ref="V188">IF(A188&lt;&gt;"",SUM(--(B188:U189 = "X")*$U$3,--(B188:U189 ="A")*$Q$3,--(B188:U189 ="B")*$R$3,--(B188:U189 ="C")*$S$3),"")</f>
        <v/>
      </c>
      <c r="X188" s="437" t="s">
        <v>7496</v>
      </c>
      <c r="Y188" s="437">
        <v>23.5</v>
      </c>
      <c r="Z188" s="436">
        <f>_xlfn.XLOOKUP(answers[[#This Row],[StudentID]],$A$7:$A$1418,$V$7:$V$1418)</f>
        <v>23.5</v>
      </c>
      <c r="AG188" s="142" t="s">
        <v>2398</v>
      </c>
      <c r="AH188" s="142" t="s">
        <v>2705</v>
      </c>
      <c r="AI188" s="142" t="s">
        <v>2398</v>
      </c>
      <c r="AJ188" s="142" t="s">
        <v>2398</v>
      </c>
      <c r="AK188" s="142" t="s">
        <v>2705</v>
      </c>
      <c r="AL188" s="142" t="s">
        <v>2705</v>
      </c>
      <c r="AM188" s="142" t="s">
        <v>2705</v>
      </c>
      <c r="AN188" s="142" t="s">
        <v>2705</v>
      </c>
      <c r="AO188" s="142" t="s">
        <v>2705</v>
      </c>
      <c r="AP188" s="142" t="s">
        <v>2705</v>
      </c>
      <c r="AQ188" s="142" t="s">
        <v>2705</v>
      </c>
      <c r="AR188" s="142" t="s">
        <v>2705</v>
      </c>
      <c r="AS188" s="142" t="s">
        <v>2705</v>
      </c>
      <c r="AT188" s="142" t="s">
        <v>2705</v>
      </c>
      <c r="AU188" s="142" t="s">
        <v>2705</v>
      </c>
      <c r="AV188" s="142" t="s">
        <v>1435</v>
      </c>
      <c r="AW188" s="142" t="s">
        <v>2705</v>
      </c>
      <c r="AX188" s="142" t="s">
        <v>2705</v>
      </c>
      <c r="AY188" s="142" t="s">
        <v>2705</v>
      </c>
      <c r="AZ188" s="142" t="s">
        <v>2705</v>
      </c>
    </row>
    <row r="189" spans="1:52" s="142" customFormat="1" ht="12.75" x14ac:dyDescent="0.2">
      <c r="A189" s="151" t="s">
        <v>7411</v>
      </c>
      <c r="B189" s="152" t="s">
        <v>2705</v>
      </c>
      <c r="C189" s="152" t="s">
        <v>2705</v>
      </c>
      <c r="D189" s="152" t="s">
        <v>2705</v>
      </c>
      <c r="E189" s="152" t="s">
        <v>2705</v>
      </c>
      <c r="F189" s="152" t="s">
        <v>2398</v>
      </c>
      <c r="G189" s="152" t="s">
        <v>2705</v>
      </c>
      <c r="H189" s="152" t="s">
        <v>2398</v>
      </c>
      <c r="I189" s="152" t="s">
        <v>2398</v>
      </c>
      <c r="J189" s="152" t="s">
        <v>2705</v>
      </c>
      <c r="K189" s="152" t="s">
        <v>2705</v>
      </c>
      <c r="L189" s="152" t="s">
        <v>2705</v>
      </c>
      <c r="M189" s="152" t="s">
        <v>2398</v>
      </c>
      <c r="N189" s="152" t="s">
        <v>2705</v>
      </c>
      <c r="O189" s="152" t="s">
        <v>2705</v>
      </c>
      <c r="P189" s="152" t="s">
        <v>2675</v>
      </c>
      <c r="Q189" s="152" t="s">
        <v>2675</v>
      </c>
      <c r="R189" s="152" t="s">
        <v>2705</v>
      </c>
      <c r="S189" s="152" t="s">
        <v>2398</v>
      </c>
      <c r="T189" s="152" t="s">
        <v>2705</v>
      </c>
      <c r="U189" s="152" t="s">
        <v>2398</v>
      </c>
      <c r="V189" s="142" cm="1">
        <f t="array" ref="V189">IF(A189&lt;&gt;"",SUM(--(B189:U190 = "X")*$U$3,--(B189:U190 ="A")*$Q$3,--(B189:U190 ="B")*$R$3,--(B189:U190 ="C")*$S$3),"")</f>
        <v>19.5</v>
      </c>
      <c r="X189" s="437" t="s">
        <v>7497</v>
      </c>
      <c r="Y189" s="437">
        <v>20.5</v>
      </c>
      <c r="Z189" s="436">
        <f>_xlfn.XLOOKUP(answers[[#This Row],[StudentID]],$A$7:$A$1418,$V$7:$V$1418)</f>
        <v>20.5</v>
      </c>
      <c r="AF189" s="142" t="s">
        <v>7411</v>
      </c>
      <c r="AG189" s="142" t="s">
        <v>2705</v>
      </c>
      <c r="AH189" s="142" t="s">
        <v>2705</v>
      </c>
      <c r="AI189" s="142" t="s">
        <v>2705</v>
      </c>
      <c r="AJ189" s="142" t="s">
        <v>2705</v>
      </c>
      <c r="AK189" s="142" t="s">
        <v>2398</v>
      </c>
      <c r="AL189" s="142" t="s">
        <v>2705</v>
      </c>
      <c r="AM189" s="142" t="s">
        <v>2398</v>
      </c>
      <c r="AN189" s="142" t="s">
        <v>2398</v>
      </c>
      <c r="AO189" s="142" t="s">
        <v>2705</v>
      </c>
      <c r="AP189" s="142" t="s">
        <v>2705</v>
      </c>
      <c r="AQ189" s="142" t="s">
        <v>2705</v>
      </c>
      <c r="AR189" s="142" t="s">
        <v>2398</v>
      </c>
      <c r="AS189" s="142" t="s">
        <v>2705</v>
      </c>
      <c r="AT189" s="142" t="s">
        <v>2705</v>
      </c>
      <c r="AU189" s="142" t="s">
        <v>2675</v>
      </c>
      <c r="AV189" s="142" t="s">
        <v>2675</v>
      </c>
      <c r="AW189" s="142" t="s">
        <v>2705</v>
      </c>
      <c r="AX189" s="142" t="s">
        <v>2398</v>
      </c>
      <c r="AY189" s="142" t="s">
        <v>2705</v>
      </c>
      <c r="AZ189" s="142" t="s">
        <v>2398</v>
      </c>
    </row>
    <row r="190" spans="1:52" s="142" customFormat="1" ht="12.75" x14ac:dyDescent="0.2">
      <c r="A190" s="151"/>
      <c r="B190" s="152" t="s">
        <v>2705</v>
      </c>
      <c r="C190" s="152" t="s">
        <v>2675</v>
      </c>
      <c r="D190" s="152" t="s">
        <v>2705</v>
      </c>
      <c r="E190" s="152" t="s">
        <v>2705</v>
      </c>
      <c r="F190" s="152" t="s">
        <v>2675</v>
      </c>
      <c r="G190" s="152" t="s">
        <v>2398</v>
      </c>
      <c r="H190" s="152" t="s">
        <v>2705</v>
      </c>
      <c r="I190" s="152" t="s">
        <v>2705</v>
      </c>
      <c r="J190" s="152" t="s">
        <v>2705</v>
      </c>
      <c r="K190" s="152" t="s">
        <v>1435</v>
      </c>
      <c r="L190" s="152" t="s">
        <v>2705</v>
      </c>
      <c r="M190" s="152" t="s">
        <v>2705</v>
      </c>
      <c r="N190" s="152" t="s">
        <v>2398</v>
      </c>
      <c r="O190" s="152" t="s">
        <v>2705</v>
      </c>
      <c r="P190" s="152" t="s">
        <v>2398</v>
      </c>
      <c r="Q190" s="152" t="s">
        <v>2705</v>
      </c>
      <c r="R190" s="152" t="s">
        <v>2398</v>
      </c>
      <c r="S190" s="152" t="s">
        <v>2398</v>
      </c>
      <c r="T190" s="152" t="s">
        <v>2397</v>
      </c>
      <c r="U190" s="152" t="s">
        <v>2398</v>
      </c>
      <c r="V190" s="142" t="str" cm="1">
        <f t="array" ref="V190">IF(A190&lt;&gt;"",SUM(--(B190:U191 = "X")*$U$3,--(B190:U191 ="A")*$Q$3,--(B190:U191 ="B")*$R$3,--(B190:U191 ="C")*$S$3),"")</f>
        <v/>
      </c>
      <c r="X190" s="437" t="s">
        <v>7498</v>
      </c>
      <c r="Y190" s="437">
        <v>25</v>
      </c>
      <c r="Z190" s="436">
        <f>_xlfn.XLOOKUP(answers[[#This Row],[StudentID]],$A$7:$A$1418,$V$7:$V$1418)</f>
        <v>25</v>
      </c>
      <c r="AG190" s="142" t="s">
        <v>2705</v>
      </c>
      <c r="AH190" s="142" t="s">
        <v>2675</v>
      </c>
      <c r="AI190" s="142" t="s">
        <v>2705</v>
      </c>
      <c r="AJ190" s="142" t="s">
        <v>2705</v>
      </c>
      <c r="AK190" s="142" t="s">
        <v>2675</v>
      </c>
      <c r="AL190" s="142" t="s">
        <v>2398</v>
      </c>
      <c r="AM190" s="142" t="s">
        <v>2705</v>
      </c>
      <c r="AN190" s="142" t="s">
        <v>2705</v>
      </c>
      <c r="AO190" s="142" t="s">
        <v>2705</v>
      </c>
      <c r="AP190" s="142" t="s">
        <v>1435</v>
      </c>
      <c r="AQ190" s="142" t="s">
        <v>2705</v>
      </c>
      <c r="AR190" s="142" t="s">
        <v>2705</v>
      </c>
      <c r="AS190" s="142" t="s">
        <v>2398</v>
      </c>
      <c r="AT190" s="142" t="s">
        <v>2705</v>
      </c>
      <c r="AU190" s="142" t="s">
        <v>2398</v>
      </c>
      <c r="AV190" s="142" t="s">
        <v>2705</v>
      </c>
      <c r="AW190" s="142" t="s">
        <v>2398</v>
      </c>
      <c r="AX190" s="142" t="s">
        <v>2398</v>
      </c>
      <c r="AY190" s="142" t="s">
        <v>2397</v>
      </c>
      <c r="AZ190" s="142" t="s">
        <v>2398</v>
      </c>
    </row>
    <row r="191" spans="1:52" s="142" customFormat="1" ht="12.75" x14ac:dyDescent="0.2">
      <c r="A191" s="151" t="s">
        <v>7412</v>
      </c>
      <c r="B191" s="152" t="s">
        <v>1435</v>
      </c>
      <c r="C191" s="152" t="s">
        <v>2705</v>
      </c>
      <c r="D191" s="152" t="s">
        <v>2705</v>
      </c>
      <c r="E191" s="152" t="s">
        <v>2398</v>
      </c>
      <c r="F191" s="152" t="s">
        <v>2705</v>
      </c>
      <c r="G191" s="152" t="s">
        <v>2398</v>
      </c>
      <c r="H191" s="152" t="s">
        <v>2675</v>
      </c>
      <c r="I191" s="152" t="s">
        <v>2398</v>
      </c>
      <c r="J191" s="152" t="s">
        <v>2398</v>
      </c>
      <c r="K191" s="152" t="s">
        <v>2705</v>
      </c>
      <c r="L191" s="152" t="s">
        <v>2675</v>
      </c>
      <c r="M191" s="152" t="s">
        <v>2705</v>
      </c>
      <c r="N191" s="152" t="s">
        <v>2705</v>
      </c>
      <c r="O191" s="152" t="s">
        <v>2705</v>
      </c>
      <c r="P191" s="152" t="s">
        <v>2397</v>
      </c>
      <c r="Q191" s="152" t="s">
        <v>2675</v>
      </c>
      <c r="R191" s="152" t="s">
        <v>2705</v>
      </c>
      <c r="S191" s="152" t="s">
        <v>2705</v>
      </c>
      <c r="T191" s="152" t="s">
        <v>2705</v>
      </c>
      <c r="U191" s="152" t="s">
        <v>2705</v>
      </c>
      <c r="V191" s="142" cm="1">
        <f t="array" ref="V191">IF(A191&lt;&gt;"",SUM(--(B191:U192 = "X")*$U$3,--(B191:U192 ="A")*$Q$3,--(B191:U192 ="B")*$R$3,--(B191:U192 ="C")*$S$3),"")</f>
        <v>18.5</v>
      </c>
      <c r="X191" s="437" t="s">
        <v>7499</v>
      </c>
      <c r="Y191" s="437">
        <v>23.5</v>
      </c>
      <c r="Z191" s="436">
        <f>_xlfn.XLOOKUP(answers[[#This Row],[StudentID]],$A$7:$A$1418,$V$7:$V$1418)</f>
        <v>23.5</v>
      </c>
      <c r="AF191" s="142" t="s">
        <v>7412</v>
      </c>
      <c r="AG191" s="142" t="s">
        <v>1435</v>
      </c>
      <c r="AH191" s="142" t="s">
        <v>2705</v>
      </c>
      <c r="AI191" s="142" t="s">
        <v>2705</v>
      </c>
      <c r="AJ191" s="142" t="s">
        <v>2398</v>
      </c>
      <c r="AK191" s="142" t="s">
        <v>2705</v>
      </c>
      <c r="AL191" s="142" t="s">
        <v>2398</v>
      </c>
      <c r="AM191" s="142" t="s">
        <v>2675</v>
      </c>
      <c r="AN191" s="142" t="s">
        <v>2398</v>
      </c>
      <c r="AO191" s="142" t="s">
        <v>2398</v>
      </c>
      <c r="AP191" s="142" t="s">
        <v>2705</v>
      </c>
      <c r="AQ191" s="142" t="s">
        <v>2675</v>
      </c>
      <c r="AR191" s="142" t="s">
        <v>2705</v>
      </c>
      <c r="AS191" s="142" t="s">
        <v>2705</v>
      </c>
      <c r="AT191" s="142" t="s">
        <v>2705</v>
      </c>
      <c r="AU191" s="142" t="s">
        <v>2397</v>
      </c>
      <c r="AV191" s="142" t="s">
        <v>2675</v>
      </c>
      <c r="AW191" s="142" t="s">
        <v>2705</v>
      </c>
      <c r="AX191" s="142" t="s">
        <v>2705</v>
      </c>
      <c r="AY191" s="142" t="s">
        <v>2705</v>
      </c>
      <c r="AZ191" s="142" t="s">
        <v>2705</v>
      </c>
    </row>
    <row r="192" spans="1:52" s="142" customFormat="1" ht="12.75" x14ac:dyDescent="0.2">
      <c r="A192" s="151"/>
      <c r="B192" s="152" t="s">
        <v>2397</v>
      </c>
      <c r="C192" s="152" t="s">
        <v>2705</v>
      </c>
      <c r="D192" s="152" t="s">
        <v>1435</v>
      </c>
      <c r="E192" s="152" t="s">
        <v>2675</v>
      </c>
      <c r="F192" s="152" t="s">
        <v>2675</v>
      </c>
      <c r="G192" s="152" t="s">
        <v>2397</v>
      </c>
      <c r="H192" s="152" t="s">
        <v>2705</v>
      </c>
      <c r="I192" s="152" t="s">
        <v>2705</v>
      </c>
      <c r="J192" s="152" t="s">
        <v>2705</v>
      </c>
      <c r="K192" s="152" t="s">
        <v>2705</v>
      </c>
      <c r="L192" s="152" t="s">
        <v>2398</v>
      </c>
      <c r="M192" s="152" t="s">
        <v>2705</v>
      </c>
      <c r="N192" s="152" t="s">
        <v>2705</v>
      </c>
      <c r="O192" s="152" t="s">
        <v>2705</v>
      </c>
      <c r="P192" s="152" t="s">
        <v>2675</v>
      </c>
      <c r="Q192" s="152" t="s">
        <v>1435</v>
      </c>
      <c r="R192" s="152" t="s">
        <v>2705</v>
      </c>
      <c r="S192" s="152" t="s">
        <v>2705</v>
      </c>
      <c r="T192" s="152" t="s">
        <v>2705</v>
      </c>
      <c r="U192" s="152" t="s">
        <v>2705</v>
      </c>
      <c r="V192" s="142" t="str" cm="1">
        <f t="array" ref="V192">IF(A192&lt;&gt;"",SUM(--(B192:U193 = "X")*$U$3,--(B192:U193 ="A")*$Q$3,--(B192:U193 ="B")*$R$3,--(B192:U193 ="C")*$S$3),"")</f>
        <v/>
      </c>
      <c r="X192" s="437" t="s">
        <v>7500</v>
      </c>
      <c r="Y192" s="437">
        <v>16.5</v>
      </c>
      <c r="Z192" s="436">
        <f>_xlfn.XLOOKUP(answers[[#This Row],[StudentID]],$A$7:$A$1418,$V$7:$V$1418)</f>
        <v>16.5</v>
      </c>
      <c r="AG192" s="142" t="s">
        <v>2397</v>
      </c>
      <c r="AH192" s="142" t="s">
        <v>2705</v>
      </c>
      <c r="AI192" s="142" t="s">
        <v>1435</v>
      </c>
      <c r="AJ192" s="142" t="s">
        <v>2675</v>
      </c>
      <c r="AK192" s="142" t="s">
        <v>2675</v>
      </c>
      <c r="AL192" s="142" t="s">
        <v>2397</v>
      </c>
      <c r="AM192" s="142" t="s">
        <v>2705</v>
      </c>
      <c r="AN192" s="142" t="s">
        <v>2705</v>
      </c>
      <c r="AO192" s="142" t="s">
        <v>2705</v>
      </c>
      <c r="AP192" s="142" t="s">
        <v>2705</v>
      </c>
      <c r="AQ192" s="142" t="s">
        <v>2398</v>
      </c>
      <c r="AR192" s="142" t="s">
        <v>2705</v>
      </c>
      <c r="AS192" s="142" t="s">
        <v>2705</v>
      </c>
      <c r="AT192" s="142" t="s">
        <v>2705</v>
      </c>
      <c r="AU192" s="142" t="s">
        <v>2675</v>
      </c>
      <c r="AV192" s="142" t="s">
        <v>1435</v>
      </c>
      <c r="AW192" s="142" t="s">
        <v>2705</v>
      </c>
      <c r="AX192" s="142" t="s">
        <v>2705</v>
      </c>
      <c r="AY192" s="142" t="s">
        <v>2705</v>
      </c>
      <c r="AZ192" s="142" t="s">
        <v>2705</v>
      </c>
    </row>
    <row r="193" spans="1:52" s="142" customFormat="1" ht="12.75" x14ac:dyDescent="0.2">
      <c r="A193" s="151" t="s">
        <v>7413</v>
      </c>
      <c r="B193" s="152" t="s">
        <v>2705</v>
      </c>
      <c r="C193" s="152" t="s">
        <v>1435</v>
      </c>
      <c r="D193" s="152" t="s">
        <v>2675</v>
      </c>
      <c r="E193" s="152" t="s">
        <v>2398</v>
      </c>
      <c r="F193" s="152" t="s">
        <v>1435</v>
      </c>
      <c r="G193" s="152" t="s">
        <v>2705</v>
      </c>
      <c r="H193" s="152" t="s">
        <v>2705</v>
      </c>
      <c r="I193" s="152" t="s">
        <v>2675</v>
      </c>
      <c r="J193" s="152" t="s">
        <v>2398</v>
      </c>
      <c r="K193" s="152" t="s">
        <v>2705</v>
      </c>
      <c r="L193" s="152" t="s">
        <v>2398</v>
      </c>
      <c r="M193" s="152" t="s">
        <v>1435</v>
      </c>
      <c r="N193" s="152" t="s">
        <v>2705</v>
      </c>
      <c r="O193" s="152" t="s">
        <v>2398</v>
      </c>
      <c r="P193" s="152" t="s">
        <v>2675</v>
      </c>
      <c r="Q193" s="152" t="s">
        <v>1435</v>
      </c>
      <c r="R193" s="152" t="s">
        <v>2705</v>
      </c>
      <c r="S193" s="152" t="s">
        <v>2675</v>
      </c>
      <c r="T193" s="152" t="s">
        <v>2705</v>
      </c>
      <c r="U193" s="152" t="s">
        <v>2705</v>
      </c>
      <c r="V193" s="142" cm="1">
        <f t="array" ref="V193">IF(A193&lt;&gt;"",SUM(--(B193:U194 = "X")*$U$3,--(B193:U194 ="A")*$Q$3,--(B193:U194 ="B")*$R$3,--(B193:U194 ="C")*$S$3),"")</f>
        <v>11</v>
      </c>
      <c r="X193" s="437" t="s">
        <v>7501</v>
      </c>
      <c r="Y193" s="437">
        <v>18.5</v>
      </c>
      <c r="Z193" s="436">
        <f>_xlfn.XLOOKUP(answers[[#This Row],[StudentID]],$A$7:$A$1418,$V$7:$V$1418)</f>
        <v>18.5</v>
      </c>
      <c r="AF193" s="142" t="s">
        <v>7413</v>
      </c>
      <c r="AG193" s="142" t="s">
        <v>2705</v>
      </c>
      <c r="AH193" s="142" t="s">
        <v>1435</v>
      </c>
      <c r="AI193" s="142" t="s">
        <v>2675</v>
      </c>
      <c r="AJ193" s="142" t="s">
        <v>2398</v>
      </c>
      <c r="AK193" s="142" t="s">
        <v>1435</v>
      </c>
      <c r="AL193" s="142" t="s">
        <v>2705</v>
      </c>
      <c r="AM193" s="142" t="s">
        <v>2705</v>
      </c>
      <c r="AN193" s="142" t="s">
        <v>2675</v>
      </c>
      <c r="AO193" s="142" t="s">
        <v>2398</v>
      </c>
      <c r="AP193" s="142" t="s">
        <v>2705</v>
      </c>
      <c r="AQ193" s="142" t="s">
        <v>2398</v>
      </c>
      <c r="AR193" s="142" t="s">
        <v>1435</v>
      </c>
      <c r="AS193" s="142" t="s">
        <v>2705</v>
      </c>
      <c r="AT193" s="142" t="s">
        <v>2398</v>
      </c>
      <c r="AU193" s="142" t="s">
        <v>2675</v>
      </c>
      <c r="AV193" s="142" t="s">
        <v>1435</v>
      </c>
      <c r="AW193" s="142" t="s">
        <v>2705</v>
      </c>
      <c r="AX193" s="142" t="s">
        <v>2675</v>
      </c>
      <c r="AY193" s="142" t="s">
        <v>2705</v>
      </c>
      <c r="AZ193" s="142" t="s">
        <v>2705</v>
      </c>
    </row>
    <row r="194" spans="1:52" s="142" customFormat="1" ht="12.75" x14ac:dyDescent="0.2">
      <c r="A194" s="151"/>
      <c r="B194" s="152" t="s">
        <v>2398</v>
      </c>
      <c r="C194" s="152" t="s">
        <v>1435</v>
      </c>
      <c r="D194" s="152" t="s">
        <v>2705</v>
      </c>
      <c r="E194" s="152" t="s">
        <v>2398</v>
      </c>
      <c r="F194" s="152" t="s">
        <v>2705</v>
      </c>
      <c r="G194" s="152" t="s">
        <v>2675</v>
      </c>
      <c r="H194" s="152" t="s">
        <v>2398</v>
      </c>
      <c r="I194" s="152" t="s">
        <v>2705</v>
      </c>
      <c r="J194" s="152" t="s">
        <v>2398</v>
      </c>
      <c r="K194" s="152" t="s">
        <v>2398</v>
      </c>
      <c r="L194" s="152" t="s">
        <v>2705</v>
      </c>
      <c r="M194" s="152" t="s">
        <v>2398</v>
      </c>
      <c r="N194" s="152" t="s">
        <v>2398</v>
      </c>
      <c r="O194" s="152" t="s">
        <v>2705</v>
      </c>
      <c r="P194" s="152" t="s">
        <v>2398</v>
      </c>
      <c r="Q194" s="152" t="s">
        <v>2705</v>
      </c>
      <c r="R194" s="152" t="s">
        <v>2398</v>
      </c>
      <c r="S194" s="152" t="s">
        <v>2705</v>
      </c>
      <c r="T194" s="152" t="s">
        <v>2705</v>
      </c>
      <c r="U194" s="152" t="s">
        <v>2398</v>
      </c>
      <c r="V194" s="142" t="str" cm="1">
        <f t="array" ref="V194">IF(A194&lt;&gt;"",SUM(--(B194:U195 = "X")*$U$3,--(B194:U195 ="A")*$Q$3,--(B194:U195 ="B")*$R$3,--(B194:U195 ="C")*$S$3),"")</f>
        <v/>
      </c>
      <c r="X194" s="437" t="s">
        <v>7502</v>
      </c>
      <c r="Y194" s="437">
        <v>16</v>
      </c>
      <c r="Z194" s="436">
        <f>_xlfn.XLOOKUP(answers[[#This Row],[StudentID]],$A$7:$A$1418,$V$7:$V$1418)</f>
        <v>16</v>
      </c>
      <c r="AG194" s="142" t="s">
        <v>2398</v>
      </c>
      <c r="AH194" s="142" t="s">
        <v>1435</v>
      </c>
      <c r="AI194" s="142" t="s">
        <v>2705</v>
      </c>
      <c r="AJ194" s="142" t="s">
        <v>2398</v>
      </c>
      <c r="AK194" s="142" t="s">
        <v>2705</v>
      </c>
      <c r="AL194" s="142" t="s">
        <v>2675</v>
      </c>
      <c r="AM194" s="142" t="s">
        <v>2398</v>
      </c>
      <c r="AN194" s="142" t="s">
        <v>2705</v>
      </c>
      <c r="AO194" s="142" t="s">
        <v>2398</v>
      </c>
      <c r="AP194" s="142" t="s">
        <v>2398</v>
      </c>
      <c r="AQ194" s="142" t="s">
        <v>2705</v>
      </c>
      <c r="AR194" s="142" t="s">
        <v>2398</v>
      </c>
      <c r="AS194" s="142" t="s">
        <v>2398</v>
      </c>
      <c r="AT194" s="142" t="s">
        <v>2705</v>
      </c>
      <c r="AU194" s="142" t="s">
        <v>2398</v>
      </c>
      <c r="AV194" s="142" t="s">
        <v>2705</v>
      </c>
      <c r="AW194" s="142" t="s">
        <v>2398</v>
      </c>
      <c r="AX194" s="142" t="s">
        <v>2705</v>
      </c>
      <c r="AY194" s="142" t="s">
        <v>2705</v>
      </c>
      <c r="AZ194" s="142" t="s">
        <v>2398</v>
      </c>
    </row>
    <row r="195" spans="1:52" s="142" customFormat="1" ht="12.75" x14ac:dyDescent="0.2">
      <c r="A195" s="151" t="s">
        <v>7414</v>
      </c>
      <c r="B195" s="152" t="s">
        <v>2705</v>
      </c>
      <c r="C195" s="152" t="s">
        <v>2398</v>
      </c>
      <c r="D195" s="152" t="s">
        <v>2705</v>
      </c>
      <c r="E195" s="152" t="s">
        <v>2398</v>
      </c>
      <c r="F195" s="152" t="s">
        <v>2705</v>
      </c>
      <c r="G195" s="152" t="s">
        <v>2705</v>
      </c>
      <c r="H195" s="152" t="s">
        <v>2705</v>
      </c>
      <c r="I195" s="152" t="s">
        <v>2398</v>
      </c>
      <c r="J195" s="152" t="s">
        <v>2705</v>
      </c>
      <c r="K195" s="152" t="s">
        <v>2398</v>
      </c>
      <c r="L195" s="152" t="s">
        <v>2705</v>
      </c>
      <c r="M195" s="152" t="s">
        <v>2705</v>
      </c>
      <c r="N195" s="152" t="s">
        <v>2705</v>
      </c>
      <c r="O195" s="152" t="s">
        <v>2398</v>
      </c>
      <c r="P195" s="152" t="s">
        <v>2675</v>
      </c>
      <c r="Q195" s="152" t="s">
        <v>1435</v>
      </c>
      <c r="R195" s="152" t="s">
        <v>2398</v>
      </c>
      <c r="S195" s="152" t="s">
        <v>2398</v>
      </c>
      <c r="T195" s="152" t="s">
        <v>2705</v>
      </c>
      <c r="U195" s="152" t="s">
        <v>2398</v>
      </c>
      <c r="V195" s="142" cm="1">
        <f t="array" ref="V195">IF(A195&lt;&gt;"",SUM(--(B195:U196 = "X")*$U$3,--(B195:U196 ="A")*$Q$3,--(B195:U196 ="B")*$R$3,--(B195:U196 ="C")*$S$3),"")</f>
        <v>16</v>
      </c>
      <c r="X195" s="437" t="s">
        <v>7503</v>
      </c>
      <c r="Y195" s="437">
        <v>20</v>
      </c>
      <c r="Z195" s="436">
        <f>_xlfn.XLOOKUP(answers[[#This Row],[StudentID]],$A$7:$A$1418,$V$7:$V$1418)</f>
        <v>20</v>
      </c>
      <c r="AF195" s="142" t="s">
        <v>7414</v>
      </c>
      <c r="AG195" s="142" t="s">
        <v>2705</v>
      </c>
      <c r="AH195" s="142" t="s">
        <v>2398</v>
      </c>
      <c r="AI195" s="142" t="s">
        <v>2705</v>
      </c>
      <c r="AJ195" s="142" t="s">
        <v>2398</v>
      </c>
      <c r="AK195" s="142" t="s">
        <v>2705</v>
      </c>
      <c r="AL195" s="142" t="s">
        <v>2705</v>
      </c>
      <c r="AM195" s="142" t="s">
        <v>2705</v>
      </c>
      <c r="AN195" s="142" t="s">
        <v>2398</v>
      </c>
      <c r="AO195" s="142" t="s">
        <v>2705</v>
      </c>
      <c r="AP195" s="142" t="s">
        <v>2398</v>
      </c>
      <c r="AQ195" s="142" t="s">
        <v>2705</v>
      </c>
      <c r="AR195" s="142" t="s">
        <v>2705</v>
      </c>
      <c r="AS195" s="142" t="s">
        <v>2705</v>
      </c>
      <c r="AT195" s="142" t="s">
        <v>2398</v>
      </c>
      <c r="AU195" s="142" t="s">
        <v>2675</v>
      </c>
      <c r="AV195" s="142" t="s">
        <v>1435</v>
      </c>
      <c r="AW195" s="142" t="s">
        <v>2398</v>
      </c>
      <c r="AX195" s="142" t="s">
        <v>2398</v>
      </c>
      <c r="AY195" s="142" t="s">
        <v>2705</v>
      </c>
      <c r="AZ195" s="142" t="s">
        <v>2398</v>
      </c>
    </row>
    <row r="196" spans="1:52" s="142" customFormat="1" ht="12.75" x14ac:dyDescent="0.2">
      <c r="A196" s="151"/>
      <c r="B196" s="152" t="s">
        <v>2397</v>
      </c>
      <c r="C196" s="152" t="s">
        <v>2397</v>
      </c>
      <c r="D196" s="152" t="s">
        <v>2398</v>
      </c>
      <c r="E196" s="152" t="s">
        <v>1435</v>
      </c>
      <c r="F196" s="152" t="s">
        <v>2705</v>
      </c>
      <c r="G196" s="152" t="s">
        <v>2398</v>
      </c>
      <c r="H196" s="152" t="s">
        <v>2675</v>
      </c>
      <c r="I196" s="152" t="s">
        <v>2705</v>
      </c>
      <c r="J196" s="152" t="s">
        <v>2675</v>
      </c>
      <c r="K196" s="152" t="s">
        <v>2675</v>
      </c>
      <c r="L196" s="152" t="s">
        <v>2705</v>
      </c>
      <c r="M196" s="152" t="s">
        <v>2705</v>
      </c>
      <c r="N196" s="152" t="s">
        <v>2398</v>
      </c>
      <c r="O196" s="152" t="s">
        <v>2705</v>
      </c>
      <c r="P196" s="152" t="s">
        <v>2705</v>
      </c>
      <c r="Q196" s="152" t="s">
        <v>2705</v>
      </c>
      <c r="R196" s="152" t="s">
        <v>2705</v>
      </c>
      <c r="S196" s="152" t="s">
        <v>2398</v>
      </c>
      <c r="T196" s="152" t="s">
        <v>2398</v>
      </c>
      <c r="U196" s="152" t="s">
        <v>2705</v>
      </c>
      <c r="V196" s="142" t="str" cm="1">
        <f t="array" ref="V196">IF(A196&lt;&gt;"",SUM(--(B196:U197 = "X")*$U$3,--(B196:U197 ="A")*$Q$3,--(B196:U197 ="B")*$R$3,--(B196:U197 ="C")*$S$3),"")</f>
        <v/>
      </c>
      <c r="X196" s="437" t="s">
        <v>7504</v>
      </c>
      <c r="Y196" s="437">
        <v>21.5</v>
      </c>
      <c r="Z196" s="436">
        <f>_xlfn.XLOOKUP(answers[[#This Row],[StudentID]],$A$7:$A$1418,$V$7:$V$1418)</f>
        <v>21.5</v>
      </c>
      <c r="AG196" s="142" t="s">
        <v>2397</v>
      </c>
      <c r="AH196" s="142" t="s">
        <v>2397</v>
      </c>
      <c r="AI196" s="142" t="s">
        <v>2398</v>
      </c>
      <c r="AJ196" s="142" t="s">
        <v>1435</v>
      </c>
      <c r="AK196" s="142" t="s">
        <v>2705</v>
      </c>
      <c r="AL196" s="142" t="s">
        <v>2398</v>
      </c>
      <c r="AM196" s="142" t="s">
        <v>2675</v>
      </c>
      <c r="AN196" s="142" t="s">
        <v>2705</v>
      </c>
      <c r="AO196" s="142" t="s">
        <v>2675</v>
      </c>
      <c r="AP196" s="142" t="s">
        <v>2675</v>
      </c>
      <c r="AQ196" s="142" t="s">
        <v>2705</v>
      </c>
      <c r="AR196" s="142" t="s">
        <v>2705</v>
      </c>
      <c r="AS196" s="142" t="s">
        <v>2398</v>
      </c>
      <c r="AT196" s="142" t="s">
        <v>2705</v>
      </c>
      <c r="AU196" s="142" t="s">
        <v>2705</v>
      </c>
      <c r="AV196" s="142" t="s">
        <v>2705</v>
      </c>
      <c r="AW196" s="142" t="s">
        <v>2705</v>
      </c>
      <c r="AX196" s="142" t="s">
        <v>2398</v>
      </c>
      <c r="AY196" s="142" t="s">
        <v>2398</v>
      </c>
      <c r="AZ196" s="142" t="s">
        <v>2705</v>
      </c>
    </row>
    <row r="197" spans="1:52" s="142" customFormat="1" ht="12.75" x14ac:dyDescent="0.2">
      <c r="A197" s="151" t="s">
        <v>7415</v>
      </c>
      <c r="B197" s="152" t="s">
        <v>2398</v>
      </c>
      <c r="C197" s="152" t="s">
        <v>2675</v>
      </c>
      <c r="D197" s="152" t="s">
        <v>2398</v>
      </c>
      <c r="E197" s="152" t="s">
        <v>2705</v>
      </c>
      <c r="F197" s="152" t="s">
        <v>2705</v>
      </c>
      <c r="G197" s="152" t="s">
        <v>2705</v>
      </c>
      <c r="H197" s="152" t="s">
        <v>1435</v>
      </c>
      <c r="I197" s="152" t="s">
        <v>2705</v>
      </c>
      <c r="J197" s="152" t="s">
        <v>2705</v>
      </c>
      <c r="K197" s="152" t="s">
        <v>2398</v>
      </c>
      <c r="L197" s="152" t="s">
        <v>2398</v>
      </c>
      <c r="M197" s="152" t="s">
        <v>2705</v>
      </c>
      <c r="N197" s="152" t="s">
        <v>2705</v>
      </c>
      <c r="O197" s="152" t="s">
        <v>2398</v>
      </c>
      <c r="P197" s="152" t="s">
        <v>2397</v>
      </c>
      <c r="Q197" s="152" t="s">
        <v>1435</v>
      </c>
      <c r="R197" s="152" t="s">
        <v>2705</v>
      </c>
      <c r="S197" s="152" t="s">
        <v>2705</v>
      </c>
      <c r="T197" s="152" t="s">
        <v>2398</v>
      </c>
      <c r="U197" s="152" t="s">
        <v>2398</v>
      </c>
      <c r="V197" s="142" cm="1">
        <f t="array" ref="V197">IF(A197&lt;&gt;"",SUM(--(B197:U198 = "X")*$U$3,--(B197:U198 ="A")*$Q$3,--(B197:U198 ="B")*$R$3,--(B197:U198 ="C")*$S$3),"")</f>
        <v>17</v>
      </c>
      <c r="X197" s="437" t="s">
        <v>7505</v>
      </c>
      <c r="Y197" s="437">
        <v>4.5</v>
      </c>
      <c r="Z197" s="436">
        <f>_xlfn.XLOOKUP(answers[[#This Row],[StudentID]],$A$7:$A$1418,$V$7:$V$1418)</f>
        <v>4.5</v>
      </c>
      <c r="AF197" s="142" t="s">
        <v>7415</v>
      </c>
      <c r="AG197" s="142" t="s">
        <v>2398</v>
      </c>
      <c r="AH197" s="142" t="s">
        <v>2675</v>
      </c>
      <c r="AI197" s="142" t="s">
        <v>2398</v>
      </c>
      <c r="AJ197" s="142" t="s">
        <v>2705</v>
      </c>
      <c r="AK197" s="142" t="s">
        <v>2705</v>
      </c>
      <c r="AL197" s="142" t="s">
        <v>2705</v>
      </c>
      <c r="AM197" s="142" t="s">
        <v>1435</v>
      </c>
      <c r="AN197" s="142" t="s">
        <v>2705</v>
      </c>
      <c r="AO197" s="142" t="s">
        <v>2705</v>
      </c>
      <c r="AP197" s="142" t="s">
        <v>2398</v>
      </c>
      <c r="AQ197" s="142" t="s">
        <v>2398</v>
      </c>
      <c r="AR197" s="142" t="s">
        <v>2705</v>
      </c>
      <c r="AS197" s="142" t="s">
        <v>2705</v>
      </c>
      <c r="AT197" s="142" t="s">
        <v>2398</v>
      </c>
      <c r="AU197" s="142" t="s">
        <v>2397</v>
      </c>
      <c r="AV197" s="142" t="s">
        <v>1435</v>
      </c>
      <c r="AW197" s="142" t="s">
        <v>2705</v>
      </c>
      <c r="AX197" s="142" t="s">
        <v>2705</v>
      </c>
      <c r="AY197" s="142" t="s">
        <v>2398</v>
      </c>
      <c r="AZ197" s="142" t="s">
        <v>2398</v>
      </c>
    </row>
    <row r="198" spans="1:52" s="142" customFormat="1" ht="12.75" x14ac:dyDescent="0.2">
      <c r="A198" s="151"/>
      <c r="B198" s="152" t="s">
        <v>2705</v>
      </c>
      <c r="C198" s="152" t="s">
        <v>2675</v>
      </c>
      <c r="D198" s="152" t="s">
        <v>2398</v>
      </c>
      <c r="E198" s="152" t="s">
        <v>2705</v>
      </c>
      <c r="F198" s="152" t="s">
        <v>2398</v>
      </c>
      <c r="G198" s="152" t="s">
        <v>2398</v>
      </c>
      <c r="H198" s="152" t="s">
        <v>2705</v>
      </c>
      <c r="I198" s="152" t="s">
        <v>2398</v>
      </c>
      <c r="J198" s="152" t="s">
        <v>2705</v>
      </c>
      <c r="K198" s="152" t="s">
        <v>2705</v>
      </c>
      <c r="L198" s="152" t="s">
        <v>2398</v>
      </c>
      <c r="M198" s="152" t="s">
        <v>2705</v>
      </c>
      <c r="N198" s="152" t="s">
        <v>2705</v>
      </c>
      <c r="O198" s="152" t="s">
        <v>2705</v>
      </c>
      <c r="P198" s="152" t="s">
        <v>2398</v>
      </c>
      <c r="Q198" s="152" t="s">
        <v>2705</v>
      </c>
      <c r="R198" s="152" t="s">
        <v>2398</v>
      </c>
      <c r="S198" s="152" t="s">
        <v>2397</v>
      </c>
      <c r="T198" s="152" t="s">
        <v>2705</v>
      </c>
      <c r="U198" s="152" t="s">
        <v>2398</v>
      </c>
      <c r="V198" s="142" t="str" cm="1">
        <f t="array" ref="V198">IF(A198&lt;&gt;"",SUM(--(B198:U199 = "X")*$U$3,--(B198:U199 ="A")*$Q$3,--(B198:U199 ="B")*$R$3,--(B198:U199 ="C")*$S$3),"")</f>
        <v/>
      </c>
      <c r="X198" s="437" t="s">
        <v>7506</v>
      </c>
      <c r="Y198" s="437">
        <v>21.5</v>
      </c>
      <c r="Z198" s="436">
        <f>_xlfn.XLOOKUP(answers[[#This Row],[StudentID]],$A$7:$A$1418,$V$7:$V$1418)</f>
        <v>21.5</v>
      </c>
      <c r="AG198" s="142" t="s">
        <v>2705</v>
      </c>
      <c r="AH198" s="142" t="s">
        <v>2675</v>
      </c>
      <c r="AI198" s="142" t="s">
        <v>2398</v>
      </c>
      <c r="AJ198" s="142" t="s">
        <v>2705</v>
      </c>
      <c r="AK198" s="142" t="s">
        <v>2398</v>
      </c>
      <c r="AL198" s="142" t="s">
        <v>2398</v>
      </c>
      <c r="AM198" s="142" t="s">
        <v>2705</v>
      </c>
      <c r="AN198" s="142" t="s">
        <v>2398</v>
      </c>
      <c r="AO198" s="142" t="s">
        <v>2705</v>
      </c>
      <c r="AP198" s="142" t="s">
        <v>2705</v>
      </c>
      <c r="AQ198" s="142" t="s">
        <v>2398</v>
      </c>
      <c r="AR198" s="142" t="s">
        <v>2705</v>
      </c>
      <c r="AS198" s="142" t="s">
        <v>2705</v>
      </c>
      <c r="AT198" s="142" t="s">
        <v>2705</v>
      </c>
      <c r="AU198" s="142" t="s">
        <v>2398</v>
      </c>
      <c r="AV198" s="142" t="s">
        <v>2705</v>
      </c>
      <c r="AW198" s="142" t="s">
        <v>2398</v>
      </c>
      <c r="AX198" s="142" t="s">
        <v>2397</v>
      </c>
      <c r="AY198" s="142" t="s">
        <v>2705</v>
      </c>
      <c r="AZ198" s="142" t="s">
        <v>2398</v>
      </c>
    </row>
    <row r="199" spans="1:52" s="142" customFormat="1" ht="12.75" x14ac:dyDescent="0.2">
      <c r="A199" s="151" t="s">
        <v>7416</v>
      </c>
      <c r="B199" s="152" t="s">
        <v>2398</v>
      </c>
      <c r="C199" s="152" t="s">
        <v>2398</v>
      </c>
      <c r="D199" s="152" t="s">
        <v>2705</v>
      </c>
      <c r="E199" s="152" t="s">
        <v>2398</v>
      </c>
      <c r="F199" s="152" t="s">
        <v>2398</v>
      </c>
      <c r="G199" s="152" t="s">
        <v>2398</v>
      </c>
      <c r="H199" s="152" t="s">
        <v>2705</v>
      </c>
      <c r="I199" s="152" t="s">
        <v>2398</v>
      </c>
      <c r="J199" s="152" t="s">
        <v>2705</v>
      </c>
      <c r="K199" s="152" t="s">
        <v>2398</v>
      </c>
      <c r="L199" s="152" t="s">
        <v>2675</v>
      </c>
      <c r="M199" s="152" t="s">
        <v>2675</v>
      </c>
      <c r="N199" s="152" t="s">
        <v>2705</v>
      </c>
      <c r="O199" s="152" t="s">
        <v>1435</v>
      </c>
      <c r="P199" s="152" t="s">
        <v>2705</v>
      </c>
      <c r="Q199" s="152" t="s">
        <v>2705</v>
      </c>
      <c r="R199" s="152" t="s">
        <v>2705</v>
      </c>
      <c r="S199" s="152" t="s">
        <v>2705</v>
      </c>
      <c r="T199" s="152" t="s">
        <v>2398</v>
      </c>
      <c r="U199" s="152" t="s">
        <v>2398</v>
      </c>
      <c r="V199" s="142" cm="1">
        <f t="array" ref="V199">IF(A199&lt;&gt;"",SUM(--(B199:U200 = "X")*$U$3,--(B199:U200 ="A")*$Q$3,--(B199:U200 ="B")*$R$3,--(B199:U200 ="C")*$S$3),"")</f>
        <v>10</v>
      </c>
      <c r="X199" s="437" t="s">
        <v>7507</v>
      </c>
      <c r="Y199" s="437">
        <v>25</v>
      </c>
      <c r="Z199" s="436">
        <f>_xlfn.XLOOKUP(answers[[#This Row],[StudentID]],$A$7:$A$1418,$V$7:$V$1418)</f>
        <v>25</v>
      </c>
      <c r="AF199" s="142" t="s">
        <v>7416</v>
      </c>
      <c r="AG199" s="142" t="s">
        <v>2398</v>
      </c>
      <c r="AH199" s="142" t="s">
        <v>2398</v>
      </c>
      <c r="AI199" s="142" t="s">
        <v>2705</v>
      </c>
      <c r="AJ199" s="142" t="s">
        <v>2398</v>
      </c>
      <c r="AK199" s="142" t="s">
        <v>2398</v>
      </c>
      <c r="AL199" s="142" t="s">
        <v>2398</v>
      </c>
      <c r="AM199" s="142" t="s">
        <v>2705</v>
      </c>
      <c r="AN199" s="142" t="s">
        <v>2398</v>
      </c>
      <c r="AO199" s="142" t="s">
        <v>2705</v>
      </c>
      <c r="AP199" s="142" t="s">
        <v>2398</v>
      </c>
      <c r="AQ199" s="142" t="s">
        <v>2675</v>
      </c>
      <c r="AR199" s="142" t="s">
        <v>2675</v>
      </c>
      <c r="AS199" s="142" t="s">
        <v>2705</v>
      </c>
      <c r="AT199" s="142" t="s">
        <v>1435</v>
      </c>
      <c r="AU199" s="142" t="s">
        <v>2705</v>
      </c>
      <c r="AV199" s="142" t="s">
        <v>2705</v>
      </c>
      <c r="AW199" s="142" t="s">
        <v>2705</v>
      </c>
      <c r="AX199" s="142" t="s">
        <v>2705</v>
      </c>
      <c r="AY199" s="142" t="s">
        <v>2398</v>
      </c>
      <c r="AZ199" s="142" t="s">
        <v>2398</v>
      </c>
    </row>
    <row r="200" spans="1:52" s="142" customFormat="1" ht="12.75" x14ac:dyDescent="0.2">
      <c r="A200" s="151"/>
      <c r="B200" s="152" t="s">
        <v>2705</v>
      </c>
      <c r="C200" s="152" t="s">
        <v>2675</v>
      </c>
      <c r="D200" s="152" t="s">
        <v>1435</v>
      </c>
      <c r="E200" s="152" t="s">
        <v>2705</v>
      </c>
      <c r="F200" s="152" t="s">
        <v>2398</v>
      </c>
      <c r="G200" s="152" t="s">
        <v>2705</v>
      </c>
      <c r="H200" s="152" t="s">
        <v>2675</v>
      </c>
      <c r="I200" s="152" t="s">
        <v>2398</v>
      </c>
      <c r="J200" s="152" t="s">
        <v>2397</v>
      </c>
      <c r="K200" s="152" t="s">
        <v>2397</v>
      </c>
      <c r="L200" s="152" t="s">
        <v>2397</v>
      </c>
      <c r="M200" s="152" t="s">
        <v>2705</v>
      </c>
      <c r="N200" s="152" t="s">
        <v>2705</v>
      </c>
      <c r="O200" s="152" t="s">
        <v>1435</v>
      </c>
      <c r="P200" s="152" t="s">
        <v>2675</v>
      </c>
      <c r="Q200" s="152" t="s">
        <v>2705</v>
      </c>
      <c r="R200" s="152" t="s">
        <v>2398</v>
      </c>
      <c r="S200" s="152" t="s">
        <v>2705</v>
      </c>
      <c r="T200" s="152" t="s">
        <v>2675</v>
      </c>
      <c r="U200" s="152" t="s">
        <v>2675</v>
      </c>
      <c r="V200" s="142" t="str" cm="1">
        <f t="array" ref="V200">IF(A200&lt;&gt;"",SUM(--(B200:U201 = "X")*$U$3,--(B200:U201 ="A")*$Q$3,--(B200:U201 ="B")*$R$3,--(B200:U201 ="C")*$S$3),"")</f>
        <v/>
      </c>
      <c r="X200" s="437" t="s">
        <v>7508</v>
      </c>
      <c r="Y200" s="437">
        <v>31</v>
      </c>
      <c r="Z200" s="436">
        <f>_xlfn.XLOOKUP(answers[[#This Row],[StudentID]],$A$7:$A$1418,$V$7:$V$1418)</f>
        <v>31</v>
      </c>
      <c r="AG200" s="142" t="s">
        <v>2705</v>
      </c>
      <c r="AH200" s="142" t="s">
        <v>2675</v>
      </c>
      <c r="AI200" s="142" t="s">
        <v>1435</v>
      </c>
      <c r="AJ200" s="142" t="s">
        <v>2705</v>
      </c>
      <c r="AK200" s="142" t="s">
        <v>2398</v>
      </c>
      <c r="AL200" s="142" t="s">
        <v>2705</v>
      </c>
      <c r="AM200" s="142" t="s">
        <v>2675</v>
      </c>
      <c r="AN200" s="142" t="s">
        <v>2398</v>
      </c>
      <c r="AO200" s="142" t="s">
        <v>2397</v>
      </c>
      <c r="AP200" s="142" t="s">
        <v>2397</v>
      </c>
      <c r="AQ200" s="142" t="s">
        <v>2397</v>
      </c>
      <c r="AR200" s="142" t="s">
        <v>2705</v>
      </c>
      <c r="AS200" s="142" t="s">
        <v>2705</v>
      </c>
      <c r="AT200" s="142" t="s">
        <v>1435</v>
      </c>
      <c r="AU200" s="142" t="s">
        <v>2675</v>
      </c>
      <c r="AV200" s="142" t="s">
        <v>2705</v>
      </c>
      <c r="AW200" s="142" t="s">
        <v>2398</v>
      </c>
      <c r="AX200" s="142" t="s">
        <v>2705</v>
      </c>
      <c r="AY200" s="142" t="s">
        <v>2675</v>
      </c>
      <c r="AZ200" s="142" t="s">
        <v>2675</v>
      </c>
    </row>
    <row r="201" spans="1:52" s="142" customFormat="1" ht="12.75" x14ac:dyDescent="0.2">
      <c r="A201" s="151" t="s">
        <v>7417</v>
      </c>
      <c r="B201" s="152" t="s">
        <v>2398</v>
      </c>
      <c r="C201" s="152" t="s">
        <v>2675</v>
      </c>
      <c r="D201" s="152" t="s">
        <v>2705</v>
      </c>
      <c r="E201" s="152" t="s">
        <v>2705</v>
      </c>
      <c r="F201" s="152" t="s">
        <v>2398</v>
      </c>
      <c r="G201" s="152" t="s">
        <v>2705</v>
      </c>
      <c r="H201" s="152" t="s">
        <v>1435</v>
      </c>
      <c r="I201" s="152" t="s">
        <v>2397</v>
      </c>
      <c r="J201" s="152" t="s">
        <v>2675</v>
      </c>
      <c r="K201" s="152" t="s">
        <v>2705</v>
      </c>
      <c r="L201" s="152" t="s">
        <v>2398</v>
      </c>
      <c r="M201" s="152" t="s">
        <v>1435</v>
      </c>
      <c r="N201" s="152" t="s">
        <v>2705</v>
      </c>
      <c r="O201" s="152" t="s">
        <v>2705</v>
      </c>
      <c r="P201" s="152" t="s">
        <v>2705</v>
      </c>
      <c r="Q201" s="152" t="s">
        <v>2705</v>
      </c>
      <c r="R201" s="152" t="s">
        <v>1435</v>
      </c>
      <c r="S201" s="152" t="s">
        <v>2705</v>
      </c>
      <c r="T201" s="152" t="s">
        <v>2397</v>
      </c>
      <c r="U201" s="152" t="s">
        <v>2705</v>
      </c>
      <c r="V201" s="142" cm="1">
        <f t="array" ref="V201">IF(A201&lt;&gt;"",SUM(--(B201:U202 = "X")*$U$3,--(B201:U202 ="A")*$Q$3,--(B201:U202 ="B")*$R$3,--(B201:U202 ="C")*$S$3),"")</f>
        <v>14</v>
      </c>
      <c r="X201" s="437" t="s">
        <v>7509</v>
      </c>
      <c r="Y201" s="437">
        <v>24</v>
      </c>
      <c r="Z201" s="436">
        <f>_xlfn.XLOOKUP(answers[[#This Row],[StudentID]],$A$7:$A$1418,$V$7:$V$1418)</f>
        <v>24</v>
      </c>
      <c r="AF201" s="142" t="s">
        <v>7417</v>
      </c>
      <c r="AG201" s="142" t="s">
        <v>2398</v>
      </c>
      <c r="AH201" s="142" t="s">
        <v>2675</v>
      </c>
      <c r="AI201" s="142" t="s">
        <v>2705</v>
      </c>
      <c r="AJ201" s="142" t="s">
        <v>2705</v>
      </c>
      <c r="AK201" s="142" t="s">
        <v>2398</v>
      </c>
      <c r="AL201" s="142" t="s">
        <v>2705</v>
      </c>
      <c r="AM201" s="142" t="s">
        <v>1435</v>
      </c>
      <c r="AN201" s="142" t="s">
        <v>2397</v>
      </c>
      <c r="AO201" s="142" t="s">
        <v>2675</v>
      </c>
      <c r="AP201" s="142" t="s">
        <v>2705</v>
      </c>
      <c r="AQ201" s="142" t="s">
        <v>2398</v>
      </c>
      <c r="AR201" s="142" t="s">
        <v>1435</v>
      </c>
      <c r="AS201" s="142" t="s">
        <v>2705</v>
      </c>
      <c r="AT201" s="142" t="s">
        <v>2705</v>
      </c>
      <c r="AU201" s="142" t="s">
        <v>2705</v>
      </c>
      <c r="AV201" s="142" t="s">
        <v>2705</v>
      </c>
      <c r="AW201" s="142" t="s">
        <v>1435</v>
      </c>
      <c r="AX201" s="142" t="s">
        <v>2705</v>
      </c>
      <c r="AY201" s="142" t="s">
        <v>2397</v>
      </c>
      <c r="AZ201" s="142" t="s">
        <v>2705</v>
      </c>
    </row>
    <row r="202" spans="1:52" s="142" customFormat="1" ht="12.75" x14ac:dyDescent="0.2">
      <c r="A202" s="151"/>
      <c r="B202" s="152" t="s">
        <v>2675</v>
      </c>
      <c r="C202" s="152" t="s">
        <v>2398</v>
      </c>
      <c r="D202" s="152" t="s">
        <v>2398</v>
      </c>
      <c r="E202" s="152" t="s">
        <v>2705</v>
      </c>
      <c r="F202" s="152" t="s">
        <v>2705</v>
      </c>
      <c r="G202" s="152" t="s">
        <v>2705</v>
      </c>
      <c r="H202" s="152" t="s">
        <v>2398</v>
      </c>
      <c r="I202" s="152" t="s">
        <v>2705</v>
      </c>
      <c r="J202" s="152" t="s">
        <v>2398</v>
      </c>
      <c r="K202" s="152" t="s">
        <v>2398</v>
      </c>
      <c r="L202" s="152" t="s">
        <v>2398</v>
      </c>
      <c r="M202" s="152" t="s">
        <v>2705</v>
      </c>
      <c r="N202" s="152" t="s">
        <v>2705</v>
      </c>
      <c r="O202" s="152" t="s">
        <v>2398</v>
      </c>
      <c r="P202" s="152" t="s">
        <v>2398</v>
      </c>
      <c r="Q202" s="152" t="s">
        <v>2398</v>
      </c>
      <c r="R202" s="152" t="s">
        <v>2398</v>
      </c>
      <c r="S202" s="152" t="s">
        <v>2705</v>
      </c>
      <c r="T202" s="152" t="s">
        <v>2398</v>
      </c>
      <c r="U202" s="152" t="s">
        <v>2398</v>
      </c>
      <c r="V202" s="142" t="str" cm="1">
        <f t="array" ref="V202">IF(A202&lt;&gt;"",SUM(--(B202:U203 = "X")*$U$3,--(B202:U203 ="A")*$Q$3,--(B202:U203 ="B")*$R$3,--(B202:U203 ="C")*$S$3),"")</f>
        <v/>
      </c>
      <c r="X202" s="437" t="s">
        <v>7510</v>
      </c>
      <c r="Y202" s="437">
        <v>32</v>
      </c>
      <c r="Z202" s="436">
        <f>_xlfn.XLOOKUP(answers[[#This Row],[StudentID]],$A$7:$A$1418,$V$7:$V$1418)</f>
        <v>32</v>
      </c>
      <c r="AG202" s="142" t="s">
        <v>2675</v>
      </c>
      <c r="AH202" s="142" t="s">
        <v>2398</v>
      </c>
      <c r="AI202" s="142" t="s">
        <v>2398</v>
      </c>
      <c r="AJ202" s="142" t="s">
        <v>2705</v>
      </c>
      <c r="AK202" s="142" t="s">
        <v>2705</v>
      </c>
      <c r="AL202" s="142" t="s">
        <v>2705</v>
      </c>
      <c r="AM202" s="142" t="s">
        <v>2398</v>
      </c>
      <c r="AN202" s="142" t="s">
        <v>2705</v>
      </c>
      <c r="AO202" s="142" t="s">
        <v>2398</v>
      </c>
      <c r="AP202" s="142" t="s">
        <v>2398</v>
      </c>
      <c r="AQ202" s="142" t="s">
        <v>2398</v>
      </c>
      <c r="AR202" s="142" t="s">
        <v>2705</v>
      </c>
      <c r="AS202" s="142" t="s">
        <v>2705</v>
      </c>
      <c r="AT202" s="142" t="s">
        <v>2398</v>
      </c>
      <c r="AU202" s="142" t="s">
        <v>2398</v>
      </c>
      <c r="AV202" s="142" t="s">
        <v>2398</v>
      </c>
      <c r="AW202" s="142" t="s">
        <v>2398</v>
      </c>
      <c r="AX202" s="142" t="s">
        <v>2705</v>
      </c>
      <c r="AY202" s="142" t="s">
        <v>2398</v>
      </c>
      <c r="AZ202" s="142" t="s">
        <v>2398</v>
      </c>
    </row>
    <row r="203" spans="1:52" s="142" customFormat="1" ht="12.75" x14ac:dyDescent="0.2">
      <c r="A203" s="151" t="s">
        <v>7418</v>
      </c>
      <c r="B203" s="152" t="s">
        <v>2398</v>
      </c>
      <c r="C203" s="152" t="s">
        <v>2398</v>
      </c>
      <c r="D203" s="152" t="s">
        <v>2675</v>
      </c>
      <c r="E203" s="152" t="s">
        <v>2397</v>
      </c>
      <c r="F203" s="152" t="s">
        <v>2705</v>
      </c>
      <c r="G203" s="152" t="s">
        <v>2705</v>
      </c>
      <c r="H203" s="152" t="s">
        <v>2398</v>
      </c>
      <c r="I203" s="152" t="s">
        <v>2705</v>
      </c>
      <c r="J203" s="152" t="s">
        <v>2705</v>
      </c>
      <c r="K203" s="152" t="s">
        <v>2397</v>
      </c>
      <c r="L203" s="152" t="s">
        <v>2705</v>
      </c>
      <c r="M203" s="152" t="s">
        <v>1435</v>
      </c>
      <c r="N203" s="152" t="s">
        <v>2397</v>
      </c>
      <c r="O203" s="152" t="s">
        <v>2705</v>
      </c>
      <c r="P203" s="152" t="s">
        <v>2398</v>
      </c>
      <c r="Q203" s="152" t="s">
        <v>1435</v>
      </c>
      <c r="R203" s="152" t="s">
        <v>2398</v>
      </c>
      <c r="S203" s="152" t="s">
        <v>2398</v>
      </c>
      <c r="T203" s="152" t="s">
        <v>2705</v>
      </c>
      <c r="U203" s="152" t="s">
        <v>2398</v>
      </c>
      <c r="V203" s="142" cm="1">
        <f t="array" ref="V203">IF(A203&lt;&gt;"",SUM(--(B203:U204 = "X")*$U$3,--(B203:U204 ="A")*$Q$3,--(B203:U204 ="B")*$R$3,--(B203:U204 ="C")*$S$3),"")</f>
        <v>16</v>
      </c>
      <c r="X203" s="437" t="s">
        <v>7511</v>
      </c>
      <c r="Y203" s="437">
        <v>17.5</v>
      </c>
      <c r="Z203" s="436">
        <f>_xlfn.XLOOKUP(answers[[#This Row],[StudentID]],$A$7:$A$1418,$V$7:$V$1418)</f>
        <v>17.5</v>
      </c>
      <c r="AF203" s="142" t="s">
        <v>7418</v>
      </c>
      <c r="AG203" s="142" t="s">
        <v>2398</v>
      </c>
      <c r="AH203" s="142" t="s">
        <v>2398</v>
      </c>
      <c r="AI203" s="142" t="s">
        <v>2675</v>
      </c>
      <c r="AJ203" s="142" t="s">
        <v>2397</v>
      </c>
      <c r="AK203" s="142" t="s">
        <v>2705</v>
      </c>
      <c r="AL203" s="142" t="s">
        <v>2705</v>
      </c>
      <c r="AM203" s="142" t="s">
        <v>2398</v>
      </c>
      <c r="AN203" s="142" t="s">
        <v>2705</v>
      </c>
      <c r="AO203" s="142" t="s">
        <v>2705</v>
      </c>
      <c r="AP203" s="142" t="s">
        <v>2397</v>
      </c>
      <c r="AQ203" s="142" t="s">
        <v>2705</v>
      </c>
      <c r="AR203" s="142" t="s">
        <v>1435</v>
      </c>
      <c r="AS203" s="142" t="s">
        <v>2397</v>
      </c>
      <c r="AT203" s="142" t="s">
        <v>2705</v>
      </c>
      <c r="AU203" s="142" t="s">
        <v>2398</v>
      </c>
      <c r="AV203" s="142" t="s">
        <v>1435</v>
      </c>
      <c r="AW203" s="142" t="s">
        <v>2398</v>
      </c>
      <c r="AX203" s="142" t="s">
        <v>2398</v>
      </c>
      <c r="AY203" s="142" t="s">
        <v>2705</v>
      </c>
      <c r="AZ203" s="142" t="s">
        <v>2398</v>
      </c>
    </row>
    <row r="204" spans="1:52" s="142" customFormat="1" ht="12.75" x14ac:dyDescent="0.2">
      <c r="A204" s="151"/>
      <c r="B204" s="152" t="s">
        <v>2705</v>
      </c>
      <c r="C204" s="152" t="s">
        <v>2705</v>
      </c>
      <c r="D204" s="152" t="s">
        <v>2705</v>
      </c>
      <c r="E204" s="152" t="s">
        <v>2398</v>
      </c>
      <c r="F204" s="152" t="s">
        <v>2705</v>
      </c>
      <c r="G204" s="152" t="s">
        <v>2398</v>
      </c>
      <c r="H204" s="152" t="s">
        <v>2398</v>
      </c>
      <c r="I204" s="152" t="s">
        <v>2705</v>
      </c>
      <c r="J204" s="152" t="s">
        <v>2705</v>
      </c>
      <c r="K204" s="152" t="s">
        <v>2705</v>
      </c>
      <c r="L204" s="152" t="s">
        <v>1435</v>
      </c>
      <c r="M204" s="152" t="s">
        <v>2675</v>
      </c>
      <c r="N204" s="152" t="s">
        <v>2675</v>
      </c>
      <c r="O204" s="152" t="s">
        <v>2705</v>
      </c>
      <c r="P204" s="152" t="s">
        <v>2705</v>
      </c>
      <c r="Q204" s="152" t="s">
        <v>2705</v>
      </c>
      <c r="R204" s="152" t="s">
        <v>2398</v>
      </c>
      <c r="S204" s="152" t="s">
        <v>2397</v>
      </c>
      <c r="T204" s="152" t="s">
        <v>2705</v>
      </c>
      <c r="U204" s="152" t="s">
        <v>2705</v>
      </c>
      <c r="V204" s="142" t="str" cm="1">
        <f t="array" ref="V204">IF(A204&lt;&gt;"",SUM(--(B204:U205 = "X")*$U$3,--(B204:U205 ="A")*$Q$3,--(B204:U205 ="B")*$R$3,--(B204:U205 ="C")*$S$3),"")</f>
        <v/>
      </c>
      <c r="X204" s="437" t="s">
        <v>7512</v>
      </c>
      <c r="Y204" s="437">
        <v>12.5</v>
      </c>
      <c r="Z204" s="436">
        <f>_xlfn.XLOOKUP(answers[[#This Row],[StudentID]],$A$7:$A$1418,$V$7:$V$1418)</f>
        <v>12.5</v>
      </c>
      <c r="AG204" s="142" t="s">
        <v>2705</v>
      </c>
      <c r="AH204" s="142" t="s">
        <v>2705</v>
      </c>
      <c r="AI204" s="142" t="s">
        <v>2705</v>
      </c>
      <c r="AJ204" s="142" t="s">
        <v>2398</v>
      </c>
      <c r="AK204" s="142" t="s">
        <v>2705</v>
      </c>
      <c r="AL204" s="142" t="s">
        <v>2398</v>
      </c>
      <c r="AM204" s="142" t="s">
        <v>2398</v>
      </c>
      <c r="AN204" s="142" t="s">
        <v>2705</v>
      </c>
      <c r="AO204" s="142" t="s">
        <v>2705</v>
      </c>
      <c r="AP204" s="142" t="s">
        <v>2705</v>
      </c>
      <c r="AQ204" s="142" t="s">
        <v>1435</v>
      </c>
      <c r="AR204" s="142" t="s">
        <v>2675</v>
      </c>
      <c r="AS204" s="142" t="s">
        <v>2675</v>
      </c>
      <c r="AT204" s="142" t="s">
        <v>2705</v>
      </c>
      <c r="AU204" s="142" t="s">
        <v>2705</v>
      </c>
      <c r="AV204" s="142" t="s">
        <v>2705</v>
      </c>
      <c r="AW204" s="142" t="s">
        <v>2398</v>
      </c>
      <c r="AX204" s="142" t="s">
        <v>2397</v>
      </c>
      <c r="AY204" s="142" t="s">
        <v>2705</v>
      </c>
      <c r="AZ204" s="142" t="s">
        <v>2705</v>
      </c>
    </row>
    <row r="205" spans="1:52" s="142" customFormat="1" ht="12.75" x14ac:dyDescent="0.2">
      <c r="A205" s="151" t="s">
        <v>7419</v>
      </c>
      <c r="B205" s="152" t="s">
        <v>2398</v>
      </c>
      <c r="C205" s="152" t="s">
        <v>2398</v>
      </c>
      <c r="D205" s="152" t="s">
        <v>2398</v>
      </c>
      <c r="E205" s="152" t="s">
        <v>2398</v>
      </c>
      <c r="F205" s="152" t="s">
        <v>2705</v>
      </c>
      <c r="G205" s="152" t="s">
        <v>2705</v>
      </c>
      <c r="H205" s="152" t="s">
        <v>2705</v>
      </c>
      <c r="I205" s="152" t="s">
        <v>2398</v>
      </c>
      <c r="J205" s="152" t="s">
        <v>2675</v>
      </c>
      <c r="K205" s="152" t="s">
        <v>2705</v>
      </c>
      <c r="L205" s="152" t="s">
        <v>2398</v>
      </c>
      <c r="M205" s="152" t="s">
        <v>2705</v>
      </c>
      <c r="N205" s="152" t="s">
        <v>2705</v>
      </c>
      <c r="O205" s="152" t="s">
        <v>2398</v>
      </c>
      <c r="P205" s="152" t="s">
        <v>2398</v>
      </c>
      <c r="Q205" s="152" t="s">
        <v>2705</v>
      </c>
      <c r="R205" s="152" t="s">
        <v>2705</v>
      </c>
      <c r="S205" s="152" t="s">
        <v>2705</v>
      </c>
      <c r="T205" s="152" t="s">
        <v>2398</v>
      </c>
      <c r="U205" s="152" t="s">
        <v>2705</v>
      </c>
      <c r="V205" s="142" cm="1">
        <f t="array" ref="V205">IF(A205&lt;&gt;"",SUM(--(B205:U206 = "X")*$U$3,--(B205:U206 ="A")*$Q$3,--(B205:U206 ="B")*$R$3,--(B205:U206 ="C")*$S$3),"")</f>
        <v>21.5</v>
      </c>
      <c r="X205" s="437" t="s">
        <v>7513</v>
      </c>
      <c r="Y205" s="437">
        <v>26</v>
      </c>
      <c r="Z205" s="436">
        <f>_xlfn.XLOOKUP(answers[[#This Row],[StudentID]],$A$7:$A$1418,$V$7:$V$1418)</f>
        <v>26</v>
      </c>
      <c r="AF205" s="142" t="s">
        <v>7419</v>
      </c>
      <c r="AG205" s="142" t="s">
        <v>2398</v>
      </c>
      <c r="AH205" s="142" t="s">
        <v>2398</v>
      </c>
      <c r="AI205" s="142" t="s">
        <v>2398</v>
      </c>
      <c r="AJ205" s="142" t="s">
        <v>2398</v>
      </c>
      <c r="AK205" s="142" t="s">
        <v>2705</v>
      </c>
      <c r="AL205" s="142" t="s">
        <v>2705</v>
      </c>
      <c r="AM205" s="142" t="s">
        <v>2705</v>
      </c>
      <c r="AN205" s="142" t="s">
        <v>2398</v>
      </c>
      <c r="AO205" s="142" t="s">
        <v>2675</v>
      </c>
      <c r="AP205" s="142" t="s">
        <v>2705</v>
      </c>
      <c r="AQ205" s="142" t="s">
        <v>2398</v>
      </c>
      <c r="AR205" s="142" t="s">
        <v>2705</v>
      </c>
      <c r="AS205" s="142" t="s">
        <v>2705</v>
      </c>
      <c r="AT205" s="142" t="s">
        <v>2398</v>
      </c>
      <c r="AU205" s="142" t="s">
        <v>2398</v>
      </c>
      <c r="AV205" s="142" t="s">
        <v>2705</v>
      </c>
      <c r="AW205" s="142" t="s">
        <v>2705</v>
      </c>
      <c r="AX205" s="142" t="s">
        <v>2705</v>
      </c>
      <c r="AY205" s="142" t="s">
        <v>2398</v>
      </c>
      <c r="AZ205" s="142" t="s">
        <v>2705</v>
      </c>
    </row>
    <row r="206" spans="1:52" s="142" customFormat="1" ht="12.75" x14ac:dyDescent="0.2">
      <c r="A206" s="151"/>
      <c r="B206" s="152" t="s">
        <v>2705</v>
      </c>
      <c r="C206" s="152" t="s">
        <v>2675</v>
      </c>
      <c r="D206" s="152" t="s">
        <v>2398</v>
      </c>
      <c r="E206" s="152" t="s">
        <v>2398</v>
      </c>
      <c r="F206" s="152" t="s">
        <v>2705</v>
      </c>
      <c r="G206" s="152" t="s">
        <v>2705</v>
      </c>
      <c r="H206" s="152" t="s">
        <v>2398</v>
      </c>
      <c r="I206" s="152" t="s">
        <v>2705</v>
      </c>
      <c r="J206" s="152" t="s">
        <v>2705</v>
      </c>
      <c r="K206" s="152" t="s">
        <v>2705</v>
      </c>
      <c r="L206" s="152" t="s">
        <v>2705</v>
      </c>
      <c r="M206" s="152" t="s">
        <v>2398</v>
      </c>
      <c r="N206" s="152" t="s">
        <v>2705</v>
      </c>
      <c r="O206" s="152" t="s">
        <v>2705</v>
      </c>
      <c r="P206" s="152" t="s">
        <v>2675</v>
      </c>
      <c r="Q206" s="152" t="s">
        <v>2705</v>
      </c>
      <c r="R206" s="152" t="s">
        <v>2705</v>
      </c>
      <c r="S206" s="152" t="s">
        <v>2705</v>
      </c>
      <c r="T206" s="152" t="s">
        <v>2705</v>
      </c>
      <c r="U206" s="152" t="s">
        <v>2398</v>
      </c>
      <c r="V206" s="142" t="str" cm="1">
        <f t="array" ref="V206">IF(A206&lt;&gt;"",SUM(--(B206:U207 = "X")*$U$3,--(B206:U207 ="A")*$Q$3,--(B206:U207 ="B")*$R$3,--(B206:U207 ="C")*$S$3),"")</f>
        <v/>
      </c>
      <c r="X206" s="437" t="s">
        <v>7514</v>
      </c>
      <c r="Y206" s="437">
        <v>21</v>
      </c>
      <c r="Z206" s="436">
        <f>_xlfn.XLOOKUP(answers[[#This Row],[StudentID]],$A$7:$A$1418,$V$7:$V$1418)</f>
        <v>21</v>
      </c>
      <c r="AG206" s="142" t="s">
        <v>2705</v>
      </c>
      <c r="AH206" s="142" t="s">
        <v>2675</v>
      </c>
      <c r="AI206" s="142" t="s">
        <v>2398</v>
      </c>
      <c r="AJ206" s="142" t="s">
        <v>2398</v>
      </c>
      <c r="AK206" s="142" t="s">
        <v>2705</v>
      </c>
      <c r="AL206" s="142" t="s">
        <v>2705</v>
      </c>
      <c r="AM206" s="142" t="s">
        <v>2398</v>
      </c>
      <c r="AN206" s="142" t="s">
        <v>2705</v>
      </c>
      <c r="AO206" s="142" t="s">
        <v>2705</v>
      </c>
      <c r="AP206" s="142" t="s">
        <v>2705</v>
      </c>
      <c r="AQ206" s="142" t="s">
        <v>2705</v>
      </c>
      <c r="AR206" s="142" t="s">
        <v>2398</v>
      </c>
      <c r="AS206" s="142" t="s">
        <v>2705</v>
      </c>
      <c r="AT206" s="142" t="s">
        <v>2705</v>
      </c>
      <c r="AU206" s="142" t="s">
        <v>2675</v>
      </c>
      <c r="AV206" s="142" t="s">
        <v>2705</v>
      </c>
      <c r="AW206" s="142" t="s">
        <v>2705</v>
      </c>
      <c r="AX206" s="142" t="s">
        <v>2705</v>
      </c>
      <c r="AY206" s="142" t="s">
        <v>2705</v>
      </c>
      <c r="AZ206" s="142" t="s">
        <v>2398</v>
      </c>
    </row>
    <row r="207" spans="1:52" s="142" customFormat="1" ht="12.75" x14ac:dyDescent="0.2">
      <c r="A207" s="151" t="s">
        <v>7420</v>
      </c>
      <c r="B207" s="152" t="s">
        <v>2705</v>
      </c>
      <c r="C207" s="152" t="s">
        <v>2705</v>
      </c>
      <c r="D207" s="152" t="s">
        <v>2397</v>
      </c>
      <c r="E207" s="152" t="s">
        <v>2705</v>
      </c>
      <c r="F207" s="152" t="s">
        <v>2398</v>
      </c>
      <c r="G207" s="152" t="s">
        <v>2705</v>
      </c>
      <c r="H207" s="152" t="s">
        <v>2705</v>
      </c>
      <c r="I207" s="152" t="s">
        <v>2675</v>
      </c>
      <c r="J207" s="152" t="s">
        <v>2705</v>
      </c>
      <c r="K207" s="152" t="s">
        <v>2705</v>
      </c>
      <c r="L207" s="152" t="s">
        <v>2705</v>
      </c>
      <c r="M207" s="152" t="s">
        <v>2705</v>
      </c>
      <c r="N207" s="152" t="s">
        <v>2705</v>
      </c>
      <c r="O207" s="152" t="s">
        <v>2705</v>
      </c>
      <c r="P207" s="152" t="s">
        <v>2705</v>
      </c>
      <c r="Q207" s="152" t="s">
        <v>2705</v>
      </c>
      <c r="R207" s="152" t="s">
        <v>1435</v>
      </c>
      <c r="S207" s="152" t="s">
        <v>2705</v>
      </c>
      <c r="T207" s="152" t="s">
        <v>2705</v>
      </c>
      <c r="U207" s="152" t="s">
        <v>2705</v>
      </c>
      <c r="V207" s="142" cm="1">
        <f t="array" ref="V207">IF(A207&lt;&gt;"",SUM(--(B207:U208 = "X")*$U$3,--(B207:U208 ="A")*$Q$3,--(B207:U208 ="B")*$R$3,--(B207:U208 ="C")*$S$3),"")</f>
        <v>21</v>
      </c>
      <c r="X207" s="437" t="s">
        <v>7515</v>
      </c>
      <c r="Y207" s="437">
        <v>24.5</v>
      </c>
      <c r="Z207" s="436">
        <f>_xlfn.XLOOKUP(answers[[#This Row],[StudentID]],$A$7:$A$1418,$V$7:$V$1418)</f>
        <v>24.5</v>
      </c>
      <c r="AF207" s="142" t="s">
        <v>7420</v>
      </c>
      <c r="AG207" s="142" t="s">
        <v>2705</v>
      </c>
      <c r="AH207" s="142" t="s">
        <v>2705</v>
      </c>
      <c r="AI207" s="142" t="s">
        <v>2397</v>
      </c>
      <c r="AJ207" s="142" t="s">
        <v>2705</v>
      </c>
      <c r="AK207" s="142" t="s">
        <v>2398</v>
      </c>
      <c r="AL207" s="142" t="s">
        <v>2705</v>
      </c>
      <c r="AM207" s="142" t="s">
        <v>2705</v>
      </c>
      <c r="AN207" s="142" t="s">
        <v>2675</v>
      </c>
      <c r="AO207" s="142" t="s">
        <v>2705</v>
      </c>
      <c r="AP207" s="142" t="s">
        <v>2705</v>
      </c>
      <c r="AQ207" s="142" t="s">
        <v>2705</v>
      </c>
      <c r="AR207" s="142" t="s">
        <v>2705</v>
      </c>
      <c r="AS207" s="142" t="s">
        <v>2705</v>
      </c>
      <c r="AT207" s="142" t="s">
        <v>2705</v>
      </c>
      <c r="AU207" s="142" t="s">
        <v>2705</v>
      </c>
      <c r="AV207" s="142" t="s">
        <v>2705</v>
      </c>
      <c r="AW207" s="142" t="s">
        <v>1435</v>
      </c>
      <c r="AX207" s="142" t="s">
        <v>2705</v>
      </c>
      <c r="AY207" s="142" t="s">
        <v>2705</v>
      </c>
      <c r="AZ207" s="142" t="s">
        <v>2705</v>
      </c>
    </row>
    <row r="208" spans="1:52" s="142" customFormat="1" ht="12.75" x14ac:dyDescent="0.2">
      <c r="A208" s="151"/>
      <c r="B208" s="152" t="s">
        <v>2675</v>
      </c>
      <c r="C208" s="152" t="s">
        <v>2675</v>
      </c>
      <c r="D208" s="152" t="s">
        <v>2705</v>
      </c>
      <c r="E208" s="152" t="s">
        <v>2398</v>
      </c>
      <c r="F208" s="152" t="s">
        <v>2705</v>
      </c>
      <c r="G208" s="152" t="s">
        <v>2705</v>
      </c>
      <c r="H208" s="152" t="s">
        <v>2397</v>
      </c>
      <c r="I208" s="152" t="s">
        <v>2705</v>
      </c>
      <c r="J208" s="152" t="s">
        <v>2398</v>
      </c>
      <c r="K208" s="152" t="s">
        <v>2398</v>
      </c>
      <c r="L208" s="152" t="s">
        <v>2675</v>
      </c>
      <c r="M208" s="152" t="s">
        <v>2705</v>
      </c>
      <c r="N208" s="152" t="s">
        <v>2398</v>
      </c>
      <c r="O208" s="152" t="s">
        <v>2398</v>
      </c>
      <c r="P208" s="152" t="s">
        <v>2675</v>
      </c>
      <c r="Q208" s="152" t="s">
        <v>2705</v>
      </c>
      <c r="R208" s="152" t="s">
        <v>2397</v>
      </c>
      <c r="S208" s="152" t="s">
        <v>2705</v>
      </c>
      <c r="T208" s="152" t="s">
        <v>2398</v>
      </c>
      <c r="U208" s="152" t="s">
        <v>2705</v>
      </c>
      <c r="V208" s="142" t="str" cm="1">
        <f t="array" ref="V208">IF(A208&lt;&gt;"",SUM(--(B208:U209 = "X")*$U$3,--(B208:U209 ="A")*$Q$3,--(B208:U209 ="B")*$R$3,--(B208:U209 ="C")*$S$3),"")</f>
        <v/>
      </c>
      <c r="X208" s="437" t="s">
        <v>7516</v>
      </c>
      <c r="Y208" s="437">
        <v>11</v>
      </c>
      <c r="Z208" s="436">
        <f>_xlfn.XLOOKUP(answers[[#This Row],[StudentID]],$A$7:$A$1418,$V$7:$V$1418)</f>
        <v>11</v>
      </c>
      <c r="AG208" s="142" t="s">
        <v>2675</v>
      </c>
      <c r="AH208" s="142" t="s">
        <v>2675</v>
      </c>
      <c r="AI208" s="142" t="s">
        <v>2705</v>
      </c>
      <c r="AJ208" s="142" t="s">
        <v>2398</v>
      </c>
      <c r="AK208" s="142" t="s">
        <v>2705</v>
      </c>
      <c r="AL208" s="142" t="s">
        <v>2705</v>
      </c>
      <c r="AM208" s="142" t="s">
        <v>2397</v>
      </c>
      <c r="AN208" s="142" t="s">
        <v>2705</v>
      </c>
      <c r="AO208" s="142" t="s">
        <v>2398</v>
      </c>
      <c r="AP208" s="142" t="s">
        <v>2398</v>
      </c>
      <c r="AQ208" s="142" t="s">
        <v>2675</v>
      </c>
      <c r="AR208" s="142" t="s">
        <v>2705</v>
      </c>
      <c r="AS208" s="142" t="s">
        <v>2398</v>
      </c>
      <c r="AT208" s="142" t="s">
        <v>2398</v>
      </c>
      <c r="AU208" s="142" t="s">
        <v>2675</v>
      </c>
      <c r="AV208" s="142" t="s">
        <v>2705</v>
      </c>
      <c r="AW208" s="142" t="s">
        <v>2397</v>
      </c>
      <c r="AX208" s="142" t="s">
        <v>2705</v>
      </c>
      <c r="AY208" s="142" t="s">
        <v>2398</v>
      </c>
      <c r="AZ208" s="142" t="s">
        <v>2705</v>
      </c>
    </row>
    <row r="209" spans="1:52" s="142" customFormat="1" ht="12.75" x14ac:dyDescent="0.2">
      <c r="A209" s="151" t="s">
        <v>7421</v>
      </c>
      <c r="B209" s="152" t="s">
        <v>2705</v>
      </c>
      <c r="C209" s="152" t="s">
        <v>2705</v>
      </c>
      <c r="D209" s="152" t="s">
        <v>2675</v>
      </c>
      <c r="E209" s="152" t="s">
        <v>2398</v>
      </c>
      <c r="F209" s="152" t="s">
        <v>2398</v>
      </c>
      <c r="G209" s="152" t="s">
        <v>2705</v>
      </c>
      <c r="H209" s="152" t="s">
        <v>2398</v>
      </c>
      <c r="I209" s="152" t="s">
        <v>2398</v>
      </c>
      <c r="J209" s="152" t="s">
        <v>2675</v>
      </c>
      <c r="K209" s="152" t="s">
        <v>2398</v>
      </c>
      <c r="L209" s="152" t="s">
        <v>2398</v>
      </c>
      <c r="M209" s="152" t="s">
        <v>2705</v>
      </c>
      <c r="N209" s="152" t="s">
        <v>2398</v>
      </c>
      <c r="O209" s="152" t="s">
        <v>2398</v>
      </c>
      <c r="P209" s="152" t="s">
        <v>2705</v>
      </c>
      <c r="Q209" s="152" t="s">
        <v>2675</v>
      </c>
      <c r="R209" s="152" t="s">
        <v>2705</v>
      </c>
      <c r="S209" s="152" t="s">
        <v>2398</v>
      </c>
      <c r="T209" s="152" t="s">
        <v>2398</v>
      </c>
      <c r="U209" s="152" t="s">
        <v>2398</v>
      </c>
      <c r="V209" s="142" cm="1">
        <f t="array" ref="V209">IF(A209&lt;&gt;"",SUM(--(B209:U210 = "X")*$U$3,--(B209:U210 ="A")*$Q$3,--(B209:U210 ="B")*$R$3,--(B209:U210 ="C")*$S$3),"")</f>
        <v>16.5</v>
      </c>
      <c r="X209" s="437" t="s">
        <v>7517</v>
      </c>
      <c r="Y209" s="437">
        <v>13.5</v>
      </c>
      <c r="Z209" s="436">
        <f>_xlfn.XLOOKUP(answers[[#This Row],[StudentID]],$A$7:$A$1418,$V$7:$V$1418)</f>
        <v>13.5</v>
      </c>
      <c r="AF209" s="142" t="s">
        <v>7421</v>
      </c>
      <c r="AG209" s="142" t="s">
        <v>2705</v>
      </c>
      <c r="AH209" s="142" t="s">
        <v>2705</v>
      </c>
      <c r="AI209" s="142" t="s">
        <v>2675</v>
      </c>
      <c r="AJ209" s="142" t="s">
        <v>2398</v>
      </c>
      <c r="AK209" s="142" t="s">
        <v>2398</v>
      </c>
      <c r="AL209" s="142" t="s">
        <v>2705</v>
      </c>
      <c r="AM209" s="142" t="s">
        <v>2398</v>
      </c>
      <c r="AN209" s="142" t="s">
        <v>2398</v>
      </c>
      <c r="AO209" s="142" t="s">
        <v>2675</v>
      </c>
      <c r="AP209" s="142" t="s">
        <v>2398</v>
      </c>
      <c r="AQ209" s="142" t="s">
        <v>2398</v>
      </c>
      <c r="AR209" s="142" t="s">
        <v>2705</v>
      </c>
      <c r="AS209" s="142" t="s">
        <v>2398</v>
      </c>
      <c r="AT209" s="142" t="s">
        <v>2398</v>
      </c>
      <c r="AU209" s="142" t="s">
        <v>2705</v>
      </c>
      <c r="AV209" s="142" t="s">
        <v>2675</v>
      </c>
      <c r="AW209" s="142" t="s">
        <v>2705</v>
      </c>
      <c r="AX209" s="142" t="s">
        <v>2398</v>
      </c>
      <c r="AY209" s="142" t="s">
        <v>2398</v>
      </c>
      <c r="AZ209" s="142" t="s">
        <v>2398</v>
      </c>
    </row>
    <row r="210" spans="1:52" s="142" customFormat="1" ht="12.75" x14ac:dyDescent="0.2">
      <c r="A210" s="151"/>
      <c r="B210" s="152" t="s">
        <v>2398</v>
      </c>
      <c r="C210" s="152" t="s">
        <v>2397</v>
      </c>
      <c r="D210" s="152" t="s">
        <v>2398</v>
      </c>
      <c r="E210" s="152" t="s">
        <v>2705</v>
      </c>
      <c r="F210" s="152" t="s">
        <v>2398</v>
      </c>
      <c r="G210" s="152" t="s">
        <v>2398</v>
      </c>
      <c r="H210" s="152" t="s">
        <v>2705</v>
      </c>
      <c r="I210" s="152" t="s">
        <v>2705</v>
      </c>
      <c r="J210" s="152" t="s">
        <v>2705</v>
      </c>
      <c r="K210" s="152" t="s">
        <v>2705</v>
      </c>
      <c r="L210" s="152" t="s">
        <v>2398</v>
      </c>
      <c r="M210" s="152" t="s">
        <v>2705</v>
      </c>
      <c r="N210" s="152" t="s">
        <v>2705</v>
      </c>
      <c r="O210" s="152" t="s">
        <v>2705</v>
      </c>
      <c r="P210" s="152" t="s">
        <v>2705</v>
      </c>
      <c r="Q210" s="152" t="s">
        <v>2705</v>
      </c>
      <c r="R210" s="152" t="s">
        <v>2398</v>
      </c>
      <c r="S210" s="152" t="s">
        <v>2705</v>
      </c>
      <c r="T210" s="152" t="s">
        <v>2705</v>
      </c>
      <c r="U210" s="152" t="s">
        <v>2398</v>
      </c>
      <c r="V210" s="142" t="str" cm="1">
        <f t="array" ref="V210">IF(A210&lt;&gt;"",SUM(--(B210:U211 = "X")*$U$3,--(B210:U211 ="A")*$Q$3,--(B210:U211 ="B")*$R$3,--(B210:U211 ="C")*$S$3),"")</f>
        <v/>
      </c>
      <c r="X210" s="437" t="s">
        <v>7518</v>
      </c>
      <c r="Y210" s="437">
        <v>15</v>
      </c>
      <c r="Z210" s="436">
        <f>_xlfn.XLOOKUP(answers[[#This Row],[StudentID]],$A$7:$A$1418,$V$7:$V$1418)</f>
        <v>15</v>
      </c>
      <c r="AG210" s="142" t="s">
        <v>2398</v>
      </c>
      <c r="AH210" s="142" t="s">
        <v>2397</v>
      </c>
      <c r="AI210" s="142" t="s">
        <v>2398</v>
      </c>
      <c r="AJ210" s="142" t="s">
        <v>2705</v>
      </c>
      <c r="AK210" s="142" t="s">
        <v>2398</v>
      </c>
      <c r="AL210" s="142" t="s">
        <v>2398</v>
      </c>
      <c r="AM210" s="142" t="s">
        <v>2705</v>
      </c>
      <c r="AN210" s="142" t="s">
        <v>2705</v>
      </c>
      <c r="AO210" s="142" t="s">
        <v>2705</v>
      </c>
      <c r="AP210" s="142" t="s">
        <v>2705</v>
      </c>
      <c r="AQ210" s="142" t="s">
        <v>2398</v>
      </c>
      <c r="AR210" s="142" t="s">
        <v>2705</v>
      </c>
      <c r="AS210" s="142" t="s">
        <v>2705</v>
      </c>
      <c r="AT210" s="142" t="s">
        <v>2705</v>
      </c>
      <c r="AU210" s="142" t="s">
        <v>2705</v>
      </c>
      <c r="AV210" s="142" t="s">
        <v>2705</v>
      </c>
      <c r="AW210" s="142" t="s">
        <v>2398</v>
      </c>
      <c r="AX210" s="142" t="s">
        <v>2705</v>
      </c>
      <c r="AY210" s="142" t="s">
        <v>2705</v>
      </c>
      <c r="AZ210" s="142" t="s">
        <v>2398</v>
      </c>
    </row>
    <row r="211" spans="1:52" s="142" customFormat="1" ht="12.75" x14ac:dyDescent="0.2">
      <c r="A211" s="151" t="s">
        <v>7422</v>
      </c>
      <c r="B211" s="152" t="s">
        <v>2398</v>
      </c>
      <c r="C211" s="152" t="s">
        <v>2398</v>
      </c>
      <c r="D211" s="152" t="s">
        <v>2398</v>
      </c>
      <c r="E211" s="152" t="s">
        <v>2705</v>
      </c>
      <c r="F211" s="152" t="s">
        <v>2398</v>
      </c>
      <c r="G211" s="152" t="s">
        <v>1435</v>
      </c>
      <c r="H211" s="152" t="s">
        <v>2398</v>
      </c>
      <c r="I211" s="152" t="s">
        <v>2398</v>
      </c>
      <c r="J211" s="152" t="s">
        <v>2705</v>
      </c>
      <c r="K211" s="152" t="s">
        <v>2705</v>
      </c>
      <c r="L211" s="152" t="s">
        <v>2675</v>
      </c>
      <c r="M211" s="152" t="s">
        <v>2398</v>
      </c>
      <c r="N211" s="152" t="s">
        <v>2398</v>
      </c>
      <c r="O211" s="152" t="s">
        <v>1435</v>
      </c>
      <c r="P211" s="152" t="s">
        <v>2705</v>
      </c>
      <c r="Q211" s="152" t="s">
        <v>2705</v>
      </c>
      <c r="R211" s="152" t="s">
        <v>2705</v>
      </c>
      <c r="S211" s="152" t="s">
        <v>2705</v>
      </c>
      <c r="T211" s="152" t="s">
        <v>2705</v>
      </c>
      <c r="U211" s="152" t="s">
        <v>2398</v>
      </c>
      <c r="V211" s="142" cm="1">
        <f t="array" ref="V211">IF(A211&lt;&gt;"",SUM(--(B211:U212 = "X")*$U$3,--(B211:U212 ="A")*$Q$3,--(B211:U212 ="B")*$R$3,--(B211:U212 ="C")*$S$3),"")</f>
        <v>11.5</v>
      </c>
      <c r="X211" s="437" t="s">
        <v>7519</v>
      </c>
      <c r="Y211" s="437">
        <v>16</v>
      </c>
      <c r="Z211" s="436">
        <f>_xlfn.XLOOKUP(answers[[#This Row],[StudentID]],$A$7:$A$1418,$V$7:$V$1418)</f>
        <v>16</v>
      </c>
      <c r="AF211" s="142" t="s">
        <v>7422</v>
      </c>
      <c r="AG211" s="142" t="s">
        <v>2398</v>
      </c>
      <c r="AH211" s="142" t="s">
        <v>2398</v>
      </c>
      <c r="AI211" s="142" t="s">
        <v>2398</v>
      </c>
      <c r="AJ211" s="142" t="s">
        <v>2705</v>
      </c>
      <c r="AK211" s="142" t="s">
        <v>2398</v>
      </c>
      <c r="AL211" s="142" t="s">
        <v>1435</v>
      </c>
      <c r="AM211" s="142" t="s">
        <v>2398</v>
      </c>
      <c r="AN211" s="142" t="s">
        <v>2398</v>
      </c>
      <c r="AO211" s="142" t="s">
        <v>2705</v>
      </c>
      <c r="AP211" s="142" t="s">
        <v>2705</v>
      </c>
      <c r="AQ211" s="142" t="s">
        <v>2675</v>
      </c>
      <c r="AR211" s="142" t="s">
        <v>2398</v>
      </c>
      <c r="AS211" s="142" t="s">
        <v>2398</v>
      </c>
      <c r="AT211" s="142" t="s">
        <v>1435</v>
      </c>
      <c r="AU211" s="142" t="s">
        <v>2705</v>
      </c>
      <c r="AV211" s="142" t="s">
        <v>2705</v>
      </c>
      <c r="AW211" s="142" t="s">
        <v>2705</v>
      </c>
      <c r="AX211" s="142" t="s">
        <v>2705</v>
      </c>
      <c r="AY211" s="142" t="s">
        <v>2705</v>
      </c>
      <c r="AZ211" s="142" t="s">
        <v>2398</v>
      </c>
    </row>
    <row r="212" spans="1:52" s="142" customFormat="1" ht="12.75" x14ac:dyDescent="0.2">
      <c r="A212" s="151"/>
      <c r="B212" s="152" t="s">
        <v>2398</v>
      </c>
      <c r="C212" s="152" t="s">
        <v>2397</v>
      </c>
      <c r="D212" s="152" t="s">
        <v>1435</v>
      </c>
      <c r="E212" s="152" t="s">
        <v>2705</v>
      </c>
      <c r="F212" s="152" t="s">
        <v>2398</v>
      </c>
      <c r="G212" s="152" t="s">
        <v>2705</v>
      </c>
      <c r="H212" s="152" t="s">
        <v>2705</v>
      </c>
      <c r="I212" s="152" t="s">
        <v>2705</v>
      </c>
      <c r="J212" s="152" t="s">
        <v>2397</v>
      </c>
      <c r="K212" s="152" t="s">
        <v>1435</v>
      </c>
      <c r="L212" s="152" t="s">
        <v>2398</v>
      </c>
      <c r="M212" s="152" t="s">
        <v>2705</v>
      </c>
      <c r="N212" s="152" t="s">
        <v>2398</v>
      </c>
      <c r="O212" s="152" t="s">
        <v>2397</v>
      </c>
      <c r="P212" s="152" t="s">
        <v>2398</v>
      </c>
      <c r="Q212" s="152" t="s">
        <v>2397</v>
      </c>
      <c r="R212" s="152" t="s">
        <v>1435</v>
      </c>
      <c r="S212" s="152" t="s">
        <v>2705</v>
      </c>
      <c r="T212" s="152" t="s">
        <v>2705</v>
      </c>
      <c r="U212" s="152" t="s">
        <v>2675</v>
      </c>
      <c r="V212" s="142" t="str" cm="1">
        <f t="array" ref="V212">IF(A212&lt;&gt;"",SUM(--(B212:U213 = "X")*$U$3,--(B212:U213 ="A")*$Q$3,--(B212:U213 ="B")*$R$3,--(B212:U213 ="C")*$S$3),"")</f>
        <v/>
      </c>
      <c r="X212" s="437" t="s">
        <v>7520</v>
      </c>
      <c r="Y212" s="437">
        <v>23.5</v>
      </c>
      <c r="Z212" s="436">
        <f>_xlfn.XLOOKUP(answers[[#This Row],[StudentID]],$A$7:$A$1418,$V$7:$V$1418)</f>
        <v>23.5</v>
      </c>
      <c r="AG212" s="142" t="s">
        <v>2398</v>
      </c>
      <c r="AH212" s="142" t="s">
        <v>2397</v>
      </c>
      <c r="AI212" s="142" t="s">
        <v>1435</v>
      </c>
      <c r="AJ212" s="142" t="s">
        <v>2705</v>
      </c>
      <c r="AK212" s="142" t="s">
        <v>2398</v>
      </c>
      <c r="AL212" s="142" t="s">
        <v>2705</v>
      </c>
      <c r="AM212" s="142" t="s">
        <v>2705</v>
      </c>
      <c r="AN212" s="142" t="s">
        <v>2705</v>
      </c>
      <c r="AO212" s="142" t="s">
        <v>2397</v>
      </c>
      <c r="AP212" s="142" t="s">
        <v>1435</v>
      </c>
      <c r="AQ212" s="142" t="s">
        <v>2398</v>
      </c>
      <c r="AR212" s="142" t="s">
        <v>2705</v>
      </c>
      <c r="AS212" s="142" t="s">
        <v>2398</v>
      </c>
      <c r="AT212" s="142" t="s">
        <v>2397</v>
      </c>
      <c r="AU212" s="142" t="s">
        <v>2398</v>
      </c>
      <c r="AV212" s="142" t="s">
        <v>2397</v>
      </c>
      <c r="AW212" s="142" t="s">
        <v>1435</v>
      </c>
      <c r="AX212" s="142" t="s">
        <v>2705</v>
      </c>
      <c r="AY212" s="142" t="s">
        <v>2705</v>
      </c>
      <c r="AZ212" s="142" t="s">
        <v>2675</v>
      </c>
    </row>
    <row r="213" spans="1:52" s="142" customFormat="1" ht="12.75" x14ac:dyDescent="0.2">
      <c r="A213" s="151" t="s">
        <v>7423</v>
      </c>
      <c r="B213" s="152" t="s">
        <v>2705</v>
      </c>
      <c r="C213" s="152" t="s">
        <v>2397</v>
      </c>
      <c r="D213" s="152" t="s">
        <v>2705</v>
      </c>
      <c r="E213" s="152" t="s">
        <v>1435</v>
      </c>
      <c r="F213" s="152" t="s">
        <v>2705</v>
      </c>
      <c r="G213" s="152" t="s">
        <v>2705</v>
      </c>
      <c r="H213" s="152" t="s">
        <v>2705</v>
      </c>
      <c r="I213" s="152" t="s">
        <v>2675</v>
      </c>
      <c r="J213" s="152" t="s">
        <v>2397</v>
      </c>
      <c r="K213" s="152" t="s">
        <v>1435</v>
      </c>
      <c r="L213" s="152" t="s">
        <v>2705</v>
      </c>
      <c r="M213" s="152" t="s">
        <v>2398</v>
      </c>
      <c r="N213" s="152" t="s">
        <v>2705</v>
      </c>
      <c r="O213" s="152" t="s">
        <v>2398</v>
      </c>
      <c r="P213" s="152" t="s">
        <v>2398</v>
      </c>
      <c r="Q213" s="152" t="s">
        <v>2398</v>
      </c>
      <c r="R213" s="152" t="s">
        <v>2675</v>
      </c>
      <c r="S213" s="152" t="s">
        <v>2398</v>
      </c>
      <c r="T213" s="152" t="s">
        <v>2705</v>
      </c>
      <c r="U213" s="152" t="s">
        <v>2398</v>
      </c>
      <c r="V213" s="142" cm="1">
        <f t="array" ref="V213">IF(A213&lt;&gt;"",SUM(--(B213:U214 = "X")*$U$3,--(B213:U214 ="A")*$Q$3,--(B213:U214 ="B")*$R$3,--(B213:U214 ="C")*$S$3),"")</f>
        <v>12</v>
      </c>
      <c r="X213" s="437" t="s">
        <v>7521</v>
      </c>
      <c r="Y213" s="437">
        <v>4</v>
      </c>
      <c r="Z213" s="436">
        <f>_xlfn.XLOOKUP(answers[[#This Row],[StudentID]],$A$7:$A$1418,$V$7:$V$1418)</f>
        <v>4</v>
      </c>
      <c r="AF213" s="142" t="s">
        <v>7423</v>
      </c>
      <c r="AG213" s="142" t="s">
        <v>2705</v>
      </c>
      <c r="AH213" s="142" t="s">
        <v>2397</v>
      </c>
      <c r="AI213" s="142" t="s">
        <v>2705</v>
      </c>
      <c r="AJ213" s="142" t="s">
        <v>1435</v>
      </c>
      <c r="AK213" s="142" t="s">
        <v>2705</v>
      </c>
      <c r="AL213" s="142" t="s">
        <v>2705</v>
      </c>
      <c r="AM213" s="142" t="s">
        <v>2705</v>
      </c>
      <c r="AN213" s="142" t="s">
        <v>2675</v>
      </c>
      <c r="AO213" s="142" t="s">
        <v>2397</v>
      </c>
      <c r="AP213" s="142" t="s">
        <v>1435</v>
      </c>
      <c r="AQ213" s="142" t="s">
        <v>2705</v>
      </c>
      <c r="AR213" s="142" t="s">
        <v>2398</v>
      </c>
      <c r="AS213" s="142" t="s">
        <v>2705</v>
      </c>
      <c r="AT213" s="142" t="s">
        <v>2398</v>
      </c>
      <c r="AU213" s="142" t="s">
        <v>2398</v>
      </c>
      <c r="AV213" s="142" t="s">
        <v>2398</v>
      </c>
      <c r="AW213" s="142" t="s">
        <v>2675</v>
      </c>
      <c r="AX213" s="142" t="s">
        <v>2398</v>
      </c>
      <c r="AY213" s="142" t="s">
        <v>2705</v>
      </c>
      <c r="AZ213" s="142" t="s">
        <v>2398</v>
      </c>
    </row>
    <row r="214" spans="1:52" s="142" customFormat="1" ht="12.75" x14ac:dyDescent="0.2">
      <c r="A214" s="151"/>
      <c r="B214" s="152" t="s">
        <v>2705</v>
      </c>
      <c r="C214" s="152" t="s">
        <v>2398</v>
      </c>
      <c r="D214" s="152" t="s">
        <v>2398</v>
      </c>
      <c r="E214" s="152" t="s">
        <v>2398</v>
      </c>
      <c r="F214" s="152" t="s">
        <v>2398</v>
      </c>
      <c r="G214" s="152" t="s">
        <v>1435</v>
      </c>
      <c r="H214" s="152" t="s">
        <v>2398</v>
      </c>
      <c r="I214" s="152" t="s">
        <v>2705</v>
      </c>
      <c r="J214" s="152" t="s">
        <v>2398</v>
      </c>
      <c r="K214" s="152" t="s">
        <v>2705</v>
      </c>
      <c r="L214" s="152" t="s">
        <v>2705</v>
      </c>
      <c r="M214" s="152" t="s">
        <v>2398</v>
      </c>
      <c r="N214" s="152" t="s">
        <v>1435</v>
      </c>
      <c r="O214" s="152" t="s">
        <v>2705</v>
      </c>
      <c r="P214" s="152" t="s">
        <v>2705</v>
      </c>
      <c r="Q214" s="152" t="s">
        <v>2705</v>
      </c>
      <c r="R214" s="152" t="s">
        <v>2398</v>
      </c>
      <c r="S214" s="152" t="s">
        <v>2398</v>
      </c>
      <c r="T214" s="152" t="s">
        <v>2398</v>
      </c>
      <c r="U214" s="152" t="s">
        <v>2398</v>
      </c>
      <c r="V214" s="142" t="str" cm="1">
        <f t="array" ref="V214">IF(A214&lt;&gt;"",SUM(--(B214:U215 = "X")*$U$3,--(B214:U215 ="A")*$Q$3,--(B214:U215 ="B")*$R$3,--(B214:U215 ="C")*$S$3),"")</f>
        <v/>
      </c>
      <c r="X214" s="437" t="s">
        <v>7522</v>
      </c>
      <c r="Y214" s="437">
        <v>14.5</v>
      </c>
      <c r="Z214" s="436">
        <f>_xlfn.XLOOKUP(answers[[#This Row],[StudentID]],$A$7:$A$1418,$V$7:$V$1418)</f>
        <v>14.5</v>
      </c>
      <c r="AG214" s="142" t="s">
        <v>2705</v>
      </c>
      <c r="AH214" s="142" t="s">
        <v>2398</v>
      </c>
      <c r="AI214" s="142" t="s">
        <v>2398</v>
      </c>
      <c r="AJ214" s="142" t="s">
        <v>2398</v>
      </c>
      <c r="AK214" s="142" t="s">
        <v>2398</v>
      </c>
      <c r="AL214" s="142" t="s">
        <v>1435</v>
      </c>
      <c r="AM214" s="142" t="s">
        <v>2398</v>
      </c>
      <c r="AN214" s="142" t="s">
        <v>2705</v>
      </c>
      <c r="AO214" s="142" t="s">
        <v>2398</v>
      </c>
      <c r="AP214" s="142" t="s">
        <v>2705</v>
      </c>
      <c r="AQ214" s="142" t="s">
        <v>2705</v>
      </c>
      <c r="AR214" s="142" t="s">
        <v>2398</v>
      </c>
      <c r="AS214" s="142" t="s">
        <v>1435</v>
      </c>
      <c r="AT214" s="142" t="s">
        <v>2705</v>
      </c>
      <c r="AU214" s="142" t="s">
        <v>2705</v>
      </c>
      <c r="AV214" s="142" t="s">
        <v>2705</v>
      </c>
      <c r="AW214" s="142" t="s">
        <v>2398</v>
      </c>
      <c r="AX214" s="142" t="s">
        <v>2398</v>
      </c>
      <c r="AY214" s="142" t="s">
        <v>2398</v>
      </c>
      <c r="AZ214" s="142" t="s">
        <v>2398</v>
      </c>
    </row>
    <row r="215" spans="1:52" s="142" customFormat="1" ht="12.75" x14ac:dyDescent="0.2">
      <c r="A215" s="151" t="s">
        <v>7424</v>
      </c>
      <c r="B215" s="152" t="s">
        <v>2705</v>
      </c>
      <c r="C215" s="152" t="s">
        <v>2398</v>
      </c>
      <c r="D215" s="152" t="s">
        <v>2675</v>
      </c>
      <c r="E215" s="152" t="s">
        <v>2705</v>
      </c>
      <c r="F215" s="152" t="s">
        <v>1435</v>
      </c>
      <c r="G215" s="152" t="s">
        <v>2398</v>
      </c>
      <c r="H215" s="152" t="s">
        <v>2705</v>
      </c>
      <c r="I215" s="152" t="s">
        <v>2705</v>
      </c>
      <c r="J215" s="152" t="s">
        <v>2398</v>
      </c>
      <c r="K215" s="152" t="s">
        <v>2397</v>
      </c>
      <c r="L215" s="152" t="s">
        <v>2675</v>
      </c>
      <c r="M215" s="152" t="s">
        <v>2705</v>
      </c>
      <c r="N215" s="152" t="s">
        <v>2398</v>
      </c>
      <c r="O215" s="152" t="s">
        <v>2398</v>
      </c>
      <c r="P215" s="152" t="s">
        <v>2397</v>
      </c>
      <c r="Q215" s="152" t="s">
        <v>2705</v>
      </c>
      <c r="R215" s="152" t="s">
        <v>2705</v>
      </c>
      <c r="S215" s="152" t="s">
        <v>2705</v>
      </c>
      <c r="T215" s="152" t="s">
        <v>2398</v>
      </c>
      <c r="U215" s="152" t="s">
        <v>2398</v>
      </c>
      <c r="V215" s="142" cm="1">
        <f t="array" ref="V215">IF(A215&lt;&gt;"",SUM(--(B215:U216 = "X")*$U$3,--(B215:U216 ="A")*$Q$3,--(B215:U216 ="B")*$R$3,--(B215:U216 ="C")*$S$3),"")</f>
        <v>14.5</v>
      </c>
      <c r="X215" s="437" t="s">
        <v>7523</v>
      </c>
      <c r="Y215" s="437">
        <v>12</v>
      </c>
      <c r="Z215" s="436">
        <f>_xlfn.XLOOKUP(answers[[#This Row],[StudentID]],$A$7:$A$1418,$V$7:$V$1418)</f>
        <v>12</v>
      </c>
      <c r="AF215" s="142" t="s">
        <v>7424</v>
      </c>
      <c r="AG215" s="142" t="s">
        <v>2705</v>
      </c>
      <c r="AH215" s="142" t="s">
        <v>2398</v>
      </c>
      <c r="AI215" s="142" t="s">
        <v>2675</v>
      </c>
      <c r="AJ215" s="142" t="s">
        <v>2705</v>
      </c>
      <c r="AK215" s="142" t="s">
        <v>1435</v>
      </c>
      <c r="AL215" s="142" t="s">
        <v>2398</v>
      </c>
      <c r="AM215" s="142" t="s">
        <v>2705</v>
      </c>
      <c r="AN215" s="142" t="s">
        <v>2705</v>
      </c>
      <c r="AO215" s="142" t="s">
        <v>2398</v>
      </c>
      <c r="AP215" s="142" t="s">
        <v>2397</v>
      </c>
      <c r="AQ215" s="142" t="s">
        <v>2675</v>
      </c>
      <c r="AR215" s="142" t="s">
        <v>2705</v>
      </c>
      <c r="AS215" s="142" t="s">
        <v>2398</v>
      </c>
      <c r="AT215" s="142" t="s">
        <v>2398</v>
      </c>
      <c r="AU215" s="142" t="s">
        <v>2397</v>
      </c>
      <c r="AV215" s="142" t="s">
        <v>2705</v>
      </c>
      <c r="AW215" s="142" t="s">
        <v>2705</v>
      </c>
      <c r="AX215" s="142" t="s">
        <v>2705</v>
      </c>
      <c r="AY215" s="142" t="s">
        <v>2398</v>
      </c>
      <c r="AZ215" s="142" t="s">
        <v>2398</v>
      </c>
    </row>
    <row r="216" spans="1:52" s="142" customFormat="1" ht="12.75" x14ac:dyDescent="0.2">
      <c r="A216" s="151"/>
      <c r="B216" s="152" t="s">
        <v>1435</v>
      </c>
      <c r="C216" s="152" t="s">
        <v>2397</v>
      </c>
      <c r="D216" s="152" t="s">
        <v>2705</v>
      </c>
      <c r="E216" s="152" t="s">
        <v>2705</v>
      </c>
      <c r="F216" s="152" t="s">
        <v>2398</v>
      </c>
      <c r="G216" s="152" t="s">
        <v>2398</v>
      </c>
      <c r="H216" s="152" t="s">
        <v>2705</v>
      </c>
      <c r="I216" s="152" t="s">
        <v>2675</v>
      </c>
      <c r="J216" s="152" t="s">
        <v>2397</v>
      </c>
      <c r="K216" s="152" t="s">
        <v>2705</v>
      </c>
      <c r="L216" s="152" t="s">
        <v>2705</v>
      </c>
      <c r="M216" s="152" t="s">
        <v>2705</v>
      </c>
      <c r="N216" s="152" t="s">
        <v>2705</v>
      </c>
      <c r="O216" s="152" t="s">
        <v>2705</v>
      </c>
      <c r="P216" s="152" t="s">
        <v>1435</v>
      </c>
      <c r="Q216" s="152" t="s">
        <v>2705</v>
      </c>
      <c r="R216" s="152" t="s">
        <v>2398</v>
      </c>
      <c r="S216" s="152" t="s">
        <v>2705</v>
      </c>
      <c r="T216" s="152" t="s">
        <v>2675</v>
      </c>
      <c r="U216" s="152" t="s">
        <v>2398</v>
      </c>
      <c r="V216" s="142" t="str" cm="1">
        <f t="array" ref="V216">IF(A216&lt;&gt;"",SUM(--(B216:U217 = "X")*$U$3,--(B216:U217 ="A")*$Q$3,--(B216:U217 ="B")*$R$3,--(B216:U217 ="C")*$S$3),"")</f>
        <v/>
      </c>
      <c r="X216" s="437" t="s">
        <v>7524</v>
      </c>
      <c r="Y216" s="437">
        <v>17.5</v>
      </c>
      <c r="Z216" s="436">
        <f>_xlfn.XLOOKUP(answers[[#This Row],[StudentID]],$A$7:$A$1418,$V$7:$V$1418)</f>
        <v>17.5</v>
      </c>
      <c r="AG216" s="142" t="s">
        <v>1435</v>
      </c>
      <c r="AH216" s="142" t="s">
        <v>2397</v>
      </c>
      <c r="AI216" s="142" t="s">
        <v>2705</v>
      </c>
      <c r="AJ216" s="142" t="s">
        <v>2705</v>
      </c>
      <c r="AK216" s="142" t="s">
        <v>2398</v>
      </c>
      <c r="AL216" s="142" t="s">
        <v>2398</v>
      </c>
      <c r="AM216" s="142" t="s">
        <v>2705</v>
      </c>
      <c r="AN216" s="142" t="s">
        <v>2675</v>
      </c>
      <c r="AO216" s="142" t="s">
        <v>2397</v>
      </c>
      <c r="AP216" s="142" t="s">
        <v>2705</v>
      </c>
      <c r="AQ216" s="142" t="s">
        <v>2705</v>
      </c>
      <c r="AR216" s="142" t="s">
        <v>2705</v>
      </c>
      <c r="AS216" s="142" t="s">
        <v>2705</v>
      </c>
      <c r="AT216" s="142" t="s">
        <v>2705</v>
      </c>
      <c r="AU216" s="142" t="s">
        <v>1435</v>
      </c>
      <c r="AV216" s="142" t="s">
        <v>2705</v>
      </c>
      <c r="AW216" s="142" t="s">
        <v>2398</v>
      </c>
      <c r="AX216" s="142" t="s">
        <v>2705</v>
      </c>
      <c r="AY216" s="142" t="s">
        <v>2675</v>
      </c>
      <c r="AZ216" s="142" t="s">
        <v>2398</v>
      </c>
    </row>
    <row r="217" spans="1:52" s="142" customFormat="1" ht="12.75" x14ac:dyDescent="0.2">
      <c r="A217" s="151" t="s">
        <v>7425</v>
      </c>
      <c r="B217" s="152" t="s">
        <v>2705</v>
      </c>
      <c r="C217" s="152" t="s">
        <v>2398</v>
      </c>
      <c r="D217" s="152" t="s">
        <v>2398</v>
      </c>
      <c r="E217" s="152" t="s">
        <v>2397</v>
      </c>
      <c r="F217" s="152" t="s">
        <v>2705</v>
      </c>
      <c r="G217" s="152" t="s">
        <v>2705</v>
      </c>
      <c r="H217" s="152" t="s">
        <v>2705</v>
      </c>
      <c r="I217" s="152" t="s">
        <v>2398</v>
      </c>
      <c r="J217" s="152" t="s">
        <v>2705</v>
      </c>
      <c r="K217" s="152" t="s">
        <v>2398</v>
      </c>
      <c r="L217" s="152" t="s">
        <v>2705</v>
      </c>
      <c r="M217" s="152" t="s">
        <v>2705</v>
      </c>
      <c r="N217" s="152" t="s">
        <v>2705</v>
      </c>
      <c r="O217" s="152" t="s">
        <v>2398</v>
      </c>
      <c r="P217" s="152" t="s">
        <v>2675</v>
      </c>
      <c r="Q217" s="152" t="s">
        <v>2705</v>
      </c>
      <c r="R217" s="152" t="s">
        <v>2705</v>
      </c>
      <c r="S217" s="152" t="s">
        <v>2398</v>
      </c>
      <c r="T217" s="152" t="s">
        <v>2705</v>
      </c>
      <c r="U217" s="152" t="s">
        <v>2398</v>
      </c>
      <c r="V217" s="142" cm="1">
        <f t="array" ref="V217">IF(A217&lt;&gt;"",SUM(--(B217:U218 = "X")*$U$3,--(B217:U218 ="A")*$Q$3,--(B217:U218 ="B")*$R$3,--(B217:U218 ="C")*$S$3),"")</f>
        <v>16</v>
      </c>
      <c r="X217" s="437" t="s">
        <v>7525</v>
      </c>
      <c r="Y217" s="437">
        <v>27</v>
      </c>
      <c r="Z217" s="436">
        <f>_xlfn.XLOOKUP(answers[[#This Row],[StudentID]],$A$7:$A$1418,$V$7:$V$1418)</f>
        <v>27</v>
      </c>
      <c r="AF217" s="142" t="s">
        <v>7425</v>
      </c>
      <c r="AG217" s="142" t="s">
        <v>2705</v>
      </c>
      <c r="AH217" s="142" t="s">
        <v>2398</v>
      </c>
      <c r="AI217" s="142" t="s">
        <v>2398</v>
      </c>
      <c r="AJ217" s="142" t="s">
        <v>2397</v>
      </c>
      <c r="AK217" s="142" t="s">
        <v>2705</v>
      </c>
      <c r="AL217" s="142" t="s">
        <v>2705</v>
      </c>
      <c r="AM217" s="142" t="s">
        <v>2705</v>
      </c>
      <c r="AN217" s="142" t="s">
        <v>2398</v>
      </c>
      <c r="AO217" s="142" t="s">
        <v>2705</v>
      </c>
      <c r="AP217" s="142" t="s">
        <v>2398</v>
      </c>
      <c r="AQ217" s="142" t="s">
        <v>2705</v>
      </c>
      <c r="AR217" s="142" t="s">
        <v>2705</v>
      </c>
      <c r="AS217" s="142" t="s">
        <v>2705</v>
      </c>
      <c r="AT217" s="142" t="s">
        <v>2398</v>
      </c>
      <c r="AU217" s="142" t="s">
        <v>2675</v>
      </c>
      <c r="AV217" s="142" t="s">
        <v>2705</v>
      </c>
      <c r="AW217" s="142" t="s">
        <v>2705</v>
      </c>
      <c r="AX217" s="142" t="s">
        <v>2398</v>
      </c>
      <c r="AY217" s="142" t="s">
        <v>2705</v>
      </c>
      <c r="AZ217" s="142" t="s">
        <v>2398</v>
      </c>
    </row>
    <row r="218" spans="1:52" s="142" customFormat="1" ht="12.75" x14ac:dyDescent="0.2">
      <c r="A218" s="151"/>
      <c r="B218" s="152" t="s">
        <v>2397</v>
      </c>
      <c r="C218" s="152" t="s">
        <v>2398</v>
      </c>
      <c r="D218" s="152" t="s">
        <v>2398</v>
      </c>
      <c r="E218" s="152" t="s">
        <v>2675</v>
      </c>
      <c r="F218" s="152" t="s">
        <v>2705</v>
      </c>
      <c r="G218" s="152" t="s">
        <v>2398</v>
      </c>
      <c r="H218" s="152" t="s">
        <v>2705</v>
      </c>
      <c r="I218" s="152" t="s">
        <v>2705</v>
      </c>
      <c r="J218" s="152" t="s">
        <v>2398</v>
      </c>
      <c r="K218" s="152" t="s">
        <v>2705</v>
      </c>
      <c r="L218" s="152" t="s">
        <v>2398</v>
      </c>
      <c r="M218" s="152" t="s">
        <v>2705</v>
      </c>
      <c r="N218" s="152" t="s">
        <v>2398</v>
      </c>
      <c r="O218" s="152" t="s">
        <v>2705</v>
      </c>
      <c r="P218" s="152" t="s">
        <v>2675</v>
      </c>
      <c r="Q218" s="152" t="s">
        <v>2705</v>
      </c>
      <c r="R218" s="152" t="s">
        <v>1435</v>
      </c>
      <c r="S218" s="152" t="s">
        <v>2705</v>
      </c>
      <c r="T218" s="152" t="s">
        <v>1435</v>
      </c>
      <c r="U218" s="152" t="s">
        <v>2675</v>
      </c>
      <c r="V218" s="142" t="str" cm="1">
        <f t="array" ref="V218">IF(A218&lt;&gt;"",SUM(--(B218:U219 = "X")*$U$3,--(B218:U219 ="A")*$Q$3,--(B218:U219 ="B")*$R$3,--(B218:U219 ="C")*$S$3),"")</f>
        <v/>
      </c>
      <c r="X218" s="437" t="s">
        <v>7526</v>
      </c>
      <c r="Y218" s="437">
        <v>21.5</v>
      </c>
      <c r="Z218" s="436">
        <f>_xlfn.XLOOKUP(answers[[#This Row],[StudentID]],$A$7:$A$1418,$V$7:$V$1418)</f>
        <v>21.5</v>
      </c>
      <c r="AG218" s="142" t="s">
        <v>2397</v>
      </c>
      <c r="AH218" s="142" t="s">
        <v>2398</v>
      </c>
      <c r="AI218" s="142" t="s">
        <v>2398</v>
      </c>
      <c r="AJ218" s="142" t="s">
        <v>2675</v>
      </c>
      <c r="AK218" s="142" t="s">
        <v>2705</v>
      </c>
      <c r="AL218" s="142" t="s">
        <v>2398</v>
      </c>
      <c r="AM218" s="142" t="s">
        <v>2705</v>
      </c>
      <c r="AN218" s="142" t="s">
        <v>2705</v>
      </c>
      <c r="AO218" s="142" t="s">
        <v>2398</v>
      </c>
      <c r="AP218" s="142" t="s">
        <v>2705</v>
      </c>
      <c r="AQ218" s="142" t="s">
        <v>2398</v>
      </c>
      <c r="AR218" s="142" t="s">
        <v>2705</v>
      </c>
      <c r="AS218" s="142" t="s">
        <v>2398</v>
      </c>
      <c r="AT218" s="142" t="s">
        <v>2705</v>
      </c>
      <c r="AU218" s="142" t="s">
        <v>2675</v>
      </c>
      <c r="AV218" s="142" t="s">
        <v>2705</v>
      </c>
      <c r="AW218" s="142" t="s">
        <v>1435</v>
      </c>
      <c r="AX218" s="142" t="s">
        <v>2705</v>
      </c>
      <c r="AY218" s="142" t="s">
        <v>1435</v>
      </c>
      <c r="AZ218" s="142" t="s">
        <v>2675</v>
      </c>
    </row>
    <row r="219" spans="1:52" s="142" customFormat="1" ht="12.75" x14ac:dyDescent="0.2">
      <c r="A219" s="151" t="s">
        <v>7426</v>
      </c>
      <c r="B219" s="152" t="s">
        <v>2397</v>
      </c>
      <c r="C219" s="152" t="s">
        <v>1435</v>
      </c>
      <c r="D219" s="152" t="s">
        <v>2398</v>
      </c>
      <c r="E219" s="152" t="s">
        <v>2705</v>
      </c>
      <c r="F219" s="152" t="s">
        <v>2705</v>
      </c>
      <c r="G219" s="152" t="s">
        <v>2705</v>
      </c>
      <c r="H219" s="152" t="s">
        <v>2705</v>
      </c>
      <c r="I219" s="152" t="s">
        <v>2397</v>
      </c>
      <c r="J219" s="152" t="s">
        <v>2675</v>
      </c>
      <c r="K219" s="152" t="s">
        <v>1435</v>
      </c>
      <c r="L219" s="152" t="s">
        <v>2398</v>
      </c>
      <c r="M219" s="152" t="s">
        <v>2398</v>
      </c>
      <c r="N219" s="152" t="s">
        <v>2705</v>
      </c>
      <c r="O219" s="152" t="s">
        <v>2705</v>
      </c>
      <c r="P219" s="152" t="s">
        <v>2705</v>
      </c>
      <c r="Q219" s="152" t="s">
        <v>2398</v>
      </c>
      <c r="R219" s="152" t="s">
        <v>2398</v>
      </c>
      <c r="S219" s="152" t="s">
        <v>2705</v>
      </c>
      <c r="T219" s="152" t="s">
        <v>2398</v>
      </c>
      <c r="U219" s="152" t="s">
        <v>2705</v>
      </c>
      <c r="V219" s="142" cm="1">
        <f t="array" ref="V219">IF(A219&lt;&gt;"",SUM(--(B219:U220 = "X")*$U$3,--(B219:U220 ="A")*$Q$3,--(B219:U220 ="B")*$R$3,--(B219:U220 ="C")*$S$3),"")</f>
        <v>10.5</v>
      </c>
      <c r="X219" s="437" t="s">
        <v>7527</v>
      </c>
      <c r="Y219" s="437">
        <v>20</v>
      </c>
      <c r="Z219" s="436">
        <f>_xlfn.XLOOKUP(answers[[#This Row],[StudentID]],$A$7:$A$1418,$V$7:$V$1418)</f>
        <v>20</v>
      </c>
      <c r="AF219" s="142" t="s">
        <v>7426</v>
      </c>
      <c r="AG219" s="142" t="s">
        <v>2397</v>
      </c>
      <c r="AH219" s="142" t="s">
        <v>1435</v>
      </c>
      <c r="AI219" s="142" t="s">
        <v>2398</v>
      </c>
      <c r="AJ219" s="142" t="s">
        <v>2705</v>
      </c>
      <c r="AK219" s="142" t="s">
        <v>2705</v>
      </c>
      <c r="AL219" s="142" t="s">
        <v>2705</v>
      </c>
      <c r="AM219" s="142" t="s">
        <v>2705</v>
      </c>
      <c r="AN219" s="142" t="s">
        <v>2397</v>
      </c>
      <c r="AO219" s="142" t="s">
        <v>2675</v>
      </c>
      <c r="AP219" s="142" t="s">
        <v>1435</v>
      </c>
      <c r="AQ219" s="142" t="s">
        <v>2398</v>
      </c>
      <c r="AR219" s="142" t="s">
        <v>2398</v>
      </c>
      <c r="AS219" s="142" t="s">
        <v>2705</v>
      </c>
      <c r="AT219" s="142" t="s">
        <v>2705</v>
      </c>
      <c r="AU219" s="142" t="s">
        <v>2705</v>
      </c>
      <c r="AV219" s="142" t="s">
        <v>2398</v>
      </c>
      <c r="AW219" s="142" t="s">
        <v>2398</v>
      </c>
      <c r="AX219" s="142" t="s">
        <v>2705</v>
      </c>
      <c r="AY219" s="142" t="s">
        <v>2398</v>
      </c>
      <c r="AZ219" s="142" t="s">
        <v>2705</v>
      </c>
    </row>
    <row r="220" spans="1:52" s="142" customFormat="1" ht="12.75" x14ac:dyDescent="0.2">
      <c r="A220" s="151"/>
      <c r="B220" s="152" t="s">
        <v>2675</v>
      </c>
      <c r="C220" s="152" t="s">
        <v>2398</v>
      </c>
      <c r="D220" s="152" t="s">
        <v>2398</v>
      </c>
      <c r="E220" s="152" t="s">
        <v>2675</v>
      </c>
      <c r="F220" s="152" t="s">
        <v>2398</v>
      </c>
      <c r="G220" s="152" t="s">
        <v>2705</v>
      </c>
      <c r="H220" s="152" t="s">
        <v>2398</v>
      </c>
      <c r="I220" s="152" t="s">
        <v>2398</v>
      </c>
      <c r="J220" s="152" t="s">
        <v>2398</v>
      </c>
      <c r="K220" s="152" t="s">
        <v>2675</v>
      </c>
      <c r="L220" s="152" t="s">
        <v>2398</v>
      </c>
      <c r="M220" s="152" t="s">
        <v>2398</v>
      </c>
      <c r="N220" s="152" t="s">
        <v>2705</v>
      </c>
      <c r="O220" s="152" t="s">
        <v>2705</v>
      </c>
      <c r="P220" s="152" t="s">
        <v>2675</v>
      </c>
      <c r="Q220" s="152" t="s">
        <v>2398</v>
      </c>
      <c r="R220" s="152" t="s">
        <v>2398</v>
      </c>
      <c r="S220" s="152" t="s">
        <v>2705</v>
      </c>
      <c r="T220" s="152" t="s">
        <v>2705</v>
      </c>
      <c r="U220" s="152" t="s">
        <v>2398</v>
      </c>
      <c r="V220" s="142" t="str" cm="1">
        <f t="array" ref="V220">IF(A220&lt;&gt;"",SUM(--(B220:U221 = "X")*$U$3,--(B220:U221 ="A")*$Q$3,--(B220:U221 ="B")*$R$3,--(B220:U221 ="C")*$S$3),"")</f>
        <v/>
      </c>
      <c r="X220" s="437" t="s">
        <v>7528</v>
      </c>
      <c r="Y220" s="437">
        <v>11.5</v>
      </c>
      <c r="Z220" s="436">
        <f>_xlfn.XLOOKUP(answers[[#This Row],[StudentID]],$A$7:$A$1418,$V$7:$V$1418)</f>
        <v>11.5</v>
      </c>
      <c r="AG220" s="142" t="s">
        <v>2675</v>
      </c>
      <c r="AH220" s="142" t="s">
        <v>2398</v>
      </c>
      <c r="AI220" s="142" t="s">
        <v>2398</v>
      </c>
      <c r="AJ220" s="142" t="s">
        <v>2675</v>
      </c>
      <c r="AK220" s="142" t="s">
        <v>2398</v>
      </c>
      <c r="AL220" s="142" t="s">
        <v>2705</v>
      </c>
      <c r="AM220" s="142" t="s">
        <v>2398</v>
      </c>
      <c r="AN220" s="142" t="s">
        <v>2398</v>
      </c>
      <c r="AO220" s="142" t="s">
        <v>2398</v>
      </c>
      <c r="AP220" s="142" t="s">
        <v>2675</v>
      </c>
      <c r="AQ220" s="142" t="s">
        <v>2398</v>
      </c>
      <c r="AR220" s="142" t="s">
        <v>2398</v>
      </c>
      <c r="AS220" s="142" t="s">
        <v>2705</v>
      </c>
      <c r="AT220" s="142" t="s">
        <v>2705</v>
      </c>
      <c r="AU220" s="142" t="s">
        <v>2675</v>
      </c>
      <c r="AV220" s="142" t="s">
        <v>2398</v>
      </c>
      <c r="AW220" s="142" t="s">
        <v>2398</v>
      </c>
      <c r="AX220" s="142" t="s">
        <v>2705</v>
      </c>
      <c r="AY220" s="142" t="s">
        <v>2705</v>
      </c>
      <c r="AZ220" s="142" t="s">
        <v>2398</v>
      </c>
    </row>
    <row r="221" spans="1:52" s="142" customFormat="1" ht="12.75" x14ac:dyDescent="0.2">
      <c r="A221" s="151" t="s">
        <v>7427</v>
      </c>
      <c r="B221" s="152" t="s">
        <v>2398</v>
      </c>
      <c r="C221" s="152" t="s">
        <v>2705</v>
      </c>
      <c r="D221" s="152" t="s">
        <v>2398</v>
      </c>
      <c r="E221" s="152" t="s">
        <v>2705</v>
      </c>
      <c r="F221" s="152" t="s">
        <v>2398</v>
      </c>
      <c r="G221" s="152" t="s">
        <v>1435</v>
      </c>
      <c r="H221" s="152" t="s">
        <v>2705</v>
      </c>
      <c r="I221" s="152" t="s">
        <v>2705</v>
      </c>
      <c r="J221" s="152" t="s">
        <v>2675</v>
      </c>
      <c r="K221" s="152" t="s">
        <v>2705</v>
      </c>
      <c r="L221" s="152" t="s">
        <v>2705</v>
      </c>
      <c r="M221" s="152" t="s">
        <v>2398</v>
      </c>
      <c r="N221" s="152" t="s">
        <v>2705</v>
      </c>
      <c r="O221" s="152" t="s">
        <v>2398</v>
      </c>
      <c r="P221" s="152" t="s">
        <v>2398</v>
      </c>
      <c r="Q221" s="152" t="s">
        <v>2675</v>
      </c>
      <c r="R221" s="152" t="s">
        <v>2705</v>
      </c>
      <c r="S221" s="152" t="s">
        <v>2398</v>
      </c>
      <c r="T221" s="152" t="s">
        <v>2398</v>
      </c>
      <c r="U221" s="152" t="s">
        <v>2398</v>
      </c>
      <c r="V221" s="142" cm="1">
        <f t="array" ref="V221">IF(A221&lt;&gt;"",SUM(--(B221:U222 = "X")*$U$3,--(B221:U222 ="A")*$Q$3,--(B221:U222 ="B")*$R$3,--(B221:U222 ="C")*$S$3),"")</f>
        <v>10</v>
      </c>
      <c r="X221" s="437" t="s">
        <v>7529</v>
      </c>
      <c r="Y221" s="437">
        <v>34</v>
      </c>
      <c r="Z221" s="436">
        <f>_xlfn.XLOOKUP(answers[[#This Row],[StudentID]],$A$7:$A$1418,$V$7:$V$1418)</f>
        <v>34</v>
      </c>
      <c r="AF221" s="142" t="s">
        <v>7427</v>
      </c>
      <c r="AG221" s="142" t="s">
        <v>2398</v>
      </c>
      <c r="AH221" s="142" t="s">
        <v>2705</v>
      </c>
      <c r="AI221" s="142" t="s">
        <v>2398</v>
      </c>
      <c r="AJ221" s="142" t="s">
        <v>2705</v>
      </c>
      <c r="AK221" s="142" t="s">
        <v>2398</v>
      </c>
      <c r="AL221" s="142" t="s">
        <v>1435</v>
      </c>
      <c r="AM221" s="142" t="s">
        <v>2705</v>
      </c>
      <c r="AN221" s="142" t="s">
        <v>2705</v>
      </c>
      <c r="AO221" s="142" t="s">
        <v>2675</v>
      </c>
      <c r="AP221" s="142" t="s">
        <v>2705</v>
      </c>
      <c r="AQ221" s="142" t="s">
        <v>2705</v>
      </c>
      <c r="AR221" s="142" t="s">
        <v>2398</v>
      </c>
      <c r="AS221" s="142" t="s">
        <v>2705</v>
      </c>
      <c r="AT221" s="142" t="s">
        <v>2398</v>
      </c>
      <c r="AU221" s="142" t="s">
        <v>2398</v>
      </c>
      <c r="AV221" s="142" t="s">
        <v>2675</v>
      </c>
      <c r="AW221" s="142" t="s">
        <v>2705</v>
      </c>
      <c r="AX221" s="142" t="s">
        <v>2398</v>
      </c>
      <c r="AY221" s="142" t="s">
        <v>2398</v>
      </c>
      <c r="AZ221" s="142" t="s">
        <v>2398</v>
      </c>
    </row>
    <row r="222" spans="1:52" s="142" customFormat="1" ht="12.75" x14ac:dyDescent="0.2">
      <c r="A222" s="151"/>
      <c r="B222" s="152" t="s">
        <v>1435</v>
      </c>
      <c r="C222" s="152" t="s">
        <v>2398</v>
      </c>
      <c r="D222" s="152" t="s">
        <v>2398</v>
      </c>
      <c r="E222" s="152" t="s">
        <v>2398</v>
      </c>
      <c r="F222" s="152" t="s">
        <v>2705</v>
      </c>
      <c r="G222" s="152" t="s">
        <v>1435</v>
      </c>
      <c r="H222" s="152" t="s">
        <v>2675</v>
      </c>
      <c r="I222" s="152" t="s">
        <v>2705</v>
      </c>
      <c r="J222" s="152" t="s">
        <v>2705</v>
      </c>
      <c r="K222" s="152" t="s">
        <v>1435</v>
      </c>
      <c r="L222" s="152" t="s">
        <v>2398</v>
      </c>
      <c r="M222" s="152" t="s">
        <v>1435</v>
      </c>
      <c r="N222" s="152" t="s">
        <v>2398</v>
      </c>
      <c r="O222" s="152" t="s">
        <v>2705</v>
      </c>
      <c r="P222" s="152" t="s">
        <v>2705</v>
      </c>
      <c r="Q222" s="152" t="s">
        <v>2705</v>
      </c>
      <c r="R222" s="152" t="s">
        <v>1435</v>
      </c>
      <c r="S222" s="152" t="s">
        <v>2675</v>
      </c>
      <c r="T222" s="152" t="s">
        <v>2705</v>
      </c>
      <c r="U222" s="152" t="s">
        <v>2398</v>
      </c>
      <c r="V222" s="142" t="str" cm="1">
        <f t="array" ref="V222">IF(A222&lt;&gt;"",SUM(--(B222:U223 = "X")*$U$3,--(B222:U223 ="A")*$Q$3,--(B222:U223 ="B")*$R$3,--(B222:U223 ="C")*$S$3),"")</f>
        <v/>
      </c>
      <c r="X222" s="437" t="s">
        <v>7530</v>
      </c>
      <c r="Y222" s="437">
        <v>22</v>
      </c>
      <c r="Z222" s="436">
        <f>_xlfn.XLOOKUP(answers[[#This Row],[StudentID]],$A$7:$A$1418,$V$7:$V$1418)</f>
        <v>22</v>
      </c>
      <c r="AG222" s="142" t="s">
        <v>1435</v>
      </c>
      <c r="AH222" s="142" t="s">
        <v>2398</v>
      </c>
      <c r="AI222" s="142" t="s">
        <v>2398</v>
      </c>
      <c r="AJ222" s="142" t="s">
        <v>2398</v>
      </c>
      <c r="AK222" s="142" t="s">
        <v>2705</v>
      </c>
      <c r="AL222" s="142" t="s">
        <v>1435</v>
      </c>
      <c r="AM222" s="142" t="s">
        <v>2675</v>
      </c>
      <c r="AN222" s="142" t="s">
        <v>2705</v>
      </c>
      <c r="AO222" s="142" t="s">
        <v>2705</v>
      </c>
      <c r="AP222" s="142" t="s">
        <v>1435</v>
      </c>
      <c r="AQ222" s="142" t="s">
        <v>2398</v>
      </c>
      <c r="AR222" s="142" t="s">
        <v>1435</v>
      </c>
      <c r="AS222" s="142" t="s">
        <v>2398</v>
      </c>
      <c r="AT222" s="142" t="s">
        <v>2705</v>
      </c>
      <c r="AU222" s="142" t="s">
        <v>2705</v>
      </c>
      <c r="AV222" s="142" t="s">
        <v>2705</v>
      </c>
      <c r="AW222" s="142" t="s">
        <v>1435</v>
      </c>
      <c r="AX222" s="142" t="s">
        <v>2675</v>
      </c>
      <c r="AY222" s="142" t="s">
        <v>2705</v>
      </c>
      <c r="AZ222" s="142" t="s">
        <v>2398</v>
      </c>
    </row>
    <row r="223" spans="1:52" s="142" customFormat="1" ht="12.75" x14ac:dyDescent="0.2">
      <c r="A223" s="151" t="s">
        <v>7428</v>
      </c>
      <c r="B223" s="152" t="s">
        <v>2398</v>
      </c>
      <c r="C223" s="152" t="s">
        <v>2397</v>
      </c>
      <c r="D223" s="152" t="s">
        <v>2705</v>
      </c>
      <c r="E223" s="152" t="s">
        <v>2398</v>
      </c>
      <c r="F223" s="152" t="s">
        <v>2705</v>
      </c>
      <c r="G223" s="152" t="s">
        <v>2705</v>
      </c>
      <c r="H223" s="152" t="s">
        <v>1435</v>
      </c>
      <c r="I223" s="152" t="s">
        <v>2675</v>
      </c>
      <c r="J223" s="152" t="s">
        <v>2397</v>
      </c>
      <c r="K223" s="152" t="s">
        <v>1435</v>
      </c>
      <c r="L223" s="152" t="s">
        <v>2705</v>
      </c>
      <c r="M223" s="152" t="s">
        <v>2398</v>
      </c>
      <c r="N223" s="152" t="s">
        <v>2705</v>
      </c>
      <c r="O223" s="152" t="s">
        <v>2705</v>
      </c>
      <c r="P223" s="152" t="s">
        <v>2397</v>
      </c>
      <c r="Q223" s="152" t="s">
        <v>2398</v>
      </c>
      <c r="R223" s="152" t="s">
        <v>2675</v>
      </c>
      <c r="S223" s="152" t="s">
        <v>2675</v>
      </c>
      <c r="T223" s="152" t="s">
        <v>2705</v>
      </c>
      <c r="U223" s="152" t="s">
        <v>2705</v>
      </c>
      <c r="V223" s="142" cm="1">
        <f t="array" ref="V223">IF(A223&lt;&gt;"",SUM(--(B223:U224 = "X")*$U$3,--(B223:U224 ="A")*$Q$3,--(B223:U224 ="B")*$R$3,--(B223:U224 ="C")*$S$3),"")</f>
        <v>15</v>
      </c>
      <c r="X223" s="437" t="s">
        <v>7531</v>
      </c>
      <c r="Y223" s="437">
        <v>9.5</v>
      </c>
      <c r="Z223" s="436">
        <f>_xlfn.XLOOKUP(answers[[#This Row],[StudentID]],$A$7:$A$1418,$V$7:$V$1418)</f>
        <v>9.5</v>
      </c>
      <c r="AF223" s="142" t="s">
        <v>7428</v>
      </c>
      <c r="AG223" s="142" t="s">
        <v>2398</v>
      </c>
      <c r="AH223" s="142" t="s">
        <v>2397</v>
      </c>
      <c r="AI223" s="142" t="s">
        <v>2705</v>
      </c>
      <c r="AJ223" s="142" t="s">
        <v>2398</v>
      </c>
      <c r="AK223" s="142" t="s">
        <v>2705</v>
      </c>
      <c r="AL223" s="142" t="s">
        <v>2705</v>
      </c>
      <c r="AM223" s="142" t="s">
        <v>1435</v>
      </c>
      <c r="AN223" s="142" t="s">
        <v>2675</v>
      </c>
      <c r="AO223" s="142" t="s">
        <v>2397</v>
      </c>
      <c r="AP223" s="142" t="s">
        <v>1435</v>
      </c>
      <c r="AQ223" s="142" t="s">
        <v>2705</v>
      </c>
      <c r="AR223" s="142" t="s">
        <v>2398</v>
      </c>
      <c r="AS223" s="142" t="s">
        <v>2705</v>
      </c>
      <c r="AT223" s="142" t="s">
        <v>2705</v>
      </c>
      <c r="AU223" s="142" t="s">
        <v>2397</v>
      </c>
      <c r="AV223" s="142" t="s">
        <v>2398</v>
      </c>
      <c r="AW223" s="142" t="s">
        <v>2675</v>
      </c>
      <c r="AX223" s="142" t="s">
        <v>2675</v>
      </c>
      <c r="AY223" s="142" t="s">
        <v>2705</v>
      </c>
      <c r="AZ223" s="142" t="s">
        <v>2705</v>
      </c>
    </row>
    <row r="224" spans="1:52" s="142" customFormat="1" ht="12.75" x14ac:dyDescent="0.2">
      <c r="A224" s="151"/>
      <c r="B224" s="152" t="s">
        <v>2398</v>
      </c>
      <c r="C224" s="152" t="s">
        <v>1435</v>
      </c>
      <c r="D224" s="152" t="s">
        <v>1435</v>
      </c>
      <c r="E224" s="152" t="s">
        <v>2705</v>
      </c>
      <c r="F224" s="152" t="s">
        <v>2705</v>
      </c>
      <c r="G224" s="152" t="s">
        <v>2675</v>
      </c>
      <c r="H224" s="152" t="s">
        <v>2705</v>
      </c>
      <c r="I224" s="152" t="s">
        <v>2705</v>
      </c>
      <c r="J224" s="152" t="s">
        <v>2705</v>
      </c>
      <c r="K224" s="152" t="s">
        <v>2398</v>
      </c>
      <c r="L224" s="152" t="s">
        <v>2705</v>
      </c>
      <c r="M224" s="152" t="s">
        <v>2705</v>
      </c>
      <c r="N224" s="152" t="s">
        <v>2397</v>
      </c>
      <c r="O224" s="152" t="s">
        <v>2398</v>
      </c>
      <c r="P224" s="152" t="s">
        <v>2705</v>
      </c>
      <c r="Q224" s="152" t="s">
        <v>2398</v>
      </c>
      <c r="R224" s="152" t="s">
        <v>2398</v>
      </c>
      <c r="S224" s="152" t="s">
        <v>2705</v>
      </c>
      <c r="T224" s="152" t="s">
        <v>2705</v>
      </c>
      <c r="U224" s="152" t="s">
        <v>2705</v>
      </c>
      <c r="V224" s="142" t="str" cm="1">
        <f t="array" ref="V224">IF(A224&lt;&gt;"",SUM(--(B224:U225 = "X")*$U$3,--(B224:U225 ="A")*$Q$3,--(B224:U225 ="B")*$R$3,--(B224:U225 ="C")*$S$3),"")</f>
        <v/>
      </c>
      <c r="X224" s="437" t="s">
        <v>7532</v>
      </c>
      <c r="Y224" s="437">
        <v>15.5</v>
      </c>
      <c r="Z224" s="436">
        <f>_xlfn.XLOOKUP(answers[[#This Row],[StudentID]],$A$7:$A$1418,$V$7:$V$1418)</f>
        <v>15.5</v>
      </c>
      <c r="AG224" s="142" t="s">
        <v>2398</v>
      </c>
      <c r="AH224" s="142" t="s">
        <v>1435</v>
      </c>
      <c r="AI224" s="142" t="s">
        <v>1435</v>
      </c>
      <c r="AJ224" s="142" t="s">
        <v>2705</v>
      </c>
      <c r="AK224" s="142" t="s">
        <v>2705</v>
      </c>
      <c r="AL224" s="142" t="s">
        <v>2675</v>
      </c>
      <c r="AM224" s="142" t="s">
        <v>2705</v>
      </c>
      <c r="AN224" s="142" t="s">
        <v>2705</v>
      </c>
      <c r="AO224" s="142" t="s">
        <v>2705</v>
      </c>
      <c r="AP224" s="142" t="s">
        <v>2398</v>
      </c>
      <c r="AQ224" s="142" t="s">
        <v>2705</v>
      </c>
      <c r="AR224" s="142" t="s">
        <v>2705</v>
      </c>
      <c r="AS224" s="142" t="s">
        <v>2397</v>
      </c>
      <c r="AT224" s="142" t="s">
        <v>2398</v>
      </c>
      <c r="AU224" s="142" t="s">
        <v>2705</v>
      </c>
      <c r="AV224" s="142" t="s">
        <v>2398</v>
      </c>
      <c r="AW224" s="142" t="s">
        <v>2398</v>
      </c>
      <c r="AX224" s="142" t="s">
        <v>2705</v>
      </c>
      <c r="AY224" s="142" t="s">
        <v>2705</v>
      </c>
      <c r="AZ224" s="142" t="s">
        <v>2705</v>
      </c>
    </row>
    <row r="225" spans="1:52" s="142" customFormat="1" ht="12.75" x14ac:dyDescent="0.2">
      <c r="A225" s="151" t="s">
        <v>7429</v>
      </c>
      <c r="B225" s="152" t="s">
        <v>1435</v>
      </c>
      <c r="C225" s="152" t="s">
        <v>2398</v>
      </c>
      <c r="D225" s="152" t="s">
        <v>2705</v>
      </c>
      <c r="E225" s="152" t="s">
        <v>2398</v>
      </c>
      <c r="F225" s="152" t="s">
        <v>2397</v>
      </c>
      <c r="G225" s="152" t="s">
        <v>2398</v>
      </c>
      <c r="H225" s="152" t="s">
        <v>2398</v>
      </c>
      <c r="I225" s="152" t="s">
        <v>2398</v>
      </c>
      <c r="J225" s="152" t="s">
        <v>2705</v>
      </c>
      <c r="K225" s="152" t="s">
        <v>2705</v>
      </c>
      <c r="L225" s="152" t="s">
        <v>2398</v>
      </c>
      <c r="M225" s="152" t="s">
        <v>2705</v>
      </c>
      <c r="N225" s="152" t="s">
        <v>2705</v>
      </c>
      <c r="O225" s="152" t="s">
        <v>1435</v>
      </c>
      <c r="P225" s="152" t="s">
        <v>2398</v>
      </c>
      <c r="Q225" s="152" t="s">
        <v>2705</v>
      </c>
      <c r="R225" s="152" t="s">
        <v>2705</v>
      </c>
      <c r="S225" s="152" t="s">
        <v>2705</v>
      </c>
      <c r="T225" s="152" t="s">
        <v>2398</v>
      </c>
      <c r="U225" s="152" t="s">
        <v>2705</v>
      </c>
      <c r="V225" s="142" cm="1">
        <f t="array" ref="V225">IF(A225&lt;&gt;"",SUM(--(B225:U226 = "X")*$U$3,--(B225:U226 ="A")*$Q$3,--(B225:U226 ="B")*$R$3,--(B225:U226 ="C")*$S$3),"")</f>
        <v>15.5</v>
      </c>
      <c r="X225" s="437" t="s">
        <v>7533</v>
      </c>
      <c r="Y225" s="437">
        <v>19</v>
      </c>
      <c r="Z225" s="436">
        <f>_xlfn.XLOOKUP(answers[[#This Row],[StudentID]],$A$7:$A$1418,$V$7:$V$1418)</f>
        <v>19</v>
      </c>
      <c r="AF225" s="142" t="s">
        <v>7429</v>
      </c>
      <c r="AG225" s="142" t="s">
        <v>1435</v>
      </c>
      <c r="AH225" s="142" t="s">
        <v>2398</v>
      </c>
      <c r="AI225" s="142" t="s">
        <v>2705</v>
      </c>
      <c r="AJ225" s="142" t="s">
        <v>2398</v>
      </c>
      <c r="AK225" s="142" t="s">
        <v>2397</v>
      </c>
      <c r="AL225" s="142" t="s">
        <v>2398</v>
      </c>
      <c r="AM225" s="142" t="s">
        <v>2398</v>
      </c>
      <c r="AN225" s="142" t="s">
        <v>2398</v>
      </c>
      <c r="AO225" s="142" t="s">
        <v>2705</v>
      </c>
      <c r="AP225" s="142" t="s">
        <v>2705</v>
      </c>
      <c r="AQ225" s="142" t="s">
        <v>2398</v>
      </c>
      <c r="AR225" s="142" t="s">
        <v>2705</v>
      </c>
      <c r="AS225" s="142" t="s">
        <v>2705</v>
      </c>
      <c r="AT225" s="142" t="s">
        <v>1435</v>
      </c>
      <c r="AU225" s="142" t="s">
        <v>2398</v>
      </c>
      <c r="AV225" s="142" t="s">
        <v>2705</v>
      </c>
      <c r="AW225" s="142" t="s">
        <v>2705</v>
      </c>
      <c r="AX225" s="142" t="s">
        <v>2705</v>
      </c>
      <c r="AY225" s="142" t="s">
        <v>2398</v>
      </c>
      <c r="AZ225" s="142" t="s">
        <v>2705</v>
      </c>
    </row>
    <row r="226" spans="1:52" s="142" customFormat="1" ht="12.75" x14ac:dyDescent="0.2">
      <c r="A226" s="151"/>
      <c r="B226" s="152" t="s">
        <v>1435</v>
      </c>
      <c r="C226" s="152" t="s">
        <v>2675</v>
      </c>
      <c r="D226" s="152" t="s">
        <v>1435</v>
      </c>
      <c r="E226" s="152" t="s">
        <v>2398</v>
      </c>
      <c r="F226" s="152" t="s">
        <v>2398</v>
      </c>
      <c r="G226" s="152" t="s">
        <v>2705</v>
      </c>
      <c r="H226" s="152" t="s">
        <v>2705</v>
      </c>
      <c r="I226" s="152" t="s">
        <v>2398</v>
      </c>
      <c r="J226" s="152" t="s">
        <v>2398</v>
      </c>
      <c r="K226" s="152" t="s">
        <v>2705</v>
      </c>
      <c r="L226" s="152" t="s">
        <v>2397</v>
      </c>
      <c r="M226" s="152" t="s">
        <v>2705</v>
      </c>
      <c r="N226" s="152" t="s">
        <v>2705</v>
      </c>
      <c r="O226" s="152" t="s">
        <v>2398</v>
      </c>
      <c r="P226" s="152" t="s">
        <v>2398</v>
      </c>
      <c r="Q226" s="152" t="s">
        <v>2705</v>
      </c>
      <c r="R226" s="152" t="s">
        <v>2705</v>
      </c>
      <c r="S226" s="152" t="s">
        <v>2705</v>
      </c>
      <c r="T226" s="152" t="s">
        <v>2705</v>
      </c>
      <c r="U226" s="152" t="s">
        <v>2397</v>
      </c>
      <c r="V226" s="142" t="str" cm="1">
        <f t="array" ref="V226">IF(A226&lt;&gt;"",SUM(--(B226:U227 = "X")*$U$3,--(B226:U227 ="A")*$Q$3,--(B226:U227 ="B")*$R$3,--(B226:U227 ="C")*$S$3),"")</f>
        <v/>
      </c>
      <c r="X226" s="437" t="s">
        <v>7534</v>
      </c>
      <c r="Y226" s="437">
        <v>20.5</v>
      </c>
      <c r="Z226" s="436">
        <f>_xlfn.XLOOKUP(answers[[#This Row],[StudentID]],$A$7:$A$1418,$V$7:$V$1418)</f>
        <v>20.5</v>
      </c>
      <c r="AG226" s="142" t="s">
        <v>1435</v>
      </c>
      <c r="AH226" s="142" t="s">
        <v>2675</v>
      </c>
      <c r="AI226" s="142" t="s">
        <v>1435</v>
      </c>
      <c r="AJ226" s="142" t="s">
        <v>2398</v>
      </c>
      <c r="AK226" s="142" t="s">
        <v>2398</v>
      </c>
      <c r="AL226" s="142" t="s">
        <v>2705</v>
      </c>
      <c r="AM226" s="142" t="s">
        <v>2705</v>
      </c>
      <c r="AN226" s="142" t="s">
        <v>2398</v>
      </c>
      <c r="AO226" s="142" t="s">
        <v>2398</v>
      </c>
      <c r="AP226" s="142" t="s">
        <v>2705</v>
      </c>
      <c r="AQ226" s="142" t="s">
        <v>2397</v>
      </c>
      <c r="AR226" s="142" t="s">
        <v>2705</v>
      </c>
      <c r="AS226" s="142" t="s">
        <v>2705</v>
      </c>
      <c r="AT226" s="142" t="s">
        <v>2398</v>
      </c>
      <c r="AU226" s="142" t="s">
        <v>2398</v>
      </c>
      <c r="AV226" s="142" t="s">
        <v>2705</v>
      </c>
      <c r="AW226" s="142" t="s">
        <v>2705</v>
      </c>
      <c r="AX226" s="142" t="s">
        <v>2705</v>
      </c>
      <c r="AY226" s="142" t="s">
        <v>2705</v>
      </c>
      <c r="AZ226" s="142" t="s">
        <v>2397</v>
      </c>
    </row>
    <row r="227" spans="1:52" s="142" customFormat="1" ht="12.75" x14ac:dyDescent="0.2">
      <c r="A227" s="151" t="s">
        <v>7430</v>
      </c>
      <c r="B227" s="152" t="s">
        <v>1435</v>
      </c>
      <c r="C227" s="152" t="s">
        <v>2398</v>
      </c>
      <c r="D227" s="152" t="s">
        <v>2398</v>
      </c>
      <c r="E227" s="152" t="s">
        <v>2705</v>
      </c>
      <c r="F227" s="152" t="s">
        <v>1435</v>
      </c>
      <c r="G227" s="152" t="s">
        <v>2705</v>
      </c>
      <c r="H227" s="152" t="s">
        <v>2705</v>
      </c>
      <c r="I227" s="152" t="s">
        <v>2705</v>
      </c>
      <c r="J227" s="152" t="s">
        <v>2705</v>
      </c>
      <c r="K227" s="152" t="s">
        <v>2705</v>
      </c>
      <c r="L227" s="152" t="s">
        <v>2705</v>
      </c>
      <c r="M227" s="152" t="s">
        <v>2398</v>
      </c>
      <c r="N227" s="152" t="s">
        <v>2705</v>
      </c>
      <c r="O227" s="152" t="s">
        <v>1435</v>
      </c>
      <c r="P227" s="152" t="s">
        <v>2675</v>
      </c>
      <c r="Q227" s="152" t="s">
        <v>2398</v>
      </c>
      <c r="R227" s="152" t="s">
        <v>2397</v>
      </c>
      <c r="S227" s="152" t="s">
        <v>2397</v>
      </c>
      <c r="T227" s="152" t="s">
        <v>2705</v>
      </c>
      <c r="U227" s="152" t="s">
        <v>2398</v>
      </c>
      <c r="V227" s="142" cm="1">
        <f t="array" ref="V227">IF(A227&lt;&gt;"",SUM(--(B227:U228 = "X")*$U$3,--(B227:U228 ="A")*$Q$3,--(B227:U228 ="B")*$R$3,--(B227:U228 ="C")*$S$3),"")</f>
        <v>17.5</v>
      </c>
      <c r="X227" s="437" t="s">
        <v>7535</v>
      </c>
      <c r="Y227" s="437">
        <v>25.5</v>
      </c>
      <c r="Z227" s="436">
        <f>_xlfn.XLOOKUP(answers[[#This Row],[StudentID]],$A$7:$A$1418,$V$7:$V$1418)</f>
        <v>25.5</v>
      </c>
      <c r="AF227" s="142" t="s">
        <v>7430</v>
      </c>
      <c r="AG227" s="142" t="s">
        <v>1435</v>
      </c>
      <c r="AH227" s="142" t="s">
        <v>2398</v>
      </c>
      <c r="AI227" s="142" t="s">
        <v>2398</v>
      </c>
      <c r="AJ227" s="142" t="s">
        <v>2705</v>
      </c>
      <c r="AK227" s="142" t="s">
        <v>1435</v>
      </c>
      <c r="AL227" s="142" t="s">
        <v>2705</v>
      </c>
      <c r="AM227" s="142" t="s">
        <v>2705</v>
      </c>
      <c r="AN227" s="142" t="s">
        <v>2705</v>
      </c>
      <c r="AO227" s="142" t="s">
        <v>2705</v>
      </c>
      <c r="AP227" s="142" t="s">
        <v>2705</v>
      </c>
      <c r="AQ227" s="142" t="s">
        <v>2705</v>
      </c>
      <c r="AR227" s="142" t="s">
        <v>2398</v>
      </c>
      <c r="AS227" s="142" t="s">
        <v>2705</v>
      </c>
      <c r="AT227" s="142" t="s">
        <v>1435</v>
      </c>
      <c r="AU227" s="142" t="s">
        <v>2675</v>
      </c>
      <c r="AV227" s="142" t="s">
        <v>2398</v>
      </c>
      <c r="AW227" s="142" t="s">
        <v>2397</v>
      </c>
      <c r="AX227" s="142" t="s">
        <v>2397</v>
      </c>
      <c r="AY227" s="142" t="s">
        <v>2705</v>
      </c>
      <c r="AZ227" s="142" t="s">
        <v>2398</v>
      </c>
    </row>
    <row r="228" spans="1:52" s="142" customFormat="1" ht="12.75" x14ac:dyDescent="0.2">
      <c r="A228" s="151"/>
      <c r="B228" s="152" t="s">
        <v>2705</v>
      </c>
      <c r="C228" s="152" t="s">
        <v>2398</v>
      </c>
      <c r="D228" s="152" t="s">
        <v>2705</v>
      </c>
      <c r="E228" s="152" t="s">
        <v>2705</v>
      </c>
      <c r="F228" s="152" t="s">
        <v>2705</v>
      </c>
      <c r="G228" s="152" t="s">
        <v>2705</v>
      </c>
      <c r="H228" s="152" t="s">
        <v>2705</v>
      </c>
      <c r="I228" s="152" t="s">
        <v>2397</v>
      </c>
      <c r="J228" s="152" t="s">
        <v>2398</v>
      </c>
      <c r="K228" s="152" t="s">
        <v>2705</v>
      </c>
      <c r="L228" s="152" t="s">
        <v>2398</v>
      </c>
      <c r="M228" s="152" t="s">
        <v>2705</v>
      </c>
      <c r="N228" s="152" t="s">
        <v>2705</v>
      </c>
      <c r="O228" s="152" t="s">
        <v>2398</v>
      </c>
      <c r="P228" s="152" t="s">
        <v>2398</v>
      </c>
      <c r="Q228" s="152" t="s">
        <v>2705</v>
      </c>
      <c r="R228" s="152" t="s">
        <v>2705</v>
      </c>
      <c r="S228" s="152" t="s">
        <v>2397</v>
      </c>
      <c r="T228" s="152" t="s">
        <v>1435</v>
      </c>
      <c r="U228" s="152" t="s">
        <v>2398</v>
      </c>
      <c r="V228" s="142" t="str" cm="1">
        <f t="array" ref="V228">IF(A228&lt;&gt;"",SUM(--(B228:U229 = "X")*$U$3,--(B228:U229 ="A")*$Q$3,--(B228:U229 ="B")*$R$3,--(B228:U229 ="C")*$S$3),"")</f>
        <v/>
      </c>
      <c r="X228" s="437" t="s">
        <v>7536</v>
      </c>
      <c r="Y228" s="437">
        <v>10.5</v>
      </c>
      <c r="Z228" s="436">
        <f>_xlfn.XLOOKUP(answers[[#This Row],[StudentID]],$A$7:$A$1418,$V$7:$V$1418)</f>
        <v>10.5</v>
      </c>
      <c r="AG228" s="142" t="s">
        <v>2705</v>
      </c>
      <c r="AH228" s="142" t="s">
        <v>2398</v>
      </c>
      <c r="AI228" s="142" t="s">
        <v>2705</v>
      </c>
      <c r="AJ228" s="142" t="s">
        <v>2705</v>
      </c>
      <c r="AK228" s="142" t="s">
        <v>2705</v>
      </c>
      <c r="AL228" s="142" t="s">
        <v>2705</v>
      </c>
      <c r="AM228" s="142" t="s">
        <v>2705</v>
      </c>
      <c r="AN228" s="142" t="s">
        <v>2397</v>
      </c>
      <c r="AO228" s="142" t="s">
        <v>2398</v>
      </c>
      <c r="AP228" s="142" t="s">
        <v>2705</v>
      </c>
      <c r="AQ228" s="142" t="s">
        <v>2398</v>
      </c>
      <c r="AR228" s="142" t="s">
        <v>2705</v>
      </c>
      <c r="AS228" s="142" t="s">
        <v>2705</v>
      </c>
      <c r="AT228" s="142" t="s">
        <v>2398</v>
      </c>
      <c r="AU228" s="142" t="s">
        <v>2398</v>
      </c>
      <c r="AV228" s="142" t="s">
        <v>2705</v>
      </c>
      <c r="AW228" s="142" t="s">
        <v>2705</v>
      </c>
      <c r="AX228" s="142" t="s">
        <v>2397</v>
      </c>
      <c r="AY228" s="142" t="s">
        <v>1435</v>
      </c>
      <c r="AZ228" s="142" t="s">
        <v>2398</v>
      </c>
    </row>
    <row r="229" spans="1:52" s="142" customFormat="1" ht="12.75" x14ac:dyDescent="0.2">
      <c r="A229" s="151" t="s">
        <v>7431</v>
      </c>
      <c r="B229" s="152" t="s">
        <v>2397</v>
      </c>
      <c r="C229" s="152" t="s">
        <v>2705</v>
      </c>
      <c r="D229" s="152" t="s">
        <v>2705</v>
      </c>
      <c r="E229" s="152" t="s">
        <v>2705</v>
      </c>
      <c r="F229" s="152" t="s">
        <v>2705</v>
      </c>
      <c r="G229" s="152" t="s">
        <v>2705</v>
      </c>
      <c r="H229" s="152" t="s">
        <v>2705</v>
      </c>
      <c r="I229" s="152" t="s">
        <v>2705</v>
      </c>
      <c r="J229" s="152" t="s">
        <v>2398</v>
      </c>
      <c r="K229" s="152" t="s">
        <v>1435</v>
      </c>
      <c r="L229" s="152" t="s">
        <v>2705</v>
      </c>
      <c r="M229" s="152" t="s">
        <v>2397</v>
      </c>
      <c r="N229" s="152" t="s">
        <v>2705</v>
      </c>
      <c r="O229" s="152" t="s">
        <v>1435</v>
      </c>
      <c r="P229" s="152" t="s">
        <v>2397</v>
      </c>
      <c r="Q229" s="152" t="s">
        <v>2398</v>
      </c>
      <c r="R229" s="152" t="s">
        <v>2675</v>
      </c>
      <c r="S229" s="152" t="s">
        <v>2675</v>
      </c>
      <c r="T229" s="152" t="s">
        <v>2705</v>
      </c>
      <c r="U229" s="152" t="s">
        <v>2675</v>
      </c>
      <c r="V229" s="142" cm="1">
        <f t="array" ref="V229">IF(A229&lt;&gt;"",SUM(--(B229:U230 = "X")*$U$3,--(B229:U230 ="A")*$Q$3,--(B229:U230 ="B")*$R$3,--(B229:U230 ="C")*$S$3),"")</f>
        <v>14</v>
      </c>
      <c r="X229" s="437" t="s">
        <v>7537</v>
      </c>
      <c r="Y229" s="437">
        <v>9</v>
      </c>
      <c r="Z229" s="436">
        <f>_xlfn.XLOOKUP(answers[[#This Row],[StudentID]],$A$7:$A$1418,$V$7:$V$1418)</f>
        <v>9</v>
      </c>
      <c r="AF229" s="142" t="s">
        <v>7431</v>
      </c>
      <c r="AG229" s="142" t="s">
        <v>2397</v>
      </c>
      <c r="AH229" s="142" t="s">
        <v>2705</v>
      </c>
      <c r="AI229" s="142" t="s">
        <v>2705</v>
      </c>
      <c r="AJ229" s="142" t="s">
        <v>2705</v>
      </c>
      <c r="AK229" s="142" t="s">
        <v>2705</v>
      </c>
      <c r="AL229" s="142" t="s">
        <v>2705</v>
      </c>
      <c r="AM229" s="142" t="s">
        <v>2705</v>
      </c>
      <c r="AN229" s="142" t="s">
        <v>2705</v>
      </c>
      <c r="AO229" s="142" t="s">
        <v>2398</v>
      </c>
      <c r="AP229" s="142" t="s">
        <v>1435</v>
      </c>
      <c r="AQ229" s="142" t="s">
        <v>2705</v>
      </c>
      <c r="AR229" s="142" t="s">
        <v>2397</v>
      </c>
      <c r="AS229" s="142" t="s">
        <v>2705</v>
      </c>
      <c r="AT229" s="142" t="s">
        <v>1435</v>
      </c>
      <c r="AU229" s="142" t="s">
        <v>2397</v>
      </c>
      <c r="AV229" s="142" t="s">
        <v>2398</v>
      </c>
      <c r="AW229" s="142" t="s">
        <v>2675</v>
      </c>
      <c r="AX229" s="142" t="s">
        <v>2675</v>
      </c>
      <c r="AY229" s="142" t="s">
        <v>2705</v>
      </c>
      <c r="AZ229" s="142" t="s">
        <v>2675</v>
      </c>
    </row>
    <row r="230" spans="1:52" s="142" customFormat="1" ht="12.75" x14ac:dyDescent="0.2">
      <c r="A230" s="151"/>
      <c r="B230" s="152" t="s">
        <v>2705</v>
      </c>
      <c r="C230" s="152" t="s">
        <v>1435</v>
      </c>
      <c r="D230" s="152" t="s">
        <v>2675</v>
      </c>
      <c r="E230" s="152" t="s">
        <v>2705</v>
      </c>
      <c r="F230" s="152" t="s">
        <v>2675</v>
      </c>
      <c r="G230" s="152" t="s">
        <v>2675</v>
      </c>
      <c r="H230" s="152" t="s">
        <v>2675</v>
      </c>
      <c r="I230" s="152" t="s">
        <v>2705</v>
      </c>
      <c r="J230" s="152" t="s">
        <v>2705</v>
      </c>
      <c r="K230" s="152" t="s">
        <v>2675</v>
      </c>
      <c r="L230" s="152" t="s">
        <v>2705</v>
      </c>
      <c r="M230" s="152" t="s">
        <v>2398</v>
      </c>
      <c r="N230" s="152" t="s">
        <v>2705</v>
      </c>
      <c r="O230" s="152" t="s">
        <v>2705</v>
      </c>
      <c r="P230" s="152" t="s">
        <v>2397</v>
      </c>
      <c r="Q230" s="152" t="s">
        <v>1435</v>
      </c>
      <c r="R230" s="152" t="s">
        <v>2398</v>
      </c>
      <c r="S230" s="152" t="s">
        <v>2705</v>
      </c>
      <c r="T230" s="152" t="s">
        <v>2705</v>
      </c>
      <c r="U230" s="152" t="s">
        <v>2705</v>
      </c>
      <c r="V230" s="142" t="str" cm="1">
        <f t="array" ref="V230">IF(A230&lt;&gt;"",SUM(--(B230:U231 = "X")*$U$3,--(B230:U231 ="A")*$Q$3,--(B230:U231 ="B")*$R$3,--(B230:U231 ="C")*$S$3),"")</f>
        <v/>
      </c>
      <c r="X230" s="437" t="s">
        <v>7538</v>
      </c>
      <c r="Y230" s="437">
        <v>15.5</v>
      </c>
      <c r="Z230" s="436">
        <f>_xlfn.XLOOKUP(answers[[#This Row],[StudentID]],$A$7:$A$1418,$V$7:$V$1418)</f>
        <v>15.5</v>
      </c>
      <c r="AG230" s="142" t="s">
        <v>2705</v>
      </c>
      <c r="AH230" s="142" t="s">
        <v>1435</v>
      </c>
      <c r="AI230" s="142" t="s">
        <v>2675</v>
      </c>
      <c r="AJ230" s="142" t="s">
        <v>2705</v>
      </c>
      <c r="AK230" s="142" t="s">
        <v>2675</v>
      </c>
      <c r="AL230" s="142" t="s">
        <v>2675</v>
      </c>
      <c r="AM230" s="142" t="s">
        <v>2675</v>
      </c>
      <c r="AN230" s="142" t="s">
        <v>2705</v>
      </c>
      <c r="AO230" s="142" t="s">
        <v>2705</v>
      </c>
      <c r="AP230" s="142" t="s">
        <v>2675</v>
      </c>
      <c r="AQ230" s="142" t="s">
        <v>2705</v>
      </c>
      <c r="AR230" s="142" t="s">
        <v>2398</v>
      </c>
      <c r="AS230" s="142" t="s">
        <v>2705</v>
      </c>
      <c r="AT230" s="142" t="s">
        <v>2705</v>
      </c>
      <c r="AU230" s="142" t="s">
        <v>2397</v>
      </c>
      <c r="AV230" s="142" t="s">
        <v>1435</v>
      </c>
      <c r="AW230" s="142" t="s">
        <v>2398</v>
      </c>
      <c r="AX230" s="142" t="s">
        <v>2705</v>
      </c>
      <c r="AY230" s="142" t="s">
        <v>2705</v>
      </c>
      <c r="AZ230" s="142" t="s">
        <v>2705</v>
      </c>
    </row>
    <row r="231" spans="1:52" s="142" customFormat="1" ht="12.75" x14ac:dyDescent="0.2">
      <c r="A231" s="151" t="s">
        <v>7432</v>
      </c>
      <c r="B231" s="152" t="s">
        <v>1435</v>
      </c>
      <c r="C231" s="152" t="s">
        <v>2398</v>
      </c>
      <c r="D231" s="152" t="s">
        <v>2398</v>
      </c>
      <c r="E231" s="152" t="s">
        <v>2705</v>
      </c>
      <c r="F231" s="152" t="s">
        <v>2398</v>
      </c>
      <c r="G231" s="152" t="s">
        <v>2705</v>
      </c>
      <c r="H231" s="152" t="s">
        <v>2675</v>
      </c>
      <c r="I231" s="152" t="s">
        <v>1435</v>
      </c>
      <c r="J231" s="152" t="s">
        <v>1435</v>
      </c>
      <c r="K231" s="152" t="s">
        <v>2705</v>
      </c>
      <c r="L231" s="152" t="s">
        <v>2675</v>
      </c>
      <c r="M231" s="152" t="s">
        <v>2398</v>
      </c>
      <c r="N231" s="152" t="s">
        <v>2705</v>
      </c>
      <c r="O231" s="152" t="s">
        <v>2397</v>
      </c>
      <c r="P231" s="152" t="s">
        <v>1435</v>
      </c>
      <c r="Q231" s="152" t="s">
        <v>2705</v>
      </c>
      <c r="R231" s="152" t="s">
        <v>2705</v>
      </c>
      <c r="S231" s="152" t="s">
        <v>2705</v>
      </c>
      <c r="T231" s="152" t="s">
        <v>2675</v>
      </c>
      <c r="U231" s="152" t="s">
        <v>2675</v>
      </c>
      <c r="V231" s="142" cm="1">
        <f t="array" ref="V231">IF(A231&lt;&gt;"",SUM(--(B231:U232 = "X")*$U$3,--(B231:U232 ="A")*$Q$3,--(B231:U232 ="B")*$R$3,--(B231:U232 ="C")*$S$3),"")</f>
        <v>8.5</v>
      </c>
      <c r="X231" s="437" t="s">
        <v>7539</v>
      </c>
      <c r="Y231" s="437">
        <v>7.5</v>
      </c>
      <c r="Z231" s="436">
        <f>_xlfn.XLOOKUP(answers[[#This Row],[StudentID]],$A$7:$A$1418,$V$7:$V$1418)</f>
        <v>7.5</v>
      </c>
      <c r="AF231" s="142" t="s">
        <v>7432</v>
      </c>
      <c r="AG231" s="142" t="s">
        <v>1435</v>
      </c>
      <c r="AH231" s="142" t="s">
        <v>2398</v>
      </c>
      <c r="AI231" s="142" t="s">
        <v>2398</v>
      </c>
      <c r="AJ231" s="142" t="s">
        <v>2705</v>
      </c>
      <c r="AK231" s="142" t="s">
        <v>2398</v>
      </c>
      <c r="AL231" s="142" t="s">
        <v>2705</v>
      </c>
      <c r="AM231" s="142" t="s">
        <v>2675</v>
      </c>
      <c r="AN231" s="142" t="s">
        <v>1435</v>
      </c>
      <c r="AO231" s="142" t="s">
        <v>1435</v>
      </c>
      <c r="AP231" s="142" t="s">
        <v>2705</v>
      </c>
      <c r="AQ231" s="142" t="s">
        <v>2675</v>
      </c>
      <c r="AR231" s="142" t="s">
        <v>2398</v>
      </c>
      <c r="AS231" s="142" t="s">
        <v>2705</v>
      </c>
      <c r="AT231" s="142" t="s">
        <v>2397</v>
      </c>
      <c r="AU231" s="142" t="s">
        <v>1435</v>
      </c>
      <c r="AV231" s="142" t="s">
        <v>2705</v>
      </c>
      <c r="AW231" s="142" t="s">
        <v>2705</v>
      </c>
      <c r="AX231" s="142" t="s">
        <v>2705</v>
      </c>
      <c r="AY231" s="142" t="s">
        <v>2675</v>
      </c>
      <c r="AZ231" s="142" t="s">
        <v>2675</v>
      </c>
    </row>
    <row r="232" spans="1:52" s="142" customFormat="1" ht="12.75" x14ac:dyDescent="0.2">
      <c r="A232" s="151"/>
      <c r="B232" s="152" t="s">
        <v>2705</v>
      </c>
      <c r="C232" s="152" t="s">
        <v>2705</v>
      </c>
      <c r="D232" s="152" t="s">
        <v>2675</v>
      </c>
      <c r="E232" s="152" t="s">
        <v>2705</v>
      </c>
      <c r="F232" s="152" t="s">
        <v>2705</v>
      </c>
      <c r="G232" s="152" t="s">
        <v>1435</v>
      </c>
      <c r="H232" s="152" t="s">
        <v>2675</v>
      </c>
      <c r="I232" s="152" t="s">
        <v>2705</v>
      </c>
      <c r="J232" s="152" t="s">
        <v>2398</v>
      </c>
      <c r="K232" s="152" t="s">
        <v>2705</v>
      </c>
      <c r="L232" s="152" t="s">
        <v>2705</v>
      </c>
      <c r="M232" s="152" t="s">
        <v>2675</v>
      </c>
      <c r="N232" s="152" t="s">
        <v>2675</v>
      </c>
      <c r="O232" s="152" t="s">
        <v>1435</v>
      </c>
      <c r="P232" s="152" t="s">
        <v>2398</v>
      </c>
      <c r="Q232" s="152" t="s">
        <v>2705</v>
      </c>
      <c r="R232" s="152" t="s">
        <v>2705</v>
      </c>
      <c r="S232" s="152" t="s">
        <v>2675</v>
      </c>
      <c r="T232" s="152" t="s">
        <v>2397</v>
      </c>
      <c r="U232" s="152" t="s">
        <v>2397</v>
      </c>
      <c r="V232" s="142" t="str" cm="1">
        <f t="array" ref="V232">IF(A232&lt;&gt;"",SUM(--(B232:U233 = "X")*$U$3,--(B232:U233 ="A")*$Q$3,--(B232:U233 ="B")*$R$3,--(B232:U233 ="C")*$S$3),"")</f>
        <v/>
      </c>
      <c r="X232" s="437" t="s">
        <v>7540</v>
      </c>
      <c r="Y232" s="437">
        <v>24.5</v>
      </c>
      <c r="Z232" s="436">
        <f>_xlfn.XLOOKUP(answers[[#This Row],[StudentID]],$A$7:$A$1418,$V$7:$V$1418)</f>
        <v>24.5</v>
      </c>
      <c r="AG232" s="142" t="s">
        <v>2705</v>
      </c>
      <c r="AH232" s="142" t="s">
        <v>2705</v>
      </c>
      <c r="AI232" s="142" t="s">
        <v>2675</v>
      </c>
      <c r="AJ232" s="142" t="s">
        <v>2705</v>
      </c>
      <c r="AK232" s="142" t="s">
        <v>2705</v>
      </c>
      <c r="AL232" s="142" t="s">
        <v>1435</v>
      </c>
      <c r="AM232" s="142" t="s">
        <v>2675</v>
      </c>
      <c r="AN232" s="142" t="s">
        <v>2705</v>
      </c>
      <c r="AO232" s="142" t="s">
        <v>2398</v>
      </c>
      <c r="AP232" s="142" t="s">
        <v>2705</v>
      </c>
      <c r="AQ232" s="142" t="s">
        <v>2705</v>
      </c>
      <c r="AR232" s="142" t="s">
        <v>2675</v>
      </c>
      <c r="AS232" s="142" t="s">
        <v>2675</v>
      </c>
      <c r="AT232" s="142" t="s">
        <v>1435</v>
      </c>
      <c r="AU232" s="142" t="s">
        <v>2398</v>
      </c>
      <c r="AV232" s="142" t="s">
        <v>2705</v>
      </c>
      <c r="AW232" s="142" t="s">
        <v>2705</v>
      </c>
      <c r="AX232" s="142" t="s">
        <v>2675</v>
      </c>
      <c r="AY232" s="142" t="s">
        <v>2397</v>
      </c>
      <c r="AZ232" s="142" t="s">
        <v>2397</v>
      </c>
    </row>
    <row r="233" spans="1:52" s="142" customFormat="1" ht="12.75" x14ac:dyDescent="0.2">
      <c r="A233" s="151" t="s">
        <v>7433</v>
      </c>
      <c r="B233" s="152" t="s">
        <v>2398</v>
      </c>
      <c r="C233" s="152" t="s">
        <v>2705</v>
      </c>
      <c r="D233" s="152" t="s">
        <v>2398</v>
      </c>
      <c r="E233" s="152" t="s">
        <v>1435</v>
      </c>
      <c r="F233" s="152" t="s">
        <v>2398</v>
      </c>
      <c r="G233" s="152" t="s">
        <v>2705</v>
      </c>
      <c r="H233" s="152" t="s">
        <v>2705</v>
      </c>
      <c r="I233" s="152" t="s">
        <v>2397</v>
      </c>
      <c r="J233" s="152" t="s">
        <v>2398</v>
      </c>
      <c r="K233" s="152" t="s">
        <v>2705</v>
      </c>
      <c r="L233" s="152" t="s">
        <v>2398</v>
      </c>
      <c r="M233" s="152" t="s">
        <v>2705</v>
      </c>
      <c r="N233" s="152" t="s">
        <v>2705</v>
      </c>
      <c r="O233" s="152" t="s">
        <v>2397</v>
      </c>
      <c r="P233" s="152" t="s">
        <v>2705</v>
      </c>
      <c r="Q233" s="152" t="s">
        <v>2705</v>
      </c>
      <c r="R233" s="152" t="s">
        <v>2705</v>
      </c>
      <c r="S233" s="152" t="s">
        <v>2705</v>
      </c>
      <c r="T233" s="152" t="s">
        <v>1435</v>
      </c>
      <c r="U233" s="152" t="s">
        <v>2705</v>
      </c>
      <c r="V233" s="142" cm="1">
        <f t="array" ref="V233">IF(A233&lt;&gt;"",SUM(--(B233:U234 = "X")*$U$3,--(B233:U234 ="A")*$Q$3,--(B233:U234 ="B")*$R$3,--(B233:U234 ="C")*$S$3),"")</f>
        <v>20.5</v>
      </c>
      <c r="X233" s="437" t="s">
        <v>7541</v>
      </c>
      <c r="Y233" s="437">
        <v>14.5</v>
      </c>
      <c r="Z233" s="436">
        <f>_xlfn.XLOOKUP(answers[[#This Row],[StudentID]],$A$7:$A$1418,$V$7:$V$1418)</f>
        <v>14.5</v>
      </c>
      <c r="AF233" s="142" t="s">
        <v>7433</v>
      </c>
      <c r="AG233" s="142" t="s">
        <v>2398</v>
      </c>
      <c r="AH233" s="142" t="s">
        <v>2705</v>
      </c>
      <c r="AI233" s="142" t="s">
        <v>2398</v>
      </c>
      <c r="AJ233" s="142" t="s">
        <v>1435</v>
      </c>
      <c r="AK233" s="142" t="s">
        <v>2398</v>
      </c>
      <c r="AL233" s="142" t="s">
        <v>2705</v>
      </c>
      <c r="AM233" s="142" t="s">
        <v>2705</v>
      </c>
      <c r="AN233" s="142" t="s">
        <v>2397</v>
      </c>
      <c r="AO233" s="142" t="s">
        <v>2398</v>
      </c>
      <c r="AP233" s="142" t="s">
        <v>2705</v>
      </c>
      <c r="AQ233" s="142" t="s">
        <v>2398</v>
      </c>
      <c r="AR233" s="142" t="s">
        <v>2705</v>
      </c>
      <c r="AS233" s="142" t="s">
        <v>2705</v>
      </c>
      <c r="AT233" s="142" t="s">
        <v>2397</v>
      </c>
      <c r="AU233" s="142" t="s">
        <v>2705</v>
      </c>
      <c r="AV233" s="142" t="s">
        <v>2705</v>
      </c>
      <c r="AW233" s="142" t="s">
        <v>2705</v>
      </c>
      <c r="AX233" s="142" t="s">
        <v>2705</v>
      </c>
      <c r="AY233" s="142" t="s">
        <v>1435</v>
      </c>
      <c r="AZ233" s="142" t="s">
        <v>2705</v>
      </c>
    </row>
    <row r="234" spans="1:52" s="142" customFormat="1" ht="12.75" x14ac:dyDescent="0.2">
      <c r="A234" s="151"/>
      <c r="B234" s="152" t="s">
        <v>2705</v>
      </c>
      <c r="C234" s="152" t="s">
        <v>2675</v>
      </c>
      <c r="D234" s="152" t="s">
        <v>2705</v>
      </c>
      <c r="E234" s="152" t="s">
        <v>2705</v>
      </c>
      <c r="F234" s="152" t="s">
        <v>2705</v>
      </c>
      <c r="G234" s="152" t="s">
        <v>2398</v>
      </c>
      <c r="H234" s="152" t="s">
        <v>2705</v>
      </c>
      <c r="I234" s="152" t="s">
        <v>2398</v>
      </c>
      <c r="J234" s="152" t="s">
        <v>2705</v>
      </c>
      <c r="K234" s="152" t="s">
        <v>2398</v>
      </c>
      <c r="L234" s="152" t="s">
        <v>2705</v>
      </c>
      <c r="M234" s="152" t="s">
        <v>2398</v>
      </c>
      <c r="N234" s="152" t="s">
        <v>2705</v>
      </c>
      <c r="O234" s="152" t="s">
        <v>2398</v>
      </c>
      <c r="P234" s="152" t="s">
        <v>2398</v>
      </c>
      <c r="Q234" s="152" t="s">
        <v>2705</v>
      </c>
      <c r="R234" s="152" t="s">
        <v>2398</v>
      </c>
      <c r="S234" s="152" t="s">
        <v>2705</v>
      </c>
      <c r="T234" s="152" t="s">
        <v>2705</v>
      </c>
      <c r="U234" s="152" t="s">
        <v>2398</v>
      </c>
      <c r="V234" s="142" t="str" cm="1">
        <f t="array" ref="V234">IF(A234&lt;&gt;"",SUM(--(B234:U235 = "X")*$U$3,--(B234:U235 ="A")*$Q$3,--(B234:U235 ="B")*$R$3,--(B234:U235 ="C")*$S$3),"")</f>
        <v/>
      </c>
      <c r="X234" s="437" t="s">
        <v>7542</v>
      </c>
      <c r="Y234" s="437">
        <v>16.5</v>
      </c>
      <c r="Z234" s="436">
        <f>_xlfn.XLOOKUP(answers[[#This Row],[StudentID]],$A$7:$A$1418,$V$7:$V$1418)</f>
        <v>16.5</v>
      </c>
      <c r="AG234" s="142" t="s">
        <v>2705</v>
      </c>
      <c r="AH234" s="142" t="s">
        <v>2675</v>
      </c>
      <c r="AI234" s="142" t="s">
        <v>2705</v>
      </c>
      <c r="AJ234" s="142" t="s">
        <v>2705</v>
      </c>
      <c r="AK234" s="142" t="s">
        <v>2705</v>
      </c>
      <c r="AL234" s="142" t="s">
        <v>2398</v>
      </c>
      <c r="AM234" s="142" t="s">
        <v>2705</v>
      </c>
      <c r="AN234" s="142" t="s">
        <v>2398</v>
      </c>
      <c r="AO234" s="142" t="s">
        <v>2705</v>
      </c>
      <c r="AP234" s="142" t="s">
        <v>2398</v>
      </c>
      <c r="AQ234" s="142" t="s">
        <v>2705</v>
      </c>
      <c r="AR234" s="142" t="s">
        <v>2398</v>
      </c>
      <c r="AS234" s="142" t="s">
        <v>2705</v>
      </c>
      <c r="AT234" s="142" t="s">
        <v>2398</v>
      </c>
      <c r="AU234" s="142" t="s">
        <v>2398</v>
      </c>
      <c r="AV234" s="142" t="s">
        <v>2705</v>
      </c>
      <c r="AW234" s="142" t="s">
        <v>2398</v>
      </c>
      <c r="AX234" s="142" t="s">
        <v>2705</v>
      </c>
      <c r="AY234" s="142" t="s">
        <v>2705</v>
      </c>
      <c r="AZ234" s="142" t="s">
        <v>2398</v>
      </c>
    </row>
    <row r="235" spans="1:52" s="142" customFormat="1" ht="12.75" x14ac:dyDescent="0.2">
      <c r="A235" s="151" t="s">
        <v>7434</v>
      </c>
      <c r="B235" s="152" t="s">
        <v>2705</v>
      </c>
      <c r="C235" s="152" t="s">
        <v>2398</v>
      </c>
      <c r="D235" s="152" t="s">
        <v>2705</v>
      </c>
      <c r="E235" s="152" t="s">
        <v>2705</v>
      </c>
      <c r="F235" s="152" t="s">
        <v>2705</v>
      </c>
      <c r="G235" s="152" t="s">
        <v>2705</v>
      </c>
      <c r="H235" s="152" t="s">
        <v>2705</v>
      </c>
      <c r="I235" s="152" t="s">
        <v>2398</v>
      </c>
      <c r="J235" s="152" t="s">
        <v>2705</v>
      </c>
      <c r="K235" s="152" t="s">
        <v>2705</v>
      </c>
      <c r="L235" s="152" t="s">
        <v>2705</v>
      </c>
      <c r="M235" s="152" t="s">
        <v>2705</v>
      </c>
      <c r="N235" s="152" t="s">
        <v>2705</v>
      </c>
      <c r="O235" s="152" t="s">
        <v>2398</v>
      </c>
      <c r="P235" s="152" t="s">
        <v>2398</v>
      </c>
      <c r="Q235" s="152" t="s">
        <v>2705</v>
      </c>
      <c r="R235" s="152" t="s">
        <v>2705</v>
      </c>
      <c r="S235" s="152" t="s">
        <v>2705</v>
      </c>
      <c r="T235" s="152" t="s">
        <v>2705</v>
      </c>
      <c r="U235" s="152" t="s">
        <v>2705</v>
      </c>
      <c r="V235" s="142" cm="1">
        <f t="array" ref="V235">IF(A235&lt;&gt;"",SUM(--(B235:U236 = "X")*$U$3,--(B235:U236 ="A")*$Q$3,--(B235:U236 ="B")*$R$3,--(B235:U236 ="C")*$S$3),"")</f>
        <v>28</v>
      </c>
      <c r="X235" s="437" t="s">
        <v>7543</v>
      </c>
      <c r="Y235" s="437">
        <v>13</v>
      </c>
      <c r="Z235" s="436">
        <f>_xlfn.XLOOKUP(answers[[#This Row],[StudentID]],$A$7:$A$1418,$V$7:$V$1418)</f>
        <v>13</v>
      </c>
      <c r="AF235" s="142" t="s">
        <v>7434</v>
      </c>
      <c r="AG235" s="142" t="s">
        <v>2705</v>
      </c>
      <c r="AH235" s="142" t="s">
        <v>2398</v>
      </c>
      <c r="AI235" s="142" t="s">
        <v>2705</v>
      </c>
      <c r="AJ235" s="142" t="s">
        <v>2705</v>
      </c>
      <c r="AK235" s="142" t="s">
        <v>2705</v>
      </c>
      <c r="AL235" s="142" t="s">
        <v>2705</v>
      </c>
      <c r="AM235" s="142" t="s">
        <v>2705</v>
      </c>
      <c r="AN235" s="142" t="s">
        <v>2398</v>
      </c>
      <c r="AO235" s="142" t="s">
        <v>2705</v>
      </c>
      <c r="AP235" s="142" t="s">
        <v>2705</v>
      </c>
      <c r="AQ235" s="142" t="s">
        <v>2705</v>
      </c>
      <c r="AR235" s="142" t="s">
        <v>2705</v>
      </c>
      <c r="AS235" s="142" t="s">
        <v>2705</v>
      </c>
      <c r="AT235" s="142" t="s">
        <v>2398</v>
      </c>
      <c r="AU235" s="142" t="s">
        <v>2398</v>
      </c>
      <c r="AV235" s="142" t="s">
        <v>2705</v>
      </c>
      <c r="AW235" s="142" t="s">
        <v>2705</v>
      </c>
      <c r="AX235" s="142" t="s">
        <v>2705</v>
      </c>
      <c r="AY235" s="142" t="s">
        <v>2705</v>
      </c>
      <c r="AZ235" s="142" t="s">
        <v>2705</v>
      </c>
    </row>
    <row r="236" spans="1:52" s="142" customFormat="1" ht="12.75" x14ac:dyDescent="0.2">
      <c r="A236" s="151"/>
      <c r="B236" s="152" t="s">
        <v>2705</v>
      </c>
      <c r="C236" s="152" t="s">
        <v>2705</v>
      </c>
      <c r="D236" s="152" t="s">
        <v>2705</v>
      </c>
      <c r="E236" s="152" t="s">
        <v>2398</v>
      </c>
      <c r="F236" s="152" t="s">
        <v>2705</v>
      </c>
      <c r="G236" s="152" t="s">
        <v>2705</v>
      </c>
      <c r="H236" s="152" t="s">
        <v>2705</v>
      </c>
      <c r="I236" s="152" t="s">
        <v>2705</v>
      </c>
      <c r="J236" s="152" t="s">
        <v>2398</v>
      </c>
      <c r="K236" s="152" t="s">
        <v>2705</v>
      </c>
      <c r="L236" s="152" t="s">
        <v>2397</v>
      </c>
      <c r="M236" s="152" t="s">
        <v>1435</v>
      </c>
      <c r="N236" s="152" t="s">
        <v>2398</v>
      </c>
      <c r="O236" s="152" t="s">
        <v>2705</v>
      </c>
      <c r="P236" s="152" t="s">
        <v>2705</v>
      </c>
      <c r="Q236" s="152" t="s">
        <v>2705</v>
      </c>
      <c r="R236" s="152" t="s">
        <v>1435</v>
      </c>
      <c r="S236" s="152" t="s">
        <v>2398</v>
      </c>
      <c r="T236" s="152" t="s">
        <v>2705</v>
      </c>
      <c r="U236" s="152" t="s">
        <v>2705</v>
      </c>
      <c r="V236" s="142" t="str" cm="1">
        <f t="array" ref="V236">IF(A236&lt;&gt;"",SUM(--(B236:U237 = "X")*$U$3,--(B236:U237 ="A")*$Q$3,--(B236:U237 ="B")*$R$3,--(B236:U237 ="C")*$S$3),"")</f>
        <v/>
      </c>
      <c r="X236" s="437" t="s">
        <v>7544</v>
      </c>
      <c r="Y236" s="437">
        <v>4.5</v>
      </c>
      <c r="Z236" s="436">
        <f>_xlfn.XLOOKUP(answers[[#This Row],[StudentID]],$A$7:$A$1418,$V$7:$V$1418)</f>
        <v>4.5</v>
      </c>
      <c r="AG236" s="142" t="s">
        <v>2705</v>
      </c>
      <c r="AH236" s="142" t="s">
        <v>2705</v>
      </c>
      <c r="AI236" s="142" t="s">
        <v>2705</v>
      </c>
      <c r="AJ236" s="142" t="s">
        <v>2398</v>
      </c>
      <c r="AK236" s="142" t="s">
        <v>2705</v>
      </c>
      <c r="AL236" s="142" t="s">
        <v>2705</v>
      </c>
      <c r="AM236" s="142" t="s">
        <v>2705</v>
      </c>
      <c r="AN236" s="142" t="s">
        <v>2705</v>
      </c>
      <c r="AO236" s="142" t="s">
        <v>2398</v>
      </c>
      <c r="AP236" s="142" t="s">
        <v>2705</v>
      </c>
      <c r="AQ236" s="142" t="s">
        <v>2397</v>
      </c>
      <c r="AR236" s="142" t="s">
        <v>1435</v>
      </c>
      <c r="AS236" s="142" t="s">
        <v>2398</v>
      </c>
      <c r="AT236" s="142" t="s">
        <v>2705</v>
      </c>
      <c r="AU236" s="142" t="s">
        <v>2705</v>
      </c>
      <c r="AV236" s="142" t="s">
        <v>2705</v>
      </c>
      <c r="AW236" s="142" t="s">
        <v>1435</v>
      </c>
      <c r="AX236" s="142" t="s">
        <v>2398</v>
      </c>
      <c r="AY236" s="142" t="s">
        <v>2705</v>
      </c>
      <c r="AZ236" s="142" t="s">
        <v>2705</v>
      </c>
    </row>
    <row r="237" spans="1:52" s="142" customFormat="1" ht="12.75" x14ac:dyDescent="0.2">
      <c r="A237" s="151" t="s">
        <v>7435</v>
      </c>
      <c r="B237" s="152" t="s">
        <v>2705</v>
      </c>
      <c r="C237" s="152" t="s">
        <v>2705</v>
      </c>
      <c r="D237" s="152" t="s">
        <v>2705</v>
      </c>
      <c r="E237" s="152" t="s">
        <v>2705</v>
      </c>
      <c r="F237" s="152" t="s">
        <v>2705</v>
      </c>
      <c r="G237" s="152" t="s">
        <v>2705</v>
      </c>
      <c r="H237" s="152" t="s">
        <v>2705</v>
      </c>
      <c r="I237" s="152" t="s">
        <v>2705</v>
      </c>
      <c r="J237" s="152" t="s">
        <v>2705</v>
      </c>
      <c r="K237" s="152" t="s">
        <v>2397</v>
      </c>
      <c r="L237" s="152" t="s">
        <v>2705</v>
      </c>
      <c r="M237" s="152" t="s">
        <v>2398</v>
      </c>
      <c r="N237" s="152" t="s">
        <v>2705</v>
      </c>
      <c r="O237" s="152" t="s">
        <v>2398</v>
      </c>
      <c r="P237" s="152" t="s">
        <v>2705</v>
      </c>
      <c r="Q237" s="152" t="s">
        <v>2705</v>
      </c>
      <c r="R237" s="152" t="s">
        <v>2705</v>
      </c>
      <c r="S237" s="152" t="s">
        <v>2705</v>
      </c>
      <c r="T237" s="152" t="s">
        <v>2398</v>
      </c>
      <c r="U237" s="152" t="s">
        <v>2705</v>
      </c>
      <c r="V237" s="142" cm="1">
        <f t="array" ref="V237">IF(A237&lt;&gt;"",SUM(--(B237:U238 = "X")*$U$3,--(B237:U238 ="A")*$Q$3,--(B237:U238 ="B")*$R$3,--(B237:U238 ="C")*$S$3),"")</f>
        <v>25</v>
      </c>
      <c r="X237" s="437" t="s">
        <v>7545</v>
      </c>
      <c r="Y237" s="437">
        <v>14.5</v>
      </c>
      <c r="Z237" s="436">
        <f>_xlfn.XLOOKUP(answers[[#This Row],[StudentID]],$A$7:$A$1418,$V$7:$V$1418)</f>
        <v>14.5</v>
      </c>
      <c r="AF237" s="142" t="s">
        <v>7435</v>
      </c>
      <c r="AG237" s="142" t="s">
        <v>2705</v>
      </c>
      <c r="AH237" s="142" t="s">
        <v>2705</v>
      </c>
      <c r="AI237" s="142" t="s">
        <v>2705</v>
      </c>
      <c r="AJ237" s="142" t="s">
        <v>2705</v>
      </c>
      <c r="AK237" s="142" t="s">
        <v>2705</v>
      </c>
      <c r="AL237" s="142" t="s">
        <v>2705</v>
      </c>
      <c r="AM237" s="142" t="s">
        <v>2705</v>
      </c>
      <c r="AN237" s="142" t="s">
        <v>2705</v>
      </c>
      <c r="AO237" s="142" t="s">
        <v>2705</v>
      </c>
      <c r="AP237" s="142" t="s">
        <v>2397</v>
      </c>
      <c r="AQ237" s="142" t="s">
        <v>2705</v>
      </c>
      <c r="AR237" s="142" t="s">
        <v>2398</v>
      </c>
      <c r="AS237" s="142" t="s">
        <v>2705</v>
      </c>
      <c r="AT237" s="142" t="s">
        <v>2398</v>
      </c>
      <c r="AU237" s="142" t="s">
        <v>2705</v>
      </c>
      <c r="AV237" s="142" t="s">
        <v>2705</v>
      </c>
      <c r="AW237" s="142" t="s">
        <v>2705</v>
      </c>
      <c r="AX237" s="142" t="s">
        <v>2705</v>
      </c>
      <c r="AY237" s="142" t="s">
        <v>2398</v>
      </c>
      <c r="AZ237" s="142" t="s">
        <v>2705</v>
      </c>
    </row>
    <row r="238" spans="1:52" s="142" customFormat="1" ht="12.75" x14ac:dyDescent="0.2">
      <c r="A238" s="151"/>
      <c r="B238" s="152" t="s">
        <v>1435</v>
      </c>
      <c r="C238" s="152" t="s">
        <v>2398</v>
      </c>
      <c r="D238" s="152" t="s">
        <v>2398</v>
      </c>
      <c r="E238" s="152" t="s">
        <v>2398</v>
      </c>
      <c r="F238" s="152" t="s">
        <v>2398</v>
      </c>
      <c r="G238" s="152" t="s">
        <v>2705</v>
      </c>
      <c r="H238" s="152" t="s">
        <v>2705</v>
      </c>
      <c r="I238" s="152" t="s">
        <v>2705</v>
      </c>
      <c r="J238" s="152" t="s">
        <v>2398</v>
      </c>
      <c r="K238" s="152" t="s">
        <v>2705</v>
      </c>
      <c r="L238" s="152" t="s">
        <v>2705</v>
      </c>
      <c r="M238" s="152" t="s">
        <v>2705</v>
      </c>
      <c r="N238" s="152" t="s">
        <v>2705</v>
      </c>
      <c r="O238" s="152" t="s">
        <v>2398</v>
      </c>
      <c r="P238" s="152" t="s">
        <v>1435</v>
      </c>
      <c r="Q238" s="152" t="s">
        <v>2705</v>
      </c>
      <c r="R238" s="152" t="s">
        <v>2398</v>
      </c>
      <c r="S238" s="152" t="s">
        <v>2705</v>
      </c>
      <c r="T238" s="152" t="s">
        <v>2705</v>
      </c>
      <c r="U238" s="152" t="s">
        <v>2398</v>
      </c>
      <c r="V238" s="142" t="str" cm="1">
        <f t="array" ref="V238">IF(A238&lt;&gt;"",SUM(--(B238:U239 = "X")*$U$3,--(B238:U239 ="A")*$Q$3,--(B238:U239 ="B")*$R$3,--(B238:U239 ="C")*$S$3),"")</f>
        <v/>
      </c>
      <c r="X238" s="437" t="s">
        <v>7546</v>
      </c>
      <c r="Y238" s="437">
        <v>11</v>
      </c>
      <c r="Z238" s="436">
        <f>_xlfn.XLOOKUP(answers[[#This Row],[StudentID]],$A$7:$A$1418,$V$7:$V$1418)</f>
        <v>11</v>
      </c>
      <c r="AG238" s="142" t="s">
        <v>1435</v>
      </c>
      <c r="AH238" s="142" t="s">
        <v>2398</v>
      </c>
      <c r="AI238" s="142" t="s">
        <v>2398</v>
      </c>
      <c r="AJ238" s="142" t="s">
        <v>2398</v>
      </c>
      <c r="AK238" s="142" t="s">
        <v>2398</v>
      </c>
      <c r="AL238" s="142" t="s">
        <v>2705</v>
      </c>
      <c r="AM238" s="142" t="s">
        <v>2705</v>
      </c>
      <c r="AN238" s="142" t="s">
        <v>2705</v>
      </c>
      <c r="AO238" s="142" t="s">
        <v>2398</v>
      </c>
      <c r="AP238" s="142" t="s">
        <v>2705</v>
      </c>
      <c r="AQ238" s="142" t="s">
        <v>2705</v>
      </c>
      <c r="AR238" s="142" t="s">
        <v>2705</v>
      </c>
      <c r="AS238" s="142" t="s">
        <v>2705</v>
      </c>
      <c r="AT238" s="142" t="s">
        <v>2398</v>
      </c>
      <c r="AU238" s="142" t="s">
        <v>1435</v>
      </c>
      <c r="AV238" s="142" t="s">
        <v>2705</v>
      </c>
      <c r="AW238" s="142" t="s">
        <v>2398</v>
      </c>
      <c r="AX238" s="142" t="s">
        <v>2705</v>
      </c>
      <c r="AY238" s="142" t="s">
        <v>2705</v>
      </c>
      <c r="AZ238" s="142" t="s">
        <v>2398</v>
      </c>
    </row>
    <row r="239" spans="1:52" s="142" customFormat="1" ht="12.75" x14ac:dyDescent="0.2">
      <c r="A239" s="151" t="s">
        <v>7436</v>
      </c>
      <c r="B239" s="152" t="s">
        <v>1435</v>
      </c>
      <c r="C239" s="152" t="s">
        <v>2705</v>
      </c>
      <c r="D239" s="152" t="s">
        <v>2398</v>
      </c>
      <c r="E239" s="152" t="s">
        <v>2398</v>
      </c>
      <c r="F239" s="152" t="s">
        <v>2397</v>
      </c>
      <c r="G239" s="152" t="s">
        <v>2705</v>
      </c>
      <c r="H239" s="152" t="s">
        <v>2398</v>
      </c>
      <c r="I239" s="152" t="s">
        <v>2398</v>
      </c>
      <c r="J239" s="152" t="s">
        <v>2398</v>
      </c>
      <c r="K239" s="152" t="s">
        <v>1435</v>
      </c>
      <c r="L239" s="152" t="s">
        <v>2398</v>
      </c>
      <c r="M239" s="152" t="s">
        <v>2705</v>
      </c>
      <c r="N239" s="152" t="s">
        <v>2705</v>
      </c>
      <c r="O239" s="152" t="s">
        <v>2398</v>
      </c>
      <c r="P239" s="152" t="s">
        <v>2398</v>
      </c>
      <c r="Q239" s="152" t="s">
        <v>2705</v>
      </c>
      <c r="R239" s="152" t="s">
        <v>2398</v>
      </c>
      <c r="S239" s="152" t="s">
        <v>2398</v>
      </c>
      <c r="T239" s="152" t="s">
        <v>2675</v>
      </c>
      <c r="U239" s="152" t="s">
        <v>2398</v>
      </c>
      <c r="V239" s="142" cm="1">
        <f t="array" ref="V239">IF(A239&lt;&gt;"",SUM(--(B239:U240 = "X")*$U$3,--(B239:U240 ="A")*$Q$3,--(B239:U240 ="B")*$R$3,--(B239:U240 ="C")*$S$3),"")</f>
        <v>14</v>
      </c>
      <c r="X239" s="437" t="s">
        <v>7547</v>
      </c>
      <c r="Y239" s="437">
        <v>24</v>
      </c>
      <c r="Z239" s="436">
        <f>_xlfn.XLOOKUP(answers[[#This Row],[StudentID]],$A$7:$A$1418,$V$7:$V$1418)</f>
        <v>24</v>
      </c>
      <c r="AF239" s="142" t="s">
        <v>7436</v>
      </c>
      <c r="AG239" s="142" t="s">
        <v>1435</v>
      </c>
      <c r="AH239" s="142" t="s">
        <v>2705</v>
      </c>
      <c r="AI239" s="142" t="s">
        <v>2398</v>
      </c>
      <c r="AJ239" s="142" t="s">
        <v>2398</v>
      </c>
      <c r="AK239" s="142" t="s">
        <v>2397</v>
      </c>
      <c r="AL239" s="142" t="s">
        <v>2705</v>
      </c>
      <c r="AM239" s="142" t="s">
        <v>2398</v>
      </c>
      <c r="AN239" s="142" t="s">
        <v>2398</v>
      </c>
      <c r="AO239" s="142" t="s">
        <v>2398</v>
      </c>
      <c r="AP239" s="142" t="s">
        <v>1435</v>
      </c>
      <c r="AQ239" s="142" t="s">
        <v>2398</v>
      </c>
      <c r="AR239" s="142" t="s">
        <v>2705</v>
      </c>
      <c r="AS239" s="142" t="s">
        <v>2705</v>
      </c>
      <c r="AT239" s="142" t="s">
        <v>2398</v>
      </c>
      <c r="AU239" s="142" t="s">
        <v>2398</v>
      </c>
      <c r="AV239" s="142" t="s">
        <v>2705</v>
      </c>
      <c r="AW239" s="142" t="s">
        <v>2398</v>
      </c>
      <c r="AX239" s="142" t="s">
        <v>2398</v>
      </c>
      <c r="AY239" s="142" t="s">
        <v>2675</v>
      </c>
      <c r="AZ239" s="142" t="s">
        <v>2398</v>
      </c>
    </row>
    <row r="240" spans="1:52" s="142" customFormat="1" ht="12.75" x14ac:dyDescent="0.2">
      <c r="A240" s="151"/>
      <c r="B240" s="152" t="s">
        <v>2397</v>
      </c>
      <c r="C240" s="152" t="s">
        <v>2398</v>
      </c>
      <c r="D240" s="152" t="s">
        <v>2705</v>
      </c>
      <c r="E240" s="152" t="s">
        <v>2705</v>
      </c>
      <c r="F240" s="152" t="s">
        <v>2705</v>
      </c>
      <c r="G240" s="152" t="s">
        <v>2398</v>
      </c>
      <c r="H240" s="152" t="s">
        <v>2398</v>
      </c>
      <c r="I240" s="152" t="s">
        <v>2705</v>
      </c>
      <c r="J240" s="152" t="s">
        <v>2705</v>
      </c>
      <c r="K240" s="152" t="s">
        <v>2705</v>
      </c>
      <c r="L240" s="152" t="s">
        <v>2398</v>
      </c>
      <c r="M240" s="152" t="s">
        <v>2675</v>
      </c>
      <c r="N240" s="152" t="s">
        <v>2398</v>
      </c>
      <c r="O240" s="152" t="s">
        <v>2398</v>
      </c>
      <c r="P240" s="152" t="s">
        <v>2705</v>
      </c>
      <c r="Q240" s="152" t="s">
        <v>2705</v>
      </c>
      <c r="R240" s="152" t="s">
        <v>2705</v>
      </c>
      <c r="S240" s="152" t="s">
        <v>2397</v>
      </c>
      <c r="T240" s="152" t="s">
        <v>2705</v>
      </c>
      <c r="U240" s="152" t="s">
        <v>2705</v>
      </c>
      <c r="V240" s="142" t="str" cm="1">
        <f t="array" ref="V240">IF(A240&lt;&gt;"",SUM(--(B240:U241 = "X")*$U$3,--(B240:U241 ="A")*$Q$3,--(B240:U241 ="B")*$R$3,--(B240:U241 ="C")*$S$3),"")</f>
        <v/>
      </c>
      <c r="X240" s="437" t="s">
        <v>7548</v>
      </c>
      <c r="Y240" s="437">
        <v>4.5</v>
      </c>
      <c r="Z240" s="436">
        <f>_xlfn.XLOOKUP(answers[[#This Row],[StudentID]],$A$7:$A$1418,$V$7:$V$1418)</f>
        <v>4.5</v>
      </c>
      <c r="AG240" s="142" t="s">
        <v>2397</v>
      </c>
      <c r="AH240" s="142" t="s">
        <v>2398</v>
      </c>
      <c r="AI240" s="142" t="s">
        <v>2705</v>
      </c>
      <c r="AJ240" s="142" t="s">
        <v>2705</v>
      </c>
      <c r="AK240" s="142" t="s">
        <v>2705</v>
      </c>
      <c r="AL240" s="142" t="s">
        <v>2398</v>
      </c>
      <c r="AM240" s="142" t="s">
        <v>2398</v>
      </c>
      <c r="AN240" s="142" t="s">
        <v>2705</v>
      </c>
      <c r="AO240" s="142" t="s">
        <v>2705</v>
      </c>
      <c r="AP240" s="142" t="s">
        <v>2705</v>
      </c>
      <c r="AQ240" s="142" t="s">
        <v>2398</v>
      </c>
      <c r="AR240" s="142" t="s">
        <v>2675</v>
      </c>
      <c r="AS240" s="142" t="s">
        <v>2398</v>
      </c>
      <c r="AT240" s="142" t="s">
        <v>2398</v>
      </c>
      <c r="AU240" s="142" t="s">
        <v>2705</v>
      </c>
      <c r="AV240" s="142" t="s">
        <v>2705</v>
      </c>
      <c r="AW240" s="142" t="s">
        <v>2705</v>
      </c>
      <c r="AX240" s="142" t="s">
        <v>2397</v>
      </c>
      <c r="AY240" s="142" t="s">
        <v>2705</v>
      </c>
      <c r="AZ240" s="142" t="s">
        <v>2705</v>
      </c>
    </row>
    <row r="241" spans="1:52" s="142" customFormat="1" ht="12.75" x14ac:dyDescent="0.2">
      <c r="A241" s="151" t="s">
        <v>7437</v>
      </c>
      <c r="B241" s="152" t="s">
        <v>2398</v>
      </c>
      <c r="C241" s="152" t="s">
        <v>2675</v>
      </c>
      <c r="D241" s="152" t="s">
        <v>1435</v>
      </c>
      <c r="E241" s="152" t="s">
        <v>2398</v>
      </c>
      <c r="F241" s="152" t="s">
        <v>1435</v>
      </c>
      <c r="G241" s="152" t="s">
        <v>2705</v>
      </c>
      <c r="H241" s="152" t="s">
        <v>2705</v>
      </c>
      <c r="I241" s="152" t="s">
        <v>2705</v>
      </c>
      <c r="J241" s="152" t="s">
        <v>2705</v>
      </c>
      <c r="K241" s="152" t="s">
        <v>2705</v>
      </c>
      <c r="L241" s="152" t="s">
        <v>2675</v>
      </c>
      <c r="M241" s="152" t="s">
        <v>2705</v>
      </c>
      <c r="N241" s="152" t="s">
        <v>2705</v>
      </c>
      <c r="O241" s="152" t="s">
        <v>2398</v>
      </c>
      <c r="P241" s="152" t="s">
        <v>2705</v>
      </c>
      <c r="Q241" s="152" t="s">
        <v>2705</v>
      </c>
      <c r="R241" s="152" t="s">
        <v>2705</v>
      </c>
      <c r="S241" s="152" t="s">
        <v>2675</v>
      </c>
      <c r="T241" s="152" t="s">
        <v>2675</v>
      </c>
      <c r="U241" s="152" t="s">
        <v>2397</v>
      </c>
      <c r="V241" s="142" cm="1">
        <f t="array" ref="V241">IF(A241&lt;&gt;"",SUM(--(B241:U242 = "X")*$U$3,--(B241:U242 ="A")*$Q$3,--(B241:U242 ="B")*$R$3,--(B241:U242 ="C")*$S$3),"")</f>
        <v>12.5</v>
      </c>
      <c r="X241" s="437" t="s">
        <v>7549</v>
      </c>
      <c r="Y241" s="437">
        <v>19</v>
      </c>
      <c r="Z241" s="436">
        <f>_xlfn.XLOOKUP(answers[[#This Row],[StudentID]],$A$7:$A$1418,$V$7:$V$1418)</f>
        <v>19</v>
      </c>
      <c r="AF241" s="142" t="s">
        <v>7437</v>
      </c>
      <c r="AG241" s="142" t="s">
        <v>2398</v>
      </c>
      <c r="AH241" s="142" t="s">
        <v>2675</v>
      </c>
      <c r="AI241" s="142" t="s">
        <v>1435</v>
      </c>
      <c r="AJ241" s="142" t="s">
        <v>2398</v>
      </c>
      <c r="AK241" s="142" t="s">
        <v>1435</v>
      </c>
      <c r="AL241" s="142" t="s">
        <v>2705</v>
      </c>
      <c r="AM241" s="142" t="s">
        <v>2705</v>
      </c>
      <c r="AN241" s="142" t="s">
        <v>2705</v>
      </c>
      <c r="AO241" s="142" t="s">
        <v>2705</v>
      </c>
      <c r="AP241" s="142" t="s">
        <v>2705</v>
      </c>
      <c r="AQ241" s="142" t="s">
        <v>2675</v>
      </c>
      <c r="AR241" s="142" t="s">
        <v>2705</v>
      </c>
      <c r="AS241" s="142" t="s">
        <v>2705</v>
      </c>
      <c r="AT241" s="142" t="s">
        <v>2398</v>
      </c>
      <c r="AU241" s="142" t="s">
        <v>2705</v>
      </c>
      <c r="AV241" s="142" t="s">
        <v>2705</v>
      </c>
      <c r="AW241" s="142" t="s">
        <v>2705</v>
      </c>
      <c r="AX241" s="142" t="s">
        <v>2675</v>
      </c>
      <c r="AY241" s="142" t="s">
        <v>2675</v>
      </c>
      <c r="AZ241" s="142" t="s">
        <v>2397</v>
      </c>
    </row>
    <row r="242" spans="1:52" s="142" customFormat="1" ht="12.75" x14ac:dyDescent="0.2">
      <c r="A242" s="151"/>
      <c r="B242" s="152" t="s">
        <v>2398</v>
      </c>
      <c r="C242" s="152" t="s">
        <v>2398</v>
      </c>
      <c r="D242" s="152" t="s">
        <v>2398</v>
      </c>
      <c r="E242" s="152" t="s">
        <v>2705</v>
      </c>
      <c r="F242" s="152" t="s">
        <v>2398</v>
      </c>
      <c r="G242" s="152" t="s">
        <v>2705</v>
      </c>
      <c r="H242" s="152" t="s">
        <v>2398</v>
      </c>
      <c r="I242" s="152" t="s">
        <v>2705</v>
      </c>
      <c r="J242" s="152" t="s">
        <v>2398</v>
      </c>
      <c r="K242" s="152" t="s">
        <v>2398</v>
      </c>
      <c r="L242" s="152" t="s">
        <v>2397</v>
      </c>
      <c r="M242" s="152" t="s">
        <v>2398</v>
      </c>
      <c r="N242" s="152" t="s">
        <v>2675</v>
      </c>
      <c r="O242" s="152" t="s">
        <v>2398</v>
      </c>
      <c r="P242" s="152" t="s">
        <v>2705</v>
      </c>
      <c r="Q242" s="152" t="s">
        <v>2705</v>
      </c>
      <c r="R242" s="152" t="s">
        <v>2397</v>
      </c>
      <c r="S242" s="152" t="s">
        <v>2397</v>
      </c>
      <c r="T242" s="152" t="s">
        <v>2705</v>
      </c>
      <c r="U242" s="152" t="s">
        <v>2397</v>
      </c>
      <c r="V242" s="142" t="str" cm="1">
        <f t="array" ref="V242">IF(A242&lt;&gt;"",SUM(--(B242:U243 = "X")*$U$3,--(B242:U243 ="A")*$Q$3,--(B242:U243 ="B")*$R$3,--(B242:U243 ="C")*$S$3),"")</f>
        <v/>
      </c>
      <c r="X242" s="437" t="s">
        <v>7550</v>
      </c>
      <c r="Y242" s="437">
        <v>15</v>
      </c>
      <c r="Z242" s="436">
        <f>_xlfn.XLOOKUP(answers[[#This Row],[StudentID]],$A$7:$A$1418,$V$7:$V$1418)</f>
        <v>15</v>
      </c>
      <c r="AG242" s="142" t="s">
        <v>2398</v>
      </c>
      <c r="AH242" s="142" t="s">
        <v>2398</v>
      </c>
      <c r="AI242" s="142" t="s">
        <v>2398</v>
      </c>
      <c r="AJ242" s="142" t="s">
        <v>2705</v>
      </c>
      <c r="AK242" s="142" t="s">
        <v>2398</v>
      </c>
      <c r="AL242" s="142" t="s">
        <v>2705</v>
      </c>
      <c r="AM242" s="142" t="s">
        <v>2398</v>
      </c>
      <c r="AN242" s="142" t="s">
        <v>2705</v>
      </c>
      <c r="AO242" s="142" t="s">
        <v>2398</v>
      </c>
      <c r="AP242" s="142" t="s">
        <v>2398</v>
      </c>
      <c r="AQ242" s="142" t="s">
        <v>2397</v>
      </c>
      <c r="AR242" s="142" t="s">
        <v>2398</v>
      </c>
      <c r="AS242" s="142" t="s">
        <v>2675</v>
      </c>
      <c r="AT242" s="142" t="s">
        <v>2398</v>
      </c>
      <c r="AU242" s="142" t="s">
        <v>2705</v>
      </c>
      <c r="AV242" s="142" t="s">
        <v>2705</v>
      </c>
      <c r="AW242" s="142" t="s">
        <v>2397</v>
      </c>
      <c r="AX242" s="142" t="s">
        <v>2397</v>
      </c>
      <c r="AY242" s="142" t="s">
        <v>2705</v>
      </c>
      <c r="AZ242" s="142" t="s">
        <v>2397</v>
      </c>
    </row>
    <row r="243" spans="1:52" s="142" customFormat="1" ht="12.75" x14ac:dyDescent="0.2">
      <c r="A243" s="151" t="s">
        <v>7438</v>
      </c>
      <c r="B243" s="152" t="s">
        <v>2398</v>
      </c>
      <c r="C243" s="152" t="s">
        <v>1435</v>
      </c>
      <c r="D243" s="152" t="s">
        <v>2397</v>
      </c>
      <c r="E243" s="152" t="s">
        <v>1435</v>
      </c>
      <c r="F243" s="152" t="s">
        <v>2398</v>
      </c>
      <c r="G243" s="152" t="s">
        <v>2705</v>
      </c>
      <c r="H243" s="152" t="s">
        <v>2705</v>
      </c>
      <c r="I243" s="152" t="s">
        <v>2398</v>
      </c>
      <c r="J243" s="152" t="s">
        <v>1435</v>
      </c>
      <c r="K243" s="152" t="s">
        <v>2705</v>
      </c>
      <c r="L243" s="152" t="s">
        <v>1435</v>
      </c>
      <c r="M243" s="152" t="s">
        <v>2705</v>
      </c>
      <c r="N243" s="152" t="s">
        <v>2675</v>
      </c>
      <c r="O243" s="152" t="s">
        <v>2705</v>
      </c>
      <c r="P243" s="152" t="s">
        <v>1435</v>
      </c>
      <c r="Q243" s="152" t="s">
        <v>2705</v>
      </c>
      <c r="R243" s="152" t="s">
        <v>1435</v>
      </c>
      <c r="S243" s="152" t="s">
        <v>2675</v>
      </c>
      <c r="T243" s="152" t="s">
        <v>2705</v>
      </c>
      <c r="U243" s="152" t="s">
        <v>2675</v>
      </c>
      <c r="V243" s="142" cm="1">
        <f t="array" ref="V243">IF(A243&lt;&gt;"",SUM(--(B243:U244 = "X")*$U$3,--(B243:U244 ="A")*$Q$3,--(B243:U244 ="B")*$R$3,--(B243:U244 ="C")*$S$3),"")</f>
        <v>14</v>
      </c>
      <c r="X243" s="437" t="s">
        <v>7551</v>
      </c>
      <c r="Y243" s="437">
        <v>16</v>
      </c>
      <c r="Z243" s="436">
        <f>_xlfn.XLOOKUP(answers[[#This Row],[StudentID]],$A$7:$A$1418,$V$7:$V$1418)</f>
        <v>16</v>
      </c>
      <c r="AF243" s="142" t="s">
        <v>7438</v>
      </c>
      <c r="AG243" s="142" t="s">
        <v>2398</v>
      </c>
      <c r="AH243" s="142" t="s">
        <v>1435</v>
      </c>
      <c r="AI243" s="142" t="s">
        <v>2397</v>
      </c>
      <c r="AJ243" s="142" t="s">
        <v>1435</v>
      </c>
      <c r="AK243" s="142" t="s">
        <v>2398</v>
      </c>
      <c r="AL243" s="142" t="s">
        <v>2705</v>
      </c>
      <c r="AM243" s="142" t="s">
        <v>2705</v>
      </c>
      <c r="AN243" s="142" t="s">
        <v>2398</v>
      </c>
      <c r="AO243" s="142" t="s">
        <v>1435</v>
      </c>
      <c r="AP243" s="142" t="s">
        <v>2705</v>
      </c>
      <c r="AQ243" s="142" t="s">
        <v>1435</v>
      </c>
      <c r="AR243" s="142" t="s">
        <v>2705</v>
      </c>
      <c r="AS243" s="142" t="s">
        <v>2675</v>
      </c>
      <c r="AT243" s="142" t="s">
        <v>2705</v>
      </c>
      <c r="AU243" s="142" t="s">
        <v>1435</v>
      </c>
      <c r="AV243" s="142" t="s">
        <v>2705</v>
      </c>
      <c r="AW243" s="142" t="s">
        <v>1435</v>
      </c>
      <c r="AX243" s="142" t="s">
        <v>2675</v>
      </c>
      <c r="AY243" s="142" t="s">
        <v>2705</v>
      </c>
      <c r="AZ243" s="142" t="s">
        <v>2675</v>
      </c>
    </row>
    <row r="244" spans="1:52" s="142" customFormat="1" ht="12.75" x14ac:dyDescent="0.2">
      <c r="A244" s="151"/>
      <c r="B244" s="152" t="s">
        <v>2705</v>
      </c>
      <c r="C244" s="152" t="s">
        <v>2398</v>
      </c>
      <c r="D244" s="152" t="s">
        <v>2705</v>
      </c>
      <c r="E244" s="152" t="s">
        <v>2398</v>
      </c>
      <c r="F244" s="152" t="s">
        <v>2705</v>
      </c>
      <c r="G244" s="152" t="s">
        <v>2398</v>
      </c>
      <c r="H244" s="152" t="s">
        <v>2397</v>
      </c>
      <c r="I244" s="152" t="s">
        <v>1435</v>
      </c>
      <c r="J244" s="152" t="s">
        <v>2705</v>
      </c>
      <c r="K244" s="152" t="s">
        <v>2705</v>
      </c>
      <c r="L244" s="152" t="s">
        <v>2398</v>
      </c>
      <c r="M244" s="152" t="s">
        <v>2705</v>
      </c>
      <c r="N244" s="152" t="s">
        <v>2705</v>
      </c>
      <c r="O244" s="152" t="s">
        <v>2398</v>
      </c>
      <c r="P244" s="152" t="s">
        <v>2705</v>
      </c>
      <c r="Q244" s="152" t="s">
        <v>2705</v>
      </c>
      <c r="R244" s="152" t="s">
        <v>2705</v>
      </c>
      <c r="S244" s="152" t="s">
        <v>2705</v>
      </c>
      <c r="T244" s="152" t="s">
        <v>2705</v>
      </c>
      <c r="U244" s="152" t="s">
        <v>2398</v>
      </c>
      <c r="V244" s="142" t="str" cm="1">
        <f t="array" ref="V244">IF(A244&lt;&gt;"",SUM(--(B244:U245 = "X")*$U$3,--(B244:U245 ="A")*$Q$3,--(B244:U245 ="B")*$R$3,--(B244:U245 ="C")*$S$3),"")</f>
        <v/>
      </c>
      <c r="X244" s="437" t="s">
        <v>7552</v>
      </c>
      <c r="Y244" s="437">
        <v>16</v>
      </c>
      <c r="Z244" s="436">
        <f>_xlfn.XLOOKUP(answers[[#This Row],[StudentID]],$A$7:$A$1418,$V$7:$V$1418)</f>
        <v>16</v>
      </c>
      <c r="AG244" s="142" t="s">
        <v>2705</v>
      </c>
      <c r="AH244" s="142" t="s">
        <v>2398</v>
      </c>
      <c r="AI244" s="142" t="s">
        <v>2705</v>
      </c>
      <c r="AJ244" s="142" t="s">
        <v>2398</v>
      </c>
      <c r="AK244" s="142" t="s">
        <v>2705</v>
      </c>
      <c r="AL244" s="142" t="s">
        <v>2398</v>
      </c>
      <c r="AM244" s="142" t="s">
        <v>2397</v>
      </c>
      <c r="AN244" s="142" t="s">
        <v>1435</v>
      </c>
      <c r="AO244" s="142" t="s">
        <v>2705</v>
      </c>
      <c r="AP244" s="142" t="s">
        <v>2705</v>
      </c>
      <c r="AQ244" s="142" t="s">
        <v>2398</v>
      </c>
      <c r="AR244" s="142" t="s">
        <v>2705</v>
      </c>
      <c r="AS244" s="142" t="s">
        <v>2705</v>
      </c>
      <c r="AT244" s="142" t="s">
        <v>2398</v>
      </c>
      <c r="AU244" s="142" t="s">
        <v>2705</v>
      </c>
      <c r="AV244" s="142" t="s">
        <v>2705</v>
      </c>
      <c r="AW244" s="142" t="s">
        <v>2705</v>
      </c>
      <c r="AX244" s="142" t="s">
        <v>2705</v>
      </c>
      <c r="AY244" s="142" t="s">
        <v>2705</v>
      </c>
      <c r="AZ244" s="142" t="s">
        <v>2398</v>
      </c>
    </row>
    <row r="245" spans="1:52" s="142" customFormat="1" ht="12.75" x14ac:dyDescent="0.2">
      <c r="A245" s="151" t="s">
        <v>7439</v>
      </c>
      <c r="B245" s="152" t="s">
        <v>2397</v>
      </c>
      <c r="C245" s="152" t="s">
        <v>1435</v>
      </c>
      <c r="D245" s="152" t="s">
        <v>2675</v>
      </c>
      <c r="E245" s="152" t="s">
        <v>1435</v>
      </c>
      <c r="F245" s="152" t="s">
        <v>2705</v>
      </c>
      <c r="G245" s="152" t="s">
        <v>2398</v>
      </c>
      <c r="H245" s="152" t="s">
        <v>2397</v>
      </c>
      <c r="I245" s="152" t="s">
        <v>2398</v>
      </c>
      <c r="J245" s="152" t="s">
        <v>2675</v>
      </c>
      <c r="K245" s="152" t="s">
        <v>1435</v>
      </c>
      <c r="L245" s="152" t="s">
        <v>2705</v>
      </c>
      <c r="M245" s="152" t="s">
        <v>2705</v>
      </c>
      <c r="N245" s="152" t="s">
        <v>1435</v>
      </c>
      <c r="O245" s="152" t="s">
        <v>2398</v>
      </c>
      <c r="P245" s="152" t="s">
        <v>2398</v>
      </c>
      <c r="Q245" s="152" t="s">
        <v>2398</v>
      </c>
      <c r="R245" s="152" t="s">
        <v>2675</v>
      </c>
      <c r="S245" s="152" t="s">
        <v>2398</v>
      </c>
      <c r="T245" s="152" t="s">
        <v>2705</v>
      </c>
      <c r="U245" s="152" t="s">
        <v>2705</v>
      </c>
      <c r="V245" s="142" cm="1">
        <f t="array" ref="V245">IF(A245&lt;&gt;"",SUM(--(B245:U246 = "X")*$U$3,--(B245:U246 ="A")*$Q$3,--(B245:U246 ="B")*$R$3,--(B245:U246 ="C")*$S$3),"")</f>
        <v>6</v>
      </c>
      <c r="X245" s="437" t="s">
        <v>7553</v>
      </c>
      <c r="Y245" s="437">
        <v>32</v>
      </c>
      <c r="Z245" s="436">
        <f>_xlfn.XLOOKUP(answers[[#This Row],[StudentID]],$A$7:$A$1418,$V$7:$V$1418)</f>
        <v>32</v>
      </c>
      <c r="AF245" s="142" t="s">
        <v>7439</v>
      </c>
      <c r="AG245" s="142" t="s">
        <v>2397</v>
      </c>
      <c r="AH245" s="142" t="s">
        <v>1435</v>
      </c>
      <c r="AI245" s="142" t="s">
        <v>2675</v>
      </c>
      <c r="AJ245" s="142" t="s">
        <v>1435</v>
      </c>
      <c r="AK245" s="142" t="s">
        <v>2705</v>
      </c>
      <c r="AL245" s="142" t="s">
        <v>2398</v>
      </c>
      <c r="AM245" s="142" t="s">
        <v>2397</v>
      </c>
      <c r="AN245" s="142" t="s">
        <v>2398</v>
      </c>
      <c r="AO245" s="142" t="s">
        <v>2675</v>
      </c>
      <c r="AP245" s="142" t="s">
        <v>1435</v>
      </c>
      <c r="AQ245" s="142" t="s">
        <v>2705</v>
      </c>
      <c r="AR245" s="142" t="s">
        <v>2705</v>
      </c>
      <c r="AS245" s="142" t="s">
        <v>1435</v>
      </c>
      <c r="AT245" s="142" t="s">
        <v>2398</v>
      </c>
      <c r="AU245" s="142" t="s">
        <v>2398</v>
      </c>
      <c r="AV245" s="142" t="s">
        <v>2398</v>
      </c>
      <c r="AW245" s="142" t="s">
        <v>2675</v>
      </c>
      <c r="AX245" s="142" t="s">
        <v>2398</v>
      </c>
      <c r="AY245" s="142" t="s">
        <v>2705</v>
      </c>
      <c r="AZ245" s="142" t="s">
        <v>2705</v>
      </c>
    </row>
    <row r="246" spans="1:52" s="142" customFormat="1" ht="12.75" x14ac:dyDescent="0.2">
      <c r="A246" s="151"/>
      <c r="B246" s="152" t="s">
        <v>2398</v>
      </c>
      <c r="C246" s="152" t="s">
        <v>2398</v>
      </c>
      <c r="D246" s="152" t="s">
        <v>2705</v>
      </c>
      <c r="E246" s="152" t="s">
        <v>2705</v>
      </c>
      <c r="F246" s="152" t="s">
        <v>2398</v>
      </c>
      <c r="G246" s="152" t="s">
        <v>2705</v>
      </c>
      <c r="H246" s="152" t="s">
        <v>2398</v>
      </c>
      <c r="I246" s="152" t="s">
        <v>2398</v>
      </c>
      <c r="J246" s="152" t="s">
        <v>2675</v>
      </c>
      <c r="K246" s="152" t="s">
        <v>2398</v>
      </c>
      <c r="L246" s="152" t="s">
        <v>2398</v>
      </c>
      <c r="M246" s="152" t="s">
        <v>2398</v>
      </c>
      <c r="N246" s="152" t="s">
        <v>1435</v>
      </c>
      <c r="O246" s="152" t="s">
        <v>2705</v>
      </c>
      <c r="P246" s="152" t="s">
        <v>2705</v>
      </c>
      <c r="Q246" s="152" t="s">
        <v>2398</v>
      </c>
      <c r="R246" s="152" t="s">
        <v>2398</v>
      </c>
      <c r="S246" s="152" t="s">
        <v>2397</v>
      </c>
      <c r="T246" s="152" t="s">
        <v>2675</v>
      </c>
      <c r="U246" s="152" t="s">
        <v>2705</v>
      </c>
      <c r="V246" s="142" t="str" cm="1">
        <f t="array" ref="V246">IF(A246&lt;&gt;"",SUM(--(B246:U247 = "X")*$U$3,--(B246:U247 ="A")*$Q$3,--(B246:U247 ="B")*$R$3,--(B246:U247 ="C")*$S$3),"")</f>
        <v/>
      </c>
      <c r="X246" s="437" t="s">
        <v>7554</v>
      </c>
      <c r="Y246" s="437">
        <v>18.5</v>
      </c>
      <c r="Z246" s="436">
        <f>_xlfn.XLOOKUP(answers[[#This Row],[StudentID]],$A$7:$A$1418,$V$7:$V$1418)</f>
        <v>18.5</v>
      </c>
      <c r="AG246" s="142" t="s">
        <v>2398</v>
      </c>
      <c r="AH246" s="142" t="s">
        <v>2398</v>
      </c>
      <c r="AI246" s="142" t="s">
        <v>2705</v>
      </c>
      <c r="AJ246" s="142" t="s">
        <v>2705</v>
      </c>
      <c r="AK246" s="142" t="s">
        <v>2398</v>
      </c>
      <c r="AL246" s="142" t="s">
        <v>2705</v>
      </c>
      <c r="AM246" s="142" t="s">
        <v>2398</v>
      </c>
      <c r="AN246" s="142" t="s">
        <v>2398</v>
      </c>
      <c r="AO246" s="142" t="s">
        <v>2675</v>
      </c>
      <c r="AP246" s="142" t="s">
        <v>2398</v>
      </c>
      <c r="AQ246" s="142" t="s">
        <v>2398</v>
      </c>
      <c r="AR246" s="142" t="s">
        <v>2398</v>
      </c>
      <c r="AS246" s="142" t="s">
        <v>1435</v>
      </c>
      <c r="AT246" s="142" t="s">
        <v>2705</v>
      </c>
      <c r="AU246" s="142" t="s">
        <v>2705</v>
      </c>
      <c r="AV246" s="142" t="s">
        <v>2398</v>
      </c>
      <c r="AW246" s="142" t="s">
        <v>2398</v>
      </c>
      <c r="AX246" s="142" t="s">
        <v>2397</v>
      </c>
      <c r="AY246" s="142" t="s">
        <v>2675</v>
      </c>
      <c r="AZ246" s="142" t="s">
        <v>2705</v>
      </c>
    </row>
    <row r="247" spans="1:52" s="142" customFormat="1" ht="12.75" x14ac:dyDescent="0.2">
      <c r="A247" s="151" t="s">
        <v>7440</v>
      </c>
      <c r="B247" s="152" t="s">
        <v>2705</v>
      </c>
      <c r="C247" s="152" t="s">
        <v>2705</v>
      </c>
      <c r="D247" s="152" t="s">
        <v>2705</v>
      </c>
      <c r="E247" s="152" t="s">
        <v>2397</v>
      </c>
      <c r="F247" s="152" t="s">
        <v>2397</v>
      </c>
      <c r="G247" s="152" t="s">
        <v>2705</v>
      </c>
      <c r="H247" s="152" t="s">
        <v>1435</v>
      </c>
      <c r="I247" s="152" t="s">
        <v>2705</v>
      </c>
      <c r="J247" s="152" t="s">
        <v>2705</v>
      </c>
      <c r="K247" s="152" t="s">
        <v>2705</v>
      </c>
      <c r="L247" s="152" t="s">
        <v>2398</v>
      </c>
      <c r="M247" s="152" t="s">
        <v>2398</v>
      </c>
      <c r="N247" s="152" t="s">
        <v>2675</v>
      </c>
      <c r="O247" s="152" t="s">
        <v>2398</v>
      </c>
      <c r="P247" s="152" t="s">
        <v>2398</v>
      </c>
      <c r="Q247" s="152" t="s">
        <v>2398</v>
      </c>
      <c r="R247" s="152" t="s">
        <v>1435</v>
      </c>
      <c r="S247" s="152" t="s">
        <v>2705</v>
      </c>
      <c r="T247" s="152" t="s">
        <v>2397</v>
      </c>
      <c r="U247" s="152" t="s">
        <v>2705</v>
      </c>
      <c r="V247" s="142" cm="1">
        <f t="array" ref="V247">IF(A247&lt;&gt;"",SUM(--(B247:U248 = "X")*$U$3,--(B247:U248 ="A")*$Q$3,--(B247:U248 ="B")*$R$3,--(B247:U248 ="C")*$S$3),"")</f>
        <v>11</v>
      </c>
      <c r="X247" s="437" t="s">
        <v>7555</v>
      </c>
      <c r="Y247" s="437">
        <v>9.5</v>
      </c>
      <c r="Z247" s="436">
        <f>_xlfn.XLOOKUP(answers[[#This Row],[StudentID]],$A$7:$A$1418,$V$7:$V$1418)</f>
        <v>9.5</v>
      </c>
      <c r="AF247" s="142" t="s">
        <v>7440</v>
      </c>
      <c r="AG247" s="142" t="s">
        <v>2705</v>
      </c>
      <c r="AH247" s="142" t="s">
        <v>2705</v>
      </c>
      <c r="AI247" s="142" t="s">
        <v>2705</v>
      </c>
      <c r="AJ247" s="142" t="s">
        <v>2397</v>
      </c>
      <c r="AK247" s="142" t="s">
        <v>2397</v>
      </c>
      <c r="AL247" s="142" t="s">
        <v>2705</v>
      </c>
      <c r="AM247" s="142" t="s">
        <v>1435</v>
      </c>
      <c r="AN247" s="142" t="s">
        <v>2705</v>
      </c>
      <c r="AO247" s="142" t="s">
        <v>2705</v>
      </c>
      <c r="AP247" s="142" t="s">
        <v>2705</v>
      </c>
      <c r="AQ247" s="142" t="s">
        <v>2398</v>
      </c>
      <c r="AR247" s="142" t="s">
        <v>2398</v>
      </c>
      <c r="AS247" s="142" t="s">
        <v>2675</v>
      </c>
      <c r="AT247" s="142" t="s">
        <v>2398</v>
      </c>
      <c r="AU247" s="142" t="s">
        <v>2398</v>
      </c>
      <c r="AV247" s="142" t="s">
        <v>2398</v>
      </c>
      <c r="AW247" s="142" t="s">
        <v>1435</v>
      </c>
      <c r="AX247" s="142" t="s">
        <v>2705</v>
      </c>
      <c r="AY247" s="142" t="s">
        <v>2397</v>
      </c>
      <c r="AZ247" s="142" t="s">
        <v>2705</v>
      </c>
    </row>
    <row r="248" spans="1:52" s="142" customFormat="1" ht="12.75" x14ac:dyDescent="0.2">
      <c r="A248" s="151"/>
      <c r="B248" s="152" t="s">
        <v>2675</v>
      </c>
      <c r="C248" s="152" t="s">
        <v>2675</v>
      </c>
      <c r="D248" s="152" t="s">
        <v>2398</v>
      </c>
      <c r="E248" s="152" t="s">
        <v>2398</v>
      </c>
      <c r="F248" s="152" t="s">
        <v>2398</v>
      </c>
      <c r="G248" s="152" t="s">
        <v>2705</v>
      </c>
      <c r="H248" s="152" t="s">
        <v>2398</v>
      </c>
      <c r="I248" s="152" t="s">
        <v>2705</v>
      </c>
      <c r="J248" s="152" t="s">
        <v>2398</v>
      </c>
      <c r="K248" s="152" t="s">
        <v>2705</v>
      </c>
      <c r="L248" s="152" t="s">
        <v>2398</v>
      </c>
      <c r="M248" s="152" t="s">
        <v>2398</v>
      </c>
      <c r="N248" s="152" t="s">
        <v>1435</v>
      </c>
      <c r="O248" s="152" t="s">
        <v>1435</v>
      </c>
      <c r="P248" s="152" t="s">
        <v>2675</v>
      </c>
      <c r="Q248" s="152" t="s">
        <v>2705</v>
      </c>
      <c r="R248" s="152" t="s">
        <v>2705</v>
      </c>
      <c r="S248" s="152" t="s">
        <v>2705</v>
      </c>
      <c r="T248" s="152" t="s">
        <v>2398</v>
      </c>
      <c r="U248" s="152" t="s">
        <v>2398</v>
      </c>
      <c r="V248" s="142" t="str" cm="1">
        <f t="array" ref="V248">IF(A248&lt;&gt;"",SUM(--(B248:U249 = "X")*$U$3,--(B248:U249 ="A")*$Q$3,--(B248:U249 ="B")*$R$3,--(B248:U249 ="C")*$S$3),"")</f>
        <v/>
      </c>
      <c r="X248" s="437" t="s">
        <v>7556</v>
      </c>
      <c r="Y248" s="437">
        <v>12</v>
      </c>
      <c r="Z248" s="436">
        <f>_xlfn.XLOOKUP(answers[[#This Row],[StudentID]],$A$7:$A$1418,$V$7:$V$1418)</f>
        <v>12</v>
      </c>
      <c r="AG248" s="142" t="s">
        <v>2675</v>
      </c>
      <c r="AH248" s="142" t="s">
        <v>2675</v>
      </c>
      <c r="AI248" s="142" t="s">
        <v>2398</v>
      </c>
      <c r="AJ248" s="142" t="s">
        <v>2398</v>
      </c>
      <c r="AK248" s="142" t="s">
        <v>2398</v>
      </c>
      <c r="AL248" s="142" t="s">
        <v>2705</v>
      </c>
      <c r="AM248" s="142" t="s">
        <v>2398</v>
      </c>
      <c r="AN248" s="142" t="s">
        <v>2705</v>
      </c>
      <c r="AO248" s="142" t="s">
        <v>2398</v>
      </c>
      <c r="AP248" s="142" t="s">
        <v>2705</v>
      </c>
      <c r="AQ248" s="142" t="s">
        <v>2398</v>
      </c>
      <c r="AR248" s="142" t="s">
        <v>2398</v>
      </c>
      <c r="AS248" s="142" t="s">
        <v>1435</v>
      </c>
      <c r="AT248" s="142" t="s">
        <v>1435</v>
      </c>
      <c r="AU248" s="142" t="s">
        <v>2675</v>
      </c>
      <c r="AV248" s="142" t="s">
        <v>2705</v>
      </c>
      <c r="AW248" s="142" t="s">
        <v>2705</v>
      </c>
      <c r="AX248" s="142" t="s">
        <v>2705</v>
      </c>
      <c r="AY248" s="142" t="s">
        <v>2398</v>
      </c>
      <c r="AZ248" s="142" t="s">
        <v>2398</v>
      </c>
    </row>
    <row r="249" spans="1:52" s="142" customFormat="1" ht="12.75" x14ac:dyDescent="0.2">
      <c r="A249" s="151" t="s">
        <v>7441</v>
      </c>
      <c r="B249" s="152" t="s">
        <v>2705</v>
      </c>
      <c r="C249" s="152" t="s">
        <v>2398</v>
      </c>
      <c r="D249" s="152" t="s">
        <v>1435</v>
      </c>
      <c r="E249" s="152" t="s">
        <v>1435</v>
      </c>
      <c r="F249" s="152" t="s">
        <v>2705</v>
      </c>
      <c r="G249" s="152" t="s">
        <v>2705</v>
      </c>
      <c r="H249" s="152" t="s">
        <v>2705</v>
      </c>
      <c r="I249" s="152" t="s">
        <v>2675</v>
      </c>
      <c r="J249" s="152" t="s">
        <v>1435</v>
      </c>
      <c r="K249" s="152" t="s">
        <v>1435</v>
      </c>
      <c r="L249" s="152" t="s">
        <v>2398</v>
      </c>
      <c r="M249" s="152" t="s">
        <v>2705</v>
      </c>
      <c r="N249" s="152" t="s">
        <v>2398</v>
      </c>
      <c r="O249" s="152" t="s">
        <v>2705</v>
      </c>
      <c r="P249" s="152" t="s">
        <v>2705</v>
      </c>
      <c r="Q249" s="152" t="s">
        <v>2705</v>
      </c>
      <c r="R249" s="152" t="s">
        <v>2705</v>
      </c>
      <c r="S249" s="152" t="s">
        <v>2705</v>
      </c>
      <c r="T249" s="152" t="s">
        <v>2398</v>
      </c>
      <c r="U249" s="152" t="s">
        <v>2705</v>
      </c>
      <c r="V249" s="142" cm="1">
        <f t="array" ref="V249">IF(A249&lt;&gt;"",SUM(--(B249:U250 = "X")*$U$3,--(B249:U250 ="A")*$Q$3,--(B249:U250 ="B")*$R$3,--(B249:U250 ="C")*$S$3),"")</f>
        <v>23</v>
      </c>
      <c r="X249" s="437" t="s">
        <v>7557</v>
      </c>
      <c r="Y249" s="437">
        <v>12.5</v>
      </c>
      <c r="Z249" s="436">
        <f>_xlfn.XLOOKUP(answers[[#This Row],[StudentID]],$A$7:$A$1418,$V$7:$V$1418)</f>
        <v>12.5</v>
      </c>
      <c r="AF249" s="142" t="s">
        <v>7441</v>
      </c>
      <c r="AG249" s="142" t="s">
        <v>2705</v>
      </c>
      <c r="AH249" s="142" t="s">
        <v>2398</v>
      </c>
      <c r="AI249" s="142" t="s">
        <v>1435</v>
      </c>
      <c r="AJ249" s="142" t="s">
        <v>1435</v>
      </c>
      <c r="AK249" s="142" t="s">
        <v>2705</v>
      </c>
      <c r="AL249" s="142" t="s">
        <v>2705</v>
      </c>
      <c r="AM249" s="142" t="s">
        <v>2705</v>
      </c>
      <c r="AN249" s="142" t="s">
        <v>2675</v>
      </c>
      <c r="AO249" s="142" t="s">
        <v>1435</v>
      </c>
      <c r="AP249" s="142" t="s">
        <v>1435</v>
      </c>
      <c r="AQ249" s="142" t="s">
        <v>2398</v>
      </c>
      <c r="AR249" s="142" t="s">
        <v>2705</v>
      </c>
      <c r="AS249" s="142" t="s">
        <v>2398</v>
      </c>
      <c r="AT249" s="142" t="s">
        <v>2705</v>
      </c>
      <c r="AU249" s="142" t="s">
        <v>2705</v>
      </c>
      <c r="AV249" s="142" t="s">
        <v>2705</v>
      </c>
      <c r="AW249" s="142" t="s">
        <v>2705</v>
      </c>
      <c r="AX249" s="142" t="s">
        <v>2705</v>
      </c>
      <c r="AY249" s="142" t="s">
        <v>2398</v>
      </c>
      <c r="AZ249" s="142" t="s">
        <v>2705</v>
      </c>
    </row>
    <row r="250" spans="1:52" s="142" customFormat="1" ht="12.75" x14ac:dyDescent="0.2">
      <c r="A250" s="151"/>
      <c r="B250" s="152" t="s">
        <v>2705</v>
      </c>
      <c r="C250" s="152" t="s">
        <v>2398</v>
      </c>
      <c r="D250" s="152" t="s">
        <v>2705</v>
      </c>
      <c r="E250" s="152" t="s">
        <v>2705</v>
      </c>
      <c r="F250" s="152" t="s">
        <v>2705</v>
      </c>
      <c r="G250" s="152" t="s">
        <v>2398</v>
      </c>
      <c r="H250" s="152" t="s">
        <v>2705</v>
      </c>
      <c r="I250" s="152" t="s">
        <v>2398</v>
      </c>
      <c r="J250" s="152" t="s">
        <v>2398</v>
      </c>
      <c r="K250" s="152" t="s">
        <v>2705</v>
      </c>
      <c r="L250" s="152" t="s">
        <v>2705</v>
      </c>
      <c r="M250" s="152" t="s">
        <v>2705</v>
      </c>
      <c r="N250" s="152" t="s">
        <v>2705</v>
      </c>
      <c r="O250" s="152" t="s">
        <v>2705</v>
      </c>
      <c r="P250" s="152" t="s">
        <v>2705</v>
      </c>
      <c r="Q250" s="152" t="s">
        <v>2705</v>
      </c>
      <c r="R250" s="152" t="s">
        <v>2705</v>
      </c>
      <c r="S250" s="152" t="s">
        <v>2705</v>
      </c>
      <c r="T250" s="152" t="s">
        <v>2705</v>
      </c>
      <c r="U250" s="152" t="s">
        <v>2675</v>
      </c>
      <c r="V250" s="142" t="str" cm="1">
        <f t="array" ref="V250">IF(A250&lt;&gt;"",SUM(--(B250:U251 = "X")*$U$3,--(B250:U251 ="A")*$Q$3,--(B250:U251 ="B")*$R$3,--(B250:U251 ="C")*$S$3),"")</f>
        <v/>
      </c>
      <c r="X250" s="437" t="s">
        <v>7558</v>
      </c>
      <c r="Y250" s="437">
        <v>17</v>
      </c>
      <c r="Z250" s="436">
        <f>_xlfn.XLOOKUP(answers[[#This Row],[StudentID]],$A$7:$A$1418,$V$7:$V$1418)</f>
        <v>17</v>
      </c>
      <c r="AG250" s="142" t="s">
        <v>2705</v>
      </c>
      <c r="AH250" s="142" t="s">
        <v>2398</v>
      </c>
      <c r="AI250" s="142" t="s">
        <v>2705</v>
      </c>
      <c r="AJ250" s="142" t="s">
        <v>2705</v>
      </c>
      <c r="AK250" s="142" t="s">
        <v>2705</v>
      </c>
      <c r="AL250" s="142" t="s">
        <v>2398</v>
      </c>
      <c r="AM250" s="142" t="s">
        <v>2705</v>
      </c>
      <c r="AN250" s="142" t="s">
        <v>2398</v>
      </c>
      <c r="AO250" s="142" t="s">
        <v>2398</v>
      </c>
      <c r="AP250" s="142" t="s">
        <v>2705</v>
      </c>
      <c r="AQ250" s="142" t="s">
        <v>2705</v>
      </c>
      <c r="AR250" s="142" t="s">
        <v>2705</v>
      </c>
      <c r="AS250" s="142" t="s">
        <v>2705</v>
      </c>
      <c r="AT250" s="142" t="s">
        <v>2705</v>
      </c>
      <c r="AU250" s="142" t="s">
        <v>2705</v>
      </c>
      <c r="AV250" s="142" t="s">
        <v>2705</v>
      </c>
      <c r="AW250" s="142" t="s">
        <v>2705</v>
      </c>
      <c r="AX250" s="142" t="s">
        <v>2705</v>
      </c>
      <c r="AY250" s="142" t="s">
        <v>2705</v>
      </c>
      <c r="AZ250" s="142" t="s">
        <v>2675</v>
      </c>
    </row>
    <row r="251" spans="1:52" s="142" customFormat="1" ht="12.75" x14ac:dyDescent="0.2">
      <c r="A251" s="151" t="s">
        <v>7442</v>
      </c>
      <c r="B251" s="152" t="s">
        <v>2705</v>
      </c>
      <c r="C251" s="152" t="s">
        <v>2705</v>
      </c>
      <c r="D251" s="152" t="s">
        <v>2398</v>
      </c>
      <c r="E251" s="152" t="s">
        <v>2397</v>
      </c>
      <c r="F251" s="152" t="s">
        <v>2398</v>
      </c>
      <c r="G251" s="152" t="s">
        <v>2675</v>
      </c>
      <c r="H251" s="152" t="s">
        <v>2705</v>
      </c>
      <c r="I251" s="152" t="s">
        <v>2398</v>
      </c>
      <c r="J251" s="152" t="s">
        <v>2705</v>
      </c>
      <c r="K251" s="152" t="s">
        <v>2398</v>
      </c>
      <c r="L251" s="152" t="s">
        <v>2705</v>
      </c>
      <c r="M251" s="152" t="s">
        <v>2398</v>
      </c>
      <c r="N251" s="152" t="s">
        <v>2398</v>
      </c>
      <c r="O251" s="152" t="s">
        <v>2398</v>
      </c>
      <c r="P251" s="152" t="s">
        <v>2398</v>
      </c>
      <c r="Q251" s="152" t="s">
        <v>2398</v>
      </c>
      <c r="R251" s="152" t="s">
        <v>2705</v>
      </c>
      <c r="S251" s="152" t="s">
        <v>2398</v>
      </c>
      <c r="T251" s="152" t="s">
        <v>2675</v>
      </c>
      <c r="U251" s="152" t="s">
        <v>2705</v>
      </c>
      <c r="V251" s="142" cm="1">
        <f t="array" ref="V251">IF(A251&lt;&gt;"",SUM(--(B251:U252 = "X")*$U$3,--(B251:U252 ="A")*$Q$3,--(B251:U252 ="B")*$R$3,--(B251:U252 ="C")*$S$3),"")</f>
        <v>13.5</v>
      </c>
      <c r="X251" s="437" t="s">
        <v>7559</v>
      </c>
      <c r="Y251" s="437">
        <v>18</v>
      </c>
      <c r="Z251" s="436">
        <f>_xlfn.XLOOKUP(answers[[#This Row],[StudentID]],$A$7:$A$1418,$V$7:$V$1418)</f>
        <v>18</v>
      </c>
      <c r="AF251" s="142" t="s">
        <v>7442</v>
      </c>
      <c r="AG251" s="142" t="s">
        <v>2705</v>
      </c>
      <c r="AH251" s="142" t="s">
        <v>2705</v>
      </c>
      <c r="AI251" s="142" t="s">
        <v>2398</v>
      </c>
      <c r="AJ251" s="142" t="s">
        <v>2397</v>
      </c>
      <c r="AK251" s="142" t="s">
        <v>2398</v>
      </c>
      <c r="AL251" s="142" t="s">
        <v>2675</v>
      </c>
      <c r="AM251" s="142" t="s">
        <v>2705</v>
      </c>
      <c r="AN251" s="142" t="s">
        <v>2398</v>
      </c>
      <c r="AO251" s="142" t="s">
        <v>2705</v>
      </c>
      <c r="AP251" s="142" t="s">
        <v>2398</v>
      </c>
      <c r="AQ251" s="142" t="s">
        <v>2705</v>
      </c>
      <c r="AR251" s="142" t="s">
        <v>2398</v>
      </c>
      <c r="AS251" s="142" t="s">
        <v>2398</v>
      </c>
      <c r="AT251" s="142" t="s">
        <v>2398</v>
      </c>
      <c r="AU251" s="142" t="s">
        <v>2398</v>
      </c>
      <c r="AV251" s="142" t="s">
        <v>2398</v>
      </c>
      <c r="AW251" s="142" t="s">
        <v>2705</v>
      </c>
      <c r="AX251" s="142" t="s">
        <v>2398</v>
      </c>
      <c r="AY251" s="142" t="s">
        <v>2675</v>
      </c>
      <c r="AZ251" s="142" t="s">
        <v>2705</v>
      </c>
    </row>
    <row r="252" spans="1:52" s="142" customFormat="1" ht="12.75" x14ac:dyDescent="0.2">
      <c r="A252" s="151"/>
      <c r="B252" s="152" t="s">
        <v>2705</v>
      </c>
      <c r="C252" s="152" t="s">
        <v>2705</v>
      </c>
      <c r="D252" s="152" t="s">
        <v>2705</v>
      </c>
      <c r="E252" s="152" t="s">
        <v>2398</v>
      </c>
      <c r="F252" s="152" t="s">
        <v>2705</v>
      </c>
      <c r="G252" s="152" t="s">
        <v>1435</v>
      </c>
      <c r="H252" s="152" t="s">
        <v>2398</v>
      </c>
      <c r="I252" s="152" t="s">
        <v>2705</v>
      </c>
      <c r="J252" s="152" t="s">
        <v>2397</v>
      </c>
      <c r="K252" s="152" t="s">
        <v>2398</v>
      </c>
      <c r="L252" s="152" t="s">
        <v>2398</v>
      </c>
      <c r="M252" s="152" t="s">
        <v>2705</v>
      </c>
      <c r="N252" s="152" t="s">
        <v>2398</v>
      </c>
      <c r="O252" s="152" t="s">
        <v>2398</v>
      </c>
      <c r="P252" s="152" t="s">
        <v>2398</v>
      </c>
      <c r="Q252" s="152" t="s">
        <v>2398</v>
      </c>
      <c r="R252" s="152" t="s">
        <v>2398</v>
      </c>
      <c r="S252" s="152" t="s">
        <v>2398</v>
      </c>
      <c r="T252" s="152" t="s">
        <v>2705</v>
      </c>
      <c r="U252" s="152" t="s">
        <v>2705</v>
      </c>
      <c r="V252" s="142" t="str" cm="1">
        <f t="array" ref="V252">IF(A252&lt;&gt;"",SUM(--(B252:U253 = "X")*$U$3,--(B252:U253 ="A")*$Q$3,--(B252:U253 ="B")*$R$3,--(B252:U253 ="C")*$S$3),"")</f>
        <v/>
      </c>
      <c r="X252" s="437" t="s">
        <v>7560</v>
      </c>
      <c r="Y252" s="437">
        <v>17</v>
      </c>
      <c r="Z252" s="436">
        <f>_xlfn.XLOOKUP(answers[[#This Row],[StudentID]],$A$7:$A$1418,$V$7:$V$1418)</f>
        <v>17</v>
      </c>
      <c r="AG252" s="142" t="s">
        <v>2705</v>
      </c>
      <c r="AH252" s="142" t="s">
        <v>2705</v>
      </c>
      <c r="AI252" s="142" t="s">
        <v>2705</v>
      </c>
      <c r="AJ252" s="142" t="s">
        <v>2398</v>
      </c>
      <c r="AK252" s="142" t="s">
        <v>2705</v>
      </c>
      <c r="AL252" s="142" t="s">
        <v>1435</v>
      </c>
      <c r="AM252" s="142" t="s">
        <v>2398</v>
      </c>
      <c r="AN252" s="142" t="s">
        <v>2705</v>
      </c>
      <c r="AO252" s="142" t="s">
        <v>2397</v>
      </c>
      <c r="AP252" s="142" t="s">
        <v>2398</v>
      </c>
      <c r="AQ252" s="142" t="s">
        <v>2398</v>
      </c>
      <c r="AR252" s="142" t="s">
        <v>2705</v>
      </c>
      <c r="AS252" s="142" t="s">
        <v>2398</v>
      </c>
      <c r="AT252" s="142" t="s">
        <v>2398</v>
      </c>
      <c r="AU252" s="142" t="s">
        <v>2398</v>
      </c>
      <c r="AV252" s="142" t="s">
        <v>2398</v>
      </c>
      <c r="AW252" s="142" t="s">
        <v>2398</v>
      </c>
      <c r="AX252" s="142" t="s">
        <v>2398</v>
      </c>
      <c r="AY252" s="142" t="s">
        <v>2705</v>
      </c>
      <c r="AZ252" s="142" t="s">
        <v>2705</v>
      </c>
    </row>
    <row r="253" spans="1:52" s="142" customFormat="1" ht="12.75" x14ac:dyDescent="0.2">
      <c r="A253" s="151" t="s">
        <v>7443</v>
      </c>
      <c r="B253" s="152" t="s">
        <v>2398</v>
      </c>
      <c r="C253" s="152" t="s">
        <v>2675</v>
      </c>
      <c r="D253" s="152" t="s">
        <v>2398</v>
      </c>
      <c r="E253" s="152" t="s">
        <v>2397</v>
      </c>
      <c r="F253" s="152" t="s">
        <v>2705</v>
      </c>
      <c r="G253" s="152" t="s">
        <v>2705</v>
      </c>
      <c r="H253" s="152" t="s">
        <v>2705</v>
      </c>
      <c r="I253" s="152" t="s">
        <v>2397</v>
      </c>
      <c r="J253" s="152" t="s">
        <v>2705</v>
      </c>
      <c r="K253" s="152" t="s">
        <v>2398</v>
      </c>
      <c r="L253" s="152" t="s">
        <v>2398</v>
      </c>
      <c r="M253" s="152" t="s">
        <v>2397</v>
      </c>
      <c r="N253" s="152" t="s">
        <v>2705</v>
      </c>
      <c r="O253" s="152" t="s">
        <v>2398</v>
      </c>
      <c r="P253" s="152" t="s">
        <v>2705</v>
      </c>
      <c r="Q253" s="152" t="s">
        <v>2397</v>
      </c>
      <c r="R253" s="152" t="s">
        <v>2398</v>
      </c>
      <c r="S253" s="152" t="s">
        <v>2705</v>
      </c>
      <c r="T253" s="152" t="s">
        <v>2705</v>
      </c>
      <c r="U253" s="152" t="s">
        <v>2397</v>
      </c>
      <c r="V253" s="142" cm="1">
        <f t="array" ref="V253">IF(A253&lt;&gt;"",SUM(--(B253:U254 = "X")*$U$3,--(B253:U254 ="A")*$Q$3,--(B253:U254 ="B")*$R$3,--(B253:U254 ="C")*$S$3),"")</f>
        <v>18</v>
      </c>
      <c r="X253" s="437" t="s">
        <v>7561</v>
      </c>
      <c r="Y253" s="437">
        <v>25</v>
      </c>
      <c r="Z253" s="436">
        <f>_xlfn.XLOOKUP(answers[[#This Row],[StudentID]],$A$7:$A$1418,$V$7:$V$1418)</f>
        <v>25</v>
      </c>
      <c r="AF253" s="142" t="s">
        <v>7443</v>
      </c>
      <c r="AG253" s="142" t="s">
        <v>2398</v>
      </c>
      <c r="AH253" s="142" t="s">
        <v>2675</v>
      </c>
      <c r="AI253" s="142" t="s">
        <v>2398</v>
      </c>
      <c r="AJ253" s="142" t="s">
        <v>2397</v>
      </c>
      <c r="AK253" s="142" t="s">
        <v>2705</v>
      </c>
      <c r="AL253" s="142" t="s">
        <v>2705</v>
      </c>
      <c r="AM253" s="142" t="s">
        <v>2705</v>
      </c>
      <c r="AN253" s="142" t="s">
        <v>2397</v>
      </c>
      <c r="AO253" s="142" t="s">
        <v>2705</v>
      </c>
      <c r="AP253" s="142" t="s">
        <v>2398</v>
      </c>
      <c r="AQ253" s="142" t="s">
        <v>2398</v>
      </c>
      <c r="AR253" s="142" t="s">
        <v>2397</v>
      </c>
      <c r="AS253" s="142" t="s">
        <v>2705</v>
      </c>
      <c r="AT253" s="142" t="s">
        <v>2398</v>
      </c>
      <c r="AU253" s="142" t="s">
        <v>2705</v>
      </c>
      <c r="AV253" s="142" t="s">
        <v>2397</v>
      </c>
      <c r="AW253" s="142" t="s">
        <v>2398</v>
      </c>
      <c r="AX253" s="142" t="s">
        <v>2705</v>
      </c>
      <c r="AY253" s="142" t="s">
        <v>2705</v>
      </c>
      <c r="AZ253" s="142" t="s">
        <v>2397</v>
      </c>
    </row>
    <row r="254" spans="1:52" s="142" customFormat="1" ht="12.75" x14ac:dyDescent="0.2">
      <c r="A254" s="151"/>
      <c r="B254" s="152" t="s">
        <v>2705</v>
      </c>
      <c r="C254" s="152" t="s">
        <v>2398</v>
      </c>
      <c r="D254" s="152" t="s">
        <v>2398</v>
      </c>
      <c r="E254" s="152" t="s">
        <v>2398</v>
      </c>
      <c r="F254" s="152" t="s">
        <v>2705</v>
      </c>
      <c r="G254" s="152" t="s">
        <v>2705</v>
      </c>
      <c r="H254" s="152" t="s">
        <v>2398</v>
      </c>
      <c r="I254" s="152" t="s">
        <v>2705</v>
      </c>
      <c r="J254" s="152" t="s">
        <v>2705</v>
      </c>
      <c r="K254" s="152" t="s">
        <v>2705</v>
      </c>
      <c r="L254" s="152" t="s">
        <v>2398</v>
      </c>
      <c r="M254" s="152" t="s">
        <v>2398</v>
      </c>
      <c r="N254" s="152" t="s">
        <v>2705</v>
      </c>
      <c r="O254" s="152" t="s">
        <v>2705</v>
      </c>
      <c r="P254" s="152" t="s">
        <v>1435</v>
      </c>
      <c r="Q254" s="152" t="s">
        <v>2705</v>
      </c>
      <c r="R254" s="152" t="s">
        <v>2398</v>
      </c>
      <c r="S254" s="152" t="s">
        <v>2705</v>
      </c>
      <c r="T254" s="152" t="s">
        <v>2705</v>
      </c>
      <c r="U254" s="152" t="s">
        <v>2398</v>
      </c>
      <c r="V254" s="142" t="str" cm="1">
        <f t="array" ref="V254">IF(A254&lt;&gt;"",SUM(--(B254:U255 = "X")*$U$3,--(B254:U255 ="A")*$Q$3,--(B254:U255 ="B")*$R$3,--(B254:U255 ="C")*$S$3),"")</f>
        <v/>
      </c>
      <c r="X254" s="437" t="s">
        <v>7562</v>
      </c>
      <c r="Y254" s="437">
        <v>16</v>
      </c>
      <c r="Z254" s="436">
        <f>_xlfn.XLOOKUP(answers[[#This Row],[StudentID]],$A$7:$A$1418,$V$7:$V$1418)</f>
        <v>16</v>
      </c>
      <c r="AG254" s="142" t="s">
        <v>2705</v>
      </c>
      <c r="AH254" s="142" t="s">
        <v>2398</v>
      </c>
      <c r="AI254" s="142" t="s">
        <v>2398</v>
      </c>
      <c r="AJ254" s="142" t="s">
        <v>2398</v>
      </c>
      <c r="AK254" s="142" t="s">
        <v>2705</v>
      </c>
      <c r="AL254" s="142" t="s">
        <v>2705</v>
      </c>
      <c r="AM254" s="142" t="s">
        <v>2398</v>
      </c>
      <c r="AN254" s="142" t="s">
        <v>2705</v>
      </c>
      <c r="AO254" s="142" t="s">
        <v>2705</v>
      </c>
      <c r="AP254" s="142" t="s">
        <v>2705</v>
      </c>
      <c r="AQ254" s="142" t="s">
        <v>2398</v>
      </c>
      <c r="AR254" s="142" t="s">
        <v>2398</v>
      </c>
      <c r="AS254" s="142" t="s">
        <v>2705</v>
      </c>
      <c r="AT254" s="142" t="s">
        <v>2705</v>
      </c>
      <c r="AU254" s="142" t="s">
        <v>1435</v>
      </c>
      <c r="AV254" s="142" t="s">
        <v>2705</v>
      </c>
      <c r="AW254" s="142" t="s">
        <v>2398</v>
      </c>
      <c r="AX254" s="142" t="s">
        <v>2705</v>
      </c>
      <c r="AY254" s="142" t="s">
        <v>2705</v>
      </c>
      <c r="AZ254" s="142" t="s">
        <v>2398</v>
      </c>
    </row>
    <row r="255" spans="1:52" s="142" customFormat="1" ht="12.75" x14ac:dyDescent="0.2">
      <c r="A255" s="151" t="s">
        <v>7444</v>
      </c>
      <c r="B255" s="152" t="s">
        <v>2397</v>
      </c>
      <c r="C255" s="152" t="s">
        <v>2398</v>
      </c>
      <c r="D255" s="152" t="s">
        <v>2675</v>
      </c>
      <c r="E255" s="152" t="s">
        <v>2705</v>
      </c>
      <c r="F255" s="152" t="s">
        <v>2705</v>
      </c>
      <c r="G255" s="152" t="s">
        <v>2398</v>
      </c>
      <c r="H255" s="152" t="s">
        <v>2398</v>
      </c>
      <c r="I255" s="152" t="s">
        <v>2398</v>
      </c>
      <c r="J255" s="152" t="s">
        <v>2705</v>
      </c>
      <c r="K255" s="152" t="s">
        <v>2398</v>
      </c>
      <c r="L255" s="152" t="s">
        <v>2675</v>
      </c>
      <c r="M255" s="152" t="s">
        <v>2705</v>
      </c>
      <c r="N255" s="152" t="s">
        <v>2398</v>
      </c>
      <c r="O255" s="152" t="s">
        <v>2398</v>
      </c>
      <c r="P255" s="152" t="s">
        <v>2398</v>
      </c>
      <c r="Q255" s="152" t="s">
        <v>2398</v>
      </c>
      <c r="R255" s="152" t="s">
        <v>2705</v>
      </c>
      <c r="S255" s="152" t="s">
        <v>2398</v>
      </c>
      <c r="T255" s="152" t="s">
        <v>2675</v>
      </c>
      <c r="U255" s="152" t="s">
        <v>2398</v>
      </c>
      <c r="V255" s="142" cm="1">
        <f t="array" ref="V255">IF(A255&lt;&gt;"",SUM(--(B255:U256 = "X")*$U$3,--(B255:U256 ="A")*$Q$3,--(B255:U256 ="B")*$R$3,--(B255:U256 ="C")*$S$3),"")</f>
        <v>13.5</v>
      </c>
      <c r="X255" s="437" t="s">
        <v>7563</v>
      </c>
      <c r="Y255" s="437">
        <v>18</v>
      </c>
      <c r="Z255" s="436">
        <f>_xlfn.XLOOKUP(answers[[#This Row],[StudentID]],$A$7:$A$1418,$V$7:$V$1418)</f>
        <v>18</v>
      </c>
      <c r="AF255" s="142" t="s">
        <v>7444</v>
      </c>
      <c r="AG255" s="142" t="s">
        <v>2397</v>
      </c>
      <c r="AH255" s="142" t="s">
        <v>2398</v>
      </c>
      <c r="AI255" s="142" t="s">
        <v>2675</v>
      </c>
      <c r="AJ255" s="142" t="s">
        <v>2705</v>
      </c>
      <c r="AK255" s="142" t="s">
        <v>2705</v>
      </c>
      <c r="AL255" s="142" t="s">
        <v>2398</v>
      </c>
      <c r="AM255" s="142" t="s">
        <v>2398</v>
      </c>
      <c r="AN255" s="142" t="s">
        <v>2398</v>
      </c>
      <c r="AO255" s="142" t="s">
        <v>2705</v>
      </c>
      <c r="AP255" s="142" t="s">
        <v>2398</v>
      </c>
      <c r="AQ255" s="142" t="s">
        <v>2675</v>
      </c>
      <c r="AR255" s="142" t="s">
        <v>2705</v>
      </c>
      <c r="AS255" s="142" t="s">
        <v>2398</v>
      </c>
      <c r="AT255" s="142" t="s">
        <v>2398</v>
      </c>
      <c r="AU255" s="142" t="s">
        <v>2398</v>
      </c>
      <c r="AV255" s="142" t="s">
        <v>2398</v>
      </c>
      <c r="AW255" s="142" t="s">
        <v>2705</v>
      </c>
      <c r="AX255" s="142" t="s">
        <v>2398</v>
      </c>
      <c r="AY255" s="142" t="s">
        <v>2675</v>
      </c>
      <c r="AZ255" s="142" t="s">
        <v>2398</v>
      </c>
    </row>
    <row r="256" spans="1:52" s="142" customFormat="1" ht="12.75" x14ac:dyDescent="0.2">
      <c r="A256" s="151"/>
      <c r="B256" s="152" t="s">
        <v>1435</v>
      </c>
      <c r="C256" s="152" t="s">
        <v>2398</v>
      </c>
      <c r="D256" s="152" t="s">
        <v>2705</v>
      </c>
      <c r="E256" s="152" t="s">
        <v>2705</v>
      </c>
      <c r="F256" s="152" t="s">
        <v>2398</v>
      </c>
      <c r="G256" s="152" t="s">
        <v>2397</v>
      </c>
      <c r="H256" s="152" t="s">
        <v>2705</v>
      </c>
      <c r="I256" s="152" t="s">
        <v>2705</v>
      </c>
      <c r="J256" s="152" t="s">
        <v>2705</v>
      </c>
      <c r="K256" s="152" t="s">
        <v>1435</v>
      </c>
      <c r="L256" s="152" t="s">
        <v>2705</v>
      </c>
      <c r="M256" s="152" t="s">
        <v>2705</v>
      </c>
      <c r="N256" s="152" t="s">
        <v>2705</v>
      </c>
      <c r="O256" s="152" t="s">
        <v>2398</v>
      </c>
      <c r="P256" s="152" t="s">
        <v>2705</v>
      </c>
      <c r="Q256" s="152" t="s">
        <v>2398</v>
      </c>
      <c r="R256" s="152" t="s">
        <v>2398</v>
      </c>
      <c r="S256" s="152" t="s">
        <v>2705</v>
      </c>
      <c r="T256" s="152" t="s">
        <v>2705</v>
      </c>
      <c r="U256" s="152" t="s">
        <v>2398</v>
      </c>
      <c r="V256" s="142" t="str" cm="1">
        <f t="array" ref="V256">IF(A256&lt;&gt;"",SUM(--(B256:U257 = "X")*$U$3,--(B256:U257 ="A")*$Q$3,--(B256:U257 ="B")*$R$3,--(B256:U257 ="C")*$S$3),"")</f>
        <v/>
      </c>
      <c r="X256" s="437" t="s">
        <v>7564</v>
      </c>
      <c r="Y256" s="437">
        <v>25</v>
      </c>
      <c r="Z256" s="436">
        <f>_xlfn.XLOOKUP(answers[[#This Row],[StudentID]],$A$7:$A$1418,$V$7:$V$1418)</f>
        <v>25</v>
      </c>
      <c r="AG256" s="142" t="s">
        <v>1435</v>
      </c>
      <c r="AH256" s="142" t="s">
        <v>2398</v>
      </c>
      <c r="AI256" s="142" t="s">
        <v>2705</v>
      </c>
      <c r="AJ256" s="142" t="s">
        <v>2705</v>
      </c>
      <c r="AK256" s="142" t="s">
        <v>2398</v>
      </c>
      <c r="AL256" s="142" t="s">
        <v>2397</v>
      </c>
      <c r="AM256" s="142" t="s">
        <v>2705</v>
      </c>
      <c r="AN256" s="142" t="s">
        <v>2705</v>
      </c>
      <c r="AO256" s="142" t="s">
        <v>2705</v>
      </c>
      <c r="AP256" s="142" t="s">
        <v>1435</v>
      </c>
      <c r="AQ256" s="142" t="s">
        <v>2705</v>
      </c>
      <c r="AR256" s="142" t="s">
        <v>2705</v>
      </c>
      <c r="AS256" s="142" t="s">
        <v>2705</v>
      </c>
      <c r="AT256" s="142" t="s">
        <v>2398</v>
      </c>
      <c r="AU256" s="142" t="s">
        <v>2705</v>
      </c>
      <c r="AV256" s="142" t="s">
        <v>2398</v>
      </c>
      <c r="AW256" s="142" t="s">
        <v>2398</v>
      </c>
      <c r="AX256" s="142" t="s">
        <v>2705</v>
      </c>
      <c r="AY256" s="142" t="s">
        <v>2705</v>
      </c>
      <c r="AZ256" s="142" t="s">
        <v>2398</v>
      </c>
    </row>
    <row r="257" spans="1:52" s="142" customFormat="1" ht="12.75" x14ac:dyDescent="0.2">
      <c r="A257" s="151" t="s">
        <v>7445</v>
      </c>
      <c r="B257" s="152" t="s">
        <v>2705</v>
      </c>
      <c r="C257" s="152" t="s">
        <v>2675</v>
      </c>
      <c r="D257" s="152" t="s">
        <v>1435</v>
      </c>
      <c r="E257" s="152" t="s">
        <v>2398</v>
      </c>
      <c r="F257" s="152" t="s">
        <v>2397</v>
      </c>
      <c r="G257" s="152" t="s">
        <v>2705</v>
      </c>
      <c r="H257" s="152" t="s">
        <v>2398</v>
      </c>
      <c r="I257" s="152" t="s">
        <v>2705</v>
      </c>
      <c r="J257" s="152" t="s">
        <v>2675</v>
      </c>
      <c r="K257" s="152" t="s">
        <v>2398</v>
      </c>
      <c r="L257" s="152" t="s">
        <v>1435</v>
      </c>
      <c r="M257" s="152" t="s">
        <v>2397</v>
      </c>
      <c r="N257" s="152" t="s">
        <v>2705</v>
      </c>
      <c r="O257" s="152" t="s">
        <v>2398</v>
      </c>
      <c r="P257" s="152" t="s">
        <v>2397</v>
      </c>
      <c r="Q257" s="152" t="s">
        <v>2705</v>
      </c>
      <c r="R257" s="152" t="s">
        <v>2705</v>
      </c>
      <c r="S257" s="152" t="s">
        <v>2705</v>
      </c>
      <c r="T257" s="152" t="s">
        <v>2397</v>
      </c>
      <c r="U257" s="152" t="s">
        <v>2705</v>
      </c>
      <c r="V257" s="142" cm="1">
        <f t="array" ref="V257">IF(A257&lt;&gt;"",SUM(--(B257:U258 = "X")*$U$3,--(B257:U258 ="A")*$Q$3,--(B257:U258 ="B")*$R$3,--(B257:U258 ="C")*$S$3),"")</f>
        <v>10</v>
      </c>
      <c r="X257" s="437" t="s">
        <v>7565</v>
      </c>
      <c r="Y257" s="437">
        <v>22.5</v>
      </c>
      <c r="Z257" s="436">
        <f>_xlfn.XLOOKUP(answers[[#This Row],[StudentID]],$A$7:$A$1418,$V$7:$V$1418)</f>
        <v>22.5</v>
      </c>
      <c r="AF257" s="142" t="s">
        <v>7445</v>
      </c>
      <c r="AG257" s="142" t="s">
        <v>2705</v>
      </c>
      <c r="AH257" s="142" t="s">
        <v>2675</v>
      </c>
      <c r="AI257" s="142" t="s">
        <v>1435</v>
      </c>
      <c r="AJ257" s="142" t="s">
        <v>2398</v>
      </c>
      <c r="AK257" s="142" t="s">
        <v>2397</v>
      </c>
      <c r="AL257" s="142" t="s">
        <v>2705</v>
      </c>
      <c r="AM257" s="142" t="s">
        <v>2398</v>
      </c>
      <c r="AN257" s="142" t="s">
        <v>2705</v>
      </c>
      <c r="AO257" s="142" t="s">
        <v>2675</v>
      </c>
      <c r="AP257" s="142" t="s">
        <v>2398</v>
      </c>
      <c r="AQ257" s="142" t="s">
        <v>1435</v>
      </c>
      <c r="AR257" s="142" t="s">
        <v>2397</v>
      </c>
      <c r="AS257" s="142" t="s">
        <v>2705</v>
      </c>
      <c r="AT257" s="142" t="s">
        <v>2398</v>
      </c>
      <c r="AU257" s="142" t="s">
        <v>2397</v>
      </c>
      <c r="AV257" s="142" t="s">
        <v>2705</v>
      </c>
      <c r="AW257" s="142" t="s">
        <v>2705</v>
      </c>
      <c r="AX257" s="142" t="s">
        <v>2705</v>
      </c>
      <c r="AY257" s="142" t="s">
        <v>2397</v>
      </c>
      <c r="AZ257" s="142" t="s">
        <v>2705</v>
      </c>
    </row>
    <row r="258" spans="1:52" s="142" customFormat="1" ht="12.75" x14ac:dyDescent="0.2">
      <c r="A258" s="151"/>
      <c r="B258" s="152" t="s">
        <v>2675</v>
      </c>
      <c r="C258" s="152" t="s">
        <v>2675</v>
      </c>
      <c r="D258" s="152" t="s">
        <v>2398</v>
      </c>
      <c r="E258" s="152" t="s">
        <v>2705</v>
      </c>
      <c r="F258" s="152" t="s">
        <v>2705</v>
      </c>
      <c r="G258" s="152" t="s">
        <v>1435</v>
      </c>
      <c r="H258" s="152" t="s">
        <v>2398</v>
      </c>
      <c r="I258" s="152" t="s">
        <v>1435</v>
      </c>
      <c r="J258" s="152" t="s">
        <v>2397</v>
      </c>
      <c r="K258" s="152" t="s">
        <v>2705</v>
      </c>
      <c r="L258" s="152" t="s">
        <v>2705</v>
      </c>
      <c r="M258" s="152" t="s">
        <v>1435</v>
      </c>
      <c r="N258" s="152" t="s">
        <v>2705</v>
      </c>
      <c r="O258" s="152" t="s">
        <v>2398</v>
      </c>
      <c r="P258" s="152" t="s">
        <v>2675</v>
      </c>
      <c r="Q258" s="152" t="s">
        <v>2705</v>
      </c>
      <c r="R258" s="152" t="s">
        <v>2675</v>
      </c>
      <c r="S258" s="152" t="s">
        <v>2705</v>
      </c>
      <c r="T258" s="152" t="s">
        <v>2705</v>
      </c>
      <c r="U258" s="152" t="s">
        <v>1435</v>
      </c>
      <c r="V258" s="142" t="str" cm="1">
        <f t="array" ref="V258">IF(A258&lt;&gt;"",SUM(--(B258:U259 = "X")*$U$3,--(B258:U259 ="A")*$Q$3,--(B258:U259 ="B")*$R$3,--(B258:U259 ="C")*$S$3),"")</f>
        <v/>
      </c>
      <c r="X258" s="437" t="s">
        <v>7566</v>
      </c>
      <c r="Y258" s="437">
        <v>17</v>
      </c>
      <c r="Z258" s="436">
        <f>_xlfn.XLOOKUP(answers[[#This Row],[StudentID]],$A$7:$A$1418,$V$7:$V$1418)</f>
        <v>17</v>
      </c>
      <c r="AG258" s="142" t="s">
        <v>2675</v>
      </c>
      <c r="AH258" s="142" t="s">
        <v>2675</v>
      </c>
      <c r="AI258" s="142" t="s">
        <v>2398</v>
      </c>
      <c r="AJ258" s="142" t="s">
        <v>2705</v>
      </c>
      <c r="AK258" s="142" t="s">
        <v>2705</v>
      </c>
      <c r="AL258" s="142" t="s">
        <v>1435</v>
      </c>
      <c r="AM258" s="142" t="s">
        <v>2398</v>
      </c>
      <c r="AN258" s="142" t="s">
        <v>1435</v>
      </c>
      <c r="AO258" s="142" t="s">
        <v>2397</v>
      </c>
      <c r="AP258" s="142" t="s">
        <v>2705</v>
      </c>
      <c r="AQ258" s="142" t="s">
        <v>2705</v>
      </c>
      <c r="AR258" s="142" t="s">
        <v>1435</v>
      </c>
      <c r="AS258" s="142" t="s">
        <v>2705</v>
      </c>
      <c r="AT258" s="142" t="s">
        <v>2398</v>
      </c>
      <c r="AU258" s="142" t="s">
        <v>2675</v>
      </c>
      <c r="AV258" s="142" t="s">
        <v>2705</v>
      </c>
      <c r="AW258" s="142" t="s">
        <v>2675</v>
      </c>
      <c r="AX258" s="142" t="s">
        <v>2705</v>
      </c>
      <c r="AY258" s="142" t="s">
        <v>2705</v>
      </c>
      <c r="AZ258" s="142" t="s">
        <v>1435</v>
      </c>
    </row>
    <row r="259" spans="1:52" s="142" customFormat="1" ht="12.75" x14ac:dyDescent="0.2">
      <c r="A259" s="151" t="s">
        <v>7446</v>
      </c>
      <c r="B259" s="152" t="s">
        <v>2675</v>
      </c>
      <c r="C259" s="152" t="s">
        <v>2675</v>
      </c>
      <c r="D259" s="152" t="s">
        <v>2705</v>
      </c>
      <c r="E259" s="152" t="s">
        <v>2705</v>
      </c>
      <c r="F259" s="152" t="s">
        <v>2705</v>
      </c>
      <c r="G259" s="152" t="s">
        <v>1435</v>
      </c>
      <c r="H259" s="152" t="s">
        <v>1435</v>
      </c>
      <c r="I259" s="152" t="s">
        <v>1435</v>
      </c>
      <c r="J259" s="152" t="s">
        <v>2705</v>
      </c>
      <c r="K259" s="152" t="s">
        <v>2705</v>
      </c>
      <c r="L259" s="152" t="s">
        <v>2705</v>
      </c>
      <c r="M259" s="152" t="s">
        <v>2398</v>
      </c>
      <c r="N259" s="152" t="s">
        <v>2705</v>
      </c>
      <c r="O259" s="152" t="s">
        <v>2397</v>
      </c>
      <c r="P259" s="152" t="s">
        <v>2705</v>
      </c>
      <c r="Q259" s="152" t="s">
        <v>2705</v>
      </c>
      <c r="R259" s="152" t="s">
        <v>2705</v>
      </c>
      <c r="S259" s="152" t="s">
        <v>2675</v>
      </c>
      <c r="T259" s="152" t="s">
        <v>2705</v>
      </c>
      <c r="U259" s="152" t="s">
        <v>2398</v>
      </c>
      <c r="V259" s="142" cm="1">
        <f t="array" ref="V259">IF(A259&lt;&gt;"",SUM(--(B259:U260 = "X")*$U$3,--(B259:U260 ="A")*$Q$3,--(B259:U260 ="B")*$R$3,--(B259:U260 ="C")*$S$3),"")</f>
        <v>16.5</v>
      </c>
      <c r="X259" s="437" t="s">
        <v>7567</v>
      </c>
      <c r="Y259" s="437">
        <v>30.5</v>
      </c>
      <c r="Z259" s="436">
        <f>_xlfn.XLOOKUP(answers[[#This Row],[StudentID]],$A$7:$A$1418,$V$7:$V$1418)</f>
        <v>30.5</v>
      </c>
      <c r="AF259" s="142" t="s">
        <v>7446</v>
      </c>
      <c r="AG259" s="142" t="s">
        <v>2675</v>
      </c>
      <c r="AH259" s="142" t="s">
        <v>2675</v>
      </c>
      <c r="AI259" s="142" t="s">
        <v>2705</v>
      </c>
      <c r="AJ259" s="142" t="s">
        <v>2705</v>
      </c>
      <c r="AK259" s="142" t="s">
        <v>2705</v>
      </c>
      <c r="AL259" s="142" t="s">
        <v>1435</v>
      </c>
      <c r="AM259" s="142" t="s">
        <v>1435</v>
      </c>
      <c r="AN259" s="142" t="s">
        <v>1435</v>
      </c>
      <c r="AO259" s="142" t="s">
        <v>2705</v>
      </c>
      <c r="AP259" s="142" t="s">
        <v>2705</v>
      </c>
      <c r="AQ259" s="142" t="s">
        <v>2705</v>
      </c>
      <c r="AR259" s="142" t="s">
        <v>2398</v>
      </c>
      <c r="AS259" s="142" t="s">
        <v>2705</v>
      </c>
      <c r="AT259" s="142" t="s">
        <v>2397</v>
      </c>
      <c r="AU259" s="142" t="s">
        <v>2705</v>
      </c>
      <c r="AV259" s="142" t="s">
        <v>2705</v>
      </c>
      <c r="AW259" s="142" t="s">
        <v>2705</v>
      </c>
      <c r="AX259" s="142" t="s">
        <v>2675</v>
      </c>
      <c r="AY259" s="142" t="s">
        <v>2705</v>
      </c>
      <c r="AZ259" s="142" t="s">
        <v>2398</v>
      </c>
    </row>
    <row r="260" spans="1:52" s="142" customFormat="1" ht="12.75" x14ac:dyDescent="0.2">
      <c r="A260" s="151"/>
      <c r="B260" s="152" t="s">
        <v>1435</v>
      </c>
      <c r="C260" s="152" t="s">
        <v>2705</v>
      </c>
      <c r="D260" s="152" t="s">
        <v>2398</v>
      </c>
      <c r="E260" s="152" t="s">
        <v>2675</v>
      </c>
      <c r="F260" s="152" t="s">
        <v>2705</v>
      </c>
      <c r="G260" s="152" t="s">
        <v>2705</v>
      </c>
      <c r="H260" s="152" t="s">
        <v>2705</v>
      </c>
      <c r="I260" s="152" t="s">
        <v>2705</v>
      </c>
      <c r="J260" s="152" t="s">
        <v>1435</v>
      </c>
      <c r="K260" s="152" t="s">
        <v>2705</v>
      </c>
      <c r="L260" s="152" t="s">
        <v>2397</v>
      </c>
      <c r="M260" s="152" t="s">
        <v>2675</v>
      </c>
      <c r="N260" s="152" t="s">
        <v>2398</v>
      </c>
      <c r="O260" s="152" t="s">
        <v>2705</v>
      </c>
      <c r="P260" s="152" t="s">
        <v>2705</v>
      </c>
      <c r="Q260" s="152" t="s">
        <v>2705</v>
      </c>
      <c r="R260" s="152" t="s">
        <v>2705</v>
      </c>
      <c r="S260" s="152" t="s">
        <v>2675</v>
      </c>
      <c r="T260" s="152" t="s">
        <v>2398</v>
      </c>
      <c r="U260" s="152" t="s">
        <v>2705</v>
      </c>
      <c r="V260" s="142" t="str" cm="1">
        <f t="array" ref="V260">IF(A260&lt;&gt;"",SUM(--(B260:U261 = "X")*$U$3,--(B260:U261 ="A")*$Q$3,--(B260:U261 ="B")*$R$3,--(B260:U261 ="C")*$S$3),"")</f>
        <v/>
      </c>
      <c r="X260" s="437" t="s">
        <v>7568</v>
      </c>
      <c r="Y260" s="437">
        <v>18.5</v>
      </c>
      <c r="Z260" s="436">
        <f>_xlfn.XLOOKUP(answers[[#This Row],[StudentID]],$A$7:$A$1418,$V$7:$V$1418)</f>
        <v>18.5</v>
      </c>
      <c r="AG260" s="142" t="s">
        <v>1435</v>
      </c>
      <c r="AH260" s="142" t="s">
        <v>2705</v>
      </c>
      <c r="AI260" s="142" t="s">
        <v>2398</v>
      </c>
      <c r="AJ260" s="142" t="s">
        <v>2675</v>
      </c>
      <c r="AK260" s="142" t="s">
        <v>2705</v>
      </c>
      <c r="AL260" s="142" t="s">
        <v>2705</v>
      </c>
      <c r="AM260" s="142" t="s">
        <v>2705</v>
      </c>
      <c r="AN260" s="142" t="s">
        <v>2705</v>
      </c>
      <c r="AO260" s="142" t="s">
        <v>1435</v>
      </c>
      <c r="AP260" s="142" t="s">
        <v>2705</v>
      </c>
      <c r="AQ260" s="142" t="s">
        <v>2397</v>
      </c>
      <c r="AR260" s="142" t="s">
        <v>2675</v>
      </c>
      <c r="AS260" s="142" t="s">
        <v>2398</v>
      </c>
      <c r="AT260" s="142" t="s">
        <v>2705</v>
      </c>
      <c r="AU260" s="142" t="s">
        <v>2705</v>
      </c>
      <c r="AV260" s="142" t="s">
        <v>2705</v>
      </c>
      <c r="AW260" s="142" t="s">
        <v>2705</v>
      </c>
      <c r="AX260" s="142" t="s">
        <v>2675</v>
      </c>
      <c r="AY260" s="142" t="s">
        <v>2398</v>
      </c>
      <c r="AZ260" s="142" t="s">
        <v>2705</v>
      </c>
    </row>
    <row r="261" spans="1:52" s="142" customFormat="1" ht="12.75" x14ac:dyDescent="0.2">
      <c r="A261" s="151" t="s">
        <v>7447</v>
      </c>
      <c r="B261" s="152" t="s">
        <v>2675</v>
      </c>
      <c r="C261" s="152" t="s">
        <v>2705</v>
      </c>
      <c r="D261" s="152" t="s">
        <v>2705</v>
      </c>
      <c r="E261" s="152" t="s">
        <v>2705</v>
      </c>
      <c r="F261" s="152" t="s">
        <v>2398</v>
      </c>
      <c r="G261" s="152" t="s">
        <v>2705</v>
      </c>
      <c r="H261" s="152" t="s">
        <v>2705</v>
      </c>
      <c r="I261" s="152" t="s">
        <v>2398</v>
      </c>
      <c r="J261" s="152" t="s">
        <v>2705</v>
      </c>
      <c r="K261" s="152" t="s">
        <v>2705</v>
      </c>
      <c r="L261" s="152" t="s">
        <v>2398</v>
      </c>
      <c r="M261" s="152" t="s">
        <v>2398</v>
      </c>
      <c r="N261" s="152" t="s">
        <v>2398</v>
      </c>
      <c r="O261" s="152" t="s">
        <v>2705</v>
      </c>
      <c r="P261" s="152" t="s">
        <v>2705</v>
      </c>
      <c r="Q261" s="152" t="s">
        <v>2705</v>
      </c>
      <c r="R261" s="152" t="s">
        <v>2398</v>
      </c>
      <c r="S261" s="152" t="s">
        <v>2705</v>
      </c>
      <c r="T261" s="152" t="s">
        <v>2705</v>
      </c>
      <c r="U261" s="152" t="s">
        <v>2705</v>
      </c>
      <c r="V261" s="142" cm="1">
        <f t="array" ref="V261">IF(A261&lt;&gt;"",SUM(--(B261:U262 = "X")*$U$3,--(B261:U262 ="A")*$Q$3,--(B261:U262 ="B")*$R$3,--(B261:U262 ="C")*$S$3),"")</f>
        <v>18.5</v>
      </c>
      <c r="X261" s="437" t="s">
        <v>7569</v>
      </c>
      <c r="Y261" s="437">
        <v>29.5</v>
      </c>
      <c r="Z261" s="436">
        <f>_xlfn.XLOOKUP(answers[[#This Row],[StudentID]],$A$7:$A$1418,$V$7:$V$1418)</f>
        <v>29.5</v>
      </c>
      <c r="AF261" s="142" t="s">
        <v>7447</v>
      </c>
      <c r="AG261" s="142" t="s">
        <v>2675</v>
      </c>
      <c r="AH261" s="142" t="s">
        <v>2705</v>
      </c>
      <c r="AI261" s="142" t="s">
        <v>2705</v>
      </c>
      <c r="AJ261" s="142" t="s">
        <v>2705</v>
      </c>
      <c r="AK261" s="142" t="s">
        <v>2398</v>
      </c>
      <c r="AL261" s="142" t="s">
        <v>2705</v>
      </c>
      <c r="AM261" s="142" t="s">
        <v>2705</v>
      </c>
      <c r="AN261" s="142" t="s">
        <v>2398</v>
      </c>
      <c r="AO261" s="142" t="s">
        <v>2705</v>
      </c>
      <c r="AP261" s="142" t="s">
        <v>2705</v>
      </c>
      <c r="AQ261" s="142" t="s">
        <v>2398</v>
      </c>
      <c r="AR261" s="142" t="s">
        <v>2398</v>
      </c>
      <c r="AS261" s="142" t="s">
        <v>2398</v>
      </c>
      <c r="AT261" s="142" t="s">
        <v>2705</v>
      </c>
      <c r="AU261" s="142" t="s">
        <v>2705</v>
      </c>
      <c r="AV261" s="142" t="s">
        <v>2705</v>
      </c>
      <c r="AW261" s="142" t="s">
        <v>2398</v>
      </c>
      <c r="AX261" s="142" t="s">
        <v>2705</v>
      </c>
      <c r="AY261" s="142" t="s">
        <v>2705</v>
      </c>
      <c r="AZ261" s="142" t="s">
        <v>2705</v>
      </c>
    </row>
    <row r="262" spans="1:52" s="142" customFormat="1" ht="12.75" x14ac:dyDescent="0.2">
      <c r="A262" s="151"/>
      <c r="B262" s="152" t="s">
        <v>2675</v>
      </c>
      <c r="C262" s="152" t="s">
        <v>2705</v>
      </c>
      <c r="D262" s="152" t="s">
        <v>2398</v>
      </c>
      <c r="E262" s="152" t="s">
        <v>2705</v>
      </c>
      <c r="F262" s="152" t="s">
        <v>2705</v>
      </c>
      <c r="G262" s="152" t="s">
        <v>2398</v>
      </c>
      <c r="H262" s="152" t="s">
        <v>2397</v>
      </c>
      <c r="I262" s="152" t="s">
        <v>2398</v>
      </c>
      <c r="J262" s="152" t="s">
        <v>2398</v>
      </c>
      <c r="K262" s="152" t="s">
        <v>2398</v>
      </c>
      <c r="L262" s="152" t="s">
        <v>2398</v>
      </c>
      <c r="M262" s="152" t="s">
        <v>2398</v>
      </c>
      <c r="N262" s="152" t="s">
        <v>2705</v>
      </c>
      <c r="O262" s="152" t="s">
        <v>2398</v>
      </c>
      <c r="P262" s="152" t="s">
        <v>2675</v>
      </c>
      <c r="Q262" s="152" t="s">
        <v>2398</v>
      </c>
      <c r="R262" s="152" t="s">
        <v>2705</v>
      </c>
      <c r="S262" s="152" t="s">
        <v>2705</v>
      </c>
      <c r="T262" s="152" t="s">
        <v>2398</v>
      </c>
      <c r="U262" s="152" t="s">
        <v>2705</v>
      </c>
      <c r="V262" s="142" t="str" cm="1">
        <f t="array" ref="V262">IF(A262&lt;&gt;"",SUM(--(B262:U263 = "X")*$U$3,--(B262:U263 ="A")*$Q$3,--(B262:U263 ="B")*$R$3,--(B262:U263 ="C")*$S$3),"")</f>
        <v/>
      </c>
      <c r="X262" s="437" t="s">
        <v>7570</v>
      </c>
      <c r="Y262" s="437">
        <v>11.5</v>
      </c>
      <c r="Z262" s="436">
        <f>_xlfn.XLOOKUP(answers[[#This Row],[StudentID]],$A$7:$A$1418,$V$7:$V$1418)</f>
        <v>11.5</v>
      </c>
      <c r="AG262" s="142" t="s">
        <v>2675</v>
      </c>
      <c r="AH262" s="142" t="s">
        <v>2705</v>
      </c>
      <c r="AI262" s="142" t="s">
        <v>2398</v>
      </c>
      <c r="AJ262" s="142" t="s">
        <v>2705</v>
      </c>
      <c r="AK262" s="142" t="s">
        <v>2705</v>
      </c>
      <c r="AL262" s="142" t="s">
        <v>2398</v>
      </c>
      <c r="AM262" s="142" t="s">
        <v>2397</v>
      </c>
      <c r="AN262" s="142" t="s">
        <v>2398</v>
      </c>
      <c r="AO262" s="142" t="s">
        <v>2398</v>
      </c>
      <c r="AP262" s="142" t="s">
        <v>2398</v>
      </c>
      <c r="AQ262" s="142" t="s">
        <v>2398</v>
      </c>
      <c r="AR262" s="142" t="s">
        <v>2398</v>
      </c>
      <c r="AS262" s="142" t="s">
        <v>2705</v>
      </c>
      <c r="AT262" s="142" t="s">
        <v>2398</v>
      </c>
      <c r="AU262" s="142" t="s">
        <v>2675</v>
      </c>
      <c r="AV262" s="142" t="s">
        <v>2398</v>
      </c>
      <c r="AW262" s="142" t="s">
        <v>2705</v>
      </c>
      <c r="AX262" s="142" t="s">
        <v>2705</v>
      </c>
      <c r="AY262" s="142" t="s">
        <v>2398</v>
      </c>
      <c r="AZ262" s="142" t="s">
        <v>2705</v>
      </c>
    </row>
    <row r="263" spans="1:52" s="142" customFormat="1" ht="12.75" x14ac:dyDescent="0.2">
      <c r="A263" s="151" t="s">
        <v>7448</v>
      </c>
      <c r="B263" s="152" t="s">
        <v>2705</v>
      </c>
      <c r="C263" s="152" t="s">
        <v>2705</v>
      </c>
      <c r="D263" s="152" t="s">
        <v>2705</v>
      </c>
      <c r="E263" s="152" t="s">
        <v>2705</v>
      </c>
      <c r="F263" s="152" t="s">
        <v>2398</v>
      </c>
      <c r="G263" s="152" t="s">
        <v>2705</v>
      </c>
      <c r="H263" s="152" t="s">
        <v>2705</v>
      </c>
      <c r="I263" s="152" t="s">
        <v>2705</v>
      </c>
      <c r="J263" s="152" t="s">
        <v>2705</v>
      </c>
      <c r="K263" s="152" t="s">
        <v>2705</v>
      </c>
      <c r="L263" s="152" t="s">
        <v>1435</v>
      </c>
      <c r="M263" s="152" t="s">
        <v>2397</v>
      </c>
      <c r="N263" s="152" t="s">
        <v>2705</v>
      </c>
      <c r="O263" s="152" t="s">
        <v>2705</v>
      </c>
      <c r="P263" s="152" t="s">
        <v>2675</v>
      </c>
      <c r="Q263" s="152" t="s">
        <v>1435</v>
      </c>
      <c r="R263" s="152" t="s">
        <v>2675</v>
      </c>
      <c r="S263" s="152" t="s">
        <v>2675</v>
      </c>
      <c r="T263" s="152" t="s">
        <v>2397</v>
      </c>
      <c r="U263" s="152" t="s">
        <v>2705</v>
      </c>
      <c r="V263" s="142" cm="1">
        <f t="array" ref="V263">IF(A263&lt;&gt;"",SUM(--(B263:U264 = "X")*$U$3,--(B263:U264 ="A")*$Q$3,--(B263:U264 ="B")*$R$3,--(B263:U264 ="C")*$S$3),"")</f>
        <v>15.5</v>
      </c>
      <c r="X263" s="437" t="s">
        <v>7571</v>
      </c>
      <c r="Y263" s="437">
        <v>19</v>
      </c>
      <c r="Z263" s="436">
        <f>_xlfn.XLOOKUP(answers[[#This Row],[StudentID]],$A$7:$A$1418,$V$7:$V$1418)</f>
        <v>19</v>
      </c>
      <c r="AF263" s="142" t="s">
        <v>7448</v>
      </c>
      <c r="AG263" s="142" t="s">
        <v>2705</v>
      </c>
      <c r="AH263" s="142" t="s">
        <v>2705</v>
      </c>
      <c r="AI263" s="142" t="s">
        <v>2705</v>
      </c>
      <c r="AJ263" s="142" t="s">
        <v>2705</v>
      </c>
      <c r="AK263" s="142" t="s">
        <v>2398</v>
      </c>
      <c r="AL263" s="142" t="s">
        <v>2705</v>
      </c>
      <c r="AM263" s="142" t="s">
        <v>2705</v>
      </c>
      <c r="AN263" s="142" t="s">
        <v>2705</v>
      </c>
      <c r="AO263" s="142" t="s">
        <v>2705</v>
      </c>
      <c r="AP263" s="142" t="s">
        <v>2705</v>
      </c>
      <c r="AQ263" s="142" t="s">
        <v>1435</v>
      </c>
      <c r="AR263" s="142" t="s">
        <v>2397</v>
      </c>
      <c r="AS263" s="142" t="s">
        <v>2705</v>
      </c>
      <c r="AT263" s="142" t="s">
        <v>2705</v>
      </c>
      <c r="AU263" s="142" t="s">
        <v>2675</v>
      </c>
      <c r="AV263" s="142" t="s">
        <v>1435</v>
      </c>
      <c r="AW263" s="142" t="s">
        <v>2675</v>
      </c>
      <c r="AX263" s="142" t="s">
        <v>2675</v>
      </c>
      <c r="AY263" s="142" t="s">
        <v>2397</v>
      </c>
      <c r="AZ263" s="142" t="s">
        <v>2705</v>
      </c>
    </row>
    <row r="264" spans="1:52" s="142" customFormat="1" ht="12.75" x14ac:dyDescent="0.2">
      <c r="A264" s="151"/>
      <c r="B264" s="152" t="s">
        <v>2705</v>
      </c>
      <c r="C264" s="152" t="s">
        <v>2398</v>
      </c>
      <c r="D264" s="152" t="s">
        <v>2705</v>
      </c>
      <c r="E264" s="152" t="s">
        <v>2398</v>
      </c>
      <c r="F264" s="152" t="s">
        <v>2398</v>
      </c>
      <c r="G264" s="152" t="s">
        <v>2705</v>
      </c>
      <c r="H264" s="152" t="s">
        <v>2705</v>
      </c>
      <c r="I264" s="152" t="s">
        <v>2705</v>
      </c>
      <c r="J264" s="152" t="s">
        <v>2675</v>
      </c>
      <c r="K264" s="152" t="s">
        <v>2675</v>
      </c>
      <c r="L264" s="152" t="s">
        <v>2705</v>
      </c>
      <c r="M264" s="152" t="s">
        <v>2398</v>
      </c>
      <c r="N264" s="152" t="s">
        <v>2398</v>
      </c>
      <c r="O264" s="152" t="s">
        <v>2398</v>
      </c>
      <c r="P264" s="152" t="s">
        <v>2397</v>
      </c>
      <c r="Q264" s="152" t="s">
        <v>2705</v>
      </c>
      <c r="R264" s="152" t="s">
        <v>2398</v>
      </c>
      <c r="S264" s="152" t="s">
        <v>2398</v>
      </c>
      <c r="T264" s="152" t="s">
        <v>2398</v>
      </c>
      <c r="U264" s="152" t="s">
        <v>2398</v>
      </c>
      <c r="V264" s="142" t="str" cm="1">
        <f t="array" ref="V264">IF(A264&lt;&gt;"",SUM(--(B264:U265 = "X")*$U$3,--(B264:U265 ="A")*$Q$3,--(B264:U265 ="B")*$R$3,--(B264:U265 ="C")*$S$3),"")</f>
        <v/>
      </c>
      <c r="X264" s="437" t="s">
        <v>7572</v>
      </c>
      <c r="Y264" s="437">
        <v>22</v>
      </c>
      <c r="Z264" s="436">
        <f>_xlfn.XLOOKUP(answers[[#This Row],[StudentID]],$A$7:$A$1418,$V$7:$V$1418)</f>
        <v>22</v>
      </c>
      <c r="AG264" s="142" t="s">
        <v>2705</v>
      </c>
      <c r="AH264" s="142" t="s">
        <v>2398</v>
      </c>
      <c r="AI264" s="142" t="s">
        <v>2705</v>
      </c>
      <c r="AJ264" s="142" t="s">
        <v>2398</v>
      </c>
      <c r="AK264" s="142" t="s">
        <v>2398</v>
      </c>
      <c r="AL264" s="142" t="s">
        <v>2705</v>
      </c>
      <c r="AM264" s="142" t="s">
        <v>2705</v>
      </c>
      <c r="AN264" s="142" t="s">
        <v>2705</v>
      </c>
      <c r="AO264" s="142" t="s">
        <v>2675</v>
      </c>
      <c r="AP264" s="142" t="s">
        <v>2675</v>
      </c>
      <c r="AQ264" s="142" t="s">
        <v>2705</v>
      </c>
      <c r="AR264" s="142" t="s">
        <v>2398</v>
      </c>
      <c r="AS264" s="142" t="s">
        <v>2398</v>
      </c>
      <c r="AT264" s="142" t="s">
        <v>2398</v>
      </c>
      <c r="AU264" s="142" t="s">
        <v>2397</v>
      </c>
      <c r="AV264" s="142" t="s">
        <v>2705</v>
      </c>
      <c r="AW264" s="142" t="s">
        <v>2398</v>
      </c>
      <c r="AX264" s="142" t="s">
        <v>2398</v>
      </c>
      <c r="AY264" s="142" t="s">
        <v>2398</v>
      </c>
      <c r="AZ264" s="142" t="s">
        <v>2398</v>
      </c>
    </row>
    <row r="265" spans="1:52" s="142" customFormat="1" ht="12.75" x14ac:dyDescent="0.2">
      <c r="A265" s="151" t="s">
        <v>7449</v>
      </c>
      <c r="B265" s="152" t="s">
        <v>2398</v>
      </c>
      <c r="C265" s="152" t="s">
        <v>2705</v>
      </c>
      <c r="D265" s="152" t="s">
        <v>2675</v>
      </c>
      <c r="E265" s="152" t="s">
        <v>2705</v>
      </c>
      <c r="F265" s="152" t="s">
        <v>2398</v>
      </c>
      <c r="G265" s="152" t="s">
        <v>2705</v>
      </c>
      <c r="H265" s="152" t="s">
        <v>2705</v>
      </c>
      <c r="I265" s="152" t="s">
        <v>2705</v>
      </c>
      <c r="J265" s="152" t="s">
        <v>2705</v>
      </c>
      <c r="K265" s="152" t="s">
        <v>2398</v>
      </c>
      <c r="L265" s="152" t="s">
        <v>2675</v>
      </c>
      <c r="M265" s="152" t="s">
        <v>2398</v>
      </c>
      <c r="N265" s="152" t="s">
        <v>2705</v>
      </c>
      <c r="O265" s="152" t="s">
        <v>2398</v>
      </c>
      <c r="P265" s="152" t="s">
        <v>2398</v>
      </c>
      <c r="Q265" s="152" t="s">
        <v>2705</v>
      </c>
      <c r="R265" s="152" t="s">
        <v>2705</v>
      </c>
      <c r="S265" s="152" t="s">
        <v>2705</v>
      </c>
      <c r="T265" s="152" t="s">
        <v>2398</v>
      </c>
      <c r="U265" s="152" t="s">
        <v>2398</v>
      </c>
      <c r="V265" s="142" cm="1">
        <f t="array" ref="V265">IF(A265&lt;&gt;"",SUM(--(B265:U266 = "X")*$U$3,--(B265:U266 ="A")*$Q$3,--(B265:U266 ="B")*$R$3,--(B265:U266 ="C")*$S$3),"")</f>
        <v>14.5</v>
      </c>
      <c r="X265" s="437" t="s">
        <v>7573</v>
      </c>
      <c r="Y265" s="437">
        <v>20</v>
      </c>
      <c r="Z265" s="436">
        <f>_xlfn.XLOOKUP(answers[[#This Row],[StudentID]],$A$7:$A$1418,$V$7:$V$1418)</f>
        <v>20</v>
      </c>
      <c r="AF265" s="142" t="s">
        <v>7449</v>
      </c>
      <c r="AG265" s="142" t="s">
        <v>2398</v>
      </c>
      <c r="AH265" s="142" t="s">
        <v>2705</v>
      </c>
      <c r="AI265" s="142" t="s">
        <v>2675</v>
      </c>
      <c r="AJ265" s="142" t="s">
        <v>2705</v>
      </c>
      <c r="AK265" s="142" t="s">
        <v>2398</v>
      </c>
      <c r="AL265" s="142" t="s">
        <v>2705</v>
      </c>
      <c r="AM265" s="142" t="s">
        <v>2705</v>
      </c>
      <c r="AN265" s="142" t="s">
        <v>2705</v>
      </c>
      <c r="AO265" s="142" t="s">
        <v>2705</v>
      </c>
      <c r="AP265" s="142" t="s">
        <v>2398</v>
      </c>
      <c r="AQ265" s="142" t="s">
        <v>2675</v>
      </c>
      <c r="AR265" s="142" t="s">
        <v>2398</v>
      </c>
      <c r="AS265" s="142" t="s">
        <v>2705</v>
      </c>
      <c r="AT265" s="142" t="s">
        <v>2398</v>
      </c>
      <c r="AU265" s="142" t="s">
        <v>2398</v>
      </c>
      <c r="AV265" s="142" t="s">
        <v>2705</v>
      </c>
      <c r="AW265" s="142" t="s">
        <v>2705</v>
      </c>
      <c r="AX265" s="142" t="s">
        <v>2705</v>
      </c>
      <c r="AY265" s="142" t="s">
        <v>2398</v>
      </c>
      <c r="AZ265" s="142" t="s">
        <v>2398</v>
      </c>
    </row>
    <row r="266" spans="1:52" s="142" customFormat="1" ht="12.75" x14ac:dyDescent="0.2">
      <c r="A266" s="151"/>
      <c r="B266" s="152" t="s">
        <v>2705</v>
      </c>
      <c r="C266" s="152" t="s">
        <v>2675</v>
      </c>
      <c r="D266" s="152" t="s">
        <v>2398</v>
      </c>
      <c r="E266" s="152" t="s">
        <v>2675</v>
      </c>
      <c r="F266" s="152" t="s">
        <v>2398</v>
      </c>
      <c r="G266" s="152" t="s">
        <v>2398</v>
      </c>
      <c r="H266" s="152" t="s">
        <v>2705</v>
      </c>
      <c r="I266" s="152" t="s">
        <v>2398</v>
      </c>
      <c r="J266" s="152" t="s">
        <v>2705</v>
      </c>
      <c r="K266" s="152" t="s">
        <v>2705</v>
      </c>
      <c r="L266" s="152" t="s">
        <v>2398</v>
      </c>
      <c r="M266" s="152" t="s">
        <v>2705</v>
      </c>
      <c r="N266" s="152" t="s">
        <v>2705</v>
      </c>
      <c r="O266" s="152" t="s">
        <v>2397</v>
      </c>
      <c r="P266" s="152" t="s">
        <v>1435</v>
      </c>
      <c r="Q266" s="152" t="s">
        <v>1435</v>
      </c>
      <c r="R266" s="152" t="s">
        <v>1435</v>
      </c>
      <c r="S266" s="152" t="s">
        <v>2705</v>
      </c>
      <c r="T266" s="152" t="s">
        <v>2705</v>
      </c>
      <c r="U266" s="152" t="s">
        <v>2398</v>
      </c>
      <c r="V266" s="142" t="str" cm="1">
        <f t="array" ref="V266">IF(A266&lt;&gt;"",SUM(--(B266:U267 = "X")*$U$3,--(B266:U267 ="A")*$Q$3,--(B266:U267 ="B")*$R$3,--(B266:U267 ="C")*$S$3),"")</f>
        <v/>
      </c>
      <c r="X266" s="437" t="s">
        <v>7574</v>
      </c>
      <c r="Y266" s="437">
        <v>15.5</v>
      </c>
      <c r="Z266" s="436">
        <f>_xlfn.XLOOKUP(answers[[#This Row],[StudentID]],$A$7:$A$1418,$V$7:$V$1418)</f>
        <v>15.5</v>
      </c>
      <c r="AG266" s="142" t="s">
        <v>2705</v>
      </c>
      <c r="AH266" s="142" t="s">
        <v>2675</v>
      </c>
      <c r="AI266" s="142" t="s">
        <v>2398</v>
      </c>
      <c r="AJ266" s="142" t="s">
        <v>2675</v>
      </c>
      <c r="AK266" s="142" t="s">
        <v>2398</v>
      </c>
      <c r="AL266" s="142" t="s">
        <v>2398</v>
      </c>
      <c r="AM266" s="142" t="s">
        <v>2705</v>
      </c>
      <c r="AN266" s="142" t="s">
        <v>2398</v>
      </c>
      <c r="AO266" s="142" t="s">
        <v>2705</v>
      </c>
      <c r="AP266" s="142" t="s">
        <v>2705</v>
      </c>
      <c r="AQ266" s="142" t="s">
        <v>2398</v>
      </c>
      <c r="AR266" s="142" t="s">
        <v>2705</v>
      </c>
      <c r="AS266" s="142" t="s">
        <v>2705</v>
      </c>
      <c r="AT266" s="142" t="s">
        <v>2397</v>
      </c>
      <c r="AU266" s="142" t="s">
        <v>1435</v>
      </c>
      <c r="AV266" s="142" t="s">
        <v>1435</v>
      </c>
      <c r="AW266" s="142" t="s">
        <v>1435</v>
      </c>
      <c r="AX266" s="142" t="s">
        <v>2705</v>
      </c>
      <c r="AY266" s="142" t="s">
        <v>2705</v>
      </c>
      <c r="AZ266" s="142" t="s">
        <v>2398</v>
      </c>
    </row>
    <row r="267" spans="1:52" s="142" customFormat="1" ht="12.75" x14ac:dyDescent="0.2">
      <c r="A267" s="151" t="s">
        <v>7450</v>
      </c>
      <c r="B267" s="152" t="s">
        <v>2705</v>
      </c>
      <c r="C267" s="152" t="s">
        <v>2675</v>
      </c>
      <c r="D267" s="152" t="s">
        <v>2398</v>
      </c>
      <c r="E267" s="152" t="s">
        <v>2705</v>
      </c>
      <c r="F267" s="152" t="s">
        <v>2398</v>
      </c>
      <c r="G267" s="152" t="s">
        <v>2705</v>
      </c>
      <c r="H267" s="152" t="s">
        <v>2398</v>
      </c>
      <c r="I267" s="152" t="s">
        <v>2398</v>
      </c>
      <c r="J267" s="152" t="s">
        <v>2398</v>
      </c>
      <c r="K267" s="152" t="s">
        <v>2705</v>
      </c>
      <c r="L267" s="152" t="s">
        <v>2705</v>
      </c>
      <c r="M267" s="152" t="s">
        <v>2398</v>
      </c>
      <c r="N267" s="152" t="s">
        <v>2705</v>
      </c>
      <c r="O267" s="152" t="s">
        <v>2398</v>
      </c>
      <c r="P267" s="152" t="s">
        <v>2675</v>
      </c>
      <c r="Q267" s="152" t="s">
        <v>2398</v>
      </c>
      <c r="R267" s="152" t="s">
        <v>2397</v>
      </c>
      <c r="S267" s="152" t="s">
        <v>2397</v>
      </c>
      <c r="T267" s="152" t="s">
        <v>2675</v>
      </c>
      <c r="U267" s="152" t="s">
        <v>2398</v>
      </c>
      <c r="V267" s="142" cm="1">
        <f t="array" ref="V267">IF(A267&lt;&gt;"",SUM(--(B267:U268 = "X")*$U$3,--(B267:U268 ="A")*$Q$3,--(B267:U268 ="B")*$R$3,--(B267:U268 ="C")*$S$3),"")</f>
        <v>10.5</v>
      </c>
      <c r="X267" s="437" t="s">
        <v>7575</v>
      </c>
      <c r="Y267" s="437">
        <v>9</v>
      </c>
      <c r="Z267" s="436">
        <f>_xlfn.XLOOKUP(answers[[#This Row],[StudentID]],$A$7:$A$1418,$V$7:$V$1418)</f>
        <v>9</v>
      </c>
      <c r="AF267" s="142" t="s">
        <v>7450</v>
      </c>
      <c r="AG267" s="142" t="s">
        <v>2705</v>
      </c>
      <c r="AH267" s="142" t="s">
        <v>2675</v>
      </c>
      <c r="AI267" s="142" t="s">
        <v>2398</v>
      </c>
      <c r="AJ267" s="142" t="s">
        <v>2705</v>
      </c>
      <c r="AK267" s="142" t="s">
        <v>2398</v>
      </c>
      <c r="AL267" s="142" t="s">
        <v>2705</v>
      </c>
      <c r="AM267" s="142" t="s">
        <v>2398</v>
      </c>
      <c r="AN267" s="142" t="s">
        <v>2398</v>
      </c>
      <c r="AO267" s="142" t="s">
        <v>2398</v>
      </c>
      <c r="AP267" s="142" t="s">
        <v>2705</v>
      </c>
      <c r="AQ267" s="142" t="s">
        <v>2705</v>
      </c>
      <c r="AR267" s="142" t="s">
        <v>2398</v>
      </c>
      <c r="AS267" s="142" t="s">
        <v>2705</v>
      </c>
      <c r="AT267" s="142" t="s">
        <v>2398</v>
      </c>
      <c r="AU267" s="142" t="s">
        <v>2675</v>
      </c>
      <c r="AV267" s="142" t="s">
        <v>2398</v>
      </c>
      <c r="AW267" s="142" t="s">
        <v>2397</v>
      </c>
      <c r="AX267" s="142" t="s">
        <v>2397</v>
      </c>
      <c r="AY267" s="142" t="s">
        <v>2675</v>
      </c>
      <c r="AZ267" s="142" t="s">
        <v>2398</v>
      </c>
    </row>
    <row r="268" spans="1:52" s="142" customFormat="1" ht="12.75" x14ac:dyDescent="0.2">
      <c r="A268" s="151"/>
      <c r="B268" s="152" t="s">
        <v>2705</v>
      </c>
      <c r="C268" s="152" t="s">
        <v>2705</v>
      </c>
      <c r="D268" s="152" t="s">
        <v>2675</v>
      </c>
      <c r="E268" s="152" t="s">
        <v>2397</v>
      </c>
      <c r="F268" s="152" t="s">
        <v>2705</v>
      </c>
      <c r="G268" s="152" t="s">
        <v>2398</v>
      </c>
      <c r="H268" s="152" t="s">
        <v>2398</v>
      </c>
      <c r="I268" s="152" t="s">
        <v>2705</v>
      </c>
      <c r="J268" s="152" t="s">
        <v>2705</v>
      </c>
      <c r="K268" s="152" t="s">
        <v>2398</v>
      </c>
      <c r="L268" s="152" t="s">
        <v>2705</v>
      </c>
      <c r="M268" s="152" t="s">
        <v>2398</v>
      </c>
      <c r="N268" s="152" t="s">
        <v>2398</v>
      </c>
      <c r="O268" s="152" t="s">
        <v>1435</v>
      </c>
      <c r="P268" s="152" t="s">
        <v>2398</v>
      </c>
      <c r="Q268" s="152" t="s">
        <v>2398</v>
      </c>
      <c r="R268" s="152" t="s">
        <v>2398</v>
      </c>
      <c r="S268" s="152" t="s">
        <v>2397</v>
      </c>
      <c r="T268" s="152" t="s">
        <v>2705</v>
      </c>
      <c r="U268" s="152" t="s">
        <v>2398</v>
      </c>
      <c r="V268" s="142" t="str" cm="1">
        <f t="array" ref="V268">IF(A268&lt;&gt;"",SUM(--(B268:U269 = "X")*$U$3,--(B268:U269 ="A")*$Q$3,--(B268:U269 ="B")*$R$3,--(B268:U269 ="C")*$S$3),"")</f>
        <v/>
      </c>
      <c r="X268" s="437" t="s">
        <v>7576</v>
      </c>
      <c r="Y268" s="437">
        <v>27</v>
      </c>
      <c r="Z268" s="436">
        <f>_xlfn.XLOOKUP(answers[[#This Row],[StudentID]],$A$7:$A$1418,$V$7:$V$1418)</f>
        <v>27</v>
      </c>
      <c r="AG268" s="142" t="s">
        <v>2705</v>
      </c>
      <c r="AH268" s="142" t="s">
        <v>2705</v>
      </c>
      <c r="AI268" s="142" t="s">
        <v>2675</v>
      </c>
      <c r="AJ268" s="142" t="s">
        <v>2397</v>
      </c>
      <c r="AK268" s="142" t="s">
        <v>2705</v>
      </c>
      <c r="AL268" s="142" t="s">
        <v>2398</v>
      </c>
      <c r="AM268" s="142" t="s">
        <v>2398</v>
      </c>
      <c r="AN268" s="142" t="s">
        <v>2705</v>
      </c>
      <c r="AO268" s="142" t="s">
        <v>2705</v>
      </c>
      <c r="AP268" s="142" t="s">
        <v>2398</v>
      </c>
      <c r="AQ268" s="142" t="s">
        <v>2705</v>
      </c>
      <c r="AR268" s="142" t="s">
        <v>2398</v>
      </c>
      <c r="AS268" s="142" t="s">
        <v>2398</v>
      </c>
      <c r="AT268" s="142" t="s">
        <v>1435</v>
      </c>
      <c r="AU268" s="142" t="s">
        <v>2398</v>
      </c>
      <c r="AV268" s="142" t="s">
        <v>2398</v>
      </c>
      <c r="AW268" s="142" t="s">
        <v>2398</v>
      </c>
      <c r="AX268" s="142" t="s">
        <v>2397</v>
      </c>
      <c r="AY268" s="142" t="s">
        <v>2705</v>
      </c>
      <c r="AZ268" s="142" t="s">
        <v>2398</v>
      </c>
    </row>
    <row r="269" spans="1:52" s="142" customFormat="1" ht="12.75" x14ac:dyDescent="0.2">
      <c r="A269" s="151" t="s">
        <v>7451</v>
      </c>
      <c r="B269" s="152" t="s">
        <v>2705</v>
      </c>
      <c r="C269" s="152" t="s">
        <v>2705</v>
      </c>
      <c r="D269" s="152" t="s">
        <v>2705</v>
      </c>
      <c r="E269" s="152" t="s">
        <v>2705</v>
      </c>
      <c r="F269" s="152" t="s">
        <v>2705</v>
      </c>
      <c r="G269" s="152" t="s">
        <v>2705</v>
      </c>
      <c r="H269" s="152" t="s">
        <v>2397</v>
      </c>
      <c r="I269" s="152" t="s">
        <v>2675</v>
      </c>
      <c r="J269" s="152" t="s">
        <v>2675</v>
      </c>
      <c r="K269" s="152" t="s">
        <v>2705</v>
      </c>
      <c r="L269" s="152" t="s">
        <v>1435</v>
      </c>
      <c r="M269" s="152" t="s">
        <v>2705</v>
      </c>
      <c r="N269" s="152" t="s">
        <v>2705</v>
      </c>
      <c r="O269" s="152" t="s">
        <v>2705</v>
      </c>
      <c r="P269" s="152" t="s">
        <v>2705</v>
      </c>
      <c r="Q269" s="152" t="s">
        <v>2398</v>
      </c>
      <c r="R269" s="152" t="s">
        <v>2398</v>
      </c>
      <c r="S269" s="152" t="s">
        <v>2705</v>
      </c>
      <c r="T269" s="152" t="s">
        <v>2705</v>
      </c>
      <c r="U269" s="152" t="s">
        <v>2705</v>
      </c>
      <c r="V269" s="142" cm="1">
        <f t="array" ref="V269">IF(A269&lt;&gt;"",SUM(--(B269:U270 = "X")*$U$3,--(B269:U270 ="A")*$Q$3,--(B269:U270 ="B")*$R$3,--(B269:U270 ="C")*$S$3),"")</f>
        <v>23.5</v>
      </c>
      <c r="X269" s="437" t="s">
        <v>7577</v>
      </c>
      <c r="Y269" s="437">
        <v>20</v>
      </c>
      <c r="Z269" s="436">
        <f>_xlfn.XLOOKUP(answers[[#This Row],[StudentID]],$A$7:$A$1418,$V$7:$V$1418)</f>
        <v>20</v>
      </c>
      <c r="AF269" s="142" t="s">
        <v>7451</v>
      </c>
      <c r="AG269" s="142" t="s">
        <v>2705</v>
      </c>
      <c r="AH269" s="142" t="s">
        <v>2705</v>
      </c>
      <c r="AI269" s="142" t="s">
        <v>2705</v>
      </c>
      <c r="AJ269" s="142" t="s">
        <v>2705</v>
      </c>
      <c r="AK269" s="142" t="s">
        <v>2705</v>
      </c>
      <c r="AL269" s="142" t="s">
        <v>2705</v>
      </c>
      <c r="AM269" s="142" t="s">
        <v>2397</v>
      </c>
      <c r="AN269" s="142" t="s">
        <v>2675</v>
      </c>
      <c r="AO269" s="142" t="s">
        <v>2675</v>
      </c>
      <c r="AP269" s="142" t="s">
        <v>2705</v>
      </c>
      <c r="AQ269" s="142" t="s">
        <v>1435</v>
      </c>
      <c r="AR269" s="142" t="s">
        <v>2705</v>
      </c>
      <c r="AS269" s="142" t="s">
        <v>2705</v>
      </c>
      <c r="AT269" s="142" t="s">
        <v>2705</v>
      </c>
      <c r="AU269" s="142" t="s">
        <v>2705</v>
      </c>
      <c r="AV269" s="142" t="s">
        <v>2398</v>
      </c>
      <c r="AW269" s="142" t="s">
        <v>2398</v>
      </c>
      <c r="AX269" s="142" t="s">
        <v>2705</v>
      </c>
      <c r="AY269" s="142" t="s">
        <v>2705</v>
      </c>
      <c r="AZ269" s="142" t="s">
        <v>2705</v>
      </c>
    </row>
    <row r="270" spans="1:52" s="142" customFormat="1" ht="12.75" x14ac:dyDescent="0.2">
      <c r="A270" s="151"/>
      <c r="B270" s="152" t="s">
        <v>2705</v>
      </c>
      <c r="C270" s="152" t="s">
        <v>2675</v>
      </c>
      <c r="D270" s="152" t="s">
        <v>2397</v>
      </c>
      <c r="E270" s="152" t="s">
        <v>2705</v>
      </c>
      <c r="F270" s="152" t="s">
        <v>2705</v>
      </c>
      <c r="G270" s="152" t="s">
        <v>2705</v>
      </c>
      <c r="H270" s="152" t="s">
        <v>2705</v>
      </c>
      <c r="I270" s="152" t="s">
        <v>2705</v>
      </c>
      <c r="J270" s="152" t="s">
        <v>1435</v>
      </c>
      <c r="K270" s="152" t="s">
        <v>2705</v>
      </c>
      <c r="L270" s="152" t="s">
        <v>2705</v>
      </c>
      <c r="M270" s="152" t="s">
        <v>2705</v>
      </c>
      <c r="N270" s="152" t="s">
        <v>2397</v>
      </c>
      <c r="O270" s="152" t="s">
        <v>2398</v>
      </c>
      <c r="P270" s="152" t="s">
        <v>2675</v>
      </c>
      <c r="Q270" s="152" t="s">
        <v>2705</v>
      </c>
      <c r="R270" s="152" t="s">
        <v>2705</v>
      </c>
      <c r="S270" s="152" t="s">
        <v>2705</v>
      </c>
      <c r="T270" s="152" t="s">
        <v>2705</v>
      </c>
      <c r="U270" s="152" t="s">
        <v>2675</v>
      </c>
      <c r="V270" s="142" t="str" cm="1">
        <f t="array" ref="V270">IF(A270&lt;&gt;"",SUM(--(B270:U271 = "X")*$U$3,--(B270:U271 ="A")*$Q$3,--(B270:U271 ="B")*$R$3,--(B270:U271 ="C")*$S$3),"")</f>
        <v/>
      </c>
      <c r="X270" s="437" t="s">
        <v>7578</v>
      </c>
      <c r="Y270" s="437">
        <v>19</v>
      </c>
      <c r="Z270" s="436">
        <f>_xlfn.XLOOKUP(answers[[#This Row],[StudentID]],$A$7:$A$1418,$V$7:$V$1418)</f>
        <v>19</v>
      </c>
      <c r="AG270" s="142" t="s">
        <v>2705</v>
      </c>
      <c r="AH270" s="142" t="s">
        <v>2675</v>
      </c>
      <c r="AI270" s="142" t="s">
        <v>2397</v>
      </c>
      <c r="AJ270" s="142" t="s">
        <v>2705</v>
      </c>
      <c r="AK270" s="142" t="s">
        <v>2705</v>
      </c>
      <c r="AL270" s="142" t="s">
        <v>2705</v>
      </c>
      <c r="AM270" s="142" t="s">
        <v>2705</v>
      </c>
      <c r="AN270" s="142" t="s">
        <v>2705</v>
      </c>
      <c r="AO270" s="142" t="s">
        <v>1435</v>
      </c>
      <c r="AP270" s="142" t="s">
        <v>2705</v>
      </c>
      <c r="AQ270" s="142" t="s">
        <v>2705</v>
      </c>
      <c r="AR270" s="142" t="s">
        <v>2705</v>
      </c>
      <c r="AS270" s="142" t="s">
        <v>2397</v>
      </c>
      <c r="AT270" s="142" t="s">
        <v>2398</v>
      </c>
      <c r="AU270" s="142" t="s">
        <v>2675</v>
      </c>
      <c r="AV270" s="142" t="s">
        <v>2705</v>
      </c>
      <c r="AW270" s="142" t="s">
        <v>2705</v>
      </c>
      <c r="AX270" s="142" t="s">
        <v>2705</v>
      </c>
      <c r="AY270" s="142" t="s">
        <v>2705</v>
      </c>
      <c r="AZ270" s="142" t="s">
        <v>2675</v>
      </c>
    </row>
    <row r="271" spans="1:52" s="142" customFormat="1" ht="12.75" x14ac:dyDescent="0.2">
      <c r="A271" s="151" t="s">
        <v>7452</v>
      </c>
      <c r="B271" s="152" t="s">
        <v>2705</v>
      </c>
      <c r="C271" s="152" t="s">
        <v>2398</v>
      </c>
      <c r="D271" s="152" t="s">
        <v>2705</v>
      </c>
      <c r="E271" s="152" t="s">
        <v>2705</v>
      </c>
      <c r="F271" s="152" t="s">
        <v>2705</v>
      </c>
      <c r="G271" s="152" t="s">
        <v>2705</v>
      </c>
      <c r="H271" s="152" t="s">
        <v>2705</v>
      </c>
      <c r="I271" s="152" t="s">
        <v>2705</v>
      </c>
      <c r="J271" s="152" t="s">
        <v>2705</v>
      </c>
      <c r="K271" s="152" t="s">
        <v>2705</v>
      </c>
      <c r="L271" s="152" t="s">
        <v>2705</v>
      </c>
      <c r="M271" s="152" t="s">
        <v>2705</v>
      </c>
      <c r="N271" s="152" t="s">
        <v>2705</v>
      </c>
      <c r="O271" s="152" t="s">
        <v>2705</v>
      </c>
      <c r="P271" s="152" t="s">
        <v>2705</v>
      </c>
      <c r="Q271" s="152" t="s">
        <v>2705</v>
      </c>
      <c r="R271" s="152" t="s">
        <v>1435</v>
      </c>
      <c r="S271" s="152" t="s">
        <v>2705</v>
      </c>
      <c r="T271" s="152" t="s">
        <v>2705</v>
      </c>
      <c r="U271" s="152" t="s">
        <v>2675</v>
      </c>
      <c r="V271" s="142" cm="1">
        <f t="array" ref="V271">IF(A271&lt;&gt;"",SUM(--(B271:U272 = "X")*$U$3,--(B271:U272 ="A")*$Q$3,--(B271:U272 ="B")*$R$3,--(B271:U272 ="C")*$S$3),"")</f>
        <v>25.5</v>
      </c>
      <c r="X271" s="437" t="s">
        <v>7579</v>
      </c>
      <c r="Y271" s="437">
        <v>17</v>
      </c>
      <c r="Z271" s="436">
        <f>_xlfn.XLOOKUP(answers[[#This Row],[StudentID]],$A$7:$A$1418,$V$7:$V$1418)</f>
        <v>17</v>
      </c>
      <c r="AF271" s="142" t="s">
        <v>7452</v>
      </c>
      <c r="AG271" s="142" t="s">
        <v>2705</v>
      </c>
      <c r="AH271" s="142" t="s">
        <v>2398</v>
      </c>
      <c r="AI271" s="142" t="s">
        <v>2705</v>
      </c>
      <c r="AJ271" s="142" t="s">
        <v>2705</v>
      </c>
      <c r="AK271" s="142" t="s">
        <v>2705</v>
      </c>
      <c r="AL271" s="142" t="s">
        <v>2705</v>
      </c>
      <c r="AM271" s="142" t="s">
        <v>2705</v>
      </c>
      <c r="AN271" s="142" t="s">
        <v>2705</v>
      </c>
      <c r="AO271" s="142" t="s">
        <v>2705</v>
      </c>
      <c r="AP271" s="142" t="s">
        <v>2705</v>
      </c>
      <c r="AQ271" s="142" t="s">
        <v>2705</v>
      </c>
      <c r="AR271" s="142" t="s">
        <v>2705</v>
      </c>
      <c r="AS271" s="142" t="s">
        <v>2705</v>
      </c>
      <c r="AT271" s="142" t="s">
        <v>2705</v>
      </c>
      <c r="AU271" s="142" t="s">
        <v>2705</v>
      </c>
      <c r="AV271" s="142" t="s">
        <v>2705</v>
      </c>
      <c r="AW271" s="142" t="s">
        <v>1435</v>
      </c>
      <c r="AX271" s="142" t="s">
        <v>2705</v>
      </c>
      <c r="AY271" s="142" t="s">
        <v>2705</v>
      </c>
      <c r="AZ271" s="142" t="s">
        <v>2675</v>
      </c>
    </row>
    <row r="272" spans="1:52" s="142" customFormat="1" ht="12.75" x14ac:dyDescent="0.2">
      <c r="A272" s="151"/>
      <c r="B272" s="152" t="s">
        <v>2705</v>
      </c>
      <c r="C272" s="152" t="s">
        <v>2705</v>
      </c>
      <c r="D272" s="152" t="s">
        <v>1435</v>
      </c>
      <c r="E272" s="152" t="s">
        <v>2398</v>
      </c>
      <c r="F272" s="152" t="s">
        <v>2398</v>
      </c>
      <c r="G272" s="152" t="s">
        <v>2705</v>
      </c>
      <c r="H272" s="152" t="s">
        <v>2705</v>
      </c>
      <c r="I272" s="152" t="s">
        <v>2705</v>
      </c>
      <c r="J272" s="152" t="s">
        <v>2675</v>
      </c>
      <c r="K272" s="152" t="s">
        <v>2705</v>
      </c>
      <c r="L272" s="152" t="s">
        <v>2705</v>
      </c>
      <c r="M272" s="152" t="s">
        <v>2705</v>
      </c>
      <c r="N272" s="152" t="s">
        <v>2705</v>
      </c>
      <c r="O272" s="152" t="s">
        <v>2397</v>
      </c>
      <c r="P272" s="152" t="s">
        <v>1435</v>
      </c>
      <c r="Q272" s="152" t="s">
        <v>1435</v>
      </c>
      <c r="R272" s="152" t="s">
        <v>2705</v>
      </c>
      <c r="S272" s="152" t="s">
        <v>2705</v>
      </c>
      <c r="T272" s="152" t="s">
        <v>2705</v>
      </c>
      <c r="U272" s="152" t="s">
        <v>2675</v>
      </c>
      <c r="V272" s="142" t="str" cm="1">
        <f t="array" ref="V272">IF(A272&lt;&gt;"",SUM(--(B272:U273 = "X")*$U$3,--(B272:U273 ="A")*$Q$3,--(B272:U273 ="B")*$R$3,--(B272:U273 ="C")*$S$3),"")</f>
        <v/>
      </c>
      <c r="X272" s="437" t="s">
        <v>7580</v>
      </c>
      <c r="Y272" s="437">
        <v>18.5</v>
      </c>
      <c r="Z272" s="436">
        <f>_xlfn.XLOOKUP(answers[[#This Row],[StudentID]],$A$7:$A$1418,$V$7:$V$1418)</f>
        <v>18.5</v>
      </c>
      <c r="AG272" s="142" t="s">
        <v>2705</v>
      </c>
      <c r="AH272" s="142" t="s">
        <v>2705</v>
      </c>
      <c r="AI272" s="142" t="s">
        <v>1435</v>
      </c>
      <c r="AJ272" s="142" t="s">
        <v>2398</v>
      </c>
      <c r="AK272" s="142" t="s">
        <v>2398</v>
      </c>
      <c r="AL272" s="142" t="s">
        <v>2705</v>
      </c>
      <c r="AM272" s="142" t="s">
        <v>2705</v>
      </c>
      <c r="AN272" s="142" t="s">
        <v>2705</v>
      </c>
      <c r="AO272" s="142" t="s">
        <v>2675</v>
      </c>
      <c r="AP272" s="142" t="s">
        <v>2705</v>
      </c>
      <c r="AQ272" s="142" t="s">
        <v>2705</v>
      </c>
      <c r="AR272" s="142" t="s">
        <v>2705</v>
      </c>
      <c r="AS272" s="142" t="s">
        <v>2705</v>
      </c>
      <c r="AT272" s="142" t="s">
        <v>2397</v>
      </c>
      <c r="AU272" s="142" t="s">
        <v>1435</v>
      </c>
      <c r="AV272" s="142" t="s">
        <v>1435</v>
      </c>
      <c r="AW272" s="142" t="s">
        <v>2705</v>
      </c>
      <c r="AX272" s="142" t="s">
        <v>2705</v>
      </c>
      <c r="AY272" s="142" t="s">
        <v>2705</v>
      </c>
      <c r="AZ272" s="142" t="s">
        <v>2675</v>
      </c>
    </row>
    <row r="273" spans="1:52" s="142" customFormat="1" ht="12.75" x14ac:dyDescent="0.2">
      <c r="A273" s="151" t="s">
        <v>7453</v>
      </c>
      <c r="B273" s="152" t="s">
        <v>2398</v>
      </c>
      <c r="C273" s="152" t="s">
        <v>2675</v>
      </c>
      <c r="D273" s="152" t="s">
        <v>1435</v>
      </c>
      <c r="E273" s="152" t="s">
        <v>1435</v>
      </c>
      <c r="F273" s="152" t="s">
        <v>2705</v>
      </c>
      <c r="G273" s="152" t="s">
        <v>1435</v>
      </c>
      <c r="H273" s="152" t="s">
        <v>2397</v>
      </c>
      <c r="I273" s="152" t="s">
        <v>2705</v>
      </c>
      <c r="J273" s="152" t="s">
        <v>2705</v>
      </c>
      <c r="K273" s="152" t="s">
        <v>2397</v>
      </c>
      <c r="L273" s="152" t="s">
        <v>2397</v>
      </c>
      <c r="M273" s="152" t="s">
        <v>2705</v>
      </c>
      <c r="N273" s="152" t="s">
        <v>2397</v>
      </c>
      <c r="O273" s="152" t="s">
        <v>2397</v>
      </c>
      <c r="P273" s="152" t="s">
        <v>1435</v>
      </c>
      <c r="Q273" s="152" t="s">
        <v>2398</v>
      </c>
      <c r="R273" s="152" t="s">
        <v>2705</v>
      </c>
      <c r="S273" s="152" t="s">
        <v>2705</v>
      </c>
      <c r="T273" s="152" t="s">
        <v>2397</v>
      </c>
      <c r="U273" s="152" t="s">
        <v>2705</v>
      </c>
      <c r="V273" s="142" cm="1">
        <f t="array" ref="V273">IF(A273&lt;&gt;"",SUM(--(B273:U274 = "X")*$U$3,--(B273:U274 ="A")*$Q$3,--(B273:U274 ="B")*$R$3,--(B273:U274 ="C")*$S$3),"")</f>
        <v>6</v>
      </c>
      <c r="X273" s="437" t="s">
        <v>7581</v>
      </c>
      <c r="Y273" s="437">
        <v>17.5</v>
      </c>
      <c r="Z273" s="436">
        <f>_xlfn.XLOOKUP(answers[[#This Row],[StudentID]],$A$7:$A$1418,$V$7:$V$1418)</f>
        <v>17.5</v>
      </c>
      <c r="AF273" s="142" t="s">
        <v>7453</v>
      </c>
      <c r="AG273" s="142" t="s">
        <v>2398</v>
      </c>
      <c r="AH273" s="142" t="s">
        <v>2675</v>
      </c>
      <c r="AI273" s="142" t="s">
        <v>1435</v>
      </c>
      <c r="AJ273" s="142" t="s">
        <v>1435</v>
      </c>
      <c r="AK273" s="142" t="s">
        <v>2705</v>
      </c>
      <c r="AL273" s="142" t="s">
        <v>1435</v>
      </c>
      <c r="AM273" s="142" t="s">
        <v>2397</v>
      </c>
      <c r="AN273" s="142" t="s">
        <v>2705</v>
      </c>
      <c r="AO273" s="142" t="s">
        <v>2705</v>
      </c>
      <c r="AP273" s="142" t="s">
        <v>2397</v>
      </c>
      <c r="AQ273" s="142" t="s">
        <v>2397</v>
      </c>
      <c r="AR273" s="142" t="s">
        <v>2705</v>
      </c>
      <c r="AS273" s="142" t="s">
        <v>2397</v>
      </c>
      <c r="AT273" s="142" t="s">
        <v>2397</v>
      </c>
      <c r="AU273" s="142" t="s">
        <v>1435</v>
      </c>
      <c r="AV273" s="142" t="s">
        <v>2398</v>
      </c>
      <c r="AW273" s="142" t="s">
        <v>2705</v>
      </c>
      <c r="AX273" s="142" t="s">
        <v>2705</v>
      </c>
      <c r="AY273" s="142" t="s">
        <v>2397</v>
      </c>
      <c r="AZ273" s="142" t="s">
        <v>2705</v>
      </c>
    </row>
    <row r="274" spans="1:52" s="142" customFormat="1" ht="12.75" x14ac:dyDescent="0.2">
      <c r="A274" s="151"/>
      <c r="B274" s="152" t="s">
        <v>2705</v>
      </c>
      <c r="C274" s="152" t="s">
        <v>2705</v>
      </c>
      <c r="D274" s="152" t="s">
        <v>2397</v>
      </c>
      <c r="E274" s="152" t="s">
        <v>2675</v>
      </c>
      <c r="F274" s="152" t="s">
        <v>2705</v>
      </c>
      <c r="G274" s="152" t="s">
        <v>1435</v>
      </c>
      <c r="H274" s="152" t="s">
        <v>2397</v>
      </c>
      <c r="I274" s="152" t="s">
        <v>2705</v>
      </c>
      <c r="J274" s="152" t="s">
        <v>1435</v>
      </c>
      <c r="K274" s="152" t="s">
        <v>1435</v>
      </c>
      <c r="L274" s="152" t="s">
        <v>2705</v>
      </c>
      <c r="M274" s="152" t="s">
        <v>1435</v>
      </c>
      <c r="N274" s="152" t="s">
        <v>2705</v>
      </c>
      <c r="O274" s="152" t="s">
        <v>2675</v>
      </c>
      <c r="P274" s="152" t="s">
        <v>2675</v>
      </c>
      <c r="Q274" s="152" t="s">
        <v>1435</v>
      </c>
      <c r="R274" s="152" t="s">
        <v>2675</v>
      </c>
      <c r="S274" s="152" t="s">
        <v>2705</v>
      </c>
      <c r="T274" s="152" t="s">
        <v>1435</v>
      </c>
      <c r="U274" s="152" t="s">
        <v>2675</v>
      </c>
      <c r="V274" s="142" t="str" cm="1">
        <f t="array" ref="V274">IF(A274&lt;&gt;"",SUM(--(B274:U275 = "X")*$U$3,--(B274:U275 ="A")*$Q$3,--(B274:U275 ="B")*$R$3,--(B274:U275 ="C")*$S$3),"")</f>
        <v/>
      </c>
      <c r="X274" s="437" t="s">
        <v>7582</v>
      </c>
      <c r="Y274" s="437">
        <v>24</v>
      </c>
      <c r="Z274" s="436">
        <f>_xlfn.XLOOKUP(answers[[#This Row],[StudentID]],$A$7:$A$1418,$V$7:$V$1418)</f>
        <v>24</v>
      </c>
      <c r="AG274" s="142" t="s">
        <v>2705</v>
      </c>
      <c r="AH274" s="142" t="s">
        <v>2705</v>
      </c>
      <c r="AI274" s="142" t="s">
        <v>2397</v>
      </c>
      <c r="AJ274" s="142" t="s">
        <v>2675</v>
      </c>
      <c r="AK274" s="142" t="s">
        <v>2705</v>
      </c>
      <c r="AL274" s="142" t="s">
        <v>1435</v>
      </c>
      <c r="AM274" s="142" t="s">
        <v>2397</v>
      </c>
      <c r="AN274" s="142" t="s">
        <v>2705</v>
      </c>
      <c r="AO274" s="142" t="s">
        <v>1435</v>
      </c>
      <c r="AP274" s="142" t="s">
        <v>1435</v>
      </c>
      <c r="AQ274" s="142" t="s">
        <v>2705</v>
      </c>
      <c r="AR274" s="142" t="s">
        <v>1435</v>
      </c>
      <c r="AS274" s="142" t="s">
        <v>2705</v>
      </c>
      <c r="AT274" s="142" t="s">
        <v>2675</v>
      </c>
      <c r="AU274" s="142" t="s">
        <v>2675</v>
      </c>
      <c r="AV274" s="142" t="s">
        <v>1435</v>
      </c>
      <c r="AW274" s="142" t="s">
        <v>2675</v>
      </c>
      <c r="AX274" s="142" t="s">
        <v>2705</v>
      </c>
      <c r="AY274" s="142" t="s">
        <v>1435</v>
      </c>
      <c r="AZ274" s="142" t="s">
        <v>2675</v>
      </c>
    </row>
    <row r="275" spans="1:52" s="142" customFormat="1" ht="12.75" x14ac:dyDescent="0.2">
      <c r="A275" s="151" t="s">
        <v>7454</v>
      </c>
      <c r="B275" s="152" t="s">
        <v>2397</v>
      </c>
      <c r="C275" s="152" t="s">
        <v>2705</v>
      </c>
      <c r="D275" s="152" t="s">
        <v>2705</v>
      </c>
      <c r="E275" s="152" t="s">
        <v>1435</v>
      </c>
      <c r="F275" s="152" t="s">
        <v>2705</v>
      </c>
      <c r="G275" s="152" t="s">
        <v>2705</v>
      </c>
      <c r="H275" s="152" t="s">
        <v>2705</v>
      </c>
      <c r="I275" s="152" t="s">
        <v>2705</v>
      </c>
      <c r="J275" s="152" t="s">
        <v>2398</v>
      </c>
      <c r="K275" s="152" t="s">
        <v>2705</v>
      </c>
      <c r="L275" s="152" t="s">
        <v>2705</v>
      </c>
      <c r="M275" s="152" t="s">
        <v>2398</v>
      </c>
      <c r="N275" s="152" t="s">
        <v>2675</v>
      </c>
      <c r="O275" s="152" t="s">
        <v>1435</v>
      </c>
      <c r="P275" s="152" t="s">
        <v>2705</v>
      </c>
      <c r="Q275" s="152" t="s">
        <v>2398</v>
      </c>
      <c r="R275" s="152" t="s">
        <v>2398</v>
      </c>
      <c r="S275" s="152" t="s">
        <v>2398</v>
      </c>
      <c r="T275" s="152" t="s">
        <v>2705</v>
      </c>
      <c r="U275" s="152" t="s">
        <v>2398</v>
      </c>
      <c r="V275" s="142" cm="1">
        <f t="array" ref="V275">IF(A275&lt;&gt;"",SUM(--(B275:U276 = "X")*$U$3,--(B275:U276 ="A")*$Q$3,--(B275:U276 ="B")*$R$3,--(B275:U276 ="C")*$S$3),"")</f>
        <v>13.5</v>
      </c>
      <c r="X275" s="437" t="s">
        <v>7583</v>
      </c>
      <c r="Y275" s="437">
        <v>17</v>
      </c>
      <c r="Z275" s="436">
        <f>_xlfn.XLOOKUP(answers[[#This Row],[StudentID]],$A$7:$A$1418,$V$7:$V$1418)</f>
        <v>17</v>
      </c>
      <c r="AF275" s="142" t="s">
        <v>7454</v>
      </c>
      <c r="AG275" s="142" t="s">
        <v>2397</v>
      </c>
      <c r="AH275" s="142" t="s">
        <v>2705</v>
      </c>
      <c r="AI275" s="142" t="s">
        <v>2705</v>
      </c>
      <c r="AJ275" s="142" t="s">
        <v>1435</v>
      </c>
      <c r="AK275" s="142" t="s">
        <v>2705</v>
      </c>
      <c r="AL275" s="142" t="s">
        <v>2705</v>
      </c>
      <c r="AM275" s="142" t="s">
        <v>2705</v>
      </c>
      <c r="AN275" s="142" t="s">
        <v>2705</v>
      </c>
      <c r="AO275" s="142" t="s">
        <v>2398</v>
      </c>
      <c r="AP275" s="142" t="s">
        <v>2705</v>
      </c>
      <c r="AQ275" s="142" t="s">
        <v>2705</v>
      </c>
      <c r="AR275" s="142" t="s">
        <v>2398</v>
      </c>
      <c r="AS275" s="142" t="s">
        <v>2675</v>
      </c>
      <c r="AT275" s="142" t="s">
        <v>1435</v>
      </c>
      <c r="AU275" s="142" t="s">
        <v>2705</v>
      </c>
      <c r="AV275" s="142" t="s">
        <v>2398</v>
      </c>
      <c r="AW275" s="142" t="s">
        <v>2398</v>
      </c>
      <c r="AX275" s="142" t="s">
        <v>2398</v>
      </c>
      <c r="AY275" s="142" t="s">
        <v>2705</v>
      </c>
      <c r="AZ275" s="142" t="s">
        <v>2398</v>
      </c>
    </row>
    <row r="276" spans="1:52" s="142" customFormat="1" ht="12.75" x14ac:dyDescent="0.2">
      <c r="A276" s="151"/>
      <c r="B276" s="152" t="s">
        <v>2705</v>
      </c>
      <c r="C276" s="152" t="s">
        <v>2397</v>
      </c>
      <c r="D276" s="152" t="s">
        <v>2705</v>
      </c>
      <c r="E276" s="152" t="s">
        <v>2705</v>
      </c>
      <c r="F276" s="152" t="s">
        <v>2675</v>
      </c>
      <c r="G276" s="152" t="s">
        <v>2675</v>
      </c>
      <c r="H276" s="152" t="s">
        <v>2705</v>
      </c>
      <c r="I276" s="152" t="s">
        <v>2398</v>
      </c>
      <c r="J276" s="152" t="s">
        <v>2397</v>
      </c>
      <c r="K276" s="152" t="s">
        <v>2398</v>
      </c>
      <c r="L276" s="152" t="s">
        <v>2705</v>
      </c>
      <c r="M276" s="152" t="s">
        <v>2675</v>
      </c>
      <c r="N276" s="152" t="s">
        <v>2398</v>
      </c>
      <c r="O276" s="152" t="s">
        <v>2705</v>
      </c>
      <c r="P276" s="152" t="s">
        <v>2398</v>
      </c>
      <c r="Q276" s="152" t="s">
        <v>1435</v>
      </c>
      <c r="R276" s="152" t="s">
        <v>1435</v>
      </c>
      <c r="S276" s="152" t="s">
        <v>2705</v>
      </c>
      <c r="T276" s="152" t="s">
        <v>2705</v>
      </c>
      <c r="U276" s="152" t="s">
        <v>1435</v>
      </c>
      <c r="V276" s="142" t="str" cm="1">
        <f t="array" ref="V276">IF(A276&lt;&gt;"",SUM(--(B276:U277 = "X")*$U$3,--(B276:U277 ="A")*$Q$3,--(B276:U277 ="B")*$R$3,--(B276:U277 ="C")*$S$3),"")</f>
        <v/>
      </c>
      <c r="X276" s="437" t="s">
        <v>7584</v>
      </c>
      <c r="Y276" s="437">
        <v>25.5</v>
      </c>
      <c r="Z276" s="436">
        <f>_xlfn.XLOOKUP(answers[[#This Row],[StudentID]],$A$7:$A$1418,$V$7:$V$1418)</f>
        <v>25.5</v>
      </c>
      <c r="AG276" s="142" t="s">
        <v>2705</v>
      </c>
      <c r="AH276" s="142" t="s">
        <v>2397</v>
      </c>
      <c r="AI276" s="142" t="s">
        <v>2705</v>
      </c>
      <c r="AJ276" s="142" t="s">
        <v>2705</v>
      </c>
      <c r="AK276" s="142" t="s">
        <v>2675</v>
      </c>
      <c r="AL276" s="142" t="s">
        <v>2675</v>
      </c>
      <c r="AM276" s="142" t="s">
        <v>2705</v>
      </c>
      <c r="AN276" s="142" t="s">
        <v>2398</v>
      </c>
      <c r="AO276" s="142" t="s">
        <v>2397</v>
      </c>
      <c r="AP276" s="142" t="s">
        <v>2398</v>
      </c>
      <c r="AQ276" s="142" t="s">
        <v>2705</v>
      </c>
      <c r="AR276" s="142" t="s">
        <v>2675</v>
      </c>
      <c r="AS276" s="142" t="s">
        <v>2398</v>
      </c>
      <c r="AT276" s="142" t="s">
        <v>2705</v>
      </c>
      <c r="AU276" s="142" t="s">
        <v>2398</v>
      </c>
      <c r="AV276" s="142" t="s">
        <v>1435</v>
      </c>
      <c r="AW276" s="142" t="s">
        <v>1435</v>
      </c>
      <c r="AX276" s="142" t="s">
        <v>2705</v>
      </c>
      <c r="AY276" s="142" t="s">
        <v>2705</v>
      </c>
      <c r="AZ276" s="142" t="s">
        <v>1435</v>
      </c>
    </row>
    <row r="277" spans="1:52" s="142" customFormat="1" ht="12.75" x14ac:dyDescent="0.2">
      <c r="A277" s="151" t="s">
        <v>7455</v>
      </c>
      <c r="B277" s="152" t="s">
        <v>2705</v>
      </c>
      <c r="C277" s="152" t="s">
        <v>2705</v>
      </c>
      <c r="D277" s="152" t="s">
        <v>2675</v>
      </c>
      <c r="E277" s="152" t="s">
        <v>2705</v>
      </c>
      <c r="F277" s="152" t="s">
        <v>2705</v>
      </c>
      <c r="G277" s="152" t="s">
        <v>2705</v>
      </c>
      <c r="H277" s="152" t="s">
        <v>2398</v>
      </c>
      <c r="I277" s="152" t="s">
        <v>2398</v>
      </c>
      <c r="J277" s="152" t="s">
        <v>2675</v>
      </c>
      <c r="K277" s="152" t="s">
        <v>2705</v>
      </c>
      <c r="L277" s="152" t="s">
        <v>2398</v>
      </c>
      <c r="M277" s="152" t="s">
        <v>2705</v>
      </c>
      <c r="N277" s="152" t="s">
        <v>2705</v>
      </c>
      <c r="O277" s="152" t="s">
        <v>2705</v>
      </c>
      <c r="P277" s="152" t="s">
        <v>2398</v>
      </c>
      <c r="Q277" s="152" t="s">
        <v>2675</v>
      </c>
      <c r="R277" s="152" t="s">
        <v>2398</v>
      </c>
      <c r="S277" s="152" t="s">
        <v>2705</v>
      </c>
      <c r="T277" s="152" t="s">
        <v>2398</v>
      </c>
      <c r="U277" s="152" t="s">
        <v>2398</v>
      </c>
      <c r="V277" s="142" cm="1">
        <f t="array" ref="V277">IF(A277&lt;&gt;"",SUM(--(B277:U278 = "X")*$U$3,--(B277:U278 ="A")*$Q$3,--(B277:U278 ="B")*$R$3,--(B277:U278 ="C")*$S$3),"")</f>
        <v>14.5</v>
      </c>
      <c r="X277" s="437" t="s">
        <v>7585</v>
      </c>
      <c r="Y277" s="437">
        <v>13.5</v>
      </c>
      <c r="Z277" s="436">
        <f>_xlfn.XLOOKUP(answers[[#This Row],[StudentID]],$A$7:$A$1418,$V$7:$V$1418)</f>
        <v>13.5</v>
      </c>
      <c r="AF277" s="142" t="s">
        <v>7455</v>
      </c>
      <c r="AG277" s="142" t="s">
        <v>2705</v>
      </c>
      <c r="AH277" s="142" t="s">
        <v>2705</v>
      </c>
      <c r="AI277" s="142" t="s">
        <v>2675</v>
      </c>
      <c r="AJ277" s="142" t="s">
        <v>2705</v>
      </c>
      <c r="AK277" s="142" t="s">
        <v>2705</v>
      </c>
      <c r="AL277" s="142" t="s">
        <v>2705</v>
      </c>
      <c r="AM277" s="142" t="s">
        <v>2398</v>
      </c>
      <c r="AN277" s="142" t="s">
        <v>2398</v>
      </c>
      <c r="AO277" s="142" t="s">
        <v>2675</v>
      </c>
      <c r="AP277" s="142" t="s">
        <v>2705</v>
      </c>
      <c r="AQ277" s="142" t="s">
        <v>2398</v>
      </c>
      <c r="AR277" s="142" t="s">
        <v>2705</v>
      </c>
      <c r="AS277" s="142" t="s">
        <v>2705</v>
      </c>
      <c r="AT277" s="142" t="s">
        <v>2705</v>
      </c>
      <c r="AU277" s="142" t="s">
        <v>2398</v>
      </c>
      <c r="AV277" s="142" t="s">
        <v>2675</v>
      </c>
      <c r="AW277" s="142" t="s">
        <v>2398</v>
      </c>
      <c r="AX277" s="142" t="s">
        <v>2705</v>
      </c>
      <c r="AY277" s="142" t="s">
        <v>2398</v>
      </c>
      <c r="AZ277" s="142" t="s">
        <v>2398</v>
      </c>
    </row>
    <row r="278" spans="1:52" s="142" customFormat="1" ht="12.75" x14ac:dyDescent="0.2">
      <c r="A278" s="151"/>
      <c r="B278" s="152" t="s">
        <v>2398</v>
      </c>
      <c r="C278" s="152" t="s">
        <v>2398</v>
      </c>
      <c r="D278" s="152" t="s">
        <v>2705</v>
      </c>
      <c r="E278" s="152" t="s">
        <v>2398</v>
      </c>
      <c r="F278" s="152" t="s">
        <v>2705</v>
      </c>
      <c r="G278" s="152" t="s">
        <v>2397</v>
      </c>
      <c r="H278" s="152" t="s">
        <v>2398</v>
      </c>
      <c r="I278" s="152" t="s">
        <v>2705</v>
      </c>
      <c r="J278" s="152" t="s">
        <v>2705</v>
      </c>
      <c r="K278" s="152" t="s">
        <v>2398</v>
      </c>
      <c r="L278" s="152" t="s">
        <v>2398</v>
      </c>
      <c r="M278" s="152" t="s">
        <v>2398</v>
      </c>
      <c r="N278" s="152" t="s">
        <v>2705</v>
      </c>
      <c r="O278" s="152" t="s">
        <v>2705</v>
      </c>
      <c r="P278" s="152" t="s">
        <v>1435</v>
      </c>
      <c r="Q278" s="152" t="s">
        <v>1435</v>
      </c>
      <c r="R278" s="152" t="s">
        <v>2398</v>
      </c>
      <c r="S278" s="152" t="s">
        <v>2398</v>
      </c>
      <c r="T278" s="152" t="s">
        <v>2705</v>
      </c>
      <c r="U278" s="152" t="s">
        <v>2398</v>
      </c>
      <c r="V278" s="142" t="str" cm="1">
        <f t="array" ref="V278">IF(A278&lt;&gt;"",SUM(--(B278:U279 = "X")*$U$3,--(B278:U279 ="A")*$Q$3,--(B278:U279 ="B")*$R$3,--(B278:U279 ="C")*$S$3),"")</f>
        <v/>
      </c>
      <c r="X278" s="437" t="s">
        <v>7586</v>
      </c>
      <c r="Y278" s="437">
        <v>18.5</v>
      </c>
      <c r="Z278" s="436">
        <f>_xlfn.XLOOKUP(answers[[#This Row],[StudentID]],$A$7:$A$1418,$V$7:$V$1418)</f>
        <v>18.5</v>
      </c>
      <c r="AG278" s="142" t="s">
        <v>2398</v>
      </c>
      <c r="AH278" s="142" t="s">
        <v>2398</v>
      </c>
      <c r="AI278" s="142" t="s">
        <v>2705</v>
      </c>
      <c r="AJ278" s="142" t="s">
        <v>2398</v>
      </c>
      <c r="AK278" s="142" t="s">
        <v>2705</v>
      </c>
      <c r="AL278" s="142" t="s">
        <v>2397</v>
      </c>
      <c r="AM278" s="142" t="s">
        <v>2398</v>
      </c>
      <c r="AN278" s="142" t="s">
        <v>2705</v>
      </c>
      <c r="AO278" s="142" t="s">
        <v>2705</v>
      </c>
      <c r="AP278" s="142" t="s">
        <v>2398</v>
      </c>
      <c r="AQ278" s="142" t="s">
        <v>2398</v>
      </c>
      <c r="AR278" s="142" t="s">
        <v>2398</v>
      </c>
      <c r="AS278" s="142" t="s">
        <v>2705</v>
      </c>
      <c r="AT278" s="142" t="s">
        <v>2705</v>
      </c>
      <c r="AU278" s="142" t="s">
        <v>1435</v>
      </c>
      <c r="AV278" s="142" t="s">
        <v>1435</v>
      </c>
      <c r="AW278" s="142" t="s">
        <v>2398</v>
      </c>
      <c r="AX278" s="142" t="s">
        <v>2398</v>
      </c>
      <c r="AY278" s="142" t="s">
        <v>2705</v>
      </c>
      <c r="AZ278" s="142" t="s">
        <v>2398</v>
      </c>
    </row>
    <row r="279" spans="1:52" s="142" customFormat="1" ht="12.75" x14ac:dyDescent="0.2">
      <c r="A279" s="151" t="s">
        <v>7456</v>
      </c>
      <c r="B279" s="152" t="s">
        <v>2397</v>
      </c>
      <c r="C279" s="152" t="s">
        <v>2398</v>
      </c>
      <c r="D279" s="152" t="s">
        <v>2705</v>
      </c>
      <c r="E279" s="152" t="s">
        <v>2398</v>
      </c>
      <c r="F279" s="152" t="s">
        <v>2398</v>
      </c>
      <c r="G279" s="152" t="s">
        <v>2705</v>
      </c>
      <c r="H279" s="152" t="s">
        <v>2398</v>
      </c>
      <c r="I279" s="152" t="s">
        <v>2398</v>
      </c>
      <c r="J279" s="152" t="s">
        <v>2705</v>
      </c>
      <c r="K279" s="152" t="s">
        <v>2398</v>
      </c>
      <c r="L279" s="152" t="s">
        <v>2705</v>
      </c>
      <c r="M279" s="152" t="s">
        <v>2398</v>
      </c>
      <c r="N279" s="152" t="s">
        <v>2705</v>
      </c>
      <c r="O279" s="152" t="s">
        <v>2705</v>
      </c>
      <c r="P279" s="152" t="s">
        <v>2705</v>
      </c>
      <c r="Q279" s="152" t="s">
        <v>2705</v>
      </c>
      <c r="R279" s="152" t="s">
        <v>2397</v>
      </c>
      <c r="S279" s="152" t="s">
        <v>2705</v>
      </c>
      <c r="T279" s="152" t="s">
        <v>2398</v>
      </c>
      <c r="U279" s="152" t="s">
        <v>2398</v>
      </c>
      <c r="V279" s="142" cm="1">
        <f t="array" ref="V279">IF(A279&lt;&gt;"",SUM(--(B279:U280 = "X")*$U$3,--(B279:U280 ="A")*$Q$3,--(B279:U280 ="B")*$R$3,--(B279:U280 ="C")*$S$3),"")</f>
        <v>15</v>
      </c>
      <c r="X279" s="437" t="s">
        <v>7587</v>
      </c>
      <c r="Y279" s="437">
        <v>20.5</v>
      </c>
      <c r="Z279" s="436">
        <f>_xlfn.XLOOKUP(answers[[#This Row],[StudentID]],$A$7:$A$1418,$V$7:$V$1418)</f>
        <v>20.5</v>
      </c>
      <c r="AF279" s="142" t="s">
        <v>7456</v>
      </c>
      <c r="AG279" s="142" t="s">
        <v>2397</v>
      </c>
      <c r="AH279" s="142" t="s">
        <v>2398</v>
      </c>
      <c r="AI279" s="142" t="s">
        <v>2705</v>
      </c>
      <c r="AJ279" s="142" t="s">
        <v>2398</v>
      </c>
      <c r="AK279" s="142" t="s">
        <v>2398</v>
      </c>
      <c r="AL279" s="142" t="s">
        <v>2705</v>
      </c>
      <c r="AM279" s="142" t="s">
        <v>2398</v>
      </c>
      <c r="AN279" s="142" t="s">
        <v>2398</v>
      </c>
      <c r="AO279" s="142" t="s">
        <v>2705</v>
      </c>
      <c r="AP279" s="142" t="s">
        <v>2398</v>
      </c>
      <c r="AQ279" s="142" t="s">
        <v>2705</v>
      </c>
      <c r="AR279" s="142" t="s">
        <v>2398</v>
      </c>
      <c r="AS279" s="142" t="s">
        <v>2705</v>
      </c>
      <c r="AT279" s="142" t="s">
        <v>2705</v>
      </c>
      <c r="AU279" s="142" t="s">
        <v>2705</v>
      </c>
      <c r="AV279" s="142" t="s">
        <v>2705</v>
      </c>
      <c r="AW279" s="142" t="s">
        <v>2397</v>
      </c>
      <c r="AX279" s="142" t="s">
        <v>2705</v>
      </c>
      <c r="AY279" s="142" t="s">
        <v>2398</v>
      </c>
      <c r="AZ279" s="142" t="s">
        <v>2398</v>
      </c>
    </row>
    <row r="280" spans="1:52" s="142" customFormat="1" ht="12.75" x14ac:dyDescent="0.2">
      <c r="A280" s="151"/>
      <c r="B280" s="152" t="s">
        <v>2705</v>
      </c>
      <c r="C280" s="152" t="s">
        <v>2398</v>
      </c>
      <c r="D280" s="152" t="s">
        <v>2398</v>
      </c>
      <c r="E280" s="152" t="s">
        <v>2675</v>
      </c>
      <c r="F280" s="152" t="s">
        <v>2705</v>
      </c>
      <c r="G280" s="152" t="s">
        <v>2398</v>
      </c>
      <c r="H280" s="152" t="s">
        <v>2705</v>
      </c>
      <c r="I280" s="152" t="s">
        <v>2675</v>
      </c>
      <c r="J280" s="152" t="s">
        <v>2397</v>
      </c>
      <c r="K280" s="152" t="s">
        <v>2705</v>
      </c>
      <c r="L280" s="152" t="s">
        <v>2398</v>
      </c>
      <c r="M280" s="152" t="s">
        <v>2705</v>
      </c>
      <c r="N280" s="152" t="s">
        <v>2675</v>
      </c>
      <c r="O280" s="152" t="s">
        <v>2398</v>
      </c>
      <c r="P280" s="152" t="s">
        <v>2705</v>
      </c>
      <c r="Q280" s="152" t="s">
        <v>2705</v>
      </c>
      <c r="R280" s="152" t="s">
        <v>2398</v>
      </c>
      <c r="S280" s="152" t="s">
        <v>1435</v>
      </c>
      <c r="T280" s="152" t="s">
        <v>2705</v>
      </c>
      <c r="U280" s="152" t="s">
        <v>2397</v>
      </c>
      <c r="V280" s="142" t="str" cm="1">
        <f t="array" ref="V280">IF(A280&lt;&gt;"",SUM(--(B280:U281 = "X")*$U$3,--(B280:U281 ="A")*$Q$3,--(B280:U281 ="B")*$R$3,--(B280:U281 ="C")*$S$3),"")</f>
        <v/>
      </c>
      <c r="X280" s="437" t="s">
        <v>7588</v>
      </c>
      <c r="Y280" s="437">
        <v>18.5</v>
      </c>
      <c r="Z280" s="436">
        <f>_xlfn.XLOOKUP(answers[[#This Row],[StudentID]],$A$7:$A$1418,$V$7:$V$1418)</f>
        <v>18.5</v>
      </c>
      <c r="AG280" s="142" t="s">
        <v>2705</v>
      </c>
      <c r="AH280" s="142" t="s">
        <v>2398</v>
      </c>
      <c r="AI280" s="142" t="s">
        <v>2398</v>
      </c>
      <c r="AJ280" s="142" t="s">
        <v>2675</v>
      </c>
      <c r="AK280" s="142" t="s">
        <v>2705</v>
      </c>
      <c r="AL280" s="142" t="s">
        <v>2398</v>
      </c>
      <c r="AM280" s="142" t="s">
        <v>2705</v>
      </c>
      <c r="AN280" s="142" t="s">
        <v>2675</v>
      </c>
      <c r="AO280" s="142" t="s">
        <v>2397</v>
      </c>
      <c r="AP280" s="142" t="s">
        <v>2705</v>
      </c>
      <c r="AQ280" s="142" t="s">
        <v>2398</v>
      </c>
      <c r="AR280" s="142" t="s">
        <v>2705</v>
      </c>
      <c r="AS280" s="142" t="s">
        <v>2675</v>
      </c>
      <c r="AT280" s="142" t="s">
        <v>2398</v>
      </c>
      <c r="AU280" s="142" t="s">
        <v>2705</v>
      </c>
      <c r="AV280" s="142" t="s">
        <v>2705</v>
      </c>
      <c r="AW280" s="142" t="s">
        <v>2398</v>
      </c>
      <c r="AX280" s="142" t="s">
        <v>1435</v>
      </c>
      <c r="AY280" s="142" t="s">
        <v>2705</v>
      </c>
      <c r="AZ280" s="142" t="s">
        <v>2397</v>
      </c>
    </row>
    <row r="281" spans="1:52" s="142" customFormat="1" ht="12.75" x14ac:dyDescent="0.2">
      <c r="A281" s="151" t="s">
        <v>7457</v>
      </c>
      <c r="B281" s="152" t="s">
        <v>2398</v>
      </c>
      <c r="C281" s="152" t="s">
        <v>2398</v>
      </c>
      <c r="D281" s="152" t="s">
        <v>2398</v>
      </c>
      <c r="E281" s="152" t="s">
        <v>2398</v>
      </c>
      <c r="F281" s="152" t="s">
        <v>2398</v>
      </c>
      <c r="G281" s="152" t="s">
        <v>2398</v>
      </c>
      <c r="H281" s="152" t="s">
        <v>2398</v>
      </c>
      <c r="I281" s="152" t="s">
        <v>2398</v>
      </c>
      <c r="J281" s="152" t="s">
        <v>2398</v>
      </c>
      <c r="K281" s="152" t="s">
        <v>2398</v>
      </c>
      <c r="L281" s="152" t="s">
        <v>2675</v>
      </c>
      <c r="M281" s="152" t="s">
        <v>2705</v>
      </c>
      <c r="N281" s="152" t="s">
        <v>2705</v>
      </c>
      <c r="O281" s="152" t="s">
        <v>2705</v>
      </c>
      <c r="P281" s="152" t="s">
        <v>2398</v>
      </c>
      <c r="Q281" s="152" t="s">
        <v>2705</v>
      </c>
      <c r="R281" s="152" t="s">
        <v>1435</v>
      </c>
      <c r="S281" s="152" t="s">
        <v>2705</v>
      </c>
      <c r="T281" s="152" t="s">
        <v>2398</v>
      </c>
      <c r="U281" s="152" t="s">
        <v>2705</v>
      </c>
      <c r="V281" s="142" cm="1">
        <f t="array" ref="V281">IF(A281&lt;&gt;"",SUM(--(B281:U282 = "X")*$U$3,--(B281:U282 ="A")*$Q$3,--(B281:U282 ="B")*$R$3,--(B281:U282 ="C")*$S$3),"")</f>
        <v>12.5</v>
      </c>
      <c r="X281" s="437" t="s">
        <v>7589</v>
      </c>
      <c r="Y281" s="437">
        <v>11.5</v>
      </c>
      <c r="Z281" s="436">
        <f>_xlfn.XLOOKUP(answers[[#This Row],[StudentID]],$A$7:$A$1418,$V$7:$V$1418)</f>
        <v>11.5</v>
      </c>
      <c r="AF281" s="142" t="s">
        <v>7457</v>
      </c>
      <c r="AG281" s="142" t="s">
        <v>2398</v>
      </c>
      <c r="AH281" s="142" t="s">
        <v>2398</v>
      </c>
      <c r="AI281" s="142" t="s">
        <v>2398</v>
      </c>
      <c r="AJ281" s="142" t="s">
        <v>2398</v>
      </c>
      <c r="AK281" s="142" t="s">
        <v>2398</v>
      </c>
      <c r="AL281" s="142" t="s">
        <v>2398</v>
      </c>
      <c r="AM281" s="142" t="s">
        <v>2398</v>
      </c>
      <c r="AN281" s="142" t="s">
        <v>2398</v>
      </c>
      <c r="AO281" s="142" t="s">
        <v>2398</v>
      </c>
      <c r="AP281" s="142" t="s">
        <v>2398</v>
      </c>
      <c r="AQ281" s="142" t="s">
        <v>2675</v>
      </c>
      <c r="AR281" s="142" t="s">
        <v>2705</v>
      </c>
      <c r="AS281" s="142" t="s">
        <v>2705</v>
      </c>
      <c r="AT281" s="142" t="s">
        <v>2705</v>
      </c>
      <c r="AU281" s="142" t="s">
        <v>2398</v>
      </c>
      <c r="AV281" s="142" t="s">
        <v>2705</v>
      </c>
      <c r="AW281" s="142" t="s">
        <v>1435</v>
      </c>
      <c r="AX281" s="142" t="s">
        <v>2705</v>
      </c>
      <c r="AY281" s="142" t="s">
        <v>2398</v>
      </c>
      <c r="AZ281" s="142" t="s">
        <v>2705</v>
      </c>
    </row>
    <row r="282" spans="1:52" s="142" customFormat="1" ht="12.75" x14ac:dyDescent="0.2">
      <c r="A282" s="151"/>
      <c r="B282" s="152" t="s">
        <v>2705</v>
      </c>
      <c r="C282" s="152" t="s">
        <v>2397</v>
      </c>
      <c r="D282" s="152" t="s">
        <v>2398</v>
      </c>
      <c r="E282" s="152" t="s">
        <v>1435</v>
      </c>
      <c r="F282" s="152" t="s">
        <v>2705</v>
      </c>
      <c r="G282" s="152" t="s">
        <v>2705</v>
      </c>
      <c r="H282" s="152" t="s">
        <v>2705</v>
      </c>
      <c r="I282" s="152" t="s">
        <v>2398</v>
      </c>
      <c r="J282" s="152" t="s">
        <v>2398</v>
      </c>
      <c r="K282" s="152" t="s">
        <v>2705</v>
      </c>
      <c r="L282" s="152" t="s">
        <v>2397</v>
      </c>
      <c r="M282" s="152" t="s">
        <v>2705</v>
      </c>
      <c r="N282" s="152" t="s">
        <v>2705</v>
      </c>
      <c r="O282" s="152" t="s">
        <v>2398</v>
      </c>
      <c r="P282" s="152" t="s">
        <v>2398</v>
      </c>
      <c r="Q282" s="152" t="s">
        <v>2398</v>
      </c>
      <c r="R282" s="152" t="s">
        <v>2705</v>
      </c>
      <c r="S282" s="152" t="s">
        <v>2398</v>
      </c>
      <c r="T282" s="152" t="s">
        <v>2397</v>
      </c>
      <c r="U282" s="152" t="s">
        <v>2398</v>
      </c>
      <c r="V282" s="142" t="str" cm="1">
        <f t="array" ref="V282">IF(A282&lt;&gt;"",SUM(--(B282:U283 = "X")*$U$3,--(B282:U283 ="A")*$Q$3,--(B282:U283 ="B")*$R$3,--(B282:U283 ="C")*$S$3),"")</f>
        <v/>
      </c>
      <c r="X282" s="437" t="s">
        <v>7590</v>
      </c>
      <c r="Y282" s="437">
        <v>26</v>
      </c>
      <c r="Z282" s="436">
        <f>_xlfn.XLOOKUP(answers[[#This Row],[StudentID]],$A$7:$A$1418,$V$7:$V$1418)</f>
        <v>26</v>
      </c>
      <c r="AG282" s="142" t="s">
        <v>2705</v>
      </c>
      <c r="AH282" s="142" t="s">
        <v>2397</v>
      </c>
      <c r="AI282" s="142" t="s">
        <v>2398</v>
      </c>
      <c r="AJ282" s="142" t="s">
        <v>1435</v>
      </c>
      <c r="AK282" s="142" t="s">
        <v>2705</v>
      </c>
      <c r="AL282" s="142" t="s">
        <v>2705</v>
      </c>
      <c r="AM282" s="142" t="s">
        <v>2705</v>
      </c>
      <c r="AN282" s="142" t="s">
        <v>2398</v>
      </c>
      <c r="AO282" s="142" t="s">
        <v>2398</v>
      </c>
      <c r="AP282" s="142" t="s">
        <v>2705</v>
      </c>
      <c r="AQ282" s="142" t="s">
        <v>2397</v>
      </c>
      <c r="AR282" s="142" t="s">
        <v>2705</v>
      </c>
      <c r="AS282" s="142" t="s">
        <v>2705</v>
      </c>
      <c r="AT282" s="142" t="s">
        <v>2398</v>
      </c>
      <c r="AU282" s="142" t="s">
        <v>2398</v>
      </c>
      <c r="AV282" s="142" t="s">
        <v>2398</v>
      </c>
      <c r="AW282" s="142" t="s">
        <v>2705</v>
      </c>
      <c r="AX282" s="142" t="s">
        <v>2398</v>
      </c>
      <c r="AY282" s="142" t="s">
        <v>2397</v>
      </c>
      <c r="AZ282" s="142" t="s">
        <v>2398</v>
      </c>
    </row>
    <row r="283" spans="1:52" s="142" customFormat="1" ht="12.75" x14ac:dyDescent="0.2">
      <c r="A283" s="151" t="s">
        <v>7458</v>
      </c>
      <c r="B283" s="152" t="s">
        <v>2705</v>
      </c>
      <c r="C283" s="152" t="s">
        <v>2398</v>
      </c>
      <c r="D283" s="152" t="s">
        <v>2675</v>
      </c>
      <c r="E283" s="152" t="s">
        <v>2705</v>
      </c>
      <c r="F283" s="152" t="s">
        <v>2705</v>
      </c>
      <c r="G283" s="152" t="s">
        <v>2705</v>
      </c>
      <c r="H283" s="152" t="s">
        <v>2705</v>
      </c>
      <c r="I283" s="152" t="s">
        <v>2705</v>
      </c>
      <c r="J283" s="152" t="s">
        <v>2705</v>
      </c>
      <c r="K283" s="152" t="s">
        <v>2675</v>
      </c>
      <c r="L283" s="152" t="s">
        <v>2705</v>
      </c>
      <c r="M283" s="152" t="s">
        <v>2705</v>
      </c>
      <c r="N283" s="152" t="s">
        <v>2705</v>
      </c>
      <c r="O283" s="152" t="s">
        <v>2705</v>
      </c>
      <c r="P283" s="152" t="s">
        <v>2705</v>
      </c>
      <c r="Q283" s="152" t="s">
        <v>2705</v>
      </c>
      <c r="R283" s="152" t="s">
        <v>2705</v>
      </c>
      <c r="S283" s="152" t="s">
        <v>2705</v>
      </c>
      <c r="T283" s="152" t="s">
        <v>2705</v>
      </c>
      <c r="U283" s="152" t="s">
        <v>2705</v>
      </c>
      <c r="V283" s="142" cm="1">
        <f t="array" ref="V283">IF(A283&lt;&gt;"",SUM(--(B283:U284 = "X")*$U$3,--(B283:U284 ="A")*$Q$3,--(B283:U284 ="B")*$R$3,--(B283:U284 ="C")*$S$3),"")</f>
        <v>30.5</v>
      </c>
      <c r="X283" s="437" t="s">
        <v>7591</v>
      </c>
      <c r="Y283" s="437">
        <v>18</v>
      </c>
      <c r="Z283" s="436">
        <f>_xlfn.XLOOKUP(answers[[#This Row],[StudentID]],$A$7:$A$1418,$V$7:$V$1418)</f>
        <v>18</v>
      </c>
      <c r="AF283" s="142" t="s">
        <v>7458</v>
      </c>
      <c r="AG283" s="142" t="s">
        <v>2705</v>
      </c>
      <c r="AH283" s="142" t="s">
        <v>2398</v>
      </c>
      <c r="AI283" s="142" t="s">
        <v>2675</v>
      </c>
      <c r="AJ283" s="142" t="s">
        <v>2705</v>
      </c>
      <c r="AK283" s="142" t="s">
        <v>2705</v>
      </c>
      <c r="AL283" s="142" t="s">
        <v>2705</v>
      </c>
      <c r="AM283" s="142" t="s">
        <v>2705</v>
      </c>
      <c r="AN283" s="142" t="s">
        <v>2705</v>
      </c>
      <c r="AO283" s="142" t="s">
        <v>2705</v>
      </c>
      <c r="AP283" s="142" t="s">
        <v>2675</v>
      </c>
      <c r="AQ283" s="142" t="s">
        <v>2705</v>
      </c>
      <c r="AR283" s="142" t="s">
        <v>2705</v>
      </c>
      <c r="AS283" s="142" t="s">
        <v>2705</v>
      </c>
      <c r="AT283" s="142" t="s">
        <v>2705</v>
      </c>
      <c r="AU283" s="142" t="s">
        <v>2705</v>
      </c>
      <c r="AV283" s="142" t="s">
        <v>2705</v>
      </c>
      <c r="AW283" s="142" t="s">
        <v>2705</v>
      </c>
      <c r="AX283" s="142" t="s">
        <v>2705</v>
      </c>
      <c r="AY283" s="142" t="s">
        <v>2705</v>
      </c>
      <c r="AZ283" s="142" t="s">
        <v>2705</v>
      </c>
    </row>
    <row r="284" spans="1:52" s="142" customFormat="1" ht="12.75" x14ac:dyDescent="0.2">
      <c r="A284" s="151"/>
      <c r="B284" s="152" t="s">
        <v>2705</v>
      </c>
      <c r="C284" s="152" t="s">
        <v>2705</v>
      </c>
      <c r="D284" s="152" t="s">
        <v>1435</v>
      </c>
      <c r="E284" s="152" t="s">
        <v>1435</v>
      </c>
      <c r="F284" s="152" t="s">
        <v>2705</v>
      </c>
      <c r="G284" s="152" t="s">
        <v>1435</v>
      </c>
      <c r="H284" s="152" t="s">
        <v>2705</v>
      </c>
      <c r="I284" s="152" t="s">
        <v>2705</v>
      </c>
      <c r="J284" s="152" t="s">
        <v>2705</v>
      </c>
      <c r="K284" s="152" t="s">
        <v>2705</v>
      </c>
      <c r="L284" s="152" t="s">
        <v>2397</v>
      </c>
      <c r="M284" s="152" t="s">
        <v>2705</v>
      </c>
      <c r="N284" s="152" t="s">
        <v>2705</v>
      </c>
      <c r="O284" s="152" t="s">
        <v>2705</v>
      </c>
      <c r="P284" s="152" t="s">
        <v>2705</v>
      </c>
      <c r="Q284" s="152" t="s">
        <v>2705</v>
      </c>
      <c r="R284" s="152" t="s">
        <v>2705</v>
      </c>
      <c r="S284" s="152" t="s">
        <v>2705</v>
      </c>
      <c r="T284" s="152" t="s">
        <v>2705</v>
      </c>
      <c r="U284" s="152" t="s">
        <v>2705</v>
      </c>
      <c r="V284" s="142" t="str" cm="1">
        <f t="array" ref="V284">IF(A284&lt;&gt;"",SUM(--(B284:U285 = "X")*$U$3,--(B284:U285 ="A")*$Q$3,--(B284:U285 ="B")*$R$3,--(B284:U285 ="C")*$S$3),"")</f>
        <v/>
      </c>
      <c r="X284" s="437" t="s">
        <v>7592</v>
      </c>
      <c r="Y284" s="437">
        <v>20</v>
      </c>
      <c r="Z284" s="436">
        <f>_xlfn.XLOOKUP(answers[[#This Row],[StudentID]],$A$7:$A$1418,$V$7:$V$1418)</f>
        <v>20</v>
      </c>
      <c r="AG284" s="142" t="s">
        <v>2705</v>
      </c>
      <c r="AH284" s="142" t="s">
        <v>2705</v>
      </c>
      <c r="AI284" s="142" t="s">
        <v>1435</v>
      </c>
      <c r="AJ284" s="142" t="s">
        <v>1435</v>
      </c>
      <c r="AK284" s="142" t="s">
        <v>2705</v>
      </c>
      <c r="AL284" s="142" t="s">
        <v>1435</v>
      </c>
      <c r="AM284" s="142" t="s">
        <v>2705</v>
      </c>
      <c r="AN284" s="142" t="s">
        <v>2705</v>
      </c>
      <c r="AO284" s="142" t="s">
        <v>2705</v>
      </c>
      <c r="AP284" s="142" t="s">
        <v>2705</v>
      </c>
      <c r="AQ284" s="142" t="s">
        <v>2397</v>
      </c>
      <c r="AR284" s="142" t="s">
        <v>2705</v>
      </c>
      <c r="AS284" s="142" t="s">
        <v>2705</v>
      </c>
      <c r="AT284" s="142" t="s">
        <v>2705</v>
      </c>
      <c r="AU284" s="142" t="s">
        <v>2705</v>
      </c>
      <c r="AV284" s="142" t="s">
        <v>2705</v>
      </c>
      <c r="AW284" s="142" t="s">
        <v>2705</v>
      </c>
      <c r="AX284" s="142" t="s">
        <v>2705</v>
      </c>
      <c r="AY284" s="142" t="s">
        <v>2705</v>
      </c>
      <c r="AZ284" s="142" t="s">
        <v>2705</v>
      </c>
    </row>
    <row r="285" spans="1:52" s="142" customFormat="1" ht="12.75" x14ac:dyDescent="0.2">
      <c r="A285" s="151" t="s">
        <v>7459</v>
      </c>
      <c r="B285" s="152" t="s">
        <v>2705</v>
      </c>
      <c r="C285" s="152" t="s">
        <v>2398</v>
      </c>
      <c r="D285" s="152" t="s">
        <v>2398</v>
      </c>
      <c r="E285" s="152" t="s">
        <v>2398</v>
      </c>
      <c r="F285" s="152" t="s">
        <v>2705</v>
      </c>
      <c r="G285" s="152" t="s">
        <v>2705</v>
      </c>
      <c r="H285" s="152" t="s">
        <v>1435</v>
      </c>
      <c r="I285" s="152" t="s">
        <v>2398</v>
      </c>
      <c r="J285" s="152" t="s">
        <v>1435</v>
      </c>
      <c r="K285" s="152" t="s">
        <v>2705</v>
      </c>
      <c r="L285" s="152" t="s">
        <v>2398</v>
      </c>
      <c r="M285" s="152" t="s">
        <v>2705</v>
      </c>
      <c r="N285" s="152" t="s">
        <v>2398</v>
      </c>
      <c r="O285" s="152" t="s">
        <v>2398</v>
      </c>
      <c r="P285" s="152" t="s">
        <v>1435</v>
      </c>
      <c r="Q285" s="152" t="s">
        <v>2705</v>
      </c>
      <c r="R285" s="152" t="s">
        <v>1435</v>
      </c>
      <c r="S285" s="152" t="s">
        <v>2705</v>
      </c>
      <c r="T285" s="152" t="s">
        <v>1435</v>
      </c>
      <c r="U285" s="152" t="s">
        <v>2397</v>
      </c>
      <c r="V285" s="142" cm="1">
        <f t="array" ref="V285">IF(A285&lt;&gt;"",SUM(--(B285:U286 = "X")*$U$3,--(B285:U286 ="A")*$Q$3,--(B285:U286 ="B")*$R$3,--(B285:U286 ="C")*$S$3),"")</f>
        <v>10</v>
      </c>
      <c r="X285" s="437" t="s">
        <v>7593</v>
      </c>
      <c r="Y285" s="437">
        <v>21</v>
      </c>
      <c r="Z285" s="436">
        <f>_xlfn.XLOOKUP(answers[[#This Row],[StudentID]],$A$7:$A$1418,$V$7:$V$1418)</f>
        <v>21</v>
      </c>
      <c r="AF285" s="142" t="s">
        <v>7459</v>
      </c>
      <c r="AG285" s="142" t="s">
        <v>2705</v>
      </c>
      <c r="AH285" s="142" t="s">
        <v>2398</v>
      </c>
      <c r="AI285" s="142" t="s">
        <v>2398</v>
      </c>
      <c r="AJ285" s="142" t="s">
        <v>2398</v>
      </c>
      <c r="AK285" s="142" t="s">
        <v>2705</v>
      </c>
      <c r="AL285" s="142" t="s">
        <v>2705</v>
      </c>
      <c r="AM285" s="142" t="s">
        <v>1435</v>
      </c>
      <c r="AN285" s="142" t="s">
        <v>2398</v>
      </c>
      <c r="AO285" s="142" t="s">
        <v>1435</v>
      </c>
      <c r="AP285" s="142" t="s">
        <v>2705</v>
      </c>
      <c r="AQ285" s="142" t="s">
        <v>2398</v>
      </c>
      <c r="AR285" s="142" t="s">
        <v>2705</v>
      </c>
      <c r="AS285" s="142" t="s">
        <v>2398</v>
      </c>
      <c r="AT285" s="142" t="s">
        <v>2398</v>
      </c>
      <c r="AU285" s="142" t="s">
        <v>1435</v>
      </c>
      <c r="AV285" s="142" t="s">
        <v>2705</v>
      </c>
      <c r="AW285" s="142" t="s">
        <v>1435</v>
      </c>
      <c r="AX285" s="142" t="s">
        <v>2705</v>
      </c>
      <c r="AY285" s="142" t="s">
        <v>1435</v>
      </c>
      <c r="AZ285" s="142" t="s">
        <v>2397</v>
      </c>
    </row>
    <row r="286" spans="1:52" s="142" customFormat="1" ht="12.75" x14ac:dyDescent="0.2">
      <c r="A286" s="151"/>
      <c r="B286" s="152" t="s">
        <v>2705</v>
      </c>
      <c r="C286" s="152" t="s">
        <v>2398</v>
      </c>
      <c r="D286" s="152" t="s">
        <v>2398</v>
      </c>
      <c r="E286" s="152" t="s">
        <v>2398</v>
      </c>
      <c r="F286" s="152" t="s">
        <v>2398</v>
      </c>
      <c r="G286" s="152" t="s">
        <v>2675</v>
      </c>
      <c r="H286" s="152" t="s">
        <v>2705</v>
      </c>
      <c r="I286" s="152" t="s">
        <v>1435</v>
      </c>
      <c r="J286" s="152" t="s">
        <v>2398</v>
      </c>
      <c r="K286" s="152" t="s">
        <v>2705</v>
      </c>
      <c r="L286" s="152" t="s">
        <v>2398</v>
      </c>
      <c r="M286" s="152" t="s">
        <v>2398</v>
      </c>
      <c r="N286" s="152" t="s">
        <v>2705</v>
      </c>
      <c r="O286" s="152" t="s">
        <v>2398</v>
      </c>
      <c r="P286" s="152" t="s">
        <v>2675</v>
      </c>
      <c r="Q286" s="152" t="s">
        <v>2398</v>
      </c>
      <c r="R286" s="152" t="s">
        <v>2705</v>
      </c>
      <c r="S286" s="152" t="s">
        <v>2705</v>
      </c>
      <c r="T286" s="152" t="s">
        <v>2705</v>
      </c>
      <c r="U286" s="152" t="s">
        <v>2398</v>
      </c>
      <c r="V286" s="142" t="str" cm="1">
        <f t="array" ref="V286">IF(A286&lt;&gt;"",SUM(--(B286:U287 = "X")*$U$3,--(B286:U287 ="A")*$Q$3,--(B286:U287 ="B")*$R$3,--(B286:U287 ="C")*$S$3),"")</f>
        <v/>
      </c>
      <c r="X286" s="437" t="s">
        <v>7594</v>
      </c>
      <c r="Y286" s="437">
        <v>14</v>
      </c>
      <c r="Z286" s="436">
        <f>_xlfn.XLOOKUP(answers[[#This Row],[StudentID]],$A$7:$A$1418,$V$7:$V$1418)</f>
        <v>14</v>
      </c>
      <c r="AG286" s="142" t="s">
        <v>2705</v>
      </c>
      <c r="AH286" s="142" t="s">
        <v>2398</v>
      </c>
      <c r="AI286" s="142" t="s">
        <v>2398</v>
      </c>
      <c r="AJ286" s="142" t="s">
        <v>2398</v>
      </c>
      <c r="AK286" s="142" t="s">
        <v>2398</v>
      </c>
      <c r="AL286" s="142" t="s">
        <v>2675</v>
      </c>
      <c r="AM286" s="142" t="s">
        <v>2705</v>
      </c>
      <c r="AN286" s="142" t="s">
        <v>1435</v>
      </c>
      <c r="AO286" s="142" t="s">
        <v>2398</v>
      </c>
      <c r="AP286" s="142" t="s">
        <v>2705</v>
      </c>
      <c r="AQ286" s="142" t="s">
        <v>2398</v>
      </c>
      <c r="AR286" s="142" t="s">
        <v>2398</v>
      </c>
      <c r="AS286" s="142" t="s">
        <v>2705</v>
      </c>
      <c r="AT286" s="142" t="s">
        <v>2398</v>
      </c>
      <c r="AU286" s="142" t="s">
        <v>2675</v>
      </c>
      <c r="AV286" s="142" t="s">
        <v>2398</v>
      </c>
      <c r="AW286" s="142" t="s">
        <v>2705</v>
      </c>
      <c r="AX286" s="142" t="s">
        <v>2705</v>
      </c>
      <c r="AY286" s="142" t="s">
        <v>2705</v>
      </c>
      <c r="AZ286" s="142" t="s">
        <v>2398</v>
      </c>
    </row>
    <row r="287" spans="1:52" s="142" customFormat="1" ht="12.75" x14ac:dyDescent="0.2">
      <c r="A287" s="151" t="s">
        <v>7460</v>
      </c>
      <c r="B287" s="152" t="s">
        <v>2398</v>
      </c>
      <c r="C287" s="152" t="s">
        <v>2397</v>
      </c>
      <c r="D287" s="152" t="s">
        <v>2675</v>
      </c>
      <c r="E287" s="152" t="s">
        <v>1435</v>
      </c>
      <c r="F287" s="152" t="s">
        <v>2398</v>
      </c>
      <c r="G287" s="152" t="s">
        <v>1435</v>
      </c>
      <c r="H287" s="152" t="s">
        <v>2397</v>
      </c>
      <c r="I287" s="152" t="s">
        <v>2397</v>
      </c>
      <c r="J287" s="152" t="s">
        <v>2675</v>
      </c>
      <c r="K287" s="152" t="s">
        <v>1435</v>
      </c>
      <c r="L287" s="152" t="s">
        <v>2705</v>
      </c>
      <c r="M287" s="152" t="s">
        <v>2398</v>
      </c>
      <c r="N287" s="152" t="s">
        <v>1435</v>
      </c>
      <c r="O287" s="152" t="s">
        <v>2705</v>
      </c>
      <c r="P287" s="152" t="s">
        <v>2397</v>
      </c>
      <c r="Q287" s="152" t="s">
        <v>1435</v>
      </c>
      <c r="R287" s="152" t="s">
        <v>2675</v>
      </c>
      <c r="S287" s="152" t="s">
        <v>2675</v>
      </c>
      <c r="T287" s="152" t="s">
        <v>2705</v>
      </c>
      <c r="U287" s="152" t="s">
        <v>1435</v>
      </c>
      <c r="V287" s="142" cm="1">
        <f t="array" ref="V287">IF(A287&lt;&gt;"",SUM(--(B287:U288 = "X")*$U$3,--(B287:U288 ="A")*$Q$3,--(B287:U288 ="B")*$R$3,--(B287:U288 ="C")*$S$3),"")</f>
        <v>-2.5</v>
      </c>
      <c r="X287" s="437" t="s">
        <v>7595</v>
      </c>
      <c r="Y287" s="437">
        <v>18</v>
      </c>
      <c r="Z287" s="436">
        <f>_xlfn.XLOOKUP(answers[[#This Row],[StudentID]],$A$7:$A$1418,$V$7:$V$1418)</f>
        <v>18</v>
      </c>
      <c r="AF287" s="142" t="s">
        <v>7460</v>
      </c>
      <c r="AG287" s="142" t="s">
        <v>2398</v>
      </c>
      <c r="AH287" s="142" t="s">
        <v>2397</v>
      </c>
      <c r="AI287" s="142" t="s">
        <v>2675</v>
      </c>
      <c r="AJ287" s="142" t="s">
        <v>1435</v>
      </c>
      <c r="AK287" s="142" t="s">
        <v>2398</v>
      </c>
      <c r="AL287" s="142" t="s">
        <v>1435</v>
      </c>
      <c r="AM287" s="142" t="s">
        <v>2397</v>
      </c>
      <c r="AN287" s="142" t="s">
        <v>2397</v>
      </c>
      <c r="AO287" s="142" t="s">
        <v>2675</v>
      </c>
      <c r="AP287" s="142" t="s">
        <v>1435</v>
      </c>
      <c r="AQ287" s="142" t="s">
        <v>2705</v>
      </c>
      <c r="AR287" s="142" t="s">
        <v>2398</v>
      </c>
      <c r="AS287" s="142" t="s">
        <v>1435</v>
      </c>
      <c r="AT287" s="142" t="s">
        <v>2705</v>
      </c>
      <c r="AU287" s="142" t="s">
        <v>2397</v>
      </c>
      <c r="AV287" s="142" t="s">
        <v>1435</v>
      </c>
      <c r="AW287" s="142" t="s">
        <v>2675</v>
      </c>
      <c r="AX287" s="142" t="s">
        <v>2675</v>
      </c>
      <c r="AY287" s="142" t="s">
        <v>2705</v>
      </c>
      <c r="AZ287" s="142" t="s">
        <v>1435</v>
      </c>
    </row>
    <row r="288" spans="1:52" s="142" customFormat="1" ht="12.75" x14ac:dyDescent="0.2">
      <c r="A288" s="151"/>
      <c r="B288" s="152" t="s">
        <v>2398</v>
      </c>
      <c r="C288" s="152" t="s">
        <v>2398</v>
      </c>
      <c r="D288" s="152" t="s">
        <v>2675</v>
      </c>
      <c r="E288" s="152" t="s">
        <v>2398</v>
      </c>
      <c r="F288" s="152" t="s">
        <v>2705</v>
      </c>
      <c r="G288" s="152" t="s">
        <v>2705</v>
      </c>
      <c r="H288" s="152" t="s">
        <v>1435</v>
      </c>
      <c r="I288" s="152" t="s">
        <v>2398</v>
      </c>
      <c r="J288" s="152" t="s">
        <v>2398</v>
      </c>
      <c r="K288" s="152" t="s">
        <v>2675</v>
      </c>
      <c r="L288" s="152" t="s">
        <v>1435</v>
      </c>
      <c r="M288" s="152" t="s">
        <v>2398</v>
      </c>
      <c r="N288" s="152" t="s">
        <v>1435</v>
      </c>
      <c r="O288" s="152" t="s">
        <v>2705</v>
      </c>
      <c r="P288" s="152" t="s">
        <v>2397</v>
      </c>
      <c r="Q288" s="152" t="s">
        <v>1435</v>
      </c>
      <c r="R288" s="152" t="s">
        <v>2398</v>
      </c>
      <c r="S288" s="152" t="s">
        <v>2398</v>
      </c>
      <c r="T288" s="152" t="s">
        <v>1435</v>
      </c>
      <c r="U288" s="152" t="s">
        <v>2398</v>
      </c>
      <c r="V288" s="142" t="str" cm="1">
        <f t="array" ref="V288">IF(A288&lt;&gt;"",SUM(--(B288:U289 = "X")*$U$3,--(B288:U289 ="A")*$Q$3,--(B288:U289 ="B")*$R$3,--(B288:U289 ="C")*$S$3),"")</f>
        <v/>
      </c>
      <c r="X288" s="437" t="s">
        <v>7596</v>
      </c>
      <c r="Y288" s="437">
        <v>21.5</v>
      </c>
      <c r="Z288" s="436">
        <f>_xlfn.XLOOKUP(answers[[#This Row],[StudentID]],$A$7:$A$1418,$V$7:$V$1418)</f>
        <v>21.5</v>
      </c>
      <c r="AG288" s="142" t="s">
        <v>2398</v>
      </c>
      <c r="AH288" s="142" t="s">
        <v>2398</v>
      </c>
      <c r="AI288" s="142" t="s">
        <v>2675</v>
      </c>
      <c r="AJ288" s="142" t="s">
        <v>2398</v>
      </c>
      <c r="AK288" s="142" t="s">
        <v>2705</v>
      </c>
      <c r="AL288" s="142" t="s">
        <v>2705</v>
      </c>
      <c r="AM288" s="142" t="s">
        <v>1435</v>
      </c>
      <c r="AN288" s="142" t="s">
        <v>2398</v>
      </c>
      <c r="AO288" s="142" t="s">
        <v>2398</v>
      </c>
      <c r="AP288" s="142" t="s">
        <v>2675</v>
      </c>
      <c r="AQ288" s="142" t="s">
        <v>1435</v>
      </c>
      <c r="AR288" s="142" t="s">
        <v>2398</v>
      </c>
      <c r="AS288" s="142" t="s">
        <v>1435</v>
      </c>
      <c r="AT288" s="142" t="s">
        <v>2705</v>
      </c>
      <c r="AU288" s="142" t="s">
        <v>2397</v>
      </c>
      <c r="AV288" s="142" t="s">
        <v>1435</v>
      </c>
      <c r="AW288" s="142" t="s">
        <v>2398</v>
      </c>
      <c r="AX288" s="142" t="s">
        <v>2398</v>
      </c>
      <c r="AY288" s="142" t="s">
        <v>1435</v>
      </c>
      <c r="AZ288" s="142" t="s">
        <v>2398</v>
      </c>
    </row>
    <row r="289" spans="1:52" s="142" customFormat="1" ht="12.75" x14ac:dyDescent="0.2">
      <c r="A289" s="151" t="s">
        <v>7461</v>
      </c>
      <c r="B289" s="152" t="s">
        <v>2705</v>
      </c>
      <c r="C289" s="152" t="s">
        <v>2398</v>
      </c>
      <c r="D289" s="152" t="s">
        <v>2705</v>
      </c>
      <c r="E289" s="152" t="s">
        <v>2705</v>
      </c>
      <c r="F289" s="152" t="s">
        <v>1435</v>
      </c>
      <c r="G289" s="152" t="s">
        <v>2705</v>
      </c>
      <c r="H289" s="152" t="s">
        <v>2398</v>
      </c>
      <c r="I289" s="152" t="s">
        <v>2675</v>
      </c>
      <c r="J289" s="152" t="s">
        <v>2398</v>
      </c>
      <c r="K289" s="152" t="s">
        <v>2398</v>
      </c>
      <c r="L289" s="152" t="s">
        <v>2705</v>
      </c>
      <c r="M289" s="152" t="s">
        <v>2705</v>
      </c>
      <c r="N289" s="152" t="s">
        <v>1435</v>
      </c>
      <c r="O289" s="152" t="s">
        <v>1435</v>
      </c>
      <c r="P289" s="152" t="s">
        <v>2675</v>
      </c>
      <c r="Q289" s="152" t="s">
        <v>1435</v>
      </c>
      <c r="R289" s="152" t="s">
        <v>2675</v>
      </c>
      <c r="S289" s="152" t="s">
        <v>2705</v>
      </c>
      <c r="T289" s="152" t="s">
        <v>2705</v>
      </c>
      <c r="U289" s="152" t="s">
        <v>2398</v>
      </c>
      <c r="V289" s="142" cm="1">
        <f t="array" ref="V289">IF(A289&lt;&gt;"",SUM(--(B289:U290 = "X")*$U$3,--(B289:U290 ="A")*$Q$3,--(B289:U290 ="B")*$R$3,--(B289:U290 ="C")*$S$3),"")</f>
        <v>12.5</v>
      </c>
      <c r="X289" s="437" t="s">
        <v>7597</v>
      </c>
      <c r="Y289" s="437">
        <v>17.5</v>
      </c>
      <c r="Z289" s="436">
        <f>_xlfn.XLOOKUP(answers[[#This Row],[StudentID]],$A$7:$A$1418,$V$7:$V$1418)</f>
        <v>17.5</v>
      </c>
      <c r="AF289" s="142" t="s">
        <v>7461</v>
      </c>
      <c r="AG289" s="142" t="s">
        <v>2705</v>
      </c>
      <c r="AH289" s="142" t="s">
        <v>2398</v>
      </c>
      <c r="AI289" s="142" t="s">
        <v>2705</v>
      </c>
      <c r="AJ289" s="142" t="s">
        <v>2705</v>
      </c>
      <c r="AK289" s="142" t="s">
        <v>1435</v>
      </c>
      <c r="AL289" s="142" t="s">
        <v>2705</v>
      </c>
      <c r="AM289" s="142" t="s">
        <v>2398</v>
      </c>
      <c r="AN289" s="142" t="s">
        <v>2675</v>
      </c>
      <c r="AO289" s="142" t="s">
        <v>2398</v>
      </c>
      <c r="AP289" s="142" t="s">
        <v>2398</v>
      </c>
      <c r="AQ289" s="142" t="s">
        <v>2705</v>
      </c>
      <c r="AR289" s="142" t="s">
        <v>2705</v>
      </c>
      <c r="AS289" s="142" t="s">
        <v>1435</v>
      </c>
      <c r="AT289" s="142" t="s">
        <v>1435</v>
      </c>
      <c r="AU289" s="142" t="s">
        <v>2675</v>
      </c>
      <c r="AV289" s="142" t="s">
        <v>1435</v>
      </c>
      <c r="AW289" s="142" t="s">
        <v>2675</v>
      </c>
      <c r="AX289" s="142" t="s">
        <v>2705</v>
      </c>
      <c r="AY289" s="142" t="s">
        <v>2705</v>
      </c>
      <c r="AZ289" s="142" t="s">
        <v>2398</v>
      </c>
    </row>
    <row r="290" spans="1:52" s="142" customFormat="1" ht="12.75" x14ac:dyDescent="0.2">
      <c r="A290" s="151"/>
      <c r="B290" s="152" t="s">
        <v>2705</v>
      </c>
      <c r="C290" s="152" t="s">
        <v>2705</v>
      </c>
      <c r="D290" s="152" t="s">
        <v>2705</v>
      </c>
      <c r="E290" s="152" t="s">
        <v>2705</v>
      </c>
      <c r="F290" s="152" t="s">
        <v>2398</v>
      </c>
      <c r="G290" s="152" t="s">
        <v>2705</v>
      </c>
      <c r="H290" s="152" t="s">
        <v>2675</v>
      </c>
      <c r="I290" s="152" t="s">
        <v>2705</v>
      </c>
      <c r="J290" s="152" t="s">
        <v>2705</v>
      </c>
      <c r="K290" s="152" t="s">
        <v>2675</v>
      </c>
      <c r="L290" s="152" t="s">
        <v>2398</v>
      </c>
      <c r="M290" s="152" t="s">
        <v>2398</v>
      </c>
      <c r="N290" s="152" t="s">
        <v>1435</v>
      </c>
      <c r="O290" s="152" t="s">
        <v>2705</v>
      </c>
      <c r="P290" s="152" t="s">
        <v>2705</v>
      </c>
      <c r="Q290" s="152" t="s">
        <v>1435</v>
      </c>
      <c r="R290" s="152" t="s">
        <v>2398</v>
      </c>
      <c r="S290" s="152" t="s">
        <v>2398</v>
      </c>
      <c r="T290" s="152" t="s">
        <v>2705</v>
      </c>
      <c r="U290" s="152" t="s">
        <v>2398</v>
      </c>
      <c r="V290" s="142" t="str" cm="1">
        <f t="array" ref="V290">IF(A290&lt;&gt;"",SUM(--(B290:U291 = "X")*$U$3,--(B290:U291 ="A")*$Q$3,--(B290:U291 ="B")*$R$3,--(B290:U291 ="C")*$S$3),"")</f>
        <v/>
      </c>
      <c r="X290" s="437" t="s">
        <v>7598</v>
      </c>
      <c r="Y290" s="437">
        <v>17</v>
      </c>
      <c r="Z290" s="436">
        <f>_xlfn.XLOOKUP(answers[[#This Row],[StudentID]],$A$7:$A$1418,$V$7:$V$1418)</f>
        <v>17</v>
      </c>
      <c r="AG290" s="142" t="s">
        <v>2705</v>
      </c>
      <c r="AH290" s="142" t="s">
        <v>2705</v>
      </c>
      <c r="AI290" s="142" t="s">
        <v>2705</v>
      </c>
      <c r="AJ290" s="142" t="s">
        <v>2705</v>
      </c>
      <c r="AK290" s="142" t="s">
        <v>2398</v>
      </c>
      <c r="AL290" s="142" t="s">
        <v>2705</v>
      </c>
      <c r="AM290" s="142" t="s">
        <v>2675</v>
      </c>
      <c r="AN290" s="142" t="s">
        <v>2705</v>
      </c>
      <c r="AO290" s="142" t="s">
        <v>2705</v>
      </c>
      <c r="AP290" s="142" t="s">
        <v>2675</v>
      </c>
      <c r="AQ290" s="142" t="s">
        <v>2398</v>
      </c>
      <c r="AR290" s="142" t="s">
        <v>2398</v>
      </c>
      <c r="AS290" s="142" t="s">
        <v>1435</v>
      </c>
      <c r="AT290" s="142" t="s">
        <v>2705</v>
      </c>
      <c r="AU290" s="142" t="s">
        <v>2705</v>
      </c>
      <c r="AV290" s="142" t="s">
        <v>1435</v>
      </c>
      <c r="AW290" s="142" t="s">
        <v>2398</v>
      </c>
      <c r="AX290" s="142" t="s">
        <v>2398</v>
      </c>
      <c r="AY290" s="142" t="s">
        <v>2705</v>
      </c>
      <c r="AZ290" s="142" t="s">
        <v>2398</v>
      </c>
    </row>
    <row r="291" spans="1:52" s="142" customFormat="1" ht="12.75" x14ac:dyDescent="0.2">
      <c r="A291" s="151" t="s">
        <v>7462</v>
      </c>
      <c r="B291" s="152" t="s">
        <v>2705</v>
      </c>
      <c r="C291" s="152" t="s">
        <v>2705</v>
      </c>
      <c r="D291" s="152" t="s">
        <v>2675</v>
      </c>
      <c r="E291" s="152" t="s">
        <v>2705</v>
      </c>
      <c r="F291" s="152" t="s">
        <v>2398</v>
      </c>
      <c r="G291" s="152" t="s">
        <v>2705</v>
      </c>
      <c r="H291" s="152" t="s">
        <v>2705</v>
      </c>
      <c r="I291" s="152" t="s">
        <v>2397</v>
      </c>
      <c r="J291" s="152" t="s">
        <v>2705</v>
      </c>
      <c r="K291" s="152" t="s">
        <v>2675</v>
      </c>
      <c r="L291" s="152" t="s">
        <v>2705</v>
      </c>
      <c r="M291" s="152" t="s">
        <v>2705</v>
      </c>
      <c r="N291" s="152" t="s">
        <v>2705</v>
      </c>
      <c r="O291" s="152" t="s">
        <v>2675</v>
      </c>
      <c r="P291" s="152" t="s">
        <v>2705</v>
      </c>
      <c r="Q291" s="152" t="s">
        <v>2705</v>
      </c>
      <c r="R291" s="152" t="s">
        <v>2705</v>
      </c>
      <c r="S291" s="152" t="s">
        <v>2705</v>
      </c>
      <c r="T291" s="152" t="s">
        <v>2398</v>
      </c>
      <c r="U291" s="152" t="s">
        <v>2705</v>
      </c>
      <c r="V291" s="142" cm="1">
        <f t="array" ref="V291">IF(A291&lt;&gt;"",SUM(--(B291:U292 = "X")*$U$3,--(B291:U292 ="A")*$Q$3,--(B291:U292 ="B")*$R$3,--(B291:U292 ="C")*$S$3),"")</f>
        <v>22.5</v>
      </c>
      <c r="X291" s="437" t="s">
        <v>7599</v>
      </c>
      <c r="Y291" s="437">
        <v>22</v>
      </c>
      <c r="Z291" s="436">
        <f>_xlfn.XLOOKUP(answers[[#This Row],[StudentID]],$A$7:$A$1418,$V$7:$V$1418)</f>
        <v>22</v>
      </c>
      <c r="AF291" s="142" t="s">
        <v>7462</v>
      </c>
      <c r="AG291" s="142" t="s">
        <v>2705</v>
      </c>
      <c r="AH291" s="142" t="s">
        <v>2705</v>
      </c>
      <c r="AI291" s="142" t="s">
        <v>2675</v>
      </c>
      <c r="AJ291" s="142" t="s">
        <v>2705</v>
      </c>
      <c r="AK291" s="142" t="s">
        <v>2398</v>
      </c>
      <c r="AL291" s="142" t="s">
        <v>2705</v>
      </c>
      <c r="AM291" s="142" t="s">
        <v>2705</v>
      </c>
      <c r="AN291" s="142" t="s">
        <v>2397</v>
      </c>
      <c r="AO291" s="142" t="s">
        <v>2705</v>
      </c>
      <c r="AP291" s="142" t="s">
        <v>2675</v>
      </c>
      <c r="AQ291" s="142" t="s">
        <v>2705</v>
      </c>
      <c r="AR291" s="142" t="s">
        <v>2705</v>
      </c>
      <c r="AS291" s="142" t="s">
        <v>2705</v>
      </c>
      <c r="AT291" s="142" t="s">
        <v>2675</v>
      </c>
      <c r="AU291" s="142" t="s">
        <v>2705</v>
      </c>
      <c r="AV291" s="142" t="s">
        <v>2705</v>
      </c>
      <c r="AW291" s="142" t="s">
        <v>2705</v>
      </c>
      <c r="AX291" s="142" t="s">
        <v>2705</v>
      </c>
      <c r="AY291" s="142" t="s">
        <v>2398</v>
      </c>
      <c r="AZ291" s="142" t="s">
        <v>2705</v>
      </c>
    </row>
    <row r="292" spans="1:52" s="142" customFormat="1" ht="12.75" x14ac:dyDescent="0.2">
      <c r="A292" s="151"/>
      <c r="B292" s="152" t="s">
        <v>2705</v>
      </c>
      <c r="C292" s="152" t="s">
        <v>2398</v>
      </c>
      <c r="D292" s="152" t="s">
        <v>2705</v>
      </c>
      <c r="E292" s="152" t="s">
        <v>2705</v>
      </c>
      <c r="F292" s="152" t="s">
        <v>2705</v>
      </c>
      <c r="G292" s="152" t="s">
        <v>2705</v>
      </c>
      <c r="H292" s="152" t="s">
        <v>2705</v>
      </c>
      <c r="I292" s="152" t="s">
        <v>2398</v>
      </c>
      <c r="J292" s="152" t="s">
        <v>2397</v>
      </c>
      <c r="K292" s="152" t="s">
        <v>2705</v>
      </c>
      <c r="L292" s="152" t="s">
        <v>2398</v>
      </c>
      <c r="M292" s="152" t="s">
        <v>1435</v>
      </c>
      <c r="N292" s="152" t="s">
        <v>2705</v>
      </c>
      <c r="O292" s="152" t="s">
        <v>1435</v>
      </c>
      <c r="P292" s="152" t="s">
        <v>2705</v>
      </c>
      <c r="Q292" s="152" t="s">
        <v>2705</v>
      </c>
      <c r="R292" s="152" t="s">
        <v>1435</v>
      </c>
      <c r="S292" s="152" t="s">
        <v>2705</v>
      </c>
      <c r="T292" s="152" t="s">
        <v>2675</v>
      </c>
      <c r="U292" s="152" t="s">
        <v>2705</v>
      </c>
      <c r="V292" s="142" t="str" cm="1">
        <f t="array" ref="V292">IF(A292&lt;&gt;"",SUM(--(B292:U293 = "X")*$U$3,--(B292:U293 ="A")*$Q$3,--(B292:U293 ="B")*$R$3,--(B292:U293 ="C")*$S$3),"")</f>
        <v/>
      </c>
      <c r="X292" s="437" t="s">
        <v>7600</v>
      </c>
      <c r="Y292" s="437">
        <v>29</v>
      </c>
      <c r="Z292" s="436">
        <f>_xlfn.XLOOKUP(answers[[#This Row],[StudentID]],$A$7:$A$1418,$V$7:$V$1418)</f>
        <v>29</v>
      </c>
      <c r="AG292" s="142" t="s">
        <v>2705</v>
      </c>
      <c r="AH292" s="142" t="s">
        <v>2398</v>
      </c>
      <c r="AI292" s="142" t="s">
        <v>2705</v>
      </c>
      <c r="AJ292" s="142" t="s">
        <v>2705</v>
      </c>
      <c r="AK292" s="142" t="s">
        <v>2705</v>
      </c>
      <c r="AL292" s="142" t="s">
        <v>2705</v>
      </c>
      <c r="AM292" s="142" t="s">
        <v>2705</v>
      </c>
      <c r="AN292" s="142" t="s">
        <v>2398</v>
      </c>
      <c r="AO292" s="142" t="s">
        <v>2397</v>
      </c>
      <c r="AP292" s="142" t="s">
        <v>2705</v>
      </c>
      <c r="AQ292" s="142" t="s">
        <v>2398</v>
      </c>
      <c r="AR292" s="142" t="s">
        <v>1435</v>
      </c>
      <c r="AS292" s="142" t="s">
        <v>2705</v>
      </c>
      <c r="AT292" s="142" t="s">
        <v>1435</v>
      </c>
      <c r="AU292" s="142" t="s">
        <v>2705</v>
      </c>
      <c r="AV292" s="142" t="s">
        <v>2705</v>
      </c>
      <c r="AW292" s="142" t="s">
        <v>1435</v>
      </c>
      <c r="AX292" s="142" t="s">
        <v>2705</v>
      </c>
      <c r="AY292" s="142" t="s">
        <v>2675</v>
      </c>
      <c r="AZ292" s="142" t="s">
        <v>2705</v>
      </c>
    </row>
    <row r="293" spans="1:52" s="142" customFormat="1" ht="12.75" x14ac:dyDescent="0.2">
      <c r="A293" s="151" t="s">
        <v>7463</v>
      </c>
      <c r="B293" s="152" t="s">
        <v>2705</v>
      </c>
      <c r="C293" s="152" t="s">
        <v>2705</v>
      </c>
      <c r="D293" s="152" t="s">
        <v>2398</v>
      </c>
      <c r="E293" s="152" t="s">
        <v>1435</v>
      </c>
      <c r="F293" s="152" t="s">
        <v>2705</v>
      </c>
      <c r="G293" s="152" t="s">
        <v>2705</v>
      </c>
      <c r="H293" s="152" t="s">
        <v>2705</v>
      </c>
      <c r="I293" s="152" t="s">
        <v>2705</v>
      </c>
      <c r="J293" s="152" t="s">
        <v>2675</v>
      </c>
      <c r="K293" s="152" t="s">
        <v>2705</v>
      </c>
      <c r="L293" s="152" t="s">
        <v>1435</v>
      </c>
      <c r="M293" s="152" t="s">
        <v>2705</v>
      </c>
      <c r="N293" s="152" t="s">
        <v>2705</v>
      </c>
      <c r="O293" s="152" t="s">
        <v>2398</v>
      </c>
      <c r="P293" s="152" t="s">
        <v>2705</v>
      </c>
      <c r="Q293" s="152" t="s">
        <v>2705</v>
      </c>
      <c r="R293" s="152" t="s">
        <v>2675</v>
      </c>
      <c r="S293" s="152" t="s">
        <v>2705</v>
      </c>
      <c r="T293" s="152" t="s">
        <v>1435</v>
      </c>
      <c r="U293" s="152" t="s">
        <v>2705</v>
      </c>
      <c r="V293" s="142" cm="1">
        <f t="array" ref="V293">IF(A293&lt;&gt;"",SUM(--(B293:U294 = "X")*$U$3,--(B293:U294 ="A")*$Q$3,--(B293:U294 ="B")*$R$3,--(B293:U294 ="C")*$S$3),"")</f>
        <v>26.5</v>
      </c>
      <c r="X293" s="437" t="s">
        <v>7601</v>
      </c>
      <c r="Y293" s="437">
        <v>31.5</v>
      </c>
      <c r="Z293" s="436">
        <f>_xlfn.XLOOKUP(answers[[#This Row],[StudentID]],$A$7:$A$1418,$V$7:$V$1418)</f>
        <v>31.5</v>
      </c>
      <c r="AF293" s="142" t="s">
        <v>7463</v>
      </c>
      <c r="AG293" s="142" t="s">
        <v>2705</v>
      </c>
      <c r="AH293" s="142" t="s">
        <v>2705</v>
      </c>
      <c r="AI293" s="142" t="s">
        <v>2398</v>
      </c>
      <c r="AJ293" s="142" t="s">
        <v>1435</v>
      </c>
      <c r="AK293" s="142" t="s">
        <v>2705</v>
      </c>
      <c r="AL293" s="142" t="s">
        <v>2705</v>
      </c>
      <c r="AM293" s="142" t="s">
        <v>2705</v>
      </c>
      <c r="AN293" s="142" t="s">
        <v>2705</v>
      </c>
      <c r="AO293" s="142" t="s">
        <v>2675</v>
      </c>
      <c r="AP293" s="142" t="s">
        <v>2705</v>
      </c>
      <c r="AQ293" s="142" t="s">
        <v>1435</v>
      </c>
      <c r="AR293" s="142" t="s">
        <v>2705</v>
      </c>
      <c r="AS293" s="142" t="s">
        <v>2705</v>
      </c>
      <c r="AT293" s="142" t="s">
        <v>2398</v>
      </c>
      <c r="AU293" s="142" t="s">
        <v>2705</v>
      </c>
      <c r="AV293" s="142" t="s">
        <v>2705</v>
      </c>
      <c r="AW293" s="142" t="s">
        <v>2675</v>
      </c>
      <c r="AX293" s="142" t="s">
        <v>2705</v>
      </c>
      <c r="AY293" s="142" t="s">
        <v>1435</v>
      </c>
      <c r="AZ293" s="142" t="s">
        <v>2705</v>
      </c>
    </row>
    <row r="294" spans="1:52" s="142" customFormat="1" ht="12.75" x14ac:dyDescent="0.2">
      <c r="A294" s="151"/>
      <c r="B294" s="152" t="s">
        <v>2705</v>
      </c>
      <c r="C294" s="152" t="s">
        <v>2398</v>
      </c>
      <c r="D294" s="152" t="s">
        <v>2705</v>
      </c>
      <c r="E294" s="152" t="s">
        <v>2705</v>
      </c>
      <c r="F294" s="152" t="s">
        <v>2705</v>
      </c>
      <c r="G294" s="152" t="s">
        <v>2705</v>
      </c>
      <c r="H294" s="152" t="s">
        <v>2397</v>
      </c>
      <c r="I294" s="152" t="s">
        <v>2705</v>
      </c>
      <c r="J294" s="152" t="s">
        <v>2705</v>
      </c>
      <c r="K294" s="152" t="s">
        <v>2398</v>
      </c>
      <c r="L294" s="152" t="s">
        <v>2398</v>
      </c>
      <c r="M294" s="152" t="s">
        <v>2705</v>
      </c>
      <c r="N294" s="152" t="s">
        <v>2705</v>
      </c>
      <c r="O294" s="152" t="s">
        <v>2705</v>
      </c>
      <c r="P294" s="152" t="s">
        <v>2705</v>
      </c>
      <c r="Q294" s="152" t="s">
        <v>2705</v>
      </c>
      <c r="R294" s="152" t="s">
        <v>2705</v>
      </c>
      <c r="S294" s="152" t="s">
        <v>2705</v>
      </c>
      <c r="T294" s="152" t="s">
        <v>2705</v>
      </c>
      <c r="U294" s="152" t="s">
        <v>2705</v>
      </c>
      <c r="V294" s="142" t="str" cm="1">
        <f t="array" ref="V294">IF(A294&lt;&gt;"",SUM(--(B294:U295 = "X")*$U$3,--(B294:U295 ="A")*$Q$3,--(B294:U295 ="B")*$R$3,--(B294:U295 ="C")*$S$3),"")</f>
        <v/>
      </c>
      <c r="X294" s="437" t="s">
        <v>7602</v>
      </c>
      <c r="Y294" s="437">
        <v>19</v>
      </c>
      <c r="Z294" s="436">
        <f>_xlfn.XLOOKUP(answers[[#This Row],[StudentID]],$A$7:$A$1418,$V$7:$V$1418)</f>
        <v>19</v>
      </c>
      <c r="AG294" s="142" t="s">
        <v>2705</v>
      </c>
      <c r="AH294" s="142" t="s">
        <v>2398</v>
      </c>
      <c r="AI294" s="142" t="s">
        <v>2705</v>
      </c>
      <c r="AJ294" s="142" t="s">
        <v>2705</v>
      </c>
      <c r="AK294" s="142" t="s">
        <v>2705</v>
      </c>
      <c r="AL294" s="142" t="s">
        <v>2705</v>
      </c>
      <c r="AM294" s="142" t="s">
        <v>2397</v>
      </c>
      <c r="AN294" s="142" t="s">
        <v>2705</v>
      </c>
      <c r="AO294" s="142" t="s">
        <v>2705</v>
      </c>
      <c r="AP294" s="142" t="s">
        <v>2398</v>
      </c>
      <c r="AQ294" s="142" t="s">
        <v>2398</v>
      </c>
      <c r="AR294" s="142" t="s">
        <v>2705</v>
      </c>
      <c r="AS294" s="142" t="s">
        <v>2705</v>
      </c>
      <c r="AT294" s="142" t="s">
        <v>2705</v>
      </c>
      <c r="AU294" s="142" t="s">
        <v>2705</v>
      </c>
      <c r="AV294" s="142" t="s">
        <v>2705</v>
      </c>
      <c r="AW294" s="142" t="s">
        <v>2705</v>
      </c>
      <c r="AX294" s="142" t="s">
        <v>2705</v>
      </c>
      <c r="AY294" s="142" t="s">
        <v>2705</v>
      </c>
      <c r="AZ294" s="142" t="s">
        <v>2705</v>
      </c>
    </row>
    <row r="295" spans="1:52" s="142" customFormat="1" ht="12.75" x14ac:dyDescent="0.2">
      <c r="A295" s="151" t="s">
        <v>7464</v>
      </c>
      <c r="B295" s="152" t="s">
        <v>2705</v>
      </c>
      <c r="C295" s="152" t="s">
        <v>2397</v>
      </c>
      <c r="D295" s="152" t="s">
        <v>2675</v>
      </c>
      <c r="E295" s="152" t="s">
        <v>2398</v>
      </c>
      <c r="F295" s="152" t="s">
        <v>2705</v>
      </c>
      <c r="G295" s="152" t="s">
        <v>2705</v>
      </c>
      <c r="H295" s="152" t="s">
        <v>2705</v>
      </c>
      <c r="I295" s="152" t="s">
        <v>2398</v>
      </c>
      <c r="J295" s="152" t="s">
        <v>2398</v>
      </c>
      <c r="K295" s="152" t="s">
        <v>1435</v>
      </c>
      <c r="L295" s="152" t="s">
        <v>2705</v>
      </c>
      <c r="M295" s="152" t="s">
        <v>2705</v>
      </c>
      <c r="N295" s="152" t="s">
        <v>2675</v>
      </c>
      <c r="O295" s="152" t="s">
        <v>1435</v>
      </c>
      <c r="P295" s="152" t="s">
        <v>2705</v>
      </c>
      <c r="Q295" s="152" t="s">
        <v>1435</v>
      </c>
      <c r="R295" s="152" t="s">
        <v>2398</v>
      </c>
      <c r="S295" s="152" t="s">
        <v>2705</v>
      </c>
      <c r="T295" s="152" t="s">
        <v>2705</v>
      </c>
      <c r="U295" s="152" t="s">
        <v>2705</v>
      </c>
      <c r="V295" s="142" cm="1">
        <f t="array" ref="V295">IF(A295&lt;&gt;"",SUM(--(B295:U296 = "X")*$U$3,--(B295:U296 ="A")*$Q$3,--(B295:U296 ="B")*$R$3,--(B295:U296 ="C")*$S$3),"")</f>
        <v>22</v>
      </c>
      <c r="X295" s="437" t="s">
        <v>7603</v>
      </c>
      <c r="Y295" s="437">
        <v>18.5</v>
      </c>
      <c r="Z295" s="436">
        <f>_xlfn.XLOOKUP(answers[[#This Row],[StudentID]],$A$7:$A$1418,$V$7:$V$1418)</f>
        <v>18.5</v>
      </c>
      <c r="AF295" s="142" t="s">
        <v>7464</v>
      </c>
      <c r="AG295" s="142" t="s">
        <v>2705</v>
      </c>
      <c r="AH295" s="142" t="s">
        <v>2397</v>
      </c>
      <c r="AI295" s="142" t="s">
        <v>2675</v>
      </c>
      <c r="AJ295" s="142" t="s">
        <v>2398</v>
      </c>
      <c r="AK295" s="142" t="s">
        <v>2705</v>
      </c>
      <c r="AL295" s="142" t="s">
        <v>2705</v>
      </c>
      <c r="AM295" s="142" t="s">
        <v>2705</v>
      </c>
      <c r="AN295" s="142" t="s">
        <v>2398</v>
      </c>
      <c r="AO295" s="142" t="s">
        <v>2398</v>
      </c>
      <c r="AP295" s="142" t="s">
        <v>1435</v>
      </c>
      <c r="AQ295" s="142" t="s">
        <v>2705</v>
      </c>
      <c r="AR295" s="142" t="s">
        <v>2705</v>
      </c>
      <c r="AS295" s="142" t="s">
        <v>2675</v>
      </c>
      <c r="AT295" s="142" t="s">
        <v>1435</v>
      </c>
      <c r="AU295" s="142" t="s">
        <v>2705</v>
      </c>
      <c r="AV295" s="142" t="s">
        <v>1435</v>
      </c>
      <c r="AW295" s="142" t="s">
        <v>2398</v>
      </c>
      <c r="AX295" s="142" t="s">
        <v>2705</v>
      </c>
      <c r="AY295" s="142" t="s">
        <v>2705</v>
      </c>
      <c r="AZ295" s="142" t="s">
        <v>2705</v>
      </c>
    </row>
    <row r="296" spans="1:52" s="142" customFormat="1" ht="12.75" x14ac:dyDescent="0.2">
      <c r="A296" s="151"/>
      <c r="B296" s="152" t="s">
        <v>2398</v>
      </c>
      <c r="C296" s="152" t="s">
        <v>2705</v>
      </c>
      <c r="D296" s="152" t="s">
        <v>2705</v>
      </c>
      <c r="E296" s="152" t="s">
        <v>2705</v>
      </c>
      <c r="F296" s="152" t="s">
        <v>2705</v>
      </c>
      <c r="G296" s="152" t="s">
        <v>2705</v>
      </c>
      <c r="H296" s="152" t="s">
        <v>1435</v>
      </c>
      <c r="I296" s="152" t="s">
        <v>2705</v>
      </c>
      <c r="J296" s="152" t="s">
        <v>2705</v>
      </c>
      <c r="K296" s="152" t="s">
        <v>2398</v>
      </c>
      <c r="L296" s="152" t="s">
        <v>2705</v>
      </c>
      <c r="M296" s="152" t="s">
        <v>2398</v>
      </c>
      <c r="N296" s="152" t="s">
        <v>2397</v>
      </c>
      <c r="O296" s="152" t="s">
        <v>2705</v>
      </c>
      <c r="P296" s="152" t="s">
        <v>2705</v>
      </c>
      <c r="Q296" s="152" t="s">
        <v>2705</v>
      </c>
      <c r="R296" s="152" t="s">
        <v>2705</v>
      </c>
      <c r="S296" s="152" t="s">
        <v>2705</v>
      </c>
      <c r="T296" s="152" t="s">
        <v>2705</v>
      </c>
      <c r="U296" s="152" t="s">
        <v>2705</v>
      </c>
      <c r="V296" s="142" t="str" cm="1">
        <f t="array" ref="V296">IF(A296&lt;&gt;"",SUM(--(B296:U297 = "X")*$U$3,--(B296:U297 ="A")*$Q$3,--(B296:U297 ="B")*$R$3,--(B296:U297 ="C")*$S$3),"")</f>
        <v/>
      </c>
      <c r="X296" s="437" t="s">
        <v>7604</v>
      </c>
      <c r="Y296" s="437">
        <v>26.5</v>
      </c>
      <c r="Z296" s="436">
        <f>_xlfn.XLOOKUP(answers[[#This Row],[StudentID]],$A$7:$A$1418,$V$7:$V$1418)</f>
        <v>26.5</v>
      </c>
      <c r="AG296" s="142" t="s">
        <v>2398</v>
      </c>
      <c r="AH296" s="142" t="s">
        <v>2705</v>
      </c>
      <c r="AI296" s="142" t="s">
        <v>2705</v>
      </c>
      <c r="AJ296" s="142" t="s">
        <v>2705</v>
      </c>
      <c r="AK296" s="142" t="s">
        <v>2705</v>
      </c>
      <c r="AL296" s="142" t="s">
        <v>2705</v>
      </c>
      <c r="AM296" s="142" t="s">
        <v>1435</v>
      </c>
      <c r="AN296" s="142" t="s">
        <v>2705</v>
      </c>
      <c r="AO296" s="142" t="s">
        <v>2705</v>
      </c>
      <c r="AP296" s="142" t="s">
        <v>2398</v>
      </c>
      <c r="AQ296" s="142" t="s">
        <v>2705</v>
      </c>
      <c r="AR296" s="142" t="s">
        <v>2398</v>
      </c>
      <c r="AS296" s="142" t="s">
        <v>2397</v>
      </c>
      <c r="AT296" s="142" t="s">
        <v>2705</v>
      </c>
      <c r="AU296" s="142" t="s">
        <v>2705</v>
      </c>
      <c r="AV296" s="142" t="s">
        <v>2705</v>
      </c>
      <c r="AW296" s="142" t="s">
        <v>2705</v>
      </c>
      <c r="AX296" s="142" t="s">
        <v>2705</v>
      </c>
      <c r="AY296" s="142" t="s">
        <v>2705</v>
      </c>
      <c r="AZ296" s="142" t="s">
        <v>2705</v>
      </c>
    </row>
    <row r="297" spans="1:52" s="142" customFormat="1" ht="12.75" x14ac:dyDescent="0.2">
      <c r="A297" s="151" t="s">
        <v>7465</v>
      </c>
      <c r="B297" s="152" t="s">
        <v>2675</v>
      </c>
      <c r="C297" s="152" t="s">
        <v>2705</v>
      </c>
      <c r="D297" s="152" t="s">
        <v>2675</v>
      </c>
      <c r="E297" s="152" t="s">
        <v>2705</v>
      </c>
      <c r="F297" s="152" t="s">
        <v>2705</v>
      </c>
      <c r="G297" s="152" t="s">
        <v>2705</v>
      </c>
      <c r="H297" s="152" t="s">
        <v>2705</v>
      </c>
      <c r="I297" s="152" t="s">
        <v>2398</v>
      </c>
      <c r="J297" s="152" t="s">
        <v>2705</v>
      </c>
      <c r="K297" s="152" t="s">
        <v>1435</v>
      </c>
      <c r="L297" s="152" t="s">
        <v>2398</v>
      </c>
      <c r="M297" s="152" t="s">
        <v>2705</v>
      </c>
      <c r="N297" s="152" t="s">
        <v>2675</v>
      </c>
      <c r="O297" s="152" t="s">
        <v>2398</v>
      </c>
      <c r="P297" s="152" t="s">
        <v>2398</v>
      </c>
      <c r="Q297" s="152" t="s">
        <v>2398</v>
      </c>
      <c r="R297" s="152" t="s">
        <v>2398</v>
      </c>
      <c r="S297" s="152" t="s">
        <v>2705</v>
      </c>
      <c r="T297" s="152" t="s">
        <v>2705</v>
      </c>
      <c r="U297" s="152" t="s">
        <v>2705</v>
      </c>
      <c r="V297" s="142" cm="1">
        <f t="array" ref="V297">IF(A297&lt;&gt;"",SUM(--(B297:U298 = "X")*$U$3,--(B297:U298 ="A")*$Q$3,--(B297:U298 ="B")*$R$3,--(B297:U298 ="C")*$S$3),"")</f>
        <v>14.5</v>
      </c>
      <c r="X297" s="437" t="s">
        <v>7605</v>
      </c>
      <c r="Y297" s="437">
        <v>13</v>
      </c>
      <c r="Z297" s="436">
        <f>_xlfn.XLOOKUP(answers[[#This Row],[StudentID]],$A$7:$A$1418,$V$7:$V$1418)</f>
        <v>13</v>
      </c>
      <c r="AF297" s="142" t="s">
        <v>7465</v>
      </c>
      <c r="AG297" s="142" t="s">
        <v>2675</v>
      </c>
      <c r="AH297" s="142" t="s">
        <v>2705</v>
      </c>
      <c r="AI297" s="142" t="s">
        <v>2675</v>
      </c>
      <c r="AJ297" s="142" t="s">
        <v>2705</v>
      </c>
      <c r="AK297" s="142" t="s">
        <v>2705</v>
      </c>
      <c r="AL297" s="142" t="s">
        <v>2705</v>
      </c>
      <c r="AM297" s="142" t="s">
        <v>2705</v>
      </c>
      <c r="AN297" s="142" t="s">
        <v>2398</v>
      </c>
      <c r="AO297" s="142" t="s">
        <v>2705</v>
      </c>
      <c r="AP297" s="142" t="s">
        <v>1435</v>
      </c>
      <c r="AQ297" s="142" t="s">
        <v>2398</v>
      </c>
      <c r="AR297" s="142" t="s">
        <v>2705</v>
      </c>
      <c r="AS297" s="142" t="s">
        <v>2675</v>
      </c>
      <c r="AT297" s="142" t="s">
        <v>2398</v>
      </c>
      <c r="AU297" s="142" t="s">
        <v>2398</v>
      </c>
      <c r="AV297" s="142" t="s">
        <v>2398</v>
      </c>
      <c r="AW297" s="142" t="s">
        <v>2398</v>
      </c>
      <c r="AX297" s="142" t="s">
        <v>2705</v>
      </c>
      <c r="AY297" s="142" t="s">
        <v>2705</v>
      </c>
      <c r="AZ297" s="142" t="s">
        <v>2705</v>
      </c>
    </row>
    <row r="298" spans="1:52" s="142" customFormat="1" ht="12.75" x14ac:dyDescent="0.2">
      <c r="A298" s="151"/>
      <c r="B298" s="152" t="s">
        <v>2397</v>
      </c>
      <c r="C298" s="152" t="s">
        <v>2398</v>
      </c>
      <c r="D298" s="152" t="s">
        <v>2705</v>
      </c>
      <c r="E298" s="152" t="s">
        <v>2705</v>
      </c>
      <c r="F298" s="152" t="s">
        <v>2675</v>
      </c>
      <c r="G298" s="152" t="s">
        <v>2398</v>
      </c>
      <c r="H298" s="152" t="s">
        <v>2675</v>
      </c>
      <c r="I298" s="152" t="s">
        <v>2705</v>
      </c>
      <c r="J298" s="152" t="s">
        <v>2705</v>
      </c>
      <c r="K298" s="152" t="s">
        <v>2398</v>
      </c>
      <c r="L298" s="152" t="s">
        <v>2705</v>
      </c>
      <c r="M298" s="152" t="s">
        <v>2705</v>
      </c>
      <c r="N298" s="152" t="s">
        <v>2398</v>
      </c>
      <c r="O298" s="152" t="s">
        <v>2705</v>
      </c>
      <c r="P298" s="152" t="s">
        <v>2398</v>
      </c>
      <c r="Q298" s="152" t="s">
        <v>2398</v>
      </c>
      <c r="R298" s="152" t="s">
        <v>2398</v>
      </c>
      <c r="S298" s="152" t="s">
        <v>1435</v>
      </c>
      <c r="T298" s="152" t="s">
        <v>2398</v>
      </c>
      <c r="U298" s="152" t="s">
        <v>2705</v>
      </c>
      <c r="V298" s="142" t="str" cm="1">
        <f t="array" ref="V298">IF(A298&lt;&gt;"",SUM(--(B298:U299 = "X")*$U$3,--(B298:U299 ="A")*$Q$3,--(B298:U299 ="B")*$R$3,--(B298:U299 ="C")*$S$3),"")</f>
        <v/>
      </c>
      <c r="X298" s="437" t="s">
        <v>7606</v>
      </c>
      <c r="Y298" s="437">
        <v>20.5</v>
      </c>
      <c r="Z298" s="436">
        <f>_xlfn.XLOOKUP(answers[[#This Row],[StudentID]],$A$7:$A$1418,$V$7:$V$1418)</f>
        <v>20.5</v>
      </c>
      <c r="AG298" s="142" t="s">
        <v>2397</v>
      </c>
      <c r="AH298" s="142" t="s">
        <v>2398</v>
      </c>
      <c r="AI298" s="142" t="s">
        <v>2705</v>
      </c>
      <c r="AJ298" s="142" t="s">
        <v>2705</v>
      </c>
      <c r="AK298" s="142" t="s">
        <v>2675</v>
      </c>
      <c r="AL298" s="142" t="s">
        <v>2398</v>
      </c>
      <c r="AM298" s="142" t="s">
        <v>2675</v>
      </c>
      <c r="AN298" s="142" t="s">
        <v>2705</v>
      </c>
      <c r="AO298" s="142" t="s">
        <v>2705</v>
      </c>
      <c r="AP298" s="142" t="s">
        <v>2398</v>
      </c>
      <c r="AQ298" s="142" t="s">
        <v>2705</v>
      </c>
      <c r="AR298" s="142" t="s">
        <v>2705</v>
      </c>
      <c r="AS298" s="142" t="s">
        <v>2398</v>
      </c>
      <c r="AT298" s="142" t="s">
        <v>2705</v>
      </c>
      <c r="AU298" s="142" t="s">
        <v>2398</v>
      </c>
      <c r="AV298" s="142" t="s">
        <v>2398</v>
      </c>
      <c r="AW298" s="142" t="s">
        <v>2398</v>
      </c>
      <c r="AX298" s="142" t="s">
        <v>1435</v>
      </c>
      <c r="AY298" s="142" t="s">
        <v>2398</v>
      </c>
      <c r="AZ298" s="142" t="s">
        <v>2705</v>
      </c>
    </row>
    <row r="299" spans="1:52" s="142" customFormat="1" ht="12.75" x14ac:dyDescent="0.2">
      <c r="A299" s="151" t="s">
        <v>7466</v>
      </c>
      <c r="B299" s="152" t="s">
        <v>2705</v>
      </c>
      <c r="C299" s="152" t="s">
        <v>2705</v>
      </c>
      <c r="D299" s="152" t="s">
        <v>2398</v>
      </c>
      <c r="E299" s="152" t="s">
        <v>2705</v>
      </c>
      <c r="F299" s="152" t="s">
        <v>2397</v>
      </c>
      <c r="G299" s="152" t="s">
        <v>2705</v>
      </c>
      <c r="H299" s="152" t="s">
        <v>2705</v>
      </c>
      <c r="I299" s="152" t="s">
        <v>2398</v>
      </c>
      <c r="J299" s="152" t="s">
        <v>1435</v>
      </c>
      <c r="K299" s="152" t="s">
        <v>2398</v>
      </c>
      <c r="L299" s="152" t="s">
        <v>2705</v>
      </c>
      <c r="M299" s="152" t="s">
        <v>2398</v>
      </c>
      <c r="N299" s="152" t="s">
        <v>2705</v>
      </c>
      <c r="O299" s="152" t="s">
        <v>2397</v>
      </c>
      <c r="P299" s="152" t="s">
        <v>2675</v>
      </c>
      <c r="Q299" s="152" t="s">
        <v>2705</v>
      </c>
      <c r="R299" s="152" t="s">
        <v>2398</v>
      </c>
      <c r="S299" s="152" t="s">
        <v>2398</v>
      </c>
      <c r="T299" s="152" t="s">
        <v>2675</v>
      </c>
      <c r="U299" s="152" t="s">
        <v>2398</v>
      </c>
      <c r="V299" s="142" cm="1">
        <f t="array" ref="V299">IF(A299&lt;&gt;"",SUM(--(B299:U300 = "X")*$U$3,--(B299:U300 ="A")*$Q$3,--(B299:U300 ="B")*$R$3,--(B299:U300 ="C")*$S$3),"")</f>
        <v>13</v>
      </c>
      <c r="X299" s="437" t="s">
        <v>7607</v>
      </c>
      <c r="Y299" s="437">
        <v>23.5</v>
      </c>
      <c r="Z299" s="436">
        <f>_xlfn.XLOOKUP(answers[[#This Row],[StudentID]],$A$7:$A$1418,$V$7:$V$1418)</f>
        <v>23.5</v>
      </c>
      <c r="AF299" s="142" t="s">
        <v>7466</v>
      </c>
      <c r="AG299" s="142" t="s">
        <v>2705</v>
      </c>
      <c r="AH299" s="142" t="s">
        <v>2705</v>
      </c>
      <c r="AI299" s="142" t="s">
        <v>2398</v>
      </c>
      <c r="AJ299" s="142" t="s">
        <v>2705</v>
      </c>
      <c r="AK299" s="142" t="s">
        <v>2397</v>
      </c>
      <c r="AL299" s="142" t="s">
        <v>2705</v>
      </c>
      <c r="AM299" s="142" t="s">
        <v>2705</v>
      </c>
      <c r="AN299" s="142" t="s">
        <v>2398</v>
      </c>
      <c r="AO299" s="142" t="s">
        <v>1435</v>
      </c>
      <c r="AP299" s="142" t="s">
        <v>2398</v>
      </c>
      <c r="AQ299" s="142" t="s">
        <v>2705</v>
      </c>
      <c r="AR299" s="142" t="s">
        <v>2398</v>
      </c>
      <c r="AS299" s="142" t="s">
        <v>2705</v>
      </c>
      <c r="AT299" s="142" t="s">
        <v>2397</v>
      </c>
      <c r="AU299" s="142" t="s">
        <v>2675</v>
      </c>
      <c r="AV299" s="142" t="s">
        <v>2705</v>
      </c>
      <c r="AW299" s="142" t="s">
        <v>2398</v>
      </c>
      <c r="AX299" s="142" t="s">
        <v>2398</v>
      </c>
      <c r="AY299" s="142" t="s">
        <v>2675</v>
      </c>
      <c r="AZ299" s="142" t="s">
        <v>2398</v>
      </c>
    </row>
    <row r="300" spans="1:52" s="142" customFormat="1" ht="12.75" x14ac:dyDescent="0.2">
      <c r="A300" s="151"/>
      <c r="B300" s="152" t="s">
        <v>2705</v>
      </c>
      <c r="C300" s="152" t="s">
        <v>2675</v>
      </c>
      <c r="D300" s="152" t="s">
        <v>2705</v>
      </c>
      <c r="E300" s="152" t="s">
        <v>2397</v>
      </c>
      <c r="F300" s="152" t="s">
        <v>2705</v>
      </c>
      <c r="G300" s="152" t="s">
        <v>1435</v>
      </c>
      <c r="H300" s="152" t="s">
        <v>2675</v>
      </c>
      <c r="I300" s="152" t="s">
        <v>2397</v>
      </c>
      <c r="J300" s="152" t="s">
        <v>2705</v>
      </c>
      <c r="K300" s="152" t="s">
        <v>2398</v>
      </c>
      <c r="L300" s="152" t="s">
        <v>2705</v>
      </c>
      <c r="M300" s="152" t="s">
        <v>2675</v>
      </c>
      <c r="N300" s="152" t="s">
        <v>2705</v>
      </c>
      <c r="O300" s="152" t="s">
        <v>2705</v>
      </c>
      <c r="P300" s="152" t="s">
        <v>2398</v>
      </c>
      <c r="Q300" s="152" t="s">
        <v>2705</v>
      </c>
      <c r="R300" s="152" t="s">
        <v>2397</v>
      </c>
      <c r="S300" s="152" t="s">
        <v>2675</v>
      </c>
      <c r="T300" s="152" t="s">
        <v>2398</v>
      </c>
      <c r="U300" s="152" t="s">
        <v>2705</v>
      </c>
      <c r="V300" s="142" t="str" cm="1">
        <f t="array" ref="V300">IF(A300&lt;&gt;"",SUM(--(B300:U301 = "X")*$U$3,--(B300:U301 ="A")*$Q$3,--(B300:U301 ="B")*$R$3,--(B300:U301 ="C")*$S$3),"")</f>
        <v/>
      </c>
      <c r="X300" s="437" t="s">
        <v>7608</v>
      </c>
      <c r="Y300" s="437">
        <v>18</v>
      </c>
      <c r="Z300" s="436">
        <f>_xlfn.XLOOKUP(answers[[#This Row],[StudentID]],$A$7:$A$1418,$V$7:$V$1418)</f>
        <v>18</v>
      </c>
      <c r="AG300" s="142" t="s">
        <v>2705</v>
      </c>
      <c r="AH300" s="142" t="s">
        <v>2675</v>
      </c>
      <c r="AI300" s="142" t="s">
        <v>2705</v>
      </c>
      <c r="AJ300" s="142" t="s">
        <v>2397</v>
      </c>
      <c r="AK300" s="142" t="s">
        <v>2705</v>
      </c>
      <c r="AL300" s="142" t="s">
        <v>1435</v>
      </c>
      <c r="AM300" s="142" t="s">
        <v>2675</v>
      </c>
      <c r="AN300" s="142" t="s">
        <v>2397</v>
      </c>
      <c r="AO300" s="142" t="s">
        <v>2705</v>
      </c>
      <c r="AP300" s="142" t="s">
        <v>2398</v>
      </c>
      <c r="AQ300" s="142" t="s">
        <v>2705</v>
      </c>
      <c r="AR300" s="142" t="s">
        <v>2675</v>
      </c>
      <c r="AS300" s="142" t="s">
        <v>2705</v>
      </c>
      <c r="AT300" s="142" t="s">
        <v>2705</v>
      </c>
      <c r="AU300" s="142" t="s">
        <v>2398</v>
      </c>
      <c r="AV300" s="142" t="s">
        <v>2705</v>
      </c>
      <c r="AW300" s="142" t="s">
        <v>2397</v>
      </c>
      <c r="AX300" s="142" t="s">
        <v>2675</v>
      </c>
      <c r="AY300" s="142" t="s">
        <v>2398</v>
      </c>
      <c r="AZ300" s="142" t="s">
        <v>2705</v>
      </c>
    </row>
    <row r="301" spans="1:52" s="142" customFormat="1" ht="12.75" x14ac:dyDescent="0.2">
      <c r="A301" s="151" t="s">
        <v>7467</v>
      </c>
      <c r="B301" s="152" t="s">
        <v>2705</v>
      </c>
      <c r="C301" s="152" t="s">
        <v>2675</v>
      </c>
      <c r="D301" s="152" t="s">
        <v>2705</v>
      </c>
      <c r="E301" s="152" t="s">
        <v>2397</v>
      </c>
      <c r="F301" s="152" t="s">
        <v>2675</v>
      </c>
      <c r="G301" s="152" t="s">
        <v>2705</v>
      </c>
      <c r="H301" s="152" t="s">
        <v>2398</v>
      </c>
      <c r="I301" s="152" t="s">
        <v>2675</v>
      </c>
      <c r="J301" s="152" t="s">
        <v>2675</v>
      </c>
      <c r="K301" s="152" t="s">
        <v>2398</v>
      </c>
      <c r="L301" s="152" t="s">
        <v>2397</v>
      </c>
      <c r="M301" s="152" t="s">
        <v>2397</v>
      </c>
      <c r="N301" s="152" t="s">
        <v>2397</v>
      </c>
      <c r="O301" s="152" t="s">
        <v>2397</v>
      </c>
      <c r="P301" s="152" t="s">
        <v>2397</v>
      </c>
      <c r="Q301" s="152" t="s">
        <v>2705</v>
      </c>
      <c r="R301" s="152" t="s">
        <v>1435</v>
      </c>
      <c r="S301" s="152" t="s">
        <v>2705</v>
      </c>
      <c r="T301" s="152" t="s">
        <v>2705</v>
      </c>
      <c r="U301" s="152" t="s">
        <v>2398</v>
      </c>
      <c r="V301" s="142" cm="1">
        <f t="array" ref="V301">IF(A301&lt;&gt;"",SUM(--(B301:U302 = "X")*$U$3,--(B301:U302 ="A")*$Q$3,--(B301:U302 ="B")*$R$3,--(B301:U302 ="C")*$S$3),"")</f>
        <v>15.5</v>
      </c>
      <c r="X301" s="437" t="s">
        <v>7609</v>
      </c>
      <c r="Y301" s="437">
        <v>12</v>
      </c>
      <c r="Z301" s="436">
        <f>_xlfn.XLOOKUP(answers[[#This Row],[StudentID]],$A$7:$A$1418,$V$7:$V$1418)</f>
        <v>12</v>
      </c>
      <c r="AF301" s="142" t="s">
        <v>7467</v>
      </c>
      <c r="AG301" s="142" t="s">
        <v>2705</v>
      </c>
      <c r="AH301" s="142" t="s">
        <v>2675</v>
      </c>
      <c r="AI301" s="142" t="s">
        <v>2705</v>
      </c>
      <c r="AJ301" s="142" t="s">
        <v>2397</v>
      </c>
      <c r="AK301" s="142" t="s">
        <v>2675</v>
      </c>
      <c r="AL301" s="142" t="s">
        <v>2705</v>
      </c>
      <c r="AM301" s="142" t="s">
        <v>2398</v>
      </c>
      <c r="AN301" s="142" t="s">
        <v>2675</v>
      </c>
      <c r="AO301" s="142" t="s">
        <v>2675</v>
      </c>
      <c r="AP301" s="142" t="s">
        <v>2398</v>
      </c>
      <c r="AQ301" s="142" t="s">
        <v>2397</v>
      </c>
      <c r="AR301" s="142" t="s">
        <v>2397</v>
      </c>
      <c r="AS301" s="142" t="s">
        <v>2397</v>
      </c>
      <c r="AT301" s="142" t="s">
        <v>2397</v>
      </c>
      <c r="AU301" s="142" t="s">
        <v>2397</v>
      </c>
      <c r="AV301" s="142" t="s">
        <v>2705</v>
      </c>
      <c r="AW301" s="142" t="s">
        <v>1435</v>
      </c>
      <c r="AX301" s="142" t="s">
        <v>2705</v>
      </c>
      <c r="AY301" s="142" t="s">
        <v>2705</v>
      </c>
      <c r="AZ301" s="142" t="s">
        <v>2398</v>
      </c>
    </row>
    <row r="302" spans="1:52" s="142" customFormat="1" ht="12.75" x14ac:dyDescent="0.2">
      <c r="A302" s="151"/>
      <c r="B302" s="152" t="s">
        <v>2705</v>
      </c>
      <c r="C302" s="152" t="s">
        <v>2705</v>
      </c>
      <c r="D302" s="152" t="s">
        <v>2705</v>
      </c>
      <c r="E302" s="152" t="s">
        <v>2675</v>
      </c>
      <c r="F302" s="152" t="s">
        <v>2705</v>
      </c>
      <c r="G302" s="152" t="s">
        <v>2705</v>
      </c>
      <c r="H302" s="152" t="s">
        <v>2397</v>
      </c>
      <c r="I302" s="152" t="s">
        <v>2705</v>
      </c>
      <c r="J302" s="152" t="s">
        <v>2397</v>
      </c>
      <c r="K302" s="152" t="s">
        <v>2705</v>
      </c>
      <c r="L302" s="152" t="s">
        <v>2705</v>
      </c>
      <c r="M302" s="152" t="s">
        <v>2705</v>
      </c>
      <c r="N302" s="152" t="s">
        <v>2397</v>
      </c>
      <c r="O302" s="152" t="s">
        <v>2398</v>
      </c>
      <c r="P302" s="152" t="s">
        <v>2675</v>
      </c>
      <c r="Q302" s="152" t="s">
        <v>2705</v>
      </c>
      <c r="R302" s="152" t="s">
        <v>2705</v>
      </c>
      <c r="S302" s="152" t="s">
        <v>2398</v>
      </c>
      <c r="T302" s="152" t="s">
        <v>2705</v>
      </c>
      <c r="U302" s="152" t="s">
        <v>2705</v>
      </c>
      <c r="V302" s="142" t="str" cm="1">
        <f t="array" ref="V302">IF(A302&lt;&gt;"",SUM(--(B302:U303 = "X")*$U$3,--(B302:U303 ="A")*$Q$3,--(B302:U303 ="B")*$R$3,--(B302:U303 ="C")*$S$3),"")</f>
        <v/>
      </c>
      <c r="X302" s="437" t="s">
        <v>7610</v>
      </c>
      <c r="Y302" s="437">
        <v>28</v>
      </c>
      <c r="Z302" s="436">
        <f>_xlfn.XLOOKUP(answers[[#This Row],[StudentID]],$A$7:$A$1418,$V$7:$V$1418)</f>
        <v>28</v>
      </c>
      <c r="AG302" s="142" t="s">
        <v>2705</v>
      </c>
      <c r="AH302" s="142" t="s">
        <v>2705</v>
      </c>
      <c r="AI302" s="142" t="s">
        <v>2705</v>
      </c>
      <c r="AJ302" s="142" t="s">
        <v>2675</v>
      </c>
      <c r="AK302" s="142" t="s">
        <v>2705</v>
      </c>
      <c r="AL302" s="142" t="s">
        <v>2705</v>
      </c>
      <c r="AM302" s="142" t="s">
        <v>2397</v>
      </c>
      <c r="AN302" s="142" t="s">
        <v>2705</v>
      </c>
      <c r="AO302" s="142" t="s">
        <v>2397</v>
      </c>
      <c r="AP302" s="142" t="s">
        <v>2705</v>
      </c>
      <c r="AQ302" s="142" t="s">
        <v>2705</v>
      </c>
      <c r="AR302" s="142" t="s">
        <v>2705</v>
      </c>
      <c r="AS302" s="142" t="s">
        <v>2397</v>
      </c>
      <c r="AT302" s="142" t="s">
        <v>2398</v>
      </c>
      <c r="AU302" s="142" t="s">
        <v>2675</v>
      </c>
      <c r="AV302" s="142" t="s">
        <v>2705</v>
      </c>
      <c r="AW302" s="142" t="s">
        <v>2705</v>
      </c>
      <c r="AX302" s="142" t="s">
        <v>2398</v>
      </c>
      <c r="AY302" s="142" t="s">
        <v>2705</v>
      </c>
      <c r="AZ302" s="142" t="s">
        <v>2705</v>
      </c>
    </row>
    <row r="303" spans="1:52" s="142" customFormat="1" ht="12.75" x14ac:dyDescent="0.2">
      <c r="A303" s="151" t="s">
        <v>7468</v>
      </c>
      <c r="B303" s="152" t="s">
        <v>2398</v>
      </c>
      <c r="C303" s="152" t="s">
        <v>2705</v>
      </c>
      <c r="D303" s="152" t="s">
        <v>2398</v>
      </c>
      <c r="E303" s="152" t="s">
        <v>2398</v>
      </c>
      <c r="F303" s="152" t="s">
        <v>2397</v>
      </c>
      <c r="G303" s="152" t="s">
        <v>2398</v>
      </c>
      <c r="H303" s="152" t="s">
        <v>2705</v>
      </c>
      <c r="I303" s="152" t="s">
        <v>2705</v>
      </c>
      <c r="J303" s="152" t="s">
        <v>2675</v>
      </c>
      <c r="K303" s="152" t="s">
        <v>2398</v>
      </c>
      <c r="L303" s="152" t="s">
        <v>2705</v>
      </c>
      <c r="M303" s="152" t="s">
        <v>2398</v>
      </c>
      <c r="N303" s="152" t="s">
        <v>2705</v>
      </c>
      <c r="O303" s="152" t="s">
        <v>2398</v>
      </c>
      <c r="P303" s="152" t="s">
        <v>2398</v>
      </c>
      <c r="Q303" s="152" t="s">
        <v>2398</v>
      </c>
      <c r="R303" s="152" t="s">
        <v>2398</v>
      </c>
      <c r="S303" s="152" t="s">
        <v>2398</v>
      </c>
      <c r="T303" s="152" t="s">
        <v>2398</v>
      </c>
      <c r="U303" s="152" t="s">
        <v>2675</v>
      </c>
      <c r="V303" s="142" cm="1">
        <f t="array" ref="V303">IF(A303&lt;&gt;"",SUM(--(B303:U304 = "X")*$U$3,--(B303:U304 ="A")*$Q$3,--(B303:U304 ="B")*$R$3,--(B303:U304 ="C")*$S$3),"")</f>
        <v>7.5</v>
      </c>
      <c r="X303" s="437" t="s">
        <v>7611</v>
      </c>
      <c r="Y303" s="437">
        <v>16.5</v>
      </c>
      <c r="Z303" s="436">
        <f>_xlfn.XLOOKUP(answers[[#This Row],[StudentID]],$A$7:$A$1418,$V$7:$V$1418)</f>
        <v>16.5</v>
      </c>
      <c r="AF303" s="142" t="s">
        <v>7468</v>
      </c>
      <c r="AG303" s="142" t="s">
        <v>2398</v>
      </c>
      <c r="AH303" s="142" t="s">
        <v>2705</v>
      </c>
      <c r="AI303" s="142" t="s">
        <v>2398</v>
      </c>
      <c r="AJ303" s="142" t="s">
        <v>2398</v>
      </c>
      <c r="AK303" s="142" t="s">
        <v>2397</v>
      </c>
      <c r="AL303" s="142" t="s">
        <v>2398</v>
      </c>
      <c r="AM303" s="142" t="s">
        <v>2705</v>
      </c>
      <c r="AN303" s="142" t="s">
        <v>2705</v>
      </c>
      <c r="AO303" s="142" t="s">
        <v>2675</v>
      </c>
      <c r="AP303" s="142" t="s">
        <v>2398</v>
      </c>
      <c r="AQ303" s="142" t="s">
        <v>2705</v>
      </c>
      <c r="AR303" s="142" t="s">
        <v>2398</v>
      </c>
      <c r="AS303" s="142" t="s">
        <v>2705</v>
      </c>
      <c r="AT303" s="142" t="s">
        <v>2398</v>
      </c>
      <c r="AU303" s="142" t="s">
        <v>2398</v>
      </c>
      <c r="AV303" s="142" t="s">
        <v>2398</v>
      </c>
      <c r="AW303" s="142" t="s">
        <v>2398</v>
      </c>
      <c r="AX303" s="142" t="s">
        <v>2398</v>
      </c>
      <c r="AY303" s="142" t="s">
        <v>2398</v>
      </c>
      <c r="AZ303" s="142" t="s">
        <v>2675</v>
      </c>
    </row>
    <row r="304" spans="1:52" s="142" customFormat="1" ht="12.75" x14ac:dyDescent="0.2">
      <c r="A304" s="151"/>
      <c r="B304" s="152" t="s">
        <v>2397</v>
      </c>
      <c r="C304" s="152" t="s">
        <v>2398</v>
      </c>
      <c r="D304" s="152" t="s">
        <v>2397</v>
      </c>
      <c r="E304" s="152" t="s">
        <v>2397</v>
      </c>
      <c r="F304" s="152" t="s">
        <v>2705</v>
      </c>
      <c r="G304" s="152" t="s">
        <v>2397</v>
      </c>
      <c r="H304" s="152" t="s">
        <v>2398</v>
      </c>
      <c r="I304" s="152" t="s">
        <v>2398</v>
      </c>
      <c r="J304" s="152" t="s">
        <v>2705</v>
      </c>
      <c r="K304" s="152" t="s">
        <v>2398</v>
      </c>
      <c r="L304" s="152" t="s">
        <v>1435</v>
      </c>
      <c r="M304" s="152" t="s">
        <v>2705</v>
      </c>
      <c r="N304" s="152" t="s">
        <v>2675</v>
      </c>
      <c r="O304" s="152" t="s">
        <v>2705</v>
      </c>
      <c r="P304" s="152" t="s">
        <v>2675</v>
      </c>
      <c r="Q304" s="152" t="s">
        <v>2705</v>
      </c>
      <c r="R304" s="152" t="s">
        <v>1435</v>
      </c>
      <c r="S304" s="152" t="s">
        <v>2675</v>
      </c>
      <c r="T304" s="152" t="s">
        <v>2705</v>
      </c>
      <c r="U304" s="152" t="s">
        <v>2397</v>
      </c>
      <c r="V304" s="142" t="str" cm="1">
        <f t="array" ref="V304">IF(A304&lt;&gt;"",SUM(--(B304:U305 = "X")*$U$3,--(B304:U305 ="A")*$Q$3,--(B304:U305 ="B")*$R$3,--(B304:U305 ="C")*$S$3),"")</f>
        <v/>
      </c>
      <c r="X304" s="437" t="s">
        <v>7612</v>
      </c>
      <c r="Y304" s="437">
        <v>16</v>
      </c>
      <c r="Z304" s="436">
        <f>_xlfn.XLOOKUP(answers[[#This Row],[StudentID]],$A$7:$A$1418,$V$7:$V$1418)</f>
        <v>16</v>
      </c>
      <c r="AG304" s="142" t="s">
        <v>2397</v>
      </c>
      <c r="AH304" s="142" t="s">
        <v>2398</v>
      </c>
      <c r="AI304" s="142" t="s">
        <v>2397</v>
      </c>
      <c r="AJ304" s="142" t="s">
        <v>2397</v>
      </c>
      <c r="AK304" s="142" t="s">
        <v>2705</v>
      </c>
      <c r="AL304" s="142" t="s">
        <v>2397</v>
      </c>
      <c r="AM304" s="142" t="s">
        <v>2398</v>
      </c>
      <c r="AN304" s="142" t="s">
        <v>2398</v>
      </c>
      <c r="AO304" s="142" t="s">
        <v>2705</v>
      </c>
      <c r="AP304" s="142" t="s">
        <v>2398</v>
      </c>
      <c r="AQ304" s="142" t="s">
        <v>1435</v>
      </c>
      <c r="AR304" s="142" t="s">
        <v>2705</v>
      </c>
      <c r="AS304" s="142" t="s">
        <v>2675</v>
      </c>
      <c r="AT304" s="142" t="s">
        <v>2705</v>
      </c>
      <c r="AU304" s="142" t="s">
        <v>2675</v>
      </c>
      <c r="AV304" s="142" t="s">
        <v>2705</v>
      </c>
      <c r="AW304" s="142" t="s">
        <v>1435</v>
      </c>
      <c r="AX304" s="142" t="s">
        <v>2675</v>
      </c>
      <c r="AY304" s="142" t="s">
        <v>2705</v>
      </c>
      <c r="AZ304" s="142" t="s">
        <v>2397</v>
      </c>
    </row>
    <row r="305" spans="1:52" s="142" customFormat="1" ht="12.75" x14ac:dyDescent="0.2">
      <c r="A305" s="151" t="s">
        <v>7469</v>
      </c>
      <c r="B305" s="152" t="s">
        <v>2397</v>
      </c>
      <c r="C305" s="152" t="s">
        <v>1435</v>
      </c>
      <c r="D305" s="152" t="s">
        <v>1435</v>
      </c>
      <c r="E305" s="152" t="s">
        <v>2705</v>
      </c>
      <c r="F305" s="152" t="s">
        <v>2675</v>
      </c>
      <c r="G305" s="152" t="s">
        <v>2705</v>
      </c>
      <c r="H305" s="152" t="s">
        <v>2705</v>
      </c>
      <c r="I305" s="152" t="s">
        <v>2675</v>
      </c>
      <c r="J305" s="152" t="s">
        <v>2705</v>
      </c>
      <c r="K305" s="152" t="s">
        <v>1435</v>
      </c>
      <c r="L305" s="152" t="s">
        <v>1435</v>
      </c>
      <c r="M305" s="152" t="s">
        <v>2705</v>
      </c>
      <c r="N305" s="152" t="s">
        <v>2675</v>
      </c>
      <c r="O305" s="152" t="s">
        <v>2397</v>
      </c>
      <c r="P305" s="152" t="s">
        <v>1435</v>
      </c>
      <c r="Q305" s="152" t="s">
        <v>2705</v>
      </c>
      <c r="R305" s="152" t="s">
        <v>2705</v>
      </c>
      <c r="S305" s="152" t="s">
        <v>2397</v>
      </c>
      <c r="T305" s="152" t="s">
        <v>2705</v>
      </c>
      <c r="U305" s="152" t="s">
        <v>2705</v>
      </c>
      <c r="V305" s="142" cm="1">
        <f t="array" ref="V305">IF(A305&lt;&gt;"",SUM(--(B305:U306 = "X")*$U$3,--(B305:U306 ="A")*$Q$3,--(B305:U306 ="B")*$R$3,--(B305:U306 ="C")*$S$3),"")</f>
        <v>9.5</v>
      </c>
      <c r="X305" s="437" t="s">
        <v>7613</v>
      </c>
      <c r="Y305" s="437">
        <v>27.5</v>
      </c>
      <c r="Z305" s="436">
        <f>_xlfn.XLOOKUP(answers[[#This Row],[StudentID]],$A$7:$A$1418,$V$7:$V$1418)</f>
        <v>27.5</v>
      </c>
      <c r="AF305" s="142" t="s">
        <v>7469</v>
      </c>
      <c r="AG305" s="142" t="s">
        <v>2397</v>
      </c>
      <c r="AH305" s="142" t="s">
        <v>1435</v>
      </c>
      <c r="AI305" s="142" t="s">
        <v>1435</v>
      </c>
      <c r="AJ305" s="142" t="s">
        <v>2705</v>
      </c>
      <c r="AK305" s="142" t="s">
        <v>2675</v>
      </c>
      <c r="AL305" s="142" t="s">
        <v>2705</v>
      </c>
      <c r="AM305" s="142" t="s">
        <v>2705</v>
      </c>
      <c r="AN305" s="142" t="s">
        <v>2675</v>
      </c>
      <c r="AO305" s="142" t="s">
        <v>2705</v>
      </c>
      <c r="AP305" s="142" t="s">
        <v>1435</v>
      </c>
      <c r="AQ305" s="142" t="s">
        <v>1435</v>
      </c>
      <c r="AR305" s="142" t="s">
        <v>2705</v>
      </c>
      <c r="AS305" s="142" t="s">
        <v>2675</v>
      </c>
      <c r="AT305" s="142" t="s">
        <v>2397</v>
      </c>
      <c r="AU305" s="142" t="s">
        <v>1435</v>
      </c>
      <c r="AV305" s="142" t="s">
        <v>2705</v>
      </c>
      <c r="AW305" s="142" t="s">
        <v>2705</v>
      </c>
      <c r="AX305" s="142" t="s">
        <v>2397</v>
      </c>
      <c r="AY305" s="142" t="s">
        <v>2705</v>
      </c>
      <c r="AZ305" s="142" t="s">
        <v>2705</v>
      </c>
    </row>
    <row r="306" spans="1:52" s="142" customFormat="1" ht="12.75" x14ac:dyDescent="0.2">
      <c r="A306" s="151"/>
      <c r="B306" s="152" t="s">
        <v>2675</v>
      </c>
      <c r="C306" s="152" t="s">
        <v>2675</v>
      </c>
      <c r="D306" s="152" t="s">
        <v>2705</v>
      </c>
      <c r="E306" s="152" t="s">
        <v>2705</v>
      </c>
      <c r="F306" s="152" t="s">
        <v>2705</v>
      </c>
      <c r="G306" s="152" t="s">
        <v>1435</v>
      </c>
      <c r="H306" s="152" t="s">
        <v>2675</v>
      </c>
      <c r="I306" s="152" t="s">
        <v>1435</v>
      </c>
      <c r="J306" s="152" t="s">
        <v>2397</v>
      </c>
      <c r="K306" s="152" t="s">
        <v>2705</v>
      </c>
      <c r="L306" s="152" t="s">
        <v>2705</v>
      </c>
      <c r="M306" s="152" t="s">
        <v>1435</v>
      </c>
      <c r="N306" s="152" t="s">
        <v>2397</v>
      </c>
      <c r="O306" s="152" t="s">
        <v>2675</v>
      </c>
      <c r="P306" s="152" t="s">
        <v>2705</v>
      </c>
      <c r="Q306" s="152" t="s">
        <v>1435</v>
      </c>
      <c r="R306" s="152" t="s">
        <v>2705</v>
      </c>
      <c r="S306" s="152" t="s">
        <v>2705</v>
      </c>
      <c r="T306" s="152" t="s">
        <v>2705</v>
      </c>
      <c r="U306" s="152" t="s">
        <v>2675</v>
      </c>
      <c r="V306" s="142" t="str" cm="1">
        <f t="array" ref="V306">IF(A306&lt;&gt;"",SUM(--(B306:U307 = "X")*$U$3,--(B306:U307 ="A")*$Q$3,--(B306:U307 ="B")*$R$3,--(B306:U307 ="C")*$S$3),"")</f>
        <v/>
      </c>
      <c r="X306" s="437" t="s">
        <v>7614</v>
      </c>
      <c r="Y306" s="437">
        <v>31.5</v>
      </c>
      <c r="Z306" s="436">
        <f>_xlfn.XLOOKUP(answers[[#This Row],[StudentID]],$A$7:$A$1418,$V$7:$V$1418)</f>
        <v>31.5</v>
      </c>
      <c r="AG306" s="142" t="s">
        <v>2675</v>
      </c>
      <c r="AH306" s="142" t="s">
        <v>2675</v>
      </c>
      <c r="AI306" s="142" t="s">
        <v>2705</v>
      </c>
      <c r="AJ306" s="142" t="s">
        <v>2705</v>
      </c>
      <c r="AK306" s="142" t="s">
        <v>2705</v>
      </c>
      <c r="AL306" s="142" t="s">
        <v>1435</v>
      </c>
      <c r="AM306" s="142" t="s">
        <v>2675</v>
      </c>
      <c r="AN306" s="142" t="s">
        <v>1435</v>
      </c>
      <c r="AO306" s="142" t="s">
        <v>2397</v>
      </c>
      <c r="AP306" s="142" t="s">
        <v>2705</v>
      </c>
      <c r="AQ306" s="142" t="s">
        <v>2705</v>
      </c>
      <c r="AR306" s="142" t="s">
        <v>1435</v>
      </c>
      <c r="AS306" s="142" t="s">
        <v>2397</v>
      </c>
      <c r="AT306" s="142" t="s">
        <v>2675</v>
      </c>
      <c r="AU306" s="142" t="s">
        <v>2705</v>
      </c>
      <c r="AV306" s="142" t="s">
        <v>1435</v>
      </c>
      <c r="AW306" s="142" t="s">
        <v>2705</v>
      </c>
      <c r="AX306" s="142" t="s">
        <v>2705</v>
      </c>
      <c r="AY306" s="142" t="s">
        <v>2705</v>
      </c>
      <c r="AZ306" s="142" t="s">
        <v>2675</v>
      </c>
    </row>
    <row r="307" spans="1:52" s="142" customFormat="1" ht="12.75" x14ac:dyDescent="0.2">
      <c r="A307" s="151" t="s">
        <v>7470</v>
      </c>
      <c r="B307" s="152" t="s">
        <v>2398</v>
      </c>
      <c r="C307" s="152" t="s">
        <v>2398</v>
      </c>
      <c r="D307" s="152" t="s">
        <v>1435</v>
      </c>
      <c r="E307" s="152" t="s">
        <v>2705</v>
      </c>
      <c r="F307" s="152" t="s">
        <v>2398</v>
      </c>
      <c r="G307" s="152" t="s">
        <v>2705</v>
      </c>
      <c r="H307" s="152" t="s">
        <v>2397</v>
      </c>
      <c r="I307" s="152" t="s">
        <v>2705</v>
      </c>
      <c r="J307" s="152" t="s">
        <v>2705</v>
      </c>
      <c r="K307" s="152" t="s">
        <v>2705</v>
      </c>
      <c r="L307" s="152" t="s">
        <v>2398</v>
      </c>
      <c r="M307" s="152" t="s">
        <v>2398</v>
      </c>
      <c r="N307" s="152" t="s">
        <v>2705</v>
      </c>
      <c r="O307" s="152" t="s">
        <v>2397</v>
      </c>
      <c r="P307" s="152" t="s">
        <v>2398</v>
      </c>
      <c r="Q307" s="152" t="s">
        <v>2705</v>
      </c>
      <c r="R307" s="152" t="s">
        <v>2705</v>
      </c>
      <c r="S307" s="152" t="s">
        <v>2705</v>
      </c>
      <c r="T307" s="152" t="s">
        <v>2397</v>
      </c>
      <c r="U307" s="152" t="s">
        <v>2397</v>
      </c>
      <c r="V307" s="142" cm="1">
        <f t="array" ref="V307">IF(A307&lt;&gt;"",SUM(--(B307:U308 = "X")*$U$3,--(B307:U308 ="A")*$Q$3,--(B307:U308 ="B")*$R$3,--(B307:U308 ="C")*$S$3),"")</f>
        <v>17</v>
      </c>
      <c r="X307" s="437" t="s">
        <v>7615</v>
      </c>
      <c r="Y307" s="437">
        <v>20</v>
      </c>
      <c r="Z307" s="436">
        <f>_xlfn.XLOOKUP(answers[[#This Row],[StudentID]],$A$7:$A$1418,$V$7:$V$1418)</f>
        <v>20</v>
      </c>
      <c r="AF307" s="142" t="s">
        <v>7470</v>
      </c>
      <c r="AG307" s="142" t="s">
        <v>2398</v>
      </c>
      <c r="AH307" s="142" t="s">
        <v>2398</v>
      </c>
      <c r="AI307" s="142" t="s">
        <v>1435</v>
      </c>
      <c r="AJ307" s="142" t="s">
        <v>2705</v>
      </c>
      <c r="AK307" s="142" t="s">
        <v>2398</v>
      </c>
      <c r="AL307" s="142" t="s">
        <v>2705</v>
      </c>
      <c r="AM307" s="142" t="s">
        <v>2397</v>
      </c>
      <c r="AN307" s="142" t="s">
        <v>2705</v>
      </c>
      <c r="AO307" s="142" t="s">
        <v>2705</v>
      </c>
      <c r="AP307" s="142" t="s">
        <v>2705</v>
      </c>
      <c r="AQ307" s="142" t="s">
        <v>2398</v>
      </c>
      <c r="AR307" s="142" t="s">
        <v>2398</v>
      </c>
      <c r="AS307" s="142" t="s">
        <v>2705</v>
      </c>
      <c r="AT307" s="142" t="s">
        <v>2397</v>
      </c>
      <c r="AU307" s="142" t="s">
        <v>2398</v>
      </c>
      <c r="AV307" s="142" t="s">
        <v>2705</v>
      </c>
      <c r="AW307" s="142" t="s">
        <v>2705</v>
      </c>
      <c r="AX307" s="142" t="s">
        <v>2705</v>
      </c>
      <c r="AY307" s="142" t="s">
        <v>2397</v>
      </c>
      <c r="AZ307" s="142" t="s">
        <v>2397</v>
      </c>
    </row>
    <row r="308" spans="1:52" s="142" customFormat="1" ht="12.75" x14ac:dyDescent="0.2">
      <c r="A308" s="151"/>
      <c r="B308" s="152" t="s">
        <v>2398</v>
      </c>
      <c r="C308" s="152" t="s">
        <v>2675</v>
      </c>
      <c r="D308" s="152" t="s">
        <v>2398</v>
      </c>
      <c r="E308" s="152" t="s">
        <v>2675</v>
      </c>
      <c r="F308" s="152" t="s">
        <v>2397</v>
      </c>
      <c r="G308" s="152" t="s">
        <v>2705</v>
      </c>
      <c r="H308" s="152" t="s">
        <v>2397</v>
      </c>
      <c r="I308" s="152" t="s">
        <v>2705</v>
      </c>
      <c r="J308" s="152" t="s">
        <v>2398</v>
      </c>
      <c r="K308" s="152" t="s">
        <v>2705</v>
      </c>
      <c r="L308" s="152" t="s">
        <v>2398</v>
      </c>
      <c r="M308" s="152" t="s">
        <v>2705</v>
      </c>
      <c r="N308" s="152" t="s">
        <v>2705</v>
      </c>
      <c r="O308" s="152" t="s">
        <v>2705</v>
      </c>
      <c r="P308" s="152" t="s">
        <v>2675</v>
      </c>
      <c r="Q308" s="152" t="s">
        <v>2705</v>
      </c>
      <c r="R308" s="152" t="s">
        <v>2705</v>
      </c>
      <c r="S308" s="152" t="s">
        <v>2705</v>
      </c>
      <c r="T308" s="152" t="s">
        <v>2705</v>
      </c>
      <c r="U308" s="152" t="s">
        <v>2398</v>
      </c>
      <c r="V308" s="142" t="str" cm="1">
        <f t="array" ref="V308">IF(A308&lt;&gt;"",SUM(--(B308:U309 = "X")*$U$3,--(B308:U309 ="A")*$Q$3,--(B308:U309 ="B")*$R$3,--(B308:U309 ="C")*$S$3),"")</f>
        <v/>
      </c>
      <c r="X308" s="437" t="s">
        <v>7616</v>
      </c>
      <c r="Y308" s="437">
        <v>20</v>
      </c>
      <c r="Z308" s="436">
        <f>_xlfn.XLOOKUP(answers[[#This Row],[StudentID]],$A$7:$A$1418,$V$7:$V$1418)</f>
        <v>20</v>
      </c>
      <c r="AG308" s="142" t="s">
        <v>2398</v>
      </c>
      <c r="AH308" s="142" t="s">
        <v>2675</v>
      </c>
      <c r="AI308" s="142" t="s">
        <v>2398</v>
      </c>
      <c r="AJ308" s="142" t="s">
        <v>2675</v>
      </c>
      <c r="AK308" s="142" t="s">
        <v>2397</v>
      </c>
      <c r="AL308" s="142" t="s">
        <v>2705</v>
      </c>
      <c r="AM308" s="142" t="s">
        <v>2397</v>
      </c>
      <c r="AN308" s="142" t="s">
        <v>2705</v>
      </c>
      <c r="AO308" s="142" t="s">
        <v>2398</v>
      </c>
      <c r="AP308" s="142" t="s">
        <v>2705</v>
      </c>
      <c r="AQ308" s="142" t="s">
        <v>2398</v>
      </c>
      <c r="AR308" s="142" t="s">
        <v>2705</v>
      </c>
      <c r="AS308" s="142" t="s">
        <v>2705</v>
      </c>
      <c r="AT308" s="142" t="s">
        <v>2705</v>
      </c>
      <c r="AU308" s="142" t="s">
        <v>2675</v>
      </c>
      <c r="AV308" s="142" t="s">
        <v>2705</v>
      </c>
      <c r="AW308" s="142" t="s">
        <v>2705</v>
      </c>
      <c r="AX308" s="142" t="s">
        <v>2705</v>
      </c>
      <c r="AY308" s="142" t="s">
        <v>2705</v>
      </c>
      <c r="AZ308" s="142" t="s">
        <v>2398</v>
      </c>
    </row>
    <row r="309" spans="1:52" s="142" customFormat="1" ht="12.75" x14ac:dyDescent="0.2">
      <c r="A309" s="151" t="s">
        <v>7471</v>
      </c>
      <c r="B309" s="152" t="s">
        <v>2705</v>
      </c>
      <c r="C309" s="152" t="s">
        <v>2705</v>
      </c>
      <c r="D309" s="152" t="s">
        <v>2705</v>
      </c>
      <c r="E309" s="152" t="s">
        <v>2705</v>
      </c>
      <c r="F309" s="152" t="s">
        <v>2705</v>
      </c>
      <c r="G309" s="152" t="s">
        <v>2398</v>
      </c>
      <c r="H309" s="152" t="s">
        <v>2675</v>
      </c>
      <c r="I309" s="152" t="s">
        <v>2398</v>
      </c>
      <c r="J309" s="152" t="s">
        <v>2705</v>
      </c>
      <c r="K309" s="152" t="s">
        <v>2398</v>
      </c>
      <c r="L309" s="152" t="s">
        <v>2398</v>
      </c>
      <c r="M309" s="152" t="s">
        <v>2705</v>
      </c>
      <c r="N309" s="152" t="s">
        <v>2705</v>
      </c>
      <c r="O309" s="152" t="s">
        <v>2705</v>
      </c>
      <c r="P309" s="152" t="s">
        <v>2398</v>
      </c>
      <c r="Q309" s="152" t="s">
        <v>2705</v>
      </c>
      <c r="R309" s="152" t="s">
        <v>2705</v>
      </c>
      <c r="S309" s="152" t="s">
        <v>2705</v>
      </c>
      <c r="T309" s="152" t="s">
        <v>2675</v>
      </c>
      <c r="U309" s="152" t="s">
        <v>2705</v>
      </c>
      <c r="V309" s="142" cm="1">
        <f t="array" ref="V309">IF(A309&lt;&gt;"",SUM(--(B309:U310 = "X")*$U$3,--(B309:U310 ="A")*$Q$3,--(B309:U310 ="B")*$R$3,--(B309:U310 ="C")*$S$3),"")</f>
        <v>21</v>
      </c>
      <c r="X309" s="437" t="s">
        <v>7617</v>
      </c>
      <c r="Y309" s="437">
        <v>21.5</v>
      </c>
      <c r="Z309" s="436">
        <f>_xlfn.XLOOKUP(answers[[#This Row],[StudentID]],$A$7:$A$1418,$V$7:$V$1418)</f>
        <v>21.5</v>
      </c>
      <c r="AF309" s="142" t="s">
        <v>7471</v>
      </c>
      <c r="AG309" s="142" t="s">
        <v>2705</v>
      </c>
      <c r="AH309" s="142" t="s">
        <v>2705</v>
      </c>
      <c r="AI309" s="142" t="s">
        <v>2705</v>
      </c>
      <c r="AJ309" s="142" t="s">
        <v>2705</v>
      </c>
      <c r="AK309" s="142" t="s">
        <v>2705</v>
      </c>
      <c r="AL309" s="142" t="s">
        <v>2398</v>
      </c>
      <c r="AM309" s="142" t="s">
        <v>2675</v>
      </c>
      <c r="AN309" s="142" t="s">
        <v>2398</v>
      </c>
      <c r="AO309" s="142" t="s">
        <v>2705</v>
      </c>
      <c r="AP309" s="142" t="s">
        <v>2398</v>
      </c>
      <c r="AQ309" s="142" t="s">
        <v>2398</v>
      </c>
      <c r="AR309" s="142" t="s">
        <v>2705</v>
      </c>
      <c r="AS309" s="142" t="s">
        <v>2705</v>
      </c>
      <c r="AT309" s="142" t="s">
        <v>2705</v>
      </c>
      <c r="AU309" s="142" t="s">
        <v>2398</v>
      </c>
      <c r="AV309" s="142" t="s">
        <v>2705</v>
      </c>
      <c r="AW309" s="142" t="s">
        <v>2705</v>
      </c>
      <c r="AX309" s="142" t="s">
        <v>2705</v>
      </c>
      <c r="AY309" s="142" t="s">
        <v>2675</v>
      </c>
      <c r="AZ309" s="142" t="s">
        <v>2705</v>
      </c>
    </row>
    <row r="310" spans="1:52" s="142" customFormat="1" ht="12.75" x14ac:dyDescent="0.2">
      <c r="A310" s="151"/>
      <c r="B310" s="152" t="s">
        <v>2705</v>
      </c>
      <c r="C310" s="152" t="s">
        <v>2675</v>
      </c>
      <c r="D310" s="152" t="s">
        <v>2705</v>
      </c>
      <c r="E310" s="152" t="s">
        <v>2675</v>
      </c>
      <c r="F310" s="152" t="s">
        <v>2398</v>
      </c>
      <c r="G310" s="152" t="s">
        <v>2398</v>
      </c>
      <c r="H310" s="152" t="s">
        <v>2705</v>
      </c>
      <c r="I310" s="152" t="s">
        <v>2705</v>
      </c>
      <c r="J310" s="152" t="s">
        <v>2705</v>
      </c>
      <c r="K310" s="152" t="s">
        <v>2705</v>
      </c>
      <c r="L310" s="152" t="s">
        <v>2398</v>
      </c>
      <c r="M310" s="152" t="s">
        <v>2705</v>
      </c>
      <c r="N310" s="152" t="s">
        <v>2705</v>
      </c>
      <c r="O310" s="152" t="s">
        <v>2397</v>
      </c>
      <c r="P310" s="152" t="s">
        <v>2398</v>
      </c>
      <c r="Q310" s="152" t="s">
        <v>2398</v>
      </c>
      <c r="R310" s="152" t="s">
        <v>2705</v>
      </c>
      <c r="S310" s="152" t="s">
        <v>2398</v>
      </c>
      <c r="T310" s="152" t="s">
        <v>2705</v>
      </c>
      <c r="U310" s="152" t="s">
        <v>2398</v>
      </c>
      <c r="V310" s="142" t="str" cm="1">
        <f t="array" ref="V310">IF(A310&lt;&gt;"",SUM(--(B310:U311 = "X")*$U$3,--(B310:U311 ="A")*$Q$3,--(B310:U311 ="B")*$R$3,--(B310:U311 ="C")*$S$3),"")</f>
        <v/>
      </c>
      <c r="X310" s="437" t="s">
        <v>7618</v>
      </c>
      <c r="Y310" s="437">
        <v>25.5</v>
      </c>
      <c r="Z310" s="436">
        <f>_xlfn.XLOOKUP(answers[[#This Row],[StudentID]],$A$7:$A$1418,$V$7:$V$1418)</f>
        <v>25.5</v>
      </c>
      <c r="AG310" s="142" t="s">
        <v>2705</v>
      </c>
      <c r="AH310" s="142" t="s">
        <v>2675</v>
      </c>
      <c r="AI310" s="142" t="s">
        <v>2705</v>
      </c>
      <c r="AJ310" s="142" t="s">
        <v>2675</v>
      </c>
      <c r="AK310" s="142" t="s">
        <v>2398</v>
      </c>
      <c r="AL310" s="142" t="s">
        <v>2398</v>
      </c>
      <c r="AM310" s="142" t="s">
        <v>2705</v>
      </c>
      <c r="AN310" s="142" t="s">
        <v>2705</v>
      </c>
      <c r="AO310" s="142" t="s">
        <v>2705</v>
      </c>
      <c r="AP310" s="142" t="s">
        <v>2705</v>
      </c>
      <c r="AQ310" s="142" t="s">
        <v>2398</v>
      </c>
      <c r="AR310" s="142" t="s">
        <v>2705</v>
      </c>
      <c r="AS310" s="142" t="s">
        <v>2705</v>
      </c>
      <c r="AT310" s="142" t="s">
        <v>2397</v>
      </c>
      <c r="AU310" s="142" t="s">
        <v>2398</v>
      </c>
      <c r="AV310" s="142" t="s">
        <v>2398</v>
      </c>
      <c r="AW310" s="142" t="s">
        <v>2705</v>
      </c>
      <c r="AX310" s="142" t="s">
        <v>2398</v>
      </c>
      <c r="AY310" s="142" t="s">
        <v>2705</v>
      </c>
      <c r="AZ310" s="142" t="s">
        <v>2398</v>
      </c>
    </row>
    <row r="311" spans="1:52" s="142" customFormat="1" ht="12.75" x14ac:dyDescent="0.2">
      <c r="A311" s="151" t="s">
        <v>7472</v>
      </c>
      <c r="B311" s="152" t="s">
        <v>2398</v>
      </c>
      <c r="C311" s="152" t="s">
        <v>2705</v>
      </c>
      <c r="D311" s="152" t="s">
        <v>2705</v>
      </c>
      <c r="E311" s="152" t="s">
        <v>2398</v>
      </c>
      <c r="F311" s="152" t="s">
        <v>2397</v>
      </c>
      <c r="G311" s="152" t="s">
        <v>2705</v>
      </c>
      <c r="H311" s="152" t="s">
        <v>2705</v>
      </c>
      <c r="I311" s="152" t="s">
        <v>2398</v>
      </c>
      <c r="J311" s="152" t="s">
        <v>2398</v>
      </c>
      <c r="K311" s="152" t="s">
        <v>2397</v>
      </c>
      <c r="L311" s="152" t="s">
        <v>2705</v>
      </c>
      <c r="M311" s="152" t="s">
        <v>2398</v>
      </c>
      <c r="N311" s="152" t="s">
        <v>2705</v>
      </c>
      <c r="O311" s="152" t="s">
        <v>2398</v>
      </c>
      <c r="P311" s="152" t="s">
        <v>2398</v>
      </c>
      <c r="Q311" s="152" t="s">
        <v>2398</v>
      </c>
      <c r="R311" s="152" t="s">
        <v>2705</v>
      </c>
      <c r="S311" s="152" t="s">
        <v>2705</v>
      </c>
      <c r="T311" s="152" t="s">
        <v>2398</v>
      </c>
      <c r="U311" s="152" t="s">
        <v>2398</v>
      </c>
      <c r="V311" s="142" cm="1">
        <f t="array" ref="V311">IF(A311&lt;&gt;"",SUM(--(B311:U312 = "X")*$U$3,--(B311:U312 ="A")*$Q$3,--(B311:U312 ="B")*$R$3,--(B311:U312 ="C")*$S$3),"")</f>
        <v>18.5</v>
      </c>
      <c r="X311" s="437" t="s">
        <v>7619</v>
      </c>
      <c r="Y311" s="437">
        <v>19.5</v>
      </c>
      <c r="Z311" s="436">
        <f>_xlfn.XLOOKUP(answers[[#This Row],[StudentID]],$A$7:$A$1418,$V$7:$V$1418)</f>
        <v>19.5</v>
      </c>
      <c r="AF311" s="142" t="s">
        <v>7472</v>
      </c>
      <c r="AG311" s="142" t="s">
        <v>2398</v>
      </c>
      <c r="AH311" s="142" t="s">
        <v>2705</v>
      </c>
      <c r="AI311" s="142" t="s">
        <v>2705</v>
      </c>
      <c r="AJ311" s="142" t="s">
        <v>2398</v>
      </c>
      <c r="AK311" s="142" t="s">
        <v>2397</v>
      </c>
      <c r="AL311" s="142" t="s">
        <v>2705</v>
      </c>
      <c r="AM311" s="142" t="s">
        <v>2705</v>
      </c>
      <c r="AN311" s="142" t="s">
        <v>2398</v>
      </c>
      <c r="AO311" s="142" t="s">
        <v>2398</v>
      </c>
      <c r="AP311" s="142" t="s">
        <v>2397</v>
      </c>
      <c r="AQ311" s="142" t="s">
        <v>2705</v>
      </c>
      <c r="AR311" s="142" t="s">
        <v>2398</v>
      </c>
      <c r="AS311" s="142" t="s">
        <v>2705</v>
      </c>
      <c r="AT311" s="142" t="s">
        <v>2398</v>
      </c>
      <c r="AU311" s="142" t="s">
        <v>2398</v>
      </c>
      <c r="AV311" s="142" t="s">
        <v>2398</v>
      </c>
      <c r="AW311" s="142" t="s">
        <v>2705</v>
      </c>
      <c r="AX311" s="142" t="s">
        <v>2705</v>
      </c>
      <c r="AY311" s="142" t="s">
        <v>2398</v>
      </c>
      <c r="AZ311" s="142" t="s">
        <v>2398</v>
      </c>
    </row>
    <row r="312" spans="1:52" s="142" customFormat="1" ht="12.75" x14ac:dyDescent="0.2">
      <c r="A312" s="151"/>
      <c r="B312" s="152" t="s">
        <v>2705</v>
      </c>
      <c r="C312" s="152" t="s">
        <v>1435</v>
      </c>
      <c r="D312" s="152" t="s">
        <v>2705</v>
      </c>
      <c r="E312" s="152" t="s">
        <v>2705</v>
      </c>
      <c r="F312" s="152" t="s">
        <v>2705</v>
      </c>
      <c r="G312" s="152" t="s">
        <v>2398</v>
      </c>
      <c r="H312" s="152" t="s">
        <v>2397</v>
      </c>
      <c r="I312" s="152" t="s">
        <v>2705</v>
      </c>
      <c r="J312" s="152" t="s">
        <v>2705</v>
      </c>
      <c r="K312" s="152" t="s">
        <v>2705</v>
      </c>
      <c r="L312" s="152" t="s">
        <v>2398</v>
      </c>
      <c r="M312" s="152" t="s">
        <v>1435</v>
      </c>
      <c r="N312" s="152" t="s">
        <v>2705</v>
      </c>
      <c r="O312" s="152" t="s">
        <v>2705</v>
      </c>
      <c r="P312" s="152" t="s">
        <v>2398</v>
      </c>
      <c r="Q312" s="152" t="s">
        <v>2705</v>
      </c>
      <c r="R312" s="152" t="s">
        <v>2398</v>
      </c>
      <c r="S312" s="152" t="s">
        <v>2675</v>
      </c>
      <c r="T312" s="152" t="s">
        <v>2705</v>
      </c>
      <c r="U312" s="152" t="s">
        <v>2705</v>
      </c>
      <c r="V312" s="142" t="str" cm="1">
        <f t="array" ref="V312">IF(A312&lt;&gt;"",SUM(--(B312:U313 = "X")*$U$3,--(B312:U313 ="A")*$Q$3,--(B312:U313 ="B")*$R$3,--(B312:U313 ="C")*$S$3),"")</f>
        <v/>
      </c>
      <c r="X312" s="437" t="s">
        <v>7620</v>
      </c>
      <c r="Y312" s="437">
        <v>4.5</v>
      </c>
      <c r="Z312" s="436">
        <f>_xlfn.XLOOKUP(answers[[#This Row],[StudentID]],$A$7:$A$1418,$V$7:$V$1418)</f>
        <v>4.5</v>
      </c>
      <c r="AG312" s="142" t="s">
        <v>2705</v>
      </c>
      <c r="AH312" s="142" t="s">
        <v>1435</v>
      </c>
      <c r="AI312" s="142" t="s">
        <v>2705</v>
      </c>
      <c r="AJ312" s="142" t="s">
        <v>2705</v>
      </c>
      <c r="AK312" s="142" t="s">
        <v>2705</v>
      </c>
      <c r="AL312" s="142" t="s">
        <v>2398</v>
      </c>
      <c r="AM312" s="142" t="s">
        <v>2397</v>
      </c>
      <c r="AN312" s="142" t="s">
        <v>2705</v>
      </c>
      <c r="AO312" s="142" t="s">
        <v>2705</v>
      </c>
      <c r="AP312" s="142" t="s">
        <v>2705</v>
      </c>
      <c r="AQ312" s="142" t="s">
        <v>2398</v>
      </c>
      <c r="AR312" s="142" t="s">
        <v>1435</v>
      </c>
      <c r="AS312" s="142" t="s">
        <v>2705</v>
      </c>
      <c r="AT312" s="142" t="s">
        <v>2705</v>
      </c>
      <c r="AU312" s="142" t="s">
        <v>2398</v>
      </c>
      <c r="AV312" s="142" t="s">
        <v>2705</v>
      </c>
      <c r="AW312" s="142" t="s">
        <v>2398</v>
      </c>
      <c r="AX312" s="142" t="s">
        <v>2675</v>
      </c>
      <c r="AY312" s="142" t="s">
        <v>2705</v>
      </c>
      <c r="AZ312" s="142" t="s">
        <v>2705</v>
      </c>
    </row>
    <row r="313" spans="1:52" s="142" customFormat="1" ht="12.75" x14ac:dyDescent="0.2">
      <c r="A313" s="151" t="s">
        <v>7473</v>
      </c>
      <c r="B313" s="152" t="s">
        <v>2398</v>
      </c>
      <c r="C313" s="152" t="s">
        <v>2398</v>
      </c>
      <c r="D313" s="152" t="s">
        <v>1435</v>
      </c>
      <c r="E313" s="152" t="s">
        <v>2705</v>
      </c>
      <c r="F313" s="152" t="s">
        <v>2398</v>
      </c>
      <c r="G313" s="152" t="s">
        <v>2705</v>
      </c>
      <c r="H313" s="152" t="s">
        <v>2397</v>
      </c>
      <c r="I313" s="152" t="s">
        <v>2397</v>
      </c>
      <c r="J313" s="152" t="s">
        <v>2705</v>
      </c>
      <c r="K313" s="152" t="s">
        <v>2398</v>
      </c>
      <c r="L313" s="152" t="s">
        <v>1435</v>
      </c>
      <c r="M313" s="152" t="s">
        <v>2705</v>
      </c>
      <c r="N313" s="152" t="s">
        <v>2397</v>
      </c>
      <c r="O313" s="152" t="s">
        <v>2675</v>
      </c>
      <c r="P313" s="152" t="s">
        <v>2705</v>
      </c>
      <c r="Q313" s="152" t="s">
        <v>2705</v>
      </c>
      <c r="R313" s="152" t="s">
        <v>2705</v>
      </c>
      <c r="S313" s="152" t="s">
        <v>2705</v>
      </c>
      <c r="T313" s="152" t="s">
        <v>2705</v>
      </c>
      <c r="U313" s="152" t="s">
        <v>2675</v>
      </c>
      <c r="V313" s="142" cm="1">
        <f t="array" ref="V313">IF(A313&lt;&gt;"",SUM(--(B313:U314 = "X")*$U$3,--(B313:U314 ="A")*$Q$3,--(B313:U314 ="B")*$R$3,--(B313:U314 ="C")*$S$3),"")</f>
        <v>7.5</v>
      </c>
      <c r="X313" s="437" t="s">
        <v>7621</v>
      </c>
      <c r="Y313" s="437">
        <v>22.5</v>
      </c>
      <c r="Z313" s="436">
        <f>_xlfn.XLOOKUP(answers[[#This Row],[StudentID]],$A$7:$A$1418,$V$7:$V$1418)</f>
        <v>22.5</v>
      </c>
      <c r="AF313" s="142" t="s">
        <v>7473</v>
      </c>
      <c r="AG313" s="142" t="s">
        <v>2398</v>
      </c>
      <c r="AH313" s="142" t="s">
        <v>2398</v>
      </c>
      <c r="AI313" s="142" t="s">
        <v>1435</v>
      </c>
      <c r="AJ313" s="142" t="s">
        <v>2705</v>
      </c>
      <c r="AK313" s="142" t="s">
        <v>2398</v>
      </c>
      <c r="AL313" s="142" t="s">
        <v>2705</v>
      </c>
      <c r="AM313" s="142" t="s">
        <v>2397</v>
      </c>
      <c r="AN313" s="142" t="s">
        <v>2397</v>
      </c>
      <c r="AO313" s="142" t="s">
        <v>2705</v>
      </c>
      <c r="AP313" s="142" t="s">
        <v>2398</v>
      </c>
      <c r="AQ313" s="142" t="s">
        <v>1435</v>
      </c>
      <c r="AR313" s="142" t="s">
        <v>2705</v>
      </c>
      <c r="AS313" s="142" t="s">
        <v>2397</v>
      </c>
      <c r="AT313" s="142" t="s">
        <v>2675</v>
      </c>
      <c r="AU313" s="142" t="s">
        <v>2705</v>
      </c>
      <c r="AV313" s="142" t="s">
        <v>2705</v>
      </c>
      <c r="AW313" s="142" t="s">
        <v>2705</v>
      </c>
      <c r="AX313" s="142" t="s">
        <v>2705</v>
      </c>
      <c r="AY313" s="142" t="s">
        <v>2705</v>
      </c>
      <c r="AZ313" s="142" t="s">
        <v>2675</v>
      </c>
    </row>
    <row r="314" spans="1:52" s="142" customFormat="1" ht="12.75" x14ac:dyDescent="0.2">
      <c r="A314" s="151"/>
      <c r="B314" s="152" t="s">
        <v>2398</v>
      </c>
      <c r="C314" s="152" t="s">
        <v>2675</v>
      </c>
      <c r="D314" s="152" t="s">
        <v>2398</v>
      </c>
      <c r="E314" s="152" t="s">
        <v>2398</v>
      </c>
      <c r="F314" s="152" t="s">
        <v>2705</v>
      </c>
      <c r="G314" s="152" t="s">
        <v>2398</v>
      </c>
      <c r="H314" s="152" t="s">
        <v>2675</v>
      </c>
      <c r="I314" s="152" t="s">
        <v>2398</v>
      </c>
      <c r="J314" s="152" t="s">
        <v>2398</v>
      </c>
      <c r="K314" s="152" t="s">
        <v>2398</v>
      </c>
      <c r="L314" s="152" t="s">
        <v>2675</v>
      </c>
      <c r="M314" s="152" t="s">
        <v>2398</v>
      </c>
      <c r="N314" s="152" t="s">
        <v>2705</v>
      </c>
      <c r="O314" s="152" t="s">
        <v>2398</v>
      </c>
      <c r="P314" s="152" t="s">
        <v>2675</v>
      </c>
      <c r="Q314" s="152" t="s">
        <v>2675</v>
      </c>
      <c r="R314" s="152" t="s">
        <v>2398</v>
      </c>
      <c r="S314" s="152" t="s">
        <v>2705</v>
      </c>
      <c r="T314" s="152" t="s">
        <v>2398</v>
      </c>
      <c r="U314" s="152" t="s">
        <v>2398</v>
      </c>
      <c r="V314" s="142" t="str" cm="1">
        <f t="array" ref="V314">IF(A314&lt;&gt;"",SUM(--(B314:U315 = "X")*$U$3,--(B314:U315 ="A")*$Q$3,--(B314:U315 ="B")*$R$3,--(B314:U315 ="C")*$S$3),"")</f>
        <v/>
      </c>
      <c r="X314" s="437" t="s">
        <v>7622</v>
      </c>
      <c r="Y314" s="437">
        <v>12.5</v>
      </c>
      <c r="Z314" s="436">
        <f>_xlfn.XLOOKUP(answers[[#This Row],[StudentID]],$A$7:$A$1418,$V$7:$V$1418)</f>
        <v>12.5</v>
      </c>
      <c r="AG314" s="142" t="s">
        <v>2398</v>
      </c>
      <c r="AH314" s="142" t="s">
        <v>2675</v>
      </c>
      <c r="AI314" s="142" t="s">
        <v>2398</v>
      </c>
      <c r="AJ314" s="142" t="s">
        <v>2398</v>
      </c>
      <c r="AK314" s="142" t="s">
        <v>2705</v>
      </c>
      <c r="AL314" s="142" t="s">
        <v>2398</v>
      </c>
      <c r="AM314" s="142" t="s">
        <v>2675</v>
      </c>
      <c r="AN314" s="142" t="s">
        <v>2398</v>
      </c>
      <c r="AO314" s="142" t="s">
        <v>2398</v>
      </c>
      <c r="AP314" s="142" t="s">
        <v>2398</v>
      </c>
      <c r="AQ314" s="142" t="s">
        <v>2675</v>
      </c>
      <c r="AR314" s="142" t="s">
        <v>2398</v>
      </c>
      <c r="AS314" s="142" t="s">
        <v>2705</v>
      </c>
      <c r="AT314" s="142" t="s">
        <v>2398</v>
      </c>
      <c r="AU314" s="142" t="s">
        <v>2675</v>
      </c>
      <c r="AV314" s="142" t="s">
        <v>2675</v>
      </c>
      <c r="AW314" s="142" t="s">
        <v>2398</v>
      </c>
      <c r="AX314" s="142" t="s">
        <v>2705</v>
      </c>
      <c r="AY314" s="142" t="s">
        <v>2398</v>
      </c>
      <c r="AZ314" s="142" t="s">
        <v>2398</v>
      </c>
    </row>
    <row r="315" spans="1:52" s="142" customFormat="1" ht="12.75" x14ac:dyDescent="0.2">
      <c r="A315" s="151" t="s">
        <v>7474</v>
      </c>
      <c r="B315" s="152" t="s">
        <v>2398</v>
      </c>
      <c r="C315" s="152" t="s">
        <v>2705</v>
      </c>
      <c r="D315" s="152" t="s">
        <v>2398</v>
      </c>
      <c r="E315" s="152" t="s">
        <v>2705</v>
      </c>
      <c r="F315" s="152" t="s">
        <v>2705</v>
      </c>
      <c r="G315" s="152" t="s">
        <v>2705</v>
      </c>
      <c r="H315" s="152" t="s">
        <v>2705</v>
      </c>
      <c r="I315" s="152" t="s">
        <v>2675</v>
      </c>
      <c r="J315" s="152" t="s">
        <v>2705</v>
      </c>
      <c r="K315" s="152" t="s">
        <v>2705</v>
      </c>
      <c r="L315" s="152" t="s">
        <v>2705</v>
      </c>
      <c r="M315" s="152" t="s">
        <v>2398</v>
      </c>
      <c r="N315" s="152" t="s">
        <v>2705</v>
      </c>
      <c r="O315" s="152" t="s">
        <v>2705</v>
      </c>
      <c r="P315" s="152" t="s">
        <v>2675</v>
      </c>
      <c r="Q315" s="152" t="s">
        <v>2705</v>
      </c>
      <c r="R315" s="152" t="s">
        <v>2705</v>
      </c>
      <c r="S315" s="152" t="s">
        <v>2675</v>
      </c>
      <c r="T315" s="152" t="s">
        <v>2675</v>
      </c>
      <c r="U315" s="152" t="s">
        <v>1435</v>
      </c>
      <c r="V315" s="142" cm="1">
        <f t="array" ref="V315">IF(A315&lt;&gt;"",SUM(--(B315:U316 = "X")*$U$3,--(B315:U316 ="A")*$Q$3,--(B315:U316 ="B")*$R$3,--(B315:U316 ="C")*$S$3),"")</f>
        <v>12</v>
      </c>
      <c r="X315" s="437" t="s">
        <v>7623</v>
      </c>
      <c r="Y315" s="437">
        <v>9.5</v>
      </c>
      <c r="Z315" s="436">
        <f>_xlfn.XLOOKUP(answers[[#This Row],[StudentID]],$A$7:$A$1418,$V$7:$V$1418)</f>
        <v>9.5</v>
      </c>
      <c r="AF315" s="142" t="s">
        <v>7474</v>
      </c>
      <c r="AG315" s="142" t="s">
        <v>2398</v>
      </c>
      <c r="AH315" s="142" t="s">
        <v>2705</v>
      </c>
      <c r="AI315" s="142" t="s">
        <v>2398</v>
      </c>
      <c r="AJ315" s="142" t="s">
        <v>2705</v>
      </c>
      <c r="AK315" s="142" t="s">
        <v>2705</v>
      </c>
      <c r="AL315" s="142" t="s">
        <v>2705</v>
      </c>
      <c r="AM315" s="142" t="s">
        <v>2705</v>
      </c>
      <c r="AN315" s="142" t="s">
        <v>2675</v>
      </c>
      <c r="AO315" s="142" t="s">
        <v>2705</v>
      </c>
      <c r="AP315" s="142" t="s">
        <v>2705</v>
      </c>
      <c r="AQ315" s="142" t="s">
        <v>2705</v>
      </c>
      <c r="AR315" s="142" t="s">
        <v>2398</v>
      </c>
      <c r="AS315" s="142" t="s">
        <v>2705</v>
      </c>
      <c r="AT315" s="142" t="s">
        <v>2705</v>
      </c>
      <c r="AU315" s="142" t="s">
        <v>2675</v>
      </c>
      <c r="AV315" s="142" t="s">
        <v>2705</v>
      </c>
      <c r="AW315" s="142" t="s">
        <v>2705</v>
      </c>
      <c r="AX315" s="142" t="s">
        <v>2675</v>
      </c>
      <c r="AY315" s="142" t="s">
        <v>2675</v>
      </c>
      <c r="AZ315" s="142" t="s">
        <v>1435</v>
      </c>
    </row>
    <row r="316" spans="1:52" s="142" customFormat="1" ht="12.75" x14ac:dyDescent="0.2">
      <c r="A316" s="151"/>
      <c r="B316" s="152" t="s">
        <v>2397</v>
      </c>
      <c r="C316" s="152" t="s">
        <v>2705</v>
      </c>
      <c r="D316" s="152" t="s">
        <v>2705</v>
      </c>
      <c r="E316" s="152" t="s">
        <v>2675</v>
      </c>
      <c r="F316" s="152" t="s">
        <v>2705</v>
      </c>
      <c r="G316" s="152" t="s">
        <v>2398</v>
      </c>
      <c r="H316" s="152" t="s">
        <v>2675</v>
      </c>
      <c r="I316" s="152" t="s">
        <v>2398</v>
      </c>
      <c r="J316" s="152" t="s">
        <v>2705</v>
      </c>
      <c r="K316" s="152" t="s">
        <v>1435</v>
      </c>
      <c r="L316" s="152" t="s">
        <v>1435</v>
      </c>
      <c r="M316" s="152" t="s">
        <v>2675</v>
      </c>
      <c r="N316" s="152" t="s">
        <v>2675</v>
      </c>
      <c r="O316" s="152" t="s">
        <v>1435</v>
      </c>
      <c r="P316" s="152" t="s">
        <v>2705</v>
      </c>
      <c r="Q316" s="152" t="s">
        <v>1435</v>
      </c>
      <c r="R316" s="152" t="s">
        <v>2397</v>
      </c>
      <c r="S316" s="152" t="s">
        <v>2705</v>
      </c>
      <c r="T316" s="152" t="s">
        <v>2705</v>
      </c>
      <c r="U316" s="152" t="s">
        <v>2675</v>
      </c>
      <c r="V316" s="142" t="str" cm="1">
        <f t="array" ref="V316">IF(A316&lt;&gt;"",SUM(--(B316:U317 = "X")*$U$3,--(B316:U317 ="A")*$Q$3,--(B316:U317 ="B")*$R$3,--(B316:U317 ="C")*$S$3),"")</f>
        <v/>
      </c>
      <c r="X316" s="437" t="s">
        <v>7624</v>
      </c>
      <c r="Y316" s="437">
        <v>15.5</v>
      </c>
      <c r="Z316" s="436">
        <f>_xlfn.XLOOKUP(answers[[#This Row],[StudentID]],$A$7:$A$1418,$V$7:$V$1418)</f>
        <v>15.5</v>
      </c>
      <c r="AG316" s="142" t="s">
        <v>2397</v>
      </c>
      <c r="AH316" s="142" t="s">
        <v>2705</v>
      </c>
      <c r="AI316" s="142" t="s">
        <v>2705</v>
      </c>
      <c r="AJ316" s="142" t="s">
        <v>2675</v>
      </c>
      <c r="AK316" s="142" t="s">
        <v>2705</v>
      </c>
      <c r="AL316" s="142" t="s">
        <v>2398</v>
      </c>
      <c r="AM316" s="142" t="s">
        <v>2675</v>
      </c>
      <c r="AN316" s="142" t="s">
        <v>2398</v>
      </c>
      <c r="AO316" s="142" t="s">
        <v>2705</v>
      </c>
      <c r="AP316" s="142" t="s">
        <v>1435</v>
      </c>
      <c r="AQ316" s="142" t="s">
        <v>1435</v>
      </c>
      <c r="AR316" s="142" t="s">
        <v>2675</v>
      </c>
      <c r="AS316" s="142" t="s">
        <v>2675</v>
      </c>
      <c r="AT316" s="142" t="s">
        <v>1435</v>
      </c>
      <c r="AU316" s="142" t="s">
        <v>2705</v>
      </c>
      <c r="AV316" s="142" t="s">
        <v>1435</v>
      </c>
      <c r="AW316" s="142" t="s">
        <v>2397</v>
      </c>
      <c r="AX316" s="142" t="s">
        <v>2705</v>
      </c>
      <c r="AY316" s="142" t="s">
        <v>2705</v>
      </c>
      <c r="AZ316" s="142" t="s">
        <v>2675</v>
      </c>
    </row>
    <row r="317" spans="1:52" s="142" customFormat="1" ht="12.75" x14ac:dyDescent="0.2">
      <c r="A317" s="151" t="s">
        <v>7475</v>
      </c>
      <c r="B317" s="152" t="s">
        <v>2397</v>
      </c>
      <c r="C317" s="152" t="s">
        <v>1435</v>
      </c>
      <c r="D317" s="152" t="s">
        <v>2675</v>
      </c>
      <c r="E317" s="152" t="s">
        <v>2705</v>
      </c>
      <c r="F317" s="152" t="s">
        <v>2397</v>
      </c>
      <c r="G317" s="152" t="s">
        <v>2398</v>
      </c>
      <c r="H317" s="152" t="s">
        <v>1435</v>
      </c>
      <c r="I317" s="152" t="s">
        <v>2705</v>
      </c>
      <c r="J317" s="152" t="s">
        <v>2675</v>
      </c>
      <c r="K317" s="152" t="s">
        <v>2675</v>
      </c>
      <c r="L317" s="152" t="s">
        <v>2398</v>
      </c>
      <c r="M317" s="152" t="s">
        <v>2705</v>
      </c>
      <c r="N317" s="152" t="s">
        <v>2398</v>
      </c>
      <c r="O317" s="152" t="s">
        <v>1435</v>
      </c>
      <c r="P317" s="152" t="s">
        <v>2705</v>
      </c>
      <c r="Q317" s="152" t="s">
        <v>1435</v>
      </c>
      <c r="R317" s="152" t="s">
        <v>2705</v>
      </c>
      <c r="S317" s="152" t="s">
        <v>2705</v>
      </c>
      <c r="T317" s="152" t="s">
        <v>1435</v>
      </c>
      <c r="U317" s="152" t="s">
        <v>2705</v>
      </c>
      <c r="V317" s="142" cm="1">
        <f t="array" ref="V317">IF(A317&lt;&gt;"",SUM(--(B317:U318 = "X")*$U$3,--(B317:U318 ="A")*$Q$3,--(B317:U318 ="B")*$R$3,--(B317:U318 ="C")*$S$3),"")</f>
        <v>5</v>
      </c>
      <c r="X317" s="437" t="s">
        <v>7625</v>
      </c>
      <c r="Y317" s="437">
        <v>13.5</v>
      </c>
      <c r="Z317" s="436">
        <f>_xlfn.XLOOKUP(answers[[#This Row],[StudentID]],$A$7:$A$1418,$V$7:$V$1418)</f>
        <v>13.5</v>
      </c>
      <c r="AF317" s="142" t="s">
        <v>7475</v>
      </c>
      <c r="AG317" s="142" t="s">
        <v>2397</v>
      </c>
      <c r="AH317" s="142" t="s">
        <v>1435</v>
      </c>
      <c r="AI317" s="142" t="s">
        <v>2675</v>
      </c>
      <c r="AJ317" s="142" t="s">
        <v>2705</v>
      </c>
      <c r="AK317" s="142" t="s">
        <v>2397</v>
      </c>
      <c r="AL317" s="142" t="s">
        <v>2398</v>
      </c>
      <c r="AM317" s="142" t="s">
        <v>1435</v>
      </c>
      <c r="AN317" s="142" t="s">
        <v>2705</v>
      </c>
      <c r="AO317" s="142" t="s">
        <v>2675</v>
      </c>
      <c r="AP317" s="142" t="s">
        <v>2675</v>
      </c>
      <c r="AQ317" s="142" t="s">
        <v>2398</v>
      </c>
      <c r="AR317" s="142" t="s">
        <v>2705</v>
      </c>
      <c r="AS317" s="142" t="s">
        <v>2398</v>
      </c>
      <c r="AT317" s="142" t="s">
        <v>1435</v>
      </c>
      <c r="AU317" s="142" t="s">
        <v>2705</v>
      </c>
      <c r="AV317" s="142" t="s">
        <v>1435</v>
      </c>
      <c r="AW317" s="142" t="s">
        <v>2705</v>
      </c>
      <c r="AX317" s="142" t="s">
        <v>2705</v>
      </c>
      <c r="AY317" s="142" t="s">
        <v>1435</v>
      </c>
      <c r="AZ317" s="142" t="s">
        <v>2705</v>
      </c>
    </row>
    <row r="318" spans="1:52" s="142" customFormat="1" ht="12.75" x14ac:dyDescent="0.2">
      <c r="A318" s="151"/>
      <c r="B318" s="152" t="s">
        <v>2705</v>
      </c>
      <c r="C318" s="152" t="s">
        <v>2398</v>
      </c>
      <c r="D318" s="152" t="s">
        <v>2397</v>
      </c>
      <c r="E318" s="152" t="s">
        <v>2705</v>
      </c>
      <c r="F318" s="152" t="s">
        <v>2675</v>
      </c>
      <c r="G318" s="152" t="s">
        <v>2397</v>
      </c>
      <c r="H318" s="152" t="s">
        <v>2675</v>
      </c>
      <c r="I318" s="152" t="s">
        <v>2675</v>
      </c>
      <c r="J318" s="152" t="s">
        <v>2398</v>
      </c>
      <c r="K318" s="152" t="s">
        <v>2398</v>
      </c>
      <c r="L318" s="152" t="s">
        <v>2397</v>
      </c>
      <c r="M318" s="152" t="s">
        <v>2398</v>
      </c>
      <c r="N318" s="152" t="s">
        <v>2705</v>
      </c>
      <c r="O318" s="152" t="s">
        <v>2397</v>
      </c>
      <c r="P318" s="152" t="s">
        <v>2675</v>
      </c>
      <c r="Q318" s="152" t="s">
        <v>1435</v>
      </c>
      <c r="R318" s="152" t="s">
        <v>1435</v>
      </c>
      <c r="S318" s="152" t="s">
        <v>2705</v>
      </c>
      <c r="T318" s="152" t="s">
        <v>2705</v>
      </c>
      <c r="U318" s="152" t="s">
        <v>2398</v>
      </c>
      <c r="V318" s="142" t="str" cm="1">
        <f t="array" ref="V318">IF(A318&lt;&gt;"",SUM(--(B318:U319 = "X")*$U$3,--(B318:U319 ="A")*$Q$3,--(B318:U319 ="B")*$R$3,--(B318:U319 ="C")*$S$3),"")</f>
        <v/>
      </c>
      <c r="X318" s="437" t="s">
        <v>7626</v>
      </c>
      <c r="Y318" s="437">
        <v>26</v>
      </c>
      <c r="Z318" s="436">
        <f>_xlfn.XLOOKUP(answers[[#This Row],[StudentID]],$A$7:$A$1418,$V$7:$V$1418)</f>
        <v>26</v>
      </c>
      <c r="AG318" s="142" t="s">
        <v>2705</v>
      </c>
      <c r="AH318" s="142" t="s">
        <v>2398</v>
      </c>
      <c r="AI318" s="142" t="s">
        <v>2397</v>
      </c>
      <c r="AJ318" s="142" t="s">
        <v>2705</v>
      </c>
      <c r="AK318" s="142" t="s">
        <v>2675</v>
      </c>
      <c r="AL318" s="142" t="s">
        <v>2397</v>
      </c>
      <c r="AM318" s="142" t="s">
        <v>2675</v>
      </c>
      <c r="AN318" s="142" t="s">
        <v>2675</v>
      </c>
      <c r="AO318" s="142" t="s">
        <v>2398</v>
      </c>
      <c r="AP318" s="142" t="s">
        <v>2398</v>
      </c>
      <c r="AQ318" s="142" t="s">
        <v>2397</v>
      </c>
      <c r="AR318" s="142" t="s">
        <v>2398</v>
      </c>
      <c r="AS318" s="142" t="s">
        <v>2705</v>
      </c>
      <c r="AT318" s="142" t="s">
        <v>2397</v>
      </c>
      <c r="AU318" s="142" t="s">
        <v>2675</v>
      </c>
      <c r="AV318" s="142" t="s">
        <v>1435</v>
      </c>
      <c r="AW318" s="142" t="s">
        <v>1435</v>
      </c>
      <c r="AX318" s="142" t="s">
        <v>2705</v>
      </c>
      <c r="AY318" s="142" t="s">
        <v>2705</v>
      </c>
      <c r="AZ318" s="142" t="s">
        <v>2398</v>
      </c>
    </row>
    <row r="319" spans="1:52" s="142" customFormat="1" ht="12.75" x14ac:dyDescent="0.2">
      <c r="A319" s="151" t="s">
        <v>7476</v>
      </c>
      <c r="B319" s="152" t="s">
        <v>2705</v>
      </c>
      <c r="C319" s="152" t="s">
        <v>2397</v>
      </c>
      <c r="D319" s="152" t="s">
        <v>2705</v>
      </c>
      <c r="E319" s="152" t="s">
        <v>2398</v>
      </c>
      <c r="F319" s="152" t="s">
        <v>2398</v>
      </c>
      <c r="G319" s="152" t="s">
        <v>2705</v>
      </c>
      <c r="H319" s="152" t="s">
        <v>2705</v>
      </c>
      <c r="I319" s="152" t="s">
        <v>2398</v>
      </c>
      <c r="J319" s="152" t="s">
        <v>2398</v>
      </c>
      <c r="K319" s="152" t="s">
        <v>1435</v>
      </c>
      <c r="L319" s="152" t="s">
        <v>2705</v>
      </c>
      <c r="M319" s="152" t="s">
        <v>2398</v>
      </c>
      <c r="N319" s="152" t="s">
        <v>2705</v>
      </c>
      <c r="O319" s="152" t="s">
        <v>2398</v>
      </c>
      <c r="P319" s="152" t="s">
        <v>2397</v>
      </c>
      <c r="Q319" s="152" t="s">
        <v>1435</v>
      </c>
      <c r="R319" s="152" t="s">
        <v>2675</v>
      </c>
      <c r="S319" s="152" t="s">
        <v>2398</v>
      </c>
      <c r="T319" s="152" t="s">
        <v>2705</v>
      </c>
      <c r="U319" s="152" t="s">
        <v>2705</v>
      </c>
      <c r="V319" s="142" cm="1">
        <f t="array" ref="V319">IF(A319&lt;&gt;"",SUM(--(B319:U320 = "X")*$U$3,--(B319:U320 ="A")*$Q$3,--(B319:U320 ="B")*$R$3,--(B319:U320 ="C")*$S$3),"")</f>
        <v>13</v>
      </c>
      <c r="X319" s="437" t="s">
        <v>7627</v>
      </c>
      <c r="Y319" s="437">
        <v>17</v>
      </c>
      <c r="Z319" s="436">
        <f>_xlfn.XLOOKUP(answers[[#This Row],[StudentID]],$A$7:$A$1418,$V$7:$V$1418)</f>
        <v>17</v>
      </c>
      <c r="AF319" s="142" t="s">
        <v>7476</v>
      </c>
      <c r="AG319" s="142" t="s">
        <v>2705</v>
      </c>
      <c r="AH319" s="142" t="s">
        <v>2397</v>
      </c>
      <c r="AI319" s="142" t="s">
        <v>2705</v>
      </c>
      <c r="AJ319" s="142" t="s">
        <v>2398</v>
      </c>
      <c r="AK319" s="142" t="s">
        <v>2398</v>
      </c>
      <c r="AL319" s="142" t="s">
        <v>2705</v>
      </c>
      <c r="AM319" s="142" t="s">
        <v>2705</v>
      </c>
      <c r="AN319" s="142" t="s">
        <v>2398</v>
      </c>
      <c r="AO319" s="142" t="s">
        <v>2398</v>
      </c>
      <c r="AP319" s="142" t="s">
        <v>1435</v>
      </c>
      <c r="AQ319" s="142" t="s">
        <v>2705</v>
      </c>
      <c r="AR319" s="142" t="s">
        <v>2398</v>
      </c>
      <c r="AS319" s="142" t="s">
        <v>2705</v>
      </c>
      <c r="AT319" s="142" t="s">
        <v>2398</v>
      </c>
      <c r="AU319" s="142" t="s">
        <v>2397</v>
      </c>
      <c r="AV319" s="142" t="s">
        <v>1435</v>
      </c>
      <c r="AW319" s="142" t="s">
        <v>2675</v>
      </c>
      <c r="AX319" s="142" t="s">
        <v>2398</v>
      </c>
      <c r="AY319" s="142" t="s">
        <v>2705</v>
      </c>
      <c r="AZ319" s="142" t="s">
        <v>2705</v>
      </c>
    </row>
    <row r="320" spans="1:52" s="142" customFormat="1" ht="12.75" x14ac:dyDescent="0.2">
      <c r="A320" s="151"/>
      <c r="B320" s="152" t="s">
        <v>2398</v>
      </c>
      <c r="C320" s="152" t="s">
        <v>2705</v>
      </c>
      <c r="D320" s="152" t="s">
        <v>2705</v>
      </c>
      <c r="E320" s="152" t="s">
        <v>1435</v>
      </c>
      <c r="F320" s="152" t="s">
        <v>2705</v>
      </c>
      <c r="G320" s="152" t="s">
        <v>2705</v>
      </c>
      <c r="H320" s="152" t="s">
        <v>1435</v>
      </c>
      <c r="I320" s="152" t="s">
        <v>2705</v>
      </c>
      <c r="J320" s="152" t="s">
        <v>2398</v>
      </c>
      <c r="K320" s="152" t="s">
        <v>2675</v>
      </c>
      <c r="L320" s="152" t="s">
        <v>2398</v>
      </c>
      <c r="M320" s="152" t="s">
        <v>2398</v>
      </c>
      <c r="N320" s="152" t="s">
        <v>2398</v>
      </c>
      <c r="O320" s="152" t="s">
        <v>2705</v>
      </c>
      <c r="P320" s="152" t="s">
        <v>2398</v>
      </c>
      <c r="Q320" s="152" t="s">
        <v>2705</v>
      </c>
      <c r="R320" s="152" t="s">
        <v>2398</v>
      </c>
      <c r="S320" s="152" t="s">
        <v>2397</v>
      </c>
      <c r="T320" s="152" t="s">
        <v>2705</v>
      </c>
      <c r="U320" s="152" t="s">
        <v>2398</v>
      </c>
      <c r="V320" s="142" t="str" cm="1">
        <f t="array" ref="V320">IF(A320&lt;&gt;"",SUM(--(B320:U321 = "X")*$U$3,--(B320:U321 ="A")*$Q$3,--(B320:U321 ="B")*$R$3,--(B320:U321 ="C")*$S$3),"")</f>
        <v/>
      </c>
      <c r="X320" s="437" t="s">
        <v>7628</v>
      </c>
      <c r="Y320" s="437">
        <v>31</v>
      </c>
      <c r="Z320" s="436">
        <f>_xlfn.XLOOKUP(answers[[#This Row],[StudentID]],$A$7:$A$1418,$V$7:$V$1418)</f>
        <v>31</v>
      </c>
      <c r="AG320" s="142" t="s">
        <v>2398</v>
      </c>
      <c r="AH320" s="142" t="s">
        <v>2705</v>
      </c>
      <c r="AI320" s="142" t="s">
        <v>2705</v>
      </c>
      <c r="AJ320" s="142" t="s">
        <v>1435</v>
      </c>
      <c r="AK320" s="142" t="s">
        <v>2705</v>
      </c>
      <c r="AL320" s="142" t="s">
        <v>2705</v>
      </c>
      <c r="AM320" s="142" t="s">
        <v>1435</v>
      </c>
      <c r="AN320" s="142" t="s">
        <v>2705</v>
      </c>
      <c r="AO320" s="142" t="s">
        <v>2398</v>
      </c>
      <c r="AP320" s="142" t="s">
        <v>2675</v>
      </c>
      <c r="AQ320" s="142" t="s">
        <v>2398</v>
      </c>
      <c r="AR320" s="142" t="s">
        <v>2398</v>
      </c>
      <c r="AS320" s="142" t="s">
        <v>2398</v>
      </c>
      <c r="AT320" s="142" t="s">
        <v>2705</v>
      </c>
      <c r="AU320" s="142" t="s">
        <v>2398</v>
      </c>
      <c r="AV320" s="142" t="s">
        <v>2705</v>
      </c>
      <c r="AW320" s="142" t="s">
        <v>2398</v>
      </c>
      <c r="AX320" s="142" t="s">
        <v>2397</v>
      </c>
      <c r="AY320" s="142" t="s">
        <v>2705</v>
      </c>
      <c r="AZ320" s="142" t="s">
        <v>2398</v>
      </c>
    </row>
    <row r="321" spans="1:52" s="142" customFormat="1" ht="12.75" x14ac:dyDescent="0.2">
      <c r="A321" s="151" t="s">
        <v>7477</v>
      </c>
      <c r="B321" s="152" t="s">
        <v>2675</v>
      </c>
      <c r="C321" s="152" t="s">
        <v>2705</v>
      </c>
      <c r="D321" s="152" t="s">
        <v>1435</v>
      </c>
      <c r="E321" s="152" t="s">
        <v>1435</v>
      </c>
      <c r="F321" s="152" t="s">
        <v>2675</v>
      </c>
      <c r="G321" s="152" t="s">
        <v>1435</v>
      </c>
      <c r="H321" s="152" t="s">
        <v>1435</v>
      </c>
      <c r="I321" s="152" t="s">
        <v>2397</v>
      </c>
      <c r="J321" s="152" t="s">
        <v>2675</v>
      </c>
      <c r="K321" s="152" t="s">
        <v>2397</v>
      </c>
      <c r="L321" s="152" t="s">
        <v>1435</v>
      </c>
      <c r="M321" s="152" t="s">
        <v>2705</v>
      </c>
      <c r="N321" s="152" t="s">
        <v>2398</v>
      </c>
      <c r="O321" s="152" t="s">
        <v>2398</v>
      </c>
      <c r="P321" s="152" t="s">
        <v>2705</v>
      </c>
      <c r="Q321" s="152" t="s">
        <v>2398</v>
      </c>
      <c r="R321" s="152" t="s">
        <v>1435</v>
      </c>
      <c r="S321" s="152" t="s">
        <v>2705</v>
      </c>
      <c r="T321" s="152" t="s">
        <v>2705</v>
      </c>
      <c r="U321" s="152" t="s">
        <v>2705</v>
      </c>
      <c r="V321" s="142" cm="1">
        <f t="array" ref="V321">IF(A321&lt;&gt;"",SUM(--(B321:U322 = "X")*$U$3,--(B321:U322 ="A")*$Q$3,--(B321:U322 ="B")*$R$3,--(B321:U322 ="C")*$S$3),"")</f>
        <v>5</v>
      </c>
      <c r="X321" s="437" t="s">
        <v>7629</v>
      </c>
      <c r="Y321" s="437">
        <v>27</v>
      </c>
      <c r="Z321" s="436">
        <f>_xlfn.XLOOKUP(answers[[#This Row],[StudentID]],$A$7:$A$1418,$V$7:$V$1418)</f>
        <v>27</v>
      </c>
      <c r="AF321" s="142" t="s">
        <v>7477</v>
      </c>
      <c r="AG321" s="142" t="s">
        <v>2675</v>
      </c>
      <c r="AH321" s="142" t="s">
        <v>2705</v>
      </c>
      <c r="AI321" s="142" t="s">
        <v>1435</v>
      </c>
      <c r="AJ321" s="142" t="s">
        <v>1435</v>
      </c>
      <c r="AK321" s="142" t="s">
        <v>2675</v>
      </c>
      <c r="AL321" s="142" t="s">
        <v>1435</v>
      </c>
      <c r="AM321" s="142" t="s">
        <v>1435</v>
      </c>
      <c r="AN321" s="142" t="s">
        <v>2397</v>
      </c>
      <c r="AO321" s="142" t="s">
        <v>2675</v>
      </c>
      <c r="AP321" s="142" t="s">
        <v>2397</v>
      </c>
      <c r="AQ321" s="142" t="s">
        <v>1435</v>
      </c>
      <c r="AR321" s="142" t="s">
        <v>2705</v>
      </c>
      <c r="AS321" s="142" t="s">
        <v>2398</v>
      </c>
      <c r="AT321" s="142" t="s">
        <v>2398</v>
      </c>
      <c r="AU321" s="142" t="s">
        <v>2705</v>
      </c>
      <c r="AV321" s="142" t="s">
        <v>2398</v>
      </c>
      <c r="AW321" s="142" t="s">
        <v>1435</v>
      </c>
      <c r="AX321" s="142" t="s">
        <v>2705</v>
      </c>
      <c r="AY321" s="142" t="s">
        <v>2705</v>
      </c>
      <c r="AZ321" s="142" t="s">
        <v>2705</v>
      </c>
    </row>
    <row r="322" spans="1:52" s="142" customFormat="1" ht="12.75" x14ac:dyDescent="0.2">
      <c r="A322" s="151"/>
      <c r="B322" s="152" t="s">
        <v>2705</v>
      </c>
      <c r="C322" s="152" t="s">
        <v>2675</v>
      </c>
      <c r="D322" s="152" t="s">
        <v>2705</v>
      </c>
      <c r="E322" s="152" t="s">
        <v>2705</v>
      </c>
      <c r="F322" s="152" t="s">
        <v>2398</v>
      </c>
      <c r="G322" s="152" t="s">
        <v>1435</v>
      </c>
      <c r="H322" s="152" t="s">
        <v>2675</v>
      </c>
      <c r="I322" s="152" t="s">
        <v>2705</v>
      </c>
      <c r="J322" s="152" t="s">
        <v>1435</v>
      </c>
      <c r="K322" s="152" t="s">
        <v>1435</v>
      </c>
      <c r="L322" s="152" t="s">
        <v>2705</v>
      </c>
      <c r="M322" s="152" t="s">
        <v>2705</v>
      </c>
      <c r="N322" s="152" t="s">
        <v>2397</v>
      </c>
      <c r="O322" s="152" t="s">
        <v>2675</v>
      </c>
      <c r="P322" s="152" t="s">
        <v>2705</v>
      </c>
      <c r="Q322" s="152" t="s">
        <v>1435</v>
      </c>
      <c r="R322" s="152" t="s">
        <v>2675</v>
      </c>
      <c r="S322" s="152" t="s">
        <v>2397</v>
      </c>
      <c r="T322" s="152" t="s">
        <v>2705</v>
      </c>
      <c r="U322" s="152" t="s">
        <v>1435</v>
      </c>
      <c r="V322" s="142" t="str" cm="1">
        <f t="array" ref="V322">IF(A322&lt;&gt;"",SUM(--(B322:U323 = "X")*$U$3,--(B322:U323 ="A")*$Q$3,--(B322:U323 ="B")*$R$3,--(B322:U323 ="C")*$S$3),"")</f>
        <v/>
      </c>
      <c r="X322" s="437" t="s">
        <v>7630</v>
      </c>
      <c r="Y322" s="437">
        <v>14.5</v>
      </c>
      <c r="Z322" s="436">
        <f>_xlfn.XLOOKUP(answers[[#This Row],[StudentID]],$A$7:$A$1418,$V$7:$V$1418)</f>
        <v>14.5</v>
      </c>
      <c r="AG322" s="142" t="s">
        <v>2705</v>
      </c>
      <c r="AH322" s="142" t="s">
        <v>2675</v>
      </c>
      <c r="AI322" s="142" t="s">
        <v>2705</v>
      </c>
      <c r="AJ322" s="142" t="s">
        <v>2705</v>
      </c>
      <c r="AK322" s="142" t="s">
        <v>2398</v>
      </c>
      <c r="AL322" s="142" t="s">
        <v>1435</v>
      </c>
      <c r="AM322" s="142" t="s">
        <v>2675</v>
      </c>
      <c r="AN322" s="142" t="s">
        <v>2705</v>
      </c>
      <c r="AO322" s="142" t="s">
        <v>1435</v>
      </c>
      <c r="AP322" s="142" t="s">
        <v>1435</v>
      </c>
      <c r="AQ322" s="142" t="s">
        <v>2705</v>
      </c>
      <c r="AR322" s="142" t="s">
        <v>2705</v>
      </c>
      <c r="AS322" s="142" t="s">
        <v>2397</v>
      </c>
      <c r="AT322" s="142" t="s">
        <v>2675</v>
      </c>
      <c r="AU322" s="142" t="s">
        <v>2705</v>
      </c>
      <c r="AV322" s="142" t="s">
        <v>1435</v>
      </c>
      <c r="AW322" s="142" t="s">
        <v>2675</v>
      </c>
      <c r="AX322" s="142" t="s">
        <v>2397</v>
      </c>
      <c r="AY322" s="142" t="s">
        <v>2705</v>
      </c>
      <c r="AZ322" s="142" t="s">
        <v>1435</v>
      </c>
    </row>
    <row r="323" spans="1:52" s="142" customFormat="1" ht="12.75" x14ac:dyDescent="0.2">
      <c r="A323" s="151" t="s">
        <v>7478</v>
      </c>
      <c r="B323" s="152" t="s">
        <v>2705</v>
      </c>
      <c r="C323" s="152" t="s">
        <v>2705</v>
      </c>
      <c r="D323" s="152" t="s">
        <v>2675</v>
      </c>
      <c r="E323" s="152" t="s">
        <v>2398</v>
      </c>
      <c r="F323" s="152" t="s">
        <v>2398</v>
      </c>
      <c r="G323" s="152" t="s">
        <v>2398</v>
      </c>
      <c r="H323" s="152" t="s">
        <v>2397</v>
      </c>
      <c r="I323" s="152" t="s">
        <v>2398</v>
      </c>
      <c r="J323" s="152" t="s">
        <v>2398</v>
      </c>
      <c r="K323" s="152" t="s">
        <v>2398</v>
      </c>
      <c r="L323" s="152" t="s">
        <v>2705</v>
      </c>
      <c r="M323" s="152" t="s">
        <v>2398</v>
      </c>
      <c r="N323" s="152" t="s">
        <v>2705</v>
      </c>
      <c r="O323" s="152" t="s">
        <v>2705</v>
      </c>
      <c r="P323" s="152" t="s">
        <v>2397</v>
      </c>
      <c r="Q323" s="152" t="s">
        <v>2398</v>
      </c>
      <c r="R323" s="152" t="s">
        <v>2398</v>
      </c>
      <c r="S323" s="152" t="s">
        <v>2398</v>
      </c>
      <c r="T323" s="152" t="s">
        <v>2705</v>
      </c>
      <c r="U323" s="152" t="s">
        <v>2705</v>
      </c>
      <c r="V323" s="142" cm="1">
        <f t="array" ref="V323">IF(A323&lt;&gt;"",SUM(--(B323:U324 = "X")*$U$3,--(B323:U324 ="A")*$Q$3,--(B323:U324 ="B")*$R$3,--(B323:U324 ="C")*$S$3),"")</f>
        <v>10.5</v>
      </c>
      <c r="X323" s="437" t="s">
        <v>7631</v>
      </c>
      <c r="Y323" s="437">
        <v>17.5</v>
      </c>
      <c r="Z323" s="436">
        <f>_xlfn.XLOOKUP(answers[[#This Row],[StudentID]],$A$7:$A$1418,$V$7:$V$1418)</f>
        <v>17.5</v>
      </c>
      <c r="AF323" s="142" t="s">
        <v>7478</v>
      </c>
      <c r="AG323" s="142" t="s">
        <v>2705</v>
      </c>
      <c r="AH323" s="142" t="s">
        <v>2705</v>
      </c>
      <c r="AI323" s="142" t="s">
        <v>2675</v>
      </c>
      <c r="AJ323" s="142" t="s">
        <v>2398</v>
      </c>
      <c r="AK323" s="142" t="s">
        <v>2398</v>
      </c>
      <c r="AL323" s="142" t="s">
        <v>2398</v>
      </c>
      <c r="AM323" s="142" t="s">
        <v>2397</v>
      </c>
      <c r="AN323" s="142" t="s">
        <v>2398</v>
      </c>
      <c r="AO323" s="142" t="s">
        <v>2398</v>
      </c>
      <c r="AP323" s="142" t="s">
        <v>2398</v>
      </c>
      <c r="AQ323" s="142" t="s">
        <v>2705</v>
      </c>
      <c r="AR323" s="142" t="s">
        <v>2398</v>
      </c>
      <c r="AS323" s="142" t="s">
        <v>2705</v>
      </c>
      <c r="AT323" s="142" t="s">
        <v>2705</v>
      </c>
      <c r="AU323" s="142" t="s">
        <v>2397</v>
      </c>
      <c r="AV323" s="142" t="s">
        <v>2398</v>
      </c>
      <c r="AW323" s="142" t="s">
        <v>2398</v>
      </c>
      <c r="AX323" s="142" t="s">
        <v>2398</v>
      </c>
      <c r="AY323" s="142" t="s">
        <v>2705</v>
      </c>
      <c r="AZ323" s="142" t="s">
        <v>2705</v>
      </c>
    </row>
    <row r="324" spans="1:52" s="142" customFormat="1" ht="12.75" x14ac:dyDescent="0.2">
      <c r="A324" s="151"/>
      <c r="B324" s="152" t="s">
        <v>2398</v>
      </c>
      <c r="C324" s="152" t="s">
        <v>2398</v>
      </c>
      <c r="D324" s="152" t="s">
        <v>1435</v>
      </c>
      <c r="E324" s="152" t="s">
        <v>2398</v>
      </c>
      <c r="F324" s="152" t="s">
        <v>2398</v>
      </c>
      <c r="G324" s="152" t="s">
        <v>2705</v>
      </c>
      <c r="H324" s="152" t="s">
        <v>2398</v>
      </c>
      <c r="I324" s="152" t="s">
        <v>2398</v>
      </c>
      <c r="J324" s="152" t="s">
        <v>2705</v>
      </c>
      <c r="K324" s="152" t="s">
        <v>2705</v>
      </c>
      <c r="L324" s="152" t="s">
        <v>1435</v>
      </c>
      <c r="M324" s="152" t="s">
        <v>2398</v>
      </c>
      <c r="N324" s="152" t="s">
        <v>2398</v>
      </c>
      <c r="O324" s="152" t="s">
        <v>2705</v>
      </c>
      <c r="P324" s="152" t="s">
        <v>2398</v>
      </c>
      <c r="Q324" s="152" t="s">
        <v>2705</v>
      </c>
      <c r="R324" s="152" t="s">
        <v>2398</v>
      </c>
      <c r="S324" s="152" t="s">
        <v>2398</v>
      </c>
      <c r="T324" s="152" t="s">
        <v>2398</v>
      </c>
      <c r="U324" s="152" t="s">
        <v>2398</v>
      </c>
      <c r="V324" s="142" t="str" cm="1">
        <f t="array" ref="V324">IF(A324&lt;&gt;"",SUM(--(B324:U325 = "X")*$U$3,--(B324:U325 ="A")*$Q$3,--(B324:U325 ="B")*$R$3,--(B324:U325 ="C")*$S$3),"")</f>
        <v/>
      </c>
      <c r="X324" s="437" t="s">
        <v>7632</v>
      </c>
      <c r="Y324" s="437">
        <v>6</v>
      </c>
      <c r="Z324" s="436">
        <f>_xlfn.XLOOKUP(answers[[#This Row],[StudentID]],$A$7:$A$1418,$V$7:$V$1418)</f>
        <v>6</v>
      </c>
      <c r="AG324" s="142" t="s">
        <v>2398</v>
      </c>
      <c r="AH324" s="142" t="s">
        <v>2398</v>
      </c>
      <c r="AI324" s="142" t="s">
        <v>1435</v>
      </c>
      <c r="AJ324" s="142" t="s">
        <v>2398</v>
      </c>
      <c r="AK324" s="142" t="s">
        <v>2398</v>
      </c>
      <c r="AL324" s="142" t="s">
        <v>2705</v>
      </c>
      <c r="AM324" s="142" t="s">
        <v>2398</v>
      </c>
      <c r="AN324" s="142" t="s">
        <v>2398</v>
      </c>
      <c r="AO324" s="142" t="s">
        <v>2705</v>
      </c>
      <c r="AP324" s="142" t="s">
        <v>2705</v>
      </c>
      <c r="AQ324" s="142" t="s">
        <v>1435</v>
      </c>
      <c r="AR324" s="142" t="s">
        <v>2398</v>
      </c>
      <c r="AS324" s="142" t="s">
        <v>2398</v>
      </c>
      <c r="AT324" s="142" t="s">
        <v>2705</v>
      </c>
      <c r="AU324" s="142" t="s">
        <v>2398</v>
      </c>
      <c r="AV324" s="142" t="s">
        <v>2705</v>
      </c>
      <c r="AW324" s="142" t="s">
        <v>2398</v>
      </c>
      <c r="AX324" s="142" t="s">
        <v>2398</v>
      </c>
      <c r="AY324" s="142" t="s">
        <v>2398</v>
      </c>
      <c r="AZ324" s="142" t="s">
        <v>2398</v>
      </c>
    </row>
    <row r="325" spans="1:52" s="142" customFormat="1" ht="12.75" x14ac:dyDescent="0.2">
      <c r="A325" s="151" t="s">
        <v>7479</v>
      </c>
      <c r="B325" s="152" t="s">
        <v>2398</v>
      </c>
      <c r="C325" s="152" t="s">
        <v>2398</v>
      </c>
      <c r="D325" s="152" t="s">
        <v>2398</v>
      </c>
      <c r="E325" s="152" t="s">
        <v>2705</v>
      </c>
      <c r="F325" s="152" t="s">
        <v>2398</v>
      </c>
      <c r="G325" s="152" t="s">
        <v>2705</v>
      </c>
      <c r="H325" s="152" t="s">
        <v>2705</v>
      </c>
      <c r="I325" s="152" t="s">
        <v>2398</v>
      </c>
      <c r="J325" s="152" t="s">
        <v>2398</v>
      </c>
      <c r="K325" s="152" t="s">
        <v>1435</v>
      </c>
      <c r="L325" s="152" t="s">
        <v>2705</v>
      </c>
      <c r="M325" s="152" t="s">
        <v>2705</v>
      </c>
      <c r="N325" s="152" t="s">
        <v>2705</v>
      </c>
      <c r="O325" s="152" t="s">
        <v>2398</v>
      </c>
      <c r="P325" s="152" t="s">
        <v>2398</v>
      </c>
      <c r="Q325" s="152" t="s">
        <v>2398</v>
      </c>
      <c r="R325" s="152" t="s">
        <v>2398</v>
      </c>
      <c r="S325" s="152" t="s">
        <v>2705</v>
      </c>
      <c r="T325" s="152" t="s">
        <v>2705</v>
      </c>
      <c r="U325" s="152" t="s">
        <v>2705</v>
      </c>
      <c r="V325" s="142" cm="1">
        <f t="array" ref="V325">IF(A325&lt;&gt;"",SUM(--(B325:U326 = "X")*$U$3,--(B325:U326 ="A")*$Q$3,--(B325:U326 ="B")*$R$3,--(B325:U326 ="C")*$S$3),"")</f>
        <v>18</v>
      </c>
      <c r="X325" s="437" t="s">
        <v>7633</v>
      </c>
      <c r="Y325" s="437">
        <v>18</v>
      </c>
      <c r="Z325" s="436">
        <f>_xlfn.XLOOKUP(answers[[#This Row],[StudentID]],$A$7:$A$1418,$V$7:$V$1418)</f>
        <v>18</v>
      </c>
      <c r="AF325" s="142" t="s">
        <v>7479</v>
      </c>
      <c r="AG325" s="142" t="s">
        <v>2398</v>
      </c>
      <c r="AH325" s="142" t="s">
        <v>2398</v>
      </c>
      <c r="AI325" s="142" t="s">
        <v>2398</v>
      </c>
      <c r="AJ325" s="142" t="s">
        <v>2705</v>
      </c>
      <c r="AK325" s="142" t="s">
        <v>2398</v>
      </c>
      <c r="AL325" s="142" t="s">
        <v>2705</v>
      </c>
      <c r="AM325" s="142" t="s">
        <v>2705</v>
      </c>
      <c r="AN325" s="142" t="s">
        <v>2398</v>
      </c>
      <c r="AO325" s="142" t="s">
        <v>2398</v>
      </c>
      <c r="AP325" s="142" t="s">
        <v>1435</v>
      </c>
      <c r="AQ325" s="142" t="s">
        <v>2705</v>
      </c>
      <c r="AR325" s="142" t="s">
        <v>2705</v>
      </c>
      <c r="AS325" s="142" t="s">
        <v>2705</v>
      </c>
      <c r="AT325" s="142" t="s">
        <v>2398</v>
      </c>
      <c r="AU325" s="142" t="s">
        <v>2398</v>
      </c>
      <c r="AV325" s="142" t="s">
        <v>2398</v>
      </c>
      <c r="AW325" s="142" t="s">
        <v>2398</v>
      </c>
      <c r="AX325" s="142" t="s">
        <v>2705</v>
      </c>
      <c r="AY325" s="142" t="s">
        <v>2705</v>
      </c>
      <c r="AZ325" s="142" t="s">
        <v>2705</v>
      </c>
    </row>
    <row r="326" spans="1:52" s="142" customFormat="1" ht="12.75" x14ac:dyDescent="0.2">
      <c r="A326" s="151"/>
      <c r="B326" s="152" t="s">
        <v>2397</v>
      </c>
      <c r="C326" s="152" t="s">
        <v>2705</v>
      </c>
      <c r="D326" s="152" t="s">
        <v>2705</v>
      </c>
      <c r="E326" s="152" t="s">
        <v>2705</v>
      </c>
      <c r="F326" s="152" t="s">
        <v>2705</v>
      </c>
      <c r="G326" s="152" t="s">
        <v>2398</v>
      </c>
      <c r="H326" s="152" t="s">
        <v>2705</v>
      </c>
      <c r="I326" s="152" t="s">
        <v>2705</v>
      </c>
      <c r="J326" s="152" t="s">
        <v>2398</v>
      </c>
      <c r="K326" s="152" t="s">
        <v>2398</v>
      </c>
      <c r="L326" s="152" t="s">
        <v>2705</v>
      </c>
      <c r="M326" s="152" t="s">
        <v>2705</v>
      </c>
      <c r="N326" s="152" t="s">
        <v>1435</v>
      </c>
      <c r="O326" s="152" t="s">
        <v>2705</v>
      </c>
      <c r="P326" s="152" t="s">
        <v>2398</v>
      </c>
      <c r="Q326" s="152" t="s">
        <v>2398</v>
      </c>
      <c r="R326" s="152" t="s">
        <v>2398</v>
      </c>
      <c r="S326" s="152" t="s">
        <v>2398</v>
      </c>
      <c r="T326" s="152" t="s">
        <v>2398</v>
      </c>
      <c r="U326" s="152" t="s">
        <v>2705</v>
      </c>
      <c r="V326" s="142" t="str" cm="1">
        <f t="array" ref="V326">IF(A326&lt;&gt;"",SUM(--(B326:U327 = "X")*$U$3,--(B326:U327 ="A")*$Q$3,--(B326:U327 ="B")*$R$3,--(B326:U327 ="C")*$S$3),"")</f>
        <v/>
      </c>
      <c r="X326" s="437" t="s">
        <v>7634</v>
      </c>
      <c r="Y326" s="437">
        <v>16.5</v>
      </c>
      <c r="Z326" s="436">
        <f>_xlfn.XLOOKUP(answers[[#This Row],[StudentID]],$A$7:$A$1418,$V$7:$V$1418)</f>
        <v>16.5</v>
      </c>
      <c r="AG326" s="142" t="s">
        <v>2397</v>
      </c>
      <c r="AH326" s="142" t="s">
        <v>2705</v>
      </c>
      <c r="AI326" s="142" t="s">
        <v>2705</v>
      </c>
      <c r="AJ326" s="142" t="s">
        <v>2705</v>
      </c>
      <c r="AK326" s="142" t="s">
        <v>2705</v>
      </c>
      <c r="AL326" s="142" t="s">
        <v>2398</v>
      </c>
      <c r="AM326" s="142" t="s">
        <v>2705</v>
      </c>
      <c r="AN326" s="142" t="s">
        <v>2705</v>
      </c>
      <c r="AO326" s="142" t="s">
        <v>2398</v>
      </c>
      <c r="AP326" s="142" t="s">
        <v>2398</v>
      </c>
      <c r="AQ326" s="142" t="s">
        <v>2705</v>
      </c>
      <c r="AR326" s="142" t="s">
        <v>2705</v>
      </c>
      <c r="AS326" s="142" t="s">
        <v>1435</v>
      </c>
      <c r="AT326" s="142" t="s">
        <v>2705</v>
      </c>
      <c r="AU326" s="142" t="s">
        <v>2398</v>
      </c>
      <c r="AV326" s="142" t="s">
        <v>2398</v>
      </c>
      <c r="AW326" s="142" t="s">
        <v>2398</v>
      </c>
      <c r="AX326" s="142" t="s">
        <v>2398</v>
      </c>
      <c r="AY326" s="142" t="s">
        <v>2398</v>
      </c>
      <c r="AZ326" s="142" t="s">
        <v>2705</v>
      </c>
    </row>
    <row r="327" spans="1:52" s="142" customFormat="1" ht="12.75" x14ac:dyDescent="0.2">
      <c r="A327" s="151" t="s">
        <v>7480</v>
      </c>
      <c r="B327" s="152" t="s">
        <v>2705</v>
      </c>
      <c r="C327" s="152" t="s">
        <v>2397</v>
      </c>
      <c r="D327" s="152" t="s">
        <v>2705</v>
      </c>
      <c r="E327" s="152" t="s">
        <v>2398</v>
      </c>
      <c r="F327" s="152" t="s">
        <v>2705</v>
      </c>
      <c r="G327" s="152" t="s">
        <v>2705</v>
      </c>
      <c r="H327" s="152" t="s">
        <v>2705</v>
      </c>
      <c r="I327" s="152" t="s">
        <v>2398</v>
      </c>
      <c r="J327" s="152" t="s">
        <v>2398</v>
      </c>
      <c r="K327" s="152" t="s">
        <v>2398</v>
      </c>
      <c r="L327" s="152" t="s">
        <v>2705</v>
      </c>
      <c r="M327" s="152" t="s">
        <v>2705</v>
      </c>
      <c r="N327" s="152" t="s">
        <v>2675</v>
      </c>
      <c r="O327" s="152" t="s">
        <v>2705</v>
      </c>
      <c r="P327" s="152" t="s">
        <v>2705</v>
      </c>
      <c r="Q327" s="152" t="s">
        <v>2705</v>
      </c>
      <c r="R327" s="152" t="s">
        <v>2398</v>
      </c>
      <c r="S327" s="152" t="s">
        <v>2705</v>
      </c>
      <c r="T327" s="152" t="s">
        <v>2705</v>
      </c>
      <c r="U327" s="152" t="s">
        <v>2705</v>
      </c>
      <c r="V327" s="142" cm="1">
        <f t="array" ref="V327">IF(A327&lt;&gt;"",SUM(--(B327:U328 = "X")*$U$3,--(B327:U328 ="A")*$Q$3,--(B327:U328 ="B")*$R$3,--(B327:U328 ="C")*$S$3),"")</f>
        <v>21</v>
      </c>
      <c r="X327" s="437" t="s">
        <v>7635</v>
      </c>
      <c r="Y327" s="437">
        <v>25.5</v>
      </c>
      <c r="Z327" s="436">
        <f>_xlfn.XLOOKUP(answers[[#This Row],[StudentID]],$A$7:$A$1418,$V$7:$V$1418)</f>
        <v>25.5</v>
      </c>
      <c r="AF327" s="142" t="s">
        <v>7480</v>
      </c>
      <c r="AG327" s="142" t="s">
        <v>2705</v>
      </c>
      <c r="AH327" s="142" t="s">
        <v>2397</v>
      </c>
      <c r="AI327" s="142" t="s">
        <v>2705</v>
      </c>
      <c r="AJ327" s="142" t="s">
        <v>2398</v>
      </c>
      <c r="AK327" s="142" t="s">
        <v>2705</v>
      </c>
      <c r="AL327" s="142" t="s">
        <v>2705</v>
      </c>
      <c r="AM327" s="142" t="s">
        <v>2705</v>
      </c>
      <c r="AN327" s="142" t="s">
        <v>2398</v>
      </c>
      <c r="AO327" s="142" t="s">
        <v>2398</v>
      </c>
      <c r="AP327" s="142" t="s">
        <v>2398</v>
      </c>
      <c r="AQ327" s="142" t="s">
        <v>2705</v>
      </c>
      <c r="AR327" s="142" t="s">
        <v>2705</v>
      </c>
      <c r="AS327" s="142" t="s">
        <v>2675</v>
      </c>
      <c r="AT327" s="142" t="s">
        <v>2705</v>
      </c>
      <c r="AU327" s="142" t="s">
        <v>2705</v>
      </c>
      <c r="AV327" s="142" t="s">
        <v>2705</v>
      </c>
      <c r="AW327" s="142" t="s">
        <v>2398</v>
      </c>
      <c r="AX327" s="142" t="s">
        <v>2705</v>
      </c>
      <c r="AY327" s="142" t="s">
        <v>2705</v>
      </c>
      <c r="AZ327" s="142" t="s">
        <v>2705</v>
      </c>
    </row>
    <row r="328" spans="1:52" s="142" customFormat="1" ht="12.75" x14ac:dyDescent="0.2">
      <c r="A328" s="151"/>
      <c r="B328" s="152" t="s">
        <v>2397</v>
      </c>
      <c r="C328" s="152" t="s">
        <v>2397</v>
      </c>
      <c r="D328" s="152" t="s">
        <v>2675</v>
      </c>
      <c r="E328" s="152" t="s">
        <v>2398</v>
      </c>
      <c r="F328" s="152" t="s">
        <v>2705</v>
      </c>
      <c r="G328" s="152" t="s">
        <v>2398</v>
      </c>
      <c r="H328" s="152" t="s">
        <v>2705</v>
      </c>
      <c r="I328" s="152" t="s">
        <v>2705</v>
      </c>
      <c r="J328" s="152" t="s">
        <v>2397</v>
      </c>
      <c r="K328" s="152" t="s">
        <v>2398</v>
      </c>
      <c r="L328" s="152" t="s">
        <v>2705</v>
      </c>
      <c r="M328" s="152" t="s">
        <v>2705</v>
      </c>
      <c r="N328" s="152" t="s">
        <v>2705</v>
      </c>
      <c r="O328" s="152" t="s">
        <v>2705</v>
      </c>
      <c r="P328" s="152" t="s">
        <v>2398</v>
      </c>
      <c r="Q328" s="152" t="s">
        <v>2705</v>
      </c>
      <c r="R328" s="152" t="s">
        <v>2398</v>
      </c>
      <c r="S328" s="152" t="s">
        <v>2705</v>
      </c>
      <c r="T328" s="152" t="s">
        <v>2398</v>
      </c>
      <c r="U328" s="152" t="s">
        <v>2398</v>
      </c>
      <c r="V328" s="142" t="str" cm="1">
        <f t="array" ref="V328">IF(A328&lt;&gt;"",SUM(--(B328:U329 = "X")*$U$3,--(B328:U329 ="A")*$Q$3,--(B328:U329 ="B")*$R$3,--(B328:U329 ="C")*$S$3),"")</f>
        <v/>
      </c>
      <c r="X328" s="437" t="s">
        <v>7636</v>
      </c>
      <c r="Y328" s="437">
        <v>35</v>
      </c>
      <c r="Z328" s="436">
        <f>_xlfn.XLOOKUP(answers[[#This Row],[StudentID]],$A$7:$A$1418,$V$7:$V$1418)</f>
        <v>35</v>
      </c>
      <c r="AG328" s="142" t="s">
        <v>2397</v>
      </c>
      <c r="AH328" s="142" t="s">
        <v>2397</v>
      </c>
      <c r="AI328" s="142" t="s">
        <v>2675</v>
      </c>
      <c r="AJ328" s="142" t="s">
        <v>2398</v>
      </c>
      <c r="AK328" s="142" t="s">
        <v>2705</v>
      </c>
      <c r="AL328" s="142" t="s">
        <v>2398</v>
      </c>
      <c r="AM328" s="142" t="s">
        <v>2705</v>
      </c>
      <c r="AN328" s="142" t="s">
        <v>2705</v>
      </c>
      <c r="AO328" s="142" t="s">
        <v>2397</v>
      </c>
      <c r="AP328" s="142" t="s">
        <v>2398</v>
      </c>
      <c r="AQ328" s="142" t="s">
        <v>2705</v>
      </c>
      <c r="AR328" s="142" t="s">
        <v>2705</v>
      </c>
      <c r="AS328" s="142" t="s">
        <v>2705</v>
      </c>
      <c r="AT328" s="142" t="s">
        <v>2705</v>
      </c>
      <c r="AU328" s="142" t="s">
        <v>2398</v>
      </c>
      <c r="AV328" s="142" t="s">
        <v>2705</v>
      </c>
      <c r="AW328" s="142" t="s">
        <v>2398</v>
      </c>
      <c r="AX328" s="142" t="s">
        <v>2705</v>
      </c>
      <c r="AY328" s="142" t="s">
        <v>2398</v>
      </c>
      <c r="AZ328" s="142" t="s">
        <v>2398</v>
      </c>
    </row>
    <row r="329" spans="1:52" s="142" customFormat="1" ht="12.75" x14ac:dyDescent="0.2">
      <c r="A329" s="151" t="s">
        <v>7481</v>
      </c>
      <c r="B329" s="152" t="s">
        <v>2705</v>
      </c>
      <c r="C329" s="152" t="s">
        <v>2398</v>
      </c>
      <c r="D329" s="152" t="s">
        <v>2705</v>
      </c>
      <c r="E329" s="152" t="s">
        <v>1435</v>
      </c>
      <c r="F329" s="152" t="s">
        <v>2398</v>
      </c>
      <c r="G329" s="152" t="s">
        <v>1435</v>
      </c>
      <c r="H329" s="152" t="s">
        <v>2705</v>
      </c>
      <c r="I329" s="152" t="s">
        <v>2705</v>
      </c>
      <c r="J329" s="152" t="s">
        <v>2705</v>
      </c>
      <c r="K329" s="152" t="s">
        <v>2705</v>
      </c>
      <c r="L329" s="152" t="s">
        <v>2705</v>
      </c>
      <c r="M329" s="152" t="s">
        <v>2705</v>
      </c>
      <c r="N329" s="152" t="s">
        <v>2705</v>
      </c>
      <c r="O329" s="152" t="s">
        <v>2398</v>
      </c>
      <c r="P329" s="152" t="s">
        <v>2398</v>
      </c>
      <c r="Q329" s="152" t="s">
        <v>1435</v>
      </c>
      <c r="R329" s="152" t="s">
        <v>2675</v>
      </c>
      <c r="S329" s="152" t="s">
        <v>2675</v>
      </c>
      <c r="T329" s="152" t="s">
        <v>2705</v>
      </c>
      <c r="U329" s="152" t="s">
        <v>2705</v>
      </c>
      <c r="V329" s="142" cm="1">
        <f t="array" ref="V329">IF(A329&lt;&gt;"",SUM(--(B329:U330 = "X")*$U$3,--(B329:U330 ="A")*$Q$3,--(B329:U330 ="B")*$R$3,--(B329:U330 ="C")*$S$3),"")</f>
        <v>22</v>
      </c>
      <c r="X329" s="437" t="s">
        <v>7637</v>
      </c>
      <c r="Y329" s="437">
        <v>13</v>
      </c>
      <c r="Z329" s="436">
        <f>_xlfn.XLOOKUP(answers[[#This Row],[StudentID]],$A$7:$A$1418,$V$7:$V$1418)</f>
        <v>13</v>
      </c>
      <c r="AF329" s="142" t="s">
        <v>7481</v>
      </c>
      <c r="AG329" s="142" t="s">
        <v>2705</v>
      </c>
      <c r="AH329" s="142" t="s">
        <v>2398</v>
      </c>
      <c r="AI329" s="142" t="s">
        <v>2705</v>
      </c>
      <c r="AJ329" s="142" t="s">
        <v>1435</v>
      </c>
      <c r="AK329" s="142" t="s">
        <v>2398</v>
      </c>
      <c r="AL329" s="142" t="s">
        <v>1435</v>
      </c>
      <c r="AM329" s="142" t="s">
        <v>2705</v>
      </c>
      <c r="AN329" s="142" t="s">
        <v>2705</v>
      </c>
      <c r="AO329" s="142" t="s">
        <v>2705</v>
      </c>
      <c r="AP329" s="142" t="s">
        <v>2705</v>
      </c>
      <c r="AQ329" s="142" t="s">
        <v>2705</v>
      </c>
      <c r="AR329" s="142" t="s">
        <v>2705</v>
      </c>
      <c r="AS329" s="142" t="s">
        <v>2705</v>
      </c>
      <c r="AT329" s="142" t="s">
        <v>2398</v>
      </c>
      <c r="AU329" s="142" t="s">
        <v>2398</v>
      </c>
      <c r="AV329" s="142" t="s">
        <v>1435</v>
      </c>
      <c r="AW329" s="142" t="s">
        <v>2675</v>
      </c>
      <c r="AX329" s="142" t="s">
        <v>2675</v>
      </c>
      <c r="AY329" s="142" t="s">
        <v>2705</v>
      </c>
      <c r="AZ329" s="142" t="s">
        <v>2705</v>
      </c>
    </row>
    <row r="330" spans="1:52" s="142" customFormat="1" ht="12.75" x14ac:dyDescent="0.2">
      <c r="A330" s="151"/>
      <c r="B330" s="152" t="s">
        <v>2397</v>
      </c>
      <c r="C330" s="152" t="s">
        <v>2705</v>
      </c>
      <c r="D330" s="152" t="s">
        <v>2705</v>
      </c>
      <c r="E330" s="152" t="s">
        <v>2705</v>
      </c>
      <c r="F330" s="152" t="s">
        <v>2705</v>
      </c>
      <c r="G330" s="152" t="s">
        <v>2398</v>
      </c>
      <c r="H330" s="152" t="s">
        <v>2705</v>
      </c>
      <c r="I330" s="152" t="s">
        <v>2705</v>
      </c>
      <c r="J330" s="152" t="s">
        <v>2398</v>
      </c>
      <c r="K330" s="152" t="s">
        <v>2675</v>
      </c>
      <c r="L330" s="152" t="s">
        <v>2398</v>
      </c>
      <c r="M330" s="152" t="s">
        <v>2398</v>
      </c>
      <c r="N330" s="152" t="s">
        <v>2705</v>
      </c>
      <c r="O330" s="152" t="s">
        <v>2705</v>
      </c>
      <c r="P330" s="152" t="s">
        <v>2705</v>
      </c>
      <c r="Q330" s="152" t="s">
        <v>2705</v>
      </c>
      <c r="R330" s="152" t="s">
        <v>2705</v>
      </c>
      <c r="S330" s="152" t="s">
        <v>2705</v>
      </c>
      <c r="T330" s="152" t="s">
        <v>2705</v>
      </c>
      <c r="U330" s="152" t="s">
        <v>2705</v>
      </c>
      <c r="V330" s="142" t="str" cm="1">
        <f t="array" ref="V330">IF(A330&lt;&gt;"",SUM(--(B330:U331 = "X")*$U$3,--(B330:U331 ="A")*$Q$3,--(B330:U331 ="B")*$R$3,--(B330:U331 ="C")*$S$3),"")</f>
        <v/>
      </c>
      <c r="X330" s="437" t="s">
        <v>7638</v>
      </c>
      <c r="Y330" s="437">
        <v>19</v>
      </c>
      <c r="Z330" s="436">
        <f>_xlfn.XLOOKUP(answers[[#This Row],[StudentID]],$A$7:$A$1418,$V$7:$V$1418)</f>
        <v>19</v>
      </c>
      <c r="AG330" s="142" t="s">
        <v>2397</v>
      </c>
      <c r="AH330" s="142" t="s">
        <v>2705</v>
      </c>
      <c r="AI330" s="142" t="s">
        <v>2705</v>
      </c>
      <c r="AJ330" s="142" t="s">
        <v>2705</v>
      </c>
      <c r="AK330" s="142" t="s">
        <v>2705</v>
      </c>
      <c r="AL330" s="142" t="s">
        <v>2398</v>
      </c>
      <c r="AM330" s="142" t="s">
        <v>2705</v>
      </c>
      <c r="AN330" s="142" t="s">
        <v>2705</v>
      </c>
      <c r="AO330" s="142" t="s">
        <v>2398</v>
      </c>
      <c r="AP330" s="142" t="s">
        <v>2675</v>
      </c>
      <c r="AQ330" s="142" t="s">
        <v>2398</v>
      </c>
      <c r="AR330" s="142" t="s">
        <v>2398</v>
      </c>
      <c r="AS330" s="142" t="s">
        <v>2705</v>
      </c>
      <c r="AT330" s="142" t="s">
        <v>2705</v>
      </c>
      <c r="AU330" s="142" t="s">
        <v>2705</v>
      </c>
      <c r="AV330" s="142" t="s">
        <v>2705</v>
      </c>
      <c r="AW330" s="142" t="s">
        <v>2705</v>
      </c>
      <c r="AX330" s="142" t="s">
        <v>2705</v>
      </c>
      <c r="AY330" s="142" t="s">
        <v>2705</v>
      </c>
      <c r="AZ330" s="142" t="s">
        <v>2705</v>
      </c>
    </row>
    <row r="331" spans="1:52" s="142" customFormat="1" ht="12.75" x14ac:dyDescent="0.2">
      <c r="A331" s="151" t="s">
        <v>7482</v>
      </c>
      <c r="B331" s="152" t="s">
        <v>2398</v>
      </c>
      <c r="C331" s="152" t="s">
        <v>2398</v>
      </c>
      <c r="D331" s="152" t="s">
        <v>2397</v>
      </c>
      <c r="E331" s="152" t="s">
        <v>2398</v>
      </c>
      <c r="F331" s="152" t="s">
        <v>2675</v>
      </c>
      <c r="G331" s="152" t="s">
        <v>2705</v>
      </c>
      <c r="H331" s="152" t="s">
        <v>2705</v>
      </c>
      <c r="I331" s="152" t="s">
        <v>2398</v>
      </c>
      <c r="J331" s="152" t="s">
        <v>2675</v>
      </c>
      <c r="K331" s="152" t="s">
        <v>2705</v>
      </c>
      <c r="L331" s="152" t="s">
        <v>2398</v>
      </c>
      <c r="M331" s="152" t="s">
        <v>2705</v>
      </c>
      <c r="N331" s="152" t="s">
        <v>2705</v>
      </c>
      <c r="O331" s="152" t="s">
        <v>2705</v>
      </c>
      <c r="P331" s="152" t="s">
        <v>2705</v>
      </c>
      <c r="Q331" s="152" t="s">
        <v>2705</v>
      </c>
      <c r="R331" s="152" t="s">
        <v>2705</v>
      </c>
      <c r="S331" s="152" t="s">
        <v>2705</v>
      </c>
      <c r="T331" s="152" t="s">
        <v>2397</v>
      </c>
      <c r="U331" s="152" t="s">
        <v>2398</v>
      </c>
      <c r="V331" s="142" cm="1">
        <f t="array" ref="V331">IF(A331&lt;&gt;"",SUM(--(B331:U332 = "X")*$U$3,--(B331:U332 ="A")*$Q$3,--(B331:U332 ="B")*$R$3,--(B331:U332 ="C")*$S$3),"")</f>
        <v>20</v>
      </c>
      <c r="X331" s="437" t="s">
        <v>7639</v>
      </c>
      <c r="Y331" s="437">
        <v>17</v>
      </c>
      <c r="Z331" s="436">
        <f>_xlfn.XLOOKUP(answers[[#This Row],[StudentID]],$A$7:$A$1418,$V$7:$V$1418)</f>
        <v>17</v>
      </c>
      <c r="AF331" s="142" t="s">
        <v>7482</v>
      </c>
      <c r="AG331" s="142" t="s">
        <v>2398</v>
      </c>
      <c r="AH331" s="142" t="s">
        <v>2398</v>
      </c>
      <c r="AI331" s="142" t="s">
        <v>2397</v>
      </c>
      <c r="AJ331" s="142" t="s">
        <v>2398</v>
      </c>
      <c r="AK331" s="142" t="s">
        <v>2675</v>
      </c>
      <c r="AL331" s="142" t="s">
        <v>2705</v>
      </c>
      <c r="AM331" s="142" t="s">
        <v>2705</v>
      </c>
      <c r="AN331" s="142" t="s">
        <v>2398</v>
      </c>
      <c r="AO331" s="142" t="s">
        <v>2675</v>
      </c>
      <c r="AP331" s="142" t="s">
        <v>2705</v>
      </c>
      <c r="AQ331" s="142" t="s">
        <v>2398</v>
      </c>
      <c r="AR331" s="142" t="s">
        <v>2705</v>
      </c>
      <c r="AS331" s="142" t="s">
        <v>2705</v>
      </c>
      <c r="AT331" s="142" t="s">
        <v>2705</v>
      </c>
      <c r="AU331" s="142" t="s">
        <v>2705</v>
      </c>
      <c r="AV331" s="142" t="s">
        <v>2705</v>
      </c>
      <c r="AW331" s="142" t="s">
        <v>2705</v>
      </c>
      <c r="AX331" s="142" t="s">
        <v>2705</v>
      </c>
      <c r="AY331" s="142" t="s">
        <v>2397</v>
      </c>
      <c r="AZ331" s="142" t="s">
        <v>2398</v>
      </c>
    </row>
    <row r="332" spans="1:52" s="142" customFormat="1" ht="12.75" x14ac:dyDescent="0.2">
      <c r="A332" s="151"/>
      <c r="B332" s="152" t="s">
        <v>2675</v>
      </c>
      <c r="C332" s="152" t="s">
        <v>2675</v>
      </c>
      <c r="D332" s="152" t="s">
        <v>2397</v>
      </c>
      <c r="E332" s="152" t="s">
        <v>2705</v>
      </c>
      <c r="F332" s="152" t="s">
        <v>2705</v>
      </c>
      <c r="G332" s="152" t="s">
        <v>2398</v>
      </c>
      <c r="H332" s="152" t="s">
        <v>2398</v>
      </c>
      <c r="I332" s="152" t="s">
        <v>2705</v>
      </c>
      <c r="J332" s="152" t="s">
        <v>2705</v>
      </c>
      <c r="K332" s="152" t="s">
        <v>2705</v>
      </c>
      <c r="L332" s="152" t="s">
        <v>2398</v>
      </c>
      <c r="M332" s="152" t="s">
        <v>2398</v>
      </c>
      <c r="N332" s="152" t="s">
        <v>2705</v>
      </c>
      <c r="O332" s="152" t="s">
        <v>2705</v>
      </c>
      <c r="P332" s="152" t="s">
        <v>2705</v>
      </c>
      <c r="Q332" s="152" t="s">
        <v>2705</v>
      </c>
      <c r="R332" s="152" t="s">
        <v>2705</v>
      </c>
      <c r="S332" s="152" t="s">
        <v>2705</v>
      </c>
      <c r="T332" s="152" t="s">
        <v>2705</v>
      </c>
      <c r="U332" s="152" t="s">
        <v>2398</v>
      </c>
      <c r="V332" s="142" t="str" cm="1">
        <f t="array" ref="V332">IF(A332&lt;&gt;"",SUM(--(B332:U333 = "X")*$U$3,--(B332:U333 ="A")*$Q$3,--(B332:U333 ="B")*$R$3,--(B332:U333 ="C")*$S$3),"")</f>
        <v/>
      </c>
      <c r="X332" s="437" t="s">
        <v>7640</v>
      </c>
      <c r="Y332" s="437">
        <v>28.5</v>
      </c>
      <c r="Z332" s="436">
        <f>_xlfn.XLOOKUP(answers[[#This Row],[StudentID]],$A$7:$A$1418,$V$7:$V$1418)</f>
        <v>28.5</v>
      </c>
      <c r="AG332" s="142" t="s">
        <v>2675</v>
      </c>
      <c r="AH332" s="142" t="s">
        <v>2675</v>
      </c>
      <c r="AI332" s="142" t="s">
        <v>2397</v>
      </c>
      <c r="AJ332" s="142" t="s">
        <v>2705</v>
      </c>
      <c r="AK332" s="142" t="s">
        <v>2705</v>
      </c>
      <c r="AL332" s="142" t="s">
        <v>2398</v>
      </c>
      <c r="AM332" s="142" t="s">
        <v>2398</v>
      </c>
      <c r="AN332" s="142" t="s">
        <v>2705</v>
      </c>
      <c r="AO332" s="142" t="s">
        <v>2705</v>
      </c>
      <c r="AP332" s="142" t="s">
        <v>2705</v>
      </c>
      <c r="AQ332" s="142" t="s">
        <v>2398</v>
      </c>
      <c r="AR332" s="142" t="s">
        <v>2398</v>
      </c>
      <c r="AS332" s="142" t="s">
        <v>2705</v>
      </c>
      <c r="AT332" s="142" t="s">
        <v>2705</v>
      </c>
      <c r="AU332" s="142" t="s">
        <v>2705</v>
      </c>
      <c r="AV332" s="142" t="s">
        <v>2705</v>
      </c>
      <c r="AW332" s="142" t="s">
        <v>2705</v>
      </c>
      <c r="AX332" s="142" t="s">
        <v>2705</v>
      </c>
      <c r="AY332" s="142" t="s">
        <v>2705</v>
      </c>
      <c r="AZ332" s="142" t="s">
        <v>2398</v>
      </c>
    </row>
    <row r="333" spans="1:52" s="142" customFormat="1" ht="12.75" x14ac:dyDescent="0.2">
      <c r="A333" s="151" t="s">
        <v>7483</v>
      </c>
      <c r="B333" s="152" t="s">
        <v>2705</v>
      </c>
      <c r="C333" s="152" t="s">
        <v>2705</v>
      </c>
      <c r="D333" s="152" t="s">
        <v>2705</v>
      </c>
      <c r="E333" s="152" t="s">
        <v>2705</v>
      </c>
      <c r="F333" s="152" t="s">
        <v>2705</v>
      </c>
      <c r="G333" s="152" t="s">
        <v>2705</v>
      </c>
      <c r="H333" s="152" t="s">
        <v>2705</v>
      </c>
      <c r="I333" s="152" t="s">
        <v>2398</v>
      </c>
      <c r="J333" s="152" t="s">
        <v>2398</v>
      </c>
      <c r="K333" s="152" t="s">
        <v>2705</v>
      </c>
      <c r="L333" s="152" t="s">
        <v>2397</v>
      </c>
      <c r="M333" s="152" t="s">
        <v>2398</v>
      </c>
      <c r="N333" s="152" t="s">
        <v>2705</v>
      </c>
      <c r="O333" s="152" t="s">
        <v>2398</v>
      </c>
      <c r="P333" s="152" t="s">
        <v>2398</v>
      </c>
      <c r="Q333" s="152" t="s">
        <v>2705</v>
      </c>
      <c r="R333" s="152" t="s">
        <v>2397</v>
      </c>
      <c r="S333" s="152" t="s">
        <v>2398</v>
      </c>
      <c r="T333" s="152" t="s">
        <v>2398</v>
      </c>
      <c r="U333" s="152" t="s">
        <v>2398</v>
      </c>
      <c r="V333" s="142" cm="1">
        <f t="array" ref="V333">IF(A333&lt;&gt;"",SUM(--(B333:U334 = "X")*$U$3,--(B333:U334 ="A")*$Q$3,--(B333:U334 ="B")*$R$3,--(B333:U334 ="C")*$S$3),"")</f>
        <v>21.5</v>
      </c>
      <c r="X333" s="437" t="s">
        <v>7641</v>
      </c>
      <c r="Y333" s="437">
        <v>26</v>
      </c>
      <c r="Z333" s="436">
        <f>_xlfn.XLOOKUP(answers[[#This Row],[StudentID]],$A$7:$A$1418,$V$7:$V$1418)</f>
        <v>26</v>
      </c>
      <c r="AF333" s="142" t="s">
        <v>7483</v>
      </c>
      <c r="AG333" s="142" t="s">
        <v>2705</v>
      </c>
      <c r="AH333" s="142" t="s">
        <v>2705</v>
      </c>
      <c r="AI333" s="142" t="s">
        <v>2705</v>
      </c>
      <c r="AJ333" s="142" t="s">
        <v>2705</v>
      </c>
      <c r="AK333" s="142" t="s">
        <v>2705</v>
      </c>
      <c r="AL333" s="142" t="s">
        <v>2705</v>
      </c>
      <c r="AM333" s="142" t="s">
        <v>2705</v>
      </c>
      <c r="AN333" s="142" t="s">
        <v>2398</v>
      </c>
      <c r="AO333" s="142" t="s">
        <v>2398</v>
      </c>
      <c r="AP333" s="142" t="s">
        <v>2705</v>
      </c>
      <c r="AQ333" s="142" t="s">
        <v>2397</v>
      </c>
      <c r="AR333" s="142" t="s">
        <v>2398</v>
      </c>
      <c r="AS333" s="142" t="s">
        <v>2705</v>
      </c>
      <c r="AT333" s="142" t="s">
        <v>2398</v>
      </c>
      <c r="AU333" s="142" t="s">
        <v>2398</v>
      </c>
      <c r="AV333" s="142" t="s">
        <v>2705</v>
      </c>
      <c r="AW333" s="142" t="s">
        <v>2397</v>
      </c>
      <c r="AX333" s="142" t="s">
        <v>2398</v>
      </c>
      <c r="AY333" s="142" t="s">
        <v>2398</v>
      </c>
      <c r="AZ333" s="142" t="s">
        <v>2398</v>
      </c>
    </row>
    <row r="334" spans="1:52" s="142" customFormat="1" ht="12.75" x14ac:dyDescent="0.2">
      <c r="A334" s="151"/>
      <c r="B334" s="152" t="s">
        <v>2398</v>
      </c>
      <c r="C334" s="152" t="s">
        <v>2675</v>
      </c>
      <c r="D334" s="152" t="s">
        <v>2705</v>
      </c>
      <c r="E334" s="152" t="s">
        <v>2705</v>
      </c>
      <c r="F334" s="152" t="s">
        <v>2705</v>
      </c>
      <c r="G334" s="152" t="s">
        <v>2705</v>
      </c>
      <c r="H334" s="152" t="s">
        <v>2397</v>
      </c>
      <c r="I334" s="152" t="s">
        <v>2705</v>
      </c>
      <c r="J334" s="152" t="s">
        <v>2398</v>
      </c>
      <c r="K334" s="152" t="s">
        <v>2705</v>
      </c>
      <c r="L334" s="152" t="s">
        <v>2705</v>
      </c>
      <c r="M334" s="152" t="s">
        <v>2398</v>
      </c>
      <c r="N334" s="152" t="s">
        <v>2398</v>
      </c>
      <c r="O334" s="152" t="s">
        <v>2705</v>
      </c>
      <c r="P334" s="152" t="s">
        <v>2398</v>
      </c>
      <c r="Q334" s="152" t="s">
        <v>2705</v>
      </c>
      <c r="R334" s="152" t="s">
        <v>2398</v>
      </c>
      <c r="S334" s="152" t="s">
        <v>2705</v>
      </c>
      <c r="T334" s="152" t="s">
        <v>2705</v>
      </c>
      <c r="U334" s="152" t="s">
        <v>2705</v>
      </c>
      <c r="V334" s="142" t="str" cm="1">
        <f t="array" ref="V334">IF(A334&lt;&gt;"",SUM(--(B334:U335 = "X")*$U$3,--(B334:U335 ="A")*$Q$3,--(B334:U335 ="B")*$R$3,--(B334:U335 ="C")*$S$3),"")</f>
        <v/>
      </c>
      <c r="X334" s="437" t="s">
        <v>7642</v>
      </c>
      <c r="Y334" s="437">
        <v>25.5</v>
      </c>
      <c r="Z334" s="436">
        <f>_xlfn.XLOOKUP(answers[[#This Row],[StudentID]],$A$7:$A$1418,$V$7:$V$1418)</f>
        <v>25.5</v>
      </c>
      <c r="AG334" s="142" t="s">
        <v>2398</v>
      </c>
      <c r="AH334" s="142" t="s">
        <v>2675</v>
      </c>
      <c r="AI334" s="142" t="s">
        <v>2705</v>
      </c>
      <c r="AJ334" s="142" t="s">
        <v>2705</v>
      </c>
      <c r="AK334" s="142" t="s">
        <v>2705</v>
      </c>
      <c r="AL334" s="142" t="s">
        <v>2705</v>
      </c>
      <c r="AM334" s="142" t="s">
        <v>2397</v>
      </c>
      <c r="AN334" s="142" t="s">
        <v>2705</v>
      </c>
      <c r="AO334" s="142" t="s">
        <v>2398</v>
      </c>
      <c r="AP334" s="142" t="s">
        <v>2705</v>
      </c>
      <c r="AQ334" s="142" t="s">
        <v>2705</v>
      </c>
      <c r="AR334" s="142" t="s">
        <v>2398</v>
      </c>
      <c r="AS334" s="142" t="s">
        <v>2398</v>
      </c>
      <c r="AT334" s="142" t="s">
        <v>2705</v>
      </c>
      <c r="AU334" s="142" t="s">
        <v>2398</v>
      </c>
      <c r="AV334" s="142" t="s">
        <v>2705</v>
      </c>
      <c r="AW334" s="142" t="s">
        <v>2398</v>
      </c>
      <c r="AX334" s="142" t="s">
        <v>2705</v>
      </c>
      <c r="AY334" s="142" t="s">
        <v>2705</v>
      </c>
      <c r="AZ334" s="142" t="s">
        <v>2705</v>
      </c>
    </row>
    <row r="335" spans="1:52" s="142" customFormat="1" ht="12.75" x14ac:dyDescent="0.2">
      <c r="A335" s="151" t="s">
        <v>7484</v>
      </c>
      <c r="B335" s="152" t="s">
        <v>2398</v>
      </c>
      <c r="C335" s="152" t="s">
        <v>2705</v>
      </c>
      <c r="D335" s="152" t="s">
        <v>2705</v>
      </c>
      <c r="E335" s="152" t="s">
        <v>2398</v>
      </c>
      <c r="F335" s="152" t="s">
        <v>2398</v>
      </c>
      <c r="G335" s="152" t="s">
        <v>2705</v>
      </c>
      <c r="H335" s="152" t="s">
        <v>2398</v>
      </c>
      <c r="I335" s="152" t="s">
        <v>2398</v>
      </c>
      <c r="J335" s="152" t="s">
        <v>2705</v>
      </c>
      <c r="K335" s="152" t="s">
        <v>2705</v>
      </c>
      <c r="L335" s="152" t="s">
        <v>2705</v>
      </c>
      <c r="M335" s="152" t="s">
        <v>2398</v>
      </c>
      <c r="N335" s="152" t="s">
        <v>2705</v>
      </c>
      <c r="O335" s="152" t="s">
        <v>2705</v>
      </c>
      <c r="P335" s="152" t="s">
        <v>2398</v>
      </c>
      <c r="Q335" s="152" t="s">
        <v>2398</v>
      </c>
      <c r="R335" s="152" t="s">
        <v>2705</v>
      </c>
      <c r="S335" s="152" t="s">
        <v>2705</v>
      </c>
      <c r="T335" s="152" t="s">
        <v>2705</v>
      </c>
      <c r="U335" s="152" t="s">
        <v>2398</v>
      </c>
      <c r="V335" s="142" cm="1">
        <f t="array" ref="V335">IF(A335&lt;&gt;"",SUM(--(B335:U336 = "X")*$U$3,--(B335:U336 ="A")*$Q$3,--(B335:U336 ="B")*$R$3,--(B335:U336 ="C")*$S$3),"")</f>
        <v>20.5</v>
      </c>
      <c r="X335" s="437" t="s">
        <v>7643</v>
      </c>
      <c r="Y335" s="437">
        <v>22</v>
      </c>
      <c r="Z335" s="436">
        <f>_xlfn.XLOOKUP(answers[[#This Row],[StudentID]],$A$7:$A$1418,$V$7:$V$1418)</f>
        <v>22</v>
      </c>
      <c r="AF335" s="142" t="s">
        <v>7484</v>
      </c>
      <c r="AG335" s="142" t="s">
        <v>2398</v>
      </c>
      <c r="AH335" s="142" t="s">
        <v>2705</v>
      </c>
      <c r="AI335" s="142" t="s">
        <v>2705</v>
      </c>
      <c r="AJ335" s="142" t="s">
        <v>2398</v>
      </c>
      <c r="AK335" s="142" t="s">
        <v>2398</v>
      </c>
      <c r="AL335" s="142" t="s">
        <v>2705</v>
      </c>
      <c r="AM335" s="142" t="s">
        <v>2398</v>
      </c>
      <c r="AN335" s="142" t="s">
        <v>2398</v>
      </c>
      <c r="AO335" s="142" t="s">
        <v>2705</v>
      </c>
      <c r="AP335" s="142" t="s">
        <v>2705</v>
      </c>
      <c r="AQ335" s="142" t="s">
        <v>2705</v>
      </c>
      <c r="AR335" s="142" t="s">
        <v>2398</v>
      </c>
      <c r="AS335" s="142" t="s">
        <v>2705</v>
      </c>
      <c r="AT335" s="142" t="s">
        <v>2705</v>
      </c>
      <c r="AU335" s="142" t="s">
        <v>2398</v>
      </c>
      <c r="AV335" s="142" t="s">
        <v>2398</v>
      </c>
      <c r="AW335" s="142" t="s">
        <v>2705</v>
      </c>
      <c r="AX335" s="142" t="s">
        <v>2705</v>
      </c>
      <c r="AY335" s="142" t="s">
        <v>2705</v>
      </c>
      <c r="AZ335" s="142" t="s">
        <v>2398</v>
      </c>
    </row>
    <row r="336" spans="1:52" s="142" customFormat="1" ht="12.75" x14ac:dyDescent="0.2">
      <c r="A336" s="151"/>
      <c r="B336" s="152" t="s">
        <v>2398</v>
      </c>
      <c r="C336" s="152" t="s">
        <v>2398</v>
      </c>
      <c r="D336" s="152" t="s">
        <v>2705</v>
      </c>
      <c r="E336" s="152" t="s">
        <v>2398</v>
      </c>
      <c r="F336" s="152" t="s">
        <v>2705</v>
      </c>
      <c r="G336" s="152" t="s">
        <v>1435</v>
      </c>
      <c r="H336" s="152" t="s">
        <v>2705</v>
      </c>
      <c r="I336" s="152" t="s">
        <v>2705</v>
      </c>
      <c r="J336" s="152" t="s">
        <v>2705</v>
      </c>
      <c r="K336" s="152" t="s">
        <v>2705</v>
      </c>
      <c r="L336" s="152" t="s">
        <v>2398</v>
      </c>
      <c r="M336" s="152" t="s">
        <v>2705</v>
      </c>
      <c r="N336" s="152" t="s">
        <v>2398</v>
      </c>
      <c r="O336" s="152" t="s">
        <v>2705</v>
      </c>
      <c r="P336" s="152" t="s">
        <v>2398</v>
      </c>
      <c r="Q336" s="152" t="s">
        <v>2398</v>
      </c>
      <c r="R336" s="152" t="s">
        <v>2398</v>
      </c>
      <c r="S336" s="152" t="s">
        <v>2398</v>
      </c>
      <c r="T336" s="152" t="s">
        <v>2705</v>
      </c>
      <c r="U336" s="152" t="s">
        <v>2705</v>
      </c>
      <c r="V336" s="142" t="str" cm="1">
        <f t="array" ref="V336">IF(A336&lt;&gt;"",SUM(--(B336:U337 = "X")*$U$3,--(B336:U337 ="A")*$Q$3,--(B336:U337 ="B")*$R$3,--(B336:U337 ="C")*$S$3),"")</f>
        <v/>
      </c>
      <c r="X336" s="437" t="s">
        <v>7644</v>
      </c>
      <c r="Y336" s="437">
        <v>30</v>
      </c>
      <c r="Z336" s="436">
        <f>_xlfn.XLOOKUP(answers[[#This Row],[StudentID]],$A$7:$A$1418,$V$7:$V$1418)</f>
        <v>30</v>
      </c>
      <c r="AG336" s="142" t="s">
        <v>2398</v>
      </c>
      <c r="AH336" s="142" t="s">
        <v>2398</v>
      </c>
      <c r="AI336" s="142" t="s">
        <v>2705</v>
      </c>
      <c r="AJ336" s="142" t="s">
        <v>2398</v>
      </c>
      <c r="AK336" s="142" t="s">
        <v>2705</v>
      </c>
      <c r="AL336" s="142" t="s">
        <v>1435</v>
      </c>
      <c r="AM336" s="142" t="s">
        <v>2705</v>
      </c>
      <c r="AN336" s="142" t="s">
        <v>2705</v>
      </c>
      <c r="AO336" s="142" t="s">
        <v>2705</v>
      </c>
      <c r="AP336" s="142" t="s">
        <v>2705</v>
      </c>
      <c r="AQ336" s="142" t="s">
        <v>2398</v>
      </c>
      <c r="AR336" s="142" t="s">
        <v>2705</v>
      </c>
      <c r="AS336" s="142" t="s">
        <v>2398</v>
      </c>
      <c r="AT336" s="142" t="s">
        <v>2705</v>
      </c>
      <c r="AU336" s="142" t="s">
        <v>2398</v>
      </c>
      <c r="AV336" s="142" t="s">
        <v>2398</v>
      </c>
      <c r="AW336" s="142" t="s">
        <v>2398</v>
      </c>
      <c r="AX336" s="142" t="s">
        <v>2398</v>
      </c>
      <c r="AY336" s="142" t="s">
        <v>2705</v>
      </c>
      <c r="AZ336" s="142" t="s">
        <v>2705</v>
      </c>
    </row>
    <row r="337" spans="1:52" s="142" customFormat="1" ht="12.75" x14ac:dyDescent="0.2">
      <c r="A337" s="151" t="s">
        <v>7485</v>
      </c>
      <c r="B337" s="152" t="s">
        <v>2398</v>
      </c>
      <c r="C337" s="152" t="s">
        <v>2705</v>
      </c>
      <c r="D337" s="152" t="s">
        <v>2398</v>
      </c>
      <c r="E337" s="152" t="s">
        <v>2398</v>
      </c>
      <c r="F337" s="152" t="s">
        <v>2705</v>
      </c>
      <c r="G337" s="152" t="s">
        <v>2705</v>
      </c>
      <c r="H337" s="152" t="s">
        <v>2705</v>
      </c>
      <c r="I337" s="152" t="s">
        <v>2398</v>
      </c>
      <c r="J337" s="152" t="s">
        <v>2398</v>
      </c>
      <c r="K337" s="152" t="s">
        <v>2705</v>
      </c>
      <c r="L337" s="152" t="s">
        <v>2398</v>
      </c>
      <c r="M337" s="152" t="s">
        <v>2705</v>
      </c>
      <c r="N337" s="152" t="s">
        <v>2398</v>
      </c>
      <c r="O337" s="152" t="s">
        <v>2705</v>
      </c>
      <c r="P337" s="152" t="s">
        <v>2705</v>
      </c>
      <c r="Q337" s="152" t="s">
        <v>2705</v>
      </c>
      <c r="R337" s="152" t="s">
        <v>2705</v>
      </c>
      <c r="S337" s="152" t="s">
        <v>2398</v>
      </c>
      <c r="T337" s="152" t="s">
        <v>2398</v>
      </c>
      <c r="U337" s="152" t="s">
        <v>2705</v>
      </c>
      <c r="V337" s="142" cm="1">
        <f t="array" ref="V337">IF(A337&lt;&gt;"",SUM(--(B337:U338 = "X")*$U$3,--(B337:U338 ="A")*$Q$3,--(B337:U338 ="B")*$R$3,--(B337:U338 ="C")*$S$3),"")</f>
        <v>21.5</v>
      </c>
      <c r="X337" s="437" t="s">
        <v>7645</v>
      </c>
      <c r="Y337" s="437">
        <v>13.5</v>
      </c>
      <c r="Z337" s="436">
        <f>_xlfn.XLOOKUP(answers[[#This Row],[StudentID]],$A$7:$A$1418,$V$7:$V$1418)</f>
        <v>13.5</v>
      </c>
      <c r="AF337" s="142" t="s">
        <v>7485</v>
      </c>
      <c r="AG337" s="142" t="s">
        <v>2398</v>
      </c>
      <c r="AH337" s="142" t="s">
        <v>2705</v>
      </c>
      <c r="AI337" s="142" t="s">
        <v>2398</v>
      </c>
      <c r="AJ337" s="142" t="s">
        <v>2398</v>
      </c>
      <c r="AK337" s="142" t="s">
        <v>2705</v>
      </c>
      <c r="AL337" s="142" t="s">
        <v>2705</v>
      </c>
      <c r="AM337" s="142" t="s">
        <v>2705</v>
      </c>
      <c r="AN337" s="142" t="s">
        <v>2398</v>
      </c>
      <c r="AO337" s="142" t="s">
        <v>2398</v>
      </c>
      <c r="AP337" s="142" t="s">
        <v>2705</v>
      </c>
      <c r="AQ337" s="142" t="s">
        <v>2398</v>
      </c>
      <c r="AR337" s="142" t="s">
        <v>2705</v>
      </c>
      <c r="AS337" s="142" t="s">
        <v>2398</v>
      </c>
      <c r="AT337" s="142" t="s">
        <v>2705</v>
      </c>
      <c r="AU337" s="142" t="s">
        <v>2705</v>
      </c>
      <c r="AV337" s="142" t="s">
        <v>2705</v>
      </c>
      <c r="AW337" s="142" t="s">
        <v>2705</v>
      </c>
      <c r="AX337" s="142" t="s">
        <v>2398</v>
      </c>
      <c r="AY337" s="142" t="s">
        <v>2398</v>
      </c>
      <c r="AZ337" s="142" t="s">
        <v>2705</v>
      </c>
    </row>
    <row r="338" spans="1:52" s="142" customFormat="1" ht="12.75" x14ac:dyDescent="0.2">
      <c r="A338" s="151"/>
      <c r="B338" s="152" t="s">
        <v>2675</v>
      </c>
      <c r="C338" s="152" t="s">
        <v>2398</v>
      </c>
      <c r="D338" s="152" t="s">
        <v>2705</v>
      </c>
      <c r="E338" s="152" t="s">
        <v>2398</v>
      </c>
      <c r="F338" s="152" t="s">
        <v>2705</v>
      </c>
      <c r="G338" s="152" t="s">
        <v>2705</v>
      </c>
      <c r="H338" s="152" t="s">
        <v>2398</v>
      </c>
      <c r="I338" s="152" t="s">
        <v>2398</v>
      </c>
      <c r="J338" s="152" t="s">
        <v>2398</v>
      </c>
      <c r="K338" s="152" t="s">
        <v>2705</v>
      </c>
      <c r="L338" s="152" t="s">
        <v>2705</v>
      </c>
      <c r="M338" s="152" t="s">
        <v>2398</v>
      </c>
      <c r="N338" s="152" t="s">
        <v>2705</v>
      </c>
      <c r="O338" s="152" t="s">
        <v>2705</v>
      </c>
      <c r="P338" s="152" t="s">
        <v>2398</v>
      </c>
      <c r="Q338" s="152" t="s">
        <v>2705</v>
      </c>
      <c r="R338" s="152" t="s">
        <v>2705</v>
      </c>
      <c r="S338" s="152" t="s">
        <v>2705</v>
      </c>
      <c r="T338" s="152" t="s">
        <v>2705</v>
      </c>
      <c r="U338" s="152" t="s">
        <v>2398</v>
      </c>
      <c r="V338" s="142" t="str" cm="1">
        <f t="array" ref="V338">IF(A338&lt;&gt;"",SUM(--(B338:U339 = "X")*$U$3,--(B338:U339 ="A")*$Q$3,--(B338:U339 ="B")*$R$3,--(B338:U339 ="C")*$S$3),"")</f>
        <v/>
      </c>
      <c r="X338" s="437" t="s">
        <v>7646</v>
      </c>
      <c r="Y338" s="437">
        <v>11</v>
      </c>
      <c r="Z338" s="436">
        <f>_xlfn.XLOOKUP(answers[[#This Row],[StudentID]],$A$7:$A$1418,$V$7:$V$1418)</f>
        <v>11</v>
      </c>
      <c r="AG338" s="142" t="s">
        <v>2675</v>
      </c>
      <c r="AH338" s="142" t="s">
        <v>2398</v>
      </c>
      <c r="AI338" s="142" t="s">
        <v>2705</v>
      </c>
      <c r="AJ338" s="142" t="s">
        <v>2398</v>
      </c>
      <c r="AK338" s="142" t="s">
        <v>2705</v>
      </c>
      <c r="AL338" s="142" t="s">
        <v>2705</v>
      </c>
      <c r="AM338" s="142" t="s">
        <v>2398</v>
      </c>
      <c r="AN338" s="142" t="s">
        <v>2398</v>
      </c>
      <c r="AO338" s="142" t="s">
        <v>2398</v>
      </c>
      <c r="AP338" s="142" t="s">
        <v>2705</v>
      </c>
      <c r="AQ338" s="142" t="s">
        <v>2705</v>
      </c>
      <c r="AR338" s="142" t="s">
        <v>2398</v>
      </c>
      <c r="AS338" s="142" t="s">
        <v>2705</v>
      </c>
      <c r="AT338" s="142" t="s">
        <v>2705</v>
      </c>
      <c r="AU338" s="142" t="s">
        <v>2398</v>
      </c>
      <c r="AV338" s="142" t="s">
        <v>2705</v>
      </c>
      <c r="AW338" s="142" t="s">
        <v>2705</v>
      </c>
      <c r="AX338" s="142" t="s">
        <v>2705</v>
      </c>
      <c r="AY338" s="142" t="s">
        <v>2705</v>
      </c>
      <c r="AZ338" s="142" t="s">
        <v>2398</v>
      </c>
    </row>
    <row r="339" spans="1:52" s="142" customFormat="1" ht="12.75" x14ac:dyDescent="0.2">
      <c r="A339" s="151" t="s">
        <v>7486</v>
      </c>
      <c r="B339" s="152" t="s">
        <v>2705</v>
      </c>
      <c r="C339" s="152" t="s">
        <v>2705</v>
      </c>
      <c r="D339" s="152" t="s">
        <v>2705</v>
      </c>
      <c r="E339" s="152" t="s">
        <v>2705</v>
      </c>
      <c r="F339" s="152" t="s">
        <v>2705</v>
      </c>
      <c r="G339" s="152" t="s">
        <v>2705</v>
      </c>
      <c r="H339" s="152" t="s">
        <v>2705</v>
      </c>
      <c r="I339" s="152" t="s">
        <v>2398</v>
      </c>
      <c r="J339" s="152" t="s">
        <v>2705</v>
      </c>
      <c r="K339" s="152" t="s">
        <v>2398</v>
      </c>
      <c r="L339" s="152" t="s">
        <v>2705</v>
      </c>
      <c r="M339" s="152" t="s">
        <v>2705</v>
      </c>
      <c r="N339" s="152" t="s">
        <v>2398</v>
      </c>
      <c r="O339" s="152" t="s">
        <v>2705</v>
      </c>
      <c r="P339" s="152" t="s">
        <v>2705</v>
      </c>
      <c r="Q339" s="152" t="s">
        <v>2398</v>
      </c>
      <c r="R339" s="152" t="s">
        <v>2397</v>
      </c>
      <c r="S339" s="152" t="s">
        <v>2398</v>
      </c>
      <c r="T339" s="152" t="s">
        <v>2705</v>
      </c>
      <c r="U339" s="152" t="s">
        <v>2705</v>
      </c>
      <c r="V339" s="142" cm="1">
        <f t="array" ref="V339">IF(A339&lt;&gt;"",SUM(--(B339:U340 = "X")*$U$3,--(B339:U340 ="A")*$Q$3,--(B339:U340 ="B")*$R$3,--(B339:U340 ="C")*$S$3),"")</f>
        <v>25</v>
      </c>
      <c r="X339" s="437" t="s">
        <v>7647</v>
      </c>
      <c r="Y339" s="437">
        <v>17</v>
      </c>
      <c r="Z339" s="436">
        <f>_xlfn.XLOOKUP(answers[[#This Row],[StudentID]],$A$7:$A$1418,$V$7:$V$1418)</f>
        <v>17</v>
      </c>
      <c r="AF339" s="142" t="s">
        <v>7486</v>
      </c>
      <c r="AG339" s="142" t="s">
        <v>2705</v>
      </c>
      <c r="AH339" s="142" t="s">
        <v>2705</v>
      </c>
      <c r="AI339" s="142" t="s">
        <v>2705</v>
      </c>
      <c r="AJ339" s="142" t="s">
        <v>2705</v>
      </c>
      <c r="AK339" s="142" t="s">
        <v>2705</v>
      </c>
      <c r="AL339" s="142" t="s">
        <v>2705</v>
      </c>
      <c r="AM339" s="142" t="s">
        <v>2705</v>
      </c>
      <c r="AN339" s="142" t="s">
        <v>2398</v>
      </c>
      <c r="AO339" s="142" t="s">
        <v>2705</v>
      </c>
      <c r="AP339" s="142" t="s">
        <v>2398</v>
      </c>
      <c r="AQ339" s="142" t="s">
        <v>2705</v>
      </c>
      <c r="AR339" s="142" t="s">
        <v>2705</v>
      </c>
      <c r="AS339" s="142" t="s">
        <v>2398</v>
      </c>
      <c r="AT339" s="142" t="s">
        <v>2705</v>
      </c>
      <c r="AU339" s="142" t="s">
        <v>2705</v>
      </c>
      <c r="AV339" s="142" t="s">
        <v>2398</v>
      </c>
      <c r="AW339" s="142" t="s">
        <v>2397</v>
      </c>
      <c r="AX339" s="142" t="s">
        <v>2398</v>
      </c>
      <c r="AY339" s="142" t="s">
        <v>2705</v>
      </c>
      <c r="AZ339" s="142" t="s">
        <v>2705</v>
      </c>
    </row>
    <row r="340" spans="1:52" s="142" customFormat="1" ht="12.75" x14ac:dyDescent="0.2">
      <c r="A340" s="151"/>
      <c r="B340" s="152" t="s">
        <v>2398</v>
      </c>
      <c r="C340" s="152" t="s">
        <v>2398</v>
      </c>
      <c r="D340" s="152" t="s">
        <v>2705</v>
      </c>
      <c r="E340" s="152" t="s">
        <v>2705</v>
      </c>
      <c r="F340" s="152" t="s">
        <v>2705</v>
      </c>
      <c r="G340" s="152" t="s">
        <v>2398</v>
      </c>
      <c r="H340" s="152" t="s">
        <v>2705</v>
      </c>
      <c r="I340" s="152" t="s">
        <v>2705</v>
      </c>
      <c r="J340" s="152" t="s">
        <v>2398</v>
      </c>
      <c r="K340" s="152" t="s">
        <v>2398</v>
      </c>
      <c r="L340" s="152" t="s">
        <v>2705</v>
      </c>
      <c r="M340" s="152" t="s">
        <v>2705</v>
      </c>
      <c r="N340" s="152" t="s">
        <v>2705</v>
      </c>
      <c r="O340" s="152" t="s">
        <v>2705</v>
      </c>
      <c r="P340" s="152" t="s">
        <v>2398</v>
      </c>
      <c r="Q340" s="152" t="s">
        <v>2398</v>
      </c>
      <c r="R340" s="152" t="s">
        <v>2398</v>
      </c>
      <c r="S340" s="152" t="s">
        <v>2705</v>
      </c>
      <c r="T340" s="152" t="s">
        <v>2705</v>
      </c>
      <c r="U340" s="152" t="s">
        <v>2398</v>
      </c>
      <c r="V340" s="142" t="str" cm="1">
        <f t="array" ref="V340">IF(A340&lt;&gt;"",SUM(--(B340:U341 = "X")*$U$3,--(B340:U341 ="A")*$Q$3,--(B340:U341 ="B")*$R$3,--(B340:U341 ="C")*$S$3),"")</f>
        <v/>
      </c>
      <c r="X340" s="437" t="s">
        <v>7648</v>
      </c>
      <c r="Y340" s="437">
        <v>11.5</v>
      </c>
      <c r="Z340" s="436">
        <f>_xlfn.XLOOKUP(answers[[#This Row],[StudentID]],$A$7:$A$1418,$V$7:$V$1418)</f>
        <v>11.5</v>
      </c>
      <c r="AG340" s="142" t="s">
        <v>2398</v>
      </c>
      <c r="AH340" s="142" t="s">
        <v>2398</v>
      </c>
      <c r="AI340" s="142" t="s">
        <v>2705</v>
      </c>
      <c r="AJ340" s="142" t="s">
        <v>2705</v>
      </c>
      <c r="AK340" s="142" t="s">
        <v>2705</v>
      </c>
      <c r="AL340" s="142" t="s">
        <v>2398</v>
      </c>
      <c r="AM340" s="142" t="s">
        <v>2705</v>
      </c>
      <c r="AN340" s="142" t="s">
        <v>2705</v>
      </c>
      <c r="AO340" s="142" t="s">
        <v>2398</v>
      </c>
      <c r="AP340" s="142" t="s">
        <v>2398</v>
      </c>
      <c r="AQ340" s="142" t="s">
        <v>2705</v>
      </c>
      <c r="AR340" s="142" t="s">
        <v>2705</v>
      </c>
      <c r="AS340" s="142" t="s">
        <v>2705</v>
      </c>
      <c r="AT340" s="142" t="s">
        <v>2705</v>
      </c>
      <c r="AU340" s="142" t="s">
        <v>2398</v>
      </c>
      <c r="AV340" s="142" t="s">
        <v>2398</v>
      </c>
      <c r="AW340" s="142" t="s">
        <v>2398</v>
      </c>
      <c r="AX340" s="142" t="s">
        <v>2705</v>
      </c>
      <c r="AY340" s="142" t="s">
        <v>2705</v>
      </c>
      <c r="AZ340" s="142" t="s">
        <v>2398</v>
      </c>
    </row>
    <row r="341" spans="1:52" s="142" customFormat="1" ht="12.75" x14ac:dyDescent="0.2">
      <c r="A341" s="151" t="s">
        <v>7487</v>
      </c>
      <c r="B341" s="152" t="s">
        <v>2705</v>
      </c>
      <c r="C341" s="152" t="s">
        <v>2398</v>
      </c>
      <c r="D341" s="152" t="s">
        <v>2705</v>
      </c>
      <c r="E341" s="152" t="s">
        <v>2705</v>
      </c>
      <c r="F341" s="152" t="s">
        <v>1435</v>
      </c>
      <c r="G341" s="152" t="s">
        <v>2705</v>
      </c>
      <c r="H341" s="152" t="s">
        <v>1435</v>
      </c>
      <c r="I341" s="152" t="s">
        <v>2705</v>
      </c>
      <c r="J341" s="152" t="s">
        <v>2675</v>
      </c>
      <c r="K341" s="152" t="s">
        <v>2397</v>
      </c>
      <c r="L341" s="152" t="s">
        <v>2705</v>
      </c>
      <c r="M341" s="152" t="s">
        <v>2705</v>
      </c>
      <c r="N341" s="152" t="s">
        <v>2705</v>
      </c>
      <c r="O341" s="152" t="s">
        <v>2705</v>
      </c>
      <c r="P341" s="152" t="s">
        <v>2675</v>
      </c>
      <c r="Q341" s="152" t="s">
        <v>2398</v>
      </c>
      <c r="R341" s="152" t="s">
        <v>2398</v>
      </c>
      <c r="S341" s="152" t="s">
        <v>2397</v>
      </c>
      <c r="T341" s="152" t="s">
        <v>2705</v>
      </c>
      <c r="U341" s="152" t="s">
        <v>2398</v>
      </c>
      <c r="V341" s="142" cm="1">
        <f t="array" ref="V341">IF(A341&lt;&gt;"",SUM(--(B341:U342 = "X")*$U$3,--(B341:U342 ="A")*$Q$3,--(B341:U342 ="B")*$R$3,--(B341:U342 ="C")*$S$3),"")</f>
        <v>17.5</v>
      </c>
      <c r="X341" s="437" t="s">
        <v>7649</v>
      </c>
      <c r="Y341" s="437">
        <v>11</v>
      </c>
      <c r="Z341" s="436">
        <f>_xlfn.XLOOKUP(answers[[#This Row],[StudentID]],$A$7:$A$1418,$V$7:$V$1418)</f>
        <v>11</v>
      </c>
      <c r="AF341" s="142" t="s">
        <v>7487</v>
      </c>
      <c r="AG341" s="142" t="s">
        <v>2705</v>
      </c>
      <c r="AH341" s="142" t="s">
        <v>2398</v>
      </c>
      <c r="AI341" s="142" t="s">
        <v>2705</v>
      </c>
      <c r="AJ341" s="142" t="s">
        <v>2705</v>
      </c>
      <c r="AK341" s="142" t="s">
        <v>1435</v>
      </c>
      <c r="AL341" s="142" t="s">
        <v>2705</v>
      </c>
      <c r="AM341" s="142" t="s">
        <v>1435</v>
      </c>
      <c r="AN341" s="142" t="s">
        <v>2705</v>
      </c>
      <c r="AO341" s="142" t="s">
        <v>2675</v>
      </c>
      <c r="AP341" s="142" t="s">
        <v>2397</v>
      </c>
      <c r="AQ341" s="142" t="s">
        <v>2705</v>
      </c>
      <c r="AR341" s="142" t="s">
        <v>2705</v>
      </c>
      <c r="AS341" s="142" t="s">
        <v>2705</v>
      </c>
      <c r="AT341" s="142" t="s">
        <v>2705</v>
      </c>
      <c r="AU341" s="142" t="s">
        <v>2675</v>
      </c>
      <c r="AV341" s="142" t="s">
        <v>2398</v>
      </c>
      <c r="AW341" s="142" t="s">
        <v>2398</v>
      </c>
      <c r="AX341" s="142" t="s">
        <v>2397</v>
      </c>
      <c r="AY341" s="142" t="s">
        <v>2705</v>
      </c>
      <c r="AZ341" s="142" t="s">
        <v>2398</v>
      </c>
    </row>
    <row r="342" spans="1:52" s="142" customFormat="1" ht="12.75" x14ac:dyDescent="0.2">
      <c r="A342" s="151"/>
      <c r="B342" s="152" t="s">
        <v>2397</v>
      </c>
      <c r="C342" s="152" t="s">
        <v>2705</v>
      </c>
      <c r="D342" s="152" t="s">
        <v>2705</v>
      </c>
      <c r="E342" s="152" t="s">
        <v>2705</v>
      </c>
      <c r="F342" s="152" t="s">
        <v>2705</v>
      </c>
      <c r="G342" s="152" t="s">
        <v>2398</v>
      </c>
      <c r="H342" s="152" t="s">
        <v>2398</v>
      </c>
      <c r="I342" s="152" t="s">
        <v>2705</v>
      </c>
      <c r="J342" s="152" t="s">
        <v>2705</v>
      </c>
      <c r="K342" s="152" t="s">
        <v>2705</v>
      </c>
      <c r="L342" s="152" t="s">
        <v>2398</v>
      </c>
      <c r="M342" s="152" t="s">
        <v>1435</v>
      </c>
      <c r="N342" s="152" t="s">
        <v>2398</v>
      </c>
      <c r="O342" s="152" t="s">
        <v>2398</v>
      </c>
      <c r="P342" s="152" t="s">
        <v>2675</v>
      </c>
      <c r="Q342" s="152" t="s">
        <v>2705</v>
      </c>
      <c r="R342" s="152" t="s">
        <v>2705</v>
      </c>
      <c r="S342" s="152" t="s">
        <v>2675</v>
      </c>
      <c r="T342" s="152" t="s">
        <v>2705</v>
      </c>
      <c r="U342" s="152" t="s">
        <v>2705</v>
      </c>
      <c r="V342" s="142" t="str" cm="1">
        <f t="array" ref="V342">IF(A342&lt;&gt;"",SUM(--(B342:U343 = "X")*$U$3,--(B342:U343 ="A")*$Q$3,--(B342:U343 ="B")*$R$3,--(B342:U343 ="C")*$S$3),"")</f>
        <v/>
      </c>
      <c r="X342" s="437" t="s">
        <v>7650</v>
      </c>
      <c r="Y342" s="437">
        <v>13.5</v>
      </c>
      <c r="Z342" s="436">
        <f>_xlfn.XLOOKUP(answers[[#This Row],[StudentID]],$A$7:$A$1418,$V$7:$V$1418)</f>
        <v>13.5</v>
      </c>
      <c r="AG342" s="142" t="s">
        <v>2397</v>
      </c>
      <c r="AH342" s="142" t="s">
        <v>2705</v>
      </c>
      <c r="AI342" s="142" t="s">
        <v>2705</v>
      </c>
      <c r="AJ342" s="142" t="s">
        <v>2705</v>
      </c>
      <c r="AK342" s="142" t="s">
        <v>2705</v>
      </c>
      <c r="AL342" s="142" t="s">
        <v>2398</v>
      </c>
      <c r="AM342" s="142" t="s">
        <v>2398</v>
      </c>
      <c r="AN342" s="142" t="s">
        <v>2705</v>
      </c>
      <c r="AO342" s="142" t="s">
        <v>2705</v>
      </c>
      <c r="AP342" s="142" t="s">
        <v>2705</v>
      </c>
      <c r="AQ342" s="142" t="s">
        <v>2398</v>
      </c>
      <c r="AR342" s="142" t="s">
        <v>1435</v>
      </c>
      <c r="AS342" s="142" t="s">
        <v>2398</v>
      </c>
      <c r="AT342" s="142" t="s">
        <v>2398</v>
      </c>
      <c r="AU342" s="142" t="s">
        <v>2675</v>
      </c>
      <c r="AV342" s="142" t="s">
        <v>2705</v>
      </c>
      <c r="AW342" s="142" t="s">
        <v>2705</v>
      </c>
      <c r="AX342" s="142" t="s">
        <v>2675</v>
      </c>
      <c r="AY342" s="142" t="s">
        <v>2705</v>
      </c>
      <c r="AZ342" s="142" t="s">
        <v>2705</v>
      </c>
    </row>
    <row r="343" spans="1:52" s="142" customFormat="1" ht="12.75" x14ac:dyDescent="0.2">
      <c r="A343" s="151" t="s">
        <v>7488</v>
      </c>
      <c r="B343" s="152" t="s">
        <v>2398</v>
      </c>
      <c r="C343" s="152" t="s">
        <v>2675</v>
      </c>
      <c r="D343" s="152" t="s">
        <v>2398</v>
      </c>
      <c r="E343" s="152" t="s">
        <v>2398</v>
      </c>
      <c r="F343" s="152" t="s">
        <v>2398</v>
      </c>
      <c r="G343" s="152" t="s">
        <v>2705</v>
      </c>
      <c r="H343" s="152" t="s">
        <v>2705</v>
      </c>
      <c r="I343" s="152" t="s">
        <v>2398</v>
      </c>
      <c r="J343" s="152" t="s">
        <v>2675</v>
      </c>
      <c r="K343" s="152" t="s">
        <v>1435</v>
      </c>
      <c r="L343" s="152" t="s">
        <v>2705</v>
      </c>
      <c r="M343" s="152" t="s">
        <v>1435</v>
      </c>
      <c r="N343" s="152" t="s">
        <v>2675</v>
      </c>
      <c r="O343" s="152" t="s">
        <v>2705</v>
      </c>
      <c r="P343" s="152" t="s">
        <v>1435</v>
      </c>
      <c r="Q343" s="152" t="s">
        <v>2705</v>
      </c>
      <c r="R343" s="152" t="s">
        <v>2398</v>
      </c>
      <c r="S343" s="152" t="s">
        <v>2705</v>
      </c>
      <c r="T343" s="152" t="s">
        <v>2705</v>
      </c>
      <c r="U343" s="152" t="s">
        <v>2705</v>
      </c>
      <c r="V343" s="142" cm="1">
        <f t="array" ref="V343">IF(A343&lt;&gt;"",SUM(--(B343:U344 = "X")*$U$3,--(B343:U344 ="A")*$Q$3,--(B343:U344 ="B")*$R$3,--(B343:U344 ="C")*$S$3),"")</f>
        <v>13</v>
      </c>
      <c r="X343" s="437" t="s">
        <v>7651</v>
      </c>
      <c r="Y343" s="437">
        <v>13.5</v>
      </c>
      <c r="Z343" s="436">
        <f>_xlfn.XLOOKUP(answers[[#This Row],[StudentID]],$A$7:$A$1418,$V$7:$V$1418)</f>
        <v>13.5</v>
      </c>
      <c r="AF343" s="142" t="s">
        <v>7488</v>
      </c>
      <c r="AG343" s="142" t="s">
        <v>2398</v>
      </c>
      <c r="AH343" s="142" t="s">
        <v>2675</v>
      </c>
      <c r="AI343" s="142" t="s">
        <v>2398</v>
      </c>
      <c r="AJ343" s="142" t="s">
        <v>2398</v>
      </c>
      <c r="AK343" s="142" t="s">
        <v>2398</v>
      </c>
      <c r="AL343" s="142" t="s">
        <v>2705</v>
      </c>
      <c r="AM343" s="142" t="s">
        <v>2705</v>
      </c>
      <c r="AN343" s="142" t="s">
        <v>2398</v>
      </c>
      <c r="AO343" s="142" t="s">
        <v>2675</v>
      </c>
      <c r="AP343" s="142" t="s">
        <v>1435</v>
      </c>
      <c r="AQ343" s="142" t="s">
        <v>2705</v>
      </c>
      <c r="AR343" s="142" t="s">
        <v>1435</v>
      </c>
      <c r="AS343" s="142" t="s">
        <v>2675</v>
      </c>
      <c r="AT343" s="142" t="s">
        <v>2705</v>
      </c>
      <c r="AU343" s="142" t="s">
        <v>1435</v>
      </c>
      <c r="AV343" s="142" t="s">
        <v>2705</v>
      </c>
      <c r="AW343" s="142" t="s">
        <v>2398</v>
      </c>
      <c r="AX343" s="142" t="s">
        <v>2705</v>
      </c>
      <c r="AY343" s="142" t="s">
        <v>2705</v>
      </c>
      <c r="AZ343" s="142" t="s">
        <v>2705</v>
      </c>
    </row>
    <row r="344" spans="1:52" s="142" customFormat="1" ht="12.75" x14ac:dyDescent="0.2">
      <c r="A344" s="151"/>
      <c r="B344" s="152" t="s">
        <v>2398</v>
      </c>
      <c r="C344" s="152" t="s">
        <v>2675</v>
      </c>
      <c r="D344" s="152" t="s">
        <v>2398</v>
      </c>
      <c r="E344" s="152" t="s">
        <v>2398</v>
      </c>
      <c r="F344" s="152" t="s">
        <v>2705</v>
      </c>
      <c r="G344" s="152" t="s">
        <v>2675</v>
      </c>
      <c r="H344" s="152" t="s">
        <v>2398</v>
      </c>
      <c r="I344" s="152" t="s">
        <v>2398</v>
      </c>
      <c r="J344" s="152" t="s">
        <v>2705</v>
      </c>
      <c r="K344" s="152" t="s">
        <v>2705</v>
      </c>
      <c r="L344" s="152" t="s">
        <v>2705</v>
      </c>
      <c r="M344" s="152" t="s">
        <v>2398</v>
      </c>
      <c r="N344" s="152" t="s">
        <v>2705</v>
      </c>
      <c r="O344" s="152" t="s">
        <v>2398</v>
      </c>
      <c r="P344" s="152" t="s">
        <v>2705</v>
      </c>
      <c r="Q344" s="152" t="s">
        <v>2705</v>
      </c>
      <c r="R344" s="152" t="s">
        <v>2705</v>
      </c>
      <c r="S344" s="152" t="s">
        <v>2705</v>
      </c>
      <c r="T344" s="152" t="s">
        <v>2398</v>
      </c>
      <c r="U344" s="152" t="s">
        <v>2398</v>
      </c>
      <c r="V344" s="142" t="str" cm="1">
        <f t="array" ref="V344">IF(A344&lt;&gt;"",SUM(--(B344:U345 = "X")*$U$3,--(B344:U345 ="A")*$Q$3,--(B344:U345 ="B")*$R$3,--(B344:U345 ="C")*$S$3),"")</f>
        <v/>
      </c>
      <c r="X344" s="437" t="s">
        <v>7652</v>
      </c>
      <c r="Y344" s="437">
        <v>20</v>
      </c>
      <c r="Z344" s="436">
        <f>_xlfn.XLOOKUP(answers[[#This Row],[StudentID]],$A$7:$A$1418,$V$7:$V$1418)</f>
        <v>20</v>
      </c>
      <c r="AG344" s="142" t="s">
        <v>2398</v>
      </c>
      <c r="AH344" s="142" t="s">
        <v>2675</v>
      </c>
      <c r="AI344" s="142" t="s">
        <v>2398</v>
      </c>
      <c r="AJ344" s="142" t="s">
        <v>2398</v>
      </c>
      <c r="AK344" s="142" t="s">
        <v>2705</v>
      </c>
      <c r="AL344" s="142" t="s">
        <v>2675</v>
      </c>
      <c r="AM344" s="142" t="s">
        <v>2398</v>
      </c>
      <c r="AN344" s="142" t="s">
        <v>2398</v>
      </c>
      <c r="AO344" s="142" t="s">
        <v>2705</v>
      </c>
      <c r="AP344" s="142" t="s">
        <v>2705</v>
      </c>
      <c r="AQ344" s="142" t="s">
        <v>2705</v>
      </c>
      <c r="AR344" s="142" t="s">
        <v>2398</v>
      </c>
      <c r="AS344" s="142" t="s">
        <v>2705</v>
      </c>
      <c r="AT344" s="142" t="s">
        <v>2398</v>
      </c>
      <c r="AU344" s="142" t="s">
        <v>2705</v>
      </c>
      <c r="AV344" s="142" t="s">
        <v>2705</v>
      </c>
      <c r="AW344" s="142" t="s">
        <v>2705</v>
      </c>
      <c r="AX344" s="142" t="s">
        <v>2705</v>
      </c>
      <c r="AY344" s="142" t="s">
        <v>2398</v>
      </c>
      <c r="AZ344" s="142" t="s">
        <v>2398</v>
      </c>
    </row>
    <row r="345" spans="1:52" s="142" customFormat="1" ht="12.75" x14ac:dyDescent="0.2">
      <c r="A345" s="151" t="s">
        <v>7489</v>
      </c>
      <c r="B345" s="152" t="s">
        <v>2705</v>
      </c>
      <c r="C345" s="152" t="s">
        <v>2705</v>
      </c>
      <c r="D345" s="152" t="s">
        <v>2705</v>
      </c>
      <c r="E345" s="152" t="s">
        <v>2705</v>
      </c>
      <c r="F345" s="152" t="s">
        <v>2398</v>
      </c>
      <c r="G345" s="152" t="s">
        <v>2705</v>
      </c>
      <c r="H345" s="152" t="s">
        <v>2705</v>
      </c>
      <c r="I345" s="152" t="s">
        <v>2397</v>
      </c>
      <c r="J345" s="152" t="s">
        <v>2705</v>
      </c>
      <c r="K345" s="152" t="s">
        <v>2398</v>
      </c>
      <c r="L345" s="152" t="s">
        <v>2705</v>
      </c>
      <c r="M345" s="152" t="s">
        <v>2705</v>
      </c>
      <c r="N345" s="152" t="s">
        <v>2398</v>
      </c>
      <c r="O345" s="152" t="s">
        <v>2705</v>
      </c>
      <c r="P345" s="152" t="s">
        <v>2705</v>
      </c>
      <c r="Q345" s="152" t="s">
        <v>2398</v>
      </c>
      <c r="R345" s="152" t="s">
        <v>2675</v>
      </c>
      <c r="S345" s="152" t="s">
        <v>2398</v>
      </c>
      <c r="T345" s="152" t="s">
        <v>2397</v>
      </c>
      <c r="U345" s="152" t="s">
        <v>2675</v>
      </c>
      <c r="V345" s="142" cm="1">
        <f t="array" ref="V345">IF(A345&lt;&gt;"",SUM(--(B345:U346 = "X")*$U$3,--(B345:U346 ="A")*$Q$3,--(B345:U346 ="B")*$R$3,--(B345:U346 ="C")*$S$3),"")</f>
        <v>19.5</v>
      </c>
      <c r="X345" s="437" t="s">
        <v>7653</v>
      </c>
      <c r="Y345" s="437">
        <v>8.5</v>
      </c>
      <c r="Z345" s="436">
        <f>_xlfn.XLOOKUP(answers[[#This Row],[StudentID]],$A$7:$A$1418,$V$7:$V$1418)</f>
        <v>8.5</v>
      </c>
      <c r="AF345" s="142" t="s">
        <v>7489</v>
      </c>
      <c r="AG345" s="142" t="s">
        <v>2705</v>
      </c>
      <c r="AH345" s="142" t="s">
        <v>2705</v>
      </c>
      <c r="AI345" s="142" t="s">
        <v>2705</v>
      </c>
      <c r="AJ345" s="142" t="s">
        <v>2705</v>
      </c>
      <c r="AK345" s="142" t="s">
        <v>2398</v>
      </c>
      <c r="AL345" s="142" t="s">
        <v>2705</v>
      </c>
      <c r="AM345" s="142" t="s">
        <v>2705</v>
      </c>
      <c r="AN345" s="142" t="s">
        <v>2397</v>
      </c>
      <c r="AO345" s="142" t="s">
        <v>2705</v>
      </c>
      <c r="AP345" s="142" t="s">
        <v>2398</v>
      </c>
      <c r="AQ345" s="142" t="s">
        <v>2705</v>
      </c>
      <c r="AR345" s="142" t="s">
        <v>2705</v>
      </c>
      <c r="AS345" s="142" t="s">
        <v>2398</v>
      </c>
      <c r="AT345" s="142" t="s">
        <v>2705</v>
      </c>
      <c r="AU345" s="142" t="s">
        <v>2705</v>
      </c>
      <c r="AV345" s="142" t="s">
        <v>2398</v>
      </c>
      <c r="AW345" s="142" t="s">
        <v>2675</v>
      </c>
      <c r="AX345" s="142" t="s">
        <v>2398</v>
      </c>
      <c r="AY345" s="142" t="s">
        <v>2397</v>
      </c>
      <c r="AZ345" s="142" t="s">
        <v>2675</v>
      </c>
    </row>
    <row r="346" spans="1:52" s="142" customFormat="1" ht="12.75" x14ac:dyDescent="0.2">
      <c r="A346" s="151"/>
      <c r="B346" s="152" t="s">
        <v>2397</v>
      </c>
      <c r="C346" s="152" t="s">
        <v>2397</v>
      </c>
      <c r="D346" s="152" t="s">
        <v>2705</v>
      </c>
      <c r="E346" s="152" t="s">
        <v>2705</v>
      </c>
      <c r="F346" s="152" t="s">
        <v>2705</v>
      </c>
      <c r="G346" s="152" t="s">
        <v>2675</v>
      </c>
      <c r="H346" s="152" t="s">
        <v>2398</v>
      </c>
      <c r="I346" s="152" t="s">
        <v>2705</v>
      </c>
      <c r="J346" s="152" t="s">
        <v>2398</v>
      </c>
      <c r="K346" s="152" t="s">
        <v>2398</v>
      </c>
      <c r="L346" s="152" t="s">
        <v>2397</v>
      </c>
      <c r="M346" s="152" t="s">
        <v>2705</v>
      </c>
      <c r="N346" s="152" t="s">
        <v>2705</v>
      </c>
      <c r="O346" s="152" t="s">
        <v>2705</v>
      </c>
      <c r="P346" s="152" t="s">
        <v>2397</v>
      </c>
      <c r="Q346" s="152" t="s">
        <v>2705</v>
      </c>
      <c r="R346" s="152" t="s">
        <v>2705</v>
      </c>
      <c r="S346" s="152" t="s">
        <v>2397</v>
      </c>
      <c r="T346" s="152" t="s">
        <v>2398</v>
      </c>
      <c r="U346" s="152" t="s">
        <v>2705</v>
      </c>
      <c r="V346" s="142" t="str" cm="1">
        <f t="array" ref="V346">IF(A346&lt;&gt;"",SUM(--(B346:U347 = "X")*$U$3,--(B346:U347 ="A")*$Q$3,--(B346:U347 ="B")*$R$3,--(B346:U347 ="C")*$S$3),"")</f>
        <v/>
      </c>
      <c r="X346" s="437" t="s">
        <v>7654</v>
      </c>
      <c r="Y346" s="437">
        <v>21</v>
      </c>
      <c r="Z346" s="436">
        <f>_xlfn.XLOOKUP(answers[[#This Row],[StudentID]],$A$7:$A$1418,$V$7:$V$1418)</f>
        <v>21</v>
      </c>
      <c r="AG346" s="142" t="s">
        <v>2397</v>
      </c>
      <c r="AH346" s="142" t="s">
        <v>2397</v>
      </c>
      <c r="AI346" s="142" t="s">
        <v>2705</v>
      </c>
      <c r="AJ346" s="142" t="s">
        <v>2705</v>
      </c>
      <c r="AK346" s="142" t="s">
        <v>2705</v>
      </c>
      <c r="AL346" s="142" t="s">
        <v>2675</v>
      </c>
      <c r="AM346" s="142" t="s">
        <v>2398</v>
      </c>
      <c r="AN346" s="142" t="s">
        <v>2705</v>
      </c>
      <c r="AO346" s="142" t="s">
        <v>2398</v>
      </c>
      <c r="AP346" s="142" t="s">
        <v>2398</v>
      </c>
      <c r="AQ346" s="142" t="s">
        <v>2397</v>
      </c>
      <c r="AR346" s="142" t="s">
        <v>2705</v>
      </c>
      <c r="AS346" s="142" t="s">
        <v>2705</v>
      </c>
      <c r="AT346" s="142" t="s">
        <v>2705</v>
      </c>
      <c r="AU346" s="142" t="s">
        <v>2397</v>
      </c>
      <c r="AV346" s="142" t="s">
        <v>2705</v>
      </c>
      <c r="AW346" s="142" t="s">
        <v>2705</v>
      </c>
      <c r="AX346" s="142" t="s">
        <v>2397</v>
      </c>
      <c r="AY346" s="142" t="s">
        <v>2398</v>
      </c>
      <c r="AZ346" s="142" t="s">
        <v>2705</v>
      </c>
    </row>
    <row r="347" spans="1:52" s="142" customFormat="1" ht="12.75" x14ac:dyDescent="0.2">
      <c r="A347" s="151" t="s">
        <v>7490</v>
      </c>
      <c r="B347" s="152" t="s">
        <v>2398</v>
      </c>
      <c r="C347" s="152" t="s">
        <v>2675</v>
      </c>
      <c r="D347" s="152" t="s">
        <v>2705</v>
      </c>
      <c r="E347" s="152" t="s">
        <v>2705</v>
      </c>
      <c r="F347" s="152" t="s">
        <v>2398</v>
      </c>
      <c r="G347" s="152" t="s">
        <v>2398</v>
      </c>
      <c r="H347" s="152" t="s">
        <v>2705</v>
      </c>
      <c r="I347" s="152" t="s">
        <v>2398</v>
      </c>
      <c r="J347" s="152" t="s">
        <v>2705</v>
      </c>
      <c r="K347" s="152" t="s">
        <v>2398</v>
      </c>
      <c r="L347" s="152" t="s">
        <v>2705</v>
      </c>
      <c r="M347" s="152" t="s">
        <v>2398</v>
      </c>
      <c r="N347" s="152" t="s">
        <v>2705</v>
      </c>
      <c r="O347" s="152" t="s">
        <v>2705</v>
      </c>
      <c r="P347" s="152" t="s">
        <v>2398</v>
      </c>
      <c r="Q347" s="152" t="s">
        <v>2398</v>
      </c>
      <c r="R347" s="152" t="s">
        <v>2705</v>
      </c>
      <c r="S347" s="152" t="s">
        <v>2398</v>
      </c>
      <c r="T347" s="152" t="s">
        <v>2705</v>
      </c>
      <c r="U347" s="152" t="s">
        <v>2398</v>
      </c>
      <c r="V347" s="142" cm="1">
        <f t="array" ref="V347">IF(A347&lt;&gt;"",SUM(--(B347:U348 = "X")*$U$3,--(B347:U348 ="A")*$Q$3,--(B347:U348 ="B")*$R$3,--(B347:U348 ="C")*$S$3),"")</f>
        <v>22</v>
      </c>
      <c r="X347" s="437" t="s">
        <v>7655</v>
      </c>
      <c r="Y347" s="437">
        <v>18.5</v>
      </c>
      <c r="Z347" s="436">
        <f>_xlfn.XLOOKUP(answers[[#This Row],[StudentID]],$A$7:$A$1418,$V$7:$V$1418)</f>
        <v>18.5</v>
      </c>
      <c r="AF347" s="142" t="s">
        <v>7490</v>
      </c>
      <c r="AG347" s="142" t="s">
        <v>2398</v>
      </c>
      <c r="AH347" s="142" t="s">
        <v>2675</v>
      </c>
      <c r="AI347" s="142" t="s">
        <v>2705</v>
      </c>
      <c r="AJ347" s="142" t="s">
        <v>2705</v>
      </c>
      <c r="AK347" s="142" t="s">
        <v>2398</v>
      </c>
      <c r="AL347" s="142" t="s">
        <v>2398</v>
      </c>
      <c r="AM347" s="142" t="s">
        <v>2705</v>
      </c>
      <c r="AN347" s="142" t="s">
        <v>2398</v>
      </c>
      <c r="AO347" s="142" t="s">
        <v>2705</v>
      </c>
      <c r="AP347" s="142" t="s">
        <v>2398</v>
      </c>
      <c r="AQ347" s="142" t="s">
        <v>2705</v>
      </c>
      <c r="AR347" s="142" t="s">
        <v>2398</v>
      </c>
      <c r="AS347" s="142" t="s">
        <v>2705</v>
      </c>
      <c r="AT347" s="142" t="s">
        <v>2705</v>
      </c>
      <c r="AU347" s="142" t="s">
        <v>2398</v>
      </c>
      <c r="AV347" s="142" t="s">
        <v>2398</v>
      </c>
      <c r="AW347" s="142" t="s">
        <v>2705</v>
      </c>
      <c r="AX347" s="142" t="s">
        <v>2398</v>
      </c>
      <c r="AY347" s="142" t="s">
        <v>2705</v>
      </c>
      <c r="AZ347" s="142" t="s">
        <v>2398</v>
      </c>
    </row>
    <row r="348" spans="1:52" s="142" customFormat="1" ht="12.75" x14ac:dyDescent="0.2">
      <c r="A348" s="151"/>
      <c r="B348" s="152" t="s">
        <v>2398</v>
      </c>
      <c r="C348" s="152" t="s">
        <v>1435</v>
      </c>
      <c r="D348" s="152" t="s">
        <v>2705</v>
      </c>
      <c r="E348" s="152" t="s">
        <v>2705</v>
      </c>
      <c r="F348" s="152" t="s">
        <v>2705</v>
      </c>
      <c r="G348" s="152" t="s">
        <v>2705</v>
      </c>
      <c r="H348" s="152" t="s">
        <v>2705</v>
      </c>
      <c r="I348" s="152" t="s">
        <v>2705</v>
      </c>
      <c r="J348" s="152" t="s">
        <v>2705</v>
      </c>
      <c r="K348" s="152" t="s">
        <v>2705</v>
      </c>
      <c r="L348" s="152" t="s">
        <v>2705</v>
      </c>
      <c r="M348" s="152" t="s">
        <v>2705</v>
      </c>
      <c r="N348" s="152" t="s">
        <v>2398</v>
      </c>
      <c r="O348" s="152" t="s">
        <v>2705</v>
      </c>
      <c r="P348" s="152" t="s">
        <v>2398</v>
      </c>
      <c r="Q348" s="152" t="s">
        <v>2705</v>
      </c>
      <c r="R348" s="152" t="s">
        <v>2398</v>
      </c>
      <c r="S348" s="152" t="s">
        <v>2705</v>
      </c>
      <c r="T348" s="152" t="s">
        <v>2705</v>
      </c>
      <c r="U348" s="152" t="s">
        <v>2398</v>
      </c>
      <c r="V348" s="142" t="str" cm="1">
        <f t="array" ref="V348">IF(A348&lt;&gt;"",SUM(--(B348:U349 = "X")*$U$3,--(B348:U349 ="A")*$Q$3,--(B348:U349 ="B")*$R$3,--(B348:U349 ="C")*$S$3),"")</f>
        <v/>
      </c>
      <c r="X348" s="437" t="s">
        <v>7656</v>
      </c>
      <c r="Y348" s="437">
        <v>20</v>
      </c>
      <c r="Z348" s="436">
        <f>_xlfn.XLOOKUP(answers[[#This Row],[StudentID]],$A$7:$A$1418,$V$7:$V$1418)</f>
        <v>20</v>
      </c>
      <c r="AG348" s="142" t="s">
        <v>2398</v>
      </c>
      <c r="AH348" s="142" t="s">
        <v>1435</v>
      </c>
      <c r="AI348" s="142" t="s">
        <v>2705</v>
      </c>
      <c r="AJ348" s="142" t="s">
        <v>2705</v>
      </c>
      <c r="AK348" s="142" t="s">
        <v>2705</v>
      </c>
      <c r="AL348" s="142" t="s">
        <v>2705</v>
      </c>
      <c r="AM348" s="142" t="s">
        <v>2705</v>
      </c>
      <c r="AN348" s="142" t="s">
        <v>2705</v>
      </c>
      <c r="AO348" s="142" t="s">
        <v>2705</v>
      </c>
      <c r="AP348" s="142" t="s">
        <v>2705</v>
      </c>
      <c r="AQ348" s="142" t="s">
        <v>2705</v>
      </c>
      <c r="AR348" s="142" t="s">
        <v>2705</v>
      </c>
      <c r="AS348" s="142" t="s">
        <v>2398</v>
      </c>
      <c r="AT348" s="142" t="s">
        <v>2705</v>
      </c>
      <c r="AU348" s="142" t="s">
        <v>2398</v>
      </c>
      <c r="AV348" s="142" t="s">
        <v>2705</v>
      </c>
      <c r="AW348" s="142" t="s">
        <v>2398</v>
      </c>
      <c r="AX348" s="142" t="s">
        <v>2705</v>
      </c>
      <c r="AY348" s="142" t="s">
        <v>2705</v>
      </c>
      <c r="AZ348" s="142" t="s">
        <v>2398</v>
      </c>
    </row>
    <row r="349" spans="1:52" s="142" customFormat="1" ht="12.75" x14ac:dyDescent="0.2">
      <c r="A349" s="151" t="s">
        <v>7491</v>
      </c>
      <c r="B349" s="152" t="s">
        <v>2705</v>
      </c>
      <c r="C349" s="152" t="s">
        <v>2705</v>
      </c>
      <c r="D349" s="152" t="s">
        <v>2675</v>
      </c>
      <c r="E349" s="152" t="s">
        <v>2705</v>
      </c>
      <c r="F349" s="152" t="s">
        <v>1435</v>
      </c>
      <c r="G349" s="152" t="s">
        <v>2398</v>
      </c>
      <c r="H349" s="152" t="s">
        <v>2705</v>
      </c>
      <c r="I349" s="152" t="s">
        <v>2398</v>
      </c>
      <c r="J349" s="152" t="s">
        <v>2705</v>
      </c>
      <c r="K349" s="152" t="s">
        <v>2398</v>
      </c>
      <c r="L349" s="152" t="s">
        <v>2675</v>
      </c>
      <c r="M349" s="152" t="s">
        <v>2398</v>
      </c>
      <c r="N349" s="152" t="s">
        <v>2705</v>
      </c>
      <c r="O349" s="152" t="s">
        <v>2705</v>
      </c>
      <c r="P349" s="152" t="s">
        <v>2705</v>
      </c>
      <c r="Q349" s="152" t="s">
        <v>2705</v>
      </c>
      <c r="R349" s="152" t="s">
        <v>2705</v>
      </c>
      <c r="S349" s="152" t="s">
        <v>2705</v>
      </c>
      <c r="T349" s="152" t="s">
        <v>2398</v>
      </c>
      <c r="U349" s="152" t="s">
        <v>2705</v>
      </c>
      <c r="V349" s="142" cm="1">
        <f t="array" ref="V349">IF(A349&lt;&gt;"",SUM(--(B349:U350 = "X")*$U$3,--(B349:U350 ="A")*$Q$3,--(B349:U350 ="B")*$R$3,--(B349:U350 ="C")*$S$3),"")</f>
        <v>25</v>
      </c>
      <c r="X349" s="437" t="s">
        <v>7657</v>
      </c>
      <c r="Y349" s="437">
        <v>24.5</v>
      </c>
      <c r="Z349" s="436">
        <f>_xlfn.XLOOKUP(answers[[#This Row],[StudentID]],$A$7:$A$1418,$V$7:$V$1418)</f>
        <v>24.5</v>
      </c>
      <c r="AF349" s="142" t="s">
        <v>7491</v>
      </c>
      <c r="AG349" s="142" t="s">
        <v>2705</v>
      </c>
      <c r="AH349" s="142" t="s">
        <v>2705</v>
      </c>
      <c r="AI349" s="142" t="s">
        <v>2675</v>
      </c>
      <c r="AJ349" s="142" t="s">
        <v>2705</v>
      </c>
      <c r="AK349" s="142" t="s">
        <v>1435</v>
      </c>
      <c r="AL349" s="142" t="s">
        <v>2398</v>
      </c>
      <c r="AM349" s="142" t="s">
        <v>2705</v>
      </c>
      <c r="AN349" s="142" t="s">
        <v>2398</v>
      </c>
      <c r="AO349" s="142" t="s">
        <v>2705</v>
      </c>
      <c r="AP349" s="142" t="s">
        <v>2398</v>
      </c>
      <c r="AQ349" s="142" t="s">
        <v>2675</v>
      </c>
      <c r="AR349" s="142" t="s">
        <v>2398</v>
      </c>
      <c r="AS349" s="142" t="s">
        <v>2705</v>
      </c>
      <c r="AT349" s="142" t="s">
        <v>2705</v>
      </c>
      <c r="AU349" s="142" t="s">
        <v>2705</v>
      </c>
      <c r="AV349" s="142" t="s">
        <v>2705</v>
      </c>
      <c r="AW349" s="142" t="s">
        <v>2705</v>
      </c>
      <c r="AX349" s="142" t="s">
        <v>2705</v>
      </c>
      <c r="AY349" s="142" t="s">
        <v>2398</v>
      </c>
      <c r="AZ349" s="142" t="s">
        <v>2705</v>
      </c>
    </row>
    <row r="350" spans="1:52" s="142" customFormat="1" ht="12.75" x14ac:dyDescent="0.2">
      <c r="A350" s="151"/>
      <c r="B350" s="152" t="s">
        <v>1435</v>
      </c>
      <c r="C350" s="152" t="s">
        <v>2398</v>
      </c>
      <c r="D350" s="152" t="s">
        <v>2705</v>
      </c>
      <c r="E350" s="152" t="s">
        <v>2705</v>
      </c>
      <c r="F350" s="152" t="s">
        <v>2705</v>
      </c>
      <c r="G350" s="152" t="s">
        <v>2397</v>
      </c>
      <c r="H350" s="152" t="s">
        <v>2705</v>
      </c>
      <c r="I350" s="152" t="s">
        <v>2705</v>
      </c>
      <c r="J350" s="152" t="s">
        <v>2705</v>
      </c>
      <c r="K350" s="152" t="s">
        <v>2398</v>
      </c>
      <c r="L350" s="152" t="s">
        <v>2705</v>
      </c>
      <c r="M350" s="152" t="s">
        <v>2705</v>
      </c>
      <c r="N350" s="152" t="s">
        <v>2705</v>
      </c>
      <c r="O350" s="152" t="s">
        <v>2705</v>
      </c>
      <c r="P350" s="152" t="s">
        <v>2705</v>
      </c>
      <c r="Q350" s="152" t="s">
        <v>2705</v>
      </c>
      <c r="R350" s="152" t="s">
        <v>2398</v>
      </c>
      <c r="S350" s="152" t="s">
        <v>2705</v>
      </c>
      <c r="T350" s="152" t="s">
        <v>2705</v>
      </c>
      <c r="U350" s="152" t="s">
        <v>2705</v>
      </c>
      <c r="V350" s="142" t="str" cm="1">
        <f t="array" ref="V350">IF(A350&lt;&gt;"",SUM(--(B350:U351 = "X")*$U$3,--(B350:U351 ="A")*$Q$3,--(B350:U351 ="B")*$R$3,--(B350:U351 ="C")*$S$3),"")</f>
        <v/>
      </c>
      <c r="X350" s="437" t="s">
        <v>7658</v>
      </c>
      <c r="Y350" s="437">
        <v>5</v>
      </c>
      <c r="Z350" s="436">
        <f>_xlfn.XLOOKUP(answers[[#This Row],[StudentID]],$A$7:$A$1418,$V$7:$V$1418)</f>
        <v>5</v>
      </c>
      <c r="AG350" s="142" t="s">
        <v>1435</v>
      </c>
      <c r="AH350" s="142" t="s">
        <v>2398</v>
      </c>
      <c r="AI350" s="142" t="s">
        <v>2705</v>
      </c>
      <c r="AJ350" s="142" t="s">
        <v>2705</v>
      </c>
      <c r="AK350" s="142" t="s">
        <v>2705</v>
      </c>
      <c r="AL350" s="142" t="s">
        <v>2397</v>
      </c>
      <c r="AM350" s="142" t="s">
        <v>2705</v>
      </c>
      <c r="AN350" s="142" t="s">
        <v>2705</v>
      </c>
      <c r="AO350" s="142" t="s">
        <v>2705</v>
      </c>
      <c r="AP350" s="142" t="s">
        <v>2398</v>
      </c>
      <c r="AQ350" s="142" t="s">
        <v>2705</v>
      </c>
      <c r="AR350" s="142" t="s">
        <v>2705</v>
      </c>
      <c r="AS350" s="142" t="s">
        <v>2705</v>
      </c>
      <c r="AT350" s="142" t="s">
        <v>2705</v>
      </c>
      <c r="AU350" s="142" t="s">
        <v>2705</v>
      </c>
      <c r="AV350" s="142" t="s">
        <v>2705</v>
      </c>
      <c r="AW350" s="142" t="s">
        <v>2398</v>
      </c>
      <c r="AX350" s="142" t="s">
        <v>2705</v>
      </c>
      <c r="AY350" s="142" t="s">
        <v>2705</v>
      </c>
      <c r="AZ350" s="142" t="s">
        <v>2705</v>
      </c>
    </row>
    <row r="351" spans="1:52" s="142" customFormat="1" ht="12.75" x14ac:dyDescent="0.2">
      <c r="A351" s="151" t="s">
        <v>7492</v>
      </c>
      <c r="B351" s="152" t="s">
        <v>2397</v>
      </c>
      <c r="C351" s="152" t="s">
        <v>1435</v>
      </c>
      <c r="D351" s="152" t="s">
        <v>2705</v>
      </c>
      <c r="E351" s="152" t="s">
        <v>1435</v>
      </c>
      <c r="F351" s="152" t="s">
        <v>2705</v>
      </c>
      <c r="G351" s="152" t="s">
        <v>2705</v>
      </c>
      <c r="H351" s="152" t="s">
        <v>2705</v>
      </c>
      <c r="I351" s="152" t="s">
        <v>2705</v>
      </c>
      <c r="J351" s="152" t="s">
        <v>2705</v>
      </c>
      <c r="K351" s="152" t="s">
        <v>1435</v>
      </c>
      <c r="L351" s="152" t="s">
        <v>2705</v>
      </c>
      <c r="M351" s="152" t="s">
        <v>2398</v>
      </c>
      <c r="N351" s="152" t="s">
        <v>2675</v>
      </c>
      <c r="O351" s="152" t="s">
        <v>2398</v>
      </c>
      <c r="P351" s="152" t="s">
        <v>2705</v>
      </c>
      <c r="Q351" s="152" t="s">
        <v>2397</v>
      </c>
      <c r="R351" s="152" t="s">
        <v>2397</v>
      </c>
      <c r="S351" s="152" t="s">
        <v>2675</v>
      </c>
      <c r="T351" s="152" t="s">
        <v>2398</v>
      </c>
      <c r="U351" s="152" t="s">
        <v>2675</v>
      </c>
      <c r="V351" s="142" cm="1">
        <f t="array" ref="V351">IF(A351&lt;&gt;"",SUM(--(B351:U352 = "X")*$U$3,--(B351:U352 ="A")*$Q$3,--(B351:U352 ="B")*$R$3,--(B351:U352 ="C")*$S$3),"")</f>
        <v>15.5</v>
      </c>
      <c r="X351" s="437" t="s">
        <v>7659</v>
      </c>
      <c r="Y351" s="437">
        <v>21.5</v>
      </c>
      <c r="Z351" s="436">
        <f>_xlfn.XLOOKUP(answers[[#This Row],[StudentID]],$A$7:$A$1418,$V$7:$V$1418)</f>
        <v>21.5</v>
      </c>
      <c r="AF351" s="142" t="s">
        <v>7492</v>
      </c>
      <c r="AG351" s="142" t="s">
        <v>2397</v>
      </c>
      <c r="AH351" s="142" t="s">
        <v>1435</v>
      </c>
      <c r="AI351" s="142" t="s">
        <v>2705</v>
      </c>
      <c r="AJ351" s="142" t="s">
        <v>1435</v>
      </c>
      <c r="AK351" s="142" t="s">
        <v>2705</v>
      </c>
      <c r="AL351" s="142" t="s">
        <v>2705</v>
      </c>
      <c r="AM351" s="142" t="s">
        <v>2705</v>
      </c>
      <c r="AN351" s="142" t="s">
        <v>2705</v>
      </c>
      <c r="AO351" s="142" t="s">
        <v>2705</v>
      </c>
      <c r="AP351" s="142" t="s">
        <v>1435</v>
      </c>
      <c r="AQ351" s="142" t="s">
        <v>2705</v>
      </c>
      <c r="AR351" s="142" t="s">
        <v>2398</v>
      </c>
      <c r="AS351" s="142" t="s">
        <v>2675</v>
      </c>
      <c r="AT351" s="142" t="s">
        <v>2398</v>
      </c>
      <c r="AU351" s="142" t="s">
        <v>2705</v>
      </c>
      <c r="AV351" s="142" t="s">
        <v>2397</v>
      </c>
      <c r="AW351" s="142" t="s">
        <v>2397</v>
      </c>
      <c r="AX351" s="142" t="s">
        <v>2675</v>
      </c>
      <c r="AY351" s="142" t="s">
        <v>2398</v>
      </c>
      <c r="AZ351" s="142" t="s">
        <v>2675</v>
      </c>
    </row>
    <row r="352" spans="1:52" s="142" customFormat="1" ht="12.75" x14ac:dyDescent="0.2">
      <c r="A352" s="151"/>
      <c r="B352" s="152" t="s">
        <v>2397</v>
      </c>
      <c r="C352" s="152" t="s">
        <v>2705</v>
      </c>
      <c r="D352" s="152" t="s">
        <v>2398</v>
      </c>
      <c r="E352" s="152" t="s">
        <v>2705</v>
      </c>
      <c r="F352" s="152" t="s">
        <v>2705</v>
      </c>
      <c r="G352" s="152" t="s">
        <v>2705</v>
      </c>
      <c r="H352" s="152" t="s">
        <v>2398</v>
      </c>
      <c r="I352" s="152" t="s">
        <v>2705</v>
      </c>
      <c r="J352" s="152" t="s">
        <v>2705</v>
      </c>
      <c r="K352" s="152" t="s">
        <v>2398</v>
      </c>
      <c r="L352" s="152" t="s">
        <v>1435</v>
      </c>
      <c r="M352" s="152" t="s">
        <v>2705</v>
      </c>
      <c r="N352" s="152" t="s">
        <v>2705</v>
      </c>
      <c r="O352" s="152" t="s">
        <v>2705</v>
      </c>
      <c r="P352" s="152" t="s">
        <v>2398</v>
      </c>
      <c r="Q352" s="152" t="s">
        <v>1435</v>
      </c>
      <c r="R352" s="152" t="s">
        <v>2705</v>
      </c>
      <c r="S352" s="152" t="s">
        <v>2705</v>
      </c>
      <c r="T352" s="152" t="s">
        <v>2705</v>
      </c>
      <c r="U352" s="152" t="s">
        <v>2675</v>
      </c>
      <c r="V352" s="142" t="str" cm="1">
        <f t="array" ref="V352">IF(A352&lt;&gt;"",SUM(--(B352:U353 = "X")*$U$3,--(B352:U353 ="A")*$Q$3,--(B352:U353 ="B")*$R$3,--(B352:U353 ="C")*$S$3),"")</f>
        <v/>
      </c>
      <c r="X352" s="437" t="s">
        <v>7660</v>
      </c>
      <c r="Y352" s="437">
        <v>8</v>
      </c>
      <c r="Z352" s="436">
        <f>_xlfn.XLOOKUP(answers[[#This Row],[StudentID]],$A$7:$A$1418,$V$7:$V$1418)</f>
        <v>8</v>
      </c>
      <c r="AG352" s="142" t="s">
        <v>2397</v>
      </c>
      <c r="AH352" s="142" t="s">
        <v>2705</v>
      </c>
      <c r="AI352" s="142" t="s">
        <v>2398</v>
      </c>
      <c r="AJ352" s="142" t="s">
        <v>2705</v>
      </c>
      <c r="AK352" s="142" t="s">
        <v>2705</v>
      </c>
      <c r="AL352" s="142" t="s">
        <v>2705</v>
      </c>
      <c r="AM352" s="142" t="s">
        <v>2398</v>
      </c>
      <c r="AN352" s="142" t="s">
        <v>2705</v>
      </c>
      <c r="AO352" s="142" t="s">
        <v>2705</v>
      </c>
      <c r="AP352" s="142" t="s">
        <v>2398</v>
      </c>
      <c r="AQ352" s="142" t="s">
        <v>1435</v>
      </c>
      <c r="AR352" s="142" t="s">
        <v>2705</v>
      </c>
      <c r="AS352" s="142" t="s">
        <v>2705</v>
      </c>
      <c r="AT352" s="142" t="s">
        <v>2705</v>
      </c>
      <c r="AU352" s="142" t="s">
        <v>2398</v>
      </c>
      <c r="AV352" s="142" t="s">
        <v>1435</v>
      </c>
      <c r="AW352" s="142" t="s">
        <v>2705</v>
      </c>
      <c r="AX352" s="142" t="s">
        <v>2705</v>
      </c>
      <c r="AY352" s="142" t="s">
        <v>2705</v>
      </c>
      <c r="AZ352" s="142" t="s">
        <v>2675</v>
      </c>
    </row>
    <row r="353" spans="1:52" s="142" customFormat="1" ht="12.75" x14ac:dyDescent="0.2">
      <c r="A353" s="151" t="s">
        <v>7493</v>
      </c>
      <c r="B353" s="152" t="s">
        <v>2398</v>
      </c>
      <c r="C353" s="152" t="s">
        <v>2398</v>
      </c>
      <c r="D353" s="152" t="s">
        <v>2705</v>
      </c>
      <c r="E353" s="152" t="s">
        <v>2705</v>
      </c>
      <c r="F353" s="152" t="s">
        <v>2705</v>
      </c>
      <c r="G353" s="152" t="s">
        <v>2705</v>
      </c>
      <c r="H353" s="152" t="s">
        <v>2705</v>
      </c>
      <c r="I353" s="152" t="s">
        <v>2398</v>
      </c>
      <c r="J353" s="152" t="s">
        <v>2675</v>
      </c>
      <c r="K353" s="152" t="s">
        <v>2398</v>
      </c>
      <c r="L353" s="152" t="s">
        <v>2705</v>
      </c>
      <c r="M353" s="152" t="s">
        <v>2705</v>
      </c>
      <c r="N353" s="152" t="s">
        <v>1435</v>
      </c>
      <c r="O353" s="152" t="s">
        <v>2705</v>
      </c>
      <c r="P353" s="152" t="s">
        <v>2398</v>
      </c>
      <c r="Q353" s="152" t="s">
        <v>2398</v>
      </c>
      <c r="R353" s="152" t="s">
        <v>2398</v>
      </c>
      <c r="S353" s="152" t="s">
        <v>2398</v>
      </c>
      <c r="T353" s="152" t="s">
        <v>2705</v>
      </c>
      <c r="U353" s="152" t="s">
        <v>2398</v>
      </c>
      <c r="V353" s="142" cm="1">
        <f t="array" ref="V353">IF(A353&lt;&gt;"",SUM(--(B353:U354 = "X")*$U$3,--(B353:U354 ="A")*$Q$3,--(B353:U354 ="B")*$R$3,--(B353:U354 ="C")*$S$3),"")</f>
        <v>20.5</v>
      </c>
      <c r="X353" s="437" t="s">
        <v>7661</v>
      </c>
      <c r="Y353" s="437">
        <v>20</v>
      </c>
      <c r="Z353" s="436">
        <f>_xlfn.XLOOKUP(answers[[#This Row],[StudentID]],$A$7:$A$1418,$V$7:$V$1418)</f>
        <v>20</v>
      </c>
      <c r="AF353" s="142" t="s">
        <v>7493</v>
      </c>
      <c r="AG353" s="142" t="s">
        <v>2398</v>
      </c>
      <c r="AH353" s="142" t="s">
        <v>2398</v>
      </c>
      <c r="AI353" s="142" t="s">
        <v>2705</v>
      </c>
      <c r="AJ353" s="142" t="s">
        <v>2705</v>
      </c>
      <c r="AK353" s="142" t="s">
        <v>2705</v>
      </c>
      <c r="AL353" s="142" t="s">
        <v>2705</v>
      </c>
      <c r="AM353" s="142" t="s">
        <v>2705</v>
      </c>
      <c r="AN353" s="142" t="s">
        <v>2398</v>
      </c>
      <c r="AO353" s="142" t="s">
        <v>2675</v>
      </c>
      <c r="AP353" s="142" t="s">
        <v>2398</v>
      </c>
      <c r="AQ353" s="142" t="s">
        <v>2705</v>
      </c>
      <c r="AR353" s="142" t="s">
        <v>2705</v>
      </c>
      <c r="AS353" s="142" t="s">
        <v>1435</v>
      </c>
      <c r="AT353" s="142" t="s">
        <v>2705</v>
      </c>
      <c r="AU353" s="142" t="s">
        <v>2398</v>
      </c>
      <c r="AV353" s="142" t="s">
        <v>2398</v>
      </c>
      <c r="AW353" s="142" t="s">
        <v>2398</v>
      </c>
      <c r="AX353" s="142" t="s">
        <v>2398</v>
      </c>
      <c r="AY353" s="142" t="s">
        <v>2705</v>
      </c>
      <c r="AZ353" s="142" t="s">
        <v>2398</v>
      </c>
    </row>
    <row r="354" spans="1:52" s="142" customFormat="1" ht="12.75" x14ac:dyDescent="0.2">
      <c r="A354" s="151"/>
      <c r="B354" s="152" t="s">
        <v>2397</v>
      </c>
      <c r="C354" s="152" t="s">
        <v>2397</v>
      </c>
      <c r="D354" s="152" t="s">
        <v>2398</v>
      </c>
      <c r="E354" s="152" t="s">
        <v>2705</v>
      </c>
      <c r="F354" s="152" t="s">
        <v>2705</v>
      </c>
      <c r="G354" s="152" t="s">
        <v>2675</v>
      </c>
      <c r="H354" s="152" t="s">
        <v>2705</v>
      </c>
      <c r="I354" s="152" t="s">
        <v>2705</v>
      </c>
      <c r="J354" s="152" t="s">
        <v>2705</v>
      </c>
      <c r="K354" s="152" t="s">
        <v>2398</v>
      </c>
      <c r="L354" s="152" t="s">
        <v>2705</v>
      </c>
      <c r="M354" s="152" t="s">
        <v>2398</v>
      </c>
      <c r="N354" s="152" t="s">
        <v>2705</v>
      </c>
      <c r="O354" s="152" t="s">
        <v>2705</v>
      </c>
      <c r="P354" s="152" t="s">
        <v>2398</v>
      </c>
      <c r="Q354" s="152" t="s">
        <v>2705</v>
      </c>
      <c r="R354" s="152" t="s">
        <v>2705</v>
      </c>
      <c r="S354" s="152" t="s">
        <v>2705</v>
      </c>
      <c r="T354" s="152" t="s">
        <v>2705</v>
      </c>
      <c r="U354" s="152" t="s">
        <v>2705</v>
      </c>
      <c r="V354" s="142" t="str" cm="1">
        <f t="array" ref="V354">IF(A354&lt;&gt;"",SUM(--(B354:U355 = "X")*$U$3,--(B354:U355 ="A")*$Q$3,--(B354:U355 ="B")*$R$3,--(B354:U355 ="C")*$S$3),"")</f>
        <v/>
      </c>
      <c r="X354" s="437" t="s">
        <v>7662</v>
      </c>
      <c r="Y354" s="437">
        <v>15</v>
      </c>
      <c r="Z354" s="436">
        <f>_xlfn.XLOOKUP(answers[[#This Row],[StudentID]],$A$7:$A$1418,$V$7:$V$1418)</f>
        <v>15</v>
      </c>
      <c r="AG354" s="142" t="s">
        <v>2397</v>
      </c>
      <c r="AH354" s="142" t="s">
        <v>2397</v>
      </c>
      <c r="AI354" s="142" t="s">
        <v>2398</v>
      </c>
      <c r="AJ354" s="142" t="s">
        <v>2705</v>
      </c>
      <c r="AK354" s="142" t="s">
        <v>2705</v>
      </c>
      <c r="AL354" s="142" t="s">
        <v>2675</v>
      </c>
      <c r="AM354" s="142" t="s">
        <v>2705</v>
      </c>
      <c r="AN354" s="142" t="s">
        <v>2705</v>
      </c>
      <c r="AO354" s="142" t="s">
        <v>2705</v>
      </c>
      <c r="AP354" s="142" t="s">
        <v>2398</v>
      </c>
      <c r="AQ354" s="142" t="s">
        <v>2705</v>
      </c>
      <c r="AR354" s="142" t="s">
        <v>2398</v>
      </c>
      <c r="AS354" s="142" t="s">
        <v>2705</v>
      </c>
      <c r="AT354" s="142" t="s">
        <v>2705</v>
      </c>
      <c r="AU354" s="142" t="s">
        <v>2398</v>
      </c>
      <c r="AV354" s="142" t="s">
        <v>2705</v>
      </c>
      <c r="AW354" s="142" t="s">
        <v>2705</v>
      </c>
      <c r="AX354" s="142" t="s">
        <v>2705</v>
      </c>
      <c r="AY354" s="142" t="s">
        <v>2705</v>
      </c>
      <c r="AZ354" s="142" t="s">
        <v>2705</v>
      </c>
    </row>
    <row r="355" spans="1:52" s="142" customFormat="1" ht="12.75" x14ac:dyDescent="0.2">
      <c r="A355" s="151" t="s">
        <v>7494</v>
      </c>
      <c r="B355" s="152" t="s">
        <v>2398</v>
      </c>
      <c r="C355" s="152" t="s">
        <v>2398</v>
      </c>
      <c r="D355" s="152" t="s">
        <v>2705</v>
      </c>
      <c r="E355" s="152" t="s">
        <v>2398</v>
      </c>
      <c r="F355" s="152" t="s">
        <v>2705</v>
      </c>
      <c r="G355" s="152" t="s">
        <v>2705</v>
      </c>
      <c r="H355" s="152" t="s">
        <v>2398</v>
      </c>
      <c r="I355" s="152" t="s">
        <v>2398</v>
      </c>
      <c r="J355" s="152" t="s">
        <v>2675</v>
      </c>
      <c r="K355" s="152" t="s">
        <v>2705</v>
      </c>
      <c r="L355" s="152" t="s">
        <v>2705</v>
      </c>
      <c r="M355" s="152" t="s">
        <v>2398</v>
      </c>
      <c r="N355" s="152" t="s">
        <v>2675</v>
      </c>
      <c r="O355" s="152" t="s">
        <v>2705</v>
      </c>
      <c r="P355" s="152" t="s">
        <v>2398</v>
      </c>
      <c r="Q355" s="152" t="s">
        <v>2705</v>
      </c>
      <c r="R355" s="152" t="s">
        <v>2398</v>
      </c>
      <c r="S355" s="152" t="s">
        <v>2705</v>
      </c>
      <c r="T355" s="152" t="s">
        <v>2705</v>
      </c>
      <c r="U355" s="152" t="s">
        <v>2397</v>
      </c>
      <c r="V355" s="142" cm="1">
        <f t="array" ref="V355">IF(A355&lt;&gt;"",SUM(--(B355:U356 = "X")*$U$3,--(B355:U356 ="A")*$Q$3,--(B355:U356 ="B")*$R$3,--(B355:U356 ="C")*$S$3),"")</f>
        <v>17</v>
      </c>
      <c r="X355" s="437" t="s">
        <v>7663</v>
      </c>
      <c r="Y355" s="437">
        <v>1.5</v>
      </c>
      <c r="Z355" s="436">
        <f>_xlfn.XLOOKUP(answers[[#This Row],[StudentID]],$A$7:$A$1418,$V$7:$V$1418)</f>
        <v>1.5</v>
      </c>
      <c r="AF355" s="142" t="s">
        <v>7494</v>
      </c>
      <c r="AG355" s="142" t="s">
        <v>2398</v>
      </c>
      <c r="AH355" s="142" t="s">
        <v>2398</v>
      </c>
      <c r="AI355" s="142" t="s">
        <v>2705</v>
      </c>
      <c r="AJ355" s="142" t="s">
        <v>2398</v>
      </c>
      <c r="AK355" s="142" t="s">
        <v>2705</v>
      </c>
      <c r="AL355" s="142" t="s">
        <v>2705</v>
      </c>
      <c r="AM355" s="142" t="s">
        <v>2398</v>
      </c>
      <c r="AN355" s="142" t="s">
        <v>2398</v>
      </c>
      <c r="AO355" s="142" t="s">
        <v>2675</v>
      </c>
      <c r="AP355" s="142" t="s">
        <v>2705</v>
      </c>
      <c r="AQ355" s="142" t="s">
        <v>2705</v>
      </c>
      <c r="AR355" s="142" t="s">
        <v>2398</v>
      </c>
      <c r="AS355" s="142" t="s">
        <v>2675</v>
      </c>
      <c r="AT355" s="142" t="s">
        <v>2705</v>
      </c>
      <c r="AU355" s="142" t="s">
        <v>2398</v>
      </c>
      <c r="AV355" s="142" t="s">
        <v>2705</v>
      </c>
      <c r="AW355" s="142" t="s">
        <v>2398</v>
      </c>
      <c r="AX355" s="142" t="s">
        <v>2705</v>
      </c>
      <c r="AY355" s="142" t="s">
        <v>2705</v>
      </c>
      <c r="AZ355" s="142" t="s">
        <v>2397</v>
      </c>
    </row>
    <row r="356" spans="1:52" s="142" customFormat="1" ht="12.75" x14ac:dyDescent="0.2">
      <c r="A356" s="151"/>
      <c r="B356" s="152" t="s">
        <v>2705</v>
      </c>
      <c r="C356" s="152" t="s">
        <v>2675</v>
      </c>
      <c r="D356" s="152" t="s">
        <v>2398</v>
      </c>
      <c r="E356" s="152" t="s">
        <v>2398</v>
      </c>
      <c r="F356" s="152" t="s">
        <v>2705</v>
      </c>
      <c r="G356" s="152" t="s">
        <v>2705</v>
      </c>
      <c r="H356" s="152" t="s">
        <v>2398</v>
      </c>
      <c r="I356" s="152" t="s">
        <v>2705</v>
      </c>
      <c r="J356" s="152" t="s">
        <v>2705</v>
      </c>
      <c r="K356" s="152" t="s">
        <v>2705</v>
      </c>
      <c r="L356" s="152" t="s">
        <v>2398</v>
      </c>
      <c r="M356" s="152" t="s">
        <v>2398</v>
      </c>
      <c r="N356" s="152" t="s">
        <v>2705</v>
      </c>
      <c r="O356" s="152" t="s">
        <v>2705</v>
      </c>
      <c r="P356" s="152" t="s">
        <v>2675</v>
      </c>
      <c r="Q356" s="152" t="s">
        <v>2705</v>
      </c>
      <c r="R356" s="152" t="s">
        <v>2398</v>
      </c>
      <c r="S356" s="152" t="s">
        <v>2705</v>
      </c>
      <c r="T356" s="152" t="s">
        <v>2398</v>
      </c>
      <c r="U356" s="152" t="s">
        <v>2398</v>
      </c>
      <c r="V356" s="142" t="str" cm="1">
        <f t="array" ref="V356">IF(A356&lt;&gt;"",SUM(--(B356:U357 = "X")*$U$3,--(B356:U357 ="A")*$Q$3,--(B356:U357 ="B")*$R$3,--(B356:U357 ="C")*$S$3),"")</f>
        <v/>
      </c>
      <c r="X356" s="437" t="s">
        <v>7664</v>
      </c>
      <c r="Y356" s="437">
        <v>28</v>
      </c>
      <c r="Z356" s="436">
        <f>_xlfn.XLOOKUP(answers[[#This Row],[StudentID]],$A$7:$A$1418,$V$7:$V$1418)</f>
        <v>28</v>
      </c>
      <c r="AG356" s="142" t="s">
        <v>2705</v>
      </c>
      <c r="AH356" s="142" t="s">
        <v>2675</v>
      </c>
      <c r="AI356" s="142" t="s">
        <v>2398</v>
      </c>
      <c r="AJ356" s="142" t="s">
        <v>2398</v>
      </c>
      <c r="AK356" s="142" t="s">
        <v>2705</v>
      </c>
      <c r="AL356" s="142" t="s">
        <v>2705</v>
      </c>
      <c r="AM356" s="142" t="s">
        <v>2398</v>
      </c>
      <c r="AN356" s="142" t="s">
        <v>2705</v>
      </c>
      <c r="AO356" s="142" t="s">
        <v>2705</v>
      </c>
      <c r="AP356" s="142" t="s">
        <v>2705</v>
      </c>
      <c r="AQ356" s="142" t="s">
        <v>2398</v>
      </c>
      <c r="AR356" s="142" t="s">
        <v>2398</v>
      </c>
      <c r="AS356" s="142" t="s">
        <v>2705</v>
      </c>
      <c r="AT356" s="142" t="s">
        <v>2705</v>
      </c>
      <c r="AU356" s="142" t="s">
        <v>2675</v>
      </c>
      <c r="AV356" s="142" t="s">
        <v>2705</v>
      </c>
      <c r="AW356" s="142" t="s">
        <v>2398</v>
      </c>
      <c r="AX356" s="142" t="s">
        <v>2705</v>
      </c>
      <c r="AY356" s="142" t="s">
        <v>2398</v>
      </c>
      <c r="AZ356" s="142" t="s">
        <v>2398</v>
      </c>
    </row>
    <row r="357" spans="1:52" s="142" customFormat="1" ht="12.75" x14ac:dyDescent="0.2">
      <c r="A357" s="151" t="s">
        <v>7495</v>
      </c>
      <c r="B357" s="152" t="s">
        <v>2705</v>
      </c>
      <c r="C357" s="152" t="s">
        <v>2705</v>
      </c>
      <c r="D357" s="152" t="s">
        <v>2705</v>
      </c>
      <c r="E357" s="152" t="s">
        <v>2705</v>
      </c>
      <c r="F357" s="152" t="s">
        <v>2705</v>
      </c>
      <c r="G357" s="152" t="s">
        <v>2705</v>
      </c>
      <c r="H357" s="152" t="s">
        <v>2705</v>
      </c>
      <c r="I357" s="152" t="s">
        <v>2705</v>
      </c>
      <c r="J357" s="152" t="s">
        <v>2705</v>
      </c>
      <c r="K357" s="152" t="s">
        <v>1435</v>
      </c>
      <c r="L357" s="152" t="s">
        <v>2705</v>
      </c>
      <c r="M357" s="152" t="s">
        <v>2705</v>
      </c>
      <c r="N357" s="152" t="s">
        <v>2398</v>
      </c>
      <c r="O357" s="152" t="s">
        <v>2398</v>
      </c>
      <c r="P357" s="152" t="s">
        <v>2705</v>
      </c>
      <c r="Q357" s="152" t="s">
        <v>1435</v>
      </c>
      <c r="R357" s="152" t="s">
        <v>2675</v>
      </c>
      <c r="S357" s="152" t="s">
        <v>2398</v>
      </c>
      <c r="T357" s="152" t="s">
        <v>2705</v>
      </c>
      <c r="U357" s="152" t="s">
        <v>2705</v>
      </c>
      <c r="V357" s="142" cm="1">
        <f t="array" ref="V357">IF(A357&lt;&gt;"",SUM(--(B357:U358 = "X")*$U$3,--(B357:U358 ="A")*$Q$3,--(B357:U358 ="B")*$R$3,--(B357:U358 ="C")*$S$3),"")</f>
        <v>26.5</v>
      </c>
      <c r="X357" s="437" t="s">
        <v>7665</v>
      </c>
      <c r="Y357" s="437">
        <v>17.5</v>
      </c>
      <c r="Z357" s="436">
        <f>_xlfn.XLOOKUP(answers[[#This Row],[StudentID]],$A$7:$A$1418,$V$7:$V$1418)</f>
        <v>17.5</v>
      </c>
      <c r="AF357" s="142" t="s">
        <v>7495</v>
      </c>
      <c r="AG357" s="142" t="s">
        <v>2705</v>
      </c>
      <c r="AH357" s="142" t="s">
        <v>2705</v>
      </c>
      <c r="AI357" s="142" t="s">
        <v>2705</v>
      </c>
      <c r="AJ357" s="142" t="s">
        <v>2705</v>
      </c>
      <c r="AK357" s="142" t="s">
        <v>2705</v>
      </c>
      <c r="AL357" s="142" t="s">
        <v>2705</v>
      </c>
      <c r="AM357" s="142" t="s">
        <v>2705</v>
      </c>
      <c r="AN357" s="142" t="s">
        <v>2705</v>
      </c>
      <c r="AO357" s="142" t="s">
        <v>2705</v>
      </c>
      <c r="AP357" s="142" t="s">
        <v>1435</v>
      </c>
      <c r="AQ357" s="142" t="s">
        <v>2705</v>
      </c>
      <c r="AR357" s="142" t="s">
        <v>2705</v>
      </c>
      <c r="AS357" s="142" t="s">
        <v>2398</v>
      </c>
      <c r="AT357" s="142" t="s">
        <v>2398</v>
      </c>
      <c r="AU357" s="142" t="s">
        <v>2705</v>
      </c>
      <c r="AV357" s="142" t="s">
        <v>1435</v>
      </c>
      <c r="AW357" s="142" t="s">
        <v>2675</v>
      </c>
      <c r="AX357" s="142" t="s">
        <v>2398</v>
      </c>
      <c r="AY357" s="142" t="s">
        <v>2705</v>
      </c>
      <c r="AZ357" s="142" t="s">
        <v>2705</v>
      </c>
    </row>
    <row r="358" spans="1:52" s="142" customFormat="1" ht="12.75" x14ac:dyDescent="0.2">
      <c r="A358" s="151"/>
      <c r="B358" s="152" t="s">
        <v>2398</v>
      </c>
      <c r="C358" s="152" t="s">
        <v>2398</v>
      </c>
      <c r="D358" s="152" t="s">
        <v>2705</v>
      </c>
      <c r="E358" s="152" t="s">
        <v>2705</v>
      </c>
      <c r="F358" s="152" t="s">
        <v>2705</v>
      </c>
      <c r="G358" s="152" t="s">
        <v>2675</v>
      </c>
      <c r="H358" s="152" t="s">
        <v>2705</v>
      </c>
      <c r="I358" s="152" t="s">
        <v>2705</v>
      </c>
      <c r="J358" s="152" t="s">
        <v>2705</v>
      </c>
      <c r="K358" s="152" t="s">
        <v>2675</v>
      </c>
      <c r="L358" s="152" t="s">
        <v>2398</v>
      </c>
      <c r="M358" s="152" t="s">
        <v>2705</v>
      </c>
      <c r="N358" s="152" t="s">
        <v>2705</v>
      </c>
      <c r="O358" s="152" t="s">
        <v>2705</v>
      </c>
      <c r="P358" s="152" t="s">
        <v>2705</v>
      </c>
      <c r="Q358" s="152" t="s">
        <v>2705</v>
      </c>
      <c r="R358" s="152" t="s">
        <v>2705</v>
      </c>
      <c r="S358" s="152" t="s">
        <v>2705</v>
      </c>
      <c r="T358" s="152" t="s">
        <v>2705</v>
      </c>
      <c r="U358" s="152" t="s">
        <v>2705</v>
      </c>
      <c r="V358" s="142" t="str" cm="1">
        <f t="array" ref="V358">IF(A358&lt;&gt;"",SUM(--(B358:U359 = "X")*$U$3,--(B358:U359 ="A")*$Q$3,--(B358:U359 ="B")*$R$3,--(B358:U359 ="C")*$S$3),"")</f>
        <v/>
      </c>
      <c r="X358" s="437" t="s">
        <v>7666</v>
      </c>
      <c r="Y358" s="437">
        <v>21</v>
      </c>
      <c r="Z358" s="436">
        <f>_xlfn.XLOOKUP(answers[[#This Row],[StudentID]],$A$7:$A$1418,$V$7:$V$1418)</f>
        <v>21</v>
      </c>
      <c r="AG358" s="142" t="s">
        <v>2398</v>
      </c>
      <c r="AH358" s="142" t="s">
        <v>2398</v>
      </c>
      <c r="AI358" s="142" t="s">
        <v>2705</v>
      </c>
      <c r="AJ358" s="142" t="s">
        <v>2705</v>
      </c>
      <c r="AK358" s="142" t="s">
        <v>2705</v>
      </c>
      <c r="AL358" s="142" t="s">
        <v>2675</v>
      </c>
      <c r="AM358" s="142" t="s">
        <v>2705</v>
      </c>
      <c r="AN358" s="142" t="s">
        <v>2705</v>
      </c>
      <c r="AO358" s="142" t="s">
        <v>2705</v>
      </c>
      <c r="AP358" s="142" t="s">
        <v>2675</v>
      </c>
      <c r="AQ358" s="142" t="s">
        <v>2398</v>
      </c>
      <c r="AR358" s="142" t="s">
        <v>2705</v>
      </c>
      <c r="AS358" s="142" t="s">
        <v>2705</v>
      </c>
      <c r="AT358" s="142" t="s">
        <v>2705</v>
      </c>
      <c r="AU358" s="142" t="s">
        <v>2705</v>
      </c>
      <c r="AV358" s="142" t="s">
        <v>2705</v>
      </c>
      <c r="AW358" s="142" t="s">
        <v>2705</v>
      </c>
      <c r="AX358" s="142" t="s">
        <v>2705</v>
      </c>
      <c r="AY358" s="142" t="s">
        <v>2705</v>
      </c>
      <c r="AZ358" s="142" t="s">
        <v>2705</v>
      </c>
    </row>
    <row r="359" spans="1:52" s="142" customFormat="1" ht="12.75" x14ac:dyDescent="0.2">
      <c r="A359" s="151" t="s">
        <v>7496</v>
      </c>
      <c r="B359" s="152" t="s">
        <v>2705</v>
      </c>
      <c r="C359" s="152" t="s">
        <v>2705</v>
      </c>
      <c r="D359" s="152" t="s">
        <v>2705</v>
      </c>
      <c r="E359" s="152" t="s">
        <v>2705</v>
      </c>
      <c r="F359" s="152" t="s">
        <v>2397</v>
      </c>
      <c r="G359" s="152" t="s">
        <v>1435</v>
      </c>
      <c r="H359" s="152" t="s">
        <v>2705</v>
      </c>
      <c r="I359" s="152" t="s">
        <v>2398</v>
      </c>
      <c r="J359" s="152" t="s">
        <v>2705</v>
      </c>
      <c r="K359" s="152" t="s">
        <v>2705</v>
      </c>
      <c r="L359" s="152" t="s">
        <v>2705</v>
      </c>
      <c r="M359" s="152" t="s">
        <v>2705</v>
      </c>
      <c r="N359" s="152" t="s">
        <v>2705</v>
      </c>
      <c r="O359" s="152" t="s">
        <v>2398</v>
      </c>
      <c r="P359" s="152" t="s">
        <v>1435</v>
      </c>
      <c r="Q359" s="152" t="s">
        <v>2398</v>
      </c>
      <c r="R359" s="152" t="s">
        <v>2705</v>
      </c>
      <c r="S359" s="152" t="s">
        <v>2705</v>
      </c>
      <c r="T359" s="152" t="s">
        <v>2705</v>
      </c>
      <c r="U359" s="152" t="s">
        <v>2705</v>
      </c>
      <c r="V359" s="142" cm="1">
        <f t="array" ref="V359">IF(A359&lt;&gt;"",SUM(--(B359:U360 = "X")*$U$3,--(B359:U360 ="A")*$Q$3,--(B359:U360 ="B")*$R$3,--(B359:U360 ="C")*$S$3),"")</f>
        <v>23.5</v>
      </c>
      <c r="X359" s="437" t="s">
        <v>7667</v>
      </c>
      <c r="Y359" s="437">
        <v>28.5</v>
      </c>
      <c r="Z359" s="436">
        <f>_xlfn.XLOOKUP(answers[[#This Row],[StudentID]],$A$7:$A$1418,$V$7:$V$1418)</f>
        <v>28.5</v>
      </c>
      <c r="AF359" s="142" t="s">
        <v>7496</v>
      </c>
      <c r="AG359" s="142" t="s">
        <v>2705</v>
      </c>
      <c r="AH359" s="142" t="s">
        <v>2705</v>
      </c>
      <c r="AI359" s="142" t="s">
        <v>2705</v>
      </c>
      <c r="AJ359" s="142" t="s">
        <v>2705</v>
      </c>
      <c r="AK359" s="142" t="s">
        <v>2397</v>
      </c>
      <c r="AL359" s="142" t="s">
        <v>1435</v>
      </c>
      <c r="AM359" s="142" t="s">
        <v>2705</v>
      </c>
      <c r="AN359" s="142" t="s">
        <v>2398</v>
      </c>
      <c r="AO359" s="142" t="s">
        <v>2705</v>
      </c>
      <c r="AP359" s="142" t="s">
        <v>2705</v>
      </c>
      <c r="AQ359" s="142" t="s">
        <v>2705</v>
      </c>
      <c r="AR359" s="142" t="s">
        <v>2705</v>
      </c>
      <c r="AS359" s="142" t="s">
        <v>2705</v>
      </c>
      <c r="AT359" s="142" t="s">
        <v>2398</v>
      </c>
      <c r="AU359" s="142" t="s">
        <v>1435</v>
      </c>
      <c r="AV359" s="142" t="s">
        <v>2398</v>
      </c>
      <c r="AW359" s="142" t="s">
        <v>2705</v>
      </c>
      <c r="AX359" s="142" t="s">
        <v>2705</v>
      </c>
      <c r="AY359" s="142" t="s">
        <v>2705</v>
      </c>
      <c r="AZ359" s="142" t="s">
        <v>2705</v>
      </c>
    </row>
    <row r="360" spans="1:52" s="142" customFormat="1" ht="12.75" x14ac:dyDescent="0.2">
      <c r="A360" s="151"/>
      <c r="B360" s="152" t="s">
        <v>2705</v>
      </c>
      <c r="C360" s="152" t="s">
        <v>2675</v>
      </c>
      <c r="D360" s="152" t="s">
        <v>2705</v>
      </c>
      <c r="E360" s="152" t="s">
        <v>2398</v>
      </c>
      <c r="F360" s="152" t="s">
        <v>2705</v>
      </c>
      <c r="G360" s="152" t="s">
        <v>2705</v>
      </c>
      <c r="H360" s="152" t="s">
        <v>2398</v>
      </c>
      <c r="I360" s="152" t="s">
        <v>2705</v>
      </c>
      <c r="J360" s="152" t="s">
        <v>2398</v>
      </c>
      <c r="K360" s="152" t="s">
        <v>2705</v>
      </c>
      <c r="L360" s="152" t="s">
        <v>2398</v>
      </c>
      <c r="M360" s="152" t="s">
        <v>2398</v>
      </c>
      <c r="N360" s="152" t="s">
        <v>2705</v>
      </c>
      <c r="O360" s="152" t="s">
        <v>2398</v>
      </c>
      <c r="P360" s="152" t="s">
        <v>2705</v>
      </c>
      <c r="Q360" s="152" t="s">
        <v>2705</v>
      </c>
      <c r="R360" s="152" t="s">
        <v>2705</v>
      </c>
      <c r="S360" s="152" t="s">
        <v>2705</v>
      </c>
      <c r="T360" s="152" t="s">
        <v>2398</v>
      </c>
      <c r="U360" s="152" t="s">
        <v>2398</v>
      </c>
      <c r="V360" s="142" t="str" cm="1">
        <f t="array" ref="V360">IF(A360&lt;&gt;"",SUM(--(B360:U361 = "X")*$U$3,--(B360:U361 ="A")*$Q$3,--(B360:U361 ="B")*$R$3,--(B360:U361 ="C")*$S$3),"")</f>
        <v/>
      </c>
      <c r="X360" s="437" t="s">
        <v>7668</v>
      </c>
      <c r="Y360" s="437">
        <v>21.5</v>
      </c>
      <c r="Z360" s="436">
        <f>_xlfn.XLOOKUP(answers[[#This Row],[StudentID]],$A$7:$A$1418,$V$7:$V$1418)</f>
        <v>21.5</v>
      </c>
      <c r="AG360" s="142" t="s">
        <v>2705</v>
      </c>
      <c r="AH360" s="142" t="s">
        <v>2675</v>
      </c>
      <c r="AI360" s="142" t="s">
        <v>2705</v>
      </c>
      <c r="AJ360" s="142" t="s">
        <v>2398</v>
      </c>
      <c r="AK360" s="142" t="s">
        <v>2705</v>
      </c>
      <c r="AL360" s="142" t="s">
        <v>2705</v>
      </c>
      <c r="AM360" s="142" t="s">
        <v>2398</v>
      </c>
      <c r="AN360" s="142" t="s">
        <v>2705</v>
      </c>
      <c r="AO360" s="142" t="s">
        <v>2398</v>
      </c>
      <c r="AP360" s="142" t="s">
        <v>2705</v>
      </c>
      <c r="AQ360" s="142" t="s">
        <v>2398</v>
      </c>
      <c r="AR360" s="142" t="s">
        <v>2398</v>
      </c>
      <c r="AS360" s="142" t="s">
        <v>2705</v>
      </c>
      <c r="AT360" s="142" t="s">
        <v>2398</v>
      </c>
      <c r="AU360" s="142" t="s">
        <v>2705</v>
      </c>
      <c r="AV360" s="142" t="s">
        <v>2705</v>
      </c>
      <c r="AW360" s="142" t="s">
        <v>2705</v>
      </c>
      <c r="AX360" s="142" t="s">
        <v>2705</v>
      </c>
      <c r="AY360" s="142" t="s">
        <v>2398</v>
      </c>
      <c r="AZ360" s="142" t="s">
        <v>2398</v>
      </c>
    </row>
    <row r="361" spans="1:52" s="142" customFormat="1" ht="12.75" x14ac:dyDescent="0.2">
      <c r="A361" s="151" t="s">
        <v>7497</v>
      </c>
      <c r="B361" s="152" t="s">
        <v>2398</v>
      </c>
      <c r="C361" s="152" t="s">
        <v>2705</v>
      </c>
      <c r="D361" s="152" t="s">
        <v>2398</v>
      </c>
      <c r="E361" s="152" t="s">
        <v>2398</v>
      </c>
      <c r="F361" s="152" t="s">
        <v>2705</v>
      </c>
      <c r="G361" s="152" t="s">
        <v>2705</v>
      </c>
      <c r="H361" s="152" t="s">
        <v>2398</v>
      </c>
      <c r="I361" s="152" t="s">
        <v>2398</v>
      </c>
      <c r="J361" s="152" t="s">
        <v>2705</v>
      </c>
      <c r="K361" s="152" t="s">
        <v>2705</v>
      </c>
      <c r="L361" s="152" t="s">
        <v>2705</v>
      </c>
      <c r="M361" s="152" t="s">
        <v>2705</v>
      </c>
      <c r="N361" s="152" t="s">
        <v>2705</v>
      </c>
      <c r="O361" s="152" t="s">
        <v>2705</v>
      </c>
      <c r="P361" s="152" t="s">
        <v>2705</v>
      </c>
      <c r="Q361" s="152" t="s">
        <v>2398</v>
      </c>
      <c r="R361" s="152" t="s">
        <v>2705</v>
      </c>
      <c r="S361" s="152" t="s">
        <v>2397</v>
      </c>
      <c r="T361" s="152" t="s">
        <v>2705</v>
      </c>
      <c r="U361" s="152" t="s">
        <v>2705</v>
      </c>
      <c r="V361" s="142" cm="1">
        <f t="array" ref="V361">IF(A361&lt;&gt;"",SUM(--(B361:U362 = "X")*$U$3,--(B361:U362 ="A")*$Q$3,--(B361:U362 ="B")*$R$3,--(B361:U362 ="C")*$S$3),"")</f>
        <v>20.5</v>
      </c>
      <c r="X361" s="437" t="s">
        <v>7669</v>
      </c>
      <c r="Y361" s="437">
        <v>12.5</v>
      </c>
      <c r="Z361" s="436">
        <f>_xlfn.XLOOKUP(answers[[#This Row],[StudentID]],$A$7:$A$1418,$V$7:$V$1418)</f>
        <v>12.5</v>
      </c>
      <c r="AF361" s="142" t="s">
        <v>7497</v>
      </c>
      <c r="AG361" s="142" t="s">
        <v>2398</v>
      </c>
      <c r="AH361" s="142" t="s">
        <v>2705</v>
      </c>
      <c r="AI361" s="142" t="s">
        <v>2398</v>
      </c>
      <c r="AJ361" s="142" t="s">
        <v>2398</v>
      </c>
      <c r="AK361" s="142" t="s">
        <v>2705</v>
      </c>
      <c r="AL361" s="142" t="s">
        <v>2705</v>
      </c>
      <c r="AM361" s="142" t="s">
        <v>2398</v>
      </c>
      <c r="AN361" s="142" t="s">
        <v>2398</v>
      </c>
      <c r="AO361" s="142" t="s">
        <v>2705</v>
      </c>
      <c r="AP361" s="142" t="s">
        <v>2705</v>
      </c>
      <c r="AQ361" s="142" t="s">
        <v>2705</v>
      </c>
      <c r="AR361" s="142" t="s">
        <v>2705</v>
      </c>
      <c r="AS361" s="142" t="s">
        <v>2705</v>
      </c>
      <c r="AT361" s="142" t="s">
        <v>2705</v>
      </c>
      <c r="AU361" s="142" t="s">
        <v>2705</v>
      </c>
      <c r="AV361" s="142" t="s">
        <v>2398</v>
      </c>
      <c r="AW361" s="142" t="s">
        <v>2705</v>
      </c>
      <c r="AX361" s="142" t="s">
        <v>2397</v>
      </c>
      <c r="AY361" s="142" t="s">
        <v>2705</v>
      </c>
      <c r="AZ361" s="142" t="s">
        <v>2705</v>
      </c>
    </row>
    <row r="362" spans="1:52" s="142" customFormat="1" ht="12.75" x14ac:dyDescent="0.2">
      <c r="A362" s="151"/>
      <c r="B362" s="152" t="s">
        <v>2705</v>
      </c>
      <c r="C362" s="152" t="s">
        <v>2675</v>
      </c>
      <c r="D362" s="152" t="s">
        <v>2675</v>
      </c>
      <c r="E362" s="152" t="s">
        <v>2705</v>
      </c>
      <c r="F362" s="152" t="s">
        <v>2398</v>
      </c>
      <c r="G362" s="152" t="s">
        <v>2705</v>
      </c>
      <c r="H362" s="152" t="s">
        <v>2398</v>
      </c>
      <c r="I362" s="152" t="s">
        <v>2705</v>
      </c>
      <c r="J362" s="152" t="s">
        <v>2705</v>
      </c>
      <c r="K362" s="152" t="s">
        <v>2398</v>
      </c>
      <c r="L362" s="152" t="s">
        <v>2398</v>
      </c>
      <c r="M362" s="152" t="s">
        <v>2675</v>
      </c>
      <c r="N362" s="152" t="s">
        <v>2398</v>
      </c>
      <c r="O362" s="152" t="s">
        <v>2705</v>
      </c>
      <c r="P362" s="152" t="s">
        <v>2705</v>
      </c>
      <c r="Q362" s="152" t="s">
        <v>2705</v>
      </c>
      <c r="R362" s="152" t="s">
        <v>2398</v>
      </c>
      <c r="S362" s="152" t="s">
        <v>2397</v>
      </c>
      <c r="T362" s="152" t="s">
        <v>2705</v>
      </c>
      <c r="U362" s="152" t="s">
        <v>2398</v>
      </c>
      <c r="V362" s="142" t="str" cm="1">
        <f t="array" ref="V362">IF(A362&lt;&gt;"",SUM(--(B362:U363 = "X")*$U$3,--(B362:U363 ="A")*$Q$3,--(B362:U363 ="B")*$R$3,--(B362:U363 ="C")*$S$3),"")</f>
        <v/>
      </c>
      <c r="X362" s="437" t="s">
        <v>7670</v>
      </c>
      <c r="Y362" s="437">
        <v>22</v>
      </c>
      <c r="Z362" s="436">
        <f>_xlfn.XLOOKUP(answers[[#This Row],[StudentID]],$A$7:$A$1418,$V$7:$V$1418)</f>
        <v>22</v>
      </c>
      <c r="AG362" s="142" t="s">
        <v>2705</v>
      </c>
      <c r="AH362" s="142" t="s">
        <v>2675</v>
      </c>
      <c r="AI362" s="142" t="s">
        <v>2675</v>
      </c>
      <c r="AJ362" s="142" t="s">
        <v>2705</v>
      </c>
      <c r="AK362" s="142" t="s">
        <v>2398</v>
      </c>
      <c r="AL362" s="142" t="s">
        <v>2705</v>
      </c>
      <c r="AM362" s="142" t="s">
        <v>2398</v>
      </c>
      <c r="AN362" s="142" t="s">
        <v>2705</v>
      </c>
      <c r="AO362" s="142" t="s">
        <v>2705</v>
      </c>
      <c r="AP362" s="142" t="s">
        <v>2398</v>
      </c>
      <c r="AQ362" s="142" t="s">
        <v>2398</v>
      </c>
      <c r="AR362" s="142" t="s">
        <v>2675</v>
      </c>
      <c r="AS362" s="142" t="s">
        <v>2398</v>
      </c>
      <c r="AT362" s="142" t="s">
        <v>2705</v>
      </c>
      <c r="AU362" s="142" t="s">
        <v>2705</v>
      </c>
      <c r="AV362" s="142" t="s">
        <v>2705</v>
      </c>
      <c r="AW362" s="142" t="s">
        <v>2398</v>
      </c>
      <c r="AX362" s="142" t="s">
        <v>2397</v>
      </c>
      <c r="AY362" s="142" t="s">
        <v>2705</v>
      </c>
      <c r="AZ362" s="142" t="s">
        <v>2398</v>
      </c>
    </row>
    <row r="363" spans="1:52" s="142" customFormat="1" ht="12.75" x14ac:dyDescent="0.2">
      <c r="A363" s="151" t="s">
        <v>7498</v>
      </c>
      <c r="B363" s="152" t="s">
        <v>2398</v>
      </c>
      <c r="C363" s="152" t="s">
        <v>2705</v>
      </c>
      <c r="D363" s="152" t="s">
        <v>2705</v>
      </c>
      <c r="E363" s="152" t="s">
        <v>2705</v>
      </c>
      <c r="F363" s="152" t="s">
        <v>2705</v>
      </c>
      <c r="G363" s="152" t="s">
        <v>1435</v>
      </c>
      <c r="H363" s="152" t="s">
        <v>2398</v>
      </c>
      <c r="I363" s="152" t="s">
        <v>2705</v>
      </c>
      <c r="J363" s="152" t="s">
        <v>2705</v>
      </c>
      <c r="K363" s="152" t="s">
        <v>2705</v>
      </c>
      <c r="L363" s="152" t="s">
        <v>2398</v>
      </c>
      <c r="M363" s="152" t="s">
        <v>2705</v>
      </c>
      <c r="N363" s="152" t="s">
        <v>2398</v>
      </c>
      <c r="O363" s="152" t="s">
        <v>2705</v>
      </c>
      <c r="P363" s="152" t="s">
        <v>2705</v>
      </c>
      <c r="Q363" s="152" t="s">
        <v>2705</v>
      </c>
      <c r="R363" s="152" t="s">
        <v>2705</v>
      </c>
      <c r="S363" s="152" t="s">
        <v>2705</v>
      </c>
      <c r="T363" s="152" t="s">
        <v>2398</v>
      </c>
      <c r="U363" s="152" t="s">
        <v>2705</v>
      </c>
      <c r="V363" s="142" cm="1">
        <f t="array" ref="V363">IF(A363&lt;&gt;"",SUM(--(B363:U364 = "X")*$U$3,--(B363:U364 ="A")*$Q$3,--(B363:U364 ="B")*$R$3,--(B363:U364 ="C")*$S$3),"")</f>
        <v>25</v>
      </c>
      <c r="X363" s="437" t="s">
        <v>7671</v>
      </c>
      <c r="Y363" s="437">
        <v>21.5</v>
      </c>
      <c r="Z363" s="436">
        <f>_xlfn.XLOOKUP(answers[[#This Row],[StudentID]],$A$7:$A$1418,$V$7:$V$1418)</f>
        <v>21.5</v>
      </c>
      <c r="AF363" s="142" t="s">
        <v>7498</v>
      </c>
      <c r="AG363" s="142" t="s">
        <v>2398</v>
      </c>
      <c r="AH363" s="142" t="s">
        <v>2705</v>
      </c>
      <c r="AI363" s="142" t="s">
        <v>2705</v>
      </c>
      <c r="AJ363" s="142" t="s">
        <v>2705</v>
      </c>
      <c r="AK363" s="142" t="s">
        <v>2705</v>
      </c>
      <c r="AL363" s="142" t="s">
        <v>1435</v>
      </c>
      <c r="AM363" s="142" t="s">
        <v>2398</v>
      </c>
      <c r="AN363" s="142" t="s">
        <v>2705</v>
      </c>
      <c r="AO363" s="142" t="s">
        <v>2705</v>
      </c>
      <c r="AP363" s="142" t="s">
        <v>2705</v>
      </c>
      <c r="AQ363" s="142" t="s">
        <v>2398</v>
      </c>
      <c r="AR363" s="142" t="s">
        <v>2705</v>
      </c>
      <c r="AS363" s="142" t="s">
        <v>2398</v>
      </c>
      <c r="AT363" s="142" t="s">
        <v>2705</v>
      </c>
      <c r="AU363" s="142" t="s">
        <v>2705</v>
      </c>
      <c r="AV363" s="142" t="s">
        <v>2705</v>
      </c>
      <c r="AW363" s="142" t="s">
        <v>2705</v>
      </c>
      <c r="AX363" s="142" t="s">
        <v>2705</v>
      </c>
      <c r="AY363" s="142" t="s">
        <v>2398</v>
      </c>
      <c r="AZ363" s="142" t="s">
        <v>2705</v>
      </c>
    </row>
    <row r="364" spans="1:52" s="142" customFormat="1" ht="12.75" x14ac:dyDescent="0.2">
      <c r="A364" s="151"/>
      <c r="B364" s="152" t="s">
        <v>2705</v>
      </c>
      <c r="C364" s="152" t="s">
        <v>2705</v>
      </c>
      <c r="D364" s="152" t="s">
        <v>1435</v>
      </c>
      <c r="E364" s="152" t="s">
        <v>2705</v>
      </c>
      <c r="F364" s="152" t="s">
        <v>2398</v>
      </c>
      <c r="G364" s="152" t="s">
        <v>2705</v>
      </c>
      <c r="H364" s="152" t="s">
        <v>2705</v>
      </c>
      <c r="I364" s="152" t="s">
        <v>2398</v>
      </c>
      <c r="J364" s="152" t="s">
        <v>2705</v>
      </c>
      <c r="K364" s="152" t="s">
        <v>2705</v>
      </c>
      <c r="L364" s="152" t="s">
        <v>2398</v>
      </c>
      <c r="M364" s="152" t="s">
        <v>2705</v>
      </c>
      <c r="N364" s="152" t="s">
        <v>2705</v>
      </c>
      <c r="O364" s="152" t="s">
        <v>1435</v>
      </c>
      <c r="P364" s="152" t="s">
        <v>2675</v>
      </c>
      <c r="Q364" s="152" t="s">
        <v>2705</v>
      </c>
      <c r="R364" s="152" t="s">
        <v>2398</v>
      </c>
      <c r="S364" s="152" t="s">
        <v>2705</v>
      </c>
      <c r="T364" s="152" t="s">
        <v>2705</v>
      </c>
      <c r="U364" s="152" t="s">
        <v>2705</v>
      </c>
      <c r="V364" s="142" t="str" cm="1">
        <f t="array" ref="V364">IF(A364&lt;&gt;"",SUM(--(B364:U365 = "X")*$U$3,--(B364:U365 ="A")*$Q$3,--(B364:U365 ="B")*$R$3,--(B364:U365 ="C")*$S$3),"")</f>
        <v/>
      </c>
      <c r="X364" s="437" t="s">
        <v>7672</v>
      </c>
      <c r="Y364" s="437">
        <v>23.5</v>
      </c>
      <c r="Z364" s="436">
        <f>_xlfn.XLOOKUP(answers[[#This Row],[StudentID]],$A$7:$A$1418,$V$7:$V$1418)</f>
        <v>23.5</v>
      </c>
      <c r="AG364" s="142" t="s">
        <v>2705</v>
      </c>
      <c r="AH364" s="142" t="s">
        <v>2705</v>
      </c>
      <c r="AI364" s="142" t="s">
        <v>1435</v>
      </c>
      <c r="AJ364" s="142" t="s">
        <v>2705</v>
      </c>
      <c r="AK364" s="142" t="s">
        <v>2398</v>
      </c>
      <c r="AL364" s="142" t="s">
        <v>2705</v>
      </c>
      <c r="AM364" s="142" t="s">
        <v>2705</v>
      </c>
      <c r="AN364" s="142" t="s">
        <v>2398</v>
      </c>
      <c r="AO364" s="142" t="s">
        <v>2705</v>
      </c>
      <c r="AP364" s="142" t="s">
        <v>2705</v>
      </c>
      <c r="AQ364" s="142" t="s">
        <v>2398</v>
      </c>
      <c r="AR364" s="142" t="s">
        <v>2705</v>
      </c>
      <c r="AS364" s="142" t="s">
        <v>2705</v>
      </c>
      <c r="AT364" s="142" t="s">
        <v>1435</v>
      </c>
      <c r="AU364" s="142" t="s">
        <v>2675</v>
      </c>
      <c r="AV364" s="142" t="s">
        <v>2705</v>
      </c>
      <c r="AW364" s="142" t="s">
        <v>2398</v>
      </c>
      <c r="AX364" s="142" t="s">
        <v>2705</v>
      </c>
      <c r="AY364" s="142" t="s">
        <v>2705</v>
      </c>
      <c r="AZ364" s="142" t="s">
        <v>2705</v>
      </c>
    </row>
    <row r="365" spans="1:52" s="142" customFormat="1" ht="12.75" x14ac:dyDescent="0.2">
      <c r="A365" s="151" t="s">
        <v>7499</v>
      </c>
      <c r="B365" s="152" t="s">
        <v>2398</v>
      </c>
      <c r="C365" s="152" t="s">
        <v>2705</v>
      </c>
      <c r="D365" s="152" t="s">
        <v>2398</v>
      </c>
      <c r="E365" s="152" t="s">
        <v>2705</v>
      </c>
      <c r="F365" s="152" t="s">
        <v>2398</v>
      </c>
      <c r="G365" s="152" t="s">
        <v>2705</v>
      </c>
      <c r="H365" s="152" t="s">
        <v>2398</v>
      </c>
      <c r="I365" s="152" t="s">
        <v>2398</v>
      </c>
      <c r="J365" s="152" t="s">
        <v>2705</v>
      </c>
      <c r="K365" s="152" t="s">
        <v>2705</v>
      </c>
      <c r="L365" s="152" t="s">
        <v>2705</v>
      </c>
      <c r="M365" s="152" t="s">
        <v>2705</v>
      </c>
      <c r="N365" s="152" t="s">
        <v>2705</v>
      </c>
      <c r="O365" s="152" t="s">
        <v>2705</v>
      </c>
      <c r="P365" s="152" t="s">
        <v>2398</v>
      </c>
      <c r="Q365" s="152" t="s">
        <v>2705</v>
      </c>
      <c r="R365" s="152" t="s">
        <v>2705</v>
      </c>
      <c r="S365" s="152" t="s">
        <v>2705</v>
      </c>
      <c r="T365" s="152" t="s">
        <v>2705</v>
      </c>
      <c r="U365" s="152" t="s">
        <v>2398</v>
      </c>
      <c r="V365" s="142" cm="1">
        <f t="array" ref="V365">IF(A365&lt;&gt;"",SUM(--(B365:U366 = "X")*$U$3,--(B365:U366 ="A")*$Q$3,--(B365:U366 ="B")*$R$3,--(B365:U366 ="C")*$S$3),"")</f>
        <v>23.5</v>
      </c>
      <c r="X365" s="437" t="s">
        <v>7673</v>
      </c>
      <c r="Y365" s="437">
        <v>15</v>
      </c>
      <c r="Z365" s="436">
        <f>_xlfn.XLOOKUP(answers[[#This Row],[StudentID]],$A$7:$A$1418,$V$7:$V$1418)</f>
        <v>15</v>
      </c>
      <c r="AF365" s="142" t="s">
        <v>7499</v>
      </c>
      <c r="AG365" s="142" t="s">
        <v>2398</v>
      </c>
      <c r="AH365" s="142" t="s">
        <v>2705</v>
      </c>
      <c r="AI365" s="142" t="s">
        <v>2398</v>
      </c>
      <c r="AJ365" s="142" t="s">
        <v>2705</v>
      </c>
      <c r="AK365" s="142" t="s">
        <v>2398</v>
      </c>
      <c r="AL365" s="142" t="s">
        <v>2705</v>
      </c>
      <c r="AM365" s="142" t="s">
        <v>2398</v>
      </c>
      <c r="AN365" s="142" t="s">
        <v>2398</v>
      </c>
      <c r="AO365" s="142" t="s">
        <v>2705</v>
      </c>
      <c r="AP365" s="142" t="s">
        <v>2705</v>
      </c>
      <c r="AQ365" s="142" t="s">
        <v>2705</v>
      </c>
      <c r="AR365" s="142" t="s">
        <v>2705</v>
      </c>
      <c r="AS365" s="142" t="s">
        <v>2705</v>
      </c>
      <c r="AT365" s="142" t="s">
        <v>2705</v>
      </c>
      <c r="AU365" s="142" t="s">
        <v>2398</v>
      </c>
      <c r="AV365" s="142" t="s">
        <v>2705</v>
      </c>
      <c r="AW365" s="142" t="s">
        <v>2705</v>
      </c>
      <c r="AX365" s="142" t="s">
        <v>2705</v>
      </c>
      <c r="AY365" s="142" t="s">
        <v>2705</v>
      </c>
      <c r="AZ365" s="142" t="s">
        <v>2398</v>
      </c>
    </row>
    <row r="366" spans="1:52" s="142" customFormat="1" ht="12.75" x14ac:dyDescent="0.2">
      <c r="A366" s="151"/>
      <c r="B366" s="152" t="s">
        <v>2398</v>
      </c>
      <c r="C366" s="152" t="s">
        <v>2705</v>
      </c>
      <c r="D366" s="152" t="s">
        <v>2398</v>
      </c>
      <c r="E366" s="152" t="s">
        <v>2398</v>
      </c>
      <c r="F366" s="152" t="s">
        <v>2705</v>
      </c>
      <c r="G366" s="152" t="s">
        <v>2705</v>
      </c>
      <c r="H366" s="152" t="s">
        <v>2705</v>
      </c>
      <c r="I366" s="152" t="s">
        <v>2705</v>
      </c>
      <c r="J366" s="152" t="s">
        <v>2398</v>
      </c>
      <c r="K366" s="152" t="s">
        <v>2705</v>
      </c>
      <c r="L366" s="152" t="s">
        <v>2705</v>
      </c>
      <c r="M366" s="152" t="s">
        <v>1435</v>
      </c>
      <c r="N366" s="152" t="s">
        <v>2398</v>
      </c>
      <c r="O366" s="152" t="s">
        <v>2705</v>
      </c>
      <c r="P366" s="152" t="s">
        <v>2705</v>
      </c>
      <c r="Q366" s="152" t="s">
        <v>1435</v>
      </c>
      <c r="R366" s="152" t="s">
        <v>1435</v>
      </c>
      <c r="S366" s="152" t="s">
        <v>2705</v>
      </c>
      <c r="T366" s="152" t="s">
        <v>2705</v>
      </c>
      <c r="U366" s="152" t="s">
        <v>2705</v>
      </c>
      <c r="V366" s="142" t="str" cm="1">
        <f t="array" ref="V366">IF(A366&lt;&gt;"",SUM(--(B366:U367 = "X")*$U$3,--(B366:U367 ="A")*$Q$3,--(B366:U367 ="B")*$R$3,--(B366:U367 ="C")*$S$3),"")</f>
        <v/>
      </c>
      <c r="X366" s="437" t="s">
        <v>7674</v>
      </c>
      <c r="Y366" s="437">
        <v>16</v>
      </c>
      <c r="Z366" s="436">
        <f>_xlfn.XLOOKUP(answers[[#This Row],[StudentID]],$A$7:$A$1418,$V$7:$V$1418)</f>
        <v>16</v>
      </c>
      <c r="AG366" s="142" t="s">
        <v>2398</v>
      </c>
      <c r="AH366" s="142" t="s">
        <v>2705</v>
      </c>
      <c r="AI366" s="142" t="s">
        <v>2398</v>
      </c>
      <c r="AJ366" s="142" t="s">
        <v>2398</v>
      </c>
      <c r="AK366" s="142" t="s">
        <v>2705</v>
      </c>
      <c r="AL366" s="142" t="s">
        <v>2705</v>
      </c>
      <c r="AM366" s="142" t="s">
        <v>2705</v>
      </c>
      <c r="AN366" s="142" t="s">
        <v>2705</v>
      </c>
      <c r="AO366" s="142" t="s">
        <v>2398</v>
      </c>
      <c r="AP366" s="142" t="s">
        <v>2705</v>
      </c>
      <c r="AQ366" s="142" t="s">
        <v>2705</v>
      </c>
      <c r="AR366" s="142" t="s">
        <v>1435</v>
      </c>
      <c r="AS366" s="142" t="s">
        <v>2398</v>
      </c>
      <c r="AT366" s="142" t="s">
        <v>2705</v>
      </c>
      <c r="AU366" s="142" t="s">
        <v>2705</v>
      </c>
      <c r="AV366" s="142" t="s">
        <v>1435</v>
      </c>
      <c r="AW366" s="142" t="s">
        <v>1435</v>
      </c>
      <c r="AX366" s="142" t="s">
        <v>2705</v>
      </c>
      <c r="AY366" s="142" t="s">
        <v>2705</v>
      </c>
      <c r="AZ366" s="142" t="s">
        <v>2705</v>
      </c>
    </row>
    <row r="367" spans="1:52" s="142" customFormat="1" ht="12.75" x14ac:dyDescent="0.2">
      <c r="A367" s="151" t="s">
        <v>7500</v>
      </c>
      <c r="B367" s="152" t="s">
        <v>2705</v>
      </c>
      <c r="C367" s="152" t="s">
        <v>2398</v>
      </c>
      <c r="D367" s="152" t="s">
        <v>2675</v>
      </c>
      <c r="E367" s="152" t="s">
        <v>2705</v>
      </c>
      <c r="F367" s="152" t="s">
        <v>2398</v>
      </c>
      <c r="G367" s="152" t="s">
        <v>2705</v>
      </c>
      <c r="H367" s="152" t="s">
        <v>2705</v>
      </c>
      <c r="I367" s="152" t="s">
        <v>2398</v>
      </c>
      <c r="J367" s="152" t="s">
        <v>2675</v>
      </c>
      <c r="K367" s="152" t="s">
        <v>2398</v>
      </c>
      <c r="L367" s="152" t="s">
        <v>2398</v>
      </c>
      <c r="M367" s="152" t="s">
        <v>2398</v>
      </c>
      <c r="N367" s="152" t="s">
        <v>2705</v>
      </c>
      <c r="O367" s="152" t="s">
        <v>2705</v>
      </c>
      <c r="P367" s="152" t="s">
        <v>2398</v>
      </c>
      <c r="Q367" s="152" t="s">
        <v>2705</v>
      </c>
      <c r="R367" s="152" t="s">
        <v>2705</v>
      </c>
      <c r="S367" s="152" t="s">
        <v>2705</v>
      </c>
      <c r="T367" s="152" t="s">
        <v>2398</v>
      </c>
      <c r="U367" s="152" t="s">
        <v>2397</v>
      </c>
      <c r="V367" s="142" cm="1">
        <f t="array" ref="V367">IF(A367&lt;&gt;"",SUM(--(B367:U368 = "X")*$U$3,--(B367:U368 ="A")*$Q$3,--(B367:U368 ="B")*$R$3,--(B367:U368 ="C")*$S$3),"")</f>
        <v>16.5</v>
      </c>
      <c r="X367" s="437" t="s">
        <v>7675</v>
      </c>
      <c r="Y367" s="437">
        <v>27</v>
      </c>
      <c r="Z367" s="436">
        <f>_xlfn.XLOOKUP(answers[[#This Row],[StudentID]],$A$7:$A$1418,$V$7:$V$1418)</f>
        <v>27</v>
      </c>
      <c r="AF367" s="142" t="s">
        <v>7500</v>
      </c>
      <c r="AG367" s="142" t="s">
        <v>2705</v>
      </c>
      <c r="AH367" s="142" t="s">
        <v>2398</v>
      </c>
      <c r="AI367" s="142" t="s">
        <v>2675</v>
      </c>
      <c r="AJ367" s="142" t="s">
        <v>2705</v>
      </c>
      <c r="AK367" s="142" t="s">
        <v>2398</v>
      </c>
      <c r="AL367" s="142" t="s">
        <v>2705</v>
      </c>
      <c r="AM367" s="142" t="s">
        <v>2705</v>
      </c>
      <c r="AN367" s="142" t="s">
        <v>2398</v>
      </c>
      <c r="AO367" s="142" t="s">
        <v>2675</v>
      </c>
      <c r="AP367" s="142" t="s">
        <v>2398</v>
      </c>
      <c r="AQ367" s="142" t="s">
        <v>2398</v>
      </c>
      <c r="AR367" s="142" t="s">
        <v>2398</v>
      </c>
      <c r="AS367" s="142" t="s">
        <v>2705</v>
      </c>
      <c r="AT367" s="142" t="s">
        <v>2705</v>
      </c>
      <c r="AU367" s="142" t="s">
        <v>2398</v>
      </c>
      <c r="AV367" s="142" t="s">
        <v>2705</v>
      </c>
      <c r="AW367" s="142" t="s">
        <v>2705</v>
      </c>
      <c r="AX367" s="142" t="s">
        <v>2705</v>
      </c>
      <c r="AY367" s="142" t="s">
        <v>2398</v>
      </c>
      <c r="AZ367" s="142" t="s">
        <v>2397</v>
      </c>
    </row>
    <row r="368" spans="1:52" s="142" customFormat="1" ht="12.75" x14ac:dyDescent="0.2">
      <c r="A368" s="151"/>
      <c r="B368" s="152" t="s">
        <v>2398</v>
      </c>
      <c r="C368" s="152" t="s">
        <v>2398</v>
      </c>
      <c r="D368" s="152" t="s">
        <v>1435</v>
      </c>
      <c r="E368" s="152" t="s">
        <v>2675</v>
      </c>
      <c r="F368" s="152" t="s">
        <v>2398</v>
      </c>
      <c r="G368" s="152" t="s">
        <v>2705</v>
      </c>
      <c r="H368" s="152" t="s">
        <v>2705</v>
      </c>
      <c r="I368" s="152" t="s">
        <v>2705</v>
      </c>
      <c r="J368" s="152" t="s">
        <v>2705</v>
      </c>
      <c r="K368" s="152" t="s">
        <v>2398</v>
      </c>
      <c r="L368" s="152" t="s">
        <v>2675</v>
      </c>
      <c r="M368" s="152" t="s">
        <v>2705</v>
      </c>
      <c r="N368" s="152" t="s">
        <v>2705</v>
      </c>
      <c r="O368" s="152" t="s">
        <v>2398</v>
      </c>
      <c r="P368" s="152" t="s">
        <v>2398</v>
      </c>
      <c r="Q368" s="152" t="s">
        <v>2705</v>
      </c>
      <c r="R368" s="152" t="s">
        <v>2397</v>
      </c>
      <c r="S368" s="152" t="s">
        <v>2705</v>
      </c>
      <c r="T368" s="152" t="s">
        <v>2705</v>
      </c>
      <c r="U368" s="152" t="s">
        <v>2705</v>
      </c>
      <c r="V368" s="142" t="str" cm="1">
        <f t="array" ref="V368">IF(A368&lt;&gt;"",SUM(--(B368:U369 = "X")*$U$3,--(B368:U369 ="A")*$Q$3,--(B368:U369 ="B")*$R$3,--(B368:U369 ="C")*$S$3),"")</f>
        <v/>
      </c>
      <c r="X368" s="437" t="s">
        <v>7676</v>
      </c>
      <c r="Y368" s="437">
        <v>7.5</v>
      </c>
      <c r="Z368" s="436">
        <f>_xlfn.XLOOKUP(answers[[#This Row],[StudentID]],$A$7:$A$1418,$V$7:$V$1418)</f>
        <v>7.5</v>
      </c>
      <c r="AG368" s="142" t="s">
        <v>2398</v>
      </c>
      <c r="AH368" s="142" t="s">
        <v>2398</v>
      </c>
      <c r="AI368" s="142" t="s">
        <v>1435</v>
      </c>
      <c r="AJ368" s="142" t="s">
        <v>2675</v>
      </c>
      <c r="AK368" s="142" t="s">
        <v>2398</v>
      </c>
      <c r="AL368" s="142" t="s">
        <v>2705</v>
      </c>
      <c r="AM368" s="142" t="s">
        <v>2705</v>
      </c>
      <c r="AN368" s="142" t="s">
        <v>2705</v>
      </c>
      <c r="AO368" s="142" t="s">
        <v>2705</v>
      </c>
      <c r="AP368" s="142" t="s">
        <v>2398</v>
      </c>
      <c r="AQ368" s="142" t="s">
        <v>2675</v>
      </c>
      <c r="AR368" s="142" t="s">
        <v>2705</v>
      </c>
      <c r="AS368" s="142" t="s">
        <v>2705</v>
      </c>
      <c r="AT368" s="142" t="s">
        <v>2398</v>
      </c>
      <c r="AU368" s="142" t="s">
        <v>2398</v>
      </c>
      <c r="AV368" s="142" t="s">
        <v>2705</v>
      </c>
      <c r="AW368" s="142" t="s">
        <v>2397</v>
      </c>
      <c r="AX368" s="142" t="s">
        <v>2705</v>
      </c>
      <c r="AY368" s="142" t="s">
        <v>2705</v>
      </c>
      <c r="AZ368" s="142" t="s">
        <v>2705</v>
      </c>
    </row>
    <row r="369" spans="1:52" s="142" customFormat="1" ht="12.75" x14ac:dyDescent="0.2">
      <c r="A369" s="151" t="s">
        <v>7501</v>
      </c>
      <c r="B369" s="152" t="s">
        <v>2397</v>
      </c>
      <c r="C369" s="152" t="s">
        <v>2705</v>
      </c>
      <c r="D369" s="152" t="s">
        <v>2705</v>
      </c>
      <c r="E369" s="152" t="s">
        <v>2398</v>
      </c>
      <c r="F369" s="152" t="s">
        <v>2705</v>
      </c>
      <c r="G369" s="152" t="s">
        <v>2705</v>
      </c>
      <c r="H369" s="152" t="s">
        <v>2705</v>
      </c>
      <c r="I369" s="152" t="s">
        <v>2398</v>
      </c>
      <c r="J369" s="152" t="s">
        <v>2705</v>
      </c>
      <c r="K369" s="152" t="s">
        <v>2398</v>
      </c>
      <c r="L369" s="152" t="s">
        <v>2705</v>
      </c>
      <c r="M369" s="152" t="s">
        <v>2705</v>
      </c>
      <c r="N369" s="152" t="s">
        <v>2675</v>
      </c>
      <c r="O369" s="152" t="s">
        <v>2398</v>
      </c>
      <c r="P369" s="152" t="s">
        <v>2705</v>
      </c>
      <c r="Q369" s="152" t="s">
        <v>1435</v>
      </c>
      <c r="R369" s="152" t="s">
        <v>2398</v>
      </c>
      <c r="S369" s="152" t="s">
        <v>2705</v>
      </c>
      <c r="T369" s="152" t="s">
        <v>2705</v>
      </c>
      <c r="U369" s="152" t="s">
        <v>2398</v>
      </c>
      <c r="V369" s="142" cm="1">
        <f t="array" ref="V369">IF(A369&lt;&gt;"",SUM(--(B369:U370 = "X")*$U$3,--(B369:U370 ="A")*$Q$3,--(B369:U370 ="B")*$R$3,--(B369:U370 ="C")*$S$3),"")</f>
        <v>18.5</v>
      </c>
      <c r="X369" s="437" t="s">
        <v>7677</v>
      </c>
      <c r="Y369" s="437">
        <v>21</v>
      </c>
      <c r="Z369" s="436">
        <f>_xlfn.XLOOKUP(answers[[#This Row],[StudentID]],$A$7:$A$1418,$V$7:$V$1418)</f>
        <v>21</v>
      </c>
      <c r="AF369" s="142" t="s">
        <v>7501</v>
      </c>
      <c r="AG369" s="142" t="s">
        <v>2397</v>
      </c>
      <c r="AH369" s="142" t="s">
        <v>2705</v>
      </c>
      <c r="AI369" s="142" t="s">
        <v>2705</v>
      </c>
      <c r="AJ369" s="142" t="s">
        <v>2398</v>
      </c>
      <c r="AK369" s="142" t="s">
        <v>2705</v>
      </c>
      <c r="AL369" s="142" t="s">
        <v>2705</v>
      </c>
      <c r="AM369" s="142" t="s">
        <v>2705</v>
      </c>
      <c r="AN369" s="142" t="s">
        <v>2398</v>
      </c>
      <c r="AO369" s="142" t="s">
        <v>2705</v>
      </c>
      <c r="AP369" s="142" t="s">
        <v>2398</v>
      </c>
      <c r="AQ369" s="142" t="s">
        <v>2705</v>
      </c>
      <c r="AR369" s="142" t="s">
        <v>2705</v>
      </c>
      <c r="AS369" s="142" t="s">
        <v>2675</v>
      </c>
      <c r="AT369" s="142" t="s">
        <v>2398</v>
      </c>
      <c r="AU369" s="142" t="s">
        <v>2705</v>
      </c>
      <c r="AV369" s="142" t="s">
        <v>1435</v>
      </c>
      <c r="AW369" s="142" t="s">
        <v>2398</v>
      </c>
      <c r="AX369" s="142" t="s">
        <v>2705</v>
      </c>
      <c r="AY369" s="142" t="s">
        <v>2705</v>
      </c>
      <c r="AZ369" s="142" t="s">
        <v>2398</v>
      </c>
    </row>
    <row r="370" spans="1:52" s="142" customFormat="1" ht="12.75" x14ac:dyDescent="0.2">
      <c r="A370" s="151"/>
      <c r="B370" s="152" t="s">
        <v>2398</v>
      </c>
      <c r="C370" s="152" t="s">
        <v>2397</v>
      </c>
      <c r="D370" s="152" t="s">
        <v>2675</v>
      </c>
      <c r="E370" s="152" t="s">
        <v>2705</v>
      </c>
      <c r="F370" s="152" t="s">
        <v>2705</v>
      </c>
      <c r="G370" s="152" t="s">
        <v>2398</v>
      </c>
      <c r="H370" s="152" t="s">
        <v>2675</v>
      </c>
      <c r="I370" s="152" t="s">
        <v>2705</v>
      </c>
      <c r="J370" s="152" t="s">
        <v>2705</v>
      </c>
      <c r="K370" s="152" t="s">
        <v>2398</v>
      </c>
      <c r="L370" s="152" t="s">
        <v>2705</v>
      </c>
      <c r="M370" s="152" t="s">
        <v>2398</v>
      </c>
      <c r="N370" s="152" t="s">
        <v>2705</v>
      </c>
      <c r="O370" s="152" t="s">
        <v>2705</v>
      </c>
      <c r="P370" s="152" t="s">
        <v>2397</v>
      </c>
      <c r="Q370" s="152" t="s">
        <v>1435</v>
      </c>
      <c r="R370" s="152" t="s">
        <v>2398</v>
      </c>
      <c r="S370" s="152" t="s">
        <v>2705</v>
      </c>
      <c r="T370" s="152" t="s">
        <v>2705</v>
      </c>
      <c r="U370" s="152" t="s">
        <v>2705</v>
      </c>
      <c r="V370" s="142" t="str" cm="1">
        <f t="array" ref="V370">IF(A370&lt;&gt;"",SUM(--(B370:U371 = "X")*$U$3,--(B370:U371 ="A")*$Q$3,--(B370:U371 ="B")*$R$3,--(B370:U371 ="C")*$S$3),"")</f>
        <v/>
      </c>
      <c r="X370" s="437" t="s">
        <v>7678</v>
      </c>
      <c r="Y370" s="437">
        <v>26</v>
      </c>
      <c r="Z370" s="436">
        <f>_xlfn.XLOOKUP(answers[[#This Row],[StudentID]],$A$7:$A$1418,$V$7:$V$1418)</f>
        <v>26</v>
      </c>
      <c r="AG370" s="142" t="s">
        <v>2398</v>
      </c>
      <c r="AH370" s="142" t="s">
        <v>2397</v>
      </c>
      <c r="AI370" s="142" t="s">
        <v>2675</v>
      </c>
      <c r="AJ370" s="142" t="s">
        <v>2705</v>
      </c>
      <c r="AK370" s="142" t="s">
        <v>2705</v>
      </c>
      <c r="AL370" s="142" t="s">
        <v>2398</v>
      </c>
      <c r="AM370" s="142" t="s">
        <v>2675</v>
      </c>
      <c r="AN370" s="142" t="s">
        <v>2705</v>
      </c>
      <c r="AO370" s="142" t="s">
        <v>2705</v>
      </c>
      <c r="AP370" s="142" t="s">
        <v>2398</v>
      </c>
      <c r="AQ370" s="142" t="s">
        <v>2705</v>
      </c>
      <c r="AR370" s="142" t="s">
        <v>2398</v>
      </c>
      <c r="AS370" s="142" t="s">
        <v>2705</v>
      </c>
      <c r="AT370" s="142" t="s">
        <v>2705</v>
      </c>
      <c r="AU370" s="142" t="s">
        <v>2397</v>
      </c>
      <c r="AV370" s="142" t="s">
        <v>1435</v>
      </c>
      <c r="AW370" s="142" t="s">
        <v>2398</v>
      </c>
      <c r="AX370" s="142" t="s">
        <v>2705</v>
      </c>
      <c r="AY370" s="142" t="s">
        <v>2705</v>
      </c>
      <c r="AZ370" s="142" t="s">
        <v>2705</v>
      </c>
    </row>
    <row r="371" spans="1:52" s="142" customFormat="1" ht="12.75" x14ac:dyDescent="0.2">
      <c r="A371" s="151" t="s">
        <v>7502</v>
      </c>
      <c r="B371" s="152" t="s">
        <v>2705</v>
      </c>
      <c r="C371" s="152" t="s">
        <v>2705</v>
      </c>
      <c r="D371" s="152" t="s">
        <v>2398</v>
      </c>
      <c r="E371" s="152" t="s">
        <v>2705</v>
      </c>
      <c r="F371" s="152" t="s">
        <v>1435</v>
      </c>
      <c r="G371" s="152" t="s">
        <v>2705</v>
      </c>
      <c r="H371" s="152" t="s">
        <v>2705</v>
      </c>
      <c r="I371" s="152" t="s">
        <v>2398</v>
      </c>
      <c r="J371" s="152" t="s">
        <v>2675</v>
      </c>
      <c r="K371" s="152" t="s">
        <v>2705</v>
      </c>
      <c r="L371" s="152" t="s">
        <v>2705</v>
      </c>
      <c r="M371" s="152" t="s">
        <v>2705</v>
      </c>
      <c r="N371" s="152" t="s">
        <v>2705</v>
      </c>
      <c r="O371" s="152" t="s">
        <v>2398</v>
      </c>
      <c r="P371" s="152" t="s">
        <v>2398</v>
      </c>
      <c r="Q371" s="152" t="s">
        <v>2398</v>
      </c>
      <c r="R371" s="152" t="s">
        <v>2705</v>
      </c>
      <c r="S371" s="152" t="s">
        <v>2705</v>
      </c>
      <c r="T371" s="152" t="s">
        <v>2398</v>
      </c>
      <c r="U371" s="152" t="s">
        <v>2398</v>
      </c>
      <c r="V371" s="142" cm="1">
        <f t="array" ref="V371">IF(A371&lt;&gt;"",SUM(--(B371:U372 = "X")*$U$3,--(B371:U372 ="A")*$Q$3,--(B371:U372 ="B")*$R$3,--(B371:U372 ="C")*$S$3),"")</f>
        <v>16</v>
      </c>
      <c r="X371" s="437" t="s">
        <v>7679</v>
      </c>
      <c r="Y371" s="437">
        <v>21</v>
      </c>
      <c r="Z371" s="436">
        <f>_xlfn.XLOOKUP(answers[[#This Row],[StudentID]],$A$7:$A$1418,$V$7:$V$1418)</f>
        <v>21</v>
      </c>
      <c r="AF371" s="142" t="s">
        <v>7502</v>
      </c>
      <c r="AG371" s="142" t="s">
        <v>2705</v>
      </c>
      <c r="AH371" s="142" t="s">
        <v>2705</v>
      </c>
      <c r="AI371" s="142" t="s">
        <v>2398</v>
      </c>
      <c r="AJ371" s="142" t="s">
        <v>2705</v>
      </c>
      <c r="AK371" s="142" t="s">
        <v>1435</v>
      </c>
      <c r="AL371" s="142" t="s">
        <v>2705</v>
      </c>
      <c r="AM371" s="142" t="s">
        <v>2705</v>
      </c>
      <c r="AN371" s="142" t="s">
        <v>2398</v>
      </c>
      <c r="AO371" s="142" t="s">
        <v>2675</v>
      </c>
      <c r="AP371" s="142" t="s">
        <v>2705</v>
      </c>
      <c r="AQ371" s="142" t="s">
        <v>2705</v>
      </c>
      <c r="AR371" s="142" t="s">
        <v>2705</v>
      </c>
      <c r="AS371" s="142" t="s">
        <v>2705</v>
      </c>
      <c r="AT371" s="142" t="s">
        <v>2398</v>
      </c>
      <c r="AU371" s="142" t="s">
        <v>2398</v>
      </c>
      <c r="AV371" s="142" t="s">
        <v>2398</v>
      </c>
      <c r="AW371" s="142" t="s">
        <v>2705</v>
      </c>
      <c r="AX371" s="142" t="s">
        <v>2705</v>
      </c>
      <c r="AY371" s="142" t="s">
        <v>2398</v>
      </c>
      <c r="AZ371" s="142" t="s">
        <v>2398</v>
      </c>
    </row>
    <row r="372" spans="1:52" s="142" customFormat="1" ht="12.75" x14ac:dyDescent="0.2">
      <c r="A372" s="151"/>
      <c r="B372" s="152" t="s">
        <v>2705</v>
      </c>
      <c r="C372" s="152" t="s">
        <v>2398</v>
      </c>
      <c r="D372" s="152" t="s">
        <v>2705</v>
      </c>
      <c r="E372" s="152" t="s">
        <v>2398</v>
      </c>
      <c r="F372" s="152" t="s">
        <v>2705</v>
      </c>
      <c r="G372" s="152" t="s">
        <v>2398</v>
      </c>
      <c r="H372" s="152" t="s">
        <v>2398</v>
      </c>
      <c r="I372" s="152" t="s">
        <v>2705</v>
      </c>
      <c r="J372" s="152" t="s">
        <v>2398</v>
      </c>
      <c r="K372" s="152" t="s">
        <v>2398</v>
      </c>
      <c r="L372" s="152" t="s">
        <v>2398</v>
      </c>
      <c r="M372" s="152" t="s">
        <v>1435</v>
      </c>
      <c r="N372" s="152" t="s">
        <v>2398</v>
      </c>
      <c r="O372" s="152" t="s">
        <v>2705</v>
      </c>
      <c r="P372" s="152" t="s">
        <v>2705</v>
      </c>
      <c r="Q372" s="152" t="s">
        <v>2705</v>
      </c>
      <c r="R372" s="152" t="s">
        <v>1435</v>
      </c>
      <c r="S372" s="152" t="s">
        <v>2398</v>
      </c>
      <c r="T372" s="152" t="s">
        <v>2398</v>
      </c>
      <c r="U372" s="152" t="s">
        <v>2397</v>
      </c>
      <c r="V372" s="142" t="str" cm="1">
        <f t="array" ref="V372">IF(A372&lt;&gt;"",SUM(--(B372:U373 = "X")*$U$3,--(B372:U373 ="A")*$Q$3,--(B372:U373 ="B")*$R$3,--(B372:U373 ="C")*$S$3),"")</f>
        <v/>
      </c>
      <c r="X372" s="437" t="s">
        <v>7680</v>
      </c>
      <c r="Y372" s="437">
        <v>28.5</v>
      </c>
      <c r="Z372" s="436">
        <f>_xlfn.XLOOKUP(answers[[#This Row],[StudentID]],$A$7:$A$1418,$V$7:$V$1418)</f>
        <v>28.5</v>
      </c>
      <c r="AG372" s="142" t="s">
        <v>2705</v>
      </c>
      <c r="AH372" s="142" t="s">
        <v>2398</v>
      </c>
      <c r="AI372" s="142" t="s">
        <v>2705</v>
      </c>
      <c r="AJ372" s="142" t="s">
        <v>2398</v>
      </c>
      <c r="AK372" s="142" t="s">
        <v>2705</v>
      </c>
      <c r="AL372" s="142" t="s">
        <v>2398</v>
      </c>
      <c r="AM372" s="142" t="s">
        <v>2398</v>
      </c>
      <c r="AN372" s="142" t="s">
        <v>2705</v>
      </c>
      <c r="AO372" s="142" t="s">
        <v>2398</v>
      </c>
      <c r="AP372" s="142" t="s">
        <v>2398</v>
      </c>
      <c r="AQ372" s="142" t="s">
        <v>2398</v>
      </c>
      <c r="AR372" s="142" t="s">
        <v>1435</v>
      </c>
      <c r="AS372" s="142" t="s">
        <v>2398</v>
      </c>
      <c r="AT372" s="142" t="s">
        <v>2705</v>
      </c>
      <c r="AU372" s="142" t="s">
        <v>2705</v>
      </c>
      <c r="AV372" s="142" t="s">
        <v>2705</v>
      </c>
      <c r="AW372" s="142" t="s">
        <v>1435</v>
      </c>
      <c r="AX372" s="142" t="s">
        <v>2398</v>
      </c>
      <c r="AY372" s="142" t="s">
        <v>2398</v>
      </c>
      <c r="AZ372" s="142" t="s">
        <v>2397</v>
      </c>
    </row>
    <row r="373" spans="1:52" s="142" customFormat="1" ht="12.75" x14ac:dyDescent="0.2">
      <c r="A373" s="151" t="s">
        <v>7503</v>
      </c>
      <c r="B373" s="152" t="s">
        <v>2675</v>
      </c>
      <c r="C373" s="152" t="s">
        <v>2705</v>
      </c>
      <c r="D373" s="152" t="s">
        <v>1435</v>
      </c>
      <c r="E373" s="152" t="s">
        <v>1435</v>
      </c>
      <c r="F373" s="152" t="s">
        <v>2675</v>
      </c>
      <c r="G373" s="152" t="s">
        <v>2705</v>
      </c>
      <c r="H373" s="152" t="s">
        <v>2705</v>
      </c>
      <c r="I373" s="152" t="s">
        <v>2397</v>
      </c>
      <c r="J373" s="152" t="s">
        <v>2705</v>
      </c>
      <c r="K373" s="152" t="s">
        <v>1435</v>
      </c>
      <c r="L373" s="152" t="s">
        <v>1435</v>
      </c>
      <c r="M373" s="152" t="s">
        <v>2705</v>
      </c>
      <c r="N373" s="152" t="s">
        <v>2705</v>
      </c>
      <c r="O373" s="152" t="s">
        <v>2705</v>
      </c>
      <c r="P373" s="152" t="s">
        <v>2705</v>
      </c>
      <c r="Q373" s="152" t="s">
        <v>2705</v>
      </c>
      <c r="R373" s="152" t="s">
        <v>2705</v>
      </c>
      <c r="S373" s="152" t="s">
        <v>2675</v>
      </c>
      <c r="T373" s="152" t="s">
        <v>2705</v>
      </c>
      <c r="U373" s="152" t="s">
        <v>2705</v>
      </c>
      <c r="V373" s="142" cm="1">
        <f t="array" ref="V373">IF(A373&lt;&gt;"",SUM(--(B373:U374 = "X")*$U$3,--(B373:U374 ="A")*$Q$3,--(B373:U374 ="B")*$R$3,--(B373:U374 ="C")*$S$3),"")</f>
        <v>20</v>
      </c>
      <c r="X373" s="437" t="s">
        <v>7681</v>
      </c>
      <c r="Y373" s="437">
        <v>16.5</v>
      </c>
      <c r="Z373" s="436">
        <f>_xlfn.XLOOKUP(answers[[#This Row],[StudentID]],$A$7:$A$1418,$V$7:$V$1418)</f>
        <v>16.5</v>
      </c>
      <c r="AF373" s="142" t="s">
        <v>7503</v>
      </c>
      <c r="AG373" s="142" t="s">
        <v>2675</v>
      </c>
      <c r="AH373" s="142" t="s">
        <v>2705</v>
      </c>
      <c r="AI373" s="142" t="s">
        <v>1435</v>
      </c>
      <c r="AJ373" s="142" t="s">
        <v>1435</v>
      </c>
      <c r="AK373" s="142" t="s">
        <v>2675</v>
      </c>
      <c r="AL373" s="142" t="s">
        <v>2705</v>
      </c>
      <c r="AM373" s="142" t="s">
        <v>2705</v>
      </c>
      <c r="AN373" s="142" t="s">
        <v>2397</v>
      </c>
      <c r="AO373" s="142" t="s">
        <v>2705</v>
      </c>
      <c r="AP373" s="142" t="s">
        <v>1435</v>
      </c>
      <c r="AQ373" s="142" t="s">
        <v>1435</v>
      </c>
      <c r="AR373" s="142" t="s">
        <v>2705</v>
      </c>
      <c r="AS373" s="142" t="s">
        <v>2705</v>
      </c>
      <c r="AT373" s="142" t="s">
        <v>2705</v>
      </c>
      <c r="AU373" s="142" t="s">
        <v>2705</v>
      </c>
      <c r="AV373" s="142" t="s">
        <v>2705</v>
      </c>
      <c r="AW373" s="142" t="s">
        <v>2705</v>
      </c>
      <c r="AX373" s="142" t="s">
        <v>2675</v>
      </c>
      <c r="AY373" s="142" t="s">
        <v>2705</v>
      </c>
      <c r="AZ373" s="142" t="s">
        <v>2705</v>
      </c>
    </row>
    <row r="374" spans="1:52" s="142" customFormat="1" ht="12.75" x14ac:dyDescent="0.2">
      <c r="A374" s="151"/>
      <c r="B374" s="152" t="s">
        <v>2705</v>
      </c>
      <c r="C374" s="152" t="s">
        <v>2705</v>
      </c>
      <c r="D374" s="152" t="s">
        <v>2705</v>
      </c>
      <c r="E374" s="152" t="s">
        <v>2705</v>
      </c>
      <c r="F374" s="152" t="s">
        <v>2705</v>
      </c>
      <c r="G374" s="152" t="s">
        <v>2398</v>
      </c>
      <c r="H374" s="152" t="s">
        <v>2398</v>
      </c>
      <c r="I374" s="152" t="s">
        <v>1435</v>
      </c>
      <c r="J374" s="152" t="s">
        <v>2398</v>
      </c>
      <c r="K374" s="152" t="s">
        <v>2705</v>
      </c>
      <c r="L374" s="152" t="s">
        <v>2398</v>
      </c>
      <c r="M374" s="152" t="s">
        <v>2705</v>
      </c>
      <c r="N374" s="152" t="s">
        <v>2398</v>
      </c>
      <c r="O374" s="152" t="s">
        <v>2398</v>
      </c>
      <c r="P374" s="152" t="s">
        <v>2705</v>
      </c>
      <c r="Q374" s="152" t="s">
        <v>2705</v>
      </c>
      <c r="R374" s="152" t="s">
        <v>2705</v>
      </c>
      <c r="S374" s="152" t="s">
        <v>2397</v>
      </c>
      <c r="T374" s="152" t="s">
        <v>2705</v>
      </c>
      <c r="U374" s="152" t="s">
        <v>2705</v>
      </c>
      <c r="V374" s="142" t="str" cm="1">
        <f t="array" ref="V374">IF(A374&lt;&gt;"",SUM(--(B374:U375 = "X")*$U$3,--(B374:U375 ="A")*$Q$3,--(B374:U375 ="B")*$R$3,--(B374:U375 ="C")*$S$3),"")</f>
        <v/>
      </c>
      <c r="X374" s="437" t="s">
        <v>7682</v>
      </c>
      <c r="Y374" s="437">
        <v>26.5</v>
      </c>
      <c r="Z374" s="436">
        <f>_xlfn.XLOOKUP(answers[[#This Row],[StudentID]],$A$7:$A$1418,$V$7:$V$1418)</f>
        <v>26.5</v>
      </c>
      <c r="AG374" s="142" t="s">
        <v>2705</v>
      </c>
      <c r="AH374" s="142" t="s">
        <v>2705</v>
      </c>
      <c r="AI374" s="142" t="s">
        <v>2705</v>
      </c>
      <c r="AJ374" s="142" t="s">
        <v>2705</v>
      </c>
      <c r="AK374" s="142" t="s">
        <v>2705</v>
      </c>
      <c r="AL374" s="142" t="s">
        <v>2398</v>
      </c>
      <c r="AM374" s="142" t="s">
        <v>2398</v>
      </c>
      <c r="AN374" s="142" t="s">
        <v>1435</v>
      </c>
      <c r="AO374" s="142" t="s">
        <v>2398</v>
      </c>
      <c r="AP374" s="142" t="s">
        <v>2705</v>
      </c>
      <c r="AQ374" s="142" t="s">
        <v>2398</v>
      </c>
      <c r="AR374" s="142" t="s">
        <v>2705</v>
      </c>
      <c r="AS374" s="142" t="s">
        <v>2398</v>
      </c>
      <c r="AT374" s="142" t="s">
        <v>2398</v>
      </c>
      <c r="AU374" s="142" t="s">
        <v>2705</v>
      </c>
      <c r="AV374" s="142" t="s">
        <v>2705</v>
      </c>
      <c r="AW374" s="142" t="s">
        <v>2705</v>
      </c>
      <c r="AX374" s="142" t="s">
        <v>2397</v>
      </c>
      <c r="AY374" s="142" t="s">
        <v>2705</v>
      </c>
      <c r="AZ374" s="142" t="s">
        <v>2705</v>
      </c>
    </row>
    <row r="375" spans="1:52" s="142" customFormat="1" ht="12.75" x14ac:dyDescent="0.2">
      <c r="A375" s="151" t="s">
        <v>7504</v>
      </c>
      <c r="B375" s="152" t="s">
        <v>2398</v>
      </c>
      <c r="C375" s="152" t="s">
        <v>2398</v>
      </c>
      <c r="D375" s="152" t="s">
        <v>2398</v>
      </c>
      <c r="E375" s="152" t="s">
        <v>1435</v>
      </c>
      <c r="F375" s="152" t="s">
        <v>2705</v>
      </c>
      <c r="G375" s="152" t="s">
        <v>2705</v>
      </c>
      <c r="H375" s="152" t="s">
        <v>2705</v>
      </c>
      <c r="I375" s="152" t="s">
        <v>2675</v>
      </c>
      <c r="J375" s="152" t="s">
        <v>2705</v>
      </c>
      <c r="K375" s="152" t="s">
        <v>2705</v>
      </c>
      <c r="L375" s="152" t="s">
        <v>2705</v>
      </c>
      <c r="M375" s="152" t="s">
        <v>2705</v>
      </c>
      <c r="N375" s="152" t="s">
        <v>2705</v>
      </c>
      <c r="O375" s="152" t="s">
        <v>2705</v>
      </c>
      <c r="P375" s="152" t="s">
        <v>2705</v>
      </c>
      <c r="Q375" s="152" t="s">
        <v>2705</v>
      </c>
      <c r="R375" s="152" t="s">
        <v>2398</v>
      </c>
      <c r="S375" s="152" t="s">
        <v>2705</v>
      </c>
      <c r="T375" s="152" t="s">
        <v>2705</v>
      </c>
      <c r="U375" s="152" t="s">
        <v>2675</v>
      </c>
      <c r="V375" s="142" cm="1">
        <f t="array" ref="V375">IF(A375&lt;&gt;"",SUM(--(B375:U376 = "X")*$U$3,--(B375:U376 ="A")*$Q$3,--(B375:U376 ="B")*$R$3,--(B375:U376 ="C")*$S$3),"")</f>
        <v>21.5</v>
      </c>
      <c r="X375" s="437" t="s">
        <v>7683</v>
      </c>
      <c r="Y375" s="437">
        <v>7.5</v>
      </c>
      <c r="Z375" s="436">
        <f>_xlfn.XLOOKUP(answers[[#This Row],[StudentID]],$A$7:$A$1418,$V$7:$V$1418)</f>
        <v>7.5</v>
      </c>
      <c r="AF375" s="142" t="s">
        <v>7504</v>
      </c>
      <c r="AG375" s="142" t="s">
        <v>2398</v>
      </c>
      <c r="AH375" s="142" t="s">
        <v>2398</v>
      </c>
      <c r="AI375" s="142" t="s">
        <v>2398</v>
      </c>
      <c r="AJ375" s="142" t="s">
        <v>1435</v>
      </c>
      <c r="AK375" s="142" t="s">
        <v>2705</v>
      </c>
      <c r="AL375" s="142" t="s">
        <v>2705</v>
      </c>
      <c r="AM375" s="142" t="s">
        <v>2705</v>
      </c>
      <c r="AN375" s="142" t="s">
        <v>2675</v>
      </c>
      <c r="AO375" s="142" t="s">
        <v>2705</v>
      </c>
      <c r="AP375" s="142" t="s">
        <v>2705</v>
      </c>
      <c r="AQ375" s="142" t="s">
        <v>2705</v>
      </c>
      <c r="AR375" s="142" t="s">
        <v>2705</v>
      </c>
      <c r="AS375" s="142" t="s">
        <v>2705</v>
      </c>
      <c r="AT375" s="142" t="s">
        <v>2705</v>
      </c>
      <c r="AU375" s="142" t="s">
        <v>2705</v>
      </c>
      <c r="AV375" s="142" t="s">
        <v>2705</v>
      </c>
      <c r="AW375" s="142" t="s">
        <v>2398</v>
      </c>
      <c r="AX375" s="142" t="s">
        <v>2705</v>
      </c>
      <c r="AY375" s="142" t="s">
        <v>2705</v>
      </c>
      <c r="AZ375" s="142" t="s">
        <v>2675</v>
      </c>
    </row>
    <row r="376" spans="1:52" s="142" customFormat="1" ht="12.75" x14ac:dyDescent="0.2">
      <c r="A376" s="151"/>
      <c r="B376" s="152" t="s">
        <v>2398</v>
      </c>
      <c r="C376" s="152" t="s">
        <v>2675</v>
      </c>
      <c r="D376" s="152" t="s">
        <v>2705</v>
      </c>
      <c r="E376" s="152" t="s">
        <v>2398</v>
      </c>
      <c r="F376" s="152" t="s">
        <v>2705</v>
      </c>
      <c r="G376" s="152" t="s">
        <v>2398</v>
      </c>
      <c r="H376" s="152" t="s">
        <v>2398</v>
      </c>
      <c r="I376" s="152" t="s">
        <v>2705</v>
      </c>
      <c r="J376" s="152" t="s">
        <v>2398</v>
      </c>
      <c r="K376" s="152" t="s">
        <v>2705</v>
      </c>
      <c r="L376" s="152" t="s">
        <v>2705</v>
      </c>
      <c r="M376" s="152" t="s">
        <v>2705</v>
      </c>
      <c r="N376" s="152" t="s">
        <v>2705</v>
      </c>
      <c r="O376" s="152" t="s">
        <v>2705</v>
      </c>
      <c r="P376" s="152" t="s">
        <v>2675</v>
      </c>
      <c r="Q376" s="152" t="s">
        <v>2705</v>
      </c>
      <c r="R376" s="152" t="s">
        <v>2705</v>
      </c>
      <c r="S376" s="152" t="s">
        <v>2705</v>
      </c>
      <c r="T376" s="152" t="s">
        <v>2398</v>
      </c>
      <c r="U376" s="152" t="s">
        <v>2398</v>
      </c>
      <c r="V376" s="142" t="str" cm="1">
        <f t="array" ref="V376">IF(A376&lt;&gt;"",SUM(--(B376:U377 = "X")*$U$3,--(B376:U377 ="A")*$Q$3,--(B376:U377 ="B")*$R$3,--(B376:U377 ="C")*$S$3),"")</f>
        <v/>
      </c>
      <c r="X376" s="437" t="s">
        <v>7684</v>
      </c>
      <c r="Y376" s="437">
        <v>4</v>
      </c>
      <c r="Z376" s="436">
        <f>_xlfn.XLOOKUP(answers[[#This Row],[StudentID]],$A$7:$A$1418,$V$7:$V$1418)</f>
        <v>4</v>
      </c>
      <c r="AG376" s="142" t="s">
        <v>2398</v>
      </c>
      <c r="AH376" s="142" t="s">
        <v>2675</v>
      </c>
      <c r="AI376" s="142" t="s">
        <v>2705</v>
      </c>
      <c r="AJ376" s="142" t="s">
        <v>2398</v>
      </c>
      <c r="AK376" s="142" t="s">
        <v>2705</v>
      </c>
      <c r="AL376" s="142" t="s">
        <v>2398</v>
      </c>
      <c r="AM376" s="142" t="s">
        <v>2398</v>
      </c>
      <c r="AN376" s="142" t="s">
        <v>2705</v>
      </c>
      <c r="AO376" s="142" t="s">
        <v>2398</v>
      </c>
      <c r="AP376" s="142" t="s">
        <v>2705</v>
      </c>
      <c r="AQ376" s="142" t="s">
        <v>2705</v>
      </c>
      <c r="AR376" s="142" t="s">
        <v>2705</v>
      </c>
      <c r="AS376" s="142" t="s">
        <v>2705</v>
      </c>
      <c r="AT376" s="142" t="s">
        <v>2705</v>
      </c>
      <c r="AU376" s="142" t="s">
        <v>2675</v>
      </c>
      <c r="AV376" s="142" t="s">
        <v>2705</v>
      </c>
      <c r="AW376" s="142" t="s">
        <v>2705</v>
      </c>
      <c r="AX376" s="142" t="s">
        <v>2705</v>
      </c>
      <c r="AY376" s="142" t="s">
        <v>2398</v>
      </c>
      <c r="AZ376" s="142" t="s">
        <v>2398</v>
      </c>
    </row>
    <row r="377" spans="1:52" s="142" customFormat="1" ht="12.75" x14ac:dyDescent="0.2">
      <c r="A377" s="151" t="s">
        <v>7505</v>
      </c>
      <c r="B377" s="152" t="s">
        <v>2398</v>
      </c>
      <c r="C377" s="152" t="s">
        <v>2675</v>
      </c>
      <c r="D377" s="152" t="s">
        <v>2705</v>
      </c>
      <c r="E377" s="152" t="s">
        <v>2398</v>
      </c>
      <c r="F377" s="152" t="s">
        <v>1435</v>
      </c>
      <c r="G377" s="152" t="s">
        <v>2705</v>
      </c>
      <c r="H377" s="152" t="s">
        <v>2705</v>
      </c>
      <c r="I377" s="152" t="s">
        <v>1435</v>
      </c>
      <c r="J377" s="152" t="s">
        <v>1435</v>
      </c>
      <c r="K377" s="152" t="s">
        <v>2705</v>
      </c>
      <c r="L377" s="152" t="s">
        <v>2705</v>
      </c>
      <c r="M377" s="152" t="s">
        <v>2675</v>
      </c>
      <c r="N377" s="152" t="s">
        <v>2705</v>
      </c>
      <c r="O377" s="152" t="s">
        <v>1435</v>
      </c>
      <c r="P377" s="152" t="s">
        <v>2705</v>
      </c>
      <c r="Q377" s="152" t="s">
        <v>1435</v>
      </c>
      <c r="R377" s="152" t="s">
        <v>2675</v>
      </c>
      <c r="S377" s="152" t="s">
        <v>2675</v>
      </c>
      <c r="T377" s="152" t="s">
        <v>2705</v>
      </c>
      <c r="U377" s="152" t="s">
        <v>2675</v>
      </c>
      <c r="V377" s="142" cm="1">
        <f t="array" ref="V377">IF(A377&lt;&gt;"",SUM(--(B377:U378 = "X")*$U$3,--(B377:U378 ="A")*$Q$3,--(B377:U378 ="B")*$R$3,--(B377:U378 ="C")*$S$3),"")</f>
        <v>4.5</v>
      </c>
      <c r="X377" s="437" t="s">
        <v>7685</v>
      </c>
      <c r="Y377" s="437">
        <v>13.5</v>
      </c>
      <c r="Z377" s="436">
        <f>_xlfn.XLOOKUP(answers[[#This Row],[StudentID]],$A$7:$A$1418,$V$7:$V$1418)</f>
        <v>13.5</v>
      </c>
      <c r="AF377" s="142" t="s">
        <v>7505</v>
      </c>
      <c r="AG377" s="142" t="s">
        <v>2398</v>
      </c>
      <c r="AH377" s="142" t="s">
        <v>2675</v>
      </c>
      <c r="AI377" s="142" t="s">
        <v>2705</v>
      </c>
      <c r="AJ377" s="142" t="s">
        <v>2398</v>
      </c>
      <c r="AK377" s="142" t="s">
        <v>1435</v>
      </c>
      <c r="AL377" s="142" t="s">
        <v>2705</v>
      </c>
      <c r="AM377" s="142" t="s">
        <v>2705</v>
      </c>
      <c r="AN377" s="142" t="s">
        <v>1435</v>
      </c>
      <c r="AO377" s="142" t="s">
        <v>1435</v>
      </c>
      <c r="AP377" s="142" t="s">
        <v>2705</v>
      </c>
      <c r="AQ377" s="142" t="s">
        <v>2705</v>
      </c>
      <c r="AR377" s="142" t="s">
        <v>2675</v>
      </c>
      <c r="AS377" s="142" t="s">
        <v>2705</v>
      </c>
      <c r="AT377" s="142" t="s">
        <v>1435</v>
      </c>
      <c r="AU377" s="142" t="s">
        <v>2705</v>
      </c>
      <c r="AV377" s="142" t="s">
        <v>1435</v>
      </c>
      <c r="AW377" s="142" t="s">
        <v>2675</v>
      </c>
      <c r="AX377" s="142" t="s">
        <v>2675</v>
      </c>
      <c r="AY377" s="142" t="s">
        <v>2705</v>
      </c>
      <c r="AZ377" s="142" t="s">
        <v>2675</v>
      </c>
    </row>
    <row r="378" spans="1:52" s="142" customFormat="1" ht="12.75" x14ac:dyDescent="0.2">
      <c r="A378" s="151"/>
      <c r="B378" s="152" t="s">
        <v>2397</v>
      </c>
      <c r="C378" s="152" t="s">
        <v>2705</v>
      </c>
      <c r="D378" s="152" t="s">
        <v>2705</v>
      </c>
      <c r="E378" s="152" t="s">
        <v>2398</v>
      </c>
      <c r="F378" s="152" t="s">
        <v>2705</v>
      </c>
      <c r="G378" s="152" t="s">
        <v>1435</v>
      </c>
      <c r="H378" s="152" t="s">
        <v>2397</v>
      </c>
      <c r="I378" s="152" t="s">
        <v>2705</v>
      </c>
      <c r="J378" s="152" t="s">
        <v>2705</v>
      </c>
      <c r="K378" s="152" t="s">
        <v>1435</v>
      </c>
      <c r="L378" s="152" t="s">
        <v>1435</v>
      </c>
      <c r="M378" s="152" t="s">
        <v>2675</v>
      </c>
      <c r="N378" s="152" t="s">
        <v>2675</v>
      </c>
      <c r="O378" s="152" t="s">
        <v>2398</v>
      </c>
      <c r="P378" s="152" t="s">
        <v>2675</v>
      </c>
      <c r="Q378" s="152" t="s">
        <v>2705</v>
      </c>
      <c r="R378" s="152" t="s">
        <v>1435</v>
      </c>
      <c r="S378" s="152" t="s">
        <v>2675</v>
      </c>
      <c r="T378" s="152" t="s">
        <v>1435</v>
      </c>
      <c r="U378" s="152" t="s">
        <v>2397</v>
      </c>
      <c r="V378" s="142" t="str" cm="1">
        <f t="array" ref="V378">IF(A378&lt;&gt;"",SUM(--(B378:U379 = "X")*$U$3,--(B378:U379 ="A")*$Q$3,--(B378:U379 ="B")*$R$3,--(B378:U379 ="C")*$S$3),"")</f>
        <v/>
      </c>
      <c r="X378" s="437" t="s">
        <v>7686</v>
      </c>
      <c r="Y378" s="437">
        <v>8.5</v>
      </c>
      <c r="Z378" s="436">
        <f>_xlfn.XLOOKUP(answers[[#This Row],[StudentID]],$A$7:$A$1418,$V$7:$V$1418)</f>
        <v>8.5</v>
      </c>
      <c r="AG378" s="142" t="s">
        <v>2397</v>
      </c>
      <c r="AH378" s="142" t="s">
        <v>2705</v>
      </c>
      <c r="AI378" s="142" t="s">
        <v>2705</v>
      </c>
      <c r="AJ378" s="142" t="s">
        <v>2398</v>
      </c>
      <c r="AK378" s="142" t="s">
        <v>2705</v>
      </c>
      <c r="AL378" s="142" t="s">
        <v>1435</v>
      </c>
      <c r="AM378" s="142" t="s">
        <v>2397</v>
      </c>
      <c r="AN378" s="142" t="s">
        <v>2705</v>
      </c>
      <c r="AO378" s="142" t="s">
        <v>2705</v>
      </c>
      <c r="AP378" s="142" t="s">
        <v>1435</v>
      </c>
      <c r="AQ378" s="142" t="s">
        <v>1435</v>
      </c>
      <c r="AR378" s="142" t="s">
        <v>2675</v>
      </c>
      <c r="AS378" s="142" t="s">
        <v>2675</v>
      </c>
      <c r="AT378" s="142" t="s">
        <v>2398</v>
      </c>
      <c r="AU378" s="142" t="s">
        <v>2675</v>
      </c>
      <c r="AV378" s="142" t="s">
        <v>2705</v>
      </c>
      <c r="AW378" s="142" t="s">
        <v>1435</v>
      </c>
      <c r="AX378" s="142" t="s">
        <v>2675</v>
      </c>
      <c r="AY378" s="142" t="s">
        <v>1435</v>
      </c>
      <c r="AZ378" s="142" t="s">
        <v>2397</v>
      </c>
    </row>
    <row r="379" spans="1:52" s="142" customFormat="1" ht="12.75" x14ac:dyDescent="0.2">
      <c r="A379" s="151" t="s">
        <v>7506</v>
      </c>
      <c r="B379" s="152" t="s">
        <v>2705</v>
      </c>
      <c r="C379" s="152" t="s">
        <v>2705</v>
      </c>
      <c r="D379" s="152" t="s">
        <v>2675</v>
      </c>
      <c r="E379" s="152" t="s">
        <v>2705</v>
      </c>
      <c r="F379" s="152" t="s">
        <v>2705</v>
      </c>
      <c r="G379" s="152" t="s">
        <v>2705</v>
      </c>
      <c r="H379" s="152" t="s">
        <v>2705</v>
      </c>
      <c r="I379" s="152" t="s">
        <v>2705</v>
      </c>
      <c r="J379" s="152" t="s">
        <v>2398</v>
      </c>
      <c r="K379" s="152" t="s">
        <v>2705</v>
      </c>
      <c r="L379" s="152" t="s">
        <v>2675</v>
      </c>
      <c r="M379" s="152" t="s">
        <v>2705</v>
      </c>
      <c r="N379" s="152" t="s">
        <v>2705</v>
      </c>
      <c r="O379" s="152" t="s">
        <v>2398</v>
      </c>
      <c r="P379" s="152" t="s">
        <v>2705</v>
      </c>
      <c r="Q379" s="152" t="s">
        <v>2705</v>
      </c>
      <c r="R379" s="152" t="s">
        <v>2705</v>
      </c>
      <c r="S379" s="152" t="s">
        <v>2705</v>
      </c>
      <c r="T379" s="152" t="s">
        <v>2705</v>
      </c>
      <c r="U379" s="152" t="s">
        <v>2398</v>
      </c>
      <c r="V379" s="142" cm="1">
        <f t="array" ref="V379">IF(A379&lt;&gt;"",SUM(--(B379:U380 = "X")*$U$3,--(B379:U380 ="A")*$Q$3,--(B379:U380 ="B")*$R$3,--(B379:U380 ="C")*$S$3),"")</f>
        <v>21.5</v>
      </c>
      <c r="X379" s="437" t="s">
        <v>7687</v>
      </c>
      <c r="Y379" s="437">
        <v>26.5</v>
      </c>
      <c r="Z379" s="436">
        <f>_xlfn.XLOOKUP(answers[[#This Row],[StudentID]],$A$7:$A$1418,$V$7:$V$1418)</f>
        <v>26.5</v>
      </c>
      <c r="AF379" s="142" t="s">
        <v>7506</v>
      </c>
      <c r="AG379" s="142" t="s">
        <v>2705</v>
      </c>
      <c r="AH379" s="142" t="s">
        <v>2705</v>
      </c>
      <c r="AI379" s="142" t="s">
        <v>2675</v>
      </c>
      <c r="AJ379" s="142" t="s">
        <v>2705</v>
      </c>
      <c r="AK379" s="142" t="s">
        <v>2705</v>
      </c>
      <c r="AL379" s="142" t="s">
        <v>2705</v>
      </c>
      <c r="AM379" s="142" t="s">
        <v>2705</v>
      </c>
      <c r="AN379" s="142" t="s">
        <v>2705</v>
      </c>
      <c r="AO379" s="142" t="s">
        <v>2398</v>
      </c>
      <c r="AP379" s="142" t="s">
        <v>2705</v>
      </c>
      <c r="AQ379" s="142" t="s">
        <v>2675</v>
      </c>
      <c r="AR379" s="142" t="s">
        <v>2705</v>
      </c>
      <c r="AS379" s="142" t="s">
        <v>2705</v>
      </c>
      <c r="AT379" s="142" t="s">
        <v>2398</v>
      </c>
      <c r="AU379" s="142" t="s">
        <v>2705</v>
      </c>
      <c r="AV379" s="142" t="s">
        <v>2705</v>
      </c>
      <c r="AW379" s="142" t="s">
        <v>2705</v>
      </c>
      <c r="AX379" s="142" t="s">
        <v>2705</v>
      </c>
      <c r="AY379" s="142" t="s">
        <v>2705</v>
      </c>
      <c r="AZ379" s="142" t="s">
        <v>2398</v>
      </c>
    </row>
    <row r="380" spans="1:52" s="142" customFormat="1" ht="12.75" x14ac:dyDescent="0.2">
      <c r="A380" s="151"/>
      <c r="B380" s="152" t="s">
        <v>2398</v>
      </c>
      <c r="C380" s="152" t="s">
        <v>2398</v>
      </c>
      <c r="D380" s="152" t="s">
        <v>2398</v>
      </c>
      <c r="E380" s="152" t="s">
        <v>2398</v>
      </c>
      <c r="F380" s="152" t="s">
        <v>2398</v>
      </c>
      <c r="G380" s="152" t="s">
        <v>1435</v>
      </c>
      <c r="H380" s="152" t="s">
        <v>2705</v>
      </c>
      <c r="I380" s="152" t="s">
        <v>2398</v>
      </c>
      <c r="J380" s="152" t="s">
        <v>2398</v>
      </c>
      <c r="K380" s="152" t="s">
        <v>2705</v>
      </c>
      <c r="L380" s="152" t="s">
        <v>2705</v>
      </c>
      <c r="M380" s="152" t="s">
        <v>2705</v>
      </c>
      <c r="N380" s="152" t="s">
        <v>2675</v>
      </c>
      <c r="O380" s="152" t="s">
        <v>2705</v>
      </c>
      <c r="P380" s="152" t="s">
        <v>2705</v>
      </c>
      <c r="Q380" s="152" t="s">
        <v>2705</v>
      </c>
      <c r="R380" s="152" t="s">
        <v>1435</v>
      </c>
      <c r="S380" s="152" t="s">
        <v>2705</v>
      </c>
      <c r="T380" s="152" t="s">
        <v>2398</v>
      </c>
      <c r="U380" s="152" t="s">
        <v>2705</v>
      </c>
      <c r="V380" s="142" t="str" cm="1">
        <f t="array" ref="V380">IF(A380&lt;&gt;"",SUM(--(B380:U381 = "X")*$U$3,--(B380:U381 ="A")*$Q$3,--(B380:U381 ="B")*$R$3,--(B380:U381 ="C")*$S$3),"")</f>
        <v/>
      </c>
      <c r="X380" s="437" t="s">
        <v>7688</v>
      </c>
      <c r="Y380" s="437">
        <v>9.5</v>
      </c>
      <c r="Z380" s="436">
        <f>_xlfn.XLOOKUP(answers[[#This Row],[StudentID]],$A$7:$A$1418,$V$7:$V$1418)</f>
        <v>9.5</v>
      </c>
      <c r="AG380" s="142" t="s">
        <v>2398</v>
      </c>
      <c r="AH380" s="142" t="s">
        <v>2398</v>
      </c>
      <c r="AI380" s="142" t="s">
        <v>2398</v>
      </c>
      <c r="AJ380" s="142" t="s">
        <v>2398</v>
      </c>
      <c r="AK380" s="142" t="s">
        <v>2398</v>
      </c>
      <c r="AL380" s="142" t="s">
        <v>1435</v>
      </c>
      <c r="AM380" s="142" t="s">
        <v>2705</v>
      </c>
      <c r="AN380" s="142" t="s">
        <v>2398</v>
      </c>
      <c r="AO380" s="142" t="s">
        <v>2398</v>
      </c>
      <c r="AP380" s="142" t="s">
        <v>2705</v>
      </c>
      <c r="AQ380" s="142" t="s">
        <v>2705</v>
      </c>
      <c r="AR380" s="142" t="s">
        <v>2705</v>
      </c>
      <c r="AS380" s="142" t="s">
        <v>2675</v>
      </c>
      <c r="AT380" s="142" t="s">
        <v>2705</v>
      </c>
      <c r="AU380" s="142" t="s">
        <v>2705</v>
      </c>
      <c r="AV380" s="142" t="s">
        <v>2705</v>
      </c>
      <c r="AW380" s="142" t="s">
        <v>1435</v>
      </c>
      <c r="AX380" s="142" t="s">
        <v>2705</v>
      </c>
      <c r="AY380" s="142" t="s">
        <v>2398</v>
      </c>
      <c r="AZ380" s="142" t="s">
        <v>2705</v>
      </c>
    </row>
    <row r="381" spans="1:52" s="142" customFormat="1" ht="12.75" x14ac:dyDescent="0.2">
      <c r="A381" s="151" t="s">
        <v>7507</v>
      </c>
      <c r="B381" s="152" t="s">
        <v>2705</v>
      </c>
      <c r="C381" s="152" t="s">
        <v>2705</v>
      </c>
      <c r="D381" s="152" t="s">
        <v>2705</v>
      </c>
      <c r="E381" s="152" t="s">
        <v>2705</v>
      </c>
      <c r="F381" s="152" t="s">
        <v>1435</v>
      </c>
      <c r="G381" s="152" t="s">
        <v>2398</v>
      </c>
      <c r="H381" s="152" t="s">
        <v>2705</v>
      </c>
      <c r="I381" s="152" t="s">
        <v>2705</v>
      </c>
      <c r="J381" s="152" t="s">
        <v>2705</v>
      </c>
      <c r="K381" s="152" t="s">
        <v>2705</v>
      </c>
      <c r="L381" s="152" t="s">
        <v>2705</v>
      </c>
      <c r="M381" s="152" t="s">
        <v>2705</v>
      </c>
      <c r="N381" s="152" t="s">
        <v>2705</v>
      </c>
      <c r="O381" s="152" t="s">
        <v>1435</v>
      </c>
      <c r="P381" s="152" t="s">
        <v>2705</v>
      </c>
      <c r="Q381" s="152" t="s">
        <v>2398</v>
      </c>
      <c r="R381" s="152" t="s">
        <v>2675</v>
      </c>
      <c r="S381" s="152" t="s">
        <v>2705</v>
      </c>
      <c r="T381" s="152" t="s">
        <v>2705</v>
      </c>
      <c r="U381" s="152" t="s">
        <v>2705</v>
      </c>
      <c r="V381" s="142" cm="1">
        <f t="array" ref="V381">IF(A381&lt;&gt;"",SUM(--(B381:U382 = "X")*$U$3,--(B381:U382 ="A")*$Q$3,--(B381:U382 ="B")*$R$3,--(B381:U382 ="C")*$S$3),"")</f>
        <v>25</v>
      </c>
      <c r="X381" s="437" t="s">
        <v>7689</v>
      </c>
      <c r="Y381" s="437">
        <v>20</v>
      </c>
      <c r="Z381" s="436">
        <f>_xlfn.XLOOKUP(answers[[#This Row],[StudentID]],$A$7:$A$1418,$V$7:$V$1418)</f>
        <v>20</v>
      </c>
      <c r="AF381" s="142" t="s">
        <v>7507</v>
      </c>
      <c r="AG381" s="142" t="s">
        <v>2705</v>
      </c>
      <c r="AH381" s="142" t="s">
        <v>2705</v>
      </c>
      <c r="AI381" s="142" t="s">
        <v>2705</v>
      </c>
      <c r="AJ381" s="142" t="s">
        <v>2705</v>
      </c>
      <c r="AK381" s="142" t="s">
        <v>1435</v>
      </c>
      <c r="AL381" s="142" t="s">
        <v>2398</v>
      </c>
      <c r="AM381" s="142" t="s">
        <v>2705</v>
      </c>
      <c r="AN381" s="142" t="s">
        <v>2705</v>
      </c>
      <c r="AO381" s="142" t="s">
        <v>2705</v>
      </c>
      <c r="AP381" s="142" t="s">
        <v>2705</v>
      </c>
      <c r="AQ381" s="142" t="s">
        <v>2705</v>
      </c>
      <c r="AR381" s="142" t="s">
        <v>2705</v>
      </c>
      <c r="AS381" s="142" t="s">
        <v>2705</v>
      </c>
      <c r="AT381" s="142" t="s">
        <v>1435</v>
      </c>
      <c r="AU381" s="142" t="s">
        <v>2705</v>
      </c>
      <c r="AV381" s="142" t="s">
        <v>2398</v>
      </c>
      <c r="AW381" s="142" t="s">
        <v>2675</v>
      </c>
      <c r="AX381" s="142" t="s">
        <v>2705</v>
      </c>
      <c r="AY381" s="142" t="s">
        <v>2705</v>
      </c>
      <c r="AZ381" s="142" t="s">
        <v>2705</v>
      </c>
    </row>
    <row r="382" spans="1:52" s="142" customFormat="1" ht="12.75" x14ac:dyDescent="0.2">
      <c r="A382" s="151"/>
      <c r="B382" s="152" t="s">
        <v>2705</v>
      </c>
      <c r="C382" s="152" t="s">
        <v>2398</v>
      </c>
      <c r="D382" s="152" t="s">
        <v>2398</v>
      </c>
      <c r="E382" s="152" t="s">
        <v>2705</v>
      </c>
      <c r="F382" s="152" t="s">
        <v>2705</v>
      </c>
      <c r="G382" s="152" t="s">
        <v>2705</v>
      </c>
      <c r="H382" s="152" t="s">
        <v>2398</v>
      </c>
      <c r="I382" s="152" t="s">
        <v>2705</v>
      </c>
      <c r="J382" s="152" t="s">
        <v>2398</v>
      </c>
      <c r="K382" s="152" t="s">
        <v>2675</v>
      </c>
      <c r="L382" s="152" t="s">
        <v>2705</v>
      </c>
      <c r="M382" s="152" t="s">
        <v>2398</v>
      </c>
      <c r="N382" s="152" t="s">
        <v>2705</v>
      </c>
      <c r="O382" s="152" t="s">
        <v>2705</v>
      </c>
      <c r="P382" s="152" t="s">
        <v>2397</v>
      </c>
      <c r="Q382" s="152" t="s">
        <v>2705</v>
      </c>
      <c r="R382" s="152" t="s">
        <v>2398</v>
      </c>
      <c r="S382" s="152" t="s">
        <v>2705</v>
      </c>
      <c r="T382" s="152" t="s">
        <v>2705</v>
      </c>
      <c r="U382" s="152" t="s">
        <v>2705</v>
      </c>
      <c r="V382" s="142" t="str" cm="1">
        <f t="array" ref="V382">IF(A382&lt;&gt;"",SUM(--(B382:U383 = "X")*$U$3,--(B382:U383 ="A")*$Q$3,--(B382:U383 ="B")*$R$3,--(B382:U383 ="C")*$S$3),"")</f>
        <v/>
      </c>
      <c r="X382" s="437" t="s">
        <v>7690</v>
      </c>
      <c r="Y382" s="437">
        <v>29</v>
      </c>
      <c r="Z382" s="436">
        <f>_xlfn.XLOOKUP(answers[[#This Row],[StudentID]],$A$7:$A$1418,$V$7:$V$1418)</f>
        <v>29</v>
      </c>
      <c r="AG382" s="142" t="s">
        <v>2705</v>
      </c>
      <c r="AH382" s="142" t="s">
        <v>2398</v>
      </c>
      <c r="AI382" s="142" t="s">
        <v>2398</v>
      </c>
      <c r="AJ382" s="142" t="s">
        <v>2705</v>
      </c>
      <c r="AK382" s="142" t="s">
        <v>2705</v>
      </c>
      <c r="AL382" s="142" t="s">
        <v>2705</v>
      </c>
      <c r="AM382" s="142" t="s">
        <v>2398</v>
      </c>
      <c r="AN382" s="142" t="s">
        <v>2705</v>
      </c>
      <c r="AO382" s="142" t="s">
        <v>2398</v>
      </c>
      <c r="AP382" s="142" t="s">
        <v>2675</v>
      </c>
      <c r="AQ382" s="142" t="s">
        <v>2705</v>
      </c>
      <c r="AR382" s="142" t="s">
        <v>2398</v>
      </c>
      <c r="AS382" s="142" t="s">
        <v>2705</v>
      </c>
      <c r="AT382" s="142" t="s">
        <v>2705</v>
      </c>
      <c r="AU382" s="142" t="s">
        <v>2397</v>
      </c>
      <c r="AV382" s="142" t="s">
        <v>2705</v>
      </c>
      <c r="AW382" s="142" t="s">
        <v>2398</v>
      </c>
      <c r="AX382" s="142" t="s">
        <v>2705</v>
      </c>
      <c r="AY382" s="142" t="s">
        <v>2705</v>
      </c>
      <c r="AZ382" s="142" t="s">
        <v>2705</v>
      </c>
    </row>
    <row r="383" spans="1:52" s="142" customFormat="1" ht="12.75" x14ac:dyDescent="0.2">
      <c r="A383" s="151" t="s">
        <v>7508</v>
      </c>
      <c r="B383" s="152" t="s">
        <v>2705</v>
      </c>
      <c r="C383" s="152" t="s">
        <v>2705</v>
      </c>
      <c r="D383" s="152" t="s">
        <v>2705</v>
      </c>
      <c r="E383" s="152" t="s">
        <v>2705</v>
      </c>
      <c r="F383" s="152" t="s">
        <v>2705</v>
      </c>
      <c r="G383" s="152" t="s">
        <v>2705</v>
      </c>
      <c r="H383" s="152" t="s">
        <v>2705</v>
      </c>
      <c r="I383" s="152" t="s">
        <v>2705</v>
      </c>
      <c r="J383" s="152" t="s">
        <v>2705</v>
      </c>
      <c r="K383" s="152" t="s">
        <v>1435</v>
      </c>
      <c r="L383" s="152" t="s">
        <v>2705</v>
      </c>
      <c r="M383" s="152" t="s">
        <v>2705</v>
      </c>
      <c r="N383" s="152" t="s">
        <v>2705</v>
      </c>
      <c r="O383" s="152" t="s">
        <v>2705</v>
      </c>
      <c r="P383" s="152" t="s">
        <v>2705</v>
      </c>
      <c r="Q383" s="152" t="s">
        <v>2398</v>
      </c>
      <c r="R383" s="152" t="s">
        <v>2675</v>
      </c>
      <c r="S383" s="152" t="s">
        <v>2705</v>
      </c>
      <c r="T383" s="152" t="s">
        <v>1435</v>
      </c>
      <c r="U383" s="152" t="s">
        <v>2705</v>
      </c>
      <c r="V383" s="142" cm="1">
        <f t="array" ref="V383">IF(A383&lt;&gt;"",SUM(--(B383:U384 = "X")*$U$3,--(B383:U384 ="A")*$Q$3,--(B383:U384 ="B")*$R$3,--(B383:U384 ="C")*$S$3),"")</f>
        <v>31</v>
      </c>
      <c r="X383" s="437" t="s">
        <v>7691</v>
      </c>
      <c r="Y383" s="437">
        <v>20</v>
      </c>
      <c r="Z383" s="436">
        <f>_xlfn.XLOOKUP(answers[[#This Row],[StudentID]],$A$7:$A$1418,$V$7:$V$1418)</f>
        <v>20</v>
      </c>
      <c r="AF383" s="142" t="s">
        <v>7508</v>
      </c>
      <c r="AG383" s="142" t="s">
        <v>2705</v>
      </c>
      <c r="AH383" s="142" t="s">
        <v>2705</v>
      </c>
      <c r="AI383" s="142" t="s">
        <v>2705</v>
      </c>
      <c r="AJ383" s="142" t="s">
        <v>2705</v>
      </c>
      <c r="AK383" s="142" t="s">
        <v>2705</v>
      </c>
      <c r="AL383" s="142" t="s">
        <v>2705</v>
      </c>
      <c r="AM383" s="142" t="s">
        <v>2705</v>
      </c>
      <c r="AN383" s="142" t="s">
        <v>2705</v>
      </c>
      <c r="AO383" s="142" t="s">
        <v>2705</v>
      </c>
      <c r="AP383" s="142" t="s">
        <v>1435</v>
      </c>
      <c r="AQ383" s="142" t="s">
        <v>2705</v>
      </c>
      <c r="AR383" s="142" t="s">
        <v>2705</v>
      </c>
      <c r="AS383" s="142" t="s">
        <v>2705</v>
      </c>
      <c r="AT383" s="142" t="s">
        <v>2705</v>
      </c>
      <c r="AU383" s="142" t="s">
        <v>2705</v>
      </c>
      <c r="AV383" s="142" t="s">
        <v>2398</v>
      </c>
      <c r="AW383" s="142" t="s">
        <v>2675</v>
      </c>
      <c r="AX383" s="142" t="s">
        <v>2705</v>
      </c>
      <c r="AY383" s="142" t="s">
        <v>1435</v>
      </c>
      <c r="AZ383" s="142" t="s">
        <v>2705</v>
      </c>
    </row>
    <row r="384" spans="1:52" s="142" customFormat="1" ht="12.75" x14ac:dyDescent="0.2">
      <c r="A384" s="151"/>
      <c r="B384" s="152" t="s">
        <v>2705</v>
      </c>
      <c r="C384" s="152" t="s">
        <v>2705</v>
      </c>
      <c r="D384" s="152" t="s">
        <v>2705</v>
      </c>
      <c r="E384" s="152" t="s">
        <v>2705</v>
      </c>
      <c r="F384" s="152" t="s">
        <v>2398</v>
      </c>
      <c r="G384" s="152" t="s">
        <v>2675</v>
      </c>
      <c r="H384" s="152" t="s">
        <v>2705</v>
      </c>
      <c r="I384" s="152" t="s">
        <v>2705</v>
      </c>
      <c r="J384" s="152" t="s">
        <v>2705</v>
      </c>
      <c r="K384" s="152" t="s">
        <v>2398</v>
      </c>
      <c r="L384" s="152" t="s">
        <v>2705</v>
      </c>
      <c r="M384" s="152" t="s">
        <v>2705</v>
      </c>
      <c r="N384" s="152" t="s">
        <v>2705</v>
      </c>
      <c r="O384" s="152" t="s">
        <v>2705</v>
      </c>
      <c r="P384" s="152" t="s">
        <v>2705</v>
      </c>
      <c r="Q384" s="152" t="s">
        <v>2705</v>
      </c>
      <c r="R384" s="152" t="s">
        <v>2705</v>
      </c>
      <c r="S384" s="152" t="s">
        <v>2705</v>
      </c>
      <c r="T384" s="152" t="s">
        <v>2705</v>
      </c>
      <c r="U384" s="152" t="s">
        <v>2705</v>
      </c>
      <c r="V384" s="142" t="str" cm="1">
        <f t="array" ref="V384">IF(A384&lt;&gt;"",SUM(--(B384:U385 = "X")*$U$3,--(B384:U385 ="A")*$Q$3,--(B384:U385 ="B")*$R$3,--(B384:U385 ="C")*$S$3),"")</f>
        <v/>
      </c>
      <c r="X384" s="437" t="s">
        <v>7692</v>
      </c>
      <c r="Y384" s="437">
        <v>19.5</v>
      </c>
      <c r="Z384" s="436">
        <f>_xlfn.XLOOKUP(answers[[#This Row],[StudentID]],$A$7:$A$1418,$V$7:$V$1418)</f>
        <v>19.5</v>
      </c>
      <c r="AG384" s="142" t="s">
        <v>2705</v>
      </c>
      <c r="AH384" s="142" t="s">
        <v>2705</v>
      </c>
      <c r="AI384" s="142" t="s">
        <v>2705</v>
      </c>
      <c r="AJ384" s="142" t="s">
        <v>2705</v>
      </c>
      <c r="AK384" s="142" t="s">
        <v>2398</v>
      </c>
      <c r="AL384" s="142" t="s">
        <v>2675</v>
      </c>
      <c r="AM384" s="142" t="s">
        <v>2705</v>
      </c>
      <c r="AN384" s="142" t="s">
        <v>2705</v>
      </c>
      <c r="AO384" s="142" t="s">
        <v>2705</v>
      </c>
      <c r="AP384" s="142" t="s">
        <v>2398</v>
      </c>
      <c r="AQ384" s="142" t="s">
        <v>2705</v>
      </c>
      <c r="AR384" s="142" t="s">
        <v>2705</v>
      </c>
      <c r="AS384" s="142" t="s">
        <v>2705</v>
      </c>
      <c r="AT384" s="142" t="s">
        <v>2705</v>
      </c>
      <c r="AU384" s="142" t="s">
        <v>2705</v>
      </c>
      <c r="AV384" s="142" t="s">
        <v>2705</v>
      </c>
      <c r="AW384" s="142" t="s">
        <v>2705</v>
      </c>
      <c r="AX384" s="142" t="s">
        <v>2705</v>
      </c>
      <c r="AY384" s="142" t="s">
        <v>2705</v>
      </c>
      <c r="AZ384" s="142" t="s">
        <v>2705</v>
      </c>
    </row>
    <row r="385" spans="1:52" s="142" customFormat="1" ht="12.75" x14ac:dyDescent="0.2">
      <c r="A385" s="151" t="s">
        <v>7509</v>
      </c>
      <c r="B385" s="152" t="s">
        <v>2705</v>
      </c>
      <c r="C385" s="152" t="s">
        <v>2705</v>
      </c>
      <c r="D385" s="152" t="s">
        <v>2705</v>
      </c>
      <c r="E385" s="152" t="s">
        <v>2705</v>
      </c>
      <c r="F385" s="152" t="s">
        <v>2398</v>
      </c>
      <c r="G385" s="152" t="s">
        <v>2705</v>
      </c>
      <c r="H385" s="152" t="s">
        <v>2398</v>
      </c>
      <c r="I385" s="152" t="s">
        <v>2398</v>
      </c>
      <c r="J385" s="152" t="s">
        <v>2705</v>
      </c>
      <c r="K385" s="152" t="s">
        <v>2398</v>
      </c>
      <c r="L385" s="152" t="s">
        <v>2705</v>
      </c>
      <c r="M385" s="152" t="s">
        <v>2398</v>
      </c>
      <c r="N385" s="152" t="s">
        <v>2705</v>
      </c>
      <c r="O385" s="152" t="s">
        <v>2398</v>
      </c>
      <c r="P385" s="152" t="s">
        <v>2398</v>
      </c>
      <c r="Q385" s="152" t="s">
        <v>2705</v>
      </c>
      <c r="R385" s="152" t="s">
        <v>2398</v>
      </c>
      <c r="S385" s="152" t="s">
        <v>2705</v>
      </c>
      <c r="T385" s="152" t="s">
        <v>2705</v>
      </c>
      <c r="U385" s="152" t="s">
        <v>2398</v>
      </c>
      <c r="V385" s="142" cm="1">
        <f t="array" ref="V385">IF(A385&lt;&gt;"",SUM(--(B385:U386 = "X")*$U$3,--(B385:U386 ="A")*$Q$3,--(B385:U386 ="B")*$R$3,--(B385:U386 ="C")*$S$3),"")</f>
        <v>24</v>
      </c>
      <c r="X385" s="437" t="s">
        <v>7693</v>
      </c>
      <c r="Y385" s="437">
        <v>17.5</v>
      </c>
      <c r="Z385" s="436">
        <f>_xlfn.XLOOKUP(answers[[#This Row],[StudentID]],$A$7:$A$1418,$V$7:$V$1418)</f>
        <v>17.5</v>
      </c>
      <c r="AF385" s="142" t="s">
        <v>7509</v>
      </c>
      <c r="AG385" s="142" t="s">
        <v>2705</v>
      </c>
      <c r="AH385" s="142" t="s">
        <v>2705</v>
      </c>
      <c r="AI385" s="142" t="s">
        <v>2705</v>
      </c>
      <c r="AJ385" s="142" t="s">
        <v>2705</v>
      </c>
      <c r="AK385" s="142" t="s">
        <v>2398</v>
      </c>
      <c r="AL385" s="142" t="s">
        <v>2705</v>
      </c>
      <c r="AM385" s="142" t="s">
        <v>2398</v>
      </c>
      <c r="AN385" s="142" t="s">
        <v>2398</v>
      </c>
      <c r="AO385" s="142" t="s">
        <v>2705</v>
      </c>
      <c r="AP385" s="142" t="s">
        <v>2398</v>
      </c>
      <c r="AQ385" s="142" t="s">
        <v>2705</v>
      </c>
      <c r="AR385" s="142" t="s">
        <v>2398</v>
      </c>
      <c r="AS385" s="142" t="s">
        <v>2705</v>
      </c>
      <c r="AT385" s="142" t="s">
        <v>2398</v>
      </c>
      <c r="AU385" s="142" t="s">
        <v>2398</v>
      </c>
      <c r="AV385" s="142" t="s">
        <v>2705</v>
      </c>
      <c r="AW385" s="142" t="s">
        <v>2398</v>
      </c>
      <c r="AX385" s="142" t="s">
        <v>2705</v>
      </c>
      <c r="AY385" s="142" t="s">
        <v>2705</v>
      </c>
      <c r="AZ385" s="142" t="s">
        <v>2398</v>
      </c>
    </row>
    <row r="386" spans="1:52" s="142" customFormat="1" ht="12.75" x14ac:dyDescent="0.2">
      <c r="A386" s="151"/>
      <c r="B386" s="152" t="s">
        <v>2705</v>
      </c>
      <c r="C386" s="152" t="s">
        <v>2705</v>
      </c>
      <c r="D386" s="152" t="s">
        <v>2705</v>
      </c>
      <c r="E386" s="152" t="s">
        <v>2705</v>
      </c>
      <c r="F386" s="152" t="s">
        <v>2705</v>
      </c>
      <c r="G386" s="152" t="s">
        <v>2397</v>
      </c>
      <c r="H386" s="152" t="s">
        <v>2705</v>
      </c>
      <c r="I386" s="152" t="s">
        <v>2705</v>
      </c>
      <c r="J386" s="152" t="s">
        <v>2705</v>
      </c>
      <c r="K386" s="152" t="s">
        <v>2398</v>
      </c>
      <c r="L386" s="152" t="s">
        <v>2705</v>
      </c>
      <c r="M386" s="152" t="s">
        <v>1435</v>
      </c>
      <c r="N386" s="152" t="s">
        <v>2705</v>
      </c>
      <c r="O386" s="152" t="s">
        <v>2705</v>
      </c>
      <c r="P386" s="152" t="s">
        <v>2705</v>
      </c>
      <c r="Q386" s="152" t="s">
        <v>2705</v>
      </c>
      <c r="R386" s="152" t="s">
        <v>2705</v>
      </c>
      <c r="S386" s="152" t="s">
        <v>2398</v>
      </c>
      <c r="T386" s="152" t="s">
        <v>1435</v>
      </c>
      <c r="U386" s="152" t="s">
        <v>2397</v>
      </c>
      <c r="V386" s="142" t="str" cm="1">
        <f t="array" ref="V386">IF(A386&lt;&gt;"",SUM(--(B386:U387 = "X")*$U$3,--(B386:U387 ="A")*$Q$3,--(B386:U387 ="B")*$R$3,--(B386:U387 ="C")*$S$3),"")</f>
        <v/>
      </c>
      <c r="X386" s="437" t="s">
        <v>7694</v>
      </c>
      <c r="Y386" s="437">
        <v>20</v>
      </c>
      <c r="Z386" s="436">
        <f>_xlfn.XLOOKUP(answers[[#This Row],[StudentID]],$A$7:$A$1418,$V$7:$V$1418)</f>
        <v>20</v>
      </c>
      <c r="AG386" s="142" t="s">
        <v>2705</v>
      </c>
      <c r="AH386" s="142" t="s">
        <v>2705</v>
      </c>
      <c r="AI386" s="142" t="s">
        <v>2705</v>
      </c>
      <c r="AJ386" s="142" t="s">
        <v>2705</v>
      </c>
      <c r="AK386" s="142" t="s">
        <v>2705</v>
      </c>
      <c r="AL386" s="142" t="s">
        <v>2397</v>
      </c>
      <c r="AM386" s="142" t="s">
        <v>2705</v>
      </c>
      <c r="AN386" s="142" t="s">
        <v>2705</v>
      </c>
      <c r="AO386" s="142" t="s">
        <v>2705</v>
      </c>
      <c r="AP386" s="142" t="s">
        <v>2398</v>
      </c>
      <c r="AQ386" s="142" t="s">
        <v>2705</v>
      </c>
      <c r="AR386" s="142" t="s">
        <v>1435</v>
      </c>
      <c r="AS386" s="142" t="s">
        <v>2705</v>
      </c>
      <c r="AT386" s="142" t="s">
        <v>2705</v>
      </c>
      <c r="AU386" s="142" t="s">
        <v>2705</v>
      </c>
      <c r="AV386" s="142" t="s">
        <v>2705</v>
      </c>
      <c r="AW386" s="142" t="s">
        <v>2705</v>
      </c>
      <c r="AX386" s="142" t="s">
        <v>2398</v>
      </c>
      <c r="AY386" s="142" t="s">
        <v>1435</v>
      </c>
      <c r="AZ386" s="142" t="s">
        <v>2397</v>
      </c>
    </row>
    <row r="387" spans="1:52" s="142" customFormat="1" ht="12.75" x14ac:dyDescent="0.2">
      <c r="A387" s="151" t="s">
        <v>7510</v>
      </c>
      <c r="B387" s="152" t="s">
        <v>2398</v>
      </c>
      <c r="C387" s="152" t="s">
        <v>2398</v>
      </c>
      <c r="D387" s="152" t="s">
        <v>2705</v>
      </c>
      <c r="E387" s="152" t="s">
        <v>2705</v>
      </c>
      <c r="F387" s="152" t="s">
        <v>2705</v>
      </c>
      <c r="G387" s="152" t="s">
        <v>2705</v>
      </c>
      <c r="H387" s="152" t="s">
        <v>2398</v>
      </c>
      <c r="I387" s="152" t="s">
        <v>2675</v>
      </c>
      <c r="J387" s="152" t="s">
        <v>2675</v>
      </c>
      <c r="K387" s="152" t="s">
        <v>2705</v>
      </c>
      <c r="L387" s="152" t="s">
        <v>2705</v>
      </c>
      <c r="M387" s="152" t="s">
        <v>2705</v>
      </c>
      <c r="N387" s="152" t="s">
        <v>2705</v>
      </c>
      <c r="O387" s="152" t="s">
        <v>2705</v>
      </c>
      <c r="P387" s="152" t="s">
        <v>2705</v>
      </c>
      <c r="Q387" s="152" t="s">
        <v>2705</v>
      </c>
      <c r="R387" s="152" t="s">
        <v>2705</v>
      </c>
      <c r="S387" s="152" t="s">
        <v>2705</v>
      </c>
      <c r="T387" s="152" t="s">
        <v>2705</v>
      </c>
      <c r="U387" s="152" t="s">
        <v>2705</v>
      </c>
      <c r="V387" s="142" cm="1">
        <f t="array" ref="V387">IF(A387&lt;&gt;"",SUM(--(B387:U388 = "X")*$U$3,--(B387:U388 ="A")*$Q$3,--(B387:U388 ="B")*$R$3,--(B387:U388 ="C")*$S$3),"")</f>
        <v>32</v>
      </c>
      <c r="X387" s="437" t="s">
        <v>7695</v>
      </c>
      <c r="Y387" s="437">
        <v>15</v>
      </c>
      <c r="Z387" s="436">
        <f>_xlfn.XLOOKUP(answers[[#This Row],[StudentID]],$A$7:$A$1418,$V$7:$V$1418)</f>
        <v>15</v>
      </c>
      <c r="AF387" s="142" t="s">
        <v>7510</v>
      </c>
      <c r="AG387" s="142" t="s">
        <v>2398</v>
      </c>
      <c r="AH387" s="142" t="s">
        <v>2398</v>
      </c>
      <c r="AI387" s="142" t="s">
        <v>2705</v>
      </c>
      <c r="AJ387" s="142" t="s">
        <v>2705</v>
      </c>
      <c r="AK387" s="142" t="s">
        <v>2705</v>
      </c>
      <c r="AL387" s="142" t="s">
        <v>2705</v>
      </c>
      <c r="AM387" s="142" t="s">
        <v>2398</v>
      </c>
      <c r="AN387" s="142" t="s">
        <v>2675</v>
      </c>
      <c r="AO387" s="142" t="s">
        <v>2675</v>
      </c>
      <c r="AP387" s="142" t="s">
        <v>2705</v>
      </c>
      <c r="AQ387" s="142" t="s">
        <v>2705</v>
      </c>
      <c r="AR387" s="142" t="s">
        <v>2705</v>
      </c>
      <c r="AS387" s="142" t="s">
        <v>2705</v>
      </c>
      <c r="AT387" s="142" t="s">
        <v>2705</v>
      </c>
      <c r="AU387" s="142" t="s">
        <v>2705</v>
      </c>
      <c r="AV387" s="142" t="s">
        <v>2705</v>
      </c>
      <c r="AW387" s="142" t="s">
        <v>2705</v>
      </c>
      <c r="AX387" s="142" t="s">
        <v>2705</v>
      </c>
      <c r="AY387" s="142" t="s">
        <v>2705</v>
      </c>
      <c r="AZ387" s="142" t="s">
        <v>2705</v>
      </c>
    </row>
    <row r="388" spans="1:52" s="142" customFormat="1" ht="12.75" x14ac:dyDescent="0.2">
      <c r="A388" s="151"/>
      <c r="B388" s="152" t="s">
        <v>2705</v>
      </c>
      <c r="C388" s="152" t="s">
        <v>2398</v>
      </c>
      <c r="D388" s="152" t="s">
        <v>2398</v>
      </c>
      <c r="E388" s="152" t="s">
        <v>2705</v>
      </c>
      <c r="F388" s="152" t="s">
        <v>2705</v>
      </c>
      <c r="G388" s="152" t="s">
        <v>2705</v>
      </c>
      <c r="H388" s="152" t="s">
        <v>2705</v>
      </c>
      <c r="I388" s="152" t="s">
        <v>2705</v>
      </c>
      <c r="J388" s="152" t="s">
        <v>2705</v>
      </c>
      <c r="K388" s="152" t="s">
        <v>2705</v>
      </c>
      <c r="L388" s="152" t="s">
        <v>2705</v>
      </c>
      <c r="M388" s="152" t="s">
        <v>2705</v>
      </c>
      <c r="N388" s="152" t="s">
        <v>2705</v>
      </c>
      <c r="O388" s="152" t="s">
        <v>2705</v>
      </c>
      <c r="P388" s="152" t="s">
        <v>2705</v>
      </c>
      <c r="Q388" s="152" t="s">
        <v>2705</v>
      </c>
      <c r="R388" s="152" t="s">
        <v>2705</v>
      </c>
      <c r="S388" s="152" t="s">
        <v>2705</v>
      </c>
      <c r="T388" s="152" t="s">
        <v>2705</v>
      </c>
      <c r="U388" s="152" t="s">
        <v>2705</v>
      </c>
      <c r="V388" s="142" t="str" cm="1">
        <f t="array" ref="V388">IF(A388&lt;&gt;"",SUM(--(B388:U389 = "X")*$U$3,--(B388:U389 ="A")*$Q$3,--(B388:U389 ="B")*$R$3,--(B388:U389 ="C")*$S$3),"")</f>
        <v/>
      </c>
      <c r="X388" s="437" t="s">
        <v>7696</v>
      </c>
      <c r="Y388" s="437">
        <v>27</v>
      </c>
      <c r="Z388" s="436">
        <f>_xlfn.XLOOKUP(answers[[#This Row],[StudentID]],$A$7:$A$1418,$V$7:$V$1418)</f>
        <v>27</v>
      </c>
      <c r="AG388" s="142" t="s">
        <v>2705</v>
      </c>
      <c r="AH388" s="142" t="s">
        <v>2398</v>
      </c>
      <c r="AI388" s="142" t="s">
        <v>2398</v>
      </c>
      <c r="AJ388" s="142" t="s">
        <v>2705</v>
      </c>
      <c r="AK388" s="142" t="s">
        <v>2705</v>
      </c>
      <c r="AL388" s="142" t="s">
        <v>2705</v>
      </c>
      <c r="AM388" s="142" t="s">
        <v>2705</v>
      </c>
      <c r="AN388" s="142" t="s">
        <v>2705</v>
      </c>
      <c r="AO388" s="142" t="s">
        <v>2705</v>
      </c>
      <c r="AP388" s="142" t="s">
        <v>2705</v>
      </c>
      <c r="AQ388" s="142" t="s">
        <v>2705</v>
      </c>
      <c r="AR388" s="142" t="s">
        <v>2705</v>
      </c>
      <c r="AS388" s="142" t="s">
        <v>2705</v>
      </c>
      <c r="AT388" s="142" t="s">
        <v>2705</v>
      </c>
      <c r="AU388" s="142" t="s">
        <v>2705</v>
      </c>
      <c r="AV388" s="142" t="s">
        <v>2705</v>
      </c>
      <c r="AW388" s="142" t="s">
        <v>2705</v>
      </c>
      <c r="AX388" s="142" t="s">
        <v>2705</v>
      </c>
      <c r="AY388" s="142" t="s">
        <v>2705</v>
      </c>
      <c r="AZ388" s="142" t="s">
        <v>2705</v>
      </c>
    </row>
    <row r="389" spans="1:52" s="142" customFormat="1" ht="12.75" x14ac:dyDescent="0.2">
      <c r="A389" s="151" t="s">
        <v>7511</v>
      </c>
      <c r="B389" s="152" t="s">
        <v>2398</v>
      </c>
      <c r="C389" s="152" t="s">
        <v>2398</v>
      </c>
      <c r="D389" s="152" t="s">
        <v>2398</v>
      </c>
      <c r="E389" s="152" t="s">
        <v>2705</v>
      </c>
      <c r="F389" s="152" t="s">
        <v>2705</v>
      </c>
      <c r="G389" s="152" t="s">
        <v>2398</v>
      </c>
      <c r="H389" s="152" t="s">
        <v>2675</v>
      </c>
      <c r="I389" s="152" t="s">
        <v>2398</v>
      </c>
      <c r="J389" s="152" t="s">
        <v>2705</v>
      </c>
      <c r="K389" s="152" t="s">
        <v>2398</v>
      </c>
      <c r="L389" s="152" t="s">
        <v>2705</v>
      </c>
      <c r="M389" s="152" t="s">
        <v>2705</v>
      </c>
      <c r="N389" s="152" t="s">
        <v>2398</v>
      </c>
      <c r="O389" s="152" t="s">
        <v>2705</v>
      </c>
      <c r="P389" s="152" t="s">
        <v>2398</v>
      </c>
      <c r="Q389" s="152" t="s">
        <v>2705</v>
      </c>
      <c r="R389" s="152" t="s">
        <v>2398</v>
      </c>
      <c r="S389" s="152" t="s">
        <v>2705</v>
      </c>
      <c r="T389" s="152" t="s">
        <v>2675</v>
      </c>
      <c r="U389" s="152" t="s">
        <v>2398</v>
      </c>
      <c r="V389" s="142" cm="1">
        <f t="array" ref="V389">IF(A389&lt;&gt;"",SUM(--(B389:U390 = "X")*$U$3,--(B389:U390 ="A")*$Q$3,--(B389:U390 ="B")*$R$3,--(B389:U390 ="C")*$S$3),"")</f>
        <v>17.5</v>
      </c>
      <c r="X389" s="437" t="s">
        <v>7697</v>
      </c>
      <c r="Y389" s="437">
        <v>22</v>
      </c>
      <c r="Z389" s="436">
        <f>_xlfn.XLOOKUP(answers[[#This Row],[StudentID]],$A$7:$A$1418,$V$7:$V$1418)</f>
        <v>22</v>
      </c>
      <c r="AF389" s="142" t="s">
        <v>7511</v>
      </c>
      <c r="AG389" s="142" t="s">
        <v>2398</v>
      </c>
      <c r="AH389" s="142" t="s">
        <v>2398</v>
      </c>
      <c r="AI389" s="142" t="s">
        <v>2398</v>
      </c>
      <c r="AJ389" s="142" t="s">
        <v>2705</v>
      </c>
      <c r="AK389" s="142" t="s">
        <v>2705</v>
      </c>
      <c r="AL389" s="142" t="s">
        <v>2398</v>
      </c>
      <c r="AM389" s="142" t="s">
        <v>2675</v>
      </c>
      <c r="AN389" s="142" t="s">
        <v>2398</v>
      </c>
      <c r="AO389" s="142" t="s">
        <v>2705</v>
      </c>
      <c r="AP389" s="142" t="s">
        <v>2398</v>
      </c>
      <c r="AQ389" s="142" t="s">
        <v>2705</v>
      </c>
      <c r="AR389" s="142" t="s">
        <v>2705</v>
      </c>
      <c r="AS389" s="142" t="s">
        <v>2398</v>
      </c>
      <c r="AT389" s="142" t="s">
        <v>2705</v>
      </c>
      <c r="AU389" s="142" t="s">
        <v>2398</v>
      </c>
      <c r="AV389" s="142" t="s">
        <v>2705</v>
      </c>
      <c r="AW389" s="142" t="s">
        <v>2398</v>
      </c>
      <c r="AX389" s="142" t="s">
        <v>2705</v>
      </c>
      <c r="AY389" s="142" t="s">
        <v>2675</v>
      </c>
      <c r="AZ389" s="142" t="s">
        <v>2398</v>
      </c>
    </row>
    <row r="390" spans="1:52" s="142" customFormat="1" ht="12.75" x14ac:dyDescent="0.2">
      <c r="A390" s="151"/>
      <c r="B390" s="152" t="s">
        <v>2398</v>
      </c>
      <c r="C390" s="152" t="s">
        <v>2705</v>
      </c>
      <c r="D390" s="152" t="s">
        <v>2398</v>
      </c>
      <c r="E390" s="152" t="s">
        <v>2705</v>
      </c>
      <c r="F390" s="152" t="s">
        <v>2705</v>
      </c>
      <c r="G390" s="152" t="s">
        <v>2398</v>
      </c>
      <c r="H390" s="152" t="s">
        <v>2398</v>
      </c>
      <c r="I390" s="152" t="s">
        <v>2398</v>
      </c>
      <c r="J390" s="152" t="s">
        <v>2675</v>
      </c>
      <c r="K390" s="152" t="s">
        <v>2705</v>
      </c>
      <c r="L390" s="152" t="s">
        <v>2705</v>
      </c>
      <c r="M390" s="152" t="s">
        <v>2705</v>
      </c>
      <c r="N390" s="152" t="s">
        <v>2705</v>
      </c>
      <c r="O390" s="152" t="s">
        <v>2705</v>
      </c>
      <c r="P390" s="152" t="s">
        <v>2398</v>
      </c>
      <c r="Q390" s="152" t="s">
        <v>2705</v>
      </c>
      <c r="R390" s="152" t="s">
        <v>2398</v>
      </c>
      <c r="S390" s="152" t="s">
        <v>2705</v>
      </c>
      <c r="T390" s="152" t="s">
        <v>2398</v>
      </c>
      <c r="U390" s="152" t="s">
        <v>2705</v>
      </c>
      <c r="V390" s="142" t="str" cm="1">
        <f t="array" ref="V390">IF(A390&lt;&gt;"",SUM(--(B390:U391 = "X")*$U$3,--(B390:U391 ="A")*$Q$3,--(B390:U391 ="B")*$R$3,--(B390:U391 ="C")*$S$3),"")</f>
        <v/>
      </c>
      <c r="X390" s="437" t="s">
        <v>7698</v>
      </c>
      <c r="Y390" s="437">
        <v>15.5</v>
      </c>
      <c r="Z390" s="436">
        <f>_xlfn.XLOOKUP(answers[[#This Row],[StudentID]],$A$7:$A$1418,$V$7:$V$1418)</f>
        <v>15.5</v>
      </c>
      <c r="AG390" s="142" t="s">
        <v>2398</v>
      </c>
      <c r="AH390" s="142" t="s">
        <v>2705</v>
      </c>
      <c r="AI390" s="142" t="s">
        <v>2398</v>
      </c>
      <c r="AJ390" s="142" t="s">
        <v>2705</v>
      </c>
      <c r="AK390" s="142" t="s">
        <v>2705</v>
      </c>
      <c r="AL390" s="142" t="s">
        <v>2398</v>
      </c>
      <c r="AM390" s="142" t="s">
        <v>2398</v>
      </c>
      <c r="AN390" s="142" t="s">
        <v>2398</v>
      </c>
      <c r="AO390" s="142" t="s">
        <v>2675</v>
      </c>
      <c r="AP390" s="142" t="s">
        <v>2705</v>
      </c>
      <c r="AQ390" s="142" t="s">
        <v>2705</v>
      </c>
      <c r="AR390" s="142" t="s">
        <v>2705</v>
      </c>
      <c r="AS390" s="142" t="s">
        <v>2705</v>
      </c>
      <c r="AT390" s="142" t="s">
        <v>2705</v>
      </c>
      <c r="AU390" s="142" t="s">
        <v>2398</v>
      </c>
      <c r="AV390" s="142" t="s">
        <v>2705</v>
      </c>
      <c r="AW390" s="142" t="s">
        <v>2398</v>
      </c>
      <c r="AX390" s="142" t="s">
        <v>2705</v>
      </c>
      <c r="AY390" s="142" t="s">
        <v>2398</v>
      </c>
      <c r="AZ390" s="142" t="s">
        <v>2705</v>
      </c>
    </row>
    <row r="391" spans="1:52" s="142" customFormat="1" ht="12.75" x14ac:dyDescent="0.2">
      <c r="A391" s="151" t="s">
        <v>7512</v>
      </c>
      <c r="B391" s="152" t="s">
        <v>2705</v>
      </c>
      <c r="C391" s="152" t="s">
        <v>2705</v>
      </c>
      <c r="D391" s="152" t="s">
        <v>2705</v>
      </c>
      <c r="E391" s="152" t="s">
        <v>2397</v>
      </c>
      <c r="F391" s="152" t="s">
        <v>2398</v>
      </c>
      <c r="G391" s="152" t="s">
        <v>2705</v>
      </c>
      <c r="H391" s="152" t="s">
        <v>1435</v>
      </c>
      <c r="I391" s="152" t="s">
        <v>2705</v>
      </c>
      <c r="J391" s="152" t="s">
        <v>2675</v>
      </c>
      <c r="K391" s="152" t="s">
        <v>2705</v>
      </c>
      <c r="L391" s="152" t="s">
        <v>2705</v>
      </c>
      <c r="M391" s="152" t="s">
        <v>1435</v>
      </c>
      <c r="N391" s="152" t="s">
        <v>2705</v>
      </c>
      <c r="O391" s="152" t="s">
        <v>2398</v>
      </c>
      <c r="P391" s="152" t="s">
        <v>2398</v>
      </c>
      <c r="Q391" s="152" t="s">
        <v>2675</v>
      </c>
      <c r="R391" s="152" t="s">
        <v>2398</v>
      </c>
      <c r="S391" s="152" t="s">
        <v>2398</v>
      </c>
      <c r="T391" s="152" t="s">
        <v>2398</v>
      </c>
      <c r="U391" s="152" t="s">
        <v>2705</v>
      </c>
      <c r="V391" s="142" cm="1">
        <f t="array" ref="V391">IF(A391&lt;&gt;"",SUM(--(B391:U392 = "X")*$U$3,--(B391:U392 ="A")*$Q$3,--(B391:U392 ="B")*$R$3,--(B391:U392 ="C")*$S$3),"")</f>
        <v>12.5</v>
      </c>
      <c r="X391" s="437" t="s">
        <v>7699</v>
      </c>
      <c r="Y391" s="437">
        <v>18.5</v>
      </c>
      <c r="Z391" s="436">
        <f>_xlfn.XLOOKUP(answers[[#This Row],[StudentID]],$A$7:$A$1418,$V$7:$V$1418)</f>
        <v>18.5</v>
      </c>
      <c r="AF391" s="142" t="s">
        <v>7512</v>
      </c>
      <c r="AG391" s="142" t="s">
        <v>2705</v>
      </c>
      <c r="AH391" s="142" t="s">
        <v>2705</v>
      </c>
      <c r="AI391" s="142" t="s">
        <v>2705</v>
      </c>
      <c r="AJ391" s="142" t="s">
        <v>2397</v>
      </c>
      <c r="AK391" s="142" t="s">
        <v>2398</v>
      </c>
      <c r="AL391" s="142" t="s">
        <v>2705</v>
      </c>
      <c r="AM391" s="142" t="s">
        <v>1435</v>
      </c>
      <c r="AN391" s="142" t="s">
        <v>2705</v>
      </c>
      <c r="AO391" s="142" t="s">
        <v>2675</v>
      </c>
      <c r="AP391" s="142" t="s">
        <v>2705</v>
      </c>
      <c r="AQ391" s="142" t="s">
        <v>2705</v>
      </c>
      <c r="AR391" s="142" t="s">
        <v>1435</v>
      </c>
      <c r="AS391" s="142" t="s">
        <v>2705</v>
      </c>
      <c r="AT391" s="142" t="s">
        <v>2398</v>
      </c>
      <c r="AU391" s="142" t="s">
        <v>2398</v>
      </c>
      <c r="AV391" s="142" t="s">
        <v>2675</v>
      </c>
      <c r="AW391" s="142" t="s">
        <v>2398</v>
      </c>
      <c r="AX391" s="142" t="s">
        <v>2398</v>
      </c>
      <c r="AY391" s="142" t="s">
        <v>2398</v>
      </c>
      <c r="AZ391" s="142" t="s">
        <v>2705</v>
      </c>
    </row>
    <row r="392" spans="1:52" s="142" customFormat="1" ht="12.75" x14ac:dyDescent="0.2">
      <c r="A392" s="151"/>
      <c r="B392" s="152" t="s">
        <v>2705</v>
      </c>
      <c r="C392" s="152" t="s">
        <v>2705</v>
      </c>
      <c r="D392" s="152" t="s">
        <v>2398</v>
      </c>
      <c r="E392" s="152" t="s">
        <v>2398</v>
      </c>
      <c r="F392" s="152" t="s">
        <v>2705</v>
      </c>
      <c r="G392" s="152" t="s">
        <v>1435</v>
      </c>
      <c r="H392" s="152" t="s">
        <v>2398</v>
      </c>
      <c r="I392" s="152" t="s">
        <v>2705</v>
      </c>
      <c r="J392" s="152" t="s">
        <v>2398</v>
      </c>
      <c r="K392" s="152" t="s">
        <v>2705</v>
      </c>
      <c r="L392" s="152" t="s">
        <v>2398</v>
      </c>
      <c r="M392" s="152" t="s">
        <v>2675</v>
      </c>
      <c r="N392" s="152" t="s">
        <v>2398</v>
      </c>
      <c r="O392" s="152" t="s">
        <v>2705</v>
      </c>
      <c r="P392" s="152" t="s">
        <v>2398</v>
      </c>
      <c r="Q392" s="152" t="s">
        <v>2398</v>
      </c>
      <c r="R392" s="152" t="s">
        <v>2398</v>
      </c>
      <c r="S392" s="152" t="s">
        <v>2398</v>
      </c>
      <c r="T392" s="152" t="s">
        <v>1435</v>
      </c>
      <c r="U392" s="152" t="s">
        <v>2705</v>
      </c>
      <c r="V392" s="142" t="str" cm="1">
        <f t="array" ref="V392">IF(A392&lt;&gt;"",SUM(--(B392:U393 = "X")*$U$3,--(B392:U393 ="A")*$Q$3,--(B392:U393 ="B")*$R$3,--(B392:U393 ="C")*$S$3),"")</f>
        <v/>
      </c>
      <c r="X392" s="437" t="s">
        <v>7700</v>
      </c>
      <c r="Y392" s="437">
        <v>10.5</v>
      </c>
      <c r="Z392" s="436">
        <f>_xlfn.XLOOKUP(answers[[#This Row],[StudentID]],$A$7:$A$1418,$V$7:$V$1418)</f>
        <v>10.5</v>
      </c>
      <c r="AG392" s="142" t="s">
        <v>2705</v>
      </c>
      <c r="AH392" s="142" t="s">
        <v>2705</v>
      </c>
      <c r="AI392" s="142" t="s">
        <v>2398</v>
      </c>
      <c r="AJ392" s="142" t="s">
        <v>2398</v>
      </c>
      <c r="AK392" s="142" t="s">
        <v>2705</v>
      </c>
      <c r="AL392" s="142" t="s">
        <v>1435</v>
      </c>
      <c r="AM392" s="142" t="s">
        <v>2398</v>
      </c>
      <c r="AN392" s="142" t="s">
        <v>2705</v>
      </c>
      <c r="AO392" s="142" t="s">
        <v>2398</v>
      </c>
      <c r="AP392" s="142" t="s">
        <v>2705</v>
      </c>
      <c r="AQ392" s="142" t="s">
        <v>2398</v>
      </c>
      <c r="AR392" s="142" t="s">
        <v>2675</v>
      </c>
      <c r="AS392" s="142" t="s">
        <v>2398</v>
      </c>
      <c r="AT392" s="142" t="s">
        <v>2705</v>
      </c>
      <c r="AU392" s="142" t="s">
        <v>2398</v>
      </c>
      <c r="AV392" s="142" t="s">
        <v>2398</v>
      </c>
      <c r="AW392" s="142" t="s">
        <v>2398</v>
      </c>
      <c r="AX392" s="142" t="s">
        <v>2398</v>
      </c>
      <c r="AY392" s="142" t="s">
        <v>1435</v>
      </c>
      <c r="AZ392" s="142" t="s">
        <v>2705</v>
      </c>
    </row>
    <row r="393" spans="1:52" s="142" customFormat="1" ht="12.75" x14ac:dyDescent="0.2">
      <c r="A393" s="151" t="s">
        <v>7513</v>
      </c>
      <c r="B393" s="152" t="s">
        <v>2705</v>
      </c>
      <c r="C393" s="152" t="s">
        <v>2398</v>
      </c>
      <c r="D393" s="152" t="s">
        <v>2705</v>
      </c>
      <c r="E393" s="152" t="s">
        <v>2705</v>
      </c>
      <c r="F393" s="152" t="s">
        <v>2705</v>
      </c>
      <c r="G393" s="152" t="s">
        <v>1435</v>
      </c>
      <c r="H393" s="152" t="s">
        <v>2398</v>
      </c>
      <c r="I393" s="152" t="s">
        <v>2705</v>
      </c>
      <c r="J393" s="152" t="s">
        <v>2675</v>
      </c>
      <c r="K393" s="152" t="s">
        <v>2705</v>
      </c>
      <c r="L393" s="152" t="s">
        <v>2705</v>
      </c>
      <c r="M393" s="152" t="s">
        <v>2705</v>
      </c>
      <c r="N393" s="152" t="s">
        <v>2705</v>
      </c>
      <c r="O393" s="152" t="s">
        <v>2705</v>
      </c>
      <c r="P393" s="152" t="s">
        <v>2398</v>
      </c>
      <c r="Q393" s="152" t="s">
        <v>2675</v>
      </c>
      <c r="R393" s="152" t="s">
        <v>2705</v>
      </c>
      <c r="S393" s="152" t="s">
        <v>2705</v>
      </c>
      <c r="T393" s="152" t="s">
        <v>2705</v>
      </c>
      <c r="U393" s="152" t="s">
        <v>2705</v>
      </c>
      <c r="V393" s="142" cm="1">
        <f t="array" ref="V393">IF(A393&lt;&gt;"",SUM(--(B393:U394 = "X")*$U$3,--(B393:U394 ="A")*$Q$3,--(B393:U394 ="B")*$R$3,--(B393:U394 ="C")*$S$3),"")</f>
        <v>26</v>
      </c>
      <c r="X393" s="437" t="s">
        <v>7701</v>
      </c>
      <c r="Y393" s="437">
        <v>15.5</v>
      </c>
      <c r="Z393" s="436">
        <f>_xlfn.XLOOKUP(answers[[#This Row],[StudentID]],$A$7:$A$1418,$V$7:$V$1418)</f>
        <v>15.5</v>
      </c>
      <c r="AF393" s="142" t="s">
        <v>7513</v>
      </c>
      <c r="AG393" s="142" t="s">
        <v>2705</v>
      </c>
      <c r="AH393" s="142" t="s">
        <v>2398</v>
      </c>
      <c r="AI393" s="142" t="s">
        <v>2705</v>
      </c>
      <c r="AJ393" s="142" t="s">
        <v>2705</v>
      </c>
      <c r="AK393" s="142" t="s">
        <v>2705</v>
      </c>
      <c r="AL393" s="142" t="s">
        <v>1435</v>
      </c>
      <c r="AM393" s="142" t="s">
        <v>2398</v>
      </c>
      <c r="AN393" s="142" t="s">
        <v>2705</v>
      </c>
      <c r="AO393" s="142" t="s">
        <v>2675</v>
      </c>
      <c r="AP393" s="142" t="s">
        <v>2705</v>
      </c>
      <c r="AQ393" s="142" t="s">
        <v>2705</v>
      </c>
      <c r="AR393" s="142" t="s">
        <v>2705</v>
      </c>
      <c r="AS393" s="142" t="s">
        <v>2705</v>
      </c>
      <c r="AT393" s="142" t="s">
        <v>2705</v>
      </c>
      <c r="AU393" s="142" t="s">
        <v>2398</v>
      </c>
      <c r="AV393" s="142" t="s">
        <v>2675</v>
      </c>
      <c r="AW393" s="142" t="s">
        <v>2705</v>
      </c>
      <c r="AX393" s="142" t="s">
        <v>2705</v>
      </c>
      <c r="AY393" s="142" t="s">
        <v>2705</v>
      </c>
      <c r="AZ393" s="142" t="s">
        <v>2705</v>
      </c>
    </row>
    <row r="394" spans="1:52" s="142" customFormat="1" ht="12.75" x14ac:dyDescent="0.2">
      <c r="A394" s="151"/>
      <c r="B394" s="152" t="s">
        <v>2398</v>
      </c>
      <c r="C394" s="152" t="s">
        <v>2675</v>
      </c>
      <c r="D394" s="152" t="s">
        <v>2705</v>
      </c>
      <c r="E394" s="152" t="s">
        <v>2705</v>
      </c>
      <c r="F394" s="152" t="s">
        <v>2705</v>
      </c>
      <c r="G394" s="152" t="s">
        <v>1435</v>
      </c>
      <c r="H394" s="152" t="s">
        <v>2705</v>
      </c>
      <c r="I394" s="152" t="s">
        <v>2705</v>
      </c>
      <c r="J394" s="152" t="s">
        <v>2398</v>
      </c>
      <c r="K394" s="152" t="s">
        <v>2705</v>
      </c>
      <c r="L394" s="152" t="s">
        <v>1435</v>
      </c>
      <c r="M394" s="152" t="s">
        <v>2705</v>
      </c>
      <c r="N394" s="152" t="s">
        <v>2705</v>
      </c>
      <c r="O394" s="152" t="s">
        <v>2705</v>
      </c>
      <c r="P394" s="152" t="s">
        <v>2705</v>
      </c>
      <c r="Q394" s="152" t="s">
        <v>2705</v>
      </c>
      <c r="R394" s="152" t="s">
        <v>2705</v>
      </c>
      <c r="S394" s="152" t="s">
        <v>2705</v>
      </c>
      <c r="T394" s="152" t="s">
        <v>2705</v>
      </c>
      <c r="U394" s="152" t="s">
        <v>2705</v>
      </c>
      <c r="V394" s="142" t="str" cm="1">
        <f t="array" ref="V394">IF(A394&lt;&gt;"",SUM(--(B394:U395 = "X")*$U$3,--(B394:U395 ="A")*$Q$3,--(B394:U395 ="B")*$R$3,--(B394:U395 ="C")*$S$3),"")</f>
        <v/>
      </c>
      <c r="X394" s="437" t="s">
        <v>7702</v>
      </c>
      <c r="Y394" s="437">
        <v>18.5</v>
      </c>
      <c r="Z394" s="436">
        <f>_xlfn.XLOOKUP(answers[[#This Row],[StudentID]],$A$7:$A$1418,$V$7:$V$1418)</f>
        <v>18.5</v>
      </c>
      <c r="AG394" s="142" t="s">
        <v>2398</v>
      </c>
      <c r="AH394" s="142" t="s">
        <v>2675</v>
      </c>
      <c r="AI394" s="142" t="s">
        <v>2705</v>
      </c>
      <c r="AJ394" s="142" t="s">
        <v>2705</v>
      </c>
      <c r="AK394" s="142" t="s">
        <v>2705</v>
      </c>
      <c r="AL394" s="142" t="s">
        <v>1435</v>
      </c>
      <c r="AM394" s="142" t="s">
        <v>2705</v>
      </c>
      <c r="AN394" s="142" t="s">
        <v>2705</v>
      </c>
      <c r="AO394" s="142" t="s">
        <v>2398</v>
      </c>
      <c r="AP394" s="142" t="s">
        <v>2705</v>
      </c>
      <c r="AQ394" s="142" t="s">
        <v>1435</v>
      </c>
      <c r="AR394" s="142" t="s">
        <v>2705</v>
      </c>
      <c r="AS394" s="142" t="s">
        <v>2705</v>
      </c>
      <c r="AT394" s="142" t="s">
        <v>2705</v>
      </c>
      <c r="AU394" s="142" t="s">
        <v>2705</v>
      </c>
      <c r="AV394" s="142" t="s">
        <v>2705</v>
      </c>
      <c r="AW394" s="142" t="s">
        <v>2705</v>
      </c>
      <c r="AX394" s="142" t="s">
        <v>2705</v>
      </c>
      <c r="AY394" s="142" t="s">
        <v>2705</v>
      </c>
      <c r="AZ394" s="142" t="s">
        <v>2705</v>
      </c>
    </row>
    <row r="395" spans="1:52" s="142" customFormat="1" ht="12.75" x14ac:dyDescent="0.2">
      <c r="A395" s="151" t="s">
        <v>7514</v>
      </c>
      <c r="B395" s="152" t="s">
        <v>2705</v>
      </c>
      <c r="C395" s="152" t="s">
        <v>2705</v>
      </c>
      <c r="D395" s="152" t="s">
        <v>2398</v>
      </c>
      <c r="E395" s="152" t="s">
        <v>2397</v>
      </c>
      <c r="F395" s="152" t="s">
        <v>2705</v>
      </c>
      <c r="G395" s="152" t="s">
        <v>2705</v>
      </c>
      <c r="H395" s="152" t="s">
        <v>2705</v>
      </c>
      <c r="I395" s="152" t="s">
        <v>2398</v>
      </c>
      <c r="J395" s="152" t="s">
        <v>2705</v>
      </c>
      <c r="K395" s="152" t="s">
        <v>2705</v>
      </c>
      <c r="L395" s="152" t="s">
        <v>2705</v>
      </c>
      <c r="M395" s="152" t="s">
        <v>1435</v>
      </c>
      <c r="N395" s="152" t="s">
        <v>2705</v>
      </c>
      <c r="O395" s="152" t="s">
        <v>2705</v>
      </c>
      <c r="P395" s="152" t="s">
        <v>2705</v>
      </c>
      <c r="Q395" s="152" t="s">
        <v>2675</v>
      </c>
      <c r="R395" s="152" t="s">
        <v>2398</v>
      </c>
      <c r="S395" s="152" t="s">
        <v>2705</v>
      </c>
      <c r="T395" s="152" t="s">
        <v>2675</v>
      </c>
      <c r="U395" s="152" t="s">
        <v>2398</v>
      </c>
      <c r="V395" s="142" cm="1">
        <f t="array" ref="V395">IF(A395&lt;&gt;"",SUM(--(B395:U396 = "X")*$U$3,--(B395:U396 ="A")*$Q$3,--(B395:U396 ="B")*$R$3,--(B395:U396 ="C")*$S$3),"")</f>
        <v>21</v>
      </c>
      <c r="X395" s="437" t="s">
        <v>7703</v>
      </c>
      <c r="Y395" s="437">
        <v>23.5</v>
      </c>
      <c r="Z395" s="436">
        <f>_xlfn.XLOOKUP(answers[[#This Row],[StudentID]],$A$7:$A$1418,$V$7:$V$1418)</f>
        <v>23.5</v>
      </c>
      <c r="AF395" s="142" t="s">
        <v>7514</v>
      </c>
      <c r="AG395" s="142" t="s">
        <v>2705</v>
      </c>
      <c r="AH395" s="142" t="s">
        <v>2705</v>
      </c>
      <c r="AI395" s="142" t="s">
        <v>2398</v>
      </c>
      <c r="AJ395" s="142" t="s">
        <v>2397</v>
      </c>
      <c r="AK395" s="142" t="s">
        <v>2705</v>
      </c>
      <c r="AL395" s="142" t="s">
        <v>2705</v>
      </c>
      <c r="AM395" s="142" t="s">
        <v>2705</v>
      </c>
      <c r="AN395" s="142" t="s">
        <v>2398</v>
      </c>
      <c r="AO395" s="142" t="s">
        <v>2705</v>
      </c>
      <c r="AP395" s="142" t="s">
        <v>2705</v>
      </c>
      <c r="AQ395" s="142" t="s">
        <v>2705</v>
      </c>
      <c r="AR395" s="142" t="s">
        <v>1435</v>
      </c>
      <c r="AS395" s="142" t="s">
        <v>2705</v>
      </c>
      <c r="AT395" s="142" t="s">
        <v>2705</v>
      </c>
      <c r="AU395" s="142" t="s">
        <v>2705</v>
      </c>
      <c r="AV395" s="142" t="s">
        <v>2675</v>
      </c>
      <c r="AW395" s="142" t="s">
        <v>2398</v>
      </c>
      <c r="AX395" s="142" t="s">
        <v>2705</v>
      </c>
      <c r="AY395" s="142" t="s">
        <v>2675</v>
      </c>
      <c r="AZ395" s="142" t="s">
        <v>2398</v>
      </c>
    </row>
    <row r="396" spans="1:52" s="142" customFormat="1" ht="12.75" x14ac:dyDescent="0.2">
      <c r="A396" s="151"/>
      <c r="B396" s="152" t="s">
        <v>2705</v>
      </c>
      <c r="C396" s="152" t="s">
        <v>2705</v>
      </c>
      <c r="D396" s="152" t="s">
        <v>2397</v>
      </c>
      <c r="E396" s="152" t="s">
        <v>2705</v>
      </c>
      <c r="F396" s="152" t="s">
        <v>2705</v>
      </c>
      <c r="G396" s="152" t="s">
        <v>1435</v>
      </c>
      <c r="H396" s="152" t="s">
        <v>2398</v>
      </c>
      <c r="I396" s="152" t="s">
        <v>2705</v>
      </c>
      <c r="J396" s="152" t="s">
        <v>2705</v>
      </c>
      <c r="K396" s="152" t="s">
        <v>2705</v>
      </c>
      <c r="L396" s="152" t="s">
        <v>2398</v>
      </c>
      <c r="M396" s="152" t="s">
        <v>1435</v>
      </c>
      <c r="N396" s="152" t="s">
        <v>2398</v>
      </c>
      <c r="O396" s="152" t="s">
        <v>2705</v>
      </c>
      <c r="P396" s="152" t="s">
        <v>2398</v>
      </c>
      <c r="Q396" s="152" t="s">
        <v>2705</v>
      </c>
      <c r="R396" s="152" t="s">
        <v>1435</v>
      </c>
      <c r="S396" s="152" t="s">
        <v>2705</v>
      </c>
      <c r="T396" s="152" t="s">
        <v>2705</v>
      </c>
      <c r="U396" s="152" t="s">
        <v>2705</v>
      </c>
      <c r="V396" s="142" t="str" cm="1">
        <f t="array" ref="V396">IF(A396&lt;&gt;"",SUM(--(B396:U397 = "X")*$U$3,--(B396:U397 ="A")*$Q$3,--(B396:U397 ="B")*$R$3,--(B396:U397 ="C")*$S$3),"")</f>
        <v/>
      </c>
      <c r="X396" s="437" t="s">
        <v>7704</v>
      </c>
      <c r="Y396" s="437">
        <v>6</v>
      </c>
      <c r="Z396" s="436">
        <f>_xlfn.XLOOKUP(answers[[#This Row],[StudentID]],$A$7:$A$1418,$V$7:$V$1418)</f>
        <v>6</v>
      </c>
      <c r="AG396" s="142" t="s">
        <v>2705</v>
      </c>
      <c r="AH396" s="142" t="s">
        <v>2705</v>
      </c>
      <c r="AI396" s="142" t="s">
        <v>2397</v>
      </c>
      <c r="AJ396" s="142" t="s">
        <v>2705</v>
      </c>
      <c r="AK396" s="142" t="s">
        <v>2705</v>
      </c>
      <c r="AL396" s="142" t="s">
        <v>1435</v>
      </c>
      <c r="AM396" s="142" t="s">
        <v>2398</v>
      </c>
      <c r="AN396" s="142" t="s">
        <v>2705</v>
      </c>
      <c r="AO396" s="142" t="s">
        <v>2705</v>
      </c>
      <c r="AP396" s="142" t="s">
        <v>2705</v>
      </c>
      <c r="AQ396" s="142" t="s">
        <v>2398</v>
      </c>
      <c r="AR396" s="142" t="s">
        <v>1435</v>
      </c>
      <c r="AS396" s="142" t="s">
        <v>2398</v>
      </c>
      <c r="AT396" s="142" t="s">
        <v>2705</v>
      </c>
      <c r="AU396" s="142" t="s">
        <v>2398</v>
      </c>
      <c r="AV396" s="142" t="s">
        <v>2705</v>
      </c>
      <c r="AW396" s="142" t="s">
        <v>1435</v>
      </c>
      <c r="AX396" s="142" t="s">
        <v>2705</v>
      </c>
      <c r="AY396" s="142" t="s">
        <v>2705</v>
      </c>
      <c r="AZ396" s="142" t="s">
        <v>2705</v>
      </c>
    </row>
    <row r="397" spans="1:52" s="142" customFormat="1" ht="12.75" x14ac:dyDescent="0.2">
      <c r="A397" s="151" t="s">
        <v>7515</v>
      </c>
      <c r="B397" s="152" t="s">
        <v>2705</v>
      </c>
      <c r="C397" s="152" t="s">
        <v>1435</v>
      </c>
      <c r="D397" s="152" t="s">
        <v>2705</v>
      </c>
      <c r="E397" s="152" t="s">
        <v>2705</v>
      </c>
      <c r="F397" s="152" t="s">
        <v>2705</v>
      </c>
      <c r="G397" s="152" t="s">
        <v>2705</v>
      </c>
      <c r="H397" s="152" t="s">
        <v>2705</v>
      </c>
      <c r="I397" s="152" t="s">
        <v>2705</v>
      </c>
      <c r="J397" s="152" t="s">
        <v>2705</v>
      </c>
      <c r="K397" s="152" t="s">
        <v>1435</v>
      </c>
      <c r="L397" s="152" t="s">
        <v>2705</v>
      </c>
      <c r="M397" s="152" t="s">
        <v>2398</v>
      </c>
      <c r="N397" s="152" t="s">
        <v>2675</v>
      </c>
      <c r="O397" s="152" t="s">
        <v>2398</v>
      </c>
      <c r="P397" s="152" t="s">
        <v>2705</v>
      </c>
      <c r="Q397" s="152" t="s">
        <v>2398</v>
      </c>
      <c r="R397" s="152" t="s">
        <v>2675</v>
      </c>
      <c r="S397" s="152" t="s">
        <v>2705</v>
      </c>
      <c r="T397" s="152" t="s">
        <v>2705</v>
      </c>
      <c r="U397" s="152" t="s">
        <v>2705</v>
      </c>
      <c r="V397" s="142" cm="1">
        <f t="array" ref="V397">IF(A397&lt;&gt;"",SUM(--(B397:U398 = "X")*$U$3,--(B397:U398 ="A")*$Q$3,--(B397:U398 ="B")*$R$3,--(B397:U398 ="C")*$S$3),"")</f>
        <v>24.5</v>
      </c>
      <c r="X397" s="437" t="s">
        <v>7705</v>
      </c>
      <c r="Y397" s="437">
        <v>22</v>
      </c>
      <c r="Z397" s="436">
        <f>_xlfn.XLOOKUP(answers[[#This Row],[StudentID]],$A$7:$A$1418,$V$7:$V$1418)</f>
        <v>22</v>
      </c>
      <c r="AF397" s="142" t="s">
        <v>7515</v>
      </c>
      <c r="AG397" s="142" t="s">
        <v>2705</v>
      </c>
      <c r="AH397" s="142" t="s">
        <v>1435</v>
      </c>
      <c r="AI397" s="142" t="s">
        <v>2705</v>
      </c>
      <c r="AJ397" s="142" t="s">
        <v>2705</v>
      </c>
      <c r="AK397" s="142" t="s">
        <v>2705</v>
      </c>
      <c r="AL397" s="142" t="s">
        <v>2705</v>
      </c>
      <c r="AM397" s="142" t="s">
        <v>2705</v>
      </c>
      <c r="AN397" s="142" t="s">
        <v>2705</v>
      </c>
      <c r="AO397" s="142" t="s">
        <v>2705</v>
      </c>
      <c r="AP397" s="142" t="s">
        <v>1435</v>
      </c>
      <c r="AQ397" s="142" t="s">
        <v>2705</v>
      </c>
      <c r="AR397" s="142" t="s">
        <v>2398</v>
      </c>
      <c r="AS397" s="142" t="s">
        <v>2675</v>
      </c>
      <c r="AT397" s="142" t="s">
        <v>2398</v>
      </c>
      <c r="AU397" s="142" t="s">
        <v>2705</v>
      </c>
      <c r="AV397" s="142" t="s">
        <v>2398</v>
      </c>
      <c r="AW397" s="142" t="s">
        <v>2675</v>
      </c>
      <c r="AX397" s="142" t="s">
        <v>2705</v>
      </c>
      <c r="AY397" s="142" t="s">
        <v>2705</v>
      </c>
      <c r="AZ397" s="142" t="s">
        <v>2705</v>
      </c>
    </row>
    <row r="398" spans="1:52" s="142" customFormat="1" ht="12.75" x14ac:dyDescent="0.2">
      <c r="A398" s="151"/>
      <c r="B398" s="152" t="s">
        <v>2398</v>
      </c>
      <c r="C398" s="152" t="s">
        <v>2705</v>
      </c>
      <c r="D398" s="152" t="s">
        <v>2705</v>
      </c>
      <c r="E398" s="152" t="s">
        <v>2705</v>
      </c>
      <c r="F398" s="152" t="s">
        <v>2705</v>
      </c>
      <c r="G398" s="152" t="s">
        <v>2398</v>
      </c>
      <c r="H398" s="152" t="s">
        <v>2675</v>
      </c>
      <c r="I398" s="152" t="s">
        <v>2705</v>
      </c>
      <c r="J398" s="152" t="s">
        <v>2705</v>
      </c>
      <c r="K398" s="152" t="s">
        <v>2398</v>
      </c>
      <c r="L398" s="152" t="s">
        <v>2398</v>
      </c>
      <c r="M398" s="152" t="s">
        <v>2705</v>
      </c>
      <c r="N398" s="152" t="s">
        <v>2398</v>
      </c>
      <c r="O398" s="152" t="s">
        <v>2705</v>
      </c>
      <c r="P398" s="152" t="s">
        <v>2705</v>
      </c>
      <c r="Q398" s="152" t="s">
        <v>2705</v>
      </c>
      <c r="R398" s="152" t="s">
        <v>2705</v>
      </c>
      <c r="S398" s="152" t="s">
        <v>2705</v>
      </c>
      <c r="T398" s="152" t="s">
        <v>2705</v>
      </c>
      <c r="U398" s="152" t="s">
        <v>2705</v>
      </c>
      <c r="V398" s="142" t="str" cm="1">
        <f t="array" ref="V398">IF(A398&lt;&gt;"",SUM(--(B398:U399 = "X")*$U$3,--(B398:U399 ="A")*$Q$3,--(B398:U399 ="B")*$R$3,--(B398:U399 ="C")*$S$3),"")</f>
        <v/>
      </c>
      <c r="X398" s="437" t="s">
        <v>7706</v>
      </c>
      <c r="Y398" s="437">
        <v>17.5</v>
      </c>
      <c r="Z398" s="436">
        <f>_xlfn.XLOOKUP(answers[[#This Row],[StudentID]],$A$7:$A$1418,$V$7:$V$1418)</f>
        <v>17.5</v>
      </c>
      <c r="AG398" s="142" t="s">
        <v>2398</v>
      </c>
      <c r="AH398" s="142" t="s">
        <v>2705</v>
      </c>
      <c r="AI398" s="142" t="s">
        <v>2705</v>
      </c>
      <c r="AJ398" s="142" t="s">
        <v>2705</v>
      </c>
      <c r="AK398" s="142" t="s">
        <v>2705</v>
      </c>
      <c r="AL398" s="142" t="s">
        <v>2398</v>
      </c>
      <c r="AM398" s="142" t="s">
        <v>2675</v>
      </c>
      <c r="AN398" s="142" t="s">
        <v>2705</v>
      </c>
      <c r="AO398" s="142" t="s">
        <v>2705</v>
      </c>
      <c r="AP398" s="142" t="s">
        <v>2398</v>
      </c>
      <c r="AQ398" s="142" t="s">
        <v>2398</v>
      </c>
      <c r="AR398" s="142" t="s">
        <v>2705</v>
      </c>
      <c r="AS398" s="142" t="s">
        <v>2398</v>
      </c>
      <c r="AT398" s="142" t="s">
        <v>2705</v>
      </c>
      <c r="AU398" s="142" t="s">
        <v>2705</v>
      </c>
      <c r="AV398" s="142" t="s">
        <v>2705</v>
      </c>
      <c r="AW398" s="142" t="s">
        <v>2705</v>
      </c>
      <c r="AX398" s="142" t="s">
        <v>2705</v>
      </c>
      <c r="AY398" s="142" t="s">
        <v>2705</v>
      </c>
      <c r="AZ398" s="142" t="s">
        <v>2705</v>
      </c>
    </row>
    <row r="399" spans="1:52" s="142" customFormat="1" ht="12.75" x14ac:dyDescent="0.2">
      <c r="A399" s="151" t="s">
        <v>7516</v>
      </c>
      <c r="B399" s="152" t="s">
        <v>2398</v>
      </c>
      <c r="C399" s="152" t="s">
        <v>2397</v>
      </c>
      <c r="D399" s="152" t="s">
        <v>2705</v>
      </c>
      <c r="E399" s="152" t="s">
        <v>1435</v>
      </c>
      <c r="F399" s="152" t="s">
        <v>2398</v>
      </c>
      <c r="G399" s="152" t="s">
        <v>1435</v>
      </c>
      <c r="H399" s="152" t="s">
        <v>2705</v>
      </c>
      <c r="I399" s="152" t="s">
        <v>2398</v>
      </c>
      <c r="J399" s="152" t="s">
        <v>2398</v>
      </c>
      <c r="K399" s="152" t="s">
        <v>2398</v>
      </c>
      <c r="L399" s="152" t="s">
        <v>2705</v>
      </c>
      <c r="M399" s="152" t="s">
        <v>1435</v>
      </c>
      <c r="N399" s="152" t="s">
        <v>2705</v>
      </c>
      <c r="O399" s="152" t="s">
        <v>2705</v>
      </c>
      <c r="P399" s="152" t="s">
        <v>2397</v>
      </c>
      <c r="Q399" s="152" t="s">
        <v>1435</v>
      </c>
      <c r="R399" s="152" t="s">
        <v>2675</v>
      </c>
      <c r="S399" s="152" t="s">
        <v>2675</v>
      </c>
      <c r="T399" s="152" t="s">
        <v>2397</v>
      </c>
      <c r="U399" s="152" t="s">
        <v>2398</v>
      </c>
      <c r="V399" s="142" cm="1">
        <f t="array" ref="V399">IF(A399&lt;&gt;"",SUM(--(B399:U400 = "X")*$U$3,--(B399:U400 ="A")*$Q$3,--(B399:U400 ="B")*$R$3,--(B399:U400 ="C")*$S$3),"")</f>
        <v>11</v>
      </c>
      <c r="X399" s="437" t="s">
        <v>7707</v>
      </c>
      <c r="Y399" s="437">
        <v>14</v>
      </c>
      <c r="Z399" s="436">
        <f>_xlfn.XLOOKUP(answers[[#This Row],[StudentID]],$A$7:$A$1418,$V$7:$V$1418)</f>
        <v>14</v>
      </c>
      <c r="AF399" s="142" t="s">
        <v>7516</v>
      </c>
      <c r="AG399" s="142" t="s">
        <v>2398</v>
      </c>
      <c r="AH399" s="142" t="s">
        <v>2397</v>
      </c>
      <c r="AI399" s="142" t="s">
        <v>2705</v>
      </c>
      <c r="AJ399" s="142" t="s">
        <v>1435</v>
      </c>
      <c r="AK399" s="142" t="s">
        <v>2398</v>
      </c>
      <c r="AL399" s="142" t="s">
        <v>1435</v>
      </c>
      <c r="AM399" s="142" t="s">
        <v>2705</v>
      </c>
      <c r="AN399" s="142" t="s">
        <v>2398</v>
      </c>
      <c r="AO399" s="142" t="s">
        <v>2398</v>
      </c>
      <c r="AP399" s="142" t="s">
        <v>2398</v>
      </c>
      <c r="AQ399" s="142" t="s">
        <v>2705</v>
      </c>
      <c r="AR399" s="142" t="s">
        <v>1435</v>
      </c>
      <c r="AS399" s="142" t="s">
        <v>2705</v>
      </c>
      <c r="AT399" s="142" t="s">
        <v>2705</v>
      </c>
      <c r="AU399" s="142" t="s">
        <v>2397</v>
      </c>
      <c r="AV399" s="142" t="s">
        <v>1435</v>
      </c>
      <c r="AW399" s="142" t="s">
        <v>2675</v>
      </c>
      <c r="AX399" s="142" t="s">
        <v>2675</v>
      </c>
      <c r="AY399" s="142" t="s">
        <v>2397</v>
      </c>
      <c r="AZ399" s="142" t="s">
        <v>2398</v>
      </c>
    </row>
    <row r="400" spans="1:52" s="142" customFormat="1" ht="12.75" x14ac:dyDescent="0.2">
      <c r="A400" s="151"/>
      <c r="B400" s="152" t="s">
        <v>2398</v>
      </c>
      <c r="C400" s="152" t="s">
        <v>2398</v>
      </c>
      <c r="D400" s="152" t="s">
        <v>2705</v>
      </c>
      <c r="E400" s="152" t="s">
        <v>2705</v>
      </c>
      <c r="F400" s="152" t="s">
        <v>2398</v>
      </c>
      <c r="G400" s="152" t="s">
        <v>2705</v>
      </c>
      <c r="H400" s="152" t="s">
        <v>2398</v>
      </c>
      <c r="I400" s="152" t="s">
        <v>2675</v>
      </c>
      <c r="J400" s="152" t="s">
        <v>2705</v>
      </c>
      <c r="K400" s="152" t="s">
        <v>2398</v>
      </c>
      <c r="L400" s="152" t="s">
        <v>2705</v>
      </c>
      <c r="M400" s="152" t="s">
        <v>2398</v>
      </c>
      <c r="N400" s="152" t="s">
        <v>2397</v>
      </c>
      <c r="O400" s="152" t="s">
        <v>2675</v>
      </c>
      <c r="P400" s="152" t="s">
        <v>2398</v>
      </c>
      <c r="Q400" s="152" t="s">
        <v>2705</v>
      </c>
      <c r="R400" s="152" t="s">
        <v>2705</v>
      </c>
      <c r="S400" s="152" t="s">
        <v>2705</v>
      </c>
      <c r="T400" s="152" t="s">
        <v>2705</v>
      </c>
      <c r="U400" s="152" t="s">
        <v>2705</v>
      </c>
      <c r="V400" s="142" t="str" cm="1">
        <f t="array" ref="V400">IF(A400&lt;&gt;"",SUM(--(B400:U401 = "X")*$U$3,--(B400:U401 ="A")*$Q$3,--(B400:U401 ="B")*$R$3,--(B400:U401 ="C")*$S$3),"")</f>
        <v/>
      </c>
      <c r="X400" s="437" t="s">
        <v>7708</v>
      </c>
      <c r="Y400" s="437">
        <v>12</v>
      </c>
      <c r="Z400" s="436">
        <f>_xlfn.XLOOKUP(answers[[#This Row],[StudentID]],$A$7:$A$1418,$V$7:$V$1418)</f>
        <v>12</v>
      </c>
      <c r="AG400" s="142" t="s">
        <v>2398</v>
      </c>
      <c r="AH400" s="142" t="s">
        <v>2398</v>
      </c>
      <c r="AI400" s="142" t="s">
        <v>2705</v>
      </c>
      <c r="AJ400" s="142" t="s">
        <v>2705</v>
      </c>
      <c r="AK400" s="142" t="s">
        <v>2398</v>
      </c>
      <c r="AL400" s="142" t="s">
        <v>2705</v>
      </c>
      <c r="AM400" s="142" t="s">
        <v>2398</v>
      </c>
      <c r="AN400" s="142" t="s">
        <v>2675</v>
      </c>
      <c r="AO400" s="142" t="s">
        <v>2705</v>
      </c>
      <c r="AP400" s="142" t="s">
        <v>2398</v>
      </c>
      <c r="AQ400" s="142" t="s">
        <v>2705</v>
      </c>
      <c r="AR400" s="142" t="s">
        <v>2398</v>
      </c>
      <c r="AS400" s="142" t="s">
        <v>2397</v>
      </c>
      <c r="AT400" s="142" t="s">
        <v>2675</v>
      </c>
      <c r="AU400" s="142" t="s">
        <v>2398</v>
      </c>
      <c r="AV400" s="142" t="s">
        <v>2705</v>
      </c>
      <c r="AW400" s="142" t="s">
        <v>2705</v>
      </c>
      <c r="AX400" s="142" t="s">
        <v>2705</v>
      </c>
      <c r="AY400" s="142" t="s">
        <v>2705</v>
      </c>
      <c r="AZ400" s="142" t="s">
        <v>2705</v>
      </c>
    </row>
    <row r="401" spans="1:52" s="142" customFormat="1" ht="12.75" x14ac:dyDescent="0.2">
      <c r="A401" s="151" t="s">
        <v>7517</v>
      </c>
      <c r="B401" s="152" t="s">
        <v>2705</v>
      </c>
      <c r="C401" s="152" t="s">
        <v>2398</v>
      </c>
      <c r="D401" s="152" t="s">
        <v>2705</v>
      </c>
      <c r="E401" s="152" t="s">
        <v>1435</v>
      </c>
      <c r="F401" s="152" t="s">
        <v>2705</v>
      </c>
      <c r="G401" s="152" t="s">
        <v>2705</v>
      </c>
      <c r="H401" s="152" t="s">
        <v>2705</v>
      </c>
      <c r="I401" s="152" t="s">
        <v>2398</v>
      </c>
      <c r="J401" s="152" t="s">
        <v>2675</v>
      </c>
      <c r="K401" s="152" t="s">
        <v>1435</v>
      </c>
      <c r="L401" s="152" t="s">
        <v>2705</v>
      </c>
      <c r="M401" s="152" t="s">
        <v>1435</v>
      </c>
      <c r="N401" s="152" t="s">
        <v>2675</v>
      </c>
      <c r="O401" s="152" t="s">
        <v>2398</v>
      </c>
      <c r="P401" s="152" t="s">
        <v>2398</v>
      </c>
      <c r="Q401" s="152" t="s">
        <v>2398</v>
      </c>
      <c r="R401" s="152" t="s">
        <v>2398</v>
      </c>
      <c r="S401" s="152" t="s">
        <v>2705</v>
      </c>
      <c r="T401" s="152" t="s">
        <v>2705</v>
      </c>
      <c r="U401" s="152" t="s">
        <v>2705</v>
      </c>
      <c r="V401" s="142" cm="1">
        <f t="array" ref="V401">IF(A401&lt;&gt;"",SUM(--(B401:U402 = "X")*$U$3,--(B401:U402 ="A")*$Q$3,--(B401:U402 ="B")*$R$3,--(B401:U402 ="C")*$S$3),"")</f>
        <v>13.5</v>
      </c>
      <c r="X401" s="437" t="s">
        <v>7709</v>
      </c>
      <c r="Y401" s="437">
        <v>11</v>
      </c>
      <c r="Z401" s="436">
        <f>_xlfn.XLOOKUP(answers[[#This Row],[StudentID]],$A$7:$A$1418,$V$7:$V$1418)</f>
        <v>11</v>
      </c>
      <c r="AF401" s="142" t="s">
        <v>7517</v>
      </c>
      <c r="AG401" s="142" t="s">
        <v>2705</v>
      </c>
      <c r="AH401" s="142" t="s">
        <v>2398</v>
      </c>
      <c r="AI401" s="142" t="s">
        <v>2705</v>
      </c>
      <c r="AJ401" s="142" t="s">
        <v>1435</v>
      </c>
      <c r="AK401" s="142" t="s">
        <v>2705</v>
      </c>
      <c r="AL401" s="142" t="s">
        <v>2705</v>
      </c>
      <c r="AM401" s="142" t="s">
        <v>2705</v>
      </c>
      <c r="AN401" s="142" t="s">
        <v>2398</v>
      </c>
      <c r="AO401" s="142" t="s">
        <v>2675</v>
      </c>
      <c r="AP401" s="142" t="s">
        <v>1435</v>
      </c>
      <c r="AQ401" s="142" t="s">
        <v>2705</v>
      </c>
      <c r="AR401" s="142" t="s">
        <v>1435</v>
      </c>
      <c r="AS401" s="142" t="s">
        <v>2675</v>
      </c>
      <c r="AT401" s="142" t="s">
        <v>2398</v>
      </c>
      <c r="AU401" s="142" t="s">
        <v>2398</v>
      </c>
      <c r="AV401" s="142" t="s">
        <v>2398</v>
      </c>
      <c r="AW401" s="142" t="s">
        <v>2398</v>
      </c>
      <c r="AX401" s="142" t="s">
        <v>2705</v>
      </c>
      <c r="AY401" s="142" t="s">
        <v>2705</v>
      </c>
      <c r="AZ401" s="142" t="s">
        <v>2705</v>
      </c>
    </row>
    <row r="402" spans="1:52" s="142" customFormat="1" ht="12.75" x14ac:dyDescent="0.2">
      <c r="A402" s="151"/>
      <c r="B402" s="152" t="s">
        <v>2397</v>
      </c>
      <c r="C402" s="152" t="s">
        <v>2397</v>
      </c>
      <c r="D402" s="152" t="s">
        <v>2705</v>
      </c>
      <c r="E402" s="152" t="s">
        <v>2705</v>
      </c>
      <c r="F402" s="152" t="s">
        <v>2705</v>
      </c>
      <c r="G402" s="152" t="s">
        <v>2398</v>
      </c>
      <c r="H402" s="152" t="s">
        <v>2675</v>
      </c>
      <c r="I402" s="152" t="s">
        <v>2705</v>
      </c>
      <c r="J402" s="152" t="s">
        <v>2705</v>
      </c>
      <c r="K402" s="152" t="s">
        <v>2398</v>
      </c>
      <c r="L402" s="152" t="s">
        <v>2398</v>
      </c>
      <c r="M402" s="152" t="s">
        <v>2398</v>
      </c>
      <c r="N402" s="152" t="s">
        <v>1435</v>
      </c>
      <c r="O402" s="152" t="s">
        <v>2705</v>
      </c>
      <c r="P402" s="152" t="s">
        <v>2398</v>
      </c>
      <c r="Q402" s="152" t="s">
        <v>2398</v>
      </c>
      <c r="R402" s="152" t="s">
        <v>2398</v>
      </c>
      <c r="S402" s="152" t="s">
        <v>2705</v>
      </c>
      <c r="T402" s="152" t="s">
        <v>2398</v>
      </c>
      <c r="U402" s="152" t="s">
        <v>2705</v>
      </c>
      <c r="V402" s="142" t="str" cm="1">
        <f t="array" ref="V402">IF(A402&lt;&gt;"",SUM(--(B402:U403 = "X")*$U$3,--(B402:U403 ="A")*$Q$3,--(B402:U403 ="B")*$R$3,--(B402:U403 ="C")*$S$3),"")</f>
        <v/>
      </c>
      <c r="X402" s="437" t="s">
        <v>7710</v>
      </c>
      <c r="Y402" s="437">
        <v>13.5</v>
      </c>
      <c r="Z402" s="436">
        <f>_xlfn.XLOOKUP(answers[[#This Row],[StudentID]],$A$7:$A$1418,$V$7:$V$1418)</f>
        <v>13.5</v>
      </c>
      <c r="AG402" s="142" t="s">
        <v>2397</v>
      </c>
      <c r="AH402" s="142" t="s">
        <v>2397</v>
      </c>
      <c r="AI402" s="142" t="s">
        <v>2705</v>
      </c>
      <c r="AJ402" s="142" t="s">
        <v>2705</v>
      </c>
      <c r="AK402" s="142" t="s">
        <v>2705</v>
      </c>
      <c r="AL402" s="142" t="s">
        <v>2398</v>
      </c>
      <c r="AM402" s="142" t="s">
        <v>2675</v>
      </c>
      <c r="AN402" s="142" t="s">
        <v>2705</v>
      </c>
      <c r="AO402" s="142" t="s">
        <v>2705</v>
      </c>
      <c r="AP402" s="142" t="s">
        <v>2398</v>
      </c>
      <c r="AQ402" s="142" t="s">
        <v>2398</v>
      </c>
      <c r="AR402" s="142" t="s">
        <v>2398</v>
      </c>
      <c r="AS402" s="142" t="s">
        <v>1435</v>
      </c>
      <c r="AT402" s="142" t="s">
        <v>2705</v>
      </c>
      <c r="AU402" s="142" t="s">
        <v>2398</v>
      </c>
      <c r="AV402" s="142" t="s">
        <v>2398</v>
      </c>
      <c r="AW402" s="142" t="s">
        <v>2398</v>
      </c>
      <c r="AX402" s="142" t="s">
        <v>2705</v>
      </c>
      <c r="AY402" s="142" t="s">
        <v>2398</v>
      </c>
      <c r="AZ402" s="142" t="s">
        <v>2705</v>
      </c>
    </row>
    <row r="403" spans="1:52" s="142" customFormat="1" ht="12.75" x14ac:dyDescent="0.2">
      <c r="A403" s="151" t="s">
        <v>7518</v>
      </c>
      <c r="B403" s="152" t="s">
        <v>2398</v>
      </c>
      <c r="C403" s="152" t="s">
        <v>2398</v>
      </c>
      <c r="D403" s="152" t="s">
        <v>2398</v>
      </c>
      <c r="E403" s="152" t="s">
        <v>2705</v>
      </c>
      <c r="F403" s="152" t="s">
        <v>2398</v>
      </c>
      <c r="G403" s="152" t="s">
        <v>2705</v>
      </c>
      <c r="H403" s="152" t="s">
        <v>2398</v>
      </c>
      <c r="I403" s="152" t="s">
        <v>2398</v>
      </c>
      <c r="J403" s="152" t="s">
        <v>2705</v>
      </c>
      <c r="K403" s="152" t="s">
        <v>2398</v>
      </c>
      <c r="L403" s="152" t="s">
        <v>2675</v>
      </c>
      <c r="M403" s="152" t="s">
        <v>2398</v>
      </c>
      <c r="N403" s="152" t="s">
        <v>2705</v>
      </c>
      <c r="O403" s="152" t="s">
        <v>2705</v>
      </c>
      <c r="P403" s="152" t="s">
        <v>2398</v>
      </c>
      <c r="Q403" s="152" t="s">
        <v>2705</v>
      </c>
      <c r="R403" s="152" t="s">
        <v>2705</v>
      </c>
      <c r="S403" s="152" t="s">
        <v>2705</v>
      </c>
      <c r="T403" s="152" t="s">
        <v>2398</v>
      </c>
      <c r="U403" s="152" t="s">
        <v>2398</v>
      </c>
      <c r="V403" s="142" cm="1">
        <f t="array" ref="V403">IF(A403&lt;&gt;"",SUM(--(B403:U404 = "X")*$U$3,--(B403:U404 ="A")*$Q$3,--(B403:U404 ="B")*$R$3,--(B403:U404 ="C")*$S$3),"")</f>
        <v>15</v>
      </c>
      <c r="X403" s="437" t="s">
        <v>7711</v>
      </c>
      <c r="Y403" s="437">
        <v>17</v>
      </c>
      <c r="Z403" s="436">
        <f>_xlfn.XLOOKUP(answers[[#This Row],[StudentID]],$A$7:$A$1418,$V$7:$V$1418)</f>
        <v>17</v>
      </c>
      <c r="AF403" s="142" t="s">
        <v>7518</v>
      </c>
      <c r="AG403" s="142" t="s">
        <v>2398</v>
      </c>
      <c r="AH403" s="142" t="s">
        <v>2398</v>
      </c>
      <c r="AI403" s="142" t="s">
        <v>2398</v>
      </c>
      <c r="AJ403" s="142" t="s">
        <v>2705</v>
      </c>
      <c r="AK403" s="142" t="s">
        <v>2398</v>
      </c>
      <c r="AL403" s="142" t="s">
        <v>2705</v>
      </c>
      <c r="AM403" s="142" t="s">
        <v>2398</v>
      </c>
      <c r="AN403" s="142" t="s">
        <v>2398</v>
      </c>
      <c r="AO403" s="142" t="s">
        <v>2705</v>
      </c>
      <c r="AP403" s="142" t="s">
        <v>2398</v>
      </c>
      <c r="AQ403" s="142" t="s">
        <v>2675</v>
      </c>
      <c r="AR403" s="142" t="s">
        <v>2398</v>
      </c>
      <c r="AS403" s="142" t="s">
        <v>2705</v>
      </c>
      <c r="AT403" s="142" t="s">
        <v>2705</v>
      </c>
      <c r="AU403" s="142" t="s">
        <v>2398</v>
      </c>
      <c r="AV403" s="142" t="s">
        <v>2705</v>
      </c>
      <c r="AW403" s="142" t="s">
        <v>2705</v>
      </c>
      <c r="AX403" s="142" t="s">
        <v>2705</v>
      </c>
      <c r="AY403" s="142" t="s">
        <v>2398</v>
      </c>
      <c r="AZ403" s="142" t="s">
        <v>2398</v>
      </c>
    </row>
    <row r="404" spans="1:52" s="142" customFormat="1" ht="12.75" x14ac:dyDescent="0.2">
      <c r="A404" s="151"/>
      <c r="B404" s="152" t="s">
        <v>2398</v>
      </c>
      <c r="C404" s="152" t="s">
        <v>2705</v>
      </c>
      <c r="D404" s="152" t="s">
        <v>1435</v>
      </c>
      <c r="E404" s="152" t="s">
        <v>1435</v>
      </c>
      <c r="F404" s="152" t="s">
        <v>2398</v>
      </c>
      <c r="G404" s="152" t="s">
        <v>2705</v>
      </c>
      <c r="H404" s="152" t="s">
        <v>2705</v>
      </c>
      <c r="I404" s="152" t="s">
        <v>2398</v>
      </c>
      <c r="J404" s="152" t="s">
        <v>2705</v>
      </c>
      <c r="K404" s="152" t="s">
        <v>2397</v>
      </c>
      <c r="L404" s="152" t="s">
        <v>2705</v>
      </c>
      <c r="M404" s="152" t="s">
        <v>2705</v>
      </c>
      <c r="N404" s="152" t="s">
        <v>2675</v>
      </c>
      <c r="O404" s="152" t="s">
        <v>2705</v>
      </c>
      <c r="P404" s="152" t="s">
        <v>2675</v>
      </c>
      <c r="Q404" s="152" t="s">
        <v>2398</v>
      </c>
      <c r="R404" s="152" t="s">
        <v>1435</v>
      </c>
      <c r="S404" s="152" t="s">
        <v>2705</v>
      </c>
      <c r="T404" s="152" t="s">
        <v>2705</v>
      </c>
      <c r="U404" s="152" t="s">
        <v>2705</v>
      </c>
      <c r="V404" s="142" t="str" cm="1">
        <f t="array" ref="V404">IF(A404&lt;&gt;"",SUM(--(B404:U405 = "X")*$U$3,--(B404:U405 ="A")*$Q$3,--(B404:U405 ="B")*$R$3,--(B404:U405 ="C")*$S$3),"")</f>
        <v/>
      </c>
      <c r="X404" s="437" t="s">
        <v>7712</v>
      </c>
      <c r="Y404" s="437">
        <v>17</v>
      </c>
      <c r="Z404" s="436">
        <f>_xlfn.XLOOKUP(answers[[#This Row],[StudentID]],$A$7:$A$1418,$V$7:$V$1418)</f>
        <v>17</v>
      </c>
      <c r="AG404" s="142" t="s">
        <v>2398</v>
      </c>
      <c r="AH404" s="142" t="s">
        <v>2705</v>
      </c>
      <c r="AI404" s="142" t="s">
        <v>1435</v>
      </c>
      <c r="AJ404" s="142" t="s">
        <v>1435</v>
      </c>
      <c r="AK404" s="142" t="s">
        <v>2398</v>
      </c>
      <c r="AL404" s="142" t="s">
        <v>2705</v>
      </c>
      <c r="AM404" s="142" t="s">
        <v>2705</v>
      </c>
      <c r="AN404" s="142" t="s">
        <v>2398</v>
      </c>
      <c r="AO404" s="142" t="s">
        <v>2705</v>
      </c>
      <c r="AP404" s="142" t="s">
        <v>2397</v>
      </c>
      <c r="AQ404" s="142" t="s">
        <v>2705</v>
      </c>
      <c r="AR404" s="142" t="s">
        <v>2705</v>
      </c>
      <c r="AS404" s="142" t="s">
        <v>2675</v>
      </c>
      <c r="AT404" s="142" t="s">
        <v>2705</v>
      </c>
      <c r="AU404" s="142" t="s">
        <v>2675</v>
      </c>
      <c r="AV404" s="142" t="s">
        <v>2398</v>
      </c>
      <c r="AW404" s="142" t="s">
        <v>1435</v>
      </c>
      <c r="AX404" s="142" t="s">
        <v>2705</v>
      </c>
      <c r="AY404" s="142" t="s">
        <v>2705</v>
      </c>
      <c r="AZ404" s="142" t="s">
        <v>2705</v>
      </c>
    </row>
    <row r="405" spans="1:52" s="142" customFormat="1" ht="12.75" x14ac:dyDescent="0.2">
      <c r="A405" s="151" t="s">
        <v>7519</v>
      </c>
      <c r="B405" s="152" t="s">
        <v>2398</v>
      </c>
      <c r="C405" s="152" t="s">
        <v>2705</v>
      </c>
      <c r="D405" s="152" t="s">
        <v>2705</v>
      </c>
      <c r="E405" s="152" t="s">
        <v>2705</v>
      </c>
      <c r="F405" s="152" t="s">
        <v>2398</v>
      </c>
      <c r="G405" s="152" t="s">
        <v>1435</v>
      </c>
      <c r="H405" s="152" t="s">
        <v>1435</v>
      </c>
      <c r="I405" s="152" t="s">
        <v>2398</v>
      </c>
      <c r="J405" s="152" t="s">
        <v>2675</v>
      </c>
      <c r="K405" s="152" t="s">
        <v>2398</v>
      </c>
      <c r="L405" s="152" t="s">
        <v>1435</v>
      </c>
      <c r="M405" s="152" t="s">
        <v>1435</v>
      </c>
      <c r="N405" s="152" t="s">
        <v>1435</v>
      </c>
      <c r="O405" s="152" t="s">
        <v>2705</v>
      </c>
      <c r="P405" s="152" t="s">
        <v>2705</v>
      </c>
      <c r="Q405" s="152" t="s">
        <v>2675</v>
      </c>
      <c r="R405" s="152" t="s">
        <v>2705</v>
      </c>
      <c r="S405" s="152" t="s">
        <v>2705</v>
      </c>
      <c r="T405" s="152" t="s">
        <v>2398</v>
      </c>
      <c r="U405" s="152" t="s">
        <v>2705</v>
      </c>
      <c r="V405" s="142" cm="1">
        <f t="array" ref="V405">IF(A405&lt;&gt;"",SUM(--(B405:U406 = "X")*$U$3,--(B405:U406 ="A")*$Q$3,--(B405:U406 ="B")*$R$3,--(B405:U406 ="C")*$S$3),"")</f>
        <v>16</v>
      </c>
      <c r="X405" s="437" t="s">
        <v>7713</v>
      </c>
      <c r="Y405" s="437">
        <v>15</v>
      </c>
      <c r="Z405" s="436">
        <f>_xlfn.XLOOKUP(answers[[#This Row],[StudentID]],$A$7:$A$1418,$V$7:$V$1418)</f>
        <v>15</v>
      </c>
      <c r="AF405" s="142" t="s">
        <v>7519</v>
      </c>
      <c r="AG405" s="142" t="s">
        <v>2398</v>
      </c>
      <c r="AH405" s="142" t="s">
        <v>2705</v>
      </c>
      <c r="AI405" s="142" t="s">
        <v>2705</v>
      </c>
      <c r="AJ405" s="142" t="s">
        <v>2705</v>
      </c>
      <c r="AK405" s="142" t="s">
        <v>2398</v>
      </c>
      <c r="AL405" s="142" t="s">
        <v>1435</v>
      </c>
      <c r="AM405" s="142" t="s">
        <v>1435</v>
      </c>
      <c r="AN405" s="142" t="s">
        <v>2398</v>
      </c>
      <c r="AO405" s="142" t="s">
        <v>2675</v>
      </c>
      <c r="AP405" s="142" t="s">
        <v>2398</v>
      </c>
      <c r="AQ405" s="142" t="s">
        <v>1435</v>
      </c>
      <c r="AR405" s="142" t="s">
        <v>1435</v>
      </c>
      <c r="AS405" s="142" t="s">
        <v>1435</v>
      </c>
      <c r="AT405" s="142" t="s">
        <v>2705</v>
      </c>
      <c r="AU405" s="142" t="s">
        <v>2705</v>
      </c>
      <c r="AV405" s="142" t="s">
        <v>2675</v>
      </c>
      <c r="AW405" s="142" t="s">
        <v>2705</v>
      </c>
      <c r="AX405" s="142" t="s">
        <v>2705</v>
      </c>
      <c r="AY405" s="142" t="s">
        <v>2398</v>
      </c>
      <c r="AZ405" s="142" t="s">
        <v>2705</v>
      </c>
    </row>
    <row r="406" spans="1:52" s="142" customFormat="1" ht="12.75" x14ac:dyDescent="0.2">
      <c r="A406" s="151"/>
      <c r="B406" s="152" t="s">
        <v>2705</v>
      </c>
      <c r="C406" s="152" t="s">
        <v>2705</v>
      </c>
      <c r="D406" s="152" t="s">
        <v>1435</v>
      </c>
      <c r="E406" s="152" t="s">
        <v>2705</v>
      </c>
      <c r="F406" s="152" t="s">
        <v>2675</v>
      </c>
      <c r="G406" s="152" t="s">
        <v>2705</v>
      </c>
      <c r="H406" s="152" t="s">
        <v>2705</v>
      </c>
      <c r="I406" s="152" t="s">
        <v>2675</v>
      </c>
      <c r="J406" s="152" t="s">
        <v>2705</v>
      </c>
      <c r="K406" s="152" t="s">
        <v>2397</v>
      </c>
      <c r="L406" s="152" t="s">
        <v>2705</v>
      </c>
      <c r="M406" s="152" t="s">
        <v>2705</v>
      </c>
      <c r="N406" s="152" t="s">
        <v>2705</v>
      </c>
      <c r="O406" s="152" t="s">
        <v>1435</v>
      </c>
      <c r="P406" s="152" t="s">
        <v>2705</v>
      </c>
      <c r="Q406" s="152" t="s">
        <v>2705</v>
      </c>
      <c r="R406" s="152" t="s">
        <v>1435</v>
      </c>
      <c r="S406" s="152" t="s">
        <v>2705</v>
      </c>
      <c r="T406" s="152" t="s">
        <v>2705</v>
      </c>
      <c r="U406" s="152" t="s">
        <v>2705</v>
      </c>
      <c r="V406" s="142" t="str" cm="1">
        <f t="array" ref="V406">IF(A406&lt;&gt;"",SUM(--(B406:U407 = "X")*$U$3,--(B406:U407 ="A")*$Q$3,--(B406:U407 ="B")*$R$3,--(B406:U407 ="C")*$S$3),"")</f>
        <v/>
      </c>
      <c r="X406" s="437" t="s">
        <v>7714</v>
      </c>
      <c r="Y406" s="437">
        <v>14</v>
      </c>
      <c r="Z406" s="436">
        <f>_xlfn.XLOOKUP(answers[[#This Row],[StudentID]],$A$7:$A$1418,$V$7:$V$1418)</f>
        <v>14</v>
      </c>
      <c r="AG406" s="142" t="s">
        <v>2705</v>
      </c>
      <c r="AH406" s="142" t="s">
        <v>2705</v>
      </c>
      <c r="AI406" s="142" t="s">
        <v>1435</v>
      </c>
      <c r="AJ406" s="142" t="s">
        <v>2705</v>
      </c>
      <c r="AK406" s="142" t="s">
        <v>2675</v>
      </c>
      <c r="AL406" s="142" t="s">
        <v>2705</v>
      </c>
      <c r="AM406" s="142" t="s">
        <v>2705</v>
      </c>
      <c r="AN406" s="142" t="s">
        <v>2675</v>
      </c>
      <c r="AO406" s="142" t="s">
        <v>2705</v>
      </c>
      <c r="AP406" s="142" t="s">
        <v>2397</v>
      </c>
      <c r="AQ406" s="142" t="s">
        <v>2705</v>
      </c>
      <c r="AR406" s="142" t="s">
        <v>2705</v>
      </c>
      <c r="AS406" s="142" t="s">
        <v>2705</v>
      </c>
      <c r="AT406" s="142" t="s">
        <v>1435</v>
      </c>
      <c r="AU406" s="142" t="s">
        <v>2705</v>
      </c>
      <c r="AV406" s="142" t="s">
        <v>2705</v>
      </c>
      <c r="AW406" s="142" t="s">
        <v>1435</v>
      </c>
      <c r="AX406" s="142" t="s">
        <v>2705</v>
      </c>
      <c r="AY406" s="142" t="s">
        <v>2705</v>
      </c>
      <c r="AZ406" s="142" t="s">
        <v>2705</v>
      </c>
    </row>
    <row r="407" spans="1:52" s="142" customFormat="1" ht="12.75" x14ac:dyDescent="0.2">
      <c r="A407" s="151" t="s">
        <v>7520</v>
      </c>
      <c r="B407" s="152" t="s">
        <v>2675</v>
      </c>
      <c r="C407" s="152" t="s">
        <v>2705</v>
      </c>
      <c r="D407" s="152" t="s">
        <v>2397</v>
      </c>
      <c r="E407" s="152" t="s">
        <v>1435</v>
      </c>
      <c r="F407" s="152" t="s">
        <v>2705</v>
      </c>
      <c r="G407" s="152" t="s">
        <v>2705</v>
      </c>
      <c r="H407" s="152" t="s">
        <v>2705</v>
      </c>
      <c r="I407" s="152" t="s">
        <v>2675</v>
      </c>
      <c r="J407" s="152" t="s">
        <v>2398</v>
      </c>
      <c r="K407" s="152" t="s">
        <v>2398</v>
      </c>
      <c r="L407" s="152" t="s">
        <v>2705</v>
      </c>
      <c r="M407" s="152" t="s">
        <v>1435</v>
      </c>
      <c r="N407" s="152" t="s">
        <v>2705</v>
      </c>
      <c r="O407" s="152" t="s">
        <v>2705</v>
      </c>
      <c r="P407" s="152" t="s">
        <v>2705</v>
      </c>
      <c r="Q407" s="152" t="s">
        <v>2705</v>
      </c>
      <c r="R407" s="152" t="s">
        <v>2398</v>
      </c>
      <c r="S407" s="152" t="s">
        <v>2705</v>
      </c>
      <c r="T407" s="152" t="s">
        <v>2705</v>
      </c>
      <c r="U407" s="152" t="s">
        <v>2705</v>
      </c>
      <c r="V407" s="142" cm="1">
        <f t="array" ref="V407">IF(A407&lt;&gt;"",SUM(--(B407:U408 = "X")*$U$3,--(B407:U408 ="A")*$Q$3,--(B407:U408 ="B")*$R$3,--(B407:U408 ="C")*$S$3),"")</f>
        <v>23.5</v>
      </c>
      <c r="X407" s="437" t="s">
        <v>7715</v>
      </c>
      <c r="Y407" s="437">
        <v>25.5</v>
      </c>
      <c r="Z407" s="436">
        <f>_xlfn.XLOOKUP(answers[[#This Row],[StudentID]],$A$7:$A$1418,$V$7:$V$1418)</f>
        <v>25.5</v>
      </c>
      <c r="AF407" s="142" t="s">
        <v>7520</v>
      </c>
      <c r="AG407" s="142" t="s">
        <v>2675</v>
      </c>
      <c r="AH407" s="142" t="s">
        <v>2705</v>
      </c>
      <c r="AI407" s="142" t="s">
        <v>2397</v>
      </c>
      <c r="AJ407" s="142" t="s">
        <v>1435</v>
      </c>
      <c r="AK407" s="142" t="s">
        <v>2705</v>
      </c>
      <c r="AL407" s="142" t="s">
        <v>2705</v>
      </c>
      <c r="AM407" s="142" t="s">
        <v>2705</v>
      </c>
      <c r="AN407" s="142" t="s">
        <v>2675</v>
      </c>
      <c r="AO407" s="142" t="s">
        <v>2398</v>
      </c>
      <c r="AP407" s="142" t="s">
        <v>2398</v>
      </c>
      <c r="AQ407" s="142" t="s">
        <v>2705</v>
      </c>
      <c r="AR407" s="142" t="s">
        <v>1435</v>
      </c>
      <c r="AS407" s="142" t="s">
        <v>2705</v>
      </c>
      <c r="AT407" s="142" t="s">
        <v>2705</v>
      </c>
      <c r="AU407" s="142" t="s">
        <v>2705</v>
      </c>
      <c r="AV407" s="142" t="s">
        <v>2705</v>
      </c>
      <c r="AW407" s="142" t="s">
        <v>2398</v>
      </c>
      <c r="AX407" s="142" t="s">
        <v>2705</v>
      </c>
      <c r="AY407" s="142" t="s">
        <v>2705</v>
      </c>
      <c r="AZ407" s="142" t="s">
        <v>2705</v>
      </c>
    </row>
    <row r="408" spans="1:52" s="142" customFormat="1" ht="12.75" x14ac:dyDescent="0.2">
      <c r="A408" s="151"/>
      <c r="B408" s="152" t="s">
        <v>2705</v>
      </c>
      <c r="C408" s="152" t="s">
        <v>2398</v>
      </c>
      <c r="D408" s="152" t="s">
        <v>2705</v>
      </c>
      <c r="E408" s="152" t="s">
        <v>2398</v>
      </c>
      <c r="F408" s="152" t="s">
        <v>2705</v>
      </c>
      <c r="G408" s="152" t="s">
        <v>2705</v>
      </c>
      <c r="H408" s="152" t="s">
        <v>2398</v>
      </c>
      <c r="I408" s="152" t="s">
        <v>2705</v>
      </c>
      <c r="J408" s="152" t="s">
        <v>2398</v>
      </c>
      <c r="K408" s="152" t="s">
        <v>2705</v>
      </c>
      <c r="L408" s="152" t="s">
        <v>2705</v>
      </c>
      <c r="M408" s="152" t="s">
        <v>2398</v>
      </c>
      <c r="N408" s="152" t="s">
        <v>2705</v>
      </c>
      <c r="O408" s="152" t="s">
        <v>2705</v>
      </c>
      <c r="P408" s="152" t="s">
        <v>2675</v>
      </c>
      <c r="Q408" s="152" t="s">
        <v>2705</v>
      </c>
      <c r="R408" s="152" t="s">
        <v>2705</v>
      </c>
      <c r="S408" s="152" t="s">
        <v>2705</v>
      </c>
      <c r="T408" s="152" t="s">
        <v>2705</v>
      </c>
      <c r="U408" s="152" t="s">
        <v>2705</v>
      </c>
      <c r="V408" s="142" t="str" cm="1">
        <f t="array" ref="V408">IF(A408&lt;&gt;"",SUM(--(B408:U409 = "X")*$U$3,--(B408:U409 ="A")*$Q$3,--(B408:U409 ="B")*$R$3,--(B408:U409 ="C")*$S$3),"")</f>
        <v/>
      </c>
      <c r="X408" s="437" t="s">
        <v>7716</v>
      </c>
      <c r="Y408" s="437">
        <v>15</v>
      </c>
      <c r="Z408" s="436">
        <f>_xlfn.XLOOKUP(answers[[#This Row],[StudentID]],$A$7:$A$1418,$V$7:$V$1418)</f>
        <v>15</v>
      </c>
      <c r="AG408" s="142" t="s">
        <v>2705</v>
      </c>
      <c r="AH408" s="142" t="s">
        <v>2398</v>
      </c>
      <c r="AI408" s="142" t="s">
        <v>2705</v>
      </c>
      <c r="AJ408" s="142" t="s">
        <v>2398</v>
      </c>
      <c r="AK408" s="142" t="s">
        <v>2705</v>
      </c>
      <c r="AL408" s="142" t="s">
        <v>2705</v>
      </c>
      <c r="AM408" s="142" t="s">
        <v>2398</v>
      </c>
      <c r="AN408" s="142" t="s">
        <v>2705</v>
      </c>
      <c r="AO408" s="142" t="s">
        <v>2398</v>
      </c>
      <c r="AP408" s="142" t="s">
        <v>2705</v>
      </c>
      <c r="AQ408" s="142" t="s">
        <v>2705</v>
      </c>
      <c r="AR408" s="142" t="s">
        <v>2398</v>
      </c>
      <c r="AS408" s="142" t="s">
        <v>2705</v>
      </c>
      <c r="AT408" s="142" t="s">
        <v>2705</v>
      </c>
      <c r="AU408" s="142" t="s">
        <v>2675</v>
      </c>
      <c r="AV408" s="142" t="s">
        <v>2705</v>
      </c>
      <c r="AW408" s="142" t="s">
        <v>2705</v>
      </c>
      <c r="AX408" s="142" t="s">
        <v>2705</v>
      </c>
      <c r="AY408" s="142" t="s">
        <v>2705</v>
      </c>
      <c r="AZ408" s="142" t="s">
        <v>2705</v>
      </c>
    </row>
    <row r="409" spans="1:52" s="142" customFormat="1" ht="12.75" x14ac:dyDescent="0.2">
      <c r="A409" s="151" t="s">
        <v>7521</v>
      </c>
      <c r="B409" s="152" t="s">
        <v>1435</v>
      </c>
      <c r="C409" s="152" t="s">
        <v>2675</v>
      </c>
      <c r="D409" s="152" t="s">
        <v>2705</v>
      </c>
      <c r="E409" s="152" t="s">
        <v>2705</v>
      </c>
      <c r="F409" s="152" t="s">
        <v>1435</v>
      </c>
      <c r="G409" s="152" t="s">
        <v>2705</v>
      </c>
      <c r="H409" s="152" t="s">
        <v>2675</v>
      </c>
      <c r="I409" s="152" t="s">
        <v>2705</v>
      </c>
      <c r="J409" s="152" t="s">
        <v>2675</v>
      </c>
      <c r="K409" s="152" t="s">
        <v>2398</v>
      </c>
      <c r="L409" s="152" t="s">
        <v>2398</v>
      </c>
      <c r="M409" s="152" t="s">
        <v>2705</v>
      </c>
      <c r="N409" s="152" t="s">
        <v>1435</v>
      </c>
      <c r="O409" s="152" t="s">
        <v>2398</v>
      </c>
      <c r="P409" s="152" t="s">
        <v>2398</v>
      </c>
      <c r="Q409" s="152" t="s">
        <v>2705</v>
      </c>
      <c r="R409" s="152" t="s">
        <v>1435</v>
      </c>
      <c r="S409" s="152" t="s">
        <v>2705</v>
      </c>
      <c r="T409" s="152" t="s">
        <v>2398</v>
      </c>
      <c r="U409" s="152" t="s">
        <v>2675</v>
      </c>
      <c r="V409" s="142" cm="1">
        <f t="array" ref="V409">IF(A409&lt;&gt;"",SUM(--(B409:U410 = "X")*$U$3,--(B409:U410 ="A")*$Q$3,--(B409:U410 ="B")*$R$3,--(B409:U410 ="C")*$S$3),"")</f>
        <v>4</v>
      </c>
      <c r="X409" s="437" t="s">
        <v>7717</v>
      </c>
      <c r="Y409" s="437">
        <v>20.5</v>
      </c>
      <c r="Z409" s="436">
        <f>_xlfn.XLOOKUP(answers[[#This Row],[StudentID]],$A$7:$A$1418,$V$7:$V$1418)</f>
        <v>20.5</v>
      </c>
      <c r="AF409" s="142" t="s">
        <v>7521</v>
      </c>
      <c r="AG409" s="142" t="s">
        <v>1435</v>
      </c>
      <c r="AH409" s="142" t="s">
        <v>2675</v>
      </c>
      <c r="AI409" s="142" t="s">
        <v>2705</v>
      </c>
      <c r="AJ409" s="142" t="s">
        <v>2705</v>
      </c>
      <c r="AK409" s="142" t="s">
        <v>1435</v>
      </c>
      <c r="AL409" s="142" t="s">
        <v>2705</v>
      </c>
      <c r="AM409" s="142" t="s">
        <v>2675</v>
      </c>
      <c r="AN409" s="142" t="s">
        <v>2705</v>
      </c>
      <c r="AO409" s="142" t="s">
        <v>2675</v>
      </c>
      <c r="AP409" s="142" t="s">
        <v>2398</v>
      </c>
      <c r="AQ409" s="142" t="s">
        <v>2398</v>
      </c>
      <c r="AR409" s="142" t="s">
        <v>2705</v>
      </c>
      <c r="AS409" s="142" t="s">
        <v>1435</v>
      </c>
      <c r="AT409" s="142" t="s">
        <v>2398</v>
      </c>
      <c r="AU409" s="142" t="s">
        <v>2398</v>
      </c>
      <c r="AV409" s="142" t="s">
        <v>2705</v>
      </c>
      <c r="AW409" s="142" t="s">
        <v>1435</v>
      </c>
      <c r="AX409" s="142" t="s">
        <v>2705</v>
      </c>
      <c r="AY409" s="142" t="s">
        <v>2398</v>
      </c>
      <c r="AZ409" s="142" t="s">
        <v>2675</v>
      </c>
    </row>
    <row r="410" spans="1:52" s="142" customFormat="1" ht="12.75" x14ac:dyDescent="0.2">
      <c r="A410" s="151"/>
      <c r="B410" s="152" t="s">
        <v>1435</v>
      </c>
      <c r="C410" s="152" t="s">
        <v>2675</v>
      </c>
      <c r="D410" s="152" t="s">
        <v>2398</v>
      </c>
      <c r="E410" s="152" t="s">
        <v>2705</v>
      </c>
      <c r="F410" s="152" t="s">
        <v>2675</v>
      </c>
      <c r="G410" s="152" t="s">
        <v>2705</v>
      </c>
      <c r="H410" s="152" t="s">
        <v>2705</v>
      </c>
      <c r="I410" s="152" t="s">
        <v>2398</v>
      </c>
      <c r="J410" s="152" t="s">
        <v>2397</v>
      </c>
      <c r="K410" s="152" t="s">
        <v>2397</v>
      </c>
      <c r="L410" s="152" t="s">
        <v>2675</v>
      </c>
      <c r="M410" s="152" t="s">
        <v>2398</v>
      </c>
      <c r="N410" s="152" t="s">
        <v>2705</v>
      </c>
      <c r="O410" s="152" t="s">
        <v>1435</v>
      </c>
      <c r="P410" s="152" t="s">
        <v>2398</v>
      </c>
      <c r="Q410" s="152" t="s">
        <v>1435</v>
      </c>
      <c r="R410" s="152" t="s">
        <v>1435</v>
      </c>
      <c r="S410" s="152" t="s">
        <v>2705</v>
      </c>
      <c r="T410" s="152" t="s">
        <v>2398</v>
      </c>
      <c r="U410" s="152" t="s">
        <v>2675</v>
      </c>
      <c r="V410" s="142" t="str" cm="1">
        <f t="array" ref="V410">IF(A410&lt;&gt;"",SUM(--(B410:U411 = "X")*$U$3,--(B410:U411 ="A")*$Q$3,--(B410:U411 ="B")*$R$3,--(B410:U411 ="C")*$S$3),"")</f>
        <v/>
      </c>
      <c r="X410" s="437" t="s">
        <v>7718</v>
      </c>
      <c r="Y410" s="437">
        <v>19</v>
      </c>
      <c r="Z410" s="436">
        <f>_xlfn.XLOOKUP(answers[[#This Row],[StudentID]],$A$7:$A$1418,$V$7:$V$1418)</f>
        <v>19</v>
      </c>
      <c r="AG410" s="142" t="s">
        <v>1435</v>
      </c>
      <c r="AH410" s="142" t="s">
        <v>2675</v>
      </c>
      <c r="AI410" s="142" t="s">
        <v>2398</v>
      </c>
      <c r="AJ410" s="142" t="s">
        <v>2705</v>
      </c>
      <c r="AK410" s="142" t="s">
        <v>2675</v>
      </c>
      <c r="AL410" s="142" t="s">
        <v>2705</v>
      </c>
      <c r="AM410" s="142" t="s">
        <v>2705</v>
      </c>
      <c r="AN410" s="142" t="s">
        <v>2398</v>
      </c>
      <c r="AO410" s="142" t="s">
        <v>2397</v>
      </c>
      <c r="AP410" s="142" t="s">
        <v>2397</v>
      </c>
      <c r="AQ410" s="142" t="s">
        <v>2675</v>
      </c>
      <c r="AR410" s="142" t="s">
        <v>2398</v>
      </c>
      <c r="AS410" s="142" t="s">
        <v>2705</v>
      </c>
      <c r="AT410" s="142" t="s">
        <v>1435</v>
      </c>
      <c r="AU410" s="142" t="s">
        <v>2398</v>
      </c>
      <c r="AV410" s="142" t="s">
        <v>1435</v>
      </c>
      <c r="AW410" s="142" t="s">
        <v>1435</v>
      </c>
      <c r="AX410" s="142" t="s">
        <v>2705</v>
      </c>
      <c r="AY410" s="142" t="s">
        <v>2398</v>
      </c>
      <c r="AZ410" s="142" t="s">
        <v>2675</v>
      </c>
    </row>
    <row r="411" spans="1:52" s="142" customFormat="1" ht="12.75" x14ac:dyDescent="0.2">
      <c r="A411" s="151" t="s">
        <v>7522</v>
      </c>
      <c r="B411" s="152" t="s">
        <v>2705</v>
      </c>
      <c r="C411" s="152" t="s">
        <v>2705</v>
      </c>
      <c r="D411" s="152" t="s">
        <v>2705</v>
      </c>
      <c r="E411" s="152" t="s">
        <v>2705</v>
      </c>
      <c r="F411" s="152" t="s">
        <v>2398</v>
      </c>
      <c r="G411" s="152" t="s">
        <v>2705</v>
      </c>
      <c r="H411" s="152" t="s">
        <v>1435</v>
      </c>
      <c r="I411" s="152" t="s">
        <v>2705</v>
      </c>
      <c r="J411" s="152" t="s">
        <v>1435</v>
      </c>
      <c r="K411" s="152" t="s">
        <v>2705</v>
      </c>
      <c r="L411" s="152" t="s">
        <v>2705</v>
      </c>
      <c r="M411" s="152" t="s">
        <v>2675</v>
      </c>
      <c r="N411" s="152" t="s">
        <v>2705</v>
      </c>
      <c r="O411" s="152" t="s">
        <v>2397</v>
      </c>
      <c r="P411" s="152" t="s">
        <v>2675</v>
      </c>
      <c r="Q411" s="152" t="s">
        <v>2705</v>
      </c>
      <c r="R411" s="152" t="s">
        <v>2705</v>
      </c>
      <c r="S411" s="152" t="s">
        <v>2675</v>
      </c>
      <c r="T411" s="152" t="s">
        <v>2398</v>
      </c>
      <c r="U411" s="152" t="s">
        <v>2398</v>
      </c>
      <c r="V411" s="142" cm="1">
        <f t="array" ref="V411">IF(A411&lt;&gt;"",SUM(--(B411:U412 = "X")*$U$3,--(B411:U412 ="A")*$Q$3,--(B411:U412 ="B")*$R$3,--(B411:U412 ="C")*$S$3),"")</f>
        <v>14.5</v>
      </c>
      <c r="X411" s="437" t="s">
        <v>7719</v>
      </c>
      <c r="Y411" s="437">
        <v>17</v>
      </c>
      <c r="Z411" s="436">
        <f>_xlfn.XLOOKUP(answers[[#This Row],[StudentID]],$A$7:$A$1418,$V$7:$V$1418)</f>
        <v>17</v>
      </c>
      <c r="AF411" s="142" t="s">
        <v>7522</v>
      </c>
      <c r="AG411" s="142" t="s">
        <v>2705</v>
      </c>
      <c r="AH411" s="142" t="s">
        <v>2705</v>
      </c>
      <c r="AI411" s="142" t="s">
        <v>2705</v>
      </c>
      <c r="AJ411" s="142" t="s">
        <v>2705</v>
      </c>
      <c r="AK411" s="142" t="s">
        <v>2398</v>
      </c>
      <c r="AL411" s="142" t="s">
        <v>2705</v>
      </c>
      <c r="AM411" s="142" t="s">
        <v>1435</v>
      </c>
      <c r="AN411" s="142" t="s">
        <v>2705</v>
      </c>
      <c r="AO411" s="142" t="s">
        <v>1435</v>
      </c>
      <c r="AP411" s="142" t="s">
        <v>2705</v>
      </c>
      <c r="AQ411" s="142" t="s">
        <v>2705</v>
      </c>
      <c r="AR411" s="142" t="s">
        <v>2675</v>
      </c>
      <c r="AS411" s="142" t="s">
        <v>2705</v>
      </c>
      <c r="AT411" s="142" t="s">
        <v>2397</v>
      </c>
      <c r="AU411" s="142" t="s">
        <v>2675</v>
      </c>
      <c r="AV411" s="142" t="s">
        <v>2705</v>
      </c>
      <c r="AW411" s="142" t="s">
        <v>2705</v>
      </c>
      <c r="AX411" s="142" t="s">
        <v>2675</v>
      </c>
      <c r="AY411" s="142" t="s">
        <v>2398</v>
      </c>
      <c r="AZ411" s="142" t="s">
        <v>2398</v>
      </c>
    </row>
    <row r="412" spans="1:52" s="142" customFormat="1" ht="12.75" x14ac:dyDescent="0.2">
      <c r="A412" s="151"/>
      <c r="B412" s="152" t="s">
        <v>2705</v>
      </c>
      <c r="C412" s="152" t="s">
        <v>1435</v>
      </c>
      <c r="D412" s="152" t="s">
        <v>2705</v>
      </c>
      <c r="E412" s="152" t="s">
        <v>2397</v>
      </c>
      <c r="F412" s="152" t="s">
        <v>2705</v>
      </c>
      <c r="G412" s="152" t="s">
        <v>1435</v>
      </c>
      <c r="H412" s="152" t="s">
        <v>2398</v>
      </c>
      <c r="I412" s="152" t="s">
        <v>2705</v>
      </c>
      <c r="J412" s="152" t="s">
        <v>1435</v>
      </c>
      <c r="K412" s="152" t="s">
        <v>2398</v>
      </c>
      <c r="L412" s="152" t="s">
        <v>2705</v>
      </c>
      <c r="M412" s="152" t="s">
        <v>2675</v>
      </c>
      <c r="N412" s="152" t="s">
        <v>2398</v>
      </c>
      <c r="O412" s="152" t="s">
        <v>2705</v>
      </c>
      <c r="P412" s="152" t="s">
        <v>2705</v>
      </c>
      <c r="Q412" s="152" t="s">
        <v>2705</v>
      </c>
      <c r="R412" s="152" t="s">
        <v>1435</v>
      </c>
      <c r="S412" s="152" t="s">
        <v>2675</v>
      </c>
      <c r="T412" s="152" t="s">
        <v>2705</v>
      </c>
      <c r="U412" s="152" t="s">
        <v>2398</v>
      </c>
      <c r="V412" s="142" t="str" cm="1">
        <f t="array" ref="V412">IF(A412&lt;&gt;"",SUM(--(B412:U413 = "X")*$U$3,--(B412:U413 ="A")*$Q$3,--(B412:U413 ="B")*$R$3,--(B412:U413 ="C")*$S$3),"")</f>
        <v/>
      </c>
      <c r="X412" s="437" t="s">
        <v>7720</v>
      </c>
      <c r="Y412" s="437">
        <v>15.5</v>
      </c>
      <c r="Z412" s="436">
        <f>_xlfn.XLOOKUP(answers[[#This Row],[StudentID]],$A$7:$A$1418,$V$7:$V$1418)</f>
        <v>15.5</v>
      </c>
      <c r="AG412" s="142" t="s">
        <v>2705</v>
      </c>
      <c r="AH412" s="142" t="s">
        <v>1435</v>
      </c>
      <c r="AI412" s="142" t="s">
        <v>2705</v>
      </c>
      <c r="AJ412" s="142" t="s">
        <v>2397</v>
      </c>
      <c r="AK412" s="142" t="s">
        <v>2705</v>
      </c>
      <c r="AL412" s="142" t="s">
        <v>1435</v>
      </c>
      <c r="AM412" s="142" t="s">
        <v>2398</v>
      </c>
      <c r="AN412" s="142" t="s">
        <v>2705</v>
      </c>
      <c r="AO412" s="142" t="s">
        <v>1435</v>
      </c>
      <c r="AP412" s="142" t="s">
        <v>2398</v>
      </c>
      <c r="AQ412" s="142" t="s">
        <v>2705</v>
      </c>
      <c r="AR412" s="142" t="s">
        <v>2675</v>
      </c>
      <c r="AS412" s="142" t="s">
        <v>2398</v>
      </c>
      <c r="AT412" s="142" t="s">
        <v>2705</v>
      </c>
      <c r="AU412" s="142" t="s">
        <v>2705</v>
      </c>
      <c r="AV412" s="142" t="s">
        <v>2705</v>
      </c>
      <c r="AW412" s="142" t="s">
        <v>1435</v>
      </c>
      <c r="AX412" s="142" t="s">
        <v>2675</v>
      </c>
      <c r="AY412" s="142" t="s">
        <v>2705</v>
      </c>
      <c r="AZ412" s="142" t="s">
        <v>2398</v>
      </c>
    </row>
    <row r="413" spans="1:52" s="142" customFormat="1" ht="12.75" x14ac:dyDescent="0.2">
      <c r="A413" s="151" t="s">
        <v>7523</v>
      </c>
      <c r="B413" s="152" t="s">
        <v>2398</v>
      </c>
      <c r="C413" s="152" t="s">
        <v>2705</v>
      </c>
      <c r="D413" s="152" t="s">
        <v>2398</v>
      </c>
      <c r="E413" s="152" t="s">
        <v>2705</v>
      </c>
      <c r="F413" s="152" t="s">
        <v>1435</v>
      </c>
      <c r="G413" s="152" t="s">
        <v>2398</v>
      </c>
      <c r="H413" s="152" t="s">
        <v>2705</v>
      </c>
      <c r="I413" s="152" t="s">
        <v>2705</v>
      </c>
      <c r="J413" s="152" t="s">
        <v>2705</v>
      </c>
      <c r="K413" s="152" t="s">
        <v>2705</v>
      </c>
      <c r="L413" s="152" t="s">
        <v>2705</v>
      </c>
      <c r="M413" s="152" t="s">
        <v>2398</v>
      </c>
      <c r="N413" s="152" t="s">
        <v>2705</v>
      </c>
      <c r="O413" s="152" t="s">
        <v>2398</v>
      </c>
      <c r="P413" s="152" t="s">
        <v>2675</v>
      </c>
      <c r="Q413" s="152" t="s">
        <v>2398</v>
      </c>
      <c r="R413" s="152" t="s">
        <v>2398</v>
      </c>
      <c r="S413" s="152" t="s">
        <v>2398</v>
      </c>
      <c r="T413" s="152" t="s">
        <v>2705</v>
      </c>
      <c r="U413" s="152" t="s">
        <v>2675</v>
      </c>
      <c r="V413" s="142" cm="1">
        <f t="array" ref="V413">IF(A413&lt;&gt;"",SUM(--(B413:U414 = "X")*$U$3,--(B413:U414 ="A")*$Q$3,--(B413:U414 ="B")*$R$3,--(B413:U414 ="C")*$S$3),"")</f>
        <v>12</v>
      </c>
      <c r="X413" s="437" t="s">
        <v>7721</v>
      </c>
      <c r="Y413" s="437">
        <v>24</v>
      </c>
      <c r="Z413" s="436">
        <f>_xlfn.XLOOKUP(answers[[#This Row],[StudentID]],$A$7:$A$1418,$V$7:$V$1418)</f>
        <v>24</v>
      </c>
      <c r="AF413" s="142" t="s">
        <v>7523</v>
      </c>
      <c r="AG413" s="142" t="s">
        <v>2398</v>
      </c>
      <c r="AH413" s="142" t="s">
        <v>2705</v>
      </c>
      <c r="AI413" s="142" t="s">
        <v>2398</v>
      </c>
      <c r="AJ413" s="142" t="s">
        <v>2705</v>
      </c>
      <c r="AK413" s="142" t="s">
        <v>1435</v>
      </c>
      <c r="AL413" s="142" t="s">
        <v>2398</v>
      </c>
      <c r="AM413" s="142" t="s">
        <v>2705</v>
      </c>
      <c r="AN413" s="142" t="s">
        <v>2705</v>
      </c>
      <c r="AO413" s="142" t="s">
        <v>2705</v>
      </c>
      <c r="AP413" s="142" t="s">
        <v>2705</v>
      </c>
      <c r="AQ413" s="142" t="s">
        <v>2705</v>
      </c>
      <c r="AR413" s="142" t="s">
        <v>2398</v>
      </c>
      <c r="AS413" s="142" t="s">
        <v>2705</v>
      </c>
      <c r="AT413" s="142" t="s">
        <v>2398</v>
      </c>
      <c r="AU413" s="142" t="s">
        <v>2675</v>
      </c>
      <c r="AV413" s="142" t="s">
        <v>2398</v>
      </c>
      <c r="AW413" s="142" t="s">
        <v>2398</v>
      </c>
      <c r="AX413" s="142" t="s">
        <v>2398</v>
      </c>
      <c r="AY413" s="142" t="s">
        <v>2705</v>
      </c>
      <c r="AZ413" s="142" t="s">
        <v>2675</v>
      </c>
    </row>
    <row r="414" spans="1:52" s="142" customFormat="1" ht="12.75" x14ac:dyDescent="0.2">
      <c r="A414" s="151"/>
      <c r="B414" s="152" t="s">
        <v>2398</v>
      </c>
      <c r="C414" s="152" t="s">
        <v>1435</v>
      </c>
      <c r="D414" s="152" t="s">
        <v>2675</v>
      </c>
      <c r="E414" s="152" t="s">
        <v>2705</v>
      </c>
      <c r="F414" s="152" t="s">
        <v>2705</v>
      </c>
      <c r="G414" s="152" t="s">
        <v>2705</v>
      </c>
      <c r="H414" s="152" t="s">
        <v>2398</v>
      </c>
      <c r="I414" s="152" t="s">
        <v>1435</v>
      </c>
      <c r="J414" s="152" t="s">
        <v>2705</v>
      </c>
      <c r="K414" s="152" t="s">
        <v>2398</v>
      </c>
      <c r="L414" s="152" t="s">
        <v>2705</v>
      </c>
      <c r="M414" s="152" t="s">
        <v>1435</v>
      </c>
      <c r="N414" s="152" t="s">
        <v>2398</v>
      </c>
      <c r="O414" s="152" t="s">
        <v>2705</v>
      </c>
      <c r="P414" s="152" t="s">
        <v>2398</v>
      </c>
      <c r="Q414" s="152" t="s">
        <v>2705</v>
      </c>
      <c r="R414" s="152" t="s">
        <v>2397</v>
      </c>
      <c r="S414" s="152" t="s">
        <v>2398</v>
      </c>
      <c r="T414" s="152" t="s">
        <v>1435</v>
      </c>
      <c r="U414" s="152" t="s">
        <v>2397</v>
      </c>
      <c r="V414" s="142" t="str" cm="1">
        <f t="array" ref="V414">IF(A414&lt;&gt;"",SUM(--(B414:U415 = "X")*$U$3,--(B414:U415 ="A")*$Q$3,--(B414:U415 ="B")*$R$3,--(B414:U415 ="C")*$S$3),"")</f>
        <v/>
      </c>
      <c r="X414" s="437" t="s">
        <v>7722</v>
      </c>
      <c r="Y414" s="437">
        <v>22.5</v>
      </c>
      <c r="Z414" s="436">
        <f>_xlfn.XLOOKUP(answers[[#This Row],[StudentID]],$A$7:$A$1418,$V$7:$V$1418)</f>
        <v>22.5</v>
      </c>
      <c r="AG414" s="142" t="s">
        <v>2398</v>
      </c>
      <c r="AH414" s="142" t="s">
        <v>1435</v>
      </c>
      <c r="AI414" s="142" t="s">
        <v>2675</v>
      </c>
      <c r="AJ414" s="142" t="s">
        <v>2705</v>
      </c>
      <c r="AK414" s="142" t="s">
        <v>2705</v>
      </c>
      <c r="AL414" s="142" t="s">
        <v>2705</v>
      </c>
      <c r="AM414" s="142" t="s">
        <v>2398</v>
      </c>
      <c r="AN414" s="142" t="s">
        <v>1435</v>
      </c>
      <c r="AO414" s="142" t="s">
        <v>2705</v>
      </c>
      <c r="AP414" s="142" t="s">
        <v>2398</v>
      </c>
      <c r="AQ414" s="142" t="s">
        <v>2705</v>
      </c>
      <c r="AR414" s="142" t="s">
        <v>1435</v>
      </c>
      <c r="AS414" s="142" t="s">
        <v>2398</v>
      </c>
      <c r="AT414" s="142" t="s">
        <v>2705</v>
      </c>
      <c r="AU414" s="142" t="s">
        <v>2398</v>
      </c>
      <c r="AV414" s="142" t="s">
        <v>2705</v>
      </c>
      <c r="AW414" s="142" t="s">
        <v>2397</v>
      </c>
      <c r="AX414" s="142" t="s">
        <v>2398</v>
      </c>
      <c r="AY414" s="142" t="s">
        <v>1435</v>
      </c>
      <c r="AZ414" s="142" t="s">
        <v>2397</v>
      </c>
    </row>
    <row r="415" spans="1:52" s="142" customFormat="1" ht="12.75" x14ac:dyDescent="0.2">
      <c r="A415" s="151" t="s">
        <v>7524</v>
      </c>
      <c r="B415" s="152" t="s">
        <v>2398</v>
      </c>
      <c r="C415" s="152" t="s">
        <v>2398</v>
      </c>
      <c r="D415" s="152" t="s">
        <v>2398</v>
      </c>
      <c r="E415" s="152" t="s">
        <v>2705</v>
      </c>
      <c r="F415" s="152" t="s">
        <v>2705</v>
      </c>
      <c r="G415" s="152" t="s">
        <v>2398</v>
      </c>
      <c r="H415" s="152" t="s">
        <v>1435</v>
      </c>
      <c r="I415" s="152" t="s">
        <v>2705</v>
      </c>
      <c r="J415" s="152" t="s">
        <v>2398</v>
      </c>
      <c r="K415" s="152" t="s">
        <v>2705</v>
      </c>
      <c r="L415" s="152" t="s">
        <v>2398</v>
      </c>
      <c r="M415" s="152" t="s">
        <v>2705</v>
      </c>
      <c r="N415" s="152" t="s">
        <v>2398</v>
      </c>
      <c r="O415" s="152" t="s">
        <v>2398</v>
      </c>
      <c r="P415" s="152" t="s">
        <v>2398</v>
      </c>
      <c r="Q415" s="152" t="s">
        <v>2675</v>
      </c>
      <c r="R415" s="152" t="s">
        <v>2398</v>
      </c>
      <c r="S415" s="152" t="s">
        <v>2705</v>
      </c>
      <c r="T415" s="152" t="s">
        <v>2398</v>
      </c>
      <c r="U415" s="152" t="s">
        <v>2705</v>
      </c>
      <c r="V415" s="142" cm="1">
        <f t="array" ref="V415">IF(A415&lt;&gt;"",SUM(--(B415:U416 = "X")*$U$3,--(B415:U416 ="A")*$Q$3,--(B415:U416 ="B")*$R$3,--(B415:U416 ="C")*$S$3),"")</f>
        <v>17.5</v>
      </c>
      <c r="X415" s="437" t="s">
        <v>7723</v>
      </c>
      <c r="Y415" s="437">
        <v>14.5</v>
      </c>
      <c r="Z415" s="436">
        <f>_xlfn.XLOOKUP(answers[[#This Row],[StudentID]],$A$7:$A$1418,$V$7:$V$1418)</f>
        <v>14.5</v>
      </c>
      <c r="AF415" s="142" t="s">
        <v>7524</v>
      </c>
      <c r="AG415" s="142" t="s">
        <v>2398</v>
      </c>
      <c r="AH415" s="142" t="s">
        <v>2398</v>
      </c>
      <c r="AI415" s="142" t="s">
        <v>2398</v>
      </c>
      <c r="AJ415" s="142" t="s">
        <v>2705</v>
      </c>
      <c r="AK415" s="142" t="s">
        <v>2705</v>
      </c>
      <c r="AL415" s="142" t="s">
        <v>2398</v>
      </c>
      <c r="AM415" s="142" t="s">
        <v>1435</v>
      </c>
      <c r="AN415" s="142" t="s">
        <v>2705</v>
      </c>
      <c r="AO415" s="142" t="s">
        <v>2398</v>
      </c>
      <c r="AP415" s="142" t="s">
        <v>2705</v>
      </c>
      <c r="AQ415" s="142" t="s">
        <v>2398</v>
      </c>
      <c r="AR415" s="142" t="s">
        <v>2705</v>
      </c>
      <c r="AS415" s="142" t="s">
        <v>2398</v>
      </c>
      <c r="AT415" s="142" t="s">
        <v>2398</v>
      </c>
      <c r="AU415" s="142" t="s">
        <v>2398</v>
      </c>
      <c r="AV415" s="142" t="s">
        <v>2675</v>
      </c>
      <c r="AW415" s="142" t="s">
        <v>2398</v>
      </c>
      <c r="AX415" s="142" t="s">
        <v>2705</v>
      </c>
      <c r="AY415" s="142" t="s">
        <v>2398</v>
      </c>
      <c r="AZ415" s="142" t="s">
        <v>2705</v>
      </c>
    </row>
    <row r="416" spans="1:52" s="142" customFormat="1" ht="12.75" x14ac:dyDescent="0.2">
      <c r="A416" s="151"/>
      <c r="B416" s="152" t="s">
        <v>2398</v>
      </c>
      <c r="C416" s="152" t="s">
        <v>2398</v>
      </c>
      <c r="D416" s="152" t="s">
        <v>2398</v>
      </c>
      <c r="E416" s="152" t="s">
        <v>2398</v>
      </c>
      <c r="F416" s="152" t="s">
        <v>2705</v>
      </c>
      <c r="G416" s="152" t="s">
        <v>2705</v>
      </c>
      <c r="H416" s="152" t="s">
        <v>2705</v>
      </c>
      <c r="I416" s="152" t="s">
        <v>2705</v>
      </c>
      <c r="J416" s="152" t="s">
        <v>2398</v>
      </c>
      <c r="K416" s="152" t="s">
        <v>2705</v>
      </c>
      <c r="L416" s="152" t="s">
        <v>2705</v>
      </c>
      <c r="M416" s="152" t="s">
        <v>2705</v>
      </c>
      <c r="N416" s="152" t="s">
        <v>2705</v>
      </c>
      <c r="O416" s="152" t="s">
        <v>2705</v>
      </c>
      <c r="P416" s="152" t="s">
        <v>2398</v>
      </c>
      <c r="Q416" s="152" t="s">
        <v>2705</v>
      </c>
      <c r="R416" s="152" t="s">
        <v>1435</v>
      </c>
      <c r="S416" s="152" t="s">
        <v>2705</v>
      </c>
      <c r="T416" s="152" t="s">
        <v>2705</v>
      </c>
      <c r="U416" s="152" t="s">
        <v>2398</v>
      </c>
      <c r="V416" s="142" t="str" cm="1">
        <f t="array" ref="V416">IF(A416&lt;&gt;"",SUM(--(B416:U417 = "X")*$U$3,--(B416:U417 ="A")*$Q$3,--(B416:U417 ="B")*$R$3,--(B416:U417 ="C")*$S$3),"")</f>
        <v/>
      </c>
      <c r="X416" s="437" t="s">
        <v>7724</v>
      </c>
      <c r="Y416" s="437">
        <v>12.5</v>
      </c>
      <c r="Z416" s="436">
        <f>_xlfn.XLOOKUP(answers[[#This Row],[StudentID]],$A$7:$A$1418,$V$7:$V$1418)</f>
        <v>12.5</v>
      </c>
      <c r="AG416" s="142" t="s">
        <v>2398</v>
      </c>
      <c r="AH416" s="142" t="s">
        <v>2398</v>
      </c>
      <c r="AI416" s="142" t="s">
        <v>2398</v>
      </c>
      <c r="AJ416" s="142" t="s">
        <v>2398</v>
      </c>
      <c r="AK416" s="142" t="s">
        <v>2705</v>
      </c>
      <c r="AL416" s="142" t="s">
        <v>2705</v>
      </c>
      <c r="AM416" s="142" t="s">
        <v>2705</v>
      </c>
      <c r="AN416" s="142" t="s">
        <v>2705</v>
      </c>
      <c r="AO416" s="142" t="s">
        <v>2398</v>
      </c>
      <c r="AP416" s="142" t="s">
        <v>2705</v>
      </c>
      <c r="AQ416" s="142" t="s">
        <v>2705</v>
      </c>
      <c r="AR416" s="142" t="s">
        <v>2705</v>
      </c>
      <c r="AS416" s="142" t="s">
        <v>2705</v>
      </c>
      <c r="AT416" s="142" t="s">
        <v>2705</v>
      </c>
      <c r="AU416" s="142" t="s">
        <v>2398</v>
      </c>
      <c r="AV416" s="142" t="s">
        <v>2705</v>
      </c>
      <c r="AW416" s="142" t="s">
        <v>1435</v>
      </c>
      <c r="AX416" s="142" t="s">
        <v>2705</v>
      </c>
      <c r="AY416" s="142" t="s">
        <v>2705</v>
      </c>
      <c r="AZ416" s="142" t="s">
        <v>2398</v>
      </c>
    </row>
    <row r="417" spans="1:52" s="142" customFormat="1" ht="12.75" x14ac:dyDescent="0.2">
      <c r="A417" s="151" t="s">
        <v>7525</v>
      </c>
      <c r="B417" s="152" t="s">
        <v>2705</v>
      </c>
      <c r="C417" s="152" t="s">
        <v>2705</v>
      </c>
      <c r="D417" s="152" t="s">
        <v>2675</v>
      </c>
      <c r="E417" s="152" t="s">
        <v>2705</v>
      </c>
      <c r="F417" s="152" t="s">
        <v>2398</v>
      </c>
      <c r="G417" s="152" t="s">
        <v>2705</v>
      </c>
      <c r="H417" s="152" t="s">
        <v>2705</v>
      </c>
      <c r="I417" s="152" t="s">
        <v>2705</v>
      </c>
      <c r="J417" s="152" t="s">
        <v>2705</v>
      </c>
      <c r="K417" s="152" t="s">
        <v>2705</v>
      </c>
      <c r="L417" s="152" t="s">
        <v>2398</v>
      </c>
      <c r="M417" s="152" t="s">
        <v>2705</v>
      </c>
      <c r="N417" s="152" t="s">
        <v>2705</v>
      </c>
      <c r="O417" s="152" t="s">
        <v>2705</v>
      </c>
      <c r="P417" s="152" t="s">
        <v>2705</v>
      </c>
      <c r="Q417" s="152" t="s">
        <v>2398</v>
      </c>
      <c r="R417" s="152" t="s">
        <v>2705</v>
      </c>
      <c r="S417" s="152" t="s">
        <v>2705</v>
      </c>
      <c r="T417" s="152" t="s">
        <v>2705</v>
      </c>
      <c r="U417" s="152" t="s">
        <v>2705</v>
      </c>
      <c r="V417" s="142" cm="1">
        <f t="array" ref="V417">IF(A417&lt;&gt;"",SUM(--(B417:U418 = "X")*$U$3,--(B417:U418 ="A")*$Q$3,--(B417:U418 ="B")*$R$3,--(B417:U418 ="C")*$S$3),"")</f>
        <v>27</v>
      </c>
      <c r="X417" s="437" t="s">
        <v>7725</v>
      </c>
      <c r="Y417" s="437">
        <v>18.5</v>
      </c>
      <c r="Z417" s="436">
        <f>_xlfn.XLOOKUP(answers[[#This Row],[StudentID]],$A$7:$A$1418,$V$7:$V$1418)</f>
        <v>18.5</v>
      </c>
      <c r="AF417" s="142" t="s">
        <v>7525</v>
      </c>
      <c r="AG417" s="142" t="s">
        <v>2705</v>
      </c>
      <c r="AH417" s="142" t="s">
        <v>2705</v>
      </c>
      <c r="AI417" s="142" t="s">
        <v>2675</v>
      </c>
      <c r="AJ417" s="142" t="s">
        <v>2705</v>
      </c>
      <c r="AK417" s="142" t="s">
        <v>2398</v>
      </c>
      <c r="AL417" s="142" t="s">
        <v>2705</v>
      </c>
      <c r="AM417" s="142" t="s">
        <v>2705</v>
      </c>
      <c r="AN417" s="142" t="s">
        <v>2705</v>
      </c>
      <c r="AO417" s="142" t="s">
        <v>2705</v>
      </c>
      <c r="AP417" s="142" t="s">
        <v>2705</v>
      </c>
      <c r="AQ417" s="142" t="s">
        <v>2398</v>
      </c>
      <c r="AR417" s="142" t="s">
        <v>2705</v>
      </c>
      <c r="AS417" s="142" t="s">
        <v>2705</v>
      </c>
      <c r="AT417" s="142" t="s">
        <v>2705</v>
      </c>
      <c r="AU417" s="142" t="s">
        <v>2705</v>
      </c>
      <c r="AV417" s="142" t="s">
        <v>2398</v>
      </c>
      <c r="AW417" s="142" t="s">
        <v>2705</v>
      </c>
      <c r="AX417" s="142" t="s">
        <v>2705</v>
      </c>
      <c r="AY417" s="142" t="s">
        <v>2705</v>
      </c>
      <c r="AZ417" s="142" t="s">
        <v>2705</v>
      </c>
    </row>
    <row r="418" spans="1:52" s="142" customFormat="1" ht="12.75" x14ac:dyDescent="0.2">
      <c r="A418" s="151"/>
      <c r="B418" s="152" t="s">
        <v>2398</v>
      </c>
      <c r="C418" s="152" t="s">
        <v>2398</v>
      </c>
      <c r="D418" s="152" t="s">
        <v>2398</v>
      </c>
      <c r="E418" s="152" t="s">
        <v>2705</v>
      </c>
      <c r="F418" s="152" t="s">
        <v>2398</v>
      </c>
      <c r="G418" s="152" t="s">
        <v>2705</v>
      </c>
      <c r="H418" s="152" t="s">
        <v>2705</v>
      </c>
      <c r="I418" s="152" t="s">
        <v>2675</v>
      </c>
      <c r="J418" s="152" t="s">
        <v>2705</v>
      </c>
      <c r="K418" s="152" t="s">
        <v>2705</v>
      </c>
      <c r="L418" s="152" t="s">
        <v>2705</v>
      </c>
      <c r="M418" s="152" t="s">
        <v>1435</v>
      </c>
      <c r="N418" s="152" t="s">
        <v>2705</v>
      </c>
      <c r="O418" s="152" t="s">
        <v>2705</v>
      </c>
      <c r="P418" s="152" t="s">
        <v>2705</v>
      </c>
      <c r="Q418" s="152" t="s">
        <v>2705</v>
      </c>
      <c r="R418" s="152" t="s">
        <v>1435</v>
      </c>
      <c r="S418" s="152" t="s">
        <v>2705</v>
      </c>
      <c r="T418" s="152" t="s">
        <v>2705</v>
      </c>
      <c r="U418" s="152" t="s">
        <v>2705</v>
      </c>
      <c r="V418" s="142" t="str" cm="1">
        <f t="array" ref="V418">IF(A418&lt;&gt;"",SUM(--(B418:U419 = "X")*$U$3,--(B418:U419 ="A")*$Q$3,--(B418:U419 ="B")*$R$3,--(B418:U419 ="C")*$S$3),"")</f>
        <v/>
      </c>
      <c r="X418" s="437" t="s">
        <v>7726</v>
      </c>
      <c r="Y418" s="437">
        <v>19</v>
      </c>
      <c r="Z418" s="436">
        <f>_xlfn.XLOOKUP(answers[[#This Row],[StudentID]],$A$7:$A$1418,$V$7:$V$1418)</f>
        <v>19</v>
      </c>
      <c r="AG418" s="142" t="s">
        <v>2398</v>
      </c>
      <c r="AH418" s="142" t="s">
        <v>2398</v>
      </c>
      <c r="AI418" s="142" t="s">
        <v>2398</v>
      </c>
      <c r="AJ418" s="142" t="s">
        <v>2705</v>
      </c>
      <c r="AK418" s="142" t="s">
        <v>2398</v>
      </c>
      <c r="AL418" s="142" t="s">
        <v>2705</v>
      </c>
      <c r="AM418" s="142" t="s">
        <v>2705</v>
      </c>
      <c r="AN418" s="142" t="s">
        <v>2675</v>
      </c>
      <c r="AO418" s="142" t="s">
        <v>2705</v>
      </c>
      <c r="AP418" s="142" t="s">
        <v>2705</v>
      </c>
      <c r="AQ418" s="142" t="s">
        <v>2705</v>
      </c>
      <c r="AR418" s="142" t="s">
        <v>1435</v>
      </c>
      <c r="AS418" s="142" t="s">
        <v>2705</v>
      </c>
      <c r="AT418" s="142" t="s">
        <v>2705</v>
      </c>
      <c r="AU418" s="142" t="s">
        <v>2705</v>
      </c>
      <c r="AV418" s="142" t="s">
        <v>2705</v>
      </c>
      <c r="AW418" s="142" t="s">
        <v>1435</v>
      </c>
      <c r="AX418" s="142" t="s">
        <v>2705</v>
      </c>
      <c r="AY418" s="142" t="s">
        <v>2705</v>
      </c>
      <c r="AZ418" s="142" t="s">
        <v>2705</v>
      </c>
    </row>
    <row r="419" spans="1:52" s="142" customFormat="1" ht="12.75" x14ac:dyDescent="0.2">
      <c r="A419" s="151" t="s">
        <v>7526</v>
      </c>
      <c r="B419" s="152" t="s">
        <v>2705</v>
      </c>
      <c r="C419" s="152" t="s">
        <v>2705</v>
      </c>
      <c r="D419" s="152" t="s">
        <v>2398</v>
      </c>
      <c r="E419" s="152" t="s">
        <v>1435</v>
      </c>
      <c r="F419" s="152" t="s">
        <v>2398</v>
      </c>
      <c r="G419" s="152" t="s">
        <v>2705</v>
      </c>
      <c r="H419" s="152" t="s">
        <v>1435</v>
      </c>
      <c r="I419" s="152" t="s">
        <v>2705</v>
      </c>
      <c r="J419" s="152" t="s">
        <v>2675</v>
      </c>
      <c r="K419" s="152" t="s">
        <v>2705</v>
      </c>
      <c r="L419" s="152" t="s">
        <v>1435</v>
      </c>
      <c r="M419" s="152" t="s">
        <v>2705</v>
      </c>
      <c r="N419" s="152" t="s">
        <v>2705</v>
      </c>
      <c r="O419" s="152" t="s">
        <v>2675</v>
      </c>
      <c r="P419" s="152" t="s">
        <v>2705</v>
      </c>
      <c r="Q419" s="152" t="s">
        <v>2705</v>
      </c>
      <c r="R419" s="152" t="s">
        <v>2398</v>
      </c>
      <c r="S419" s="152" t="s">
        <v>2705</v>
      </c>
      <c r="T419" s="152" t="s">
        <v>2397</v>
      </c>
      <c r="U419" s="152" t="s">
        <v>2705</v>
      </c>
      <c r="V419" s="142" cm="1">
        <f t="array" ref="V419">IF(A419&lt;&gt;"",SUM(--(B419:U420 = "X")*$U$3,--(B419:U420 ="A")*$Q$3,--(B419:U420 ="B")*$R$3,--(B419:U420 ="C")*$S$3),"")</f>
        <v>21.5</v>
      </c>
      <c r="X419" s="437" t="s">
        <v>7727</v>
      </c>
      <c r="Y419" s="437">
        <v>23.5</v>
      </c>
      <c r="Z419" s="436">
        <f>_xlfn.XLOOKUP(answers[[#This Row],[StudentID]],$A$7:$A$1418,$V$7:$V$1418)</f>
        <v>23.5</v>
      </c>
      <c r="AF419" s="142" t="s">
        <v>7526</v>
      </c>
      <c r="AG419" s="142" t="s">
        <v>2705</v>
      </c>
      <c r="AH419" s="142" t="s">
        <v>2705</v>
      </c>
      <c r="AI419" s="142" t="s">
        <v>2398</v>
      </c>
      <c r="AJ419" s="142" t="s">
        <v>1435</v>
      </c>
      <c r="AK419" s="142" t="s">
        <v>2398</v>
      </c>
      <c r="AL419" s="142" t="s">
        <v>2705</v>
      </c>
      <c r="AM419" s="142" t="s">
        <v>1435</v>
      </c>
      <c r="AN419" s="142" t="s">
        <v>2705</v>
      </c>
      <c r="AO419" s="142" t="s">
        <v>2675</v>
      </c>
      <c r="AP419" s="142" t="s">
        <v>2705</v>
      </c>
      <c r="AQ419" s="142" t="s">
        <v>1435</v>
      </c>
      <c r="AR419" s="142" t="s">
        <v>2705</v>
      </c>
      <c r="AS419" s="142" t="s">
        <v>2705</v>
      </c>
      <c r="AT419" s="142" t="s">
        <v>2675</v>
      </c>
      <c r="AU419" s="142" t="s">
        <v>2705</v>
      </c>
      <c r="AV419" s="142" t="s">
        <v>2705</v>
      </c>
      <c r="AW419" s="142" t="s">
        <v>2398</v>
      </c>
      <c r="AX419" s="142" t="s">
        <v>2705</v>
      </c>
      <c r="AY419" s="142" t="s">
        <v>2397</v>
      </c>
      <c r="AZ419" s="142" t="s">
        <v>2705</v>
      </c>
    </row>
    <row r="420" spans="1:52" s="142" customFormat="1" ht="12.75" x14ac:dyDescent="0.2">
      <c r="A420" s="151"/>
      <c r="B420" s="152" t="s">
        <v>2398</v>
      </c>
      <c r="C420" s="152" t="s">
        <v>2398</v>
      </c>
      <c r="D420" s="152" t="s">
        <v>2705</v>
      </c>
      <c r="E420" s="152" t="s">
        <v>2705</v>
      </c>
      <c r="F420" s="152" t="s">
        <v>2705</v>
      </c>
      <c r="G420" s="152" t="s">
        <v>2705</v>
      </c>
      <c r="H420" s="152" t="s">
        <v>2398</v>
      </c>
      <c r="I420" s="152" t="s">
        <v>2705</v>
      </c>
      <c r="J420" s="152" t="s">
        <v>2398</v>
      </c>
      <c r="K420" s="152" t="s">
        <v>2705</v>
      </c>
      <c r="L420" s="152" t="s">
        <v>2705</v>
      </c>
      <c r="M420" s="152" t="s">
        <v>2398</v>
      </c>
      <c r="N420" s="152" t="s">
        <v>2705</v>
      </c>
      <c r="O420" s="152" t="s">
        <v>2705</v>
      </c>
      <c r="P420" s="152" t="s">
        <v>2705</v>
      </c>
      <c r="Q420" s="152" t="s">
        <v>2705</v>
      </c>
      <c r="R420" s="152" t="s">
        <v>2705</v>
      </c>
      <c r="S420" s="152" t="s">
        <v>2705</v>
      </c>
      <c r="T420" s="152" t="s">
        <v>2398</v>
      </c>
      <c r="U420" s="152" t="s">
        <v>2398</v>
      </c>
      <c r="V420" s="142" t="str" cm="1">
        <f t="array" ref="V420">IF(A420&lt;&gt;"",SUM(--(B420:U421 = "X")*$U$3,--(B420:U421 ="A")*$Q$3,--(B420:U421 ="B")*$R$3,--(B420:U421 ="C")*$S$3),"")</f>
        <v/>
      </c>
      <c r="X420" s="437" t="s">
        <v>7728</v>
      </c>
      <c r="Y420" s="437">
        <v>24.5</v>
      </c>
      <c r="Z420" s="436">
        <f>_xlfn.XLOOKUP(answers[[#This Row],[StudentID]],$A$7:$A$1418,$V$7:$V$1418)</f>
        <v>24.5</v>
      </c>
      <c r="AG420" s="142" t="s">
        <v>2398</v>
      </c>
      <c r="AH420" s="142" t="s">
        <v>2398</v>
      </c>
      <c r="AI420" s="142" t="s">
        <v>2705</v>
      </c>
      <c r="AJ420" s="142" t="s">
        <v>2705</v>
      </c>
      <c r="AK420" s="142" t="s">
        <v>2705</v>
      </c>
      <c r="AL420" s="142" t="s">
        <v>2705</v>
      </c>
      <c r="AM420" s="142" t="s">
        <v>2398</v>
      </c>
      <c r="AN420" s="142" t="s">
        <v>2705</v>
      </c>
      <c r="AO420" s="142" t="s">
        <v>2398</v>
      </c>
      <c r="AP420" s="142" t="s">
        <v>2705</v>
      </c>
      <c r="AQ420" s="142" t="s">
        <v>2705</v>
      </c>
      <c r="AR420" s="142" t="s">
        <v>2398</v>
      </c>
      <c r="AS420" s="142" t="s">
        <v>2705</v>
      </c>
      <c r="AT420" s="142" t="s">
        <v>2705</v>
      </c>
      <c r="AU420" s="142" t="s">
        <v>2705</v>
      </c>
      <c r="AV420" s="142" t="s">
        <v>2705</v>
      </c>
      <c r="AW420" s="142" t="s">
        <v>2705</v>
      </c>
      <c r="AX420" s="142" t="s">
        <v>2705</v>
      </c>
      <c r="AY420" s="142" t="s">
        <v>2398</v>
      </c>
      <c r="AZ420" s="142" t="s">
        <v>2398</v>
      </c>
    </row>
    <row r="421" spans="1:52" s="142" customFormat="1" ht="12.75" x14ac:dyDescent="0.2">
      <c r="A421" s="151" t="s">
        <v>7527</v>
      </c>
      <c r="B421" s="152" t="s">
        <v>2705</v>
      </c>
      <c r="C421" s="152" t="s">
        <v>2398</v>
      </c>
      <c r="D421" s="152" t="s">
        <v>2705</v>
      </c>
      <c r="E421" s="152" t="s">
        <v>2705</v>
      </c>
      <c r="F421" s="152" t="s">
        <v>2705</v>
      </c>
      <c r="G421" s="152" t="s">
        <v>2705</v>
      </c>
      <c r="H421" s="152" t="s">
        <v>1435</v>
      </c>
      <c r="I421" s="152" t="s">
        <v>2705</v>
      </c>
      <c r="J421" s="152" t="s">
        <v>2675</v>
      </c>
      <c r="K421" s="152" t="s">
        <v>1435</v>
      </c>
      <c r="L421" s="152" t="s">
        <v>2398</v>
      </c>
      <c r="M421" s="152" t="s">
        <v>2705</v>
      </c>
      <c r="N421" s="152" t="s">
        <v>2705</v>
      </c>
      <c r="O421" s="152" t="s">
        <v>2705</v>
      </c>
      <c r="P421" s="152" t="s">
        <v>2705</v>
      </c>
      <c r="Q421" s="152" t="s">
        <v>2675</v>
      </c>
      <c r="R421" s="152" t="s">
        <v>2705</v>
      </c>
      <c r="S421" s="152" t="s">
        <v>2398</v>
      </c>
      <c r="T421" s="152" t="s">
        <v>2675</v>
      </c>
      <c r="U421" s="152" t="s">
        <v>2675</v>
      </c>
      <c r="V421" s="142" cm="1">
        <f t="array" ref="V421">IF(A421&lt;&gt;"",SUM(--(B421:U422 = "X")*$U$3,--(B421:U422 ="A")*$Q$3,--(B421:U422 ="B")*$R$3,--(B421:U422 ="C")*$S$3),"")</f>
        <v>20</v>
      </c>
      <c r="X421" s="437" t="s">
        <v>7729</v>
      </c>
      <c r="Y421" s="437">
        <v>18</v>
      </c>
      <c r="Z421" s="436">
        <f>_xlfn.XLOOKUP(answers[[#This Row],[StudentID]],$A$7:$A$1418,$V$7:$V$1418)</f>
        <v>18</v>
      </c>
      <c r="AF421" s="142" t="s">
        <v>7527</v>
      </c>
      <c r="AG421" s="142" t="s">
        <v>2705</v>
      </c>
      <c r="AH421" s="142" t="s">
        <v>2398</v>
      </c>
      <c r="AI421" s="142" t="s">
        <v>2705</v>
      </c>
      <c r="AJ421" s="142" t="s">
        <v>2705</v>
      </c>
      <c r="AK421" s="142" t="s">
        <v>2705</v>
      </c>
      <c r="AL421" s="142" t="s">
        <v>2705</v>
      </c>
      <c r="AM421" s="142" t="s">
        <v>1435</v>
      </c>
      <c r="AN421" s="142" t="s">
        <v>2705</v>
      </c>
      <c r="AO421" s="142" t="s">
        <v>2675</v>
      </c>
      <c r="AP421" s="142" t="s">
        <v>1435</v>
      </c>
      <c r="AQ421" s="142" t="s">
        <v>2398</v>
      </c>
      <c r="AR421" s="142" t="s">
        <v>2705</v>
      </c>
      <c r="AS421" s="142" t="s">
        <v>2705</v>
      </c>
      <c r="AT421" s="142" t="s">
        <v>2705</v>
      </c>
      <c r="AU421" s="142" t="s">
        <v>2705</v>
      </c>
      <c r="AV421" s="142" t="s">
        <v>2675</v>
      </c>
      <c r="AW421" s="142" t="s">
        <v>2705</v>
      </c>
      <c r="AX421" s="142" t="s">
        <v>2398</v>
      </c>
      <c r="AY421" s="142" t="s">
        <v>2675</v>
      </c>
      <c r="AZ421" s="142" t="s">
        <v>2675</v>
      </c>
    </row>
    <row r="422" spans="1:52" s="142" customFormat="1" ht="12.75" x14ac:dyDescent="0.2">
      <c r="A422" s="151"/>
      <c r="B422" s="152" t="s">
        <v>2705</v>
      </c>
      <c r="C422" s="152" t="s">
        <v>2675</v>
      </c>
      <c r="D422" s="152" t="s">
        <v>2397</v>
      </c>
      <c r="E422" s="152" t="s">
        <v>2675</v>
      </c>
      <c r="F422" s="152" t="s">
        <v>2705</v>
      </c>
      <c r="G422" s="152" t="s">
        <v>2398</v>
      </c>
      <c r="H422" s="152" t="s">
        <v>2675</v>
      </c>
      <c r="I422" s="152" t="s">
        <v>2705</v>
      </c>
      <c r="J422" s="152" t="s">
        <v>2705</v>
      </c>
      <c r="K422" s="152" t="s">
        <v>2705</v>
      </c>
      <c r="L422" s="152" t="s">
        <v>2705</v>
      </c>
      <c r="M422" s="152" t="s">
        <v>2705</v>
      </c>
      <c r="N422" s="152" t="s">
        <v>2705</v>
      </c>
      <c r="O422" s="152" t="s">
        <v>2705</v>
      </c>
      <c r="P422" s="152" t="s">
        <v>1435</v>
      </c>
      <c r="Q422" s="152" t="s">
        <v>2705</v>
      </c>
      <c r="R422" s="152" t="s">
        <v>2705</v>
      </c>
      <c r="S422" s="152" t="s">
        <v>2705</v>
      </c>
      <c r="T422" s="152" t="s">
        <v>2705</v>
      </c>
      <c r="U422" s="152" t="s">
        <v>2705</v>
      </c>
      <c r="V422" s="142" t="str" cm="1">
        <f t="array" ref="V422">IF(A422&lt;&gt;"",SUM(--(B422:U423 = "X")*$U$3,--(B422:U423 ="A")*$Q$3,--(B422:U423 ="B")*$R$3,--(B422:U423 ="C")*$S$3),"")</f>
        <v/>
      </c>
      <c r="X422" s="437" t="s">
        <v>7730</v>
      </c>
      <c r="Y422" s="437">
        <v>29</v>
      </c>
      <c r="Z422" s="436">
        <f>_xlfn.XLOOKUP(answers[[#This Row],[StudentID]],$A$7:$A$1418,$V$7:$V$1418)</f>
        <v>29</v>
      </c>
      <c r="AG422" s="142" t="s">
        <v>2705</v>
      </c>
      <c r="AH422" s="142" t="s">
        <v>2675</v>
      </c>
      <c r="AI422" s="142" t="s">
        <v>2397</v>
      </c>
      <c r="AJ422" s="142" t="s">
        <v>2675</v>
      </c>
      <c r="AK422" s="142" t="s">
        <v>2705</v>
      </c>
      <c r="AL422" s="142" t="s">
        <v>2398</v>
      </c>
      <c r="AM422" s="142" t="s">
        <v>2675</v>
      </c>
      <c r="AN422" s="142" t="s">
        <v>2705</v>
      </c>
      <c r="AO422" s="142" t="s">
        <v>2705</v>
      </c>
      <c r="AP422" s="142" t="s">
        <v>2705</v>
      </c>
      <c r="AQ422" s="142" t="s">
        <v>2705</v>
      </c>
      <c r="AR422" s="142" t="s">
        <v>2705</v>
      </c>
      <c r="AS422" s="142" t="s">
        <v>2705</v>
      </c>
      <c r="AT422" s="142" t="s">
        <v>2705</v>
      </c>
      <c r="AU422" s="142" t="s">
        <v>1435</v>
      </c>
      <c r="AV422" s="142" t="s">
        <v>2705</v>
      </c>
      <c r="AW422" s="142" t="s">
        <v>2705</v>
      </c>
      <c r="AX422" s="142" t="s">
        <v>2705</v>
      </c>
      <c r="AY422" s="142" t="s">
        <v>2705</v>
      </c>
      <c r="AZ422" s="142" t="s">
        <v>2705</v>
      </c>
    </row>
    <row r="423" spans="1:52" s="142" customFormat="1" ht="12.75" x14ac:dyDescent="0.2">
      <c r="A423" s="151" t="s">
        <v>7528</v>
      </c>
      <c r="B423" s="152" t="s">
        <v>2705</v>
      </c>
      <c r="C423" s="152" t="s">
        <v>2398</v>
      </c>
      <c r="D423" s="152" t="s">
        <v>2398</v>
      </c>
      <c r="E423" s="152" t="s">
        <v>2705</v>
      </c>
      <c r="F423" s="152" t="s">
        <v>2705</v>
      </c>
      <c r="G423" s="152" t="s">
        <v>2398</v>
      </c>
      <c r="H423" s="152" t="s">
        <v>1435</v>
      </c>
      <c r="I423" s="152" t="s">
        <v>2705</v>
      </c>
      <c r="J423" s="152" t="s">
        <v>2705</v>
      </c>
      <c r="K423" s="152" t="s">
        <v>2398</v>
      </c>
      <c r="L423" s="152" t="s">
        <v>2705</v>
      </c>
      <c r="M423" s="152" t="s">
        <v>2705</v>
      </c>
      <c r="N423" s="152" t="s">
        <v>1435</v>
      </c>
      <c r="O423" s="152" t="s">
        <v>2705</v>
      </c>
      <c r="P423" s="152" t="s">
        <v>1435</v>
      </c>
      <c r="Q423" s="152" t="s">
        <v>2705</v>
      </c>
      <c r="R423" s="152" t="s">
        <v>1435</v>
      </c>
      <c r="S423" s="152" t="s">
        <v>2705</v>
      </c>
      <c r="T423" s="152" t="s">
        <v>2398</v>
      </c>
      <c r="U423" s="152" t="s">
        <v>2675</v>
      </c>
      <c r="V423" s="142" cm="1">
        <f t="array" ref="V423">IF(A423&lt;&gt;"",SUM(--(B423:U424 = "X")*$U$3,--(B423:U424 ="A")*$Q$3,--(B423:U424 ="B")*$R$3,--(B423:U424 ="C")*$S$3),"")</f>
        <v>11.5</v>
      </c>
      <c r="X423" s="437" t="s">
        <v>7731</v>
      </c>
      <c r="Y423" s="437">
        <v>17</v>
      </c>
      <c r="Z423" s="436">
        <f>_xlfn.XLOOKUP(answers[[#This Row],[StudentID]],$A$7:$A$1418,$V$7:$V$1418)</f>
        <v>17</v>
      </c>
      <c r="AF423" s="142" t="s">
        <v>7528</v>
      </c>
      <c r="AG423" s="142" t="s">
        <v>2705</v>
      </c>
      <c r="AH423" s="142" t="s">
        <v>2398</v>
      </c>
      <c r="AI423" s="142" t="s">
        <v>2398</v>
      </c>
      <c r="AJ423" s="142" t="s">
        <v>2705</v>
      </c>
      <c r="AK423" s="142" t="s">
        <v>2705</v>
      </c>
      <c r="AL423" s="142" t="s">
        <v>2398</v>
      </c>
      <c r="AM423" s="142" t="s">
        <v>1435</v>
      </c>
      <c r="AN423" s="142" t="s">
        <v>2705</v>
      </c>
      <c r="AO423" s="142" t="s">
        <v>2705</v>
      </c>
      <c r="AP423" s="142" t="s">
        <v>2398</v>
      </c>
      <c r="AQ423" s="142" t="s">
        <v>2705</v>
      </c>
      <c r="AR423" s="142" t="s">
        <v>2705</v>
      </c>
      <c r="AS423" s="142" t="s">
        <v>1435</v>
      </c>
      <c r="AT423" s="142" t="s">
        <v>2705</v>
      </c>
      <c r="AU423" s="142" t="s">
        <v>1435</v>
      </c>
      <c r="AV423" s="142" t="s">
        <v>2705</v>
      </c>
      <c r="AW423" s="142" t="s">
        <v>1435</v>
      </c>
      <c r="AX423" s="142" t="s">
        <v>2705</v>
      </c>
      <c r="AY423" s="142" t="s">
        <v>2398</v>
      </c>
      <c r="AZ423" s="142" t="s">
        <v>2675</v>
      </c>
    </row>
    <row r="424" spans="1:52" s="142" customFormat="1" ht="12.75" x14ac:dyDescent="0.2">
      <c r="A424" s="151"/>
      <c r="B424" s="152" t="s">
        <v>1435</v>
      </c>
      <c r="C424" s="152" t="s">
        <v>2398</v>
      </c>
      <c r="D424" s="152" t="s">
        <v>2397</v>
      </c>
      <c r="E424" s="152" t="s">
        <v>2675</v>
      </c>
      <c r="F424" s="152" t="s">
        <v>2675</v>
      </c>
      <c r="G424" s="152" t="s">
        <v>2705</v>
      </c>
      <c r="H424" s="152" t="s">
        <v>1435</v>
      </c>
      <c r="I424" s="152" t="s">
        <v>2675</v>
      </c>
      <c r="J424" s="152" t="s">
        <v>2397</v>
      </c>
      <c r="K424" s="152" t="s">
        <v>2705</v>
      </c>
      <c r="L424" s="152" t="s">
        <v>2705</v>
      </c>
      <c r="M424" s="152" t="s">
        <v>2705</v>
      </c>
      <c r="N424" s="152" t="s">
        <v>2705</v>
      </c>
      <c r="O424" s="152" t="s">
        <v>2397</v>
      </c>
      <c r="P424" s="152" t="s">
        <v>2398</v>
      </c>
      <c r="Q424" s="152" t="s">
        <v>2705</v>
      </c>
      <c r="R424" s="152" t="s">
        <v>1435</v>
      </c>
      <c r="S424" s="152" t="s">
        <v>2398</v>
      </c>
      <c r="T424" s="152" t="s">
        <v>2705</v>
      </c>
      <c r="U424" s="152" t="s">
        <v>2397</v>
      </c>
      <c r="V424" s="142" t="str" cm="1">
        <f t="array" ref="V424">IF(A424&lt;&gt;"",SUM(--(B424:U425 = "X")*$U$3,--(B424:U425 ="A")*$Q$3,--(B424:U425 ="B")*$R$3,--(B424:U425 ="C")*$S$3),"")</f>
        <v/>
      </c>
      <c r="X424" s="437" t="s">
        <v>7732</v>
      </c>
      <c r="Y424" s="437">
        <v>32.5</v>
      </c>
      <c r="Z424" s="436">
        <f>_xlfn.XLOOKUP(answers[[#This Row],[StudentID]],$A$7:$A$1418,$V$7:$V$1418)</f>
        <v>32.5</v>
      </c>
      <c r="AG424" s="142" t="s">
        <v>1435</v>
      </c>
      <c r="AH424" s="142" t="s">
        <v>2398</v>
      </c>
      <c r="AI424" s="142" t="s">
        <v>2397</v>
      </c>
      <c r="AJ424" s="142" t="s">
        <v>2675</v>
      </c>
      <c r="AK424" s="142" t="s">
        <v>2675</v>
      </c>
      <c r="AL424" s="142" t="s">
        <v>2705</v>
      </c>
      <c r="AM424" s="142" t="s">
        <v>1435</v>
      </c>
      <c r="AN424" s="142" t="s">
        <v>2675</v>
      </c>
      <c r="AO424" s="142" t="s">
        <v>2397</v>
      </c>
      <c r="AP424" s="142" t="s">
        <v>2705</v>
      </c>
      <c r="AQ424" s="142" t="s">
        <v>2705</v>
      </c>
      <c r="AR424" s="142" t="s">
        <v>2705</v>
      </c>
      <c r="AS424" s="142" t="s">
        <v>2705</v>
      </c>
      <c r="AT424" s="142" t="s">
        <v>2397</v>
      </c>
      <c r="AU424" s="142" t="s">
        <v>2398</v>
      </c>
      <c r="AV424" s="142" t="s">
        <v>2705</v>
      </c>
      <c r="AW424" s="142" t="s">
        <v>1435</v>
      </c>
      <c r="AX424" s="142" t="s">
        <v>2398</v>
      </c>
      <c r="AY424" s="142" t="s">
        <v>2705</v>
      </c>
      <c r="AZ424" s="142" t="s">
        <v>2397</v>
      </c>
    </row>
    <row r="425" spans="1:52" s="142" customFormat="1" ht="12.75" x14ac:dyDescent="0.2">
      <c r="A425" s="151" t="s">
        <v>7529</v>
      </c>
      <c r="B425" s="152" t="s">
        <v>2705</v>
      </c>
      <c r="C425" s="152" t="s">
        <v>2705</v>
      </c>
      <c r="D425" s="152" t="s">
        <v>2705</v>
      </c>
      <c r="E425" s="152" t="s">
        <v>2705</v>
      </c>
      <c r="F425" s="152" t="s">
        <v>2705</v>
      </c>
      <c r="G425" s="152" t="s">
        <v>1435</v>
      </c>
      <c r="H425" s="152" t="s">
        <v>2705</v>
      </c>
      <c r="I425" s="152" t="s">
        <v>2705</v>
      </c>
      <c r="J425" s="152" t="s">
        <v>2705</v>
      </c>
      <c r="K425" s="152" t="s">
        <v>2705</v>
      </c>
      <c r="L425" s="152" t="s">
        <v>2705</v>
      </c>
      <c r="M425" s="152" t="s">
        <v>2705</v>
      </c>
      <c r="N425" s="152" t="s">
        <v>2705</v>
      </c>
      <c r="O425" s="152" t="s">
        <v>1435</v>
      </c>
      <c r="P425" s="152" t="s">
        <v>2705</v>
      </c>
      <c r="Q425" s="152" t="s">
        <v>2705</v>
      </c>
      <c r="R425" s="152" t="s">
        <v>2705</v>
      </c>
      <c r="S425" s="152" t="s">
        <v>2705</v>
      </c>
      <c r="T425" s="152" t="s">
        <v>2705</v>
      </c>
      <c r="U425" s="152" t="s">
        <v>2705</v>
      </c>
      <c r="V425" s="142" cm="1">
        <f t="array" ref="V425">IF(A425&lt;&gt;"",SUM(--(B425:U426 = "X")*$U$3,--(B425:U426 ="A")*$Q$3,--(B425:U426 ="B")*$R$3,--(B425:U426 ="C")*$S$3),"")</f>
        <v>34</v>
      </c>
      <c r="X425" s="437" t="s">
        <v>7733</v>
      </c>
      <c r="Y425" s="437">
        <v>6</v>
      </c>
      <c r="Z425" s="436">
        <f>_xlfn.XLOOKUP(answers[[#This Row],[StudentID]],$A$7:$A$1418,$V$7:$V$1418)</f>
        <v>6</v>
      </c>
      <c r="AF425" s="142" t="s">
        <v>7529</v>
      </c>
      <c r="AG425" s="142" t="s">
        <v>2705</v>
      </c>
      <c r="AH425" s="142" t="s">
        <v>2705</v>
      </c>
      <c r="AI425" s="142" t="s">
        <v>2705</v>
      </c>
      <c r="AJ425" s="142" t="s">
        <v>2705</v>
      </c>
      <c r="AK425" s="142" t="s">
        <v>2705</v>
      </c>
      <c r="AL425" s="142" t="s">
        <v>1435</v>
      </c>
      <c r="AM425" s="142" t="s">
        <v>2705</v>
      </c>
      <c r="AN425" s="142" t="s">
        <v>2705</v>
      </c>
      <c r="AO425" s="142" t="s">
        <v>2705</v>
      </c>
      <c r="AP425" s="142" t="s">
        <v>2705</v>
      </c>
      <c r="AQ425" s="142" t="s">
        <v>2705</v>
      </c>
      <c r="AR425" s="142" t="s">
        <v>2705</v>
      </c>
      <c r="AS425" s="142" t="s">
        <v>2705</v>
      </c>
      <c r="AT425" s="142" t="s">
        <v>1435</v>
      </c>
      <c r="AU425" s="142" t="s">
        <v>2705</v>
      </c>
      <c r="AV425" s="142" t="s">
        <v>2705</v>
      </c>
      <c r="AW425" s="142" t="s">
        <v>2705</v>
      </c>
      <c r="AX425" s="142" t="s">
        <v>2705</v>
      </c>
      <c r="AY425" s="142" t="s">
        <v>2705</v>
      </c>
      <c r="AZ425" s="142" t="s">
        <v>2705</v>
      </c>
    </row>
    <row r="426" spans="1:52" s="142" customFormat="1" ht="12.75" x14ac:dyDescent="0.2">
      <c r="A426" s="151"/>
      <c r="B426" s="152" t="s">
        <v>2705</v>
      </c>
      <c r="C426" s="152" t="s">
        <v>2705</v>
      </c>
      <c r="D426" s="152" t="s">
        <v>1435</v>
      </c>
      <c r="E426" s="152" t="s">
        <v>2705</v>
      </c>
      <c r="F426" s="152" t="s">
        <v>2705</v>
      </c>
      <c r="G426" s="152" t="s">
        <v>1435</v>
      </c>
      <c r="H426" s="152" t="s">
        <v>2705</v>
      </c>
      <c r="I426" s="152" t="s">
        <v>2705</v>
      </c>
      <c r="J426" s="152" t="s">
        <v>2705</v>
      </c>
      <c r="K426" s="152" t="s">
        <v>2705</v>
      </c>
      <c r="L426" s="152" t="s">
        <v>2705</v>
      </c>
      <c r="M426" s="152" t="s">
        <v>2705</v>
      </c>
      <c r="N426" s="152" t="s">
        <v>2705</v>
      </c>
      <c r="O426" s="152" t="s">
        <v>2705</v>
      </c>
      <c r="P426" s="152" t="s">
        <v>2705</v>
      </c>
      <c r="Q426" s="152" t="s">
        <v>2705</v>
      </c>
      <c r="R426" s="152" t="s">
        <v>2705</v>
      </c>
      <c r="S426" s="152" t="s">
        <v>2705</v>
      </c>
      <c r="T426" s="152" t="s">
        <v>2705</v>
      </c>
      <c r="U426" s="152" t="s">
        <v>2705</v>
      </c>
      <c r="V426" s="142" t="str" cm="1">
        <f t="array" ref="V426">IF(A426&lt;&gt;"",SUM(--(B426:U427 = "X")*$U$3,--(B426:U427 ="A")*$Q$3,--(B426:U427 ="B")*$R$3,--(B426:U427 ="C")*$S$3),"")</f>
        <v/>
      </c>
      <c r="X426" s="437" t="s">
        <v>7734</v>
      </c>
      <c r="Y426" s="437">
        <v>16.5</v>
      </c>
      <c r="Z426" s="436">
        <f>_xlfn.XLOOKUP(answers[[#This Row],[StudentID]],$A$7:$A$1418,$V$7:$V$1418)</f>
        <v>16.5</v>
      </c>
      <c r="AG426" s="142" t="s">
        <v>2705</v>
      </c>
      <c r="AH426" s="142" t="s">
        <v>2705</v>
      </c>
      <c r="AI426" s="142" t="s">
        <v>1435</v>
      </c>
      <c r="AJ426" s="142" t="s">
        <v>2705</v>
      </c>
      <c r="AK426" s="142" t="s">
        <v>2705</v>
      </c>
      <c r="AL426" s="142" t="s">
        <v>1435</v>
      </c>
      <c r="AM426" s="142" t="s">
        <v>2705</v>
      </c>
      <c r="AN426" s="142" t="s">
        <v>2705</v>
      </c>
      <c r="AO426" s="142" t="s">
        <v>2705</v>
      </c>
      <c r="AP426" s="142" t="s">
        <v>2705</v>
      </c>
      <c r="AQ426" s="142" t="s">
        <v>2705</v>
      </c>
      <c r="AR426" s="142" t="s">
        <v>2705</v>
      </c>
      <c r="AS426" s="142" t="s">
        <v>2705</v>
      </c>
      <c r="AT426" s="142" t="s">
        <v>2705</v>
      </c>
      <c r="AU426" s="142" t="s">
        <v>2705</v>
      </c>
      <c r="AV426" s="142" t="s">
        <v>2705</v>
      </c>
      <c r="AW426" s="142" t="s">
        <v>2705</v>
      </c>
      <c r="AX426" s="142" t="s">
        <v>2705</v>
      </c>
      <c r="AY426" s="142" t="s">
        <v>2705</v>
      </c>
      <c r="AZ426" s="142" t="s">
        <v>2705</v>
      </c>
    </row>
    <row r="427" spans="1:52" s="142" customFormat="1" ht="12.75" x14ac:dyDescent="0.2">
      <c r="A427" s="151" t="s">
        <v>7530</v>
      </c>
      <c r="B427" s="152" t="s">
        <v>2705</v>
      </c>
      <c r="C427" s="152" t="s">
        <v>2705</v>
      </c>
      <c r="D427" s="152" t="s">
        <v>2705</v>
      </c>
      <c r="E427" s="152" t="s">
        <v>2398</v>
      </c>
      <c r="F427" s="152" t="s">
        <v>2398</v>
      </c>
      <c r="G427" s="152" t="s">
        <v>1435</v>
      </c>
      <c r="H427" s="152" t="s">
        <v>1435</v>
      </c>
      <c r="I427" s="152" t="s">
        <v>2705</v>
      </c>
      <c r="J427" s="152" t="s">
        <v>2675</v>
      </c>
      <c r="K427" s="152" t="s">
        <v>2705</v>
      </c>
      <c r="L427" s="152" t="s">
        <v>2705</v>
      </c>
      <c r="M427" s="152" t="s">
        <v>2705</v>
      </c>
      <c r="N427" s="152" t="s">
        <v>2705</v>
      </c>
      <c r="O427" s="152" t="s">
        <v>2705</v>
      </c>
      <c r="P427" s="152" t="s">
        <v>2705</v>
      </c>
      <c r="Q427" s="152" t="s">
        <v>2398</v>
      </c>
      <c r="R427" s="152" t="s">
        <v>2705</v>
      </c>
      <c r="S427" s="152" t="s">
        <v>2398</v>
      </c>
      <c r="T427" s="152" t="s">
        <v>2398</v>
      </c>
      <c r="U427" s="152" t="s">
        <v>2705</v>
      </c>
      <c r="V427" s="142" cm="1">
        <f t="array" ref="V427">IF(A427&lt;&gt;"",SUM(--(B427:U428 = "X")*$U$3,--(B427:U428 ="A")*$Q$3,--(B427:U428 ="B")*$R$3,--(B427:U428 ="C")*$S$3),"")</f>
        <v>22</v>
      </c>
      <c r="X427" s="437" t="s">
        <v>7735</v>
      </c>
      <c r="Y427" s="437">
        <v>25</v>
      </c>
      <c r="Z427" s="436">
        <f>_xlfn.XLOOKUP(answers[[#This Row],[StudentID]],$A$7:$A$1418,$V$7:$V$1418)</f>
        <v>25</v>
      </c>
      <c r="AF427" s="142" t="s">
        <v>7530</v>
      </c>
      <c r="AG427" s="142" t="s">
        <v>2705</v>
      </c>
      <c r="AH427" s="142" t="s">
        <v>2705</v>
      </c>
      <c r="AI427" s="142" t="s">
        <v>2705</v>
      </c>
      <c r="AJ427" s="142" t="s">
        <v>2398</v>
      </c>
      <c r="AK427" s="142" t="s">
        <v>2398</v>
      </c>
      <c r="AL427" s="142" t="s">
        <v>1435</v>
      </c>
      <c r="AM427" s="142" t="s">
        <v>1435</v>
      </c>
      <c r="AN427" s="142" t="s">
        <v>2705</v>
      </c>
      <c r="AO427" s="142" t="s">
        <v>2675</v>
      </c>
      <c r="AP427" s="142" t="s">
        <v>2705</v>
      </c>
      <c r="AQ427" s="142" t="s">
        <v>2705</v>
      </c>
      <c r="AR427" s="142" t="s">
        <v>2705</v>
      </c>
      <c r="AS427" s="142" t="s">
        <v>2705</v>
      </c>
      <c r="AT427" s="142" t="s">
        <v>2705</v>
      </c>
      <c r="AU427" s="142" t="s">
        <v>2705</v>
      </c>
      <c r="AV427" s="142" t="s">
        <v>2398</v>
      </c>
      <c r="AW427" s="142" t="s">
        <v>2705</v>
      </c>
      <c r="AX427" s="142" t="s">
        <v>2398</v>
      </c>
      <c r="AY427" s="142" t="s">
        <v>2398</v>
      </c>
      <c r="AZ427" s="142" t="s">
        <v>2705</v>
      </c>
    </row>
    <row r="428" spans="1:52" s="142" customFormat="1" ht="12.75" x14ac:dyDescent="0.2">
      <c r="A428" s="151"/>
      <c r="B428" s="152" t="s">
        <v>2705</v>
      </c>
      <c r="C428" s="152" t="s">
        <v>2705</v>
      </c>
      <c r="D428" s="152" t="s">
        <v>2705</v>
      </c>
      <c r="E428" s="152" t="s">
        <v>2398</v>
      </c>
      <c r="F428" s="152" t="s">
        <v>2675</v>
      </c>
      <c r="G428" s="152" t="s">
        <v>2705</v>
      </c>
      <c r="H428" s="152" t="s">
        <v>2675</v>
      </c>
      <c r="I428" s="152" t="s">
        <v>2705</v>
      </c>
      <c r="J428" s="152" t="s">
        <v>2705</v>
      </c>
      <c r="K428" s="152" t="s">
        <v>2705</v>
      </c>
      <c r="L428" s="152" t="s">
        <v>2398</v>
      </c>
      <c r="M428" s="152" t="s">
        <v>2705</v>
      </c>
      <c r="N428" s="152" t="s">
        <v>2705</v>
      </c>
      <c r="O428" s="152" t="s">
        <v>2398</v>
      </c>
      <c r="P428" s="152" t="s">
        <v>2705</v>
      </c>
      <c r="Q428" s="152" t="s">
        <v>2705</v>
      </c>
      <c r="R428" s="152" t="s">
        <v>2398</v>
      </c>
      <c r="S428" s="152" t="s">
        <v>2675</v>
      </c>
      <c r="T428" s="152" t="s">
        <v>2705</v>
      </c>
      <c r="U428" s="152" t="s">
        <v>2705</v>
      </c>
      <c r="V428" s="142" t="str" cm="1">
        <f t="array" ref="V428">IF(A428&lt;&gt;"",SUM(--(B428:U429 = "X")*$U$3,--(B428:U429 ="A")*$Q$3,--(B428:U429 ="B")*$R$3,--(B428:U429 ="C")*$S$3),"")</f>
        <v/>
      </c>
      <c r="X428" s="437" t="s">
        <v>7736</v>
      </c>
      <c r="Y428" s="437">
        <v>21.5</v>
      </c>
      <c r="Z428" s="436">
        <f>_xlfn.XLOOKUP(answers[[#This Row],[StudentID]],$A$7:$A$1418,$V$7:$V$1418)</f>
        <v>21.5</v>
      </c>
      <c r="AG428" s="142" t="s">
        <v>2705</v>
      </c>
      <c r="AH428" s="142" t="s">
        <v>2705</v>
      </c>
      <c r="AI428" s="142" t="s">
        <v>2705</v>
      </c>
      <c r="AJ428" s="142" t="s">
        <v>2398</v>
      </c>
      <c r="AK428" s="142" t="s">
        <v>2675</v>
      </c>
      <c r="AL428" s="142" t="s">
        <v>2705</v>
      </c>
      <c r="AM428" s="142" t="s">
        <v>2675</v>
      </c>
      <c r="AN428" s="142" t="s">
        <v>2705</v>
      </c>
      <c r="AO428" s="142" t="s">
        <v>2705</v>
      </c>
      <c r="AP428" s="142" t="s">
        <v>2705</v>
      </c>
      <c r="AQ428" s="142" t="s">
        <v>2398</v>
      </c>
      <c r="AR428" s="142" t="s">
        <v>2705</v>
      </c>
      <c r="AS428" s="142" t="s">
        <v>2705</v>
      </c>
      <c r="AT428" s="142" t="s">
        <v>2398</v>
      </c>
      <c r="AU428" s="142" t="s">
        <v>2705</v>
      </c>
      <c r="AV428" s="142" t="s">
        <v>2705</v>
      </c>
      <c r="AW428" s="142" t="s">
        <v>2398</v>
      </c>
      <c r="AX428" s="142" t="s">
        <v>2675</v>
      </c>
      <c r="AY428" s="142" t="s">
        <v>2705</v>
      </c>
      <c r="AZ428" s="142" t="s">
        <v>2705</v>
      </c>
    </row>
    <row r="429" spans="1:52" s="142" customFormat="1" ht="12.75" x14ac:dyDescent="0.2">
      <c r="A429" s="151" t="s">
        <v>7531</v>
      </c>
      <c r="B429" s="152" t="s">
        <v>2397</v>
      </c>
      <c r="C429" s="152" t="s">
        <v>2398</v>
      </c>
      <c r="D429" s="152" t="s">
        <v>2705</v>
      </c>
      <c r="E429" s="152" t="s">
        <v>2705</v>
      </c>
      <c r="F429" s="152" t="s">
        <v>2397</v>
      </c>
      <c r="G429" s="152" t="s">
        <v>2705</v>
      </c>
      <c r="H429" s="152" t="s">
        <v>2705</v>
      </c>
      <c r="I429" s="152" t="s">
        <v>2705</v>
      </c>
      <c r="J429" s="152" t="s">
        <v>2398</v>
      </c>
      <c r="K429" s="152" t="s">
        <v>2397</v>
      </c>
      <c r="L429" s="152" t="s">
        <v>2675</v>
      </c>
      <c r="M429" s="152" t="s">
        <v>2675</v>
      </c>
      <c r="N429" s="152" t="s">
        <v>2398</v>
      </c>
      <c r="O429" s="152" t="s">
        <v>2705</v>
      </c>
      <c r="P429" s="152" t="s">
        <v>2398</v>
      </c>
      <c r="Q429" s="152" t="s">
        <v>1435</v>
      </c>
      <c r="R429" s="152" t="s">
        <v>2398</v>
      </c>
      <c r="S429" s="152" t="s">
        <v>2675</v>
      </c>
      <c r="T429" s="152" t="s">
        <v>2398</v>
      </c>
      <c r="U429" s="152" t="s">
        <v>2675</v>
      </c>
      <c r="V429" s="142" cm="1">
        <f t="array" ref="V429">IF(A429&lt;&gt;"",SUM(--(B429:U430 = "X")*$U$3,--(B429:U430 ="A")*$Q$3,--(B429:U430 ="B")*$R$3,--(B429:U430 ="C")*$S$3),"")</f>
        <v>9.5</v>
      </c>
      <c r="X429" s="437" t="s">
        <v>7737</v>
      </c>
      <c r="Y429" s="437">
        <v>23</v>
      </c>
      <c r="Z429" s="436">
        <f>_xlfn.XLOOKUP(answers[[#This Row],[StudentID]],$A$7:$A$1418,$V$7:$V$1418)</f>
        <v>23</v>
      </c>
      <c r="AF429" s="142" t="s">
        <v>7531</v>
      </c>
      <c r="AG429" s="142" t="s">
        <v>2397</v>
      </c>
      <c r="AH429" s="142" t="s">
        <v>2398</v>
      </c>
      <c r="AI429" s="142" t="s">
        <v>2705</v>
      </c>
      <c r="AJ429" s="142" t="s">
        <v>2705</v>
      </c>
      <c r="AK429" s="142" t="s">
        <v>2397</v>
      </c>
      <c r="AL429" s="142" t="s">
        <v>2705</v>
      </c>
      <c r="AM429" s="142" t="s">
        <v>2705</v>
      </c>
      <c r="AN429" s="142" t="s">
        <v>2705</v>
      </c>
      <c r="AO429" s="142" t="s">
        <v>2398</v>
      </c>
      <c r="AP429" s="142" t="s">
        <v>2397</v>
      </c>
      <c r="AQ429" s="142" t="s">
        <v>2675</v>
      </c>
      <c r="AR429" s="142" t="s">
        <v>2675</v>
      </c>
      <c r="AS429" s="142" t="s">
        <v>2398</v>
      </c>
      <c r="AT429" s="142" t="s">
        <v>2705</v>
      </c>
      <c r="AU429" s="142" t="s">
        <v>2398</v>
      </c>
      <c r="AV429" s="142" t="s">
        <v>1435</v>
      </c>
      <c r="AW429" s="142" t="s">
        <v>2398</v>
      </c>
      <c r="AX429" s="142" t="s">
        <v>2675</v>
      </c>
      <c r="AY429" s="142" t="s">
        <v>2398</v>
      </c>
      <c r="AZ429" s="142" t="s">
        <v>2675</v>
      </c>
    </row>
    <row r="430" spans="1:52" s="142" customFormat="1" ht="12.75" x14ac:dyDescent="0.2">
      <c r="A430" s="151"/>
      <c r="B430" s="152" t="s">
        <v>2398</v>
      </c>
      <c r="C430" s="152" t="s">
        <v>2398</v>
      </c>
      <c r="D430" s="152" t="s">
        <v>2398</v>
      </c>
      <c r="E430" s="152" t="s">
        <v>2675</v>
      </c>
      <c r="F430" s="152" t="s">
        <v>2398</v>
      </c>
      <c r="G430" s="152" t="s">
        <v>2705</v>
      </c>
      <c r="H430" s="152" t="s">
        <v>2705</v>
      </c>
      <c r="I430" s="152" t="s">
        <v>2675</v>
      </c>
      <c r="J430" s="152" t="s">
        <v>2398</v>
      </c>
      <c r="K430" s="152" t="s">
        <v>1435</v>
      </c>
      <c r="L430" s="152" t="s">
        <v>2675</v>
      </c>
      <c r="M430" s="152" t="s">
        <v>2705</v>
      </c>
      <c r="N430" s="152" t="s">
        <v>2705</v>
      </c>
      <c r="O430" s="152" t="s">
        <v>2705</v>
      </c>
      <c r="P430" s="152" t="s">
        <v>2705</v>
      </c>
      <c r="Q430" s="152" t="s">
        <v>2398</v>
      </c>
      <c r="R430" s="152" t="s">
        <v>2398</v>
      </c>
      <c r="S430" s="152" t="s">
        <v>2705</v>
      </c>
      <c r="T430" s="152" t="s">
        <v>2705</v>
      </c>
      <c r="U430" s="152" t="s">
        <v>2398</v>
      </c>
      <c r="V430" s="142" t="str" cm="1">
        <f t="array" ref="V430">IF(A430&lt;&gt;"",SUM(--(B430:U431 = "X")*$U$3,--(B430:U431 ="A")*$Q$3,--(B430:U431 ="B")*$R$3,--(B430:U431 ="C")*$S$3),"")</f>
        <v/>
      </c>
      <c r="X430" s="437" t="s">
        <v>7738</v>
      </c>
      <c r="Y430" s="437">
        <v>21.5</v>
      </c>
      <c r="Z430" s="436">
        <f>_xlfn.XLOOKUP(answers[[#This Row],[StudentID]],$A$7:$A$1418,$V$7:$V$1418)</f>
        <v>21.5</v>
      </c>
      <c r="AG430" s="142" t="s">
        <v>2398</v>
      </c>
      <c r="AH430" s="142" t="s">
        <v>2398</v>
      </c>
      <c r="AI430" s="142" t="s">
        <v>2398</v>
      </c>
      <c r="AJ430" s="142" t="s">
        <v>2675</v>
      </c>
      <c r="AK430" s="142" t="s">
        <v>2398</v>
      </c>
      <c r="AL430" s="142" t="s">
        <v>2705</v>
      </c>
      <c r="AM430" s="142" t="s">
        <v>2705</v>
      </c>
      <c r="AN430" s="142" t="s">
        <v>2675</v>
      </c>
      <c r="AO430" s="142" t="s">
        <v>2398</v>
      </c>
      <c r="AP430" s="142" t="s">
        <v>1435</v>
      </c>
      <c r="AQ430" s="142" t="s">
        <v>2675</v>
      </c>
      <c r="AR430" s="142" t="s">
        <v>2705</v>
      </c>
      <c r="AS430" s="142" t="s">
        <v>2705</v>
      </c>
      <c r="AT430" s="142" t="s">
        <v>2705</v>
      </c>
      <c r="AU430" s="142" t="s">
        <v>2705</v>
      </c>
      <c r="AV430" s="142" t="s">
        <v>2398</v>
      </c>
      <c r="AW430" s="142" t="s">
        <v>2398</v>
      </c>
      <c r="AX430" s="142" t="s">
        <v>2705</v>
      </c>
      <c r="AY430" s="142" t="s">
        <v>2705</v>
      </c>
      <c r="AZ430" s="142" t="s">
        <v>2398</v>
      </c>
    </row>
    <row r="431" spans="1:52" s="142" customFormat="1" ht="12.75" x14ac:dyDescent="0.2">
      <c r="A431" s="151" t="s">
        <v>7532</v>
      </c>
      <c r="B431" s="152" t="s">
        <v>2398</v>
      </c>
      <c r="C431" s="152" t="s">
        <v>2705</v>
      </c>
      <c r="D431" s="152" t="s">
        <v>2398</v>
      </c>
      <c r="E431" s="152" t="s">
        <v>2398</v>
      </c>
      <c r="F431" s="152" t="s">
        <v>2397</v>
      </c>
      <c r="G431" s="152" t="s">
        <v>2705</v>
      </c>
      <c r="H431" s="152" t="s">
        <v>2705</v>
      </c>
      <c r="I431" s="152" t="s">
        <v>2398</v>
      </c>
      <c r="J431" s="152" t="s">
        <v>2675</v>
      </c>
      <c r="K431" s="152" t="s">
        <v>2705</v>
      </c>
      <c r="L431" s="152" t="s">
        <v>2398</v>
      </c>
      <c r="M431" s="152" t="s">
        <v>1435</v>
      </c>
      <c r="N431" s="152" t="s">
        <v>2398</v>
      </c>
      <c r="O431" s="152" t="s">
        <v>2705</v>
      </c>
      <c r="P431" s="152" t="s">
        <v>1435</v>
      </c>
      <c r="Q431" s="152" t="s">
        <v>2705</v>
      </c>
      <c r="R431" s="152" t="s">
        <v>2705</v>
      </c>
      <c r="S431" s="152" t="s">
        <v>2705</v>
      </c>
      <c r="T431" s="152" t="s">
        <v>2398</v>
      </c>
      <c r="U431" s="152" t="s">
        <v>2705</v>
      </c>
      <c r="V431" s="142" cm="1">
        <f t="array" ref="V431">IF(A431&lt;&gt;"",SUM(--(B431:U432 = "X")*$U$3,--(B431:U432 ="A")*$Q$3,--(B431:U432 ="B")*$R$3,--(B431:U432 ="C")*$S$3),"")</f>
        <v>15.5</v>
      </c>
      <c r="X431" s="437" t="s">
        <v>7739</v>
      </c>
      <c r="Y431" s="437">
        <v>25</v>
      </c>
      <c r="Z431" s="436">
        <f>_xlfn.XLOOKUP(answers[[#This Row],[StudentID]],$A$7:$A$1418,$V$7:$V$1418)</f>
        <v>25</v>
      </c>
      <c r="AF431" s="142" t="s">
        <v>7532</v>
      </c>
      <c r="AG431" s="142" t="s">
        <v>2398</v>
      </c>
      <c r="AH431" s="142" t="s">
        <v>2705</v>
      </c>
      <c r="AI431" s="142" t="s">
        <v>2398</v>
      </c>
      <c r="AJ431" s="142" t="s">
        <v>2398</v>
      </c>
      <c r="AK431" s="142" t="s">
        <v>2397</v>
      </c>
      <c r="AL431" s="142" t="s">
        <v>2705</v>
      </c>
      <c r="AM431" s="142" t="s">
        <v>2705</v>
      </c>
      <c r="AN431" s="142" t="s">
        <v>2398</v>
      </c>
      <c r="AO431" s="142" t="s">
        <v>2675</v>
      </c>
      <c r="AP431" s="142" t="s">
        <v>2705</v>
      </c>
      <c r="AQ431" s="142" t="s">
        <v>2398</v>
      </c>
      <c r="AR431" s="142" t="s">
        <v>1435</v>
      </c>
      <c r="AS431" s="142" t="s">
        <v>2398</v>
      </c>
      <c r="AT431" s="142" t="s">
        <v>2705</v>
      </c>
      <c r="AU431" s="142" t="s">
        <v>1435</v>
      </c>
      <c r="AV431" s="142" t="s">
        <v>2705</v>
      </c>
      <c r="AW431" s="142" t="s">
        <v>2705</v>
      </c>
      <c r="AX431" s="142" t="s">
        <v>2705</v>
      </c>
      <c r="AY431" s="142" t="s">
        <v>2398</v>
      </c>
      <c r="AZ431" s="142" t="s">
        <v>2705</v>
      </c>
    </row>
    <row r="432" spans="1:52" s="142" customFormat="1" ht="12.75" x14ac:dyDescent="0.2">
      <c r="A432" s="151"/>
      <c r="B432" s="152" t="s">
        <v>2675</v>
      </c>
      <c r="C432" s="152" t="s">
        <v>2398</v>
      </c>
      <c r="D432" s="152" t="s">
        <v>2398</v>
      </c>
      <c r="E432" s="152" t="s">
        <v>2675</v>
      </c>
      <c r="F432" s="152" t="s">
        <v>2705</v>
      </c>
      <c r="G432" s="152" t="s">
        <v>2705</v>
      </c>
      <c r="H432" s="152" t="s">
        <v>2398</v>
      </c>
      <c r="I432" s="152" t="s">
        <v>1435</v>
      </c>
      <c r="J432" s="152" t="s">
        <v>2398</v>
      </c>
      <c r="K432" s="152" t="s">
        <v>2705</v>
      </c>
      <c r="L432" s="152" t="s">
        <v>2705</v>
      </c>
      <c r="M432" s="152" t="s">
        <v>2705</v>
      </c>
      <c r="N432" s="152" t="s">
        <v>2705</v>
      </c>
      <c r="O432" s="152" t="s">
        <v>1435</v>
      </c>
      <c r="P432" s="152" t="s">
        <v>2705</v>
      </c>
      <c r="Q432" s="152" t="s">
        <v>2705</v>
      </c>
      <c r="R432" s="152" t="s">
        <v>2398</v>
      </c>
      <c r="S432" s="152" t="s">
        <v>2705</v>
      </c>
      <c r="T432" s="152" t="s">
        <v>2705</v>
      </c>
      <c r="U432" s="152" t="s">
        <v>2398</v>
      </c>
      <c r="V432" s="142" t="str" cm="1">
        <f t="array" ref="V432">IF(A432&lt;&gt;"",SUM(--(B432:U433 = "X")*$U$3,--(B432:U433 ="A")*$Q$3,--(B432:U433 ="B")*$R$3,--(B432:U433 ="C")*$S$3),"")</f>
        <v/>
      </c>
      <c r="X432" s="437" t="s">
        <v>7740</v>
      </c>
      <c r="Y432" s="437">
        <v>22</v>
      </c>
      <c r="Z432" s="436">
        <f>_xlfn.XLOOKUP(answers[[#This Row],[StudentID]],$A$7:$A$1418,$V$7:$V$1418)</f>
        <v>22</v>
      </c>
      <c r="AG432" s="142" t="s">
        <v>2675</v>
      </c>
      <c r="AH432" s="142" t="s">
        <v>2398</v>
      </c>
      <c r="AI432" s="142" t="s">
        <v>2398</v>
      </c>
      <c r="AJ432" s="142" t="s">
        <v>2675</v>
      </c>
      <c r="AK432" s="142" t="s">
        <v>2705</v>
      </c>
      <c r="AL432" s="142" t="s">
        <v>2705</v>
      </c>
      <c r="AM432" s="142" t="s">
        <v>2398</v>
      </c>
      <c r="AN432" s="142" t="s">
        <v>1435</v>
      </c>
      <c r="AO432" s="142" t="s">
        <v>2398</v>
      </c>
      <c r="AP432" s="142" t="s">
        <v>2705</v>
      </c>
      <c r="AQ432" s="142" t="s">
        <v>2705</v>
      </c>
      <c r="AR432" s="142" t="s">
        <v>2705</v>
      </c>
      <c r="AS432" s="142" t="s">
        <v>2705</v>
      </c>
      <c r="AT432" s="142" t="s">
        <v>1435</v>
      </c>
      <c r="AU432" s="142" t="s">
        <v>2705</v>
      </c>
      <c r="AV432" s="142" t="s">
        <v>2705</v>
      </c>
      <c r="AW432" s="142" t="s">
        <v>2398</v>
      </c>
      <c r="AX432" s="142" t="s">
        <v>2705</v>
      </c>
      <c r="AY432" s="142" t="s">
        <v>2705</v>
      </c>
      <c r="AZ432" s="142" t="s">
        <v>2398</v>
      </c>
    </row>
    <row r="433" spans="1:52" s="142" customFormat="1" ht="12.75" x14ac:dyDescent="0.2">
      <c r="A433" s="151" t="s">
        <v>7533</v>
      </c>
      <c r="B433" s="152" t="s">
        <v>2705</v>
      </c>
      <c r="C433" s="152" t="s">
        <v>2705</v>
      </c>
      <c r="D433" s="152" t="s">
        <v>2705</v>
      </c>
      <c r="E433" s="152" t="s">
        <v>1435</v>
      </c>
      <c r="F433" s="152" t="s">
        <v>2705</v>
      </c>
      <c r="G433" s="152" t="s">
        <v>2705</v>
      </c>
      <c r="H433" s="152" t="s">
        <v>2705</v>
      </c>
      <c r="I433" s="152" t="s">
        <v>2705</v>
      </c>
      <c r="J433" s="152" t="s">
        <v>2705</v>
      </c>
      <c r="K433" s="152" t="s">
        <v>1435</v>
      </c>
      <c r="L433" s="152" t="s">
        <v>2705</v>
      </c>
      <c r="M433" s="152" t="s">
        <v>2705</v>
      </c>
      <c r="N433" s="152" t="s">
        <v>2675</v>
      </c>
      <c r="O433" s="152" t="s">
        <v>2398</v>
      </c>
      <c r="P433" s="152" t="s">
        <v>2705</v>
      </c>
      <c r="Q433" s="152" t="s">
        <v>1435</v>
      </c>
      <c r="R433" s="152" t="s">
        <v>2675</v>
      </c>
      <c r="S433" s="152" t="s">
        <v>2398</v>
      </c>
      <c r="T433" s="152" t="s">
        <v>2397</v>
      </c>
      <c r="U433" s="152" t="s">
        <v>2705</v>
      </c>
      <c r="V433" s="142" cm="1">
        <f t="array" ref="V433">IF(A433&lt;&gt;"",SUM(--(B433:U434 = "X")*$U$3,--(B433:U434 ="A")*$Q$3,--(B433:U434 ="B")*$R$3,--(B433:U434 ="C")*$S$3),"")</f>
        <v>19</v>
      </c>
      <c r="X433" s="437" t="s">
        <v>7741</v>
      </c>
      <c r="Y433" s="437">
        <v>22</v>
      </c>
      <c r="Z433" s="436">
        <f>_xlfn.XLOOKUP(answers[[#This Row],[StudentID]],$A$7:$A$1418,$V$7:$V$1418)</f>
        <v>22</v>
      </c>
      <c r="AF433" s="142" t="s">
        <v>7533</v>
      </c>
      <c r="AG433" s="142" t="s">
        <v>2705</v>
      </c>
      <c r="AH433" s="142" t="s">
        <v>2705</v>
      </c>
      <c r="AI433" s="142" t="s">
        <v>2705</v>
      </c>
      <c r="AJ433" s="142" t="s">
        <v>1435</v>
      </c>
      <c r="AK433" s="142" t="s">
        <v>2705</v>
      </c>
      <c r="AL433" s="142" t="s">
        <v>2705</v>
      </c>
      <c r="AM433" s="142" t="s">
        <v>2705</v>
      </c>
      <c r="AN433" s="142" t="s">
        <v>2705</v>
      </c>
      <c r="AO433" s="142" t="s">
        <v>2705</v>
      </c>
      <c r="AP433" s="142" t="s">
        <v>1435</v>
      </c>
      <c r="AQ433" s="142" t="s">
        <v>2705</v>
      </c>
      <c r="AR433" s="142" t="s">
        <v>2705</v>
      </c>
      <c r="AS433" s="142" t="s">
        <v>2675</v>
      </c>
      <c r="AT433" s="142" t="s">
        <v>2398</v>
      </c>
      <c r="AU433" s="142" t="s">
        <v>2705</v>
      </c>
      <c r="AV433" s="142" t="s">
        <v>1435</v>
      </c>
      <c r="AW433" s="142" t="s">
        <v>2675</v>
      </c>
      <c r="AX433" s="142" t="s">
        <v>2398</v>
      </c>
      <c r="AY433" s="142" t="s">
        <v>2397</v>
      </c>
      <c r="AZ433" s="142" t="s">
        <v>2705</v>
      </c>
    </row>
    <row r="434" spans="1:52" s="142" customFormat="1" ht="12.75" x14ac:dyDescent="0.2">
      <c r="A434" s="151"/>
      <c r="B434" s="152" t="s">
        <v>2397</v>
      </c>
      <c r="C434" s="152" t="s">
        <v>1435</v>
      </c>
      <c r="D434" s="152" t="s">
        <v>2705</v>
      </c>
      <c r="E434" s="152" t="s">
        <v>2705</v>
      </c>
      <c r="F434" s="152" t="s">
        <v>2398</v>
      </c>
      <c r="G434" s="152" t="s">
        <v>2705</v>
      </c>
      <c r="H434" s="152" t="s">
        <v>1435</v>
      </c>
      <c r="I434" s="152" t="s">
        <v>2705</v>
      </c>
      <c r="J434" s="152" t="s">
        <v>2705</v>
      </c>
      <c r="K434" s="152" t="s">
        <v>2398</v>
      </c>
      <c r="L434" s="152" t="s">
        <v>2705</v>
      </c>
      <c r="M434" s="152" t="s">
        <v>2398</v>
      </c>
      <c r="N434" s="152" t="s">
        <v>1435</v>
      </c>
      <c r="O434" s="152" t="s">
        <v>2705</v>
      </c>
      <c r="P434" s="152" t="s">
        <v>2705</v>
      </c>
      <c r="Q434" s="152" t="s">
        <v>2705</v>
      </c>
      <c r="R434" s="152" t="s">
        <v>2398</v>
      </c>
      <c r="S434" s="152" t="s">
        <v>2705</v>
      </c>
      <c r="T434" s="152" t="s">
        <v>2398</v>
      </c>
      <c r="U434" s="152" t="s">
        <v>2705</v>
      </c>
      <c r="V434" s="142" t="str" cm="1">
        <f t="array" ref="V434">IF(A434&lt;&gt;"",SUM(--(B434:U435 = "X")*$U$3,--(B434:U435 ="A")*$Q$3,--(B434:U435 ="B")*$R$3,--(B434:U435 ="C")*$S$3),"")</f>
        <v/>
      </c>
      <c r="X434" s="437" t="s">
        <v>7742</v>
      </c>
      <c r="Y434" s="437">
        <v>11</v>
      </c>
      <c r="Z434" s="436">
        <f>_xlfn.XLOOKUP(answers[[#This Row],[StudentID]],$A$7:$A$1418,$V$7:$V$1418)</f>
        <v>11</v>
      </c>
      <c r="AG434" s="142" t="s">
        <v>2397</v>
      </c>
      <c r="AH434" s="142" t="s">
        <v>1435</v>
      </c>
      <c r="AI434" s="142" t="s">
        <v>2705</v>
      </c>
      <c r="AJ434" s="142" t="s">
        <v>2705</v>
      </c>
      <c r="AK434" s="142" t="s">
        <v>2398</v>
      </c>
      <c r="AL434" s="142" t="s">
        <v>2705</v>
      </c>
      <c r="AM434" s="142" t="s">
        <v>1435</v>
      </c>
      <c r="AN434" s="142" t="s">
        <v>2705</v>
      </c>
      <c r="AO434" s="142" t="s">
        <v>2705</v>
      </c>
      <c r="AP434" s="142" t="s">
        <v>2398</v>
      </c>
      <c r="AQ434" s="142" t="s">
        <v>2705</v>
      </c>
      <c r="AR434" s="142" t="s">
        <v>2398</v>
      </c>
      <c r="AS434" s="142" t="s">
        <v>1435</v>
      </c>
      <c r="AT434" s="142" t="s">
        <v>2705</v>
      </c>
      <c r="AU434" s="142" t="s">
        <v>2705</v>
      </c>
      <c r="AV434" s="142" t="s">
        <v>2705</v>
      </c>
      <c r="AW434" s="142" t="s">
        <v>2398</v>
      </c>
      <c r="AX434" s="142" t="s">
        <v>2705</v>
      </c>
      <c r="AY434" s="142" t="s">
        <v>2398</v>
      </c>
      <c r="AZ434" s="142" t="s">
        <v>2705</v>
      </c>
    </row>
    <row r="435" spans="1:52" s="142" customFormat="1" ht="12.75" x14ac:dyDescent="0.2">
      <c r="A435" s="151" t="s">
        <v>7534</v>
      </c>
      <c r="B435" s="152" t="s">
        <v>2705</v>
      </c>
      <c r="C435" s="152" t="s">
        <v>2705</v>
      </c>
      <c r="D435" s="152" t="s">
        <v>2675</v>
      </c>
      <c r="E435" s="152" t="s">
        <v>2705</v>
      </c>
      <c r="F435" s="152" t="s">
        <v>2705</v>
      </c>
      <c r="G435" s="152" t="s">
        <v>2705</v>
      </c>
      <c r="H435" s="152" t="s">
        <v>2705</v>
      </c>
      <c r="I435" s="152" t="s">
        <v>2705</v>
      </c>
      <c r="J435" s="152" t="s">
        <v>2705</v>
      </c>
      <c r="K435" s="152" t="s">
        <v>2705</v>
      </c>
      <c r="L435" s="152" t="s">
        <v>2705</v>
      </c>
      <c r="M435" s="152" t="s">
        <v>2705</v>
      </c>
      <c r="N435" s="152" t="s">
        <v>2705</v>
      </c>
      <c r="O435" s="152" t="s">
        <v>1435</v>
      </c>
      <c r="P435" s="152" t="s">
        <v>2397</v>
      </c>
      <c r="Q435" s="152" t="s">
        <v>2705</v>
      </c>
      <c r="R435" s="152" t="s">
        <v>2675</v>
      </c>
      <c r="S435" s="152" t="s">
        <v>2397</v>
      </c>
      <c r="T435" s="152" t="s">
        <v>2705</v>
      </c>
      <c r="U435" s="152" t="s">
        <v>2705</v>
      </c>
      <c r="V435" s="142" cm="1">
        <f t="array" ref="V435">IF(A435&lt;&gt;"",SUM(--(B435:U436 = "X")*$U$3,--(B435:U436 ="A")*$Q$3,--(B435:U436 ="B")*$R$3,--(B435:U436 ="C")*$S$3),"")</f>
        <v>20.5</v>
      </c>
      <c r="X435" s="437" t="s">
        <v>7743</v>
      </c>
      <c r="Y435" s="437">
        <v>20.5</v>
      </c>
      <c r="Z435" s="436">
        <f>_xlfn.XLOOKUP(answers[[#This Row],[StudentID]],$A$7:$A$1418,$V$7:$V$1418)</f>
        <v>20.5</v>
      </c>
      <c r="AF435" s="142" t="s">
        <v>7534</v>
      </c>
      <c r="AG435" s="142" t="s">
        <v>2705</v>
      </c>
      <c r="AH435" s="142" t="s">
        <v>2705</v>
      </c>
      <c r="AI435" s="142" t="s">
        <v>2675</v>
      </c>
      <c r="AJ435" s="142" t="s">
        <v>2705</v>
      </c>
      <c r="AK435" s="142" t="s">
        <v>2705</v>
      </c>
      <c r="AL435" s="142" t="s">
        <v>2705</v>
      </c>
      <c r="AM435" s="142" t="s">
        <v>2705</v>
      </c>
      <c r="AN435" s="142" t="s">
        <v>2705</v>
      </c>
      <c r="AO435" s="142" t="s">
        <v>2705</v>
      </c>
      <c r="AP435" s="142" t="s">
        <v>2705</v>
      </c>
      <c r="AQ435" s="142" t="s">
        <v>2705</v>
      </c>
      <c r="AR435" s="142" t="s">
        <v>2705</v>
      </c>
      <c r="AS435" s="142" t="s">
        <v>2705</v>
      </c>
      <c r="AT435" s="142" t="s">
        <v>1435</v>
      </c>
      <c r="AU435" s="142" t="s">
        <v>2397</v>
      </c>
      <c r="AV435" s="142" t="s">
        <v>2705</v>
      </c>
      <c r="AW435" s="142" t="s">
        <v>2675</v>
      </c>
      <c r="AX435" s="142" t="s">
        <v>2397</v>
      </c>
      <c r="AY435" s="142" t="s">
        <v>2705</v>
      </c>
      <c r="AZ435" s="142" t="s">
        <v>2705</v>
      </c>
    </row>
    <row r="436" spans="1:52" s="142" customFormat="1" ht="12.75" x14ac:dyDescent="0.2">
      <c r="A436" s="151"/>
      <c r="B436" s="152" t="s">
        <v>2398</v>
      </c>
      <c r="C436" s="152" t="s">
        <v>2398</v>
      </c>
      <c r="D436" s="152" t="s">
        <v>2705</v>
      </c>
      <c r="E436" s="152" t="s">
        <v>2705</v>
      </c>
      <c r="F436" s="152" t="s">
        <v>2398</v>
      </c>
      <c r="G436" s="152" t="s">
        <v>2705</v>
      </c>
      <c r="H436" s="152" t="s">
        <v>2398</v>
      </c>
      <c r="I436" s="152" t="s">
        <v>2705</v>
      </c>
      <c r="J436" s="152" t="s">
        <v>2675</v>
      </c>
      <c r="K436" s="152" t="s">
        <v>2398</v>
      </c>
      <c r="L436" s="152" t="s">
        <v>2705</v>
      </c>
      <c r="M436" s="152" t="s">
        <v>2398</v>
      </c>
      <c r="N436" s="152" t="s">
        <v>1435</v>
      </c>
      <c r="O436" s="152" t="s">
        <v>2705</v>
      </c>
      <c r="P436" s="152" t="s">
        <v>2398</v>
      </c>
      <c r="Q436" s="152" t="s">
        <v>2705</v>
      </c>
      <c r="R436" s="152" t="s">
        <v>2705</v>
      </c>
      <c r="S436" s="152" t="s">
        <v>2398</v>
      </c>
      <c r="T436" s="152" t="s">
        <v>2398</v>
      </c>
      <c r="U436" s="152" t="s">
        <v>2398</v>
      </c>
      <c r="V436" s="142" t="str" cm="1">
        <f t="array" ref="V436">IF(A436&lt;&gt;"",SUM(--(B436:U437 = "X")*$U$3,--(B436:U437 ="A")*$Q$3,--(B436:U437 ="B")*$R$3,--(B436:U437 ="C")*$S$3),"")</f>
        <v/>
      </c>
      <c r="X436" s="437" t="s">
        <v>7744</v>
      </c>
      <c r="Y436" s="437">
        <v>24.5</v>
      </c>
      <c r="Z436" s="436">
        <f>_xlfn.XLOOKUP(answers[[#This Row],[StudentID]],$A$7:$A$1418,$V$7:$V$1418)</f>
        <v>24.5</v>
      </c>
      <c r="AG436" s="142" t="s">
        <v>2398</v>
      </c>
      <c r="AH436" s="142" t="s">
        <v>2398</v>
      </c>
      <c r="AI436" s="142" t="s">
        <v>2705</v>
      </c>
      <c r="AJ436" s="142" t="s">
        <v>2705</v>
      </c>
      <c r="AK436" s="142" t="s">
        <v>2398</v>
      </c>
      <c r="AL436" s="142" t="s">
        <v>2705</v>
      </c>
      <c r="AM436" s="142" t="s">
        <v>2398</v>
      </c>
      <c r="AN436" s="142" t="s">
        <v>2705</v>
      </c>
      <c r="AO436" s="142" t="s">
        <v>2675</v>
      </c>
      <c r="AP436" s="142" t="s">
        <v>2398</v>
      </c>
      <c r="AQ436" s="142" t="s">
        <v>2705</v>
      </c>
      <c r="AR436" s="142" t="s">
        <v>2398</v>
      </c>
      <c r="AS436" s="142" t="s">
        <v>1435</v>
      </c>
      <c r="AT436" s="142" t="s">
        <v>2705</v>
      </c>
      <c r="AU436" s="142" t="s">
        <v>2398</v>
      </c>
      <c r="AV436" s="142" t="s">
        <v>2705</v>
      </c>
      <c r="AW436" s="142" t="s">
        <v>2705</v>
      </c>
      <c r="AX436" s="142" t="s">
        <v>2398</v>
      </c>
      <c r="AY436" s="142" t="s">
        <v>2398</v>
      </c>
      <c r="AZ436" s="142" t="s">
        <v>2398</v>
      </c>
    </row>
    <row r="437" spans="1:52" s="142" customFormat="1" ht="12.75" x14ac:dyDescent="0.2">
      <c r="A437" s="151" t="s">
        <v>7535</v>
      </c>
      <c r="B437" s="152" t="s">
        <v>2398</v>
      </c>
      <c r="C437" s="152" t="s">
        <v>2705</v>
      </c>
      <c r="D437" s="152" t="s">
        <v>2398</v>
      </c>
      <c r="E437" s="152" t="s">
        <v>1435</v>
      </c>
      <c r="F437" s="152" t="s">
        <v>2705</v>
      </c>
      <c r="G437" s="152" t="s">
        <v>2705</v>
      </c>
      <c r="H437" s="152" t="s">
        <v>2705</v>
      </c>
      <c r="I437" s="152" t="s">
        <v>2398</v>
      </c>
      <c r="J437" s="152" t="s">
        <v>2398</v>
      </c>
      <c r="K437" s="152" t="s">
        <v>2705</v>
      </c>
      <c r="L437" s="152" t="s">
        <v>2398</v>
      </c>
      <c r="M437" s="152" t="s">
        <v>2705</v>
      </c>
      <c r="N437" s="152" t="s">
        <v>2398</v>
      </c>
      <c r="O437" s="152" t="s">
        <v>2705</v>
      </c>
      <c r="P437" s="152" t="s">
        <v>2705</v>
      </c>
      <c r="Q437" s="152" t="s">
        <v>2705</v>
      </c>
      <c r="R437" s="152" t="s">
        <v>2398</v>
      </c>
      <c r="S437" s="152" t="s">
        <v>2705</v>
      </c>
      <c r="T437" s="152" t="s">
        <v>2705</v>
      </c>
      <c r="U437" s="152" t="s">
        <v>2705</v>
      </c>
      <c r="V437" s="142" cm="1">
        <f t="array" ref="V437">IF(A437&lt;&gt;"",SUM(--(B437:U438 = "X")*$U$3,--(B437:U438 ="A")*$Q$3,--(B437:U438 ="B")*$R$3,--(B437:U438 ="C")*$S$3),"")</f>
        <v>25.5</v>
      </c>
      <c r="X437" s="437" t="s">
        <v>7745</v>
      </c>
      <c r="Y437" s="437">
        <v>9.5</v>
      </c>
      <c r="Z437" s="436">
        <f>_xlfn.XLOOKUP(answers[[#This Row],[StudentID]],$A$7:$A$1418,$V$7:$V$1418)</f>
        <v>9.5</v>
      </c>
      <c r="AF437" s="142" t="s">
        <v>7535</v>
      </c>
      <c r="AG437" s="142" t="s">
        <v>2398</v>
      </c>
      <c r="AH437" s="142" t="s">
        <v>2705</v>
      </c>
      <c r="AI437" s="142" t="s">
        <v>2398</v>
      </c>
      <c r="AJ437" s="142" t="s">
        <v>1435</v>
      </c>
      <c r="AK437" s="142" t="s">
        <v>2705</v>
      </c>
      <c r="AL437" s="142" t="s">
        <v>2705</v>
      </c>
      <c r="AM437" s="142" t="s">
        <v>2705</v>
      </c>
      <c r="AN437" s="142" t="s">
        <v>2398</v>
      </c>
      <c r="AO437" s="142" t="s">
        <v>2398</v>
      </c>
      <c r="AP437" s="142" t="s">
        <v>2705</v>
      </c>
      <c r="AQ437" s="142" t="s">
        <v>2398</v>
      </c>
      <c r="AR437" s="142" t="s">
        <v>2705</v>
      </c>
      <c r="AS437" s="142" t="s">
        <v>2398</v>
      </c>
      <c r="AT437" s="142" t="s">
        <v>2705</v>
      </c>
      <c r="AU437" s="142" t="s">
        <v>2705</v>
      </c>
      <c r="AV437" s="142" t="s">
        <v>2705</v>
      </c>
      <c r="AW437" s="142" t="s">
        <v>2398</v>
      </c>
      <c r="AX437" s="142" t="s">
        <v>2705</v>
      </c>
      <c r="AY437" s="142" t="s">
        <v>2705</v>
      </c>
      <c r="AZ437" s="142" t="s">
        <v>2705</v>
      </c>
    </row>
    <row r="438" spans="1:52" s="142" customFormat="1" ht="12.75" x14ac:dyDescent="0.2">
      <c r="A438" s="151"/>
      <c r="B438" s="152" t="s">
        <v>2398</v>
      </c>
      <c r="C438" s="152" t="s">
        <v>2398</v>
      </c>
      <c r="D438" s="152" t="s">
        <v>2705</v>
      </c>
      <c r="E438" s="152" t="s">
        <v>2705</v>
      </c>
      <c r="F438" s="152" t="s">
        <v>2705</v>
      </c>
      <c r="G438" s="152" t="s">
        <v>2398</v>
      </c>
      <c r="H438" s="152" t="s">
        <v>2705</v>
      </c>
      <c r="I438" s="152" t="s">
        <v>2398</v>
      </c>
      <c r="J438" s="152" t="s">
        <v>2398</v>
      </c>
      <c r="K438" s="152" t="s">
        <v>2705</v>
      </c>
      <c r="L438" s="152" t="s">
        <v>2705</v>
      </c>
      <c r="M438" s="152" t="s">
        <v>2705</v>
      </c>
      <c r="N438" s="152" t="s">
        <v>2705</v>
      </c>
      <c r="O438" s="152" t="s">
        <v>2705</v>
      </c>
      <c r="P438" s="152" t="s">
        <v>2398</v>
      </c>
      <c r="Q438" s="152" t="s">
        <v>2705</v>
      </c>
      <c r="R438" s="152" t="s">
        <v>2705</v>
      </c>
      <c r="S438" s="152" t="s">
        <v>2705</v>
      </c>
      <c r="T438" s="152" t="s">
        <v>2705</v>
      </c>
      <c r="U438" s="152" t="s">
        <v>2705</v>
      </c>
      <c r="V438" s="142" t="str" cm="1">
        <f t="array" ref="V438">IF(A438&lt;&gt;"",SUM(--(B438:U439 = "X")*$U$3,--(B438:U439 ="A")*$Q$3,--(B438:U439 ="B")*$R$3,--(B438:U439 ="C")*$S$3),"")</f>
        <v/>
      </c>
      <c r="X438" s="437" t="s">
        <v>7746</v>
      </c>
      <c r="Y438" s="437">
        <v>22</v>
      </c>
      <c r="Z438" s="436">
        <f>_xlfn.XLOOKUP(answers[[#This Row],[StudentID]],$A$7:$A$1418,$V$7:$V$1418)</f>
        <v>22</v>
      </c>
      <c r="AG438" s="142" t="s">
        <v>2398</v>
      </c>
      <c r="AH438" s="142" t="s">
        <v>2398</v>
      </c>
      <c r="AI438" s="142" t="s">
        <v>2705</v>
      </c>
      <c r="AJ438" s="142" t="s">
        <v>2705</v>
      </c>
      <c r="AK438" s="142" t="s">
        <v>2705</v>
      </c>
      <c r="AL438" s="142" t="s">
        <v>2398</v>
      </c>
      <c r="AM438" s="142" t="s">
        <v>2705</v>
      </c>
      <c r="AN438" s="142" t="s">
        <v>2398</v>
      </c>
      <c r="AO438" s="142" t="s">
        <v>2398</v>
      </c>
      <c r="AP438" s="142" t="s">
        <v>2705</v>
      </c>
      <c r="AQ438" s="142" t="s">
        <v>2705</v>
      </c>
      <c r="AR438" s="142" t="s">
        <v>2705</v>
      </c>
      <c r="AS438" s="142" t="s">
        <v>2705</v>
      </c>
      <c r="AT438" s="142" t="s">
        <v>2705</v>
      </c>
      <c r="AU438" s="142" t="s">
        <v>2398</v>
      </c>
      <c r="AV438" s="142" t="s">
        <v>2705</v>
      </c>
      <c r="AW438" s="142" t="s">
        <v>2705</v>
      </c>
      <c r="AX438" s="142" t="s">
        <v>2705</v>
      </c>
      <c r="AY438" s="142" t="s">
        <v>2705</v>
      </c>
      <c r="AZ438" s="142" t="s">
        <v>2705</v>
      </c>
    </row>
    <row r="439" spans="1:52" s="142" customFormat="1" ht="12.75" x14ac:dyDescent="0.2">
      <c r="A439" s="151" t="s">
        <v>7536</v>
      </c>
      <c r="B439" s="152" t="s">
        <v>2705</v>
      </c>
      <c r="C439" s="152" t="s">
        <v>2675</v>
      </c>
      <c r="D439" s="152" t="s">
        <v>2398</v>
      </c>
      <c r="E439" s="152" t="s">
        <v>2705</v>
      </c>
      <c r="F439" s="152" t="s">
        <v>2675</v>
      </c>
      <c r="G439" s="152" t="s">
        <v>2705</v>
      </c>
      <c r="H439" s="152" t="s">
        <v>2398</v>
      </c>
      <c r="I439" s="152" t="s">
        <v>2675</v>
      </c>
      <c r="J439" s="152" t="s">
        <v>2675</v>
      </c>
      <c r="K439" s="152" t="s">
        <v>2705</v>
      </c>
      <c r="L439" s="152" t="s">
        <v>1435</v>
      </c>
      <c r="M439" s="152" t="s">
        <v>2398</v>
      </c>
      <c r="N439" s="152" t="s">
        <v>2705</v>
      </c>
      <c r="O439" s="152" t="s">
        <v>2397</v>
      </c>
      <c r="P439" s="152" t="s">
        <v>2398</v>
      </c>
      <c r="Q439" s="152" t="s">
        <v>2705</v>
      </c>
      <c r="R439" s="152" t="s">
        <v>2398</v>
      </c>
      <c r="S439" s="152" t="s">
        <v>2675</v>
      </c>
      <c r="T439" s="152" t="s">
        <v>2705</v>
      </c>
      <c r="U439" s="152" t="s">
        <v>2705</v>
      </c>
      <c r="V439" s="142" cm="1">
        <f t="array" ref="V439">IF(A439&lt;&gt;"",SUM(--(B439:U440 = "X")*$U$3,--(B439:U440 ="A")*$Q$3,--(B439:U440 ="B")*$R$3,--(B439:U440 ="C")*$S$3),"")</f>
        <v>10.5</v>
      </c>
      <c r="X439" s="437" t="s">
        <v>7747</v>
      </c>
      <c r="Y439" s="437">
        <v>27</v>
      </c>
      <c r="Z439" s="436">
        <f>_xlfn.XLOOKUP(answers[[#This Row],[StudentID]],$A$7:$A$1418,$V$7:$V$1418)</f>
        <v>27</v>
      </c>
      <c r="AF439" s="142" t="s">
        <v>7536</v>
      </c>
      <c r="AG439" s="142" t="s">
        <v>2705</v>
      </c>
      <c r="AH439" s="142" t="s">
        <v>2675</v>
      </c>
      <c r="AI439" s="142" t="s">
        <v>2398</v>
      </c>
      <c r="AJ439" s="142" t="s">
        <v>2705</v>
      </c>
      <c r="AK439" s="142" t="s">
        <v>2675</v>
      </c>
      <c r="AL439" s="142" t="s">
        <v>2705</v>
      </c>
      <c r="AM439" s="142" t="s">
        <v>2398</v>
      </c>
      <c r="AN439" s="142" t="s">
        <v>2675</v>
      </c>
      <c r="AO439" s="142" t="s">
        <v>2675</v>
      </c>
      <c r="AP439" s="142" t="s">
        <v>2705</v>
      </c>
      <c r="AQ439" s="142" t="s">
        <v>1435</v>
      </c>
      <c r="AR439" s="142" t="s">
        <v>2398</v>
      </c>
      <c r="AS439" s="142" t="s">
        <v>2705</v>
      </c>
      <c r="AT439" s="142" t="s">
        <v>2397</v>
      </c>
      <c r="AU439" s="142" t="s">
        <v>2398</v>
      </c>
      <c r="AV439" s="142" t="s">
        <v>2705</v>
      </c>
      <c r="AW439" s="142" t="s">
        <v>2398</v>
      </c>
      <c r="AX439" s="142" t="s">
        <v>2675</v>
      </c>
      <c r="AY439" s="142" t="s">
        <v>2705</v>
      </c>
      <c r="AZ439" s="142" t="s">
        <v>2705</v>
      </c>
    </row>
    <row r="440" spans="1:52" s="142" customFormat="1" ht="12.75" x14ac:dyDescent="0.2">
      <c r="A440" s="151"/>
      <c r="B440" s="152" t="s">
        <v>2705</v>
      </c>
      <c r="C440" s="152" t="s">
        <v>2398</v>
      </c>
      <c r="D440" s="152" t="s">
        <v>2675</v>
      </c>
      <c r="E440" s="152" t="s">
        <v>2398</v>
      </c>
      <c r="F440" s="152" t="s">
        <v>2398</v>
      </c>
      <c r="G440" s="152" t="s">
        <v>2398</v>
      </c>
      <c r="H440" s="152" t="s">
        <v>2398</v>
      </c>
      <c r="I440" s="152" t="s">
        <v>1435</v>
      </c>
      <c r="J440" s="152" t="s">
        <v>2397</v>
      </c>
      <c r="K440" s="152" t="s">
        <v>2705</v>
      </c>
      <c r="L440" s="152" t="s">
        <v>2398</v>
      </c>
      <c r="M440" s="152" t="s">
        <v>2398</v>
      </c>
      <c r="N440" s="152" t="s">
        <v>2705</v>
      </c>
      <c r="O440" s="152" t="s">
        <v>2398</v>
      </c>
      <c r="P440" s="152" t="s">
        <v>2705</v>
      </c>
      <c r="Q440" s="152" t="s">
        <v>2705</v>
      </c>
      <c r="R440" s="152" t="s">
        <v>2398</v>
      </c>
      <c r="S440" s="152" t="s">
        <v>2705</v>
      </c>
      <c r="T440" s="152" t="s">
        <v>2705</v>
      </c>
      <c r="U440" s="152" t="s">
        <v>2675</v>
      </c>
      <c r="V440" s="142" t="str" cm="1">
        <f t="array" ref="V440">IF(A440&lt;&gt;"",SUM(--(B440:U441 = "X")*$U$3,--(B440:U441 ="A")*$Q$3,--(B440:U441 ="B")*$R$3,--(B440:U441 ="C")*$S$3),"")</f>
        <v/>
      </c>
      <c r="X440" s="437" t="s">
        <v>7748</v>
      </c>
      <c r="Y440" s="437">
        <v>21</v>
      </c>
      <c r="Z440" s="436">
        <f>_xlfn.XLOOKUP(answers[[#This Row],[StudentID]],$A$7:$A$1418,$V$7:$V$1418)</f>
        <v>21</v>
      </c>
      <c r="AG440" s="142" t="s">
        <v>2705</v>
      </c>
      <c r="AH440" s="142" t="s">
        <v>2398</v>
      </c>
      <c r="AI440" s="142" t="s">
        <v>2675</v>
      </c>
      <c r="AJ440" s="142" t="s">
        <v>2398</v>
      </c>
      <c r="AK440" s="142" t="s">
        <v>2398</v>
      </c>
      <c r="AL440" s="142" t="s">
        <v>2398</v>
      </c>
      <c r="AM440" s="142" t="s">
        <v>2398</v>
      </c>
      <c r="AN440" s="142" t="s">
        <v>1435</v>
      </c>
      <c r="AO440" s="142" t="s">
        <v>2397</v>
      </c>
      <c r="AP440" s="142" t="s">
        <v>2705</v>
      </c>
      <c r="AQ440" s="142" t="s">
        <v>2398</v>
      </c>
      <c r="AR440" s="142" t="s">
        <v>2398</v>
      </c>
      <c r="AS440" s="142" t="s">
        <v>2705</v>
      </c>
      <c r="AT440" s="142" t="s">
        <v>2398</v>
      </c>
      <c r="AU440" s="142" t="s">
        <v>2705</v>
      </c>
      <c r="AV440" s="142" t="s">
        <v>2705</v>
      </c>
      <c r="AW440" s="142" t="s">
        <v>2398</v>
      </c>
      <c r="AX440" s="142" t="s">
        <v>2705</v>
      </c>
      <c r="AY440" s="142" t="s">
        <v>2705</v>
      </c>
      <c r="AZ440" s="142" t="s">
        <v>2675</v>
      </c>
    </row>
    <row r="441" spans="1:52" s="142" customFormat="1" ht="12.75" x14ac:dyDescent="0.2">
      <c r="A441" s="151" t="s">
        <v>7537</v>
      </c>
      <c r="B441" s="152" t="s">
        <v>1435</v>
      </c>
      <c r="C441" s="152" t="s">
        <v>2705</v>
      </c>
      <c r="D441" s="152" t="s">
        <v>2675</v>
      </c>
      <c r="E441" s="152" t="s">
        <v>2398</v>
      </c>
      <c r="F441" s="152" t="s">
        <v>2705</v>
      </c>
      <c r="G441" s="152" t="s">
        <v>2705</v>
      </c>
      <c r="H441" s="152" t="s">
        <v>1435</v>
      </c>
      <c r="I441" s="152" t="s">
        <v>2398</v>
      </c>
      <c r="J441" s="152" t="s">
        <v>2705</v>
      </c>
      <c r="K441" s="152" t="s">
        <v>2398</v>
      </c>
      <c r="L441" s="152" t="s">
        <v>2398</v>
      </c>
      <c r="M441" s="152" t="s">
        <v>2675</v>
      </c>
      <c r="N441" s="152" t="s">
        <v>2705</v>
      </c>
      <c r="O441" s="152" t="s">
        <v>2705</v>
      </c>
      <c r="P441" s="152" t="s">
        <v>2397</v>
      </c>
      <c r="Q441" s="152" t="s">
        <v>2675</v>
      </c>
      <c r="R441" s="152" t="s">
        <v>2705</v>
      </c>
      <c r="S441" s="152" t="s">
        <v>2705</v>
      </c>
      <c r="T441" s="152" t="s">
        <v>2398</v>
      </c>
      <c r="U441" s="152" t="s">
        <v>2705</v>
      </c>
      <c r="V441" s="142" cm="1">
        <f t="array" ref="V441">IF(A441&lt;&gt;"",SUM(--(B441:U442 = "X")*$U$3,--(B441:U442 ="A")*$Q$3,--(B441:U442 ="B")*$R$3,--(B441:U442 ="C")*$S$3),"")</f>
        <v>9</v>
      </c>
      <c r="X441" s="437" t="s">
        <v>7749</v>
      </c>
      <c r="Y441" s="437">
        <v>23</v>
      </c>
      <c r="Z441" s="436">
        <f>_xlfn.XLOOKUP(answers[[#This Row],[StudentID]],$A$7:$A$1418,$V$7:$V$1418)</f>
        <v>23</v>
      </c>
      <c r="AF441" s="142" t="s">
        <v>7537</v>
      </c>
      <c r="AG441" s="142" t="s">
        <v>1435</v>
      </c>
      <c r="AH441" s="142" t="s">
        <v>2705</v>
      </c>
      <c r="AI441" s="142" t="s">
        <v>2675</v>
      </c>
      <c r="AJ441" s="142" t="s">
        <v>2398</v>
      </c>
      <c r="AK441" s="142" t="s">
        <v>2705</v>
      </c>
      <c r="AL441" s="142" t="s">
        <v>2705</v>
      </c>
      <c r="AM441" s="142" t="s">
        <v>1435</v>
      </c>
      <c r="AN441" s="142" t="s">
        <v>2398</v>
      </c>
      <c r="AO441" s="142" t="s">
        <v>2705</v>
      </c>
      <c r="AP441" s="142" t="s">
        <v>2398</v>
      </c>
      <c r="AQ441" s="142" t="s">
        <v>2398</v>
      </c>
      <c r="AR441" s="142" t="s">
        <v>2675</v>
      </c>
      <c r="AS441" s="142" t="s">
        <v>2705</v>
      </c>
      <c r="AT441" s="142" t="s">
        <v>2705</v>
      </c>
      <c r="AU441" s="142" t="s">
        <v>2397</v>
      </c>
      <c r="AV441" s="142" t="s">
        <v>2675</v>
      </c>
      <c r="AW441" s="142" t="s">
        <v>2705</v>
      </c>
      <c r="AX441" s="142" t="s">
        <v>2705</v>
      </c>
      <c r="AY441" s="142" t="s">
        <v>2398</v>
      </c>
      <c r="AZ441" s="142" t="s">
        <v>2705</v>
      </c>
    </row>
    <row r="442" spans="1:52" s="142" customFormat="1" ht="12.75" x14ac:dyDescent="0.2">
      <c r="A442" s="151"/>
      <c r="B442" s="152" t="s">
        <v>2705</v>
      </c>
      <c r="C442" s="152" t="s">
        <v>2397</v>
      </c>
      <c r="D442" s="152" t="s">
        <v>2705</v>
      </c>
      <c r="E442" s="152" t="s">
        <v>2675</v>
      </c>
      <c r="F442" s="152" t="s">
        <v>2398</v>
      </c>
      <c r="G442" s="152" t="s">
        <v>2705</v>
      </c>
      <c r="H442" s="152" t="s">
        <v>2705</v>
      </c>
      <c r="I442" s="152" t="s">
        <v>2705</v>
      </c>
      <c r="J442" s="152" t="s">
        <v>2398</v>
      </c>
      <c r="K442" s="152" t="s">
        <v>1435</v>
      </c>
      <c r="L442" s="152" t="s">
        <v>2398</v>
      </c>
      <c r="M442" s="152" t="s">
        <v>1435</v>
      </c>
      <c r="N442" s="152" t="s">
        <v>2675</v>
      </c>
      <c r="O442" s="152" t="s">
        <v>2397</v>
      </c>
      <c r="P442" s="152" t="s">
        <v>1435</v>
      </c>
      <c r="Q442" s="152" t="s">
        <v>2398</v>
      </c>
      <c r="R442" s="152" t="s">
        <v>1435</v>
      </c>
      <c r="S442" s="152" t="s">
        <v>2398</v>
      </c>
      <c r="T442" s="152" t="s">
        <v>2675</v>
      </c>
      <c r="U442" s="152" t="s">
        <v>2705</v>
      </c>
      <c r="V442" s="142" t="str" cm="1">
        <f t="array" ref="V442">IF(A442&lt;&gt;"",SUM(--(B442:U443 = "X")*$U$3,--(B442:U443 ="A")*$Q$3,--(B442:U443 ="B")*$R$3,--(B442:U443 ="C")*$S$3),"")</f>
        <v/>
      </c>
      <c r="X442" s="437" t="s">
        <v>7750</v>
      </c>
      <c r="Y442" s="437">
        <v>29.5</v>
      </c>
      <c r="Z442" s="436">
        <f>_xlfn.XLOOKUP(answers[[#This Row],[StudentID]],$A$7:$A$1418,$V$7:$V$1418)</f>
        <v>29.5</v>
      </c>
      <c r="AG442" s="142" t="s">
        <v>2705</v>
      </c>
      <c r="AH442" s="142" t="s">
        <v>2397</v>
      </c>
      <c r="AI442" s="142" t="s">
        <v>2705</v>
      </c>
      <c r="AJ442" s="142" t="s">
        <v>2675</v>
      </c>
      <c r="AK442" s="142" t="s">
        <v>2398</v>
      </c>
      <c r="AL442" s="142" t="s">
        <v>2705</v>
      </c>
      <c r="AM442" s="142" t="s">
        <v>2705</v>
      </c>
      <c r="AN442" s="142" t="s">
        <v>2705</v>
      </c>
      <c r="AO442" s="142" t="s">
        <v>2398</v>
      </c>
      <c r="AP442" s="142" t="s">
        <v>1435</v>
      </c>
      <c r="AQ442" s="142" t="s">
        <v>2398</v>
      </c>
      <c r="AR442" s="142" t="s">
        <v>1435</v>
      </c>
      <c r="AS442" s="142" t="s">
        <v>2675</v>
      </c>
      <c r="AT442" s="142" t="s">
        <v>2397</v>
      </c>
      <c r="AU442" s="142" t="s">
        <v>1435</v>
      </c>
      <c r="AV442" s="142" t="s">
        <v>2398</v>
      </c>
      <c r="AW442" s="142" t="s">
        <v>1435</v>
      </c>
      <c r="AX442" s="142" t="s">
        <v>2398</v>
      </c>
      <c r="AY442" s="142" t="s">
        <v>2675</v>
      </c>
      <c r="AZ442" s="142" t="s">
        <v>2705</v>
      </c>
    </row>
    <row r="443" spans="1:52" s="142" customFormat="1" ht="12.75" x14ac:dyDescent="0.2">
      <c r="A443" s="151" t="s">
        <v>7538</v>
      </c>
      <c r="B443" s="152" t="s">
        <v>2398</v>
      </c>
      <c r="C443" s="152" t="s">
        <v>2398</v>
      </c>
      <c r="D443" s="152" t="s">
        <v>2398</v>
      </c>
      <c r="E443" s="152" t="s">
        <v>1435</v>
      </c>
      <c r="F443" s="152" t="s">
        <v>2705</v>
      </c>
      <c r="G443" s="152" t="s">
        <v>2705</v>
      </c>
      <c r="H443" s="152" t="s">
        <v>1435</v>
      </c>
      <c r="I443" s="152" t="s">
        <v>2398</v>
      </c>
      <c r="J443" s="152" t="s">
        <v>2705</v>
      </c>
      <c r="K443" s="152" t="s">
        <v>2705</v>
      </c>
      <c r="L443" s="152" t="s">
        <v>2398</v>
      </c>
      <c r="M443" s="152" t="s">
        <v>2705</v>
      </c>
      <c r="N443" s="152" t="s">
        <v>2705</v>
      </c>
      <c r="O443" s="152" t="s">
        <v>2675</v>
      </c>
      <c r="P443" s="152" t="s">
        <v>2705</v>
      </c>
      <c r="Q443" s="152" t="s">
        <v>2705</v>
      </c>
      <c r="R443" s="152" t="s">
        <v>1435</v>
      </c>
      <c r="S443" s="152" t="s">
        <v>2705</v>
      </c>
      <c r="T443" s="152" t="s">
        <v>2705</v>
      </c>
      <c r="U443" s="152" t="s">
        <v>2705</v>
      </c>
      <c r="V443" s="142" cm="1">
        <f t="array" ref="V443">IF(A443&lt;&gt;"",SUM(--(B443:U444 = "X")*$U$3,--(B443:U444 ="A")*$Q$3,--(B443:U444 ="B")*$R$3,--(B443:U444 ="C")*$S$3),"")</f>
        <v>15.5</v>
      </c>
      <c r="X443" s="437" t="s">
        <v>7751</v>
      </c>
      <c r="Y443" s="437">
        <v>16.5</v>
      </c>
      <c r="Z443" s="436">
        <f>_xlfn.XLOOKUP(answers[[#This Row],[StudentID]],$A$7:$A$1418,$V$7:$V$1418)</f>
        <v>16.5</v>
      </c>
      <c r="AF443" s="142" t="s">
        <v>7538</v>
      </c>
      <c r="AG443" s="142" t="s">
        <v>2398</v>
      </c>
      <c r="AH443" s="142" t="s">
        <v>2398</v>
      </c>
      <c r="AI443" s="142" t="s">
        <v>2398</v>
      </c>
      <c r="AJ443" s="142" t="s">
        <v>1435</v>
      </c>
      <c r="AK443" s="142" t="s">
        <v>2705</v>
      </c>
      <c r="AL443" s="142" t="s">
        <v>2705</v>
      </c>
      <c r="AM443" s="142" t="s">
        <v>1435</v>
      </c>
      <c r="AN443" s="142" t="s">
        <v>2398</v>
      </c>
      <c r="AO443" s="142" t="s">
        <v>2705</v>
      </c>
      <c r="AP443" s="142" t="s">
        <v>2705</v>
      </c>
      <c r="AQ443" s="142" t="s">
        <v>2398</v>
      </c>
      <c r="AR443" s="142" t="s">
        <v>2705</v>
      </c>
      <c r="AS443" s="142" t="s">
        <v>2705</v>
      </c>
      <c r="AT443" s="142" t="s">
        <v>2675</v>
      </c>
      <c r="AU443" s="142" t="s">
        <v>2705</v>
      </c>
      <c r="AV443" s="142" t="s">
        <v>2705</v>
      </c>
      <c r="AW443" s="142" t="s">
        <v>1435</v>
      </c>
      <c r="AX443" s="142" t="s">
        <v>2705</v>
      </c>
      <c r="AY443" s="142" t="s">
        <v>2705</v>
      </c>
      <c r="AZ443" s="142" t="s">
        <v>2705</v>
      </c>
    </row>
    <row r="444" spans="1:52" s="142" customFormat="1" ht="12.75" x14ac:dyDescent="0.2">
      <c r="A444" s="151"/>
      <c r="B444" s="152" t="s">
        <v>2705</v>
      </c>
      <c r="C444" s="152" t="s">
        <v>2398</v>
      </c>
      <c r="D444" s="152" t="s">
        <v>2398</v>
      </c>
      <c r="E444" s="152" t="s">
        <v>1435</v>
      </c>
      <c r="F444" s="152" t="s">
        <v>2705</v>
      </c>
      <c r="G444" s="152" t="s">
        <v>2675</v>
      </c>
      <c r="H444" s="152" t="s">
        <v>2398</v>
      </c>
      <c r="I444" s="152" t="s">
        <v>2705</v>
      </c>
      <c r="J444" s="152" t="s">
        <v>2398</v>
      </c>
      <c r="K444" s="152" t="s">
        <v>2398</v>
      </c>
      <c r="L444" s="152" t="s">
        <v>2398</v>
      </c>
      <c r="M444" s="152" t="s">
        <v>2705</v>
      </c>
      <c r="N444" s="152" t="s">
        <v>2705</v>
      </c>
      <c r="O444" s="152" t="s">
        <v>2398</v>
      </c>
      <c r="P444" s="152" t="s">
        <v>1435</v>
      </c>
      <c r="Q444" s="152" t="s">
        <v>2398</v>
      </c>
      <c r="R444" s="152" t="s">
        <v>2705</v>
      </c>
      <c r="S444" s="152" t="s">
        <v>2705</v>
      </c>
      <c r="T444" s="152" t="s">
        <v>2398</v>
      </c>
      <c r="U444" s="152" t="s">
        <v>2705</v>
      </c>
      <c r="V444" s="142" t="str" cm="1">
        <f t="array" ref="V444">IF(A444&lt;&gt;"",SUM(--(B444:U445 = "X")*$U$3,--(B444:U445 ="A")*$Q$3,--(B444:U445 ="B")*$R$3,--(B444:U445 ="C")*$S$3),"")</f>
        <v/>
      </c>
      <c r="X444" s="437" t="s">
        <v>7752</v>
      </c>
      <c r="Y444" s="437">
        <v>22.5</v>
      </c>
      <c r="Z444" s="436">
        <f>_xlfn.XLOOKUP(answers[[#This Row],[StudentID]],$A$7:$A$1418,$V$7:$V$1418)</f>
        <v>22.5</v>
      </c>
      <c r="AG444" s="142" t="s">
        <v>2705</v>
      </c>
      <c r="AH444" s="142" t="s">
        <v>2398</v>
      </c>
      <c r="AI444" s="142" t="s">
        <v>2398</v>
      </c>
      <c r="AJ444" s="142" t="s">
        <v>1435</v>
      </c>
      <c r="AK444" s="142" t="s">
        <v>2705</v>
      </c>
      <c r="AL444" s="142" t="s">
        <v>2675</v>
      </c>
      <c r="AM444" s="142" t="s">
        <v>2398</v>
      </c>
      <c r="AN444" s="142" t="s">
        <v>2705</v>
      </c>
      <c r="AO444" s="142" t="s">
        <v>2398</v>
      </c>
      <c r="AP444" s="142" t="s">
        <v>2398</v>
      </c>
      <c r="AQ444" s="142" t="s">
        <v>2398</v>
      </c>
      <c r="AR444" s="142" t="s">
        <v>2705</v>
      </c>
      <c r="AS444" s="142" t="s">
        <v>2705</v>
      </c>
      <c r="AT444" s="142" t="s">
        <v>2398</v>
      </c>
      <c r="AU444" s="142" t="s">
        <v>1435</v>
      </c>
      <c r="AV444" s="142" t="s">
        <v>2398</v>
      </c>
      <c r="AW444" s="142" t="s">
        <v>2705</v>
      </c>
      <c r="AX444" s="142" t="s">
        <v>2705</v>
      </c>
      <c r="AY444" s="142" t="s">
        <v>2398</v>
      </c>
      <c r="AZ444" s="142" t="s">
        <v>2705</v>
      </c>
    </row>
    <row r="445" spans="1:52" s="142" customFormat="1" ht="12.75" x14ac:dyDescent="0.2">
      <c r="A445" s="151" t="s">
        <v>7539</v>
      </c>
      <c r="B445" s="152" t="s">
        <v>2398</v>
      </c>
      <c r="C445" s="152" t="s">
        <v>2675</v>
      </c>
      <c r="D445" s="152" t="s">
        <v>2398</v>
      </c>
      <c r="E445" s="152" t="s">
        <v>2398</v>
      </c>
      <c r="F445" s="152" t="s">
        <v>2397</v>
      </c>
      <c r="G445" s="152" t="s">
        <v>2705</v>
      </c>
      <c r="H445" s="152" t="s">
        <v>2398</v>
      </c>
      <c r="I445" s="152" t="s">
        <v>2675</v>
      </c>
      <c r="J445" s="152" t="s">
        <v>2705</v>
      </c>
      <c r="K445" s="152" t="s">
        <v>2705</v>
      </c>
      <c r="L445" s="152" t="s">
        <v>2398</v>
      </c>
      <c r="M445" s="152" t="s">
        <v>2398</v>
      </c>
      <c r="N445" s="152" t="s">
        <v>2675</v>
      </c>
      <c r="O445" s="152" t="s">
        <v>2675</v>
      </c>
      <c r="P445" s="152" t="s">
        <v>1435</v>
      </c>
      <c r="Q445" s="152" t="s">
        <v>1435</v>
      </c>
      <c r="R445" s="152" t="s">
        <v>2398</v>
      </c>
      <c r="S445" s="152" t="s">
        <v>2705</v>
      </c>
      <c r="T445" s="152" t="s">
        <v>2705</v>
      </c>
      <c r="U445" s="152" t="s">
        <v>2705</v>
      </c>
      <c r="V445" s="142" cm="1">
        <f t="array" ref="V445">IF(A445&lt;&gt;"",SUM(--(B445:U446 = "X")*$U$3,--(B445:U446 ="A")*$Q$3,--(B445:U446 ="B")*$R$3,--(B445:U446 ="C")*$S$3),"")</f>
        <v>7.5</v>
      </c>
      <c r="X445" s="437" t="s">
        <v>7753</v>
      </c>
      <c r="Y445" s="437">
        <v>8.5</v>
      </c>
      <c r="Z445" s="436">
        <f>_xlfn.XLOOKUP(answers[[#This Row],[StudentID]],$A$7:$A$1418,$V$7:$V$1418)</f>
        <v>8.5</v>
      </c>
      <c r="AF445" s="142" t="s">
        <v>7539</v>
      </c>
      <c r="AG445" s="142" t="s">
        <v>2398</v>
      </c>
      <c r="AH445" s="142" t="s">
        <v>2675</v>
      </c>
      <c r="AI445" s="142" t="s">
        <v>2398</v>
      </c>
      <c r="AJ445" s="142" t="s">
        <v>2398</v>
      </c>
      <c r="AK445" s="142" t="s">
        <v>2397</v>
      </c>
      <c r="AL445" s="142" t="s">
        <v>2705</v>
      </c>
      <c r="AM445" s="142" t="s">
        <v>2398</v>
      </c>
      <c r="AN445" s="142" t="s">
        <v>2675</v>
      </c>
      <c r="AO445" s="142" t="s">
        <v>2705</v>
      </c>
      <c r="AP445" s="142" t="s">
        <v>2705</v>
      </c>
      <c r="AQ445" s="142" t="s">
        <v>2398</v>
      </c>
      <c r="AR445" s="142" t="s">
        <v>2398</v>
      </c>
      <c r="AS445" s="142" t="s">
        <v>2675</v>
      </c>
      <c r="AT445" s="142" t="s">
        <v>2675</v>
      </c>
      <c r="AU445" s="142" t="s">
        <v>1435</v>
      </c>
      <c r="AV445" s="142" t="s">
        <v>1435</v>
      </c>
      <c r="AW445" s="142" t="s">
        <v>2398</v>
      </c>
      <c r="AX445" s="142" t="s">
        <v>2705</v>
      </c>
      <c r="AY445" s="142" t="s">
        <v>2705</v>
      </c>
      <c r="AZ445" s="142" t="s">
        <v>2705</v>
      </c>
    </row>
    <row r="446" spans="1:52" s="142" customFormat="1" ht="12.75" x14ac:dyDescent="0.2">
      <c r="A446" s="151"/>
      <c r="B446" s="152" t="s">
        <v>2705</v>
      </c>
      <c r="C446" s="152" t="s">
        <v>2675</v>
      </c>
      <c r="D446" s="152" t="s">
        <v>2705</v>
      </c>
      <c r="E446" s="152" t="s">
        <v>2705</v>
      </c>
      <c r="F446" s="152" t="s">
        <v>2705</v>
      </c>
      <c r="G446" s="152" t="s">
        <v>1435</v>
      </c>
      <c r="H446" s="152" t="s">
        <v>2705</v>
      </c>
      <c r="I446" s="152" t="s">
        <v>2398</v>
      </c>
      <c r="J446" s="152" t="s">
        <v>2705</v>
      </c>
      <c r="K446" s="152" t="s">
        <v>2398</v>
      </c>
      <c r="L446" s="152" t="s">
        <v>1435</v>
      </c>
      <c r="M446" s="152" t="s">
        <v>2398</v>
      </c>
      <c r="N446" s="152" t="s">
        <v>2397</v>
      </c>
      <c r="O446" s="152" t="s">
        <v>2675</v>
      </c>
      <c r="P446" s="152" t="s">
        <v>2398</v>
      </c>
      <c r="Q446" s="152" t="s">
        <v>2675</v>
      </c>
      <c r="R446" s="152" t="s">
        <v>2398</v>
      </c>
      <c r="S446" s="152" t="s">
        <v>2705</v>
      </c>
      <c r="T446" s="152" t="s">
        <v>2398</v>
      </c>
      <c r="U446" s="152" t="s">
        <v>2398</v>
      </c>
      <c r="V446" s="142" t="str" cm="1">
        <f t="array" ref="V446">IF(A446&lt;&gt;"",SUM(--(B446:U447 = "X")*$U$3,--(B446:U447 ="A")*$Q$3,--(B446:U447 ="B")*$R$3,--(B446:U447 ="C")*$S$3),"")</f>
        <v/>
      </c>
      <c r="X446" s="437" t="s">
        <v>7754</v>
      </c>
      <c r="Y446" s="437">
        <v>19</v>
      </c>
      <c r="Z446" s="436">
        <f>_xlfn.XLOOKUP(answers[[#This Row],[StudentID]],$A$7:$A$1418,$V$7:$V$1418)</f>
        <v>19</v>
      </c>
      <c r="AG446" s="142" t="s">
        <v>2705</v>
      </c>
      <c r="AH446" s="142" t="s">
        <v>2675</v>
      </c>
      <c r="AI446" s="142" t="s">
        <v>2705</v>
      </c>
      <c r="AJ446" s="142" t="s">
        <v>2705</v>
      </c>
      <c r="AK446" s="142" t="s">
        <v>2705</v>
      </c>
      <c r="AL446" s="142" t="s">
        <v>1435</v>
      </c>
      <c r="AM446" s="142" t="s">
        <v>2705</v>
      </c>
      <c r="AN446" s="142" t="s">
        <v>2398</v>
      </c>
      <c r="AO446" s="142" t="s">
        <v>2705</v>
      </c>
      <c r="AP446" s="142" t="s">
        <v>2398</v>
      </c>
      <c r="AQ446" s="142" t="s">
        <v>1435</v>
      </c>
      <c r="AR446" s="142" t="s">
        <v>2398</v>
      </c>
      <c r="AS446" s="142" t="s">
        <v>2397</v>
      </c>
      <c r="AT446" s="142" t="s">
        <v>2675</v>
      </c>
      <c r="AU446" s="142" t="s">
        <v>2398</v>
      </c>
      <c r="AV446" s="142" t="s">
        <v>2675</v>
      </c>
      <c r="AW446" s="142" t="s">
        <v>2398</v>
      </c>
      <c r="AX446" s="142" t="s">
        <v>2705</v>
      </c>
      <c r="AY446" s="142" t="s">
        <v>2398</v>
      </c>
      <c r="AZ446" s="142" t="s">
        <v>2398</v>
      </c>
    </row>
    <row r="447" spans="1:52" s="142" customFormat="1" ht="12.75" x14ac:dyDescent="0.2">
      <c r="A447" s="151" t="s">
        <v>7540</v>
      </c>
      <c r="B447" s="152" t="s">
        <v>2705</v>
      </c>
      <c r="C447" s="152" t="s">
        <v>2398</v>
      </c>
      <c r="D447" s="152" t="s">
        <v>2705</v>
      </c>
      <c r="E447" s="152" t="s">
        <v>1435</v>
      </c>
      <c r="F447" s="152" t="s">
        <v>1435</v>
      </c>
      <c r="G447" s="152" t="s">
        <v>2705</v>
      </c>
      <c r="H447" s="152" t="s">
        <v>2705</v>
      </c>
      <c r="I447" s="152" t="s">
        <v>2398</v>
      </c>
      <c r="J447" s="152" t="s">
        <v>2705</v>
      </c>
      <c r="K447" s="152" t="s">
        <v>1435</v>
      </c>
      <c r="L447" s="152" t="s">
        <v>2705</v>
      </c>
      <c r="M447" s="152" t="s">
        <v>2398</v>
      </c>
      <c r="N447" s="152" t="s">
        <v>2705</v>
      </c>
      <c r="O447" s="152" t="s">
        <v>1435</v>
      </c>
      <c r="P447" s="152" t="s">
        <v>2705</v>
      </c>
      <c r="Q447" s="152" t="s">
        <v>1435</v>
      </c>
      <c r="R447" s="152" t="s">
        <v>2398</v>
      </c>
      <c r="S447" s="152" t="s">
        <v>2398</v>
      </c>
      <c r="T447" s="152" t="s">
        <v>2705</v>
      </c>
      <c r="U447" s="152" t="s">
        <v>2705</v>
      </c>
      <c r="V447" s="142" cm="1">
        <f t="array" ref="V447">IF(A447&lt;&gt;"",SUM(--(B447:U448 = "X")*$U$3,--(B447:U448 ="A")*$Q$3,--(B447:U448 ="B")*$R$3,--(B447:U448 ="C")*$S$3),"")</f>
        <v>24.5</v>
      </c>
      <c r="X447" s="437" t="s">
        <v>7755</v>
      </c>
      <c r="Y447" s="437">
        <v>15.5</v>
      </c>
      <c r="Z447" s="436">
        <f>_xlfn.XLOOKUP(answers[[#This Row],[StudentID]],$A$7:$A$1418,$V$7:$V$1418)</f>
        <v>15.5</v>
      </c>
      <c r="AF447" s="142" t="s">
        <v>7540</v>
      </c>
      <c r="AG447" s="142" t="s">
        <v>2705</v>
      </c>
      <c r="AH447" s="142" t="s">
        <v>2398</v>
      </c>
      <c r="AI447" s="142" t="s">
        <v>2705</v>
      </c>
      <c r="AJ447" s="142" t="s">
        <v>1435</v>
      </c>
      <c r="AK447" s="142" t="s">
        <v>1435</v>
      </c>
      <c r="AL447" s="142" t="s">
        <v>2705</v>
      </c>
      <c r="AM447" s="142" t="s">
        <v>2705</v>
      </c>
      <c r="AN447" s="142" t="s">
        <v>2398</v>
      </c>
      <c r="AO447" s="142" t="s">
        <v>2705</v>
      </c>
      <c r="AP447" s="142" t="s">
        <v>1435</v>
      </c>
      <c r="AQ447" s="142" t="s">
        <v>2705</v>
      </c>
      <c r="AR447" s="142" t="s">
        <v>2398</v>
      </c>
      <c r="AS447" s="142" t="s">
        <v>2705</v>
      </c>
      <c r="AT447" s="142" t="s">
        <v>1435</v>
      </c>
      <c r="AU447" s="142" t="s">
        <v>2705</v>
      </c>
      <c r="AV447" s="142" t="s">
        <v>1435</v>
      </c>
      <c r="AW447" s="142" t="s">
        <v>2398</v>
      </c>
      <c r="AX447" s="142" t="s">
        <v>2398</v>
      </c>
      <c r="AY447" s="142" t="s">
        <v>2705</v>
      </c>
      <c r="AZ447" s="142" t="s">
        <v>2705</v>
      </c>
    </row>
    <row r="448" spans="1:52" s="142" customFormat="1" ht="12.75" x14ac:dyDescent="0.2">
      <c r="A448" s="151"/>
      <c r="B448" s="152" t="s">
        <v>2705</v>
      </c>
      <c r="C448" s="152" t="s">
        <v>2705</v>
      </c>
      <c r="D448" s="152" t="s">
        <v>2705</v>
      </c>
      <c r="E448" s="152" t="s">
        <v>2705</v>
      </c>
      <c r="F448" s="152" t="s">
        <v>2705</v>
      </c>
      <c r="G448" s="152" t="s">
        <v>2705</v>
      </c>
      <c r="H448" s="152" t="s">
        <v>2705</v>
      </c>
      <c r="I448" s="152" t="s">
        <v>2705</v>
      </c>
      <c r="J448" s="152" t="s">
        <v>2705</v>
      </c>
      <c r="K448" s="152" t="s">
        <v>2705</v>
      </c>
      <c r="L448" s="152" t="s">
        <v>2705</v>
      </c>
      <c r="M448" s="152" t="s">
        <v>2705</v>
      </c>
      <c r="N448" s="152" t="s">
        <v>2705</v>
      </c>
      <c r="O448" s="152" t="s">
        <v>2705</v>
      </c>
      <c r="P448" s="152" t="s">
        <v>2705</v>
      </c>
      <c r="Q448" s="152" t="s">
        <v>2705</v>
      </c>
      <c r="R448" s="152" t="s">
        <v>2398</v>
      </c>
      <c r="S448" s="152" t="s">
        <v>2705</v>
      </c>
      <c r="T448" s="152" t="s">
        <v>2398</v>
      </c>
      <c r="U448" s="152" t="s">
        <v>2398</v>
      </c>
      <c r="V448" s="142" t="str" cm="1">
        <f t="array" ref="V448">IF(A448&lt;&gt;"",SUM(--(B448:U449 = "X")*$U$3,--(B448:U449 ="A")*$Q$3,--(B448:U449 ="B")*$R$3,--(B448:U449 ="C")*$S$3),"")</f>
        <v/>
      </c>
      <c r="X448" s="437" t="s">
        <v>7756</v>
      </c>
      <c r="Y448" s="437">
        <v>16</v>
      </c>
      <c r="Z448" s="436">
        <f>_xlfn.XLOOKUP(answers[[#This Row],[StudentID]],$A$7:$A$1418,$V$7:$V$1418)</f>
        <v>16</v>
      </c>
      <c r="AG448" s="142" t="s">
        <v>2705</v>
      </c>
      <c r="AH448" s="142" t="s">
        <v>2705</v>
      </c>
      <c r="AI448" s="142" t="s">
        <v>2705</v>
      </c>
      <c r="AJ448" s="142" t="s">
        <v>2705</v>
      </c>
      <c r="AK448" s="142" t="s">
        <v>2705</v>
      </c>
      <c r="AL448" s="142" t="s">
        <v>2705</v>
      </c>
      <c r="AM448" s="142" t="s">
        <v>2705</v>
      </c>
      <c r="AN448" s="142" t="s">
        <v>2705</v>
      </c>
      <c r="AO448" s="142" t="s">
        <v>2705</v>
      </c>
      <c r="AP448" s="142" t="s">
        <v>2705</v>
      </c>
      <c r="AQ448" s="142" t="s">
        <v>2705</v>
      </c>
      <c r="AR448" s="142" t="s">
        <v>2705</v>
      </c>
      <c r="AS448" s="142" t="s">
        <v>2705</v>
      </c>
      <c r="AT448" s="142" t="s">
        <v>2705</v>
      </c>
      <c r="AU448" s="142" t="s">
        <v>2705</v>
      </c>
      <c r="AV448" s="142" t="s">
        <v>2705</v>
      </c>
      <c r="AW448" s="142" t="s">
        <v>2398</v>
      </c>
      <c r="AX448" s="142" t="s">
        <v>2705</v>
      </c>
      <c r="AY448" s="142" t="s">
        <v>2398</v>
      </c>
      <c r="AZ448" s="142" t="s">
        <v>2398</v>
      </c>
    </row>
    <row r="449" spans="1:52" s="142" customFormat="1" ht="12.75" x14ac:dyDescent="0.2">
      <c r="A449" s="151" t="s">
        <v>7541</v>
      </c>
      <c r="B449" s="152" t="s">
        <v>2705</v>
      </c>
      <c r="C449" s="152" t="s">
        <v>2705</v>
      </c>
      <c r="D449" s="152" t="s">
        <v>2398</v>
      </c>
      <c r="E449" s="152" t="s">
        <v>2397</v>
      </c>
      <c r="F449" s="152" t="s">
        <v>2398</v>
      </c>
      <c r="G449" s="152" t="s">
        <v>1435</v>
      </c>
      <c r="H449" s="152" t="s">
        <v>2705</v>
      </c>
      <c r="I449" s="152" t="s">
        <v>2398</v>
      </c>
      <c r="J449" s="152" t="s">
        <v>2705</v>
      </c>
      <c r="K449" s="152" t="s">
        <v>2705</v>
      </c>
      <c r="L449" s="152" t="s">
        <v>2705</v>
      </c>
      <c r="M449" s="152" t="s">
        <v>2705</v>
      </c>
      <c r="N449" s="152" t="s">
        <v>2705</v>
      </c>
      <c r="O449" s="152" t="s">
        <v>2398</v>
      </c>
      <c r="P449" s="152" t="s">
        <v>2398</v>
      </c>
      <c r="Q449" s="152" t="s">
        <v>2675</v>
      </c>
      <c r="R449" s="152" t="s">
        <v>2398</v>
      </c>
      <c r="S449" s="152" t="s">
        <v>2675</v>
      </c>
      <c r="T449" s="152" t="s">
        <v>2398</v>
      </c>
      <c r="U449" s="152" t="s">
        <v>2398</v>
      </c>
      <c r="V449" s="142" cm="1">
        <f t="array" ref="V449">IF(A449&lt;&gt;"",SUM(--(B449:U450 = "X")*$U$3,--(B449:U450 ="A")*$Q$3,--(B449:U450 ="B")*$R$3,--(B449:U450 ="C")*$S$3),"")</f>
        <v>14.5</v>
      </c>
      <c r="X449" s="437" t="s">
        <v>7757</v>
      </c>
      <c r="Y449" s="437">
        <v>25</v>
      </c>
      <c r="Z449" s="436">
        <f>_xlfn.XLOOKUP(answers[[#This Row],[StudentID]],$A$7:$A$1418,$V$7:$V$1418)</f>
        <v>25</v>
      </c>
      <c r="AF449" s="142" t="s">
        <v>7541</v>
      </c>
      <c r="AG449" s="142" t="s">
        <v>2705</v>
      </c>
      <c r="AH449" s="142" t="s">
        <v>2705</v>
      </c>
      <c r="AI449" s="142" t="s">
        <v>2398</v>
      </c>
      <c r="AJ449" s="142" t="s">
        <v>2397</v>
      </c>
      <c r="AK449" s="142" t="s">
        <v>2398</v>
      </c>
      <c r="AL449" s="142" t="s">
        <v>1435</v>
      </c>
      <c r="AM449" s="142" t="s">
        <v>2705</v>
      </c>
      <c r="AN449" s="142" t="s">
        <v>2398</v>
      </c>
      <c r="AO449" s="142" t="s">
        <v>2705</v>
      </c>
      <c r="AP449" s="142" t="s">
        <v>2705</v>
      </c>
      <c r="AQ449" s="142" t="s">
        <v>2705</v>
      </c>
      <c r="AR449" s="142" t="s">
        <v>2705</v>
      </c>
      <c r="AS449" s="142" t="s">
        <v>2705</v>
      </c>
      <c r="AT449" s="142" t="s">
        <v>2398</v>
      </c>
      <c r="AU449" s="142" t="s">
        <v>2398</v>
      </c>
      <c r="AV449" s="142" t="s">
        <v>2675</v>
      </c>
      <c r="AW449" s="142" t="s">
        <v>2398</v>
      </c>
      <c r="AX449" s="142" t="s">
        <v>2675</v>
      </c>
      <c r="AY449" s="142" t="s">
        <v>2398</v>
      </c>
      <c r="AZ449" s="142" t="s">
        <v>2398</v>
      </c>
    </row>
    <row r="450" spans="1:52" s="142" customFormat="1" ht="12.75" x14ac:dyDescent="0.2">
      <c r="A450" s="151"/>
      <c r="B450" s="152" t="s">
        <v>2397</v>
      </c>
      <c r="C450" s="152" t="s">
        <v>2398</v>
      </c>
      <c r="D450" s="152" t="s">
        <v>2398</v>
      </c>
      <c r="E450" s="152" t="s">
        <v>2675</v>
      </c>
      <c r="F450" s="152" t="s">
        <v>2675</v>
      </c>
      <c r="G450" s="152" t="s">
        <v>2398</v>
      </c>
      <c r="H450" s="152" t="s">
        <v>2397</v>
      </c>
      <c r="I450" s="152" t="s">
        <v>2705</v>
      </c>
      <c r="J450" s="152" t="s">
        <v>2705</v>
      </c>
      <c r="K450" s="152" t="s">
        <v>2705</v>
      </c>
      <c r="L450" s="152" t="s">
        <v>2398</v>
      </c>
      <c r="M450" s="152" t="s">
        <v>2705</v>
      </c>
      <c r="N450" s="152" t="s">
        <v>2398</v>
      </c>
      <c r="O450" s="152" t="s">
        <v>2705</v>
      </c>
      <c r="P450" s="152" t="s">
        <v>2398</v>
      </c>
      <c r="Q450" s="152" t="s">
        <v>2705</v>
      </c>
      <c r="R450" s="152" t="s">
        <v>2705</v>
      </c>
      <c r="S450" s="152" t="s">
        <v>2705</v>
      </c>
      <c r="T450" s="152" t="s">
        <v>2398</v>
      </c>
      <c r="U450" s="152" t="s">
        <v>2705</v>
      </c>
      <c r="V450" s="142" t="str" cm="1">
        <f t="array" ref="V450">IF(A450&lt;&gt;"",SUM(--(B450:U451 = "X")*$U$3,--(B450:U451 ="A")*$Q$3,--(B450:U451 ="B")*$R$3,--(B450:U451 ="C")*$S$3),"")</f>
        <v/>
      </c>
      <c r="X450" s="437" t="s">
        <v>7758</v>
      </c>
      <c r="Y450" s="437">
        <v>6.5</v>
      </c>
      <c r="Z450" s="436">
        <f>_xlfn.XLOOKUP(answers[[#This Row],[StudentID]],$A$7:$A$1418,$V$7:$V$1418)</f>
        <v>6.5</v>
      </c>
      <c r="AG450" s="142" t="s">
        <v>2397</v>
      </c>
      <c r="AH450" s="142" t="s">
        <v>2398</v>
      </c>
      <c r="AI450" s="142" t="s">
        <v>2398</v>
      </c>
      <c r="AJ450" s="142" t="s">
        <v>2675</v>
      </c>
      <c r="AK450" s="142" t="s">
        <v>2675</v>
      </c>
      <c r="AL450" s="142" t="s">
        <v>2398</v>
      </c>
      <c r="AM450" s="142" t="s">
        <v>2397</v>
      </c>
      <c r="AN450" s="142" t="s">
        <v>2705</v>
      </c>
      <c r="AO450" s="142" t="s">
        <v>2705</v>
      </c>
      <c r="AP450" s="142" t="s">
        <v>2705</v>
      </c>
      <c r="AQ450" s="142" t="s">
        <v>2398</v>
      </c>
      <c r="AR450" s="142" t="s">
        <v>2705</v>
      </c>
      <c r="AS450" s="142" t="s">
        <v>2398</v>
      </c>
      <c r="AT450" s="142" t="s">
        <v>2705</v>
      </c>
      <c r="AU450" s="142" t="s">
        <v>2398</v>
      </c>
      <c r="AV450" s="142" t="s">
        <v>2705</v>
      </c>
      <c r="AW450" s="142" t="s">
        <v>2705</v>
      </c>
      <c r="AX450" s="142" t="s">
        <v>2705</v>
      </c>
      <c r="AY450" s="142" t="s">
        <v>2398</v>
      </c>
      <c r="AZ450" s="142" t="s">
        <v>2705</v>
      </c>
    </row>
    <row r="451" spans="1:52" s="142" customFormat="1" ht="12.75" x14ac:dyDescent="0.2">
      <c r="A451" s="151" t="s">
        <v>7542</v>
      </c>
      <c r="B451" s="152" t="s">
        <v>2397</v>
      </c>
      <c r="C451" s="152" t="s">
        <v>2398</v>
      </c>
      <c r="D451" s="152" t="s">
        <v>2705</v>
      </c>
      <c r="E451" s="152" t="s">
        <v>2705</v>
      </c>
      <c r="F451" s="152" t="s">
        <v>2705</v>
      </c>
      <c r="G451" s="152" t="s">
        <v>2705</v>
      </c>
      <c r="H451" s="152" t="s">
        <v>2705</v>
      </c>
      <c r="I451" s="152" t="s">
        <v>2675</v>
      </c>
      <c r="J451" s="152" t="s">
        <v>2398</v>
      </c>
      <c r="K451" s="152" t="s">
        <v>2675</v>
      </c>
      <c r="L451" s="152" t="s">
        <v>2675</v>
      </c>
      <c r="M451" s="152" t="s">
        <v>1435</v>
      </c>
      <c r="N451" s="152" t="s">
        <v>2705</v>
      </c>
      <c r="O451" s="152" t="s">
        <v>1435</v>
      </c>
      <c r="P451" s="152" t="s">
        <v>2705</v>
      </c>
      <c r="Q451" s="152" t="s">
        <v>2705</v>
      </c>
      <c r="R451" s="152" t="s">
        <v>2398</v>
      </c>
      <c r="S451" s="152" t="s">
        <v>2705</v>
      </c>
      <c r="T451" s="152" t="s">
        <v>2705</v>
      </c>
      <c r="U451" s="152" t="s">
        <v>2705</v>
      </c>
      <c r="V451" s="142" cm="1">
        <f t="array" ref="V451">IF(A451&lt;&gt;"",SUM(--(B451:U452 = "X")*$U$3,--(B451:U452 ="A")*$Q$3,--(B451:U452 ="B")*$R$3,--(B451:U452 ="C")*$S$3),"")</f>
        <v>16.5</v>
      </c>
      <c r="X451" s="437" t="s">
        <v>7759</v>
      </c>
      <c r="Y451" s="437">
        <v>4</v>
      </c>
      <c r="Z451" s="436">
        <f>_xlfn.XLOOKUP(answers[[#This Row],[StudentID]],$A$7:$A$1418,$V$7:$V$1418)</f>
        <v>4</v>
      </c>
      <c r="AF451" s="142" t="s">
        <v>7542</v>
      </c>
      <c r="AG451" s="142" t="s">
        <v>2397</v>
      </c>
      <c r="AH451" s="142" t="s">
        <v>2398</v>
      </c>
      <c r="AI451" s="142" t="s">
        <v>2705</v>
      </c>
      <c r="AJ451" s="142" t="s">
        <v>2705</v>
      </c>
      <c r="AK451" s="142" t="s">
        <v>2705</v>
      </c>
      <c r="AL451" s="142" t="s">
        <v>2705</v>
      </c>
      <c r="AM451" s="142" t="s">
        <v>2705</v>
      </c>
      <c r="AN451" s="142" t="s">
        <v>2675</v>
      </c>
      <c r="AO451" s="142" t="s">
        <v>2398</v>
      </c>
      <c r="AP451" s="142" t="s">
        <v>2675</v>
      </c>
      <c r="AQ451" s="142" t="s">
        <v>2675</v>
      </c>
      <c r="AR451" s="142" t="s">
        <v>1435</v>
      </c>
      <c r="AS451" s="142" t="s">
        <v>2705</v>
      </c>
      <c r="AT451" s="142" t="s">
        <v>1435</v>
      </c>
      <c r="AU451" s="142" t="s">
        <v>2705</v>
      </c>
      <c r="AV451" s="142" t="s">
        <v>2705</v>
      </c>
      <c r="AW451" s="142" t="s">
        <v>2398</v>
      </c>
      <c r="AX451" s="142" t="s">
        <v>2705</v>
      </c>
      <c r="AY451" s="142" t="s">
        <v>2705</v>
      </c>
      <c r="AZ451" s="142" t="s">
        <v>2705</v>
      </c>
    </row>
    <row r="452" spans="1:52" s="142" customFormat="1" ht="12.75" x14ac:dyDescent="0.2">
      <c r="A452" s="151"/>
      <c r="B452" s="152" t="s">
        <v>2705</v>
      </c>
      <c r="C452" s="152" t="s">
        <v>2398</v>
      </c>
      <c r="D452" s="152" t="s">
        <v>2397</v>
      </c>
      <c r="E452" s="152" t="s">
        <v>2705</v>
      </c>
      <c r="F452" s="152" t="s">
        <v>2705</v>
      </c>
      <c r="G452" s="152" t="s">
        <v>1435</v>
      </c>
      <c r="H452" s="152" t="s">
        <v>2705</v>
      </c>
      <c r="I452" s="152" t="s">
        <v>2705</v>
      </c>
      <c r="J452" s="152" t="s">
        <v>2397</v>
      </c>
      <c r="K452" s="152" t="s">
        <v>2397</v>
      </c>
      <c r="L452" s="152" t="s">
        <v>2397</v>
      </c>
      <c r="M452" s="152" t="s">
        <v>2705</v>
      </c>
      <c r="N452" s="152" t="s">
        <v>2705</v>
      </c>
      <c r="O452" s="152" t="s">
        <v>2705</v>
      </c>
      <c r="P452" s="152" t="s">
        <v>1435</v>
      </c>
      <c r="Q452" s="152" t="s">
        <v>1435</v>
      </c>
      <c r="R452" s="152" t="s">
        <v>1435</v>
      </c>
      <c r="S452" s="152" t="s">
        <v>2705</v>
      </c>
      <c r="T452" s="152" t="s">
        <v>2705</v>
      </c>
      <c r="U452" s="152" t="s">
        <v>2398</v>
      </c>
      <c r="V452" s="142" t="str" cm="1">
        <f t="array" ref="V452">IF(A452&lt;&gt;"",SUM(--(B452:U453 = "X")*$U$3,--(B452:U453 ="A")*$Q$3,--(B452:U453 ="B")*$R$3,--(B452:U453 ="C")*$S$3),"")</f>
        <v/>
      </c>
      <c r="X452" s="437" t="s">
        <v>7760</v>
      </c>
      <c r="Y452" s="437">
        <v>4.5</v>
      </c>
      <c r="Z452" s="436">
        <f>_xlfn.XLOOKUP(answers[[#This Row],[StudentID]],$A$7:$A$1418,$V$7:$V$1418)</f>
        <v>4.5</v>
      </c>
      <c r="AG452" s="142" t="s">
        <v>2705</v>
      </c>
      <c r="AH452" s="142" t="s">
        <v>2398</v>
      </c>
      <c r="AI452" s="142" t="s">
        <v>2397</v>
      </c>
      <c r="AJ452" s="142" t="s">
        <v>2705</v>
      </c>
      <c r="AK452" s="142" t="s">
        <v>2705</v>
      </c>
      <c r="AL452" s="142" t="s">
        <v>1435</v>
      </c>
      <c r="AM452" s="142" t="s">
        <v>2705</v>
      </c>
      <c r="AN452" s="142" t="s">
        <v>2705</v>
      </c>
      <c r="AO452" s="142" t="s">
        <v>2397</v>
      </c>
      <c r="AP452" s="142" t="s">
        <v>2397</v>
      </c>
      <c r="AQ452" s="142" t="s">
        <v>2397</v>
      </c>
      <c r="AR452" s="142" t="s">
        <v>2705</v>
      </c>
      <c r="AS452" s="142" t="s">
        <v>2705</v>
      </c>
      <c r="AT452" s="142" t="s">
        <v>2705</v>
      </c>
      <c r="AU452" s="142" t="s">
        <v>1435</v>
      </c>
      <c r="AV452" s="142" t="s">
        <v>1435</v>
      </c>
      <c r="AW452" s="142" t="s">
        <v>1435</v>
      </c>
      <c r="AX452" s="142" t="s">
        <v>2705</v>
      </c>
      <c r="AY452" s="142" t="s">
        <v>2705</v>
      </c>
      <c r="AZ452" s="142" t="s">
        <v>2398</v>
      </c>
    </row>
    <row r="453" spans="1:52" s="142" customFormat="1" ht="12.75" x14ac:dyDescent="0.2">
      <c r="A453" s="151" t="s">
        <v>7543</v>
      </c>
      <c r="B453" s="152" t="s">
        <v>2705</v>
      </c>
      <c r="C453" s="152" t="s">
        <v>2397</v>
      </c>
      <c r="D453" s="152" t="s">
        <v>2675</v>
      </c>
      <c r="E453" s="152" t="s">
        <v>2398</v>
      </c>
      <c r="F453" s="152" t="s">
        <v>2397</v>
      </c>
      <c r="G453" s="152" t="s">
        <v>2705</v>
      </c>
      <c r="H453" s="152" t="s">
        <v>2398</v>
      </c>
      <c r="I453" s="152" t="s">
        <v>2675</v>
      </c>
      <c r="J453" s="152" t="s">
        <v>2398</v>
      </c>
      <c r="K453" s="152" t="s">
        <v>2398</v>
      </c>
      <c r="L453" s="152" t="s">
        <v>2705</v>
      </c>
      <c r="M453" s="152" t="s">
        <v>2705</v>
      </c>
      <c r="N453" s="152" t="s">
        <v>2705</v>
      </c>
      <c r="O453" s="152" t="s">
        <v>2398</v>
      </c>
      <c r="P453" s="152" t="s">
        <v>2398</v>
      </c>
      <c r="Q453" s="152" t="s">
        <v>2705</v>
      </c>
      <c r="R453" s="152" t="s">
        <v>2705</v>
      </c>
      <c r="S453" s="152" t="s">
        <v>2398</v>
      </c>
      <c r="T453" s="152" t="s">
        <v>2398</v>
      </c>
      <c r="U453" s="152" t="s">
        <v>2705</v>
      </c>
      <c r="V453" s="142" cm="1">
        <f t="array" ref="V453">IF(A453&lt;&gt;"",SUM(--(B453:U454 = "X")*$U$3,--(B453:U454 ="A")*$Q$3,--(B453:U454 ="B")*$R$3,--(B453:U454 ="C")*$S$3),"")</f>
        <v>13</v>
      </c>
      <c r="X453" s="437" t="s">
        <v>7761</v>
      </c>
      <c r="Y453" s="437">
        <v>23</v>
      </c>
      <c r="Z453" s="436">
        <f>_xlfn.XLOOKUP(answers[[#This Row],[StudentID]],$A$7:$A$1418,$V$7:$V$1418)</f>
        <v>23</v>
      </c>
      <c r="AF453" s="142" t="s">
        <v>7543</v>
      </c>
      <c r="AG453" s="142" t="s">
        <v>2705</v>
      </c>
      <c r="AH453" s="142" t="s">
        <v>2397</v>
      </c>
      <c r="AI453" s="142" t="s">
        <v>2675</v>
      </c>
      <c r="AJ453" s="142" t="s">
        <v>2398</v>
      </c>
      <c r="AK453" s="142" t="s">
        <v>2397</v>
      </c>
      <c r="AL453" s="142" t="s">
        <v>2705</v>
      </c>
      <c r="AM453" s="142" t="s">
        <v>2398</v>
      </c>
      <c r="AN453" s="142" t="s">
        <v>2675</v>
      </c>
      <c r="AO453" s="142" t="s">
        <v>2398</v>
      </c>
      <c r="AP453" s="142" t="s">
        <v>2398</v>
      </c>
      <c r="AQ453" s="142" t="s">
        <v>2705</v>
      </c>
      <c r="AR453" s="142" t="s">
        <v>2705</v>
      </c>
      <c r="AS453" s="142" t="s">
        <v>2705</v>
      </c>
      <c r="AT453" s="142" t="s">
        <v>2398</v>
      </c>
      <c r="AU453" s="142" t="s">
        <v>2398</v>
      </c>
      <c r="AV453" s="142" t="s">
        <v>2705</v>
      </c>
      <c r="AW453" s="142" t="s">
        <v>2705</v>
      </c>
      <c r="AX453" s="142" t="s">
        <v>2398</v>
      </c>
      <c r="AY453" s="142" t="s">
        <v>2398</v>
      </c>
      <c r="AZ453" s="142" t="s">
        <v>2705</v>
      </c>
    </row>
    <row r="454" spans="1:52" s="142" customFormat="1" ht="12.75" x14ac:dyDescent="0.2">
      <c r="A454" s="151"/>
      <c r="B454" s="152" t="s">
        <v>2705</v>
      </c>
      <c r="C454" s="152" t="s">
        <v>2398</v>
      </c>
      <c r="D454" s="152" t="s">
        <v>2675</v>
      </c>
      <c r="E454" s="152" t="s">
        <v>2675</v>
      </c>
      <c r="F454" s="152" t="s">
        <v>2398</v>
      </c>
      <c r="G454" s="152" t="s">
        <v>1435</v>
      </c>
      <c r="H454" s="152" t="s">
        <v>2398</v>
      </c>
      <c r="I454" s="152" t="s">
        <v>2705</v>
      </c>
      <c r="J454" s="152" t="s">
        <v>2705</v>
      </c>
      <c r="K454" s="152" t="s">
        <v>2705</v>
      </c>
      <c r="L454" s="152" t="s">
        <v>2705</v>
      </c>
      <c r="M454" s="152" t="s">
        <v>2705</v>
      </c>
      <c r="N454" s="152" t="s">
        <v>2397</v>
      </c>
      <c r="O454" s="152" t="s">
        <v>2398</v>
      </c>
      <c r="P454" s="152" t="s">
        <v>2705</v>
      </c>
      <c r="Q454" s="152" t="s">
        <v>1435</v>
      </c>
      <c r="R454" s="152" t="s">
        <v>2398</v>
      </c>
      <c r="S454" s="152" t="s">
        <v>2398</v>
      </c>
      <c r="T454" s="152" t="s">
        <v>2398</v>
      </c>
      <c r="U454" s="152" t="s">
        <v>2705</v>
      </c>
      <c r="V454" s="142" t="str" cm="1">
        <f t="array" ref="V454">IF(A454&lt;&gt;"",SUM(--(B454:U455 = "X")*$U$3,--(B454:U455 ="A")*$Q$3,--(B454:U455 ="B")*$R$3,--(B454:U455 ="C")*$S$3),"")</f>
        <v/>
      </c>
      <c r="X454" s="437" t="s">
        <v>7762</v>
      </c>
      <c r="Y454" s="437">
        <v>13.5</v>
      </c>
      <c r="Z454" s="436">
        <f>_xlfn.XLOOKUP(answers[[#This Row],[StudentID]],$A$7:$A$1418,$V$7:$V$1418)</f>
        <v>13.5</v>
      </c>
      <c r="AG454" s="142" t="s">
        <v>2705</v>
      </c>
      <c r="AH454" s="142" t="s">
        <v>2398</v>
      </c>
      <c r="AI454" s="142" t="s">
        <v>2675</v>
      </c>
      <c r="AJ454" s="142" t="s">
        <v>2675</v>
      </c>
      <c r="AK454" s="142" t="s">
        <v>2398</v>
      </c>
      <c r="AL454" s="142" t="s">
        <v>1435</v>
      </c>
      <c r="AM454" s="142" t="s">
        <v>2398</v>
      </c>
      <c r="AN454" s="142" t="s">
        <v>2705</v>
      </c>
      <c r="AO454" s="142" t="s">
        <v>2705</v>
      </c>
      <c r="AP454" s="142" t="s">
        <v>2705</v>
      </c>
      <c r="AQ454" s="142" t="s">
        <v>2705</v>
      </c>
      <c r="AR454" s="142" t="s">
        <v>2705</v>
      </c>
      <c r="AS454" s="142" t="s">
        <v>2397</v>
      </c>
      <c r="AT454" s="142" t="s">
        <v>2398</v>
      </c>
      <c r="AU454" s="142" t="s">
        <v>2705</v>
      </c>
      <c r="AV454" s="142" t="s">
        <v>1435</v>
      </c>
      <c r="AW454" s="142" t="s">
        <v>2398</v>
      </c>
      <c r="AX454" s="142" t="s">
        <v>2398</v>
      </c>
      <c r="AY454" s="142" t="s">
        <v>2398</v>
      </c>
      <c r="AZ454" s="142" t="s">
        <v>2705</v>
      </c>
    </row>
    <row r="455" spans="1:52" s="142" customFormat="1" ht="12.75" x14ac:dyDescent="0.2">
      <c r="A455" s="151" t="s">
        <v>7544</v>
      </c>
      <c r="B455" s="152" t="s">
        <v>2705</v>
      </c>
      <c r="C455" s="152" t="s">
        <v>2398</v>
      </c>
      <c r="D455" s="152" t="s">
        <v>2675</v>
      </c>
      <c r="E455" s="152" t="s">
        <v>1435</v>
      </c>
      <c r="F455" s="152" t="s">
        <v>1435</v>
      </c>
      <c r="G455" s="152" t="s">
        <v>2397</v>
      </c>
      <c r="H455" s="152" t="s">
        <v>2398</v>
      </c>
      <c r="I455" s="152" t="s">
        <v>2398</v>
      </c>
      <c r="J455" s="152" t="s">
        <v>2398</v>
      </c>
      <c r="K455" s="152" t="s">
        <v>1435</v>
      </c>
      <c r="L455" s="152" t="s">
        <v>2705</v>
      </c>
      <c r="M455" s="152" t="s">
        <v>1435</v>
      </c>
      <c r="N455" s="152" t="s">
        <v>2398</v>
      </c>
      <c r="O455" s="152" t="s">
        <v>2705</v>
      </c>
      <c r="P455" s="152" t="s">
        <v>2675</v>
      </c>
      <c r="Q455" s="152" t="s">
        <v>2397</v>
      </c>
      <c r="R455" s="152" t="s">
        <v>2397</v>
      </c>
      <c r="S455" s="152" t="s">
        <v>2398</v>
      </c>
      <c r="T455" s="152" t="s">
        <v>2397</v>
      </c>
      <c r="U455" s="152" t="s">
        <v>2675</v>
      </c>
      <c r="V455" s="142" cm="1">
        <f t="array" ref="V455">IF(A455&lt;&gt;"",SUM(--(B455:U456 = "X")*$U$3,--(B455:U456 ="A")*$Q$3,--(B455:U456 ="B")*$R$3,--(B455:U456 ="C")*$S$3),"")</f>
        <v>4.5</v>
      </c>
      <c r="X455" s="437" t="s">
        <v>7763</v>
      </c>
      <c r="Y455" s="437">
        <v>11.5</v>
      </c>
      <c r="Z455" s="436">
        <f>_xlfn.XLOOKUP(answers[[#This Row],[StudentID]],$A$7:$A$1418,$V$7:$V$1418)</f>
        <v>11.5</v>
      </c>
      <c r="AF455" s="142" t="s">
        <v>7544</v>
      </c>
      <c r="AG455" s="142" t="s">
        <v>2705</v>
      </c>
      <c r="AH455" s="142" t="s">
        <v>2398</v>
      </c>
      <c r="AI455" s="142" t="s">
        <v>2675</v>
      </c>
      <c r="AJ455" s="142" t="s">
        <v>1435</v>
      </c>
      <c r="AK455" s="142" t="s">
        <v>1435</v>
      </c>
      <c r="AL455" s="142" t="s">
        <v>2397</v>
      </c>
      <c r="AM455" s="142" t="s">
        <v>2398</v>
      </c>
      <c r="AN455" s="142" t="s">
        <v>2398</v>
      </c>
      <c r="AO455" s="142" t="s">
        <v>2398</v>
      </c>
      <c r="AP455" s="142" t="s">
        <v>1435</v>
      </c>
      <c r="AQ455" s="142" t="s">
        <v>2705</v>
      </c>
      <c r="AR455" s="142" t="s">
        <v>1435</v>
      </c>
      <c r="AS455" s="142" t="s">
        <v>2398</v>
      </c>
      <c r="AT455" s="142" t="s">
        <v>2705</v>
      </c>
      <c r="AU455" s="142" t="s">
        <v>2675</v>
      </c>
      <c r="AV455" s="142" t="s">
        <v>2397</v>
      </c>
      <c r="AW455" s="142" t="s">
        <v>2397</v>
      </c>
      <c r="AX455" s="142" t="s">
        <v>2398</v>
      </c>
      <c r="AY455" s="142" t="s">
        <v>2397</v>
      </c>
      <c r="AZ455" s="142" t="s">
        <v>2675</v>
      </c>
    </row>
    <row r="456" spans="1:52" s="142" customFormat="1" ht="12.75" x14ac:dyDescent="0.2">
      <c r="A456" s="151"/>
      <c r="B456" s="152" t="s">
        <v>2397</v>
      </c>
      <c r="C456" s="152" t="s">
        <v>1435</v>
      </c>
      <c r="D456" s="152" t="s">
        <v>2705</v>
      </c>
      <c r="E456" s="152" t="s">
        <v>2705</v>
      </c>
      <c r="F456" s="152" t="s">
        <v>2398</v>
      </c>
      <c r="G456" s="152" t="s">
        <v>2675</v>
      </c>
      <c r="H456" s="152" t="s">
        <v>2398</v>
      </c>
      <c r="I456" s="152" t="s">
        <v>2705</v>
      </c>
      <c r="J456" s="152" t="s">
        <v>2675</v>
      </c>
      <c r="K456" s="152" t="s">
        <v>2705</v>
      </c>
      <c r="L456" s="152" t="s">
        <v>2705</v>
      </c>
      <c r="M456" s="152" t="s">
        <v>2398</v>
      </c>
      <c r="N456" s="152" t="s">
        <v>1435</v>
      </c>
      <c r="O456" s="152" t="s">
        <v>2398</v>
      </c>
      <c r="P456" s="152" t="s">
        <v>2705</v>
      </c>
      <c r="Q456" s="152" t="s">
        <v>1435</v>
      </c>
      <c r="R456" s="152" t="s">
        <v>2398</v>
      </c>
      <c r="S456" s="152" t="s">
        <v>1435</v>
      </c>
      <c r="T456" s="152" t="s">
        <v>2705</v>
      </c>
      <c r="U456" s="152" t="s">
        <v>2705</v>
      </c>
      <c r="V456" s="142" t="str" cm="1">
        <f t="array" ref="V456">IF(A456&lt;&gt;"",SUM(--(B456:U457 = "X")*$U$3,--(B456:U457 ="A")*$Q$3,--(B456:U457 ="B")*$R$3,--(B456:U457 ="C")*$S$3),"")</f>
        <v/>
      </c>
      <c r="X456" s="437" t="s">
        <v>7764</v>
      </c>
      <c r="Y456" s="437">
        <v>14.5</v>
      </c>
      <c r="Z456" s="436">
        <f>_xlfn.XLOOKUP(answers[[#This Row],[StudentID]],$A$7:$A$1418,$V$7:$V$1418)</f>
        <v>14.5</v>
      </c>
      <c r="AG456" s="142" t="s">
        <v>2397</v>
      </c>
      <c r="AH456" s="142" t="s">
        <v>1435</v>
      </c>
      <c r="AI456" s="142" t="s">
        <v>2705</v>
      </c>
      <c r="AJ456" s="142" t="s">
        <v>2705</v>
      </c>
      <c r="AK456" s="142" t="s">
        <v>2398</v>
      </c>
      <c r="AL456" s="142" t="s">
        <v>2675</v>
      </c>
      <c r="AM456" s="142" t="s">
        <v>2398</v>
      </c>
      <c r="AN456" s="142" t="s">
        <v>2705</v>
      </c>
      <c r="AO456" s="142" t="s">
        <v>2675</v>
      </c>
      <c r="AP456" s="142" t="s">
        <v>2705</v>
      </c>
      <c r="AQ456" s="142" t="s">
        <v>2705</v>
      </c>
      <c r="AR456" s="142" t="s">
        <v>2398</v>
      </c>
      <c r="AS456" s="142" t="s">
        <v>1435</v>
      </c>
      <c r="AT456" s="142" t="s">
        <v>2398</v>
      </c>
      <c r="AU456" s="142" t="s">
        <v>2705</v>
      </c>
      <c r="AV456" s="142" t="s">
        <v>1435</v>
      </c>
      <c r="AW456" s="142" t="s">
        <v>2398</v>
      </c>
      <c r="AX456" s="142" t="s">
        <v>1435</v>
      </c>
      <c r="AY456" s="142" t="s">
        <v>2705</v>
      </c>
      <c r="AZ456" s="142" t="s">
        <v>2705</v>
      </c>
    </row>
    <row r="457" spans="1:52" s="142" customFormat="1" ht="12.75" x14ac:dyDescent="0.2">
      <c r="A457" s="151" t="s">
        <v>7545</v>
      </c>
      <c r="B457" s="152" t="s">
        <v>2675</v>
      </c>
      <c r="C457" s="152" t="s">
        <v>2705</v>
      </c>
      <c r="D457" s="152" t="s">
        <v>2705</v>
      </c>
      <c r="E457" s="152" t="s">
        <v>2675</v>
      </c>
      <c r="F457" s="152" t="s">
        <v>2705</v>
      </c>
      <c r="G457" s="152" t="s">
        <v>2705</v>
      </c>
      <c r="H457" s="152" t="s">
        <v>2705</v>
      </c>
      <c r="I457" s="152" t="s">
        <v>2675</v>
      </c>
      <c r="J457" s="152" t="s">
        <v>2705</v>
      </c>
      <c r="K457" s="152" t="s">
        <v>1435</v>
      </c>
      <c r="L457" s="152" t="s">
        <v>2705</v>
      </c>
      <c r="M457" s="152" t="s">
        <v>2705</v>
      </c>
      <c r="N457" s="152" t="s">
        <v>2675</v>
      </c>
      <c r="O457" s="152" t="s">
        <v>2398</v>
      </c>
      <c r="P457" s="152" t="s">
        <v>2705</v>
      </c>
      <c r="Q457" s="152" t="s">
        <v>1435</v>
      </c>
      <c r="R457" s="152" t="s">
        <v>2398</v>
      </c>
      <c r="S457" s="152" t="s">
        <v>2705</v>
      </c>
      <c r="T457" s="152" t="s">
        <v>2398</v>
      </c>
      <c r="U457" s="152" t="s">
        <v>2675</v>
      </c>
      <c r="V457" s="142" cm="1">
        <f t="array" ref="V457">IF(A457&lt;&gt;"",SUM(--(B457:U458 = "X")*$U$3,--(B457:U458 ="A")*$Q$3,--(B457:U458 ="B")*$R$3,--(B457:U458 ="C")*$S$3),"")</f>
        <v>14.5</v>
      </c>
      <c r="X457" s="437" t="s">
        <v>7765</v>
      </c>
      <c r="Y457" s="437">
        <v>3</v>
      </c>
      <c r="Z457" s="436">
        <f>_xlfn.XLOOKUP(answers[[#This Row],[StudentID]],$A$7:$A$1418,$V$7:$V$1418)</f>
        <v>3</v>
      </c>
      <c r="AF457" s="142" t="s">
        <v>7545</v>
      </c>
      <c r="AG457" s="142" t="s">
        <v>2675</v>
      </c>
      <c r="AH457" s="142" t="s">
        <v>2705</v>
      </c>
      <c r="AI457" s="142" t="s">
        <v>2705</v>
      </c>
      <c r="AJ457" s="142" t="s">
        <v>2675</v>
      </c>
      <c r="AK457" s="142" t="s">
        <v>2705</v>
      </c>
      <c r="AL457" s="142" t="s">
        <v>2705</v>
      </c>
      <c r="AM457" s="142" t="s">
        <v>2705</v>
      </c>
      <c r="AN457" s="142" t="s">
        <v>2675</v>
      </c>
      <c r="AO457" s="142" t="s">
        <v>2705</v>
      </c>
      <c r="AP457" s="142" t="s">
        <v>1435</v>
      </c>
      <c r="AQ457" s="142" t="s">
        <v>2705</v>
      </c>
      <c r="AR457" s="142" t="s">
        <v>2705</v>
      </c>
      <c r="AS457" s="142" t="s">
        <v>2675</v>
      </c>
      <c r="AT457" s="142" t="s">
        <v>2398</v>
      </c>
      <c r="AU457" s="142" t="s">
        <v>2705</v>
      </c>
      <c r="AV457" s="142" t="s">
        <v>1435</v>
      </c>
      <c r="AW457" s="142" t="s">
        <v>2398</v>
      </c>
      <c r="AX457" s="142" t="s">
        <v>2705</v>
      </c>
      <c r="AY457" s="142" t="s">
        <v>2398</v>
      </c>
      <c r="AZ457" s="142" t="s">
        <v>2675</v>
      </c>
    </row>
    <row r="458" spans="1:52" s="142" customFormat="1" ht="12.75" x14ac:dyDescent="0.2">
      <c r="A458" s="151"/>
      <c r="B458" s="152" t="s">
        <v>2397</v>
      </c>
      <c r="C458" s="152" t="s">
        <v>2398</v>
      </c>
      <c r="D458" s="152" t="s">
        <v>2705</v>
      </c>
      <c r="E458" s="152" t="s">
        <v>2398</v>
      </c>
      <c r="F458" s="152" t="s">
        <v>2398</v>
      </c>
      <c r="G458" s="152" t="s">
        <v>2705</v>
      </c>
      <c r="H458" s="152" t="s">
        <v>2398</v>
      </c>
      <c r="I458" s="152" t="s">
        <v>2705</v>
      </c>
      <c r="J458" s="152" t="s">
        <v>2705</v>
      </c>
      <c r="K458" s="152" t="s">
        <v>2675</v>
      </c>
      <c r="L458" s="152" t="s">
        <v>2705</v>
      </c>
      <c r="M458" s="152" t="s">
        <v>2398</v>
      </c>
      <c r="N458" s="152" t="s">
        <v>2398</v>
      </c>
      <c r="O458" s="152" t="s">
        <v>2705</v>
      </c>
      <c r="P458" s="152" t="s">
        <v>2675</v>
      </c>
      <c r="Q458" s="152" t="s">
        <v>2705</v>
      </c>
      <c r="R458" s="152" t="s">
        <v>2398</v>
      </c>
      <c r="S458" s="152" t="s">
        <v>2705</v>
      </c>
      <c r="T458" s="152" t="s">
        <v>2398</v>
      </c>
      <c r="U458" s="152" t="s">
        <v>2705</v>
      </c>
      <c r="V458" s="142" t="str" cm="1">
        <f t="array" ref="V458">IF(A458&lt;&gt;"",SUM(--(B458:U459 = "X")*$U$3,--(B458:U459 ="A")*$Q$3,--(B458:U459 ="B")*$R$3,--(B458:U459 ="C")*$S$3),"")</f>
        <v/>
      </c>
      <c r="X458" s="437" t="s">
        <v>7766</v>
      </c>
      <c r="Y458" s="437">
        <v>16.5</v>
      </c>
      <c r="Z458" s="436">
        <f>_xlfn.XLOOKUP(answers[[#This Row],[StudentID]],$A$7:$A$1418,$V$7:$V$1418)</f>
        <v>16.5</v>
      </c>
      <c r="AG458" s="142" t="s">
        <v>2397</v>
      </c>
      <c r="AH458" s="142" t="s">
        <v>2398</v>
      </c>
      <c r="AI458" s="142" t="s">
        <v>2705</v>
      </c>
      <c r="AJ458" s="142" t="s">
        <v>2398</v>
      </c>
      <c r="AK458" s="142" t="s">
        <v>2398</v>
      </c>
      <c r="AL458" s="142" t="s">
        <v>2705</v>
      </c>
      <c r="AM458" s="142" t="s">
        <v>2398</v>
      </c>
      <c r="AN458" s="142" t="s">
        <v>2705</v>
      </c>
      <c r="AO458" s="142" t="s">
        <v>2705</v>
      </c>
      <c r="AP458" s="142" t="s">
        <v>2675</v>
      </c>
      <c r="AQ458" s="142" t="s">
        <v>2705</v>
      </c>
      <c r="AR458" s="142" t="s">
        <v>2398</v>
      </c>
      <c r="AS458" s="142" t="s">
        <v>2398</v>
      </c>
      <c r="AT458" s="142" t="s">
        <v>2705</v>
      </c>
      <c r="AU458" s="142" t="s">
        <v>2675</v>
      </c>
      <c r="AV458" s="142" t="s">
        <v>2705</v>
      </c>
      <c r="AW458" s="142" t="s">
        <v>2398</v>
      </c>
      <c r="AX458" s="142" t="s">
        <v>2705</v>
      </c>
      <c r="AY458" s="142" t="s">
        <v>2398</v>
      </c>
      <c r="AZ458" s="142" t="s">
        <v>2705</v>
      </c>
    </row>
    <row r="459" spans="1:52" s="142" customFormat="1" ht="12.75" x14ac:dyDescent="0.2">
      <c r="A459" s="151" t="s">
        <v>7546</v>
      </c>
      <c r="B459" s="152" t="s">
        <v>2398</v>
      </c>
      <c r="C459" s="152" t="s">
        <v>2675</v>
      </c>
      <c r="D459" s="152" t="s">
        <v>1435</v>
      </c>
      <c r="E459" s="152" t="s">
        <v>2705</v>
      </c>
      <c r="F459" s="152" t="s">
        <v>2397</v>
      </c>
      <c r="G459" s="152" t="s">
        <v>2705</v>
      </c>
      <c r="H459" s="152" t="s">
        <v>2705</v>
      </c>
      <c r="I459" s="152" t="s">
        <v>2675</v>
      </c>
      <c r="J459" s="152" t="s">
        <v>2398</v>
      </c>
      <c r="K459" s="152" t="s">
        <v>2705</v>
      </c>
      <c r="L459" s="152" t="s">
        <v>2398</v>
      </c>
      <c r="M459" s="152" t="s">
        <v>1435</v>
      </c>
      <c r="N459" s="152" t="s">
        <v>2705</v>
      </c>
      <c r="O459" s="152" t="s">
        <v>2398</v>
      </c>
      <c r="P459" s="152" t="s">
        <v>2397</v>
      </c>
      <c r="Q459" s="152" t="s">
        <v>2705</v>
      </c>
      <c r="R459" s="152" t="s">
        <v>1435</v>
      </c>
      <c r="S459" s="152" t="s">
        <v>2705</v>
      </c>
      <c r="T459" s="152" t="s">
        <v>2398</v>
      </c>
      <c r="U459" s="152" t="s">
        <v>2705</v>
      </c>
      <c r="V459" s="142" cm="1">
        <f t="array" ref="V459">IF(A459&lt;&gt;"",SUM(--(B459:U460 = "X")*$U$3,--(B459:U460 ="A")*$Q$3,--(B459:U460 ="B")*$R$3,--(B459:U460 ="C")*$S$3),"")</f>
        <v>11</v>
      </c>
      <c r="X459" s="437" t="s">
        <v>7767</v>
      </c>
      <c r="Y459" s="437">
        <v>18.5</v>
      </c>
      <c r="Z459" s="436">
        <f>_xlfn.XLOOKUP(answers[[#This Row],[StudentID]],$A$7:$A$1418,$V$7:$V$1418)</f>
        <v>18.5</v>
      </c>
      <c r="AF459" s="142" t="s">
        <v>7546</v>
      </c>
      <c r="AG459" s="142" t="s">
        <v>2398</v>
      </c>
      <c r="AH459" s="142" t="s">
        <v>2675</v>
      </c>
      <c r="AI459" s="142" t="s">
        <v>1435</v>
      </c>
      <c r="AJ459" s="142" t="s">
        <v>2705</v>
      </c>
      <c r="AK459" s="142" t="s">
        <v>2397</v>
      </c>
      <c r="AL459" s="142" t="s">
        <v>2705</v>
      </c>
      <c r="AM459" s="142" t="s">
        <v>2705</v>
      </c>
      <c r="AN459" s="142" t="s">
        <v>2675</v>
      </c>
      <c r="AO459" s="142" t="s">
        <v>2398</v>
      </c>
      <c r="AP459" s="142" t="s">
        <v>2705</v>
      </c>
      <c r="AQ459" s="142" t="s">
        <v>2398</v>
      </c>
      <c r="AR459" s="142" t="s">
        <v>1435</v>
      </c>
      <c r="AS459" s="142" t="s">
        <v>2705</v>
      </c>
      <c r="AT459" s="142" t="s">
        <v>2398</v>
      </c>
      <c r="AU459" s="142" t="s">
        <v>2397</v>
      </c>
      <c r="AV459" s="142" t="s">
        <v>2705</v>
      </c>
      <c r="AW459" s="142" t="s">
        <v>1435</v>
      </c>
      <c r="AX459" s="142" t="s">
        <v>2705</v>
      </c>
      <c r="AY459" s="142" t="s">
        <v>2398</v>
      </c>
      <c r="AZ459" s="142" t="s">
        <v>2705</v>
      </c>
    </row>
    <row r="460" spans="1:52" s="142" customFormat="1" ht="12.75" x14ac:dyDescent="0.2">
      <c r="A460" s="151"/>
      <c r="B460" s="152" t="s">
        <v>2705</v>
      </c>
      <c r="C460" s="152" t="s">
        <v>2705</v>
      </c>
      <c r="D460" s="152" t="s">
        <v>2675</v>
      </c>
      <c r="E460" s="152" t="s">
        <v>2675</v>
      </c>
      <c r="F460" s="152" t="s">
        <v>2398</v>
      </c>
      <c r="G460" s="152" t="s">
        <v>2675</v>
      </c>
      <c r="H460" s="152" t="s">
        <v>2398</v>
      </c>
      <c r="I460" s="152" t="s">
        <v>2398</v>
      </c>
      <c r="J460" s="152" t="s">
        <v>2398</v>
      </c>
      <c r="K460" s="152" t="s">
        <v>2705</v>
      </c>
      <c r="L460" s="152" t="s">
        <v>2398</v>
      </c>
      <c r="M460" s="152" t="s">
        <v>2398</v>
      </c>
      <c r="N460" s="152" t="s">
        <v>2705</v>
      </c>
      <c r="O460" s="152" t="s">
        <v>2398</v>
      </c>
      <c r="P460" s="152" t="s">
        <v>2705</v>
      </c>
      <c r="Q460" s="152" t="s">
        <v>2398</v>
      </c>
      <c r="R460" s="152" t="s">
        <v>2705</v>
      </c>
      <c r="S460" s="152" t="s">
        <v>2705</v>
      </c>
      <c r="T460" s="152" t="s">
        <v>2398</v>
      </c>
      <c r="U460" s="152" t="s">
        <v>2398</v>
      </c>
      <c r="V460" s="142" t="str" cm="1">
        <f t="array" ref="V460">IF(A460&lt;&gt;"",SUM(--(B460:U461 = "X")*$U$3,--(B460:U461 ="A")*$Q$3,--(B460:U461 ="B")*$R$3,--(B460:U461 ="C")*$S$3),"")</f>
        <v/>
      </c>
      <c r="X460" s="437" t="s">
        <v>7768</v>
      </c>
      <c r="Y460" s="437">
        <v>29.5</v>
      </c>
      <c r="Z460" s="436">
        <f>_xlfn.XLOOKUP(answers[[#This Row],[StudentID]],$A$7:$A$1418,$V$7:$V$1418)</f>
        <v>29.5</v>
      </c>
      <c r="AG460" s="142" t="s">
        <v>2705</v>
      </c>
      <c r="AH460" s="142" t="s">
        <v>2705</v>
      </c>
      <c r="AI460" s="142" t="s">
        <v>2675</v>
      </c>
      <c r="AJ460" s="142" t="s">
        <v>2675</v>
      </c>
      <c r="AK460" s="142" t="s">
        <v>2398</v>
      </c>
      <c r="AL460" s="142" t="s">
        <v>2675</v>
      </c>
      <c r="AM460" s="142" t="s">
        <v>2398</v>
      </c>
      <c r="AN460" s="142" t="s">
        <v>2398</v>
      </c>
      <c r="AO460" s="142" t="s">
        <v>2398</v>
      </c>
      <c r="AP460" s="142" t="s">
        <v>2705</v>
      </c>
      <c r="AQ460" s="142" t="s">
        <v>2398</v>
      </c>
      <c r="AR460" s="142" t="s">
        <v>2398</v>
      </c>
      <c r="AS460" s="142" t="s">
        <v>2705</v>
      </c>
      <c r="AT460" s="142" t="s">
        <v>2398</v>
      </c>
      <c r="AU460" s="142" t="s">
        <v>2705</v>
      </c>
      <c r="AV460" s="142" t="s">
        <v>2398</v>
      </c>
      <c r="AW460" s="142" t="s">
        <v>2705</v>
      </c>
      <c r="AX460" s="142" t="s">
        <v>2705</v>
      </c>
      <c r="AY460" s="142" t="s">
        <v>2398</v>
      </c>
      <c r="AZ460" s="142" t="s">
        <v>2398</v>
      </c>
    </row>
    <row r="461" spans="1:52" s="142" customFormat="1" ht="12.75" x14ac:dyDescent="0.2">
      <c r="A461" s="151" t="s">
        <v>7547</v>
      </c>
      <c r="B461" s="152" t="s">
        <v>2705</v>
      </c>
      <c r="C461" s="152" t="s">
        <v>2705</v>
      </c>
      <c r="D461" s="152" t="s">
        <v>2705</v>
      </c>
      <c r="E461" s="152" t="s">
        <v>2705</v>
      </c>
      <c r="F461" s="152" t="s">
        <v>2398</v>
      </c>
      <c r="G461" s="152" t="s">
        <v>2705</v>
      </c>
      <c r="H461" s="152" t="s">
        <v>2705</v>
      </c>
      <c r="I461" s="152" t="s">
        <v>2705</v>
      </c>
      <c r="J461" s="152" t="s">
        <v>2705</v>
      </c>
      <c r="K461" s="152" t="s">
        <v>2398</v>
      </c>
      <c r="L461" s="152" t="s">
        <v>2398</v>
      </c>
      <c r="M461" s="152" t="s">
        <v>2398</v>
      </c>
      <c r="N461" s="152" t="s">
        <v>2705</v>
      </c>
      <c r="O461" s="152" t="s">
        <v>2705</v>
      </c>
      <c r="P461" s="152" t="s">
        <v>2705</v>
      </c>
      <c r="Q461" s="152" t="s">
        <v>2705</v>
      </c>
      <c r="R461" s="152" t="s">
        <v>2705</v>
      </c>
      <c r="S461" s="152" t="s">
        <v>2705</v>
      </c>
      <c r="T461" s="152" t="s">
        <v>2398</v>
      </c>
      <c r="U461" s="152" t="s">
        <v>2398</v>
      </c>
      <c r="V461" s="142" cm="1">
        <f t="array" ref="V461">IF(A461&lt;&gt;"",SUM(--(B461:U462 = "X")*$U$3,--(B461:U462 ="A")*$Q$3,--(B461:U462 ="B")*$R$3,--(B461:U462 ="C")*$S$3),"")</f>
        <v>24</v>
      </c>
      <c r="X461" s="437" t="s">
        <v>7769</v>
      </c>
      <c r="Y461" s="437">
        <v>16.5</v>
      </c>
      <c r="Z461" s="436">
        <f>_xlfn.XLOOKUP(answers[[#This Row],[StudentID]],$A$7:$A$1418,$V$7:$V$1418)</f>
        <v>16.5</v>
      </c>
      <c r="AF461" s="142" t="s">
        <v>7547</v>
      </c>
      <c r="AG461" s="142" t="s">
        <v>2705</v>
      </c>
      <c r="AH461" s="142" t="s">
        <v>2705</v>
      </c>
      <c r="AI461" s="142" t="s">
        <v>2705</v>
      </c>
      <c r="AJ461" s="142" t="s">
        <v>2705</v>
      </c>
      <c r="AK461" s="142" t="s">
        <v>2398</v>
      </c>
      <c r="AL461" s="142" t="s">
        <v>2705</v>
      </c>
      <c r="AM461" s="142" t="s">
        <v>2705</v>
      </c>
      <c r="AN461" s="142" t="s">
        <v>2705</v>
      </c>
      <c r="AO461" s="142" t="s">
        <v>2705</v>
      </c>
      <c r="AP461" s="142" t="s">
        <v>2398</v>
      </c>
      <c r="AQ461" s="142" t="s">
        <v>2398</v>
      </c>
      <c r="AR461" s="142" t="s">
        <v>2398</v>
      </c>
      <c r="AS461" s="142" t="s">
        <v>2705</v>
      </c>
      <c r="AT461" s="142" t="s">
        <v>2705</v>
      </c>
      <c r="AU461" s="142" t="s">
        <v>2705</v>
      </c>
      <c r="AV461" s="142" t="s">
        <v>2705</v>
      </c>
      <c r="AW461" s="142" t="s">
        <v>2705</v>
      </c>
      <c r="AX461" s="142" t="s">
        <v>2705</v>
      </c>
      <c r="AY461" s="142" t="s">
        <v>2398</v>
      </c>
      <c r="AZ461" s="142" t="s">
        <v>2398</v>
      </c>
    </row>
    <row r="462" spans="1:52" s="142" customFormat="1" ht="12.75" x14ac:dyDescent="0.2">
      <c r="A462" s="151"/>
      <c r="B462" s="152" t="s">
        <v>2705</v>
      </c>
      <c r="C462" s="152" t="s">
        <v>2398</v>
      </c>
      <c r="D462" s="152" t="s">
        <v>1435</v>
      </c>
      <c r="E462" s="152" t="s">
        <v>2398</v>
      </c>
      <c r="F462" s="152" t="s">
        <v>2398</v>
      </c>
      <c r="G462" s="152" t="s">
        <v>2398</v>
      </c>
      <c r="H462" s="152" t="s">
        <v>2705</v>
      </c>
      <c r="I462" s="152" t="s">
        <v>2705</v>
      </c>
      <c r="J462" s="152" t="s">
        <v>2705</v>
      </c>
      <c r="K462" s="152" t="s">
        <v>2705</v>
      </c>
      <c r="L462" s="152" t="s">
        <v>2398</v>
      </c>
      <c r="M462" s="152" t="s">
        <v>2705</v>
      </c>
      <c r="N462" s="152" t="s">
        <v>2705</v>
      </c>
      <c r="O462" s="152" t="s">
        <v>2705</v>
      </c>
      <c r="P462" s="152" t="s">
        <v>2398</v>
      </c>
      <c r="Q462" s="152" t="s">
        <v>2705</v>
      </c>
      <c r="R462" s="152" t="s">
        <v>1435</v>
      </c>
      <c r="S462" s="152" t="s">
        <v>2705</v>
      </c>
      <c r="T462" s="152" t="s">
        <v>2398</v>
      </c>
      <c r="U462" s="152" t="s">
        <v>2705</v>
      </c>
      <c r="V462" s="142" t="str" cm="1">
        <f t="array" ref="V462">IF(A462&lt;&gt;"",SUM(--(B462:U463 = "X")*$U$3,--(B462:U463 ="A")*$Q$3,--(B462:U463 ="B")*$R$3,--(B462:U463 ="C")*$S$3),"")</f>
        <v/>
      </c>
      <c r="X462" s="437" t="s">
        <v>7770</v>
      </c>
      <c r="Y462" s="437">
        <v>6.5</v>
      </c>
      <c r="Z462" s="436">
        <f>_xlfn.XLOOKUP(answers[[#This Row],[StudentID]],$A$7:$A$1418,$V$7:$V$1418)</f>
        <v>6.5</v>
      </c>
      <c r="AG462" s="142" t="s">
        <v>2705</v>
      </c>
      <c r="AH462" s="142" t="s">
        <v>2398</v>
      </c>
      <c r="AI462" s="142" t="s">
        <v>1435</v>
      </c>
      <c r="AJ462" s="142" t="s">
        <v>2398</v>
      </c>
      <c r="AK462" s="142" t="s">
        <v>2398</v>
      </c>
      <c r="AL462" s="142" t="s">
        <v>2398</v>
      </c>
      <c r="AM462" s="142" t="s">
        <v>2705</v>
      </c>
      <c r="AN462" s="142" t="s">
        <v>2705</v>
      </c>
      <c r="AO462" s="142" t="s">
        <v>2705</v>
      </c>
      <c r="AP462" s="142" t="s">
        <v>2705</v>
      </c>
      <c r="AQ462" s="142" t="s">
        <v>2398</v>
      </c>
      <c r="AR462" s="142" t="s">
        <v>2705</v>
      </c>
      <c r="AS462" s="142" t="s">
        <v>2705</v>
      </c>
      <c r="AT462" s="142" t="s">
        <v>2705</v>
      </c>
      <c r="AU462" s="142" t="s">
        <v>2398</v>
      </c>
      <c r="AV462" s="142" t="s">
        <v>2705</v>
      </c>
      <c r="AW462" s="142" t="s">
        <v>1435</v>
      </c>
      <c r="AX462" s="142" t="s">
        <v>2705</v>
      </c>
      <c r="AY462" s="142" t="s">
        <v>2398</v>
      </c>
      <c r="AZ462" s="142" t="s">
        <v>2705</v>
      </c>
    </row>
    <row r="463" spans="1:52" s="142" customFormat="1" ht="12.75" x14ac:dyDescent="0.2">
      <c r="A463" s="151" t="s">
        <v>7548</v>
      </c>
      <c r="B463" s="152" t="s">
        <v>2705</v>
      </c>
      <c r="C463" s="152" t="s">
        <v>2705</v>
      </c>
      <c r="D463" s="152" t="s">
        <v>2705</v>
      </c>
      <c r="E463" s="152" t="s">
        <v>1435</v>
      </c>
      <c r="F463" s="152" t="s">
        <v>2398</v>
      </c>
      <c r="G463" s="152" t="s">
        <v>1435</v>
      </c>
      <c r="H463" s="152" t="s">
        <v>2705</v>
      </c>
      <c r="I463" s="152" t="s">
        <v>2397</v>
      </c>
      <c r="J463" s="152" t="s">
        <v>2398</v>
      </c>
      <c r="K463" s="152" t="s">
        <v>1435</v>
      </c>
      <c r="L463" s="152" t="s">
        <v>2705</v>
      </c>
      <c r="M463" s="152" t="s">
        <v>1435</v>
      </c>
      <c r="N463" s="152" t="s">
        <v>2675</v>
      </c>
      <c r="O463" s="152" t="s">
        <v>2705</v>
      </c>
      <c r="P463" s="152" t="s">
        <v>2675</v>
      </c>
      <c r="Q463" s="152" t="s">
        <v>2705</v>
      </c>
      <c r="R463" s="152" t="s">
        <v>2398</v>
      </c>
      <c r="S463" s="152" t="s">
        <v>2675</v>
      </c>
      <c r="T463" s="152" t="s">
        <v>2705</v>
      </c>
      <c r="U463" s="152" t="s">
        <v>2675</v>
      </c>
      <c r="V463" s="142" cm="1">
        <f t="array" ref="V463">IF(A463&lt;&gt;"",SUM(--(B463:U464 = "X")*$U$3,--(B463:U464 ="A")*$Q$3,--(B463:U464 ="B")*$R$3,--(B463:U464 ="C")*$S$3),"")</f>
        <v>4.5</v>
      </c>
      <c r="X463" s="437" t="s">
        <v>7771</v>
      </c>
      <c r="Y463" s="437">
        <v>7</v>
      </c>
      <c r="Z463" s="436">
        <f>_xlfn.XLOOKUP(answers[[#This Row],[StudentID]],$A$7:$A$1418,$V$7:$V$1418)</f>
        <v>7</v>
      </c>
      <c r="AF463" s="142" t="s">
        <v>7548</v>
      </c>
      <c r="AG463" s="142" t="s">
        <v>2705</v>
      </c>
      <c r="AH463" s="142" t="s">
        <v>2705</v>
      </c>
      <c r="AI463" s="142" t="s">
        <v>2705</v>
      </c>
      <c r="AJ463" s="142" t="s">
        <v>1435</v>
      </c>
      <c r="AK463" s="142" t="s">
        <v>2398</v>
      </c>
      <c r="AL463" s="142" t="s">
        <v>1435</v>
      </c>
      <c r="AM463" s="142" t="s">
        <v>2705</v>
      </c>
      <c r="AN463" s="142" t="s">
        <v>2397</v>
      </c>
      <c r="AO463" s="142" t="s">
        <v>2398</v>
      </c>
      <c r="AP463" s="142" t="s">
        <v>1435</v>
      </c>
      <c r="AQ463" s="142" t="s">
        <v>2705</v>
      </c>
      <c r="AR463" s="142" t="s">
        <v>1435</v>
      </c>
      <c r="AS463" s="142" t="s">
        <v>2675</v>
      </c>
      <c r="AT463" s="142" t="s">
        <v>2705</v>
      </c>
      <c r="AU463" s="142" t="s">
        <v>2675</v>
      </c>
      <c r="AV463" s="142" t="s">
        <v>2705</v>
      </c>
      <c r="AW463" s="142" t="s">
        <v>2398</v>
      </c>
      <c r="AX463" s="142" t="s">
        <v>2675</v>
      </c>
      <c r="AY463" s="142" t="s">
        <v>2705</v>
      </c>
      <c r="AZ463" s="142" t="s">
        <v>2675</v>
      </c>
    </row>
    <row r="464" spans="1:52" s="142" customFormat="1" ht="12.75" x14ac:dyDescent="0.2">
      <c r="A464" s="151"/>
      <c r="B464" s="152" t="s">
        <v>2398</v>
      </c>
      <c r="C464" s="152" t="s">
        <v>1435</v>
      </c>
      <c r="D464" s="152" t="s">
        <v>2675</v>
      </c>
      <c r="E464" s="152" t="s">
        <v>2705</v>
      </c>
      <c r="F464" s="152" t="s">
        <v>2398</v>
      </c>
      <c r="G464" s="152" t="s">
        <v>1435</v>
      </c>
      <c r="H464" s="152" t="s">
        <v>1435</v>
      </c>
      <c r="I464" s="152" t="s">
        <v>2705</v>
      </c>
      <c r="J464" s="152" t="s">
        <v>2398</v>
      </c>
      <c r="K464" s="152" t="s">
        <v>2675</v>
      </c>
      <c r="L464" s="152" t="s">
        <v>2398</v>
      </c>
      <c r="M464" s="152" t="s">
        <v>2675</v>
      </c>
      <c r="N464" s="152" t="s">
        <v>2397</v>
      </c>
      <c r="O464" s="152" t="s">
        <v>2675</v>
      </c>
      <c r="P464" s="152" t="s">
        <v>2705</v>
      </c>
      <c r="Q464" s="152" t="s">
        <v>2398</v>
      </c>
      <c r="R464" s="152" t="s">
        <v>2398</v>
      </c>
      <c r="S464" s="152" t="s">
        <v>2397</v>
      </c>
      <c r="T464" s="152" t="s">
        <v>2705</v>
      </c>
      <c r="U464" s="152" t="s">
        <v>2398</v>
      </c>
      <c r="V464" s="142" t="str" cm="1">
        <f t="array" ref="V464">IF(A464&lt;&gt;"",SUM(--(B464:U465 = "X")*$U$3,--(B464:U465 ="A")*$Q$3,--(B464:U465 ="B")*$R$3,--(B464:U465 ="C")*$S$3),"")</f>
        <v/>
      </c>
      <c r="X464" s="437" t="s">
        <v>7772</v>
      </c>
      <c r="Y464" s="437">
        <v>8</v>
      </c>
      <c r="Z464" s="436">
        <f>_xlfn.XLOOKUP(answers[[#This Row],[StudentID]],$A$7:$A$1418,$V$7:$V$1418)</f>
        <v>8</v>
      </c>
      <c r="AG464" s="142" t="s">
        <v>2398</v>
      </c>
      <c r="AH464" s="142" t="s">
        <v>1435</v>
      </c>
      <c r="AI464" s="142" t="s">
        <v>2675</v>
      </c>
      <c r="AJ464" s="142" t="s">
        <v>2705</v>
      </c>
      <c r="AK464" s="142" t="s">
        <v>2398</v>
      </c>
      <c r="AL464" s="142" t="s">
        <v>1435</v>
      </c>
      <c r="AM464" s="142" t="s">
        <v>1435</v>
      </c>
      <c r="AN464" s="142" t="s">
        <v>2705</v>
      </c>
      <c r="AO464" s="142" t="s">
        <v>2398</v>
      </c>
      <c r="AP464" s="142" t="s">
        <v>2675</v>
      </c>
      <c r="AQ464" s="142" t="s">
        <v>2398</v>
      </c>
      <c r="AR464" s="142" t="s">
        <v>2675</v>
      </c>
      <c r="AS464" s="142" t="s">
        <v>2397</v>
      </c>
      <c r="AT464" s="142" t="s">
        <v>2675</v>
      </c>
      <c r="AU464" s="142" t="s">
        <v>2705</v>
      </c>
      <c r="AV464" s="142" t="s">
        <v>2398</v>
      </c>
      <c r="AW464" s="142" t="s">
        <v>2398</v>
      </c>
      <c r="AX464" s="142" t="s">
        <v>2397</v>
      </c>
      <c r="AY464" s="142" t="s">
        <v>2705</v>
      </c>
      <c r="AZ464" s="142" t="s">
        <v>2398</v>
      </c>
    </row>
    <row r="465" spans="1:52" s="142" customFormat="1" ht="12.75" x14ac:dyDescent="0.2">
      <c r="A465" s="151" t="s">
        <v>7549</v>
      </c>
      <c r="B465" s="152" t="s">
        <v>2705</v>
      </c>
      <c r="C465" s="152" t="s">
        <v>2398</v>
      </c>
      <c r="D465" s="152" t="s">
        <v>2398</v>
      </c>
      <c r="E465" s="152" t="s">
        <v>2398</v>
      </c>
      <c r="F465" s="152" t="s">
        <v>2705</v>
      </c>
      <c r="G465" s="152" t="s">
        <v>2705</v>
      </c>
      <c r="H465" s="152" t="s">
        <v>2705</v>
      </c>
      <c r="I465" s="152" t="s">
        <v>2705</v>
      </c>
      <c r="J465" s="152" t="s">
        <v>2398</v>
      </c>
      <c r="K465" s="152" t="s">
        <v>2705</v>
      </c>
      <c r="L465" s="152" t="s">
        <v>2705</v>
      </c>
      <c r="M465" s="152" t="s">
        <v>2705</v>
      </c>
      <c r="N465" s="152" t="s">
        <v>2705</v>
      </c>
      <c r="O465" s="152" t="s">
        <v>2705</v>
      </c>
      <c r="P465" s="152" t="s">
        <v>2675</v>
      </c>
      <c r="Q465" s="152" t="s">
        <v>2675</v>
      </c>
      <c r="R465" s="152" t="s">
        <v>2398</v>
      </c>
      <c r="S465" s="152" t="s">
        <v>2398</v>
      </c>
      <c r="T465" s="152" t="s">
        <v>2705</v>
      </c>
      <c r="U465" s="152" t="s">
        <v>2398</v>
      </c>
      <c r="V465" s="142" cm="1">
        <f t="array" ref="V465">IF(A465&lt;&gt;"",SUM(--(B465:U466 = "X")*$U$3,--(B465:U466 ="A")*$Q$3,--(B465:U466 ="B")*$R$3,--(B465:U466 ="C")*$S$3),"")</f>
        <v>19</v>
      </c>
      <c r="X465" s="437" t="s">
        <v>7773</v>
      </c>
      <c r="Y465" s="437">
        <v>11</v>
      </c>
      <c r="Z465" s="436">
        <f>_xlfn.XLOOKUP(answers[[#This Row],[StudentID]],$A$7:$A$1418,$V$7:$V$1418)</f>
        <v>11</v>
      </c>
      <c r="AF465" s="142" t="s">
        <v>7549</v>
      </c>
      <c r="AG465" s="142" t="s">
        <v>2705</v>
      </c>
      <c r="AH465" s="142" t="s">
        <v>2398</v>
      </c>
      <c r="AI465" s="142" t="s">
        <v>2398</v>
      </c>
      <c r="AJ465" s="142" t="s">
        <v>2398</v>
      </c>
      <c r="AK465" s="142" t="s">
        <v>2705</v>
      </c>
      <c r="AL465" s="142" t="s">
        <v>2705</v>
      </c>
      <c r="AM465" s="142" t="s">
        <v>2705</v>
      </c>
      <c r="AN465" s="142" t="s">
        <v>2705</v>
      </c>
      <c r="AO465" s="142" t="s">
        <v>2398</v>
      </c>
      <c r="AP465" s="142" t="s">
        <v>2705</v>
      </c>
      <c r="AQ465" s="142" t="s">
        <v>2705</v>
      </c>
      <c r="AR465" s="142" t="s">
        <v>2705</v>
      </c>
      <c r="AS465" s="142" t="s">
        <v>2705</v>
      </c>
      <c r="AT465" s="142" t="s">
        <v>2705</v>
      </c>
      <c r="AU465" s="142" t="s">
        <v>2675</v>
      </c>
      <c r="AV465" s="142" t="s">
        <v>2675</v>
      </c>
      <c r="AW465" s="142" t="s">
        <v>2398</v>
      </c>
      <c r="AX465" s="142" t="s">
        <v>2398</v>
      </c>
      <c r="AY465" s="142" t="s">
        <v>2705</v>
      </c>
      <c r="AZ465" s="142" t="s">
        <v>2398</v>
      </c>
    </row>
    <row r="466" spans="1:52" s="142" customFormat="1" ht="12.75" x14ac:dyDescent="0.2">
      <c r="A466" s="151"/>
      <c r="B466" s="152" t="s">
        <v>2398</v>
      </c>
      <c r="C466" s="152" t="s">
        <v>2398</v>
      </c>
      <c r="D466" s="152" t="s">
        <v>2705</v>
      </c>
      <c r="E466" s="152" t="s">
        <v>2398</v>
      </c>
      <c r="F466" s="152" t="s">
        <v>2705</v>
      </c>
      <c r="G466" s="152" t="s">
        <v>2398</v>
      </c>
      <c r="H466" s="152" t="s">
        <v>2705</v>
      </c>
      <c r="I466" s="152" t="s">
        <v>2705</v>
      </c>
      <c r="J466" s="152" t="s">
        <v>2398</v>
      </c>
      <c r="K466" s="152" t="s">
        <v>2705</v>
      </c>
      <c r="L466" s="152" t="s">
        <v>2397</v>
      </c>
      <c r="M466" s="152" t="s">
        <v>2398</v>
      </c>
      <c r="N466" s="152" t="s">
        <v>2398</v>
      </c>
      <c r="O466" s="152" t="s">
        <v>2705</v>
      </c>
      <c r="P466" s="152" t="s">
        <v>2398</v>
      </c>
      <c r="Q466" s="152" t="s">
        <v>2705</v>
      </c>
      <c r="R466" s="152" t="s">
        <v>2398</v>
      </c>
      <c r="S466" s="152" t="s">
        <v>2398</v>
      </c>
      <c r="T466" s="152" t="s">
        <v>2705</v>
      </c>
      <c r="U466" s="152" t="s">
        <v>2705</v>
      </c>
      <c r="V466" s="142" t="str" cm="1">
        <f t="array" ref="V466">IF(A466&lt;&gt;"",SUM(--(B466:U467 = "X")*$U$3,--(B466:U467 ="A")*$Q$3,--(B466:U467 ="B")*$R$3,--(B466:U467 ="C")*$S$3),"")</f>
        <v/>
      </c>
      <c r="X466" s="437" t="s">
        <v>7774</v>
      </c>
      <c r="Y466" s="437">
        <v>15</v>
      </c>
      <c r="Z466" s="436">
        <f>_xlfn.XLOOKUP(answers[[#This Row],[StudentID]],$A$7:$A$1418,$V$7:$V$1418)</f>
        <v>15</v>
      </c>
      <c r="AG466" s="142" t="s">
        <v>2398</v>
      </c>
      <c r="AH466" s="142" t="s">
        <v>2398</v>
      </c>
      <c r="AI466" s="142" t="s">
        <v>2705</v>
      </c>
      <c r="AJ466" s="142" t="s">
        <v>2398</v>
      </c>
      <c r="AK466" s="142" t="s">
        <v>2705</v>
      </c>
      <c r="AL466" s="142" t="s">
        <v>2398</v>
      </c>
      <c r="AM466" s="142" t="s">
        <v>2705</v>
      </c>
      <c r="AN466" s="142" t="s">
        <v>2705</v>
      </c>
      <c r="AO466" s="142" t="s">
        <v>2398</v>
      </c>
      <c r="AP466" s="142" t="s">
        <v>2705</v>
      </c>
      <c r="AQ466" s="142" t="s">
        <v>2397</v>
      </c>
      <c r="AR466" s="142" t="s">
        <v>2398</v>
      </c>
      <c r="AS466" s="142" t="s">
        <v>2398</v>
      </c>
      <c r="AT466" s="142" t="s">
        <v>2705</v>
      </c>
      <c r="AU466" s="142" t="s">
        <v>2398</v>
      </c>
      <c r="AV466" s="142" t="s">
        <v>2705</v>
      </c>
      <c r="AW466" s="142" t="s">
        <v>2398</v>
      </c>
      <c r="AX466" s="142" t="s">
        <v>2398</v>
      </c>
      <c r="AY466" s="142" t="s">
        <v>2705</v>
      </c>
      <c r="AZ466" s="142" t="s">
        <v>2705</v>
      </c>
    </row>
    <row r="467" spans="1:52" s="142" customFormat="1" ht="12.75" x14ac:dyDescent="0.2">
      <c r="A467" s="151" t="s">
        <v>7550</v>
      </c>
      <c r="B467" s="152" t="s">
        <v>2398</v>
      </c>
      <c r="C467" s="152" t="s">
        <v>2398</v>
      </c>
      <c r="D467" s="152" t="s">
        <v>2705</v>
      </c>
      <c r="E467" s="152" t="s">
        <v>2398</v>
      </c>
      <c r="F467" s="152" t="s">
        <v>2705</v>
      </c>
      <c r="G467" s="152" t="s">
        <v>2705</v>
      </c>
      <c r="H467" s="152" t="s">
        <v>2705</v>
      </c>
      <c r="I467" s="152" t="s">
        <v>2675</v>
      </c>
      <c r="J467" s="152" t="s">
        <v>2675</v>
      </c>
      <c r="K467" s="152" t="s">
        <v>2398</v>
      </c>
      <c r="L467" s="152" t="s">
        <v>2398</v>
      </c>
      <c r="M467" s="152" t="s">
        <v>1435</v>
      </c>
      <c r="N467" s="152" t="s">
        <v>2398</v>
      </c>
      <c r="O467" s="152" t="s">
        <v>2675</v>
      </c>
      <c r="P467" s="152" t="s">
        <v>2705</v>
      </c>
      <c r="Q467" s="152" t="s">
        <v>2705</v>
      </c>
      <c r="R467" s="152" t="s">
        <v>2705</v>
      </c>
      <c r="S467" s="152" t="s">
        <v>2705</v>
      </c>
      <c r="T467" s="152" t="s">
        <v>2705</v>
      </c>
      <c r="U467" s="152" t="s">
        <v>2398</v>
      </c>
      <c r="V467" s="142" cm="1">
        <f t="array" ref="V467">IF(A467&lt;&gt;"",SUM(--(B467:U468 = "X")*$U$3,--(B467:U468 ="A")*$Q$3,--(B467:U468 ="B")*$R$3,--(B467:U468 ="C")*$S$3),"")</f>
        <v>15</v>
      </c>
      <c r="X467" s="437" t="s">
        <v>7775</v>
      </c>
      <c r="Y467" s="437">
        <v>11.5</v>
      </c>
      <c r="Z467" s="436">
        <f>_xlfn.XLOOKUP(answers[[#This Row],[StudentID]],$A$7:$A$1418,$V$7:$V$1418)</f>
        <v>11.5</v>
      </c>
      <c r="AF467" s="142" t="s">
        <v>7550</v>
      </c>
      <c r="AG467" s="142" t="s">
        <v>2398</v>
      </c>
      <c r="AH467" s="142" t="s">
        <v>2398</v>
      </c>
      <c r="AI467" s="142" t="s">
        <v>2705</v>
      </c>
      <c r="AJ467" s="142" t="s">
        <v>2398</v>
      </c>
      <c r="AK467" s="142" t="s">
        <v>2705</v>
      </c>
      <c r="AL467" s="142" t="s">
        <v>2705</v>
      </c>
      <c r="AM467" s="142" t="s">
        <v>2705</v>
      </c>
      <c r="AN467" s="142" t="s">
        <v>2675</v>
      </c>
      <c r="AO467" s="142" t="s">
        <v>2675</v>
      </c>
      <c r="AP467" s="142" t="s">
        <v>2398</v>
      </c>
      <c r="AQ467" s="142" t="s">
        <v>2398</v>
      </c>
      <c r="AR467" s="142" t="s">
        <v>1435</v>
      </c>
      <c r="AS467" s="142" t="s">
        <v>2398</v>
      </c>
      <c r="AT467" s="142" t="s">
        <v>2675</v>
      </c>
      <c r="AU467" s="142" t="s">
        <v>2705</v>
      </c>
      <c r="AV467" s="142" t="s">
        <v>2705</v>
      </c>
      <c r="AW467" s="142" t="s">
        <v>2705</v>
      </c>
      <c r="AX467" s="142" t="s">
        <v>2705</v>
      </c>
      <c r="AY467" s="142" t="s">
        <v>2705</v>
      </c>
      <c r="AZ467" s="142" t="s">
        <v>2398</v>
      </c>
    </row>
    <row r="468" spans="1:52" s="142" customFormat="1" ht="12.75" x14ac:dyDescent="0.2">
      <c r="A468" s="151"/>
      <c r="B468" s="152" t="s">
        <v>2705</v>
      </c>
      <c r="C468" s="152" t="s">
        <v>2675</v>
      </c>
      <c r="D468" s="152" t="s">
        <v>2398</v>
      </c>
      <c r="E468" s="152" t="s">
        <v>2705</v>
      </c>
      <c r="F468" s="152" t="s">
        <v>2705</v>
      </c>
      <c r="G468" s="152" t="s">
        <v>2705</v>
      </c>
      <c r="H468" s="152" t="s">
        <v>2398</v>
      </c>
      <c r="I468" s="152" t="s">
        <v>2398</v>
      </c>
      <c r="J468" s="152" t="s">
        <v>2398</v>
      </c>
      <c r="K468" s="152" t="s">
        <v>2398</v>
      </c>
      <c r="L468" s="152" t="s">
        <v>2398</v>
      </c>
      <c r="M468" s="152" t="s">
        <v>1435</v>
      </c>
      <c r="N468" s="152" t="s">
        <v>2705</v>
      </c>
      <c r="O468" s="152" t="s">
        <v>2705</v>
      </c>
      <c r="P468" s="152" t="s">
        <v>2398</v>
      </c>
      <c r="Q468" s="152" t="s">
        <v>2705</v>
      </c>
      <c r="R468" s="152" t="s">
        <v>2398</v>
      </c>
      <c r="S468" s="152" t="s">
        <v>2705</v>
      </c>
      <c r="T468" s="152" t="s">
        <v>2705</v>
      </c>
      <c r="U468" s="152" t="s">
        <v>2398</v>
      </c>
      <c r="V468" s="142" t="str" cm="1">
        <f t="array" ref="V468">IF(A468&lt;&gt;"",SUM(--(B468:U469 = "X")*$U$3,--(B468:U469 ="A")*$Q$3,--(B468:U469 ="B")*$R$3,--(B468:U469 ="C")*$S$3),"")</f>
        <v/>
      </c>
      <c r="X468" s="437" t="s">
        <v>7776</v>
      </c>
      <c r="Y468" s="437">
        <v>19</v>
      </c>
      <c r="Z468" s="436">
        <f>_xlfn.XLOOKUP(answers[[#This Row],[StudentID]],$A$7:$A$1418,$V$7:$V$1418)</f>
        <v>19</v>
      </c>
      <c r="AG468" s="142" t="s">
        <v>2705</v>
      </c>
      <c r="AH468" s="142" t="s">
        <v>2675</v>
      </c>
      <c r="AI468" s="142" t="s">
        <v>2398</v>
      </c>
      <c r="AJ468" s="142" t="s">
        <v>2705</v>
      </c>
      <c r="AK468" s="142" t="s">
        <v>2705</v>
      </c>
      <c r="AL468" s="142" t="s">
        <v>2705</v>
      </c>
      <c r="AM468" s="142" t="s">
        <v>2398</v>
      </c>
      <c r="AN468" s="142" t="s">
        <v>2398</v>
      </c>
      <c r="AO468" s="142" t="s">
        <v>2398</v>
      </c>
      <c r="AP468" s="142" t="s">
        <v>2398</v>
      </c>
      <c r="AQ468" s="142" t="s">
        <v>2398</v>
      </c>
      <c r="AR468" s="142" t="s">
        <v>1435</v>
      </c>
      <c r="AS468" s="142" t="s">
        <v>2705</v>
      </c>
      <c r="AT468" s="142" t="s">
        <v>2705</v>
      </c>
      <c r="AU468" s="142" t="s">
        <v>2398</v>
      </c>
      <c r="AV468" s="142" t="s">
        <v>2705</v>
      </c>
      <c r="AW468" s="142" t="s">
        <v>2398</v>
      </c>
      <c r="AX468" s="142" t="s">
        <v>2705</v>
      </c>
      <c r="AY468" s="142" t="s">
        <v>2705</v>
      </c>
      <c r="AZ468" s="142" t="s">
        <v>2398</v>
      </c>
    </row>
    <row r="469" spans="1:52" s="142" customFormat="1" ht="12.75" x14ac:dyDescent="0.2">
      <c r="A469" s="151" t="s">
        <v>7551</v>
      </c>
      <c r="B469" s="152" t="s">
        <v>2705</v>
      </c>
      <c r="C469" s="152" t="s">
        <v>2398</v>
      </c>
      <c r="D469" s="152" t="s">
        <v>2705</v>
      </c>
      <c r="E469" s="152" t="s">
        <v>2397</v>
      </c>
      <c r="F469" s="152" t="s">
        <v>2398</v>
      </c>
      <c r="G469" s="152" t="s">
        <v>2705</v>
      </c>
      <c r="H469" s="152" t="s">
        <v>2398</v>
      </c>
      <c r="I469" s="152" t="s">
        <v>2398</v>
      </c>
      <c r="J469" s="152" t="s">
        <v>1435</v>
      </c>
      <c r="K469" s="152" t="s">
        <v>2705</v>
      </c>
      <c r="L469" s="152" t="s">
        <v>2398</v>
      </c>
      <c r="M469" s="152" t="s">
        <v>2705</v>
      </c>
      <c r="N469" s="152" t="s">
        <v>2705</v>
      </c>
      <c r="O469" s="152" t="s">
        <v>2675</v>
      </c>
      <c r="P469" s="152" t="s">
        <v>2705</v>
      </c>
      <c r="Q469" s="152" t="s">
        <v>2705</v>
      </c>
      <c r="R469" s="152" t="s">
        <v>2675</v>
      </c>
      <c r="S469" s="152" t="s">
        <v>2705</v>
      </c>
      <c r="T469" s="152" t="s">
        <v>2705</v>
      </c>
      <c r="U469" s="152" t="s">
        <v>2705</v>
      </c>
      <c r="V469" s="142" cm="1">
        <f t="array" ref="V469">IF(A469&lt;&gt;"",SUM(--(B469:U470 = "X")*$U$3,--(B469:U470 ="A")*$Q$3,--(B469:U470 ="B")*$R$3,--(B469:U470 ="C")*$S$3),"")</f>
        <v>16</v>
      </c>
      <c r="X469" s="437" t="s">
        <v>7777</v>
      </c>
      <c r="Y469" s="437">
        <v>28</v>
      </c>
      <c r="Z469" s="436">
        <f>_xlfn.XLOOKUP(answers[[#This Row],[StudentID]],$A$7:$A$1418,$V$7:$V$1418)</f>
        <v>28</v>
      </c>
      <c r="AF469" s="142" t="s">
        <v>7551</v>
      </c>
      <c r="AG469" s="142" t="s">
        <v>2705</v>
      </c>
      <c r="AH469" s="142" t="s">
        <v>2398</v>
      </c>
      <c r="AI469" s="142" t="s">
        <v>2705</v>
      </c>
      <c r="AJ469" s="142" t="s">
        <v>2397</v>
      </c>
      <c r="AK469" s="142" t="s">
        <v>2398</v>
      </c>
      <c r="AL469" s="142" t="s">
        <v>2705</v>
      </c>
      <c r="AM469" s="142" t="s">
        <v>2398</v>
      </c>
      <c r="AN469" s="142" t="s">
        <v>2398</v>
      </c>
      <c r="AO469" s="142" t="s">
        <v>1435</v>
      </c>
      <c r="AP469" s="142" t="s">
        <v>2705</v>
      </c>
      <c r="AQ469" s="142" t="s">
        <v>2398</v>
      </c>
      <c r="AR469" s="142" t="s">
        <v>2705</v>
      </c>
      <c r="AS469" s="142" t="s">
        <v>2705</v>
      </c>
      <c r="AT469" s="142" t="s">
        <v>2675</v>
      </c>
      <c r="AU469" s="142" t="s">
        <v>2705</v>
      </c>
      <c r="AV469" s="142" t="s">
        <v>2705</v>
      </c>
      <c r="AW469" s="142" t="s">
        <v>2675</v>
      </c>
      <c r="AX469" s="142" t="s">
        <v>2705</v>
      </c>
      <c r="AY469" s="142" t="s">
        <v>2705</v>
      </c>
      <c r="AZ469" s="142" t="s">
        <v>2705</v>
      </c>
    </row>
    <row r="470" spans="1:52" s="142" customFormat="1" ht="12.75" x14ac:dyDescent="0.2">
      <c r="A470" s="151"/>
      <c r="B470" s="152" t="s">
        <v>2705</v>
      </c>
      <c r="C470" s="152" t="s">
        <v>2398</v>
      </c>
      <c r="D470" s="152" t="s">
        <v>2398</v>
      </c>
      <c r="E470" s="152" t="s">
        <v>1435</v>
      </c>
      <c r="F470" s="152" t="s">
        <v>2397</v>
      </c>
      <c r="G470" s="152" t="s">
        <v>2705</v>
      </c>
      <c r="H470" s="152" t="s">
        <v>2675</v>
      </c>
      <c r="I470" s="152" t="s">
        <v>1435</v>
      </c>
      <c r="J470" s="152" t="s">
        <v>2398</v>
      </c>
      <c r="K470" s="152" t="s">
        <v>2705</v>
      </c>
      <c r="L470" s="152" t="s">
        <v>2705</v>
      </c>
      <c r="M470" s="152" t="s">
        <v>2705</v>
      </c>
      <c r="N470" s="152" t="s">
        <v>2705</v>
      </c>
      <c r="O470" s="152" t="s">
        <v>2398</v>
      </c>
      <c r="P470" s="152" t="s">
        <v>2705</v>
      </c>
      <c r="Q470" s="152" t="s">
        <v>1435</v>
      </c>
      <c r="R470" s="152" t="s">
        <v>2398</v>
      </c>
      <c r="S470" s="152" t="s">
        <v>2705</v>
      </c>
      <c r="T470" s="152" t="s">
        <v>2705</v>
      </c>
      <c r="U470" s="152" t="s">
        <v>1435</v>
      </c>
      <c r="V470" s="142" t="str" cm="1">
        <f t="array" ref="V470">IF(A470&lt;&gt;"",SUM(--(B470:U471 = "X")*$U$3,--(B470:U471 ="A")*$Q$3,--(B470:U471 ="B")*$R$3,--(B470:U471 ="C")*$S$3),"")</f>
        <v/>
      </c>
      <c r="X470" s="437" t="s">
        <v>7778</v>
      </c>
      <c r="Y470" s="437">
        <v>17</v>
      </c>
      <c r="Z470" s="436">
        <f>_xlfn.XLOOKUP(answers[[#This Row],[StudentID]],$A$7:$A$1418,$V$7:$V$1418)</f>
        <v>17</v>
      </c>
      <c r="AG470" s="142" t="s">
        <v>2705</v>
      </c>
      <c r="AH470" s="142" t="s">
        <v>2398</v>
      </c>
      <c r="AI470" s="142" t="s">
        <v>2398</v>
      </c>
      <c r="AJ470" s="142" t="s">
        <v>1435</v>
      </c>
      <c r="AK470" s="142" t="s">
        <v>2397</v>
      </c>
      <c r="AL470" s="142" t="s">
        <v>2705</v>
      </c>
      <c r="AM470" s="142" t="s">
        <v>2675</v>
      </c>
      <c r="AN470" s="142" t="s">
        <v>1435</v>
      </c>
      <c r="AO470" s="142" t="s">
        <v>2398</v>
      </c>
      <c r="AP470" s="142" t="s">
        <v>2705</v>
      </c>
      <c r="AQ470" s="142" t="s">
        <v>2705</v>
      </c>
      <c r="AR470" s="142" t="s">
        <v>2705</v>
      </c>
      <c r="AS470" s="142" t="s">
        <v>2705</v>
      </c>
      <c r="AT470" s="142" t="s">
        <v>2398</v>
      </c>
      <c r="AU470" s="142" t="s">
        <v>2705</v>
      </c>
      <c r="AV470" s="142" t="s">
        <v>1435</v>
      </c>
      <c r="AW470" s="142" t="s">
        <v>2398</v>
      </c>
      <c r="AX470" s="142" t="s">
        <v>2705</v>
      </c>
      <c r="AY470" s="142" t="s">
        <v>2705</v>
      </c>
      <c r="AZ470" s="142" t="s">
        <v>1435</v>
      </c>
    </row>
    <row r="471" spans="1:52" s="142" customFormat="1" ht="12.75" x14ac:dyDescent="0.2">
      <c r="A471" s="151" t="s">
        <v>7552</v>
      </c>
      <c r="B471" s="152" t="s">
        <v>2398</v>
      </c>
      <c r="C471" s="152" t="s">
        <v>2398</v>
      </c>
      <c r="D471" s="152" t="s">
        <v>2398</v>
      </c>
      <c r="E471" s="152" t="s">
        <v>2705</v>
      </c>
      <c r="F471" s="152" t="s">
        <v>2705</v>
      </c>
      <c r="G471" s="152" t="s">
        <v>2705</v>
      </c>
      <c r="H471" s="152" t="s">
        <v>2398</v>
      </c>
      <c r="I471" s="152" t="s">
        <v>2398</v>
      </c>
      <c r="J471" s="152" t="s">
        <v>2398</v>
      </c>
      <c r="K471" s="152" t="s">
        <v>2398</v>
      </c>
      <c r="L471" s="152" t="s">
        <v>2675</v>
      </c>
      <c r="M471" s="152" t="s">
        <v>1435</v>
      </c>
      <c r="N471" s="152" t="s">
        <v>2705</v>
      </c>
      <c r="O471" s="152" t="s">
        <v>2705</v>
      </c>
      <c r="P471" s="152" t="s">
        <v>2705</v>
      </c>
      <c r="Q471" s="152" t="s">
        <v>2705</v>
      </c>
      <c r="R471" s="152" t="s">
        <v>2705</v>
      </c>
      <c r="S471" s="152" t="s">
        <v>2705</v>
      </c>
      <c r="T471" s="152" t="s">
        <v>1435</v>
      </c>
      <c r="U471" s="152" t="s">
        <v>2705</v>
      </c>
      <c r="V471" s="142" cm="1">
        <f t="array" ref="V471">IF(A471&lt;&gt;"",SUM(--(B471:U472 = "X")*$U$3,--(B471:U472 ="A")*$Q$3,--(B471:U472 ="B")*$R$3,--(B471:U472 ="C")*$S$3),"")</f>
        <v>16</v>
      </c>
      <c r="X471" s="437" t="s">
        <v>7779</v>
      </c>
      <c r="Y471" s="437">
        <v>11</v>
      </c>
      <c r="Z471" s="436">
        <f>_xlfn.XLOOKUP(answers[[#This Row],[StudentID]],$A$7:$A$1418,$V$7:$V$1418)</f>
        <v>11</v>
      </c>
      <c r="AF471" s="142" t="s">
        <v>7552</v>
      </c>
      <c r="AG471" s="142" t="s">
        <v>2398</v>
      </c>
      <c r="AH471" s="142" t="s">
        <v>2398</v>
      </c>
      <c r="AI471" s="142" t="s">
        <v>2398</v>
      </c>
      <c r="AJ471" s="142" t="s">
        <v>2705</v>
      </c>
      <c r="AK471" s="142" t="s">
        <v>2705</v>
      </c>
      <c r="AL471" s="142" t="s">
        <v>2705</v>
      </c>
      <c r="AM471" s="142" t="s">
        <v>2398</v>
      </c>
      <c r="AN471" s="142" t="s">
        <v>2398</v>
      </c>
      <c r="AO471" s="142" t="s">
        <v>2398</v>
      </c>
      <c r="AP471" s="142" t="s">
        <v>2398</v>
      </c>
      <c r="AQ471" s="142" t="s">
        <v>2675</v>
      </c>
      <c r="AR471" s="142" t="s">
        <v>1435</v>
      </c>
      <c r="AS471" s="142" t="s">
        <v>2705</v>
      </c>
      <c r="AT471" s="142" t="s">
        <v>2705</v>
      </c>
      <c r="AU471" s="142" t="s">
        <v>2705</v>
      </c>
      <c r="AV471" s="142" t="s">
        <v>2705</v>
      </c>
      <c r="AW471" s="142" t="s">
        <v>2705</v>
      </c>
      <c r="AX471" s="142" t="s">
        <v>2705</v>
      </c>
      <c r="AY471" s="142" t="s">
        <v>1435</v>
      </c>
      <c r="AZ471" s="142" t="s">
        <v>2705</v>
      </c>
    </row>
    <row r="472" spans="1:52" s="142" customFormat="1" ht="12.75" x14ac:dyDescent="0.2">
      <c r="A472" s="151"/>
      <c r="B472" s="152" t="s">
        <v>2398</v>
      </c>
      <c r="C472" s="152" t="s">
        <v>2675</v>
      </c>
      <c r="D472" s="152" t="s">
        <v>2398</v>
      </c>
      <c r="E472" s="152" t="s">
        <v>2675</v>
      </c>
      <c r="F472" s="152" t="s">
        <v>2398</v>
      </c>
      <c r="G472" s="152" t="s">
        <v>2705</v>
      </c>
      <c r="H472" s="152" t="s">
        <v>2705</v>
      </c>
      <c r="I472" s="152" t="s">
        <v>2675</v>
      </c>
      <c r="J472" s="152" t="s">
        <v>2398</v>
      </c>
      <c r="K472" s="152" t="s">
        <v>2705</v>
      </c>
      <c r="L472" s="152" t="s">
        <v>2705</v>
      </c>
      <c r="M472" s="152" t="s">
        <v>2705</v>
      </c>
      <c r="N472" s="152" t="s">
        <v>2705</v>
      </c>
      <c r="O472" s="152" t="s">
        <v>2705</v>
      </c>
      <c r="P472" s="152" t="s">
        <v>2398</v>
      </c>
      <c r="Q472" s="152" t="s">
        <v>2398</v>
      </c>
      <c r="R472" s="152" t="s">
        <v>2398</v>
      </c>
      <c r="S472" s="152" t="s">
        <v>2705</v>
      </c>
      <c r="T472" s="152" t="s">
        <v>2705</v>
      </c>
      <c r="U472" s="152" t="s">
        <v>2398</v>
      </c>
      <c r="V472" s="142" t="str" cm="1">
        <f t="array" ref="V472">IF(A472&lt;&gt;"",SUM(--(B472:U473 = "X")*$U$3,--(B472:U473 ="A")*$Q$3,--(B472:U473 ="B")*$R$3,--(B472:U473 ="C")*$S$3),"")</f>
        <v/>
      </c>
      <c r="X472" s="437" t="s">
        <v>7780</v>
      </c>
      <c r="Y472" s="437">
        <v>20</v>
      </c>
      <c r="Z472" s="436">
        <f>_xlfn.XLOOKUP(answers[[#This Row],[StudentID]],$A$7:$A$1418,$V$7:$V$1418)</f>
        <v>20</v>
      </c>
      <c r="AG472" s="142" t="s">
        <v>2398</v>
      </c>
      <c r="AH472" s="142" t="s">
        <v>2675</v>
      </c>
      <c r="AI472" s="142" t="s">
        <v>2398</v>
      </c>
      <c r="AJ472" s="142" t="s">
        <v>2675</v>
      </c>
      <c r="AK472" s="142" t="s">
        <v>2398</v>
      </c>
      <c r="AL472" s="142" t="s">
        <v>2705</v>
      </c>
      <c r="AM472" s="142" t="s">
        <v>2705</v>
      </c>
      <c r="AN472" s="142" t="s">
        <v>2675</v>
      </c>
      <c r="AO472" s="142" t="s">
        <v>2398</v>
      </c>
      <c r="AP472" s="142" t="s">
        <v>2705</v>
      </c>
      <c r="AQ472" s="142" t="s">
        <v>2705</v>
      </c>
      <c r="AR472" s="142" t="s">
        <v>2705</v>
      </c>
      <c r="AS472" s="142" t="s">
        <v>2705</v>
      </c>
      <c r="AT472" s="142" t="s">
        <v>2705</v>
      </c>
      <c r="AU472" s="142" t="s">
        <v>2398</v>
      </c>
      <c r="AV472" s="142" t="s">
        <v>2398</v>
      </c>
      <c r="AW472" s="142" t="s">
        <v>2398</v>
      </c>
      <c r="AX472" s="142" t="s">
        <v>2705</v>
      </c>
      <c r="AY472" s="142" t="s">
        <v>2705</v>
      </c>
      <c r="AZ472" s="142" t="s">
        <v>2398</v>
      </c>
    </row>
    <row r="473" spans="1:52" s="142" customFormat="1" ht="12.75" x14ac:dyDescent="0.2">
      <c r="A473" s="151" t="s">
        <v>7553</v>
      </c>
      <c r="B473" s="152" t="s">
        <v>2705</v>
      </c>
      <c r="C473" s="152" t="s">
        <v>2705</v>
      </c>
      <c r="D473" s="152" t="s">
        <v>2397</v>
      </c>
      <c r="E473" s="152" t="s">
        <v>2398</v>
      </c>
      <c r="F473" s="152" t="s">
        <v>2705</v>
      </c>
      <c r="G473" s="152" t="s">
        <v>2705</v>
      </c>
      <c r="H473" s="152" t="s">
        <v>2705</v>
      </c>
      <c r="I473" s="152" t="s">
        <v>2705</v>
      </c>
      <c r="J473" s="152" t="s">
        <v>2675</v>
      </c>
      <c r="K473" s="152" t="s">
        <v>1435</v>
      </c>
      <c r="L473" s="152" t="s">
        <v>2705</v>
      </c>
      <c r="M473" s="152" t="s">
        <v>2705</v>
      </c>
      <c r="N473" s="152" t="s">
        <v>2705</v>
      </c>
      <c r="O473" s="152" t="s">
        <v>2705</v>
      </c>
      <c r="P473" s="152" t="s">
        <v>2705</v>
      </c>
      <c r="Q473" s="152" t="s">
        <v>2705</v>
      </c>
      <c r="R473" s="152" t="s">
        <v>2705</v>
      </c>
      <c r="S473" s="152" t="s">
        <v>2705</v>
      </c>
      <c r="T473" s="152" t="s">
        <v>2705</v>
      </c>
      <c r="U473" s="152" t="s">
        <v>2398</v>
      </c>
      <c r="V473" s="142" cm="1">
        <f t="array" ref="V473">IF(A473&lt;&gt;"",SUM(--(B473:U474 = "X")*$U$3,--(B473:U474 ="A")*$Q$3,--(B473:U474 ="B")*$R$3,--(B473:U474 ="C")*$S$3),"")</f>
        <v>32</v>
      </c>
      <c r="X473" s="437" t="s">
        <v>7781</v>
      </c>
      <c r="Y473" s="437">
        <v>8.5</v>
      </c>
      <c r="Z473" s="436">
        <f>_xlfn.XLOOKUP(answers[[#This Row],[StudentID]],$A$7:$A$1418,$V$7:$V$1418)</f>
        <v>8.5</v>
      </c>
      <c r="AF473" s="142" t="s">
        <v>7553</v>
      </c>
      <c r="AG473" s="142" t="s">
        <v>2705</v>
      </c>
      <c r="AH473" s="142" t="s">
        <v>2705</v>
      </c>
      <c r="AI473" s="142" t="s">
        <v>2397</v>
      </c>
      <c r="AJ473" s="142" t="s">
        <v>2398</v>
      </c>
      <c r="AK473" s="142" t="s">
        <v>2705</v>
      </c>
      <c r="AL473" s="142" t="s">
        <v>2705</v>
      </c>
      <c r="AM473" s="142" t="s">
        <v>2705</v>
      </c>
      <c r="AN473" s="142" t="s">
        <v>2705</v>
      </c>
      <c r="AO473" s="142" t="s">
        <v>2675</v>
      </c>
      <c r="AP473" s="142" t="s">
        <v>1435</v>
      </c>
      <c r="AQ473" s="142" t="s">
        <v>2705</v>
      </c>
      <c r="AR473" s="142" t="s">
        <v>2705</v>
      </c>
      <c r="AS473" s="142" t="s">
        <v>2705</v>
      </c>
      <c r="AT473" s="142" t="s">
        <v>2705</v>
      </c>
      <c r="AU473" s="142" t="s">
        <v>2705</v>
      </c>
      <c r="AV473" s="142" t="s">
        <v>2705</v>
      </c>
      <c r="AW473" s="142" t="s">
        <v>2705</v>
      </c>
      <c r="AX473" s="142" t="s">
        <v>2705</v>
      </c>
      <c r="AY473" s="142" t="s">
        <v>2705</v>
      </c>
      <c r="AZ473" s="142" t="s">
        <v>2398</v>
      </c>
    </row>
    <row r="474" spans="1:52" s="142" customFormat="1" ht="12.75" x14ac:dyDescent="0.2">
      <c r="A474" s="151"/>
      <c r="B474" s="152" t="s">
        <v>2705</v>
      </c>
      <c r="C474" s="152" t="s">
        <v>2705</v>
      </c>
      <c r="D474" s="152" t="s">
        <v>2705</v>
      </c>
      <c r="E474" s="152" t="s">
        <v>2705</v>
      </c>
      <c r="F474" s="152" t="s">
        <v>2705</v>
      </c>
      <c r="G474" s="152" t="s">
        <v>2705</v>
      </c>
      <c r="H474" s="152" t="s">
        <v>2398</v>
      </c>
      <c r="I474" s="152" t="s">
        <v>2398</v>
      </c>
      <c r="J474" s="152" t="s">
        <v>2705</v>
      </c>
      <c r="K474" s="152" t="s">
        <v>2705</v>
      </c>
      <c r="L474" s="152" t="s">
        <v>2705</v>
      </c>
      <c r="M474" s="152" t="s">
        <v>2705</v>
      </c>
      <c r="N474" s="152" t="s">
        <v>2705</v>
      </c>
      <c r="O474" s="152" t="s">
        <v>2705</v>
      </c>
      <c r="P474" s="152" t="s">
        <v>2705</v>
      </c>
      <c r="Q474" s="152" t="s">
        <v>2705</v>
      </c>
      <c r="R474" s="152" t="s">
        <v>2705</v>
      </c>
      <c r="S474" s="152" t="s">
        <v>2705</v>
      </c>
      <c r="T474" s="152" t="s">
        <v>2705</v>
      </c>
      <c r="U474" s="152" t="s">
        <v>2705</v>
      </c>
      <c r="V474" s="142" t="str" cm="1">
        <f t="array" ref="V474">IF(A474&lt;&gt;"",SUM(--(B474:U475 = "X")*$U$3,--(B474:U475 ="A")*$Q$3,--(B474:U475 ="B")*$R$3,--(B474:U475 ="C")*$S$3),"")</f>
        <v/>
      </c>
      <c r="X474" s="437" t="s">
        <v>7782</v>
      </c>
      <c r="Y474" s="437">
        <v>14.5</v>
      </c>
      <c r="Z474" s="436">
        <f>_xlfn.XLOOKUP(answers[[#This Row],[StudentID]],$A$7:$A$1418,$V$7:$V$1418)</f>
        <v>14.5</v>
      </c>
      <c r="AG474" s="142" t="s">
        <v>2705</v>
      </c>
      <c r="AH474" s="142" t="s">
        <v>2705</v>
      </c>
      <c r="AI474" s="142" t="s">
        <v>2705</v>
      </c>
      <c r="AJ474" s="142" t="s">
        <v>2705</v>
      </c>
      <c r="AK474" s="142" t="s">
        <v>2705</v>
      </c>
      <c r="AL474" s="142" t="s">
        <v>2705</v>
      </c>
      <c r="AM474" s="142" t="s">
        <v>2398</v>
      </c>
      <c r="AN474" s="142" t="s">
        <v>2398</v>
      </c>
      <c r="AO474" s="142" t="s">
        <v>2705</v>
      </c>
      <c r="AP474" s="142" t="s">
        <v>2705</v>
      </c>
      <c r="AQ474" s="142" t="s">
        <v>2705</v>
      </c>
      <c r="AR474" s="142" t="s">
        <v>2705</v>
      </c>
      <c r="AS474" s="142" t="s">
        <v>2705</v>
      </c>
      <c r="AT474" s="142" t="s">
        <v>2705</v>
      </c>
      <c r="AU474" s="142" t="s">
        <v>2705</v>
      </c>
      <c r="AV474" s="142" t="s">
        <v>2705</v>
      </c>
      <c r="AW474" s="142" t="s">
        <v>2705</v>
      </c>
      <c r="AX474" s="142" t="s">
        <v>2705</v>
      </c>
      <c r="AY474" s="142" t="s">
        <v>2705</v>
      </c>
      <c r="AZ474" s="142" t="s">
        <v>2705</v>
      </c>
    </row>
    <row r="475" spans="1:52" s="142" customFormat="1" ht="12.75" x14ac:dyDescent="0.2">
      <c r="A475" s="151" t="s">
        <v>7554</v>
      </c>
      <c r="B475" s="152" t="s">
        <v>2398</v>
      </c>
      <c r="C475" s="152" t="s">
        <v>2398</v>
      </c>
      <c r="D475" s="152" t="s">
        <v>2398</v>
      </c>
      <c r="E475" s="152" t="s">
        <v>2398</v>
      </c>
      <c r="F475" s="152" t="s">
        <v>2398</v>
      </c>
      <c r="G475" s="152" t="s">
        <v>2705</v>
      </c>
      <c r="H475" s="152" t="s">
        <v>2705</v>
      </c>
      <c r="I475" s="152" t="s">
        <v>2398</v>
      </c>
      <c r="J475" s="152" t="s">
        <v>2398</v>
      </c>
      <c r="K475" s="152" t="s">
        <v>2398</v>
      </c>
      <c r="L475" s="152" t="s">
        <v>2398</v>
      </c>
      <c r="M475" s="152" t="s">
        <v>2398</v>
      </c>
      <c r="N475" s="152" t="s">
        <v>2398</v>
      </c>
      <c r="O475" s="152" t="s">
        <v>2705</v>
      </c>
      <c r="P475" s="152" t="s">
        <v>2705</v>
      </c>
      <c r="Q475" s="152" t="s">
        <v>2705</v>
      </c>
      <c r="R475" s="152" t="s">
        <v>2705</v>
      </c>
      <c r="S475" s="152" t="s">
        <v>2705</v>
      </c>
      <c r="T475" s="152" t="s">
        <v>2705</v>
      </c>
      <c r="U475" s="152" t="s">
        <v>2705</v>
      </c>
      <c r="V475" s="142" cm="1">
        <f t="array" ref="V475">IF(A475&lt;&gt;"",SUM(--(B475:U476 = "X")*$U$3,--(B475:U476 ="A")*$Q$3,--(B475:U476 ="B")*$R$3,--(B475:U476 ="C")*$S$3),"")</f>
        <v>18.5</v>
      </c>
      <c r="X475" s="437" t="s">
        <v>7783</v>
      </c>
      <c r="Y475" s="437">
        <v>24.5</v>
      </c>
      <c r="Z475" s="436">
        <f>_xlfn.XLOOKUP(answers[[#This Row],[StudentID]],$A$7:$A$1418,$V$7:$V$1418)</f>
        <v>24.5</v>
      </c>
      <c r="AF475" s="142" t="s">
        <v>7554</v>
      </c>
      <c r="AG475" s="142" t="s">
        <v>2398</v>
      </c>
      <c r="AH475" s="142" t="s">
        <v>2398</v>
      </c>
      <c r="AI475" s="142" t="s">
        <v>2398</v>
      </c>
      <c r="AJ475" s="142" t="s">
        <v>2398</v>
      </c>
      <c r="AK475" s="142" t="s">
        <v>2398</v>
      </c>
      <c r="AL475" s="142" t="s">
        <v>2705</v>
      </c>
      <c r="AM475" s="142" t="s">
        <v>2705</v>
      </c>
      <c r="AN475" s="142" t="s">
        <v>2398</v>
      </c>
      <c r="AO475" s="142" t="s">
        <v>2398</v>
      </c>
      <c r="AP475" s="142" t="s">
        <v>2398</v>
      </c>
      <c r="AQ475" s="142" t="s">
        <v>2398</v>
      </c>
      <c r="AR475" s="142" t="s">
        <v>2398</v>
      </c>
      <c r="AS475" s="142" t="s">
        <v>2398</v>
      </c>
      <c r="AT475" s="142" t="s">
        <v>2705</v>
      </c>
      <c r="AU475" s="142" t="s">
        <v>2705</v>
      </c>
      <c r="AV475" s="142" t="s">
        <v>2705</v>
      </c>
      <c r="AW475" s="142" t="s">
        <v>2705</v>
      </c>
      <c r="AX475" s="142" t="s">
        <v>2705</v>
      </c>
      <c r="AY475" s="142" t="s">
        <v>2705</v>
      </c>
      <c r="AZ475" s="142" t="s">
        <v>2705</v>
      </c>
    </row>
    <row r="476" spans="1:52" s="142" customFormat="1" ht="12.75" x14ac:dyDescent="0.2">
      <c r="A476" s="151"/>
      <c r="B476" s="152" t="s">
        <v>2397</v>
      </c>
      <c r="C476" s="152" t="s">
        <v>2398</v>
      </c>
      <c r="D476" s="152" t="s">
        <v>2705</v>
      </c>
      <c r="E476" s="152" t="s">
        <v>2705</v>
      </c>
      <c r="F476" s="152" t="s">
        <v>2398</v>
      </c>
      <c r="G476" s="152" t="s">
        <v>2705</v>
      </c>
      <c r="H476" s="152" t="s">
        <v>2705</v>
      </c>
      <c r="I476" s="152" t="s">
        <v>2705</v>
      </c>
      <c r="J476" s="152" t="s">
        <v>2398</v>
      </c>
      <c r="K476" s="152" t="s">
        <v>2705</v>
      </c>
      <c r="L476" s="152" t="s">
        <v>2398</v>
      </c>
      <c r="M476" s="152" t="s">
        <v>2705</v>
      </c>
      <c r="N476" s="152" t="s">
        <v>2705</v>
      </c>
      <c r="O476" s="152" t="s">
        <v>2397</v>
      </c>
      <c r="P476" s="152" t="s">
        <v>2398</v>
      </c>
      <c r="Q476" s="152" t="s">
        <v>1435</v>
      </c>
      <c r="R476" s="152" t="s">
        <v>2398</v>
      </c>
      <c r="S476" s="152" t="s">
        <v>2397</v>
      </c>
      <c r="T476" s="152" t="s">
        <v>2705</v>
      </c>
      <c r="U476" s="152" t="s">
        <v>2705</v>
      </c>
      <c r="V476" s="142" t="str" cm="1">
        <f t="array" ref="V476">IF(A476&lt;&gt;"",SUM(--(B476:U477 = "X")*$U$3,--(B476:U477 ="A")*$Q$3,--(B476:U477 ="B")*$R$3,--(B476:U477 ="C")*$S$3),"")</f>
        <v/>
      </c>
      <c r="X476" s="437" t="s">
        <v>7784</v>
      </c>
      <c r="Y476" s="437">
        <v>18.5</v>
      </c>
      <c r="Z476" s="436">
        <f>_xlfn.XLOOKUP(answers[[#This Row],[StudentID]],$A$7:$A$1418,$V$7:$V$1418)</f>
        <v>18.5</v>
      </c>
      <c r="AG476" s="142" t="s">
        <v>2397</v>
      </c>
      <c r="AH476" s="142" t="s">
        <v>2398</v>
      </c>
      <c r="AI476" s="142" t="s">
        <v>2705</v>
      </c>
      <c r="AJ476" s="142" t="s">
        <v>2705</v>
      </c>
      <c r="AK476" s="142" t="s">
        <v>2398</v>
      </c>
      <c r="AL476" s="142" t="s">
        <v>2705</v>
      </c>
      <c r="AM476" s="142" t="s">
        <v>2705</v>
      </c>
      <c r="AN476" s="142" t="s">
        <v>2705</v>
      </c>
      <c r="AO476" s="142" t="s">
        <v>2398</v>
      </c>
      <c r="AP476" s="142" t="s">
        <v>2705</v>
      </c>
      <c r="AQ476" s="142" t="s">
        <v>2398</v>
      </c>
      <c r="AR476" s="142" t="s">
        <v>2705</v>
      </c>
      <c r="AS476" s="142" t="s">
        <v>2705</v>
      </c>
      <c r="AT476" s="142" t="s">
        <v>2397</v>
      </c>
      <c r="AU476" s="142" t="s">
        <v>2398</v>
      </c>
      <c r="AV476" s="142" t="s">
        <v>1435</v>
      </c>
      <c r="AW476" s="142" t="s">
        <v>2398</v>
      </c>
      <c r="AX476" s="142" t="s">
        <v>2397</v>
      </c>
      <c r="AY476" s="142" t="s">
        <v>2705</v>
      </c>
      <c r="AZ476" s="142" t="s">
        <v>2705</v>
      </c>
    </row>
    <row r="477" spans="1:52" s="142" customFormat="1" ht="12.75" x14ac:dyDescent="0.2">
      <c r="A477" s="151" t="s">
        <v>7555</v>
      </c>
      <c r="B477" s="152" t="s">
        <v>2398</v>
      </c>
      <c r="C477" s="152" t="s">
        <v>2398</v>
      </c>
      <c r="D477" s="152" t="s">
        <v>2398</v>
      </c>
      <c r="E477" s="152" t="s">
        <v>2705</v>
      </c>
      <c r="F477" s="152" t="s">
        <v>2705</v>
      </c>
      <c r="G477" s="152" t="s">
        <v>2705</v>
      </c>
      <c r="H477" s="152" t="s">
        <v>2675</v>
      </c>
      <c r="I477" s="152" t="s">
        <v>2705</v>
      </c>
      <c r="J477" s="152" t="s">
        <v>2398</v>
      </c>
      <c r="K477" s="152" t="s">
        <v>2397</v>
      </c>
      <c r="L477" s="152" t="s">
        <v>2675</v>
      </c>
      <c r="M477" s="152" t="s">
        <v>2398</v>
      </c>
      <c r="N477" s="152" t="s">
        <v>2398</v>
      </c>
      <c r="O477" s="152" t="s">
        <v>2705</v>
      </c>
      <c r="P477" s="152" t="s">
        <v>2705</v>
      </c>
      <c r="Q477" s="152" t="s">
        <v>2705</v>
      </c>
      <c r="R477" s="152" t="s">
        <v>2705</v>
      </c>
      <c r="S477" s="152" t="s">
        <v>2705</v>
      </c>
      <c r="T477" s="152" t="s">
        <v>2398</v>
      </c>
      <c r="U477" s="152" t="s">
        <v>2397</v>
      </c>
      <c r="V477" s="142" cm="1">
        <f t="array" ref="V477">IF(A477&lt;&gt;"",SUM(--(B477:U478 = "X")*$U$3,--(B477:U478 ="A")*$Q$3,--(B477:U478 ="B")*$R$3,--(B477:U478 ="C")*$S$3),"")</f>
        <v>9.5</v>
      </c>
      <c r="X477" s="437" t="s">
        <v>7785</v>
      </c>
      <c r="Y477" s="437">
        <v>19.5</v>
      </c>
      <c r="Z477" s="436">
        <f>_xlfn.XLOOKUP(answers[[#This Row],[StudentID]],$A$7:$A$1418,$V$7:$V$1418)</f>
        <v>19.5</v>
      </c>
      <c r="AF477" s="142" t="s">
        <v>7555</v>
      </c>
      <c r="AG477" s="142" t="s">
        <v>2398</v>
      </c>
      <c r="AH477" s="142" t="s">
        <v>2398</v>
      </c>
      <c r="AI477" s="142" t="s">
        <v>2398</v>
      </c>
      <c r="AJ477" s="142" t="s">
        <v>2705</v>
      </c>
      <c r="AK477" s="142" t="s">
        <v>2705</v>
      </c>
      <c r="AL477" s="142" t="s">
        <v>2705</v>
      </c>
      <c r="AM477" s="142" t="s">
        <v>2675</v>
      </c>
      <c r="AN477" s="142" t="s">
        <v>2705</v>
      </c>
      <c r="AO477" s="142" t="s">
        <v>2398</v>
      </c>
      <c r="AP477" s="142" t="s">
        <v>2397</v>
      </c>
      <c r="AQ477" s="142" t="s">
        <v>2675</v>
      </c>
      <c r="AR477" s="142" t="s">
        <v>2398</v>
      </c>
      <c r="AS477" s="142" t="s">
        <v>2398</v>
      </c>
      <c r="AT477" s="142" t="s">
        <v>2705</v>
      </c>
      <c r="AU477" s="142" t="s">
        <v>2705</v>
      </c>
      <c r="AV477" s="142" t="s">
        <v>2705</v>
      </c>
      <c r="AW477" s="142" t="s">
        <v>2705</v>
      </c>
      <c r="AX477" s="142" t="s">
        <v>2705</v>
      </c>
      <c r="AY477" s="142" t="s">
        <v>2398</v>
      </c>
      <c r="AZ477" s="142" t="s">
        <v>2397</v>
      </c>
    </row>
    <row r="478" spans="1:52" s="142" customFormat="1" ht="12.75" x14ac:dyDescent="0.2">
      <c r="A478" s="151"/>
      <c r="B478" s="152" t="s">
        <v>2705</v>
      </c>
      <c r="C478" s="152" t="s">
        <v>2398</v>
      </c>
      <c r="D478" s="152" t="s">
        <v>1435</v>
      </c>
      <c r="E478" s="152" t="s">
        <v>1435</v>
      </c>
      <c r="F478" s="152" t="s">
        <v>2398</v>
      </c>
      <c r="G478" s="152" t="s">
        <v>2398</v>
      </c>
      <c r="H478" s="152" t="s">
        <v>2705</v>
      </c>
      <c r="I478" s="152" t="s">
        <v>2398</v>
      </c>
      <c r="J478" s="152" t="s">
        <v>2675</v>
      </c>
      <c r="K478" s="152" t="s">
        <v>2705</v>
      </c>
      <c r="L478" s="152" t="s">
        <v>2398</v>
      </c>
      <c r="M478" s="152" t="s">
        <v>1435</v>
      </c>
      <c r="N478" s="152" t="s">
        <v>2397</v>
      </c>
      <c r="O478" s="152" t="s">
        <v>2398</v>
      </c>
      <c r="P478" s="152" t="s">
        <v>2675</v>
      </c>
      <c r="Q478" s="152" t="s">
        <v>2705</v>
      </c>
      <c r="R478" s="152" t="s">
        <v>1435</v>
      </c>
      <c r="S478" s="152" t="s">
        <v>2397</v>
      </c>
      <c r="T478" s="152" t="s">
        <v>2705</v>
      </c>
      <c r="U478" s="152" t="s">
        <v>2675</v>
      </c>
      <c r="V478" s="142" t="str" cm="1">
        <f t="array" ref="V478">IF(A478&lt;&gt;"",SUM(--(B478:U479 = "X")*$U$3,--(B478:U479 ="A")*$Q$3,--(B478:U479 ="B")*$R$3,--(B478:U479 ="C")*$S$3),"")</f>
        <v/>
      </c>
      <c r="X478" s="437" t="s">
        <v>7786</v>
      </c>
      <c r="Y478" s="437">
        <v>13</v>
      </c>
      <c r="Z478" s="436">
        <f>_xlfn.XLOOKUP(answers[[#This Row],[StudentID]],$A$7:$A$1418,$V$7:$V$1418)</f>
        <v>13</v>
      </c>
      <c r="AG478" s="142" t="s">
        <v>2705</v>
      </c>
      <c r="AH478" s="142" t="s">
        <v>2398</v>
      </c>
      <c r="AI478" s="142" t="s">
        <v>1435</v>
      </c>
      <c r="AJ478" s="142" t="s">
        <v>1435</v>
      </c>
      <c r="AK478" s="142" t="s">
        <v>2398</v>
      </c>
      <c r="AL478" s="142" t="s">
        <v>2398</v>
      </c>
      <c r="AM478" s="142" t="s">
        <v>2705</v>
      </c>
      <c r="AN478" s="142" t="s">
        <v>2398</v>
      </c>
      <c r="AO478" s="142" t="s">
        <v>2675</v>
      </c>
      <c r="AP478" s="142" t="s">
        <v>2705</v>
      </c>
      <c r="AQ478" s="142" t="s">
        <v>2398</v>
      </c>
      <c r="AR478" s="142" t="s">
        <v>1435</v>
      </c>
      <c r="AS478" s="142" t="s">
        <v>2397</v>
      </c>
      <c r="AT478" s="142" t="s">
        <v>2398</v>
      </c>
      <c r="AU478" s="142" t="s">
        <v>2675</v>
      </c>
      <c r="AV478" s="142" t="s">
        <v>2705</v>
      </c>
      <c r="AW478" s="142" t="s">
        <v>1435</v>
      </c>
      <c r="AX478" s="142" t="s">
        <v>2397</v>
      </c>
      <c r="AY478" s="142" t="s">
        <v>2705</v>
      </c>
      <c r="AZ478" s="142" t="s">
        <v>2675</v>
      </c>
    </row>
    <row r="479" spans="1:52" s="142" customFormat="1" ht="12.75" x14ac:dyDescent="0.2">
      <c r="A479" s="151" t="s">
        <v>7556</v>
      </c>
      <c r="B479" s="152" t="s">
        <v>2398</v>
      </c>
      <c r="C479" s="152" t="s">
        <v>2705</v>
      </c>
      <c r="D479" s="152" t="s">
        <v>2398</v>
      </c>
      <c r="E479" s="152" t="s">
        <v>2398</v>
      </c>
      <c r="F479" s="152" t="s">
        <v>2398</v>
      </c>
      <c r="G479" s="152" t="s">
        <v>2398</v>
      </c>
      <c r="H479" s="152" t="s">
        <v>2705</v>
      </c>
      <c r="I479" s="152" t="s">
        <v>2705</v>
      </c>
      <c r="J479" s="152" t="s">
        <v>1435</v>
      </c>
      <c r="K479" s="152" t="s">
        <v>2705</v>
      </c>
      <c r="L479" s="152" t="s">
        <v>2705</v>
      </c>
      <c r="M479" s="152" t="s">
        <v>2705</v>
      </c>
      <c r="N479" s="152" t="s">
        <v>2705</v>
      </c>
      <c r="O479" s="152" t="s">
        <v>2398</v>
      </c>
      <c r="P479" s="152" t="s">
        <v>2398</v>
      </c>
      <c r="Q479" s="152" t="s">
        <v>2675</v>
      </c>
      <c r="R479" s="152" t="s">
        <v>2398</v>
      </c>
      <c r="S479" s="152" t="s">
        <v>2398</v>
      </c>
      <c r="T479" s="152" t="s">
        <v>2398</v>
      </c>
      <c r="U479" s="152" t="s">
        <v>1435</v>
      </c>
      <c r="V479" s="142" cm="1">
        <f t="array" ref="V479">IF(A479&lt;&gt;"",SUM(--(B479:U480 = "X")*$U$3,--(B479:U480 ="A")*$Q$3,--(B479:U480 ="B")*$R$3,--(B479:U480 ="C")*$S$3),"")</f>
        <v>12</v>
      </c>
      <c r="X479" s="437" t="s">
        <v>7787</v>
      </c>
      <c r="Y479" s="437">
        <v>22.5</v>
      </c>
      <c r="Z479" s="436">
        <f>_xlfn.XLOOKUP(answers[[#This Row],[StudentID]],$A$7:$A$1418,$V$7:$V$1418)</f>
        <v>22.5</v>
      </c>
      <c r="AF479" s="142" t="s">
        <v>7556</v>
      </c>
      <c r="AG479" s="142" t="s">
        <v>2398</v>
      </c>
      <c r="AH479" s="142" t="s">
        <v>2705</v>
      </c>
      <c r="AI479" s="142" t="s">
        <v>2398</v>
      </c>
      <c r="AJ479" s="142" t="s">
        <v>2398</v>
      </c>
      <c r="AK479" s="142" t="s">
        <v>2398</v>
      </c>
      <c r="AL479" s="142" t="s">
        <v>2398</v>
      </c>
      <c r="AM479" s="142" t="s">
        <v>2705</v>
      </c>
      <c r="AN479" s="142" t="s">
        <v>2705</v>
      </c>
      <c r="AO479" s="142" t="s">
        <v>1435</v>
      </c>
      <c r="AP479" s="142" t="s">
        <v>2705</v>
      </c>
      <c r="AQ479" s="142" t="s">
        <v>2705</v>
      </c>
      <c r="AR479" s="142" t="s">
        <v>2705</v>
      </c>
      <c r="AS479" s="142" t="s">
        <v>2705</v>
      </c>
      <c r="AT479" s="142" t="s">
        <v>2398</v>
      </c>
      <c r="AU479" s="142" t="s">
        <v>2398</v>
      </c>
      <c r="AV479" s="142" t="s">
        <v>2675</v>
      </c>
      <c r="AW479" s="142" t="s">
        <v>2398</v>
      </c>
      <c r="AX479" s="142" t="s">
        <v>2398</v>
      </c>
      <c r="AY479" s="142" t="s">
        <v>2398</v>
      </c>
      <c r="AZ479" s="142" t="s">
        <v>1435</v>
      </c>
    </row>
    <row r="480" spans="1:52" s="142" customFormat="1" ht="12.75" x14ac:dyDescent="0.2">
      <c r="A480" s="151"/>
      <c r="B480" s="152" t="s">
        <v>2705</v>
      </c>
      <c r="C480" s="152" t="s">
        <v>1435</v>
      </c>
      <c r="D480" s="152" t="s">
        <v>2397</v>
      </c>
      <c r="E480" s="152" t="s">
        <v>2705</v>
      </c>
      <c r="F480" s="152" t="s">
        <v>2397</v>
      </c>
      <c r="G480" s="152" t="s">
        <v>2398</v>
      </c>
      <c r="H480" s="152" t="s">
        <v>2398</v>
      </c>
      <c r="I480" s="152" t="s">
        <v>2705</v>
      </c>
      <c r="J480" s="152" t="s">
        <v>2398</v>
      </c>
      <c r="K480" s="152" t="s">
        <v>2705</v>
      </c>
      <c r="L480" s="152" t="s">
        <v>2398</v>
      </c>
      <c r="M480" s="152" t="s">
        <v>2675</v>
      </c>
      <c r="N480" s="152" t="s">
        <v>2398</v>
      </c>
      <c r="O480" s="152" t="s">
        <v>2705</v>
      </c>
      <c r="P480" s="152" t="s">
        <v>2398</v>
      </c>
      <c r="Q480" s="152" t="s">
        <v>2705</v>
      </c>
      <c r="R480" s="152" t="s">
        <v>2705</v>
      </c>
      <c r="S480" s="152" t="s">
        <v>2398</v>
      </c>
      <c r="T480" s="152" t="s">
        <v>1435</v>
      </c>
      <c r="U480" s="152" t="s">
        <v>2705</v>
      </c>
      <c r="V480" s="142" t="str" cm="1">
        <f t="array" ref="V480">IF(A480&lt;&gt;"",SUM(--(B480:U481 = "X")*$U$3,--(B480:U481 ="A")*$Q$3,--(B480:U481 ="B")*$R$3,--(B480:U481 ="C")*$S$3),"")</f>
        <v/>
      </c>
      <c r="X480" s="437" t="s">
        <v>7788</v>
      </c>
      <c r="Y480" s="437">
        <v>12</v>
      </c>
      <c r="Z480" s="436">
        <f>_xlfn.XLOOKUP(answers[[#This Row],[StudentID]],$A$7:$A$1418,$V$7:$V$1418)</f>
        <v>12</v>
      </c>
      <c r="AG480" s="142" t="s">
        <v>2705</v>
      </c>
      <c r="AH480" s="142" t="s">
        <v>1435</v>
      </c>
      <c r="AI480" s="142" t="s">
        <v>2397</v>
      </c>
      <c r="AJ480" s="142" t="s">
        <v>2705</v>
      </c>
      <c r="AK480" s="142" t="s">
        <v>2397</v>
      </c>
      <c r="AL480" s="142" t="s">
        <v>2398</v>
      </c>
      <c r="AM480" s="142" t="s">
        <v>2398</v>
      </c>
      <c r="AN480" s="142" t="s">
        <v>2705</v>
      </c>
      <c r="AO480" s="142" t="s">
        <v>2398</v>
      </c>
      <c r="AP480" s="142" t="s">
        <v>2705</v>
      </c>
      <c r="AQ480" s="142" t="s">
        <v>2398</v>
      </c>
      <c r="AR480" s="142" t="s">
        <v>2675</v>
      </c>
      <c r="AS480" s="142" t="s">
        <v>2398</v>
      </c>
      <c r="AT480" s="142" t="s">
        <v>2705</v>
      </c>
      <c r="AU480" s="142" t="s">
        <v>2398</v>
      </c>
      <c r="AV480" s="142" t="s">
        <v>2705</v>
      </c>
      <c r="AW480" s="142" t="s">
        <v>2705</v>
      </c>
      <c r="AX480" s="142" t="s">
        <v>2398</v>
      </c>
      <c r="AY480" s="142" t="s">
        <v>1435</v>
      </c>
      <c r="AZ480" s="142" t="s">
        <v>2705</v>
      </c>
    </row>
    <row r="481" spans="1:52" s="142" customFormat="1" ht="12.75" x14ac:dyDescent="0.2">
      <c r="A481" s="151" t="s">
        <v>7557</v>
      </c>
      <c r="B481" s="152" t="s">
        <v>2705</v>
      </c>
      <c r="C481" s="152" t="s">
        <v>1435</v>
      </c>
      <c r="D481" s="152" t="s">
        <v>2705</v>
      </c>
      <c r="E481" s="152" t="s">
        <v>2705</v>
      </c>
      <c r="F481" s="152" t="s">
        <v>2398</v>
      </c>
      <c r="G481" s="152" t="s">
        <v>2705</v>
      </c>
      <c r="H481" s="152" t="s">
        <v>2705</v>
      </c>
      <c r="I481" s="152" t="s">
        <v>2705</v>
      </c>
      <c r="J481" s="152" t="s">
        <v>2675</v>
      </c>
      <c r="K481" s="152" t="s">
        <v>1435</v>
      </c>
      <c r="L481" s="152" t="s">
        <v>2705</v>
      </c>
      <c r="M481" s="152" t="s">
        <v>2705</v>
      </c>
      <c r="N481" s="152" t="s">
        <v>1435</v>
      </c>
      <c r="O481" s="152" t="s">
        <v>2398</v>
      </c>
      <c r="P481" s="152" t="s">
        <v>2705</v>
      </c>
      <c r="Q481" s="152" t="s">
        <v>2705</v>
      </c>
      <c r="R481" s="152" t="s">
        <v>2675</v>
      </c>
      <c r="S481" s="152" t="s">
        <v>2398</v>
      </c>
      <c r="T481" s="152" t="s">
        <v>2397</v>
      </c>
      <c r="U481" s="152" t="s">
        <v>2675</v>
      </c>
      <c r="V481" s="142" cm="1">
        <f t="array" ref="V481">IF(A481&lt;&gt;"",SUM(--(B481:U482 = "X")*$U$3,--(B481:U482 ="A")*$Q$3,--(B481:U482 ="B")*$R$3,--(B481:U482 ="C")*$S$3),"")</f>
        <v>12.5</v>
      </c>
      <c r="X481" s="437" t="s">
        <v>7789</v>
      </c>
      <c r="Y481" s="437">
        <v>27</v>
      </c>
      <c r="Z481" s="436">
        <f>_xlfn.XLOOKUP(answers[[#This Row],[StudentID]],$A$7:$A$1418,$V$7:$V$1418)</f>
        <v>27</v>
      </c>
      <c r="AF481" s="142" t="s">
        <v>7557</v>
      </c>
      <c r="AG481" s="142" t="s">
        <v>2705</v>
      </c>
      <c r="AH481" s="142" t="s">
        <v>1435</v>
      </c>
      <c r="AI481" s="142" t="s">
        <v>2705</v>
      </c>
      <c r="AJ481" s="142" t="s">
        <v>2705</v>
      </c>
      <c r="AK481" s="142" t="s">
        <v>2398</v>
      </c>
      <c r="AL481" s="142" t="s">
        <v>2705</v>
      </c>
      <c r="AM481" s="142" t="s">
        <v>2705</v>
      </c>
      <c r="AN481" s="142" t="s">
        <v>2705</v>
      </c>
      <c r="AO481" s="142" t="s">
        <v>2675</v>
      </c>
      <c r="AP481" s="142" t="s">
        <v>1435</v>
      </c>
      <c r="AQ481" s="142" t="s">
        <v>2705</v>
      </c>
      <c r="AR481" s="142" t="s">
        <v>2705</v>
      </c>
      <c r="AS481" s="142" t="s">
        <v>1435</v>
      </c>
      <c r="AT481" s="142" t="s">
        <v>2398</v>
      </c>
      <c r="AU481" s="142" t="s">
        <v>2705</v>
      </c>
      <c r="AV481" s="142" t="s">
        <v>2705</v>
      </c>
      <c r="AW481" s="142" t="s">
        <v>2675</v>
      </c>
      <c r="AX481" s="142" t="s">
        <v>2398</v>
      </c>
      <c r="AY481" s="142" t="s">
        <v>2397</v>
      </c>
      <c r="AZ481" s="142" t="s">
        <v>2675</v>
      </c>
    </row>
    <row r="482" spans="1:52" s="142" customFormat="1" ht="12.75" x14ac:dyDescent="0.2">
      <c r="A482" s="151"/>
      <c r="B482" s="152" t="s">
        <v>2398</v>
      </c>
      <c r="C482" s="152" t="s">
        <v>2398</v>
      </c>
      <c r="D482" s="152" t="s">
        <v>2675</v>
      </c>
      <c r="E482" s="152" t="s">
        <v>2705</v>
      </c>
      <c r="F482" s="152" t="s">
        <v>2705</v>
      </c>
      <c r="G482" s="152" t="s">
        <v>2675</v>
      </c>
      <c r="H482" s="152" t="s">
        <v>2398</v>
      </c>
      <c r="I482" s="152" t="s">
        <v>2705</v>
      </c>
      <c r="J482" s="152" t="s">
        <v>2705</v>
      </c>
      <c r="K482" s="152" t="s">
        <v>2398</v>
      </c>
      <c r="L482" s="152" t="s">
        <v>2398</v>
      </c>
      <c r="M482" s="152" t="s">
        <v>2398</v>
      </c>
      <c r="N482" s="152" t="s">
        <v>2397</v>
      </c>
      <c r="O482" s="152" t="s">
        <v>2705</v>
      </c>
      <c r="P482" s="152" t="s">
        <v>2398</v>
      </c>
      <c r="Q482" s="152" t="s">
        <v>1435</v>
      </c>
      <c r="R482" s="152" t="s">
        <v>2705</v>
      </c>
      <c r="S482" s="152" t="s">
        <v>2398</v>
      </c>
      <c r="T482" s="152" t="s">
        <v>2398</v>
      </c>
      <c r="U482" s="152" t="s">
        <v>2705</v>
      </c>
      <c r="V482" s="142" t="str" cm="1">
        <f t="array" ref="V482">IF(A482&lt;&gt;"",SUM(--(B482:U483 = "X")*$U$3,--(B482:U483 ="A")*$Q$3,--(B482:U483 ="B")*$R$3,--(B482:U483 ="C")*$S$3),"")</f>
        <v/>
      </c>
      <c r="X482" s="437" t="s">
        <v>7790</v>
      </c>
      <c r="Y482" s="437">
        <v>15</v>
      </c>
      <c r="Z482" s="436">
        <f>_xlfn.XLOOKUP(answers[[#This Row],[StudentID]],$A$7:$A$1418,$V$7:$V$1418)</f>
        <v>15</v>
      </c>
      <c r="AG482" s="142" t="s">
        <v>2398</v>
      </c>
      <c r="AH482" s="142" t="s">
        <v>2398</v>
      </c>
      <c r="AI482" s="142" t="s">
        <v>2675</v>
      </c>
      <c r="AJ482" s="142" t="s">
        <v>2705</v>
      </c>
      <c r="AK482" s="142" t="s">
        <v>2705</v>
      </c>
      <c r="AL482" s="142" t="s">
        <v>2675</v>
      </c>
      <c r="AM482" s="142" t="s">
        <v>2398</v>
      </c>
      <c r="AN482" s="142" t="s">
        <v>2705</v>
      </c>
      <c r="AO482" s="142" t="s">
        <v>2705</v>
      </c>
      <c r="AP482" s="142" t="s">
        <v>2398</v>
      </c>
      <c r="AQ482" s="142" t="s">
        <v>2398</v>
      </c>
      <c r="AR482" s="142" t="s">
        <v>2398</v>
      </c>
      <c r="AS482" s="142" t="s">
        <v>2397</v>
      </c>
      <c r="AT482" s="142" t="s">
        <v>2705</v>
      </c>
      <c r="AU482" s="142" t="s">
        <v>2398</v>
      </c>
      <c r="AV482" s="142" t="s">
        <v>1435</v>
      </c>
      <c r="AW482" s="142" t="s">
        <v>2705</v>
      </c>
      <c r="AX482" s="142" t="s">
        <v>2398</v>
      </c>
      <c r="AY482" s="142" t="s">
        <v>2398</v>
      </c>
      <c r="AZ482" s="142" t="s">
        <v>2705</v>
      </c>
    </row>
    <row r="483" spans="1:52" s="142" customFormat="1" ht="12.75" x14ac:dyDescent="0.2">
      <c r="A483" s="151" t="s">
        <v>7558</v>
      </c>
      <c r="B483" s="152" t="s">
        <v>2397</v>
      </c>
      <c r="C483" s="152" t="s">
        <v>2705</v>
      </c>
      <c r="D483" s="152" t="s">
        <v>2705</v>
      </c>
      <c r="E483" s="152" t="s">
        <v>1435</v>
      </c>
      <c r="F483" s="152" t="s">
        <v>2705</v>
      </c>
      <c r="G483" s="152" t="s">
        <v>2705</v>
      </c>
      <c r="H483" s="152" t="s">
        <v>2705</v>
      </c>
      <c r="I483" s="152" t="s">
        <v>2675</v>
      </c>
      <c r="J483" s="152" t="s">
        <v>2705</v>
      </c>
      <c r="K483" s="152" t="s">
        <v>1435</v>
      </c>
      <c r="L483" s="152" t="s">
        <v>2705</v>
      </c>
      <c r="M483" s="152" t="s">
        <v>2705</v>
      </c>
      <c r="N483" s="152" t="s">
        <v>1435</v>
      </c>
      <c r="O483" s="152" t="s">
        <v>2397</v>
      </c>
      <c r="P483" s="152" t="s">
        <v>2705</v>
      </c>
      <c r="Q483" s="152" t="s">
        <v>2397</v>
      </c>
      <c r="R483" s="152" t="s">
        <v>2675</v>
      </c>
      <c r="S483" s="152" t="s">
        <v>2705</v>
      </c>
      <c r="T483" s="152" t="s">
        <v>2705</v>
      </c>
      <c r="U483" s="152" t="s">
        <v>2705</v>
      </c>
      <c r="V483" s="142" cm="1">
        <f t="array" ref="V483">IF(A483&lt;&gt;"",SUM(--(B483:U484 = "X")*$U$3,--(B483:U484 ="A")*$Q$3,--(B483:U484 ="B")*$R$3,--(B483:U484 ="C")*$S$3),"")</f>
        <v>17</v>
      </c>
      <c r="X483" s="437" t="s">
        <v>7791</v>
      </c>
      <c r="Y483" s="437">
        <v>26</v>
      </c>
      <c r="Z483" s="436">
        <f>_xlfn.XLOOKUP(answers[[#This Row],[StudentID]],$A$7:$A$1418,$V$7:$V$1418)</f>
        <v>26</v>
      </c>
      <c r="AF483" s="142" t="s">
        <v>7558</v>
      </c>
      <c r="AG483" s="142" t="s">
        <v>2397</v>
      </c>
      <c r="AH483" s="142" t="s">
        <v>2705</v>
      </c>
      <c r="AI483" s="142" t="s">
        <v>2705</v>
      </c>
      <c r="AJ483" s="142" t="s">
        <v>1435</v>
      </c>
      <c r="AK483" s="142" t="s">
        <v>2705</v>
      </c>
      <c r="AL483" s="142" t="s">
        <v>2705</v>
      </c>
      <c r="AM483" s="142" t="s">
        <v>2705</v>
      </c>
      <c r="AN483" s="142" t="s">
        <v>2675</v>
      </c>
      <c r="AO483" s="142" t="s">
        <v>2705</v>
      </c>
      <c r="AP483" s="142" t="s">
        <v>1435</v>
      </c>
      <c r="AQ483" s="142" t="s">
        <v>2705</v>
      </c>
      <c r="AR483" s="142" t="s">
        <v>2705</v>
      </c>
      <c r="AS483" s="142" t="s">
        <v>1435</v>
      </c>
      <c r="AT483" s="142" t="s">
        <v>2397</v>
      </c>
      <c r="AU483" s="142" t="s">
        <v>2705</v>
      </c>
      <c r="AV483" s="142" t="s">
        <v>2397</v>
      </c>
      <c r="AW483" s="142" t="s">
        <v>2675</v>
      </c>
      <c r="AX483" s="142" t="s">
        <v>2705</v>
      </c>
      <c r="AY483" s="142" t="s">
        <v>2705</v>
      </c>
      <c r="AZ483" s="142" t="s">
        <v>2705</v>
      </c>
    </row>
    <row r="484" spans="1:52" s="142" customFormat="1" ht="12.75" x14ac:dyDescent="0.2">
      <c r="A484" s="151"/>
      <c r="B484" s="152" t="s">
        <v>2398</v>
      </c>
      <c r="C484" s="152" t="s">
        <v>2705</v>
      </c>
      <c r="D484" s="152" t="s">
        <v>2705</v>
      </c>
      <c r="E484" s="152" t="s">
        <v>2705</v>
      </c>
      <c r="F484" s="152" t="s">
        <v>2705</v>
      </c>
      <c r="G484" s="152" t="s">
        <v>2675</v>
      </c>
      <c r="H484" s="152" t="s">
        <v>2705</v>
      </c>
      <c r="I484" s="152" t="s">
        <v>2705</v>
      </c>
      <c r="J484" s="152" t="s">
        <v>2675</v>
      </c>
      <c r="K484" s="152" t="s">
        <v>2675</v>
      </c>
      <c r="L484" s="152" t="s">
        <v>2705</v>
      </c>
      <c r="M484" s="152" t="s">
        <v>1435</v>
      </c>
      <c r="N484" s="152" t="s">
        <v>1435</v>
      </c>
      <c r="O484" s="152" t="s">
        <v>2705</v>
      </c>
      <c r="P484" s="152" t="s">
        <v>2705</v>
      </c>
      <c r="Q484" s="152" t="s">
        <v>1435</v>
      </c>
      <c r="R484" s="152" t="s">
        <v>2675</v>
      </c>
      <c r="S484" s="152" t="s">
        <v>2705</v>
      </c>
      <c r="T484" s="152" t="s">
        <v>2398</v>
      </c>
      <c r="U484" s="152" t="s">
        <v>2705</v>
      </c>
      <c r="V484" s="142" t="str" cm="1">
        <f t="array" ref="V484">IF(A484&lt;&gt;"",SUM(--(B484:U485 = "X")*$U$3,--(B484:U485 ="A")*$Q$3,--(B484:U485 ="B")*$R$3,--(B484:U485 ="C")*$S$3),"")</f>
        <v/>
      </c>
      <c r="X484" s="437" t="s">
        <v>7792</v>
      </c>
      <c r="Y484" s="437">
        <v>8</v>
      </c>
      <c r="Z484" s="436">
        <f>_xlfn.XLOOKUP(answers[[#This Row],[StudentID]],$A$7:$A$1418,$V$7:$V$1418)</f>
        <v>8</v>
      </c>
      <c r="AG484" s="142" t="s">
        <v>2398</v>
      </c>
      <c r="AH484" s="142" t="s">
        <v>2705</v>
      </c>
      <c r="AI484" s="142" t="s">
        <v>2705</v>
      </c>
      <c r="AJ484" s="142" t="s">
        <v>2705</v>
      </c>
      <c r="AK484" s="142" t="s">
        <v>2705</v>
      </c>
      <c r="AL484" s="142" t="s">
        <v>2675</v>
      </c>
      <c r="AM484" s="142" t="s">
        <v>2705</v>
      </c>
      <c r="AN484" s="142" t="s">
        <v>2705</v>
      </c>
      <c r="AO484" s="142" t="s">
        <v>2675</v>
      </c>
      <c r="AP484" s="142" t="s">
        <v>2675</v>
      </c>
      <c r="AQ484" s="142" t="s">
        <v>2705</v>
      </c>
      <c r="AR484" s="142" t="s">
        <v>1435</v>
      </c>
      <c r="AS484" s="142" t="s">
        <v>1435</v>
      </c>
      <c r="AT484" s="142" t="s">
        <v>2705</v>
      </c>
      <c r="AU484" s="142" t="s">
        <v>2705</v>
      </c>
      <c r="AV484" s="142" t="s">
        <v>1435</v>
      </c>
      <c r="AW484" s="142" t="s">
        <v>2675</v>
      </c>
      <c r="AX484" s="142" t="s">
        <v>2705</v>
      </c>
      <c r="AY484" s="142" t="s">
        <v>2398</v>
      </c>
      <c r="AZ484" s="142" t="s">
        <v>2705</v>
      </c>
    </row>
    <row r="485" spans="1:52" s="142" customFormat="1" ht="12.75" x14ac:dyDescent="0.2">
      <c r="A485" s="151" t="s">
        <v>7559</v>
      </c>
      <c r="B485" s="152" t="s">
        <v>2705</v>
      </c>
      <c r="C485" s="152" t="s">
        <v>2705</v>
      </c>
      <c r="D485" s="152" t="s">
        <v>2398</v>
      </c>
      <c r="E485" s="152" t="s">
        <v>2398</v>
      </c>
      <c r="F485" s="152" t="s">
        <v>2675</v>
      </c>
      <c r="G485" s="152" t="s">
        <v>2705</v>
      </c>
      <c r="H485" s="152" t="s">
        <v>2705</v>
      </c>
      <c r="I485" s="152" t="s">
        <v>2398</v>
      </c>
      <c r="J485" s="152" t="s">
        <v>2398</v>
      </c>
      <c r="K485" s="152" t="s">
        <v>2705</v>
      </c>
      <c r="L485" s="152" t="s">
        <v>2398</v>
      </c>
      <c r="M485" s="152" t="s">
        <v>2705</v>
      </c>
      <c r="N485" s="152" t="s">
        <v>2705</v>
      </c>
      <c r="O485" s="152" t="s">
        <v>2398</v>
      </c>
      <c r="P485" s="152" t="s">
        <v>2705</v>
      </c>
      <c r="Q485" s="152" t="s">
        <v>2398</v>
      </c>
      <c r="R485" s="152" t="s">
        <v>1435</v>
      </c>
      <c r="S485" s="152" t="s">
        <v>2705</v>
      </c>
      <c r="T485" s="152" t="s">
        <v>2705</v>
      </c>
      <c r="U485" s="152" t="s">
        <v>2705</v>
      </c>
      <c r="V485" s="142" cm="1">
        <f t="array" ref="V485">IF(A485&lt;&gt;"",SUM(--(B485:U486 = "X")*$U$3,--(B485:U486 ="A")*$Q$3,--(B485:U486 ="B")*$R$3,--(B485:U486 ="C")*$S$3),"")</f>
        <v>18</v>
      </c>
      <c r="X485" s="437" t="s">
        <v>7793</v>
      </c>
      <c r="Y485" s="437">
        <v>23</v>
      </c>
      <c r="Z485" s="436">
        <f>_xlfn.XLOOKUP(answers[[#This Row],[StudentID]],$A$7:$A$1418,$V$7:$V$1418)</f>
        <v>23</v>
      </c>
      <c r="AF485" s="142" t="s">
        <v>7559</v>
      </c>
      <c r="AG485" s="142" t="s">
        <v>2705</v>
      </c>
      <c r="AH485" s="142" t="s">
        <v>2705</v>
      </c>
      <c r="AI485" s="142" t="s">
        <v>2398</v>
      </c>
      <c r="AJ485" s="142" t="s">
        <v>2398</v>
      </c>
      <c r="AK485" s="142" t="s">
        <v>2675</v>
      </c>
      <c r="AL485" s="142" t="s">
        <v>2705</v>
      </c>
      <c r="AM485" s="142" t="s">
        <v>2705</v>
      </c>
      <c r="AN485" s="142" t="s">
        <v>2398</v>
      </c>
      <c r="AO485" s="142" t="s">
        <v>2398</v>
      </c>
      <c r="AP485" s="142" t="s">
        <v>2705</v>
      </c>
      <c r="AQ485" s="142" t="s">
        <v>2398</v>
      </c>
      <c r="AR485" s="142" t="s">
        <v>2705</v>
      </c>
      <c r="AS485" s="142" t="s">
        <v>2705</v>
      </c>
      <c r="AT485" s="142" t="s">
        <v>2398</v>
      </c>
      <c r="AU485" s="142" t="s">
        <v>2705</v>
      </c>
      <c r="AV485" s="142" t="s">
        <v>2398</v>
      </c>
      <c r="AW485" s="142" t="s">
        <v>1435</v>
      </c>
      <c r="AX485" s="142" t="s">
        <v>2705</v>
      </c>
      <c r="AY485" s="142" t="s">
        <v>2705</v>
      </c>
      <c r="AZ485" s="142" t="s">
        <v>2705</v>
      </c>
    </row>
    <row r="486" spans="1:52" s="142" customFormat="1" ht="12.75" x14ac:dyDescent="0.2">
      <c r="A486" s="151"/>
      <c r="B486" s="152" t="s">
        <v>2398</v>
      </c>
      <c r="C486" s="152" t="s">
        <v>2675</v>
      </c>
      <c r="D486" s="152" t="s">
        <v>2398</v>
      </c>
      <c r="E486" s="152" t="s">
        <v>2398</v>
      </c>
      <c r="F486" s="152" t="s">
        <v>2705</v>
      </c>
      <c r="G486" s="152" t="s">
        <v>2705</v>
      </c>
      <c r="H486" s="152" t="s">
        <v>2398</v>
      </c>
      <c r="I486" s="152" t="s">
        <v>2705</v>
      </c>
      <c r="J486" s="152" t="s">
        <v>1435</v>
      </c>
      <c r="K486" s="152" t="s">
        <v>2705</v>
      </c>
      <c r="L486" s="152" t="s">
        <v>2398</v>
      </c>
      <c r="M486" s="152" t="s">
        <v>2705</v>
      </c>
      <c r="N486" s="152" t="s">
        <v>2705</v>
      </c>
      <c r="O486" s="152" t="s">
        <v>2398</v>
      </c>
      <c r="P486" s="152" t="s">
        <v>2398</v>
      </c>
      <c r="Q486" s="152" t="s">
        <v>2705</v>
      </c>
      <c r="R486" s="152" t="s">
        <v>2398</v>
      </c>
      <c r="S486" s="152" t="s">
        <v>2705</v>
      </c>
      <c r="T486" s="152" t="s">
        <v>2705</v>
      </c>
      <c r="U486" s="152" t="s">
        <v>2398</v>
      </c>
      <c r="V486" s="142" t="str" cm="1">
        <f t="array" ref="V486">IF(A486&lt;&gt;"",SUM(--(B486:U487 = "X")*$U$3,--(B486:U487 ="A")*$Q$3,--(B486:U487 ="B")*$R$3,--(B486:U487 ="C")*$S$3),"")</f>
        <v/>
      </c>
      <c r="X486" s="437" t="s">
        <v>7794</v>
      </c>
      <c r="Y486" s="437">
        <v>22</v>
      </c>
      <c r="Z486" s="436">
        <f>_xlfn.XLOOKUP(answers[[#This Row],[StudentID]],$A$7:$A$1418,$V$7:$V$1418)</f>
        <v>22</v>
      </c>
      <c r="AG486" s="142" t="s">
        <v>2398</v>
      </c>
      <c r="AH486" s="142" t="s">
        <v>2675</v>
      </c>
      <c r="AI486" s="142" t="s">
        <v>2398</v>
      </c>
      <c r="AJ486" s="142" t="s">
        <v>2398</v>
      </c>
      <c r="AK486" s="142" t="s">
        <v>2705</v>
      </c>
      <c r="AL486" s="142" t="s">
        <v>2705</v>
      </c>
      <c r="AM486" s="142" t="s">
        <v>2398</v>
      </c>
      <c r="AN486" s="142" t="s">
        <v>2705</v>
      </c>
      <c r="AO486" s="142" t="s">
        <v>1435</v>
      </c>
      <c r="AP486" s="142" t="s">
        <v>2705</v>
      </c>
      <c r="AQ486" s="142" t="s">
        <v>2398</v>
      </c>
      <c r="AR486" s="142" t="s">
        <v>2705</v>
      </c>
      <c r="AS486" s="142" t="s">
        <v>2705</v>
      </c>
      <c r="AT486" s="142" t="s">
        <v>2398</v>
      </c>
      <c r="AU486" s="142" t="s">
        <v>2398</v>
      </c>
      <c r="AV486" s="142" t="s">
        <v>2705</v>
      </c>
      <c r="AW486" s="142" t="s">
        <v>2398</v>
      </c>
      <c r="AX486" s="142" t="s">
        <v>2705</v>
      </c>
      <c r="AY486" s="142" t="s">
        <v>2705</v>
      </c>
      <c r="AZ486" s="142" t="s">
        <v>2398</v>
      </c>
    </row>
    <row r="487" spans="1:52" s="142" customFormat="1" ht="12.75" x14ac:dyDescent="0.2">
      <c r="A487" s="151" t="s">
        <v>7560</v>
      </c>
      <c r="B487" s="152" t="s">
        <v>2398</v>
      </c>
      <c r="C487" s="152" t="s">
        <v>2705</v>
      </c>
      <c r="D487" s="152" t="s">
        <v>2705</v>
      </c>
      <c r="E487" s="152" t="s">
        <v>2705</v>
      </c>
      <c r="F487" s="152" t="s">
        <v>2398</v>
      </c>
      <c r="G487" s="152" t="s">
        <v>2398</v>
      </c>
      <c r="H487" s="152" t="s">
        <v>1435</v>
      </c>
      <c r="I487" s="152" t="s">
        <v>2705</v>
      </c>
      <c r="J487" s="152" t="s">
        <v>2705</v>
      </c>
      <c r="K487" s="152" t="s">
        <v>2705</v>
      </c>
      <c r="L487" s="152" t="s">
        <v>2398</v>
      </c>
      <c r="M487" s="152" t="s">
        <v>2705</v>
      </c>
      <c r="N487" s="152" t="s">
        <v>2705</v>
      </c>
      <c r="O487" s="152" t="s">
        <v>2398</v>
      </c>
      <c r="P487" s="152" t="s">
        <v>2398</v>
      </c>
      <c r="Q487" s="152" t="s">
        <v>2675</v>
      </c>
      <c r="R487" s="152" t="s">
        <v>2398</v>
      </c>
      <c r="S487" s="152" t="s">
        <v>2398</v>
      </c>
      <c r="T487" s="152" t="s">
        <v>2705</v>
      </c>
      <c r="U487" s="152" t="s">
        <v>2398</v>
      </c>
      <c r="V487" s="142" cm="1">
        <f t="array" ref="V487">IF(A487&lt;&gt;"",SUM(--(B487:U488 = "X")*$U$3,--(B487:U488 ="A")*$Q$3,--(B487:U488 ="B")*$R$3,--(B487:U488 ="C")*$S$3),"")</f>
        <v>17</v>
      </c>
      <c r="X487" s="437" t="s">
        <v>7795</v>
      </c>
      <c r="Y487" s="437">
        <v>28</v>
      </c>
      <c r="Z487" s="436">
        <f>_xlfn.XLOOKUP(answers[[#This Row],[StudentID]],$A$7:$A$1418,$V$7:$V$1418)</f>
        <v>28</v>
      </c>
      <c r="AF487" s="142" t="s">
        <v>7560</v>
      </c>
      <c r="AG487" s="142" t="s">
        <v>2398</v>
      </c>
      <c r="AH487" s="142" t="s">
        <v>2705</v>
      </c>
      <c r="AI487" s="142" t="s">
        <v>2705</v>
      </c>
      <c r="AJ487" s="142" t="s">
        <v>2705</v>
      </c>
      <c r="AK487" s="142" t="s">
        <v>2398</v>
      </c>
      <c r="AL487" s="142" t="s">
        <v>2398</v>
      </c>
      <c r="AM487" s="142" t="s">
        <v>1435</v>
      </c>
      <c r="AN487" s="142" t="s">
        <v>2705</v>
      </c>
      <c r="AO487" s="142" t="s">
        <v>2705</v>
      </c>
      <c r="AP487" s="142" t="s">
        <v>2705</v>
      </c>
      <c r="AQ487" s="142" t="s">
        <v>2398</v>
      </c>
      <c r="AR487" s="142" t="s">
        <v>2705</v>
      </c>
      <c r="AS487" s="142" t="s">
        <v>2705</v>
      </c>
      <c r="AT487" s="142" t="s">
        <v>2398</v>
      </c>
      <c r="AU487" s="142" t="s">
        <v>2398</v>
      </c>
      <c r="AV487" s="142" t="s">
        <v>2675</v>
      </c>
      <c r="AW487" s="142" t="s">
        <v>2398</v>
      </c>
      <c r="AX487" s="142" t="s">
        <v>2398</v>
      </c>
      <c r="AY487" s="142" t="s">
        <v>2705</v>
      </c>
      <c r="AZ487" s="142" t="s">
        <v>2398</v>
      </c>
    </row>
    <row r="488" spans="1:52" s="142" customFormat="1" ht="12.75" x14ac:dyDescent="0.2">
      <c r="A488" s="151"/>
      <c r="B488" s="152" t="s">
        <v>2397</v>
      </c>
      <c r="C488" s="152" t="s">
        <v>2705</v>
      </c>
      <c r="D488" s="152" t="s">
        <v>2398</v>
      </c>
      <c r="E488" s="152" t="s">
        <v>2397</v>
      </c>
      <c r="F488" s="152" t="s">
        <v>2705</v>
      </c>
      <c r="G488" s="152" t="s">
        <v>1435</v>
      </c>
      <c r="H488" s="152" t="s">
        <v>2705</v>
      </c>
      <c r="I488" s="152" t="s">
        <v>2705</v>
      </c>
      <c r="J488" s="152" t="s">
        <v>2398</v>
      </c>
      <c r="K488" s="152" t="s">
        <v>2705</v>
      </c>
      <c r="L488" s="152" t="s">
        <v>2398</v>
      </c>
      <c r="M488" s="152" t="s">
        <v>2675</v>
      </c>
      <c r="N488" s="152" t="s">
        <v>2705</v>
      </c>
      <c r="O488" s="152" t="s">
        <v>2705</v>
      </c>
      <c r="P488" s="152" t="s">
        <v>2705</v>
      </c>
      <c r="Q488" s="152" t="s">
        <v>2705</v>
      </c>
      <c r="R488" s="152" t="s">
        <v>2398</v>
      </c>
      <c r="S488" s="152" t="s">
        <v>2705</v>
      </c>
      <c r="T488" s="152" t="s">
        <v>2397</v>
      </c>
      <c r="U488" s="152" t="s">
        <v>2398</v>
      </c>
      <c r="V488" s="142" t="str" cm="1">
        <f t="array" ref="V488">IF(A488&lt;&gt;"",SUM(--(B488:U489 = "X")*$U$3,--(B488:U489 ="A")*$Q$3,--(B488:U489 ="B")*$R$3,--(B488:U489 ="C")*$S$3),"")</f>
        <v/>
      </c>
      <c r="X488" s="437" t="s">
        <v>7796</v>
      </c>
      <c r="Y488" s="437">
        <v>27.5</v>
      </c>
      <c r="Z488" s="436">
        <f>_xlfn.XLOOKUP(answers[[#This Row],[StudentID]],$A$7:$A$1418,$V$7:$V$1418)</f>
        <v>27.5</v>
      </c>
      <c r="AG488" s="142" t="s">
        <v>2397</v>
      </c>
      <c r="AH488" s="142" t="s">
        <v>2705</v>
      </c>
      <c r="AI488" s="142" t="s">
        <v>2398</v>
      </c>
      <c r="AJ488" s="142" t="s">
        <v>2397</v>
      </c>
      <c r="AK488" s="142" t="s">
        <v>2705</v>
      </c>
      <c r="AL488" s="142" t="s">
        <v>1435</v>
      </c>
      <c r="AM488" s="142" t="s">
        <v>2705</v>
      </c>
      <c r="AN488" s="142" t="s">
        <v>2705</v>
      </c>
      <c r="AO488" s="142" t="s">
        <v>2398</v>
      </c>
      <c r="AP488" s="142" t="s">
        <v>2705</v>
      </c>
      <c r="AQ488" s="142" t="s">
        <v>2398</v>
      </c>
      <c r="AR488" s="142" t="s">
        <v>2675</v>
      </c>
      <c r="AS488" s="142" t="s">
        <v>2705</v>
      </c>
      <c r="AT488" s="142" t="s">
        <v>2705</v>
      </c>
      <c r="AU488" s="142" t="s">
        <v>2705</v>
      </c>
      <c r="AV488" s="142" t="s">
        <v>2705</v>
      </c>
      <c r="AW488" s="142" t="s">
        <v>2398</v>
      </c>
      <c r="AX488" s="142" t="s">
        <v>2705</v>
      </c>
      <c r="AY488" s="142" t="s">
        <v>2397</v>
      </c>
      <c r="AZ488" s="142" t="s">
        <v>2398</v>
      </c>
    </row>
    <row r="489" spans="1:52" s="142" customFormat="1" ht="12.75" x14ac:dyDescent="0.2">
      <c r="A489" s="151" t="s">
        <v>7561</v>
      </c>
      <c r="B489" s="152" t="s">
        <v>2705</v>
      </c>
      <c r="C489" s="152" t="s">
        <v>2705</v>
      </c>
      <c r="D489" s="152" t="s">
        <v>2705</v>
      </c>
      <c r="E489" s="152" t="s">
        <v>2705</v>
      </c>
      <c r="F489" s="152" t="s">
        <v>2705</v>
      </c>
      <c r="G489" s="152" t="s">
        <v>2705</v>
      </c>
      <c r="H489" s="152" t="s">
        <v>2705</v>
      </c>
      <c r="I489" s="152" t="s">
        <v>2705</v>
      </c>
      <c r="J489" s="152" t="s">
        <v>2705</v>
      </c>
      <c r="K489" s="152" t="s">
        <v>2705</v>
      </c>
      <c r="L489" s="152" t="s">
        <v>2705</v>
      </c>
      <c r="M489" s="152" t="s">
        <v>2398</v>
      </c>
      <c r="N489" s="152" t="s">
        <v>2705</v>
      </c>
      <c r="O489" s="152" t="s">
        <v>2398</v>
      </c>
      <c r="P489" s="152" t="s">
        <v>2398</v>
      </c>
      <c r="Q489" s="152" t="s">
        <v>2398</v>
      </c>
      <c r="R489" s="152" t="s">
        <v>2397</v>
      </c>
      <c r="S489" s="152" t="s">
        <v>2705</v>
      </c>
      <c r="T489" s="152" t="s">
        <v>2398</v>
      </c>
      <c r="U489" s="152" t="s">
        <v>2705</v>
      </c>
      <c r="V489" s="142" cm="1">
        <f t="array" ref="V489">IF(A489&lt;&gt;"",SUM(--(B489:U490 = "X")*$U$3,--(B489:U490 ="A")*$Q$3,--(B489:U490 ="B")*$R$3,--(B489:U490 ="C")*$S$3),"")</f>
        <v>25</v>
      </c>
      <c r="X489" s="437" t="s">
        <v>7797</v>
      </c>
      <c r="Y489" s="437">
        <v>17</v>
      </c>
      <c r="Z489" s="436">
        <f>_xlfn.XLOOKUP(answers[[#This Row],[StudentID]],$A$7:$A$1418,$V$7:$V$1418)</f>
        <v>17</v>
      </c>
      <c r="AF489" s="142" t="s">
        <v>7561</v>
      </c>
      <c r="AG489" s="142" t="s">
        <v>2705</v>
      </c>
      <c r="AH489" s="142" t="s">
        <v>2705</v>
      </c>
      <c r="AI489" s="142" t="s">
        <v>2705</v>
      </c>
      <c r="AJ489" s="142" t="s">
        <v>2705</v>
      </c>
      <c r="AK489" s="142" t="s">
        <v>2705</v>
      </c>
      <c r="AL489" s="142" t="s">
        <v>2705</v>
      </c>
      <c r="AM489" s="142" t="s">
        <v>2705</v>
      </c>
      <c r="AN489" s="142" t="s">
        <v>2705</v>
      </c>
      <c r="AO489" s="142" t="s">
        <v>2705</v>
      </c>
      <c r="AP489" s="142" t="s">
        <v>2705</v>
      </c>
      <c r="AQ489" s="142" t="s">
        <v>2705</v>
      </c>
      <c r="AR489" s="142" t="s">
        <v>2398</v>
      </c>
      <c r="AS489" s="142" t="s">
        <v>2705</v>
      </c>
      <c r="AT489" s="142" t="s">
        <v>2398</v>
      </c>
      <c r="AU489" s="142" t="s">
        <v>2398</v>
      </c>
      <c r="AV489" s="142" t="s">
        <v>2398</v>
      </c>
      <c r="AW489" s="142" t="s">
        <v>2397</v>
      </c>
      <c r="AX489" s="142" t="s">
        <v>2705</v>
      </c>
      <c r="AY489" s="142" t="s">
        <v>2398</v>
      </c>
      <c r="AZ489" s="142" t="s">
        <v>2705</v>
      </c>
    </row>
    <row r="490" spans="1:52" s="142" customFormat="1" ht="12.75" x14ac:dyDescent="0.2">
      <c r="A490" s="151"/>
      <c r="B490" s="152" t="s">
        <v>2398</v>
      </c>
      <c r="C490" s="152" t="s">
        <v>2705</v>
      </c>
      <c r="D490" s="152" t="s">
        <v>2398</v>
      </c>
      <c r="E490" s="152" t="s">
        <v>2705</v>
      </c>
      <c r="F490" s="152" t="s">
        <v>2675</v>
      </c>
      <c r="G490" s="152" t="s">
        <v>2398</v>
      </c>
      <c r="H490" s="152" t="s">
        <v>2705</v>
      </c>
      <c r="I490" s="152" t="s">
        <v>2705</v>
      </c>
      <c r="J490" s="152" t="s">
        <v>2705</v>
      </c>
      <c r="K490" s="152" t="s">
        <v>2705</v>
      </c>
      <c r="L490" s="152" t="s">
        <v>2705</v>
      </c>
      <c r="M490" s="152" t="s">
        <v>2398</v>
      </c>
      <c r="N490" s="152" t="s">
        <v>2398</v>
      </c>
      <c r="O490" s="152" t="s">
        <v>2705</v>
      </c>
      <c r="P490" s="152" t="s">
        <v>2705</v>
      </c>
      <c r="Q490" s="152" t="s">
        <v>2705</v>
      </c>
      <c r="R490" s="152" t="s">
        <v>1435</v>
      </c>
      <c r="S490" s="152" t="s">
        <v>2398</v>
      </c>
      <c r="T490" s="152" t="s">
        <v>2705</v>
      </c>
      <c r="U490" s="152" t="s">
        <v>2705</v>
      </c>
      <c r="V490" s="142" t="str" cm="1">
        <f t="array" ref="V490">IF(A490&lt;&gt;"",SUM(--(B490:U491 = "X")*$U$3,--(B490:U491 ="A")*$Q$3,--(B490:U491 ="B")*$R$3,--(B490:U491 ="C")*$S$3),"")</f>
        <v/>
      </c>
      <c r="X490" s="437" t="s">
        <v>7798</v>
      </c>
      <c r="Y490" s="437">
        <v>20</v>
      </c>
      <c r="Z490" s="436">
        <f>_xlfn.XLOOKUP(answers[[#This Row],[StudentID]],$A$7:$A$1418,$V$7:$V$1418)</f>
        <v>20</v>
      </c>
      <c r="AG490" s="142" t="s">
        <v>2398</v>
      </c>
      <c r="AH490" s="142" t="s">
        <v>2705</v>
      </c>
      <c r="AI490" s="142" t="s">
        <v>2398</v>
      </c>
      <c r="AJ490" s="142" t="s">
        <v>2705</v>
      </c>
      <c r="AK490" s="142" t="s">
        <v>2675</v>
      </c>
      <c r="AL490" s="142" t="s">
        <v>2398</v>
      </c>
      <c r="AM490" s="142" t="s">
        <v>2705</v>
      </c>
      <c r="AN490" s="142" t="s">
        <v>2705</v>
      </c>
      <c r="AO490" s="142" t="s">
        <v>2705</v>
      </c>
      <c r="AP490" s="142" t="s">
        <v>2705</v>
      </c>
      <c r="AQ490" s="142" t="s">
        <v>2705</v>
      </c>
      <c r="AR490" s="142" t="s">
        <v>2398</v>
      </c>
      <c r="AS490" s="142" t="s">
        <v>2398</v>
      </c>
      <c r="AT490" s="142" t="s">
        <v>2705</v>
      </c>
      <c r="AU490" s="142" t="s">
        <v>2705</v>
      </c>
      <c r="AV490" s="142" t="s">
        <v>2705</v>
      </c>
      <c r="AW490" s="142" t="s">
        <v>1435</v>
      </c>
      <c r="AX490" s="142" t="s">
        <v>2398</v>
      </c>
      <c r="AY490" s="142" t="s">
        <v>2705</v>
      </c>
      <c r="AZ490" s="142" t="s">
        <v>2705</v>
      </c>
    </row>
    <row r="491" spans="1:52" s="142" customFormat="1" ht="12.75" x14ac:dyDescent="0.2">
      <c r="A491" s="151" t="s">
        <v>7562</v>
      </c>
      <c r="B491" s="152" t="s">
        <v>2705</v>
      </c>
      <c r="C491" s="152" t="s">
        <v>2398</v>
      </c>
      <c r="D491" s="152" t="s">
        <v>2398</v>
      </c>
      <c r="E491" s="152" t="s">
        <v>2397</v>
      </c>
      <c r="F491" s="152" t="s">
        <v>2705</v>
      </c>
      <c r="G491" s="152" t="s">
        <v>2705</v>
      </c>
      <c r="H491" s="152" t="s">
        <v>2705</v>
      </c>
      <c r="I491" s="152" t="s">
        <v>2397</v>
      </c>
      <c r="J491" s="152" t="s">
        <v>2398</v>
      </c>
      <c r="K491" s="152" t="s">
        <v>2705</v>
      </c>
      <c r="L491" s="152" t="s">
        <v>1435</v>
      </c>
      <c r="M491" s="152" t="s">
        <v>1435</v>
      </c>
      <c r="N491" s="152" t="s">
        <v>2397</v>
      </c>
      <c r="O491" s="152" t="s">
        <v>2398</v>
      </c>
      <c r="P491" s="152" t="s">
        <v>1435</v>
      </c>
      <c r="Q491" s="152" t="s">
        <v>2705</v>
      </c>
      <c r="R491" s="152" t="s">
        <v>2705</v>
      </c>
      <c r="S491" s="152" t="s">
        <v>2705</v>
      </c>
      <c r="T491" s="152" t="s">
        <v>2705</v>
      </c>
      <c r="U491" s="152" t="s">
        <v>2705</v>
      </c>
      <c r="V491" s="142" cm="1">
        <f t="array" ref="V491">IF(A491&lt;&gt;"",SUM(--(B491:U492 = "X")*$U$3,--(B491:U492 ="A")*$Q$3,--(B491:U492 ="B")*$R$3,--(B491:U492 ="C")*$S$3),"")</f>
        <v>16</v>
      </c>
      <c r="X491" s="437" t="s">
        <v>7799</v>
      </c>
      <c r="Y491" s="437">
        <v>19</v>
      </c>
      <c r="Z491" s="436">
        <f>_xlfn.XLOOKUP(answers[[#This Row],[StudentID]],$A$7:$A$1418,$V$7:$V$1418)</f>
        <v>19</v>
      </c>
      <c r="AF491" s="142" t="s">
        <v>7562</v>
      </c>
      <c r="AG491" s="142" t="s">
        <v>2705</v>
      </c>
      <c r="AH491" s="142" t="s">
        <v>2398</v>
      </c>
      <c r="AI491" s="142" t="s">
        <v>2398</v>
      </c>
      <c r="AJ491" s="142" t="s">
        <v>2397</v>
      </c>
      <c r="AK491" s="142" t="s">
        <v>2705</v>
      </c>
      <c r="AL491" s="142" t="s">
        <v>2705</v>
      </c>
      <c r="AM491" s="142" t="s">
        <v>2705</v>
      </c>
      <c r="AN491" s="142" t="s">
        <v>2397</v>
      </c>
      <c r="AO491" s="142" t="s">
        <v>2398</v>
      </c>
      <c r="AP491" s="142" t="s">
        <v>2705</v>
      </c>
      <c r="AQ491" s="142" t="s">
        <v>1435</v>
      </c>
      <c r="AR491" s="142" t="s">
        <v>1435</v>
      </c>
      <c r="AS491" s="142" t="s">
        <v>2397</v>
      </c>
      <c r="AT491" s="142" t="s">
        <v>2398</v>
      </c>
      <c r="AU491" s="142" t="s">
        <v>1435</v>
      </c>
      <c r="AV491" s="142" t="s">
        <v>2705</v>
      </c>
      <c r="AW491" s="142" t="s">
        <v>2705</v>
      </c>
      <c r="AX491" s="142" t="s">
        <v>2705</v>
      </c>
      <c r="AY491" s="142" t="s">
        <v>2705</v>
      </c>
      <c r="AZ491" s="142" t="s">
        <v>2705</v>
      </c>
    </row>
    <row r="492" spans="1:52" s="142" customFormat="1" ht="12.75" x14ac:dyDescent="0.2">
      <c r="A492" s="151"/>
      <c r="B492" s="152" t="s">
        <v>2705</v>
      </c>
      <c r="C492" s="152" t="s">
        <v>2398</v>
      </c>
      <c r="D492" s="152" t="s">
        <v>2398</v>
      </c>
      <c r="E492" s="152" t="s">
        <v>2705</v>
      </c>
      <c r="F492" s="152" t="s">
        <v>2705</v>
      </c>
      <c r="G492" s="152" t="s">
        <v>2675</v>
      </c>
      <c r="H492" s="152" t="s">
        <v>2398</v>
      </c>
      <c r="I492" s="152" t="s">
        <v>2705</v>
      </c>
      <c r="J492" s="152" t="s">
        <v>2398</v>
      </c>
      <c r="K492" s="152" t="s">
        <v>2705</v>
      </c>
      <c r="L492" s="152" t="s">
        <v>2705</v>
      </c>
      <c r="M492" s="152" t="s">
        <v>2398</v>
      </c>
      <c r="N492" s="152" t="s">
        <v>2705</v>
      </c>
      <c r="O492" s="152" t="s">
        <v>2398</v>
      </c>
      <c r="P492" s="152" t="s">
        <v>2398</v>
      </c>
      <c r="Q492" s="152" t="s">
        <v>2398</v>
      </c>
      <c r="R492" s="152" t="s">
        <v>2398</v>
      </c>
      <c r="S492" s="152" t="s">
        <v>2705</v>
      </c>
      <c r="T492" s="152" t="s">
        <v>2398</v>
      </c>
      <c r="U492" s="152" t="s">
        <v>2398</v>
      </c>
      <c r="V492" s="142" t="str" cm="1">
        <f t="array" ref="V492">IF(A492&lt;&gt;"",SUM(--(B492:U493 = "X")*$U$3,--(B492:U493 ="A")*$Q$3,--(B492:U493 ="B")*$R$3,--(B492:U493 ="C")*$S$3),"")</f>
        <v/>
      </c>
      <c r="X492" s="437" t="s">
        <v>7800</v>
      </c>
      <c r="Y492" s="437">
        <v>21</v>
      </c>
      <c r="Z492" s="436">
        <f>_xlfn.XLOOKUP(answers[[#This Row],[StudentID]],$A$7:$A$1418,$V$7:$V$1418)</f>
        <v>21</v>
      </c>
      <c r="AG492" s="142" t="s">
        <v>2705</v>
      </c>
      <c r="AH492" s="142" t="s">
        <v>2398</v>
      </c>
      <c r="AI492" s="142" t="s">
        <v>2398</v>
      </c>
      <c r="AJ492" s="142" t="s">
        <v>2705</v>
      </c>
      <c r="AK492" s="142" t="s">
        <v>2705</v>
      </c>
      <c r="AL492" s="142" t="s">
        <v>2675</v>
      </c>
      <c r="AM492" s="142" t="s">
        <v>2398</v>
      </c>
      <c r="AN492" s="142" t="s">
        <v>2705</v>
      </c>
      <c r="AO492" s="142" t="s">
        <v>2398</v>
      </c>
      <c r="AP492" s="142" t="s">
        <v>2705</v>
      </c>
      <c r="AQ492" s="142" t="s">
        <v>2705</v>
      </c>
      <c r="AR492" s="142" t="s">
        <v>2398</v>
      </c>
      <c r="AS492" s="142" t="s">
        <v>2705</v>
      </c>
      <c r="AT492" s="142" t="s">
        <v>2398</v>
      </c>
      <c r="AU492" s="142" t="s">
        <v>2398</v>
      </c>
      <c r="AV492" s="142" t="s">
        <v>2398</v>
      </c>
      <c r="AW492" s="142" t="s">
        <v>2398</v>
      </c>
      <c r="AX492" s="142" t="s">
        <v>2705</v>
      </c>
      <c r="AY492" s="142" t="s">
        <v>2398</v>
      </c>
      <c r="AZ492" s="142" t="s">
        <v>2398</v>
      </c>
    </row>
    <row r="493" spans="1:52" s="142" customFormat="1" ht="12.75" x14ac:dyDescent="0.2">
      <c r="A493" s="151" t="s">
        <v>7563</v>
      </c>
      <c r="B493" s="152" t="s">
        <v>2705</v>
      </c>
      <c r="C493" s="152" t="s">
        <v>2705</v>
      </c>
      <c r="D493" s="152" t="s">
        <v>2675</v>
      </c>
      <c r="E493" s="152" t="s">
        <v>2705</v>
      </c>
      <c r="F493" s="152" t="s">
        <v>2398</v>
      </c>
      <c r="G493" s="152" t="s">
        <v>2705</v>
      </c>
      <c r="H493" s="152" t="s">
        <v>2705</v>
      </c>
      <c r="I493" s="152" t="s">
        <v>2398</v>
      </c>
      <c r="J493" s="152" t="s">
        <v>2398</v>
      </c>
      <c r="K493" s="152" t="s">
        <v>2398</v>
      </c>
      <c r="L493" s="152" t="s">
        <v>2398</v>
      </c>
      <c r="M493" s="152" t="s">
        <v>2398</v>
      </c>
      <c r="N493" s="152" t="s">
        <v>2398</v>
      </c>
      <c r="O493" s="152" t="s">
        <v>2705</v>
      </c>
      <c r="P493" s="152" t="s">
        <v>2398</v>
      </c>
      <c r="Q493" s="152" t="s">
        <v>2705</v>
      </c>
      <c r="R493" s="152" t="s">
        <v>2705</v>
      </c>
      <c r="S493" s="152" t="s">
        <v>2398</v>
      </c>
      <c r="T493" s="152" t="s">
        <v>2398</v>
      </c>
      <c r="U493" s="152" t="s">
        <v>2398</v>
      </c>
      <c r="V493" s="142" cm="1">
        <f t="array" ref="V493">IF(A493&lt;&gt;"",SUM(--(B493:U494 = "X")*$U$3,--(B493:U494 ="A")*$Q$3,--(B493:U494 ="B")*$R$3,--(B493:U494 ="C")*$S$3),"")</f>
        <v>18</v>
      </c>
      <c r="X493" s="437" t="s">
        <v>7801</v>
      </c>
      <c r="Y493" s="437">
        <v>16.5</v>
      </c>
      <c r="Z493" s="436">
        <f>_xlfn.XLOOKUP(answers[[#This Row],[StudentID]],$A$7:$A$1418,$V$7:$V$1418)</f>
        <v>16.5</v>
      </c>
      <c r="AF493" s="142" t="s">
        <v>7563</v>
      </c>
      <c r="AG493" s="142" t="s">
        <v>2705</v>
      </c>
      <c r="AH493" s="142" t="s">
        <v>2705</v>
      </c>
      <c r="AI493" s="142" t="s">
        <v>2675</v>
      </c>
      <c r="AJ493" s="142" t="s">
        <v>2705</v>
      </c>
      <c r="AK493" s="142" t="s">
        <v>2398</v>
      </c>
      <c r="AL493" s="142" t="s">
        <v>2705</v>
      </c>
      <c r="AM493" s="142" t="s">
        <v>2705</v>
      </c>
      <c r="AN493" s="142" t="s">
        <v>2398</v>
      </c>
      <c r="AO493" s="142" t="s">
        <v>2398</v>
      </c>
      <c r="AP493" s="142" t="s">
        <v>2398</v>
      </c>
      <c r="AQ493" s="142" t="s">
        <v>2398</v>
      </c>
      <c r="AR493" s="142" t="s">
        <v>2398</v>
      </c>
      <c r="AS493" s="142" t="s">
        <v>2398</v>
      </c>
      <c r="AT493" s="142" t="s">
        <v>2705</v>
      </c>
      <c r="AU493" s="142" t="s">
        <v>2398</v>
      </c>
      <c r="AV493" s="142" t="s">
        <v>2705</v>
      </c>
      <c r="AW493" s="142" t="s">
        <v>2705</v>
      </c>
      <c r="AX493" s="142" t="s">
        <v>2398</v>
      </c>
      <c r="AY493" s="142" t="s">
        <v>2398</v>
      </c>
      <c r="AZ493" s="142" t="s">
        <v>2398</v>
      </c>
    </row>
    <row r="494" spans="1:52" s="142" customFormat="1" ht="12.75" x14ac:dyDescent="0.2">
      <c r="A494" s="151"/>
      <c r="B494" s="152" t="s">
        <v>2398</v>
      </c>
      <c r="C494" s="152" t="s">
        <v>2705</v>
      </c>
      <c r="D494" s="152" t="s">
        <v>2397</v>
      </c>
      <c r="E494" s="152" t="s">
        <v>2398</v>
      </c>
      <c r="F494" s="152" t="s">
        <v>2398</v>
      </c>
      <c r="G494" s="152" t="s">
        <v>2397</v>
      </c>
      <c r="H494" s="152" t="s">
        <v>2705</v>
      </c>
      <c r="I494" s="152" t="s">
        <v>2398</v>
      </c>
      <c r="J494" s="152" t="s">
        <v>2705</v>
      </c>
      <c r="K494" s="152" t="s">
        <v>2705</v>
      </c>
      <c r="L494" s="152" t="s">
        <v>2398</v>
      </c>
      <c r="M494" s="152" t="s">
        <v>2705</v>
      </c>
      <c r="N494" s="152" t="s">
        <v>2705</v>
      </c>
      <c r="O494" s="152" t="s">
        <v>2705</v>
      </c>
      <c r="P494" s="152" t="s">
        <v>1435</v>
      </c>
      <c r="Q494" s="152" t="s">
        <v>2705</v>
      </c>
      <c r="R494" s="152" t="s">
        <v>2398</v>
      </c>
      <c r="S494" s="152" t="s">
        <v>2705</v>
      </c>
      <c r="T494" s="152" t="s">
        <v>2705</v>
      </c>
      <c r="U494" s="152" t="s">
        <v>2705</v>
      </c>
      <c r="V494" s="142" t="str" cm="1">
        <f t="array" ref="V494">IF(A494&lt;&gt;"",SUM(--(B494:U495 = "X")*$U$3,--(B494:U495 ="A")*$Q$3,--(B494:U495 ="B")*$R$3,--(B494:U495 ="C")*$S$3),"")</f>
        <v/>
      </c>
      <c r="X494" s="437" t="s">
        <v>7802</v>
      </c>
      <c r="Y494" s="437">
        <v>19</v>
      </c>
      <c r="Z494" s="436">
        <f>_xlfn.XLOOKUP(answers[[#This Row],[StudentID]],$A$7:$A$1418,$V$7:$V$1418)</f>
        <v>19</v>
      </c>
      <c r="AG494" s="142" t="s">
        <v>2398</v>
      </c>
      <c r="AH494" s="142" t="s">
        <v>2705</v>
      </c>
      <c r="AI494" s="142" t="s">
        <v>2397</v>
      </c>
      <c r="AJ494" s="142" t="s">
        <v>2398</v>
      </c>
      <c r="AK494" s="142" t="s">
        <v>2398</v>
      </c>
      <c r="AL494" s="142" t="s">
        <v>2397</v>
      </c>
      <c r="AM494" s="142" t="s">
        <v>2705</v>
      </c>
      <c r="AN494" s="142" t="s">
        <v>2398</v>
      </c>
      <c r="AO494" s="142" t="s">
        <v>2705</v>
      </c>
      <c r="AP494" s="142" t="s">
        <v>2705</v>
      </c>
      <c r="AQ494" s="142" t="s">
        <v>2398</v>
      </c>
      <c r="AR494" s="142" t="s">
        <v>2705</v>
      </c>
      <c r="AS494" s="142" t="s">
        <v>2705</v>
      </c>
      <c r="AT494" s="142" t="s">
        <v>2705</v>
      </c>
      <c r="AU494" s="142" t="s">
        <v>1435</v>
      </c>
      <c r="AV494" s="142" t="s">
        <v>2705</v>
      </c>
      <c r="AW494" s="142" t="s">
        <v>2398</v>
      </c>
      <c r="AX494" s="142" t="s">
        <v>2705</v>
      </c>
      <c r="AY494" s="142" t="s">
        <v>2705</v>
      </c>
      <c r="AZ494" s="142" t="s">
        <v>2705</v>
      </c>
    </row>
    <row r="495" spans="1:52" s="142" customFormat="1" ht="12.75" x14ac:dyDescent="0.2">
      <c r="A495" s="151" t="s">
        <v>7564</v>
      </c>
      <c r="B495" s="152" t="s">
        <v>2675</v>
      </c>
      <c r="C495" s="152" t="s">
        <v>2705</v>
      </c>
      <c r="D495" s="152" t="s">
        <v>2705</v>
      </c>
      <c r="E495" s="152" t="s">
        <v>2705</v>
      </c>
      <c r="F495" s="152" t="s">
        <v>2705</v>
      </c>
      <c r="G495" s="152" t="s">
        <v>2705</v>
      </c>
      <c r="H495" s="152" t="s">
        <v>2705</v>
      </c>
      <c r="I495" s="152" t="s">
        <v>2398</v>
      </c>
      <c r="J495" s="152" t="s">
        <v>2705</v>
      </c>
      <c r="K495" s="152" t="s">
        <v>2705</v>
      </c>
      <c r="L495" s="152" t="s">
        <v>1435</v>
      </c>
      <c r="M495" s="152" t="s">
        <v>2705</v>
      </c>
      <c r="N495" s="152" t="s">
        <v>2398</v>
      </c>
      <c r="O495" s="152" t="s">
        <v>2675</v>
      </c>
      <c r="P495" s="152" t="s">
        <v>2705</v>
      </c>
      <c r="Q495" s="152" t="s">
        <v>2705</v>
      </c>
      <c r="R495" s="152" t="s">
        <v>2705</v>
      </c>
      <c r="S495" s="152" t="s">
        <v>2705</v>
      </c>
      <c r="T495" s="152" t="s">
        <v>2705</v>
      </c>
      <c r="U495" s="152" t="s">
        <v>2705</v>
      </c>
      <c r="V495" s="142" cm="1">
        <f t="array" ref="V495">IF(A495&lt;&gt;"",SUM(--(B495:U496 = "X")*$U$3,--(B495:U496 ="A")*$Q$3,--(B495:U496 ="B")*$R$3,--(B495:U496 ="C")*$S$3),"")</f>
        <v>25</v>
      </c>
      <c r="X495" s="437" t="s">
        <v>7803</v>
      </c>
      <c r="Y495" s="437">
        <v>8.5</v>
      </c>
      <c r="Z495" s="436">
        <f>_xlfn.XLOOKUP(answers[[#This Row],[StudentID]],$A$7:$A$1418,$V$7:$V$1418)</f>
        <v>8.5</v>
      </c>
      <c r="AF495" s="142" t="s">
        <v>7564</v>
      </c>
      <c r="AG495" s="142" t="s">
        <v>2675</v>
      </c>
      <c r="AH495" s="142" t="s">
        <v>2705</v>
      </c>
      <c r="AI495" s="142" t="s">
        <v>2705</v>
      </c>
      <c r="AJ495" s="142" t="s">
        <v>2705</v>
      </c>
      <c r="AK495" s="142" t="s">
        <v>2705</v>
      </c>
      <c r="AL495" s="142" t="s">
        <v>2705</v>
      </c>
      <c r="AM495" s="142" t="s">
        <v>2705</v>
      </c>
      <c r="AN495" s="142" t="s">
        <v>2398</v>
      </c>
      <c r="AO495" s="142" t="s">
        <v>2705</v>
      </c>
      <c r="AP495" s="142" t="s">
        <v>2705</v>
      </c>
      <c r="AQ495" s="142" t="s">
        <v>1435</v>
      </c>
      <c r="AR495" s="142" t="s">
        <v>2705</v>
      </c>
      <c r="AS495" s="142" t="s">
        <v>2398</v>
      </c>
      <c r="AT495" s="142" t="s">
        <v>2675</v>
      </c>
      <c r="AU495" s="142" t="s">
        <v>2705</v>
      </c>
      <c r="AV495" s="142" t="s">
        <v>2705</v>
      </c>
      <c r="AW495" s="142" t="s">
        <v>2705</v>
      </c>
      <c r="AX495" s="142" t="s">
        <v>2705</v>
      </c>
      <c r="AY495" s="142" t="s">
        <v>2705</v>
      </c>
      <c r="AZ495" s="142" t="s">
        <v>2705</v>
      </c>
    </row>
    <row r="496" spans="1:52" s="142" customFormat="1" ht="12.75" x14ac:dyDescent="0.2">
      <c r="A496" s="151"/>
      <c r="B496" s="152" t="s">
        <v>2675</v>
      </c>
      <c r="C496" s="152" t="s">
        <v>2398</v>
      </c>
      <c r="D496" s="152" t="s">
        <v>2705</v>
      </c>
      <c r="E496" s="152" t="s">
        <v>2705</v>
      </c>
      <c r="F496" s="152" t="s">
        <v>2705</v>
      </c>
      <c r="G496" s="152" t="s">
        <v>2705</v>
      </c>
      <c r="H496" s="152" t="s">
        <v>2705</v>
      </c>
      <c r="I496" s="152" t="s">
        <v>1435</v>
      </c>
      <c r="J496" s="152" t="s">
        <v>2705</v>
      </c>
      <c r="K496" s="152" t="s">
        <v>2705</v>
      </c>
      <c r="L496" s="152" t="s">
        <v>2398</v>
      </c>
      <c r="M496" s="152" t="s">
        <v>2398</v>
      </c>
      <c r="N496" s="152" t="s">
        <v>2705</v>
      </c>
      <c r="O496" s="152" t="s">
        <v>2705</v>
      </c>
      <c r="P496" s="152" t="s">
        <v>2675</v>
      </c>
      <c r="Q496" s="152" t="s">
        <v>2705</v>
      </c>
      <c r="R496" s="152" t="s">
        <v>2705</v>
      </c>
      <c r="S496" s="152" t="s">
        <v>2705</v>
      </c>
      <c r="T496" s="152" t="s">
        <v>2705</v>
      </c>
      <c r="U496" s="152" t="s">
        <v>2398</v>
      </c>
      <c r="V496" s="142" t="str" cm="1">
        <f t="array" ref="V496">IF(A496&lt;&gt;"",SUM(--(B496:U497 = "X")*$U$3,--(B496:U497 ="A")*$Q$3,--(B496:U497 ="B")*$R$3,--(B496:U497 ="C")*$S$3),"")</f>
        <v/>
      </c>
      <c r="X496" s="437" t="s">
        <v>7804</v>
      </c>
      <c r="Y496" s="437">
        <v>23</v>
      </c>
      <c r="Z496" s="436">
        <f>_xlfn.XLOOKUP(answers[[#This Row],[StudentID]],$A$7:$A$1418,$V$7:$V$1418)</f>
        <v>23</v>
      </c>
      <c r="AG496" s="142" t="s">
        <v>2675</v>
      </c>
      <c r="AH496" s="142" t="s">
        <v>2398</v>
      </c>
      <c r="AI496" s="142" t="s">
        <v>2705</v>
      </c>
      <c r="AJ496" s="142" t="s">
        <v>2705</v>
      </c>
      <c r="AK496" s="142" t="s">
        <v>2705</v>
      </c>
      <c r="AL496" s="142" t="s">
        <v>2705</v>
      </c>
      <c r="AM496" s="142" t="s">
        <v>2705</v>
      </c>
      <c r="AN496" s="142" t="s">
        <v>1435</v>
      </c>
      <c r="AO496" s="142" t="s">
        <v>2705</v>
      </c>
      <c r="AP496" s="142" t="s">
        <v>2705</v>
      </c>
      <c r="AQ496" s="142" t="s">
        <v>2398</v>
      </c>
      <c r="AR496" s="142" t="s">
        <v>2398</v>
      </c>
      <c r="AS496" s="142" t="s">
        <v>2705</v>
      </c>
      <c r="AT496" s="142" t="s">
        <v>2705</v>
      </c>
      <c r="AU496" s="142" t="s">
        <v>2675</v>
      </c>
      <c r="AV496" s="142" t="s">
        <v>2705</v>
      </c>
      <c r="AW496" s="142" t="s">
        <v>2705</v>
      </c>
      <c r="AX496" s="142" t="s">
        <v>2705</v>
      </c>
      <c r="AY496" s="142" t="s">
        <v>2705</v>
      </c>
      <c r="AZ496" s="142" t="s">
        <v>2398</v>
      </c>
    </row>
    <row r="497" spans="1:52" s="142" customFormat="1" ht="12.75" x14ac:dyDescent="0.2">
      <c r="A497" s="151" t="s">
        <v>7565</v>
      </c>
      <c r="B497" s="152" t="s">
        <v>2705</v>
      </c>
      <c r="C497" s="152" t="s">
        <v>2705</v>
      </c>
      <c r="D497" s="152" t="s">
        <v>2675</v>
      </c>
      <c r="E497" s="152" t="s">
        <v>2705</v>
      </c>
      <c r="F497" s="152" t="s">
        <v>2705</v>
      </c>
      <c r="G497" s="152" t="s">
        <v>2705</v>
      </c>
      <c r="H497" s="152" t="s">
        <v>2705</v>
      </c>
      <c r="I497" s="152" t="s">
        <v>2705</v>
      </c>
      <c r="J497" s="152" t="s">
        <v>2705</v>
      </c>
      <c r="K497" s="152" t="s">
        <v>2705</v>
      </c>
      <c r="L497" s="152" t="s">
        <v>2675</v>
      </c>
      <c r="M497" s="152" t="s">
        <v>2705</v>
      </c>
      <c r="N497" s="152" t="s">
        <v>2675</v>
      </c>
      <c r="O497" s="152" t="s">
        <v>2398</v>
      </c>
      <c r="P497" s="152" t="s">
        <v>2705</v>
      </c>
      <c r="Q497" s="152" t="s">
        <v>2398</v>
      </c>
      <c r="R497" s="152" t="s">
        <v>2398</v>
      </c>
      <c r="S497" s="152" t="s">
        <v>2398</v>
      </c>
      <c r="T497" s="152" t="s">
        <v>1435</v>
      </c>
      <c r="U497" s="152" t="s">
        <v>2705</v>
      </c>
      <c r="V497" s="142" cm="1">
        <f t="array" ref="V497">IF(A497&lt;&gt;"",SUM(--(B497:U498 = "X")*$U$3,--(B497:U498 ="A")*$Q$3,--(B497:U498 ="B")*$R$3,--(B497:U498 ="C")*$S$3),"")</f>
        <v>22.5</v>
      </c>
      <c r="X497" s="437" t="s">
        <v>7805</v>
      </c>
      <c r="Y497" s="437">
        <v>12.5</v>
      </c>
      <c r="Z497" s="436">
        <f>_xlfn.XLOOKUP(answers[[#This Row],[StudentID]],$A$7:$A$1418,$V$7:$V$1418)</f>
        <v>12.5</v>
      </c>
      <c r="AF497" s="142" t="s">
        <v>7565</v>
      </c>
      <c r="AG497" s="142" t="s">
        <v>2705</v>
      </c>
      <c r="AH497" s="142" t="s">
        <v>2705</v>
      </c>
      <c r="AI497" s="142" t="s">
        <v>2675</v>
      </c>
      <c r="AJ497" s="142" t="s">
        <v>2705</v>
      </c>
      <c r="AK497" s="142" t="s">
        <v>2705</v>
      </c>
      <c r="AL497" s="142" t="s">
        <v>2705</v>
      </c>
      <c r="AM497" s="142" t="s">
        <v>2705</v>
      </c>
      <c r="AN497" s="142" t="s">
        <v>2705</v>
      </c>
      <c r="AO497" s="142" t="s">
        <v>2705</v>
      </c>
      <c r="AP497" s="142" t="s">
        <v>2705</v>
      </c>
      <c r="AQ497" s="142" t="s">
        <v>2675</v>
      </c>
      <c r="AR497" s="142" t="s">
        <v>2705</v>
      </c>
      <c r="AS497" s="142" t="s">
        <v>2675</v>
      </c>
      <c r="AT497" s="142" t="s">
        <v>2398</v>
      </c>
      <c r="AU497" s="142" t="s">
        <v>2705</v>
      </c>
      <c r="AV497" s="142" t="s">
        <v>2398</v>
      </c>
      <c r="AW497" s="142" t="s">
        <v>2398</v>
      </c>
      <c r="AX497" s="142" t="s">
        <v>2398</v>
      </c>
      <c r="AY497" s="142" t="s">
        <v>1435</v>
      </c>
      <c r="AZ497" s="142" t="s">
        <v>2705</v>
      </c>
    </row>
    <row r="498" spans="1:52" s="142" customFormat="1" ht="12.75" x14ac:dyDescent="0.2">
      <c r="A498" s="151"/>
      <c r="B498" s="152" t="s">
        <v>2398</v>
      </c>
      <c r="C498" s="152" t="s">
        <v>2705</v>
      </c>
      <c r="D498" s="152" t="s">
        <v>2705</v>
      </c>
      <c r="E498" s="152" t="s">
        <v>2705</v>
      </c>
      <c r="F498" s="152" t="s">
        <v>2398</v>
      </c>
      <c r="G498" s="152" t="s">
        <v>2675</v>
      </c>
      <c r="H498" s="152" t="s">
        <v>2705</v>
      </c>
      <c r="I498" s="152" t="s">
        <v>2705</v>
      </c>
      <c r="J498" s="152" t="s">
        <v>2398</v>
      </c>
      <c r="K498" s="152" t="s">
        <v>2398</v>
      </c>
      <c r="L498" s="152" t="s">
        <v>2705</v>
      </c>
      <c r="M498" s="152" t="s">
        <v>2705</v>
      </c>
      <c r="N498" s="152" t="s">
        <v>2705</v>
      </c>
      <c r="O498" s="152" t="s">
        <v>2705</v>
      </c>
      <c r="P498" s="152" t="s">
        <v>2398</v>
      </c>
      <c r="Q498" s="152" t="s">
        <v>2705</v>
      </c>
      <c r="R498" s="152" t="s">
        <v>2705</v>
      </c>
      <c r="S498" s="152" t="s">
        <v>2705</v>
      </c>
      <c r="T498" s="152" t="s">
        <v>2398</v>
      </c>
      <c r="U498" s="152" t="s">
        <v>2705</v>
      </c>
      <c r="V498" s="142" t="str" cm="1">
        <f t="array" ref="V498">IF(A498&lt;&gt;"",SUM(--(B498:U499 = "X")*$U$3,--(B498:U499 ="A")*$Q$3,--(B498:U499 ="B")*$R$3,--(B498:U499 ="C")*$S$3),"")</f>
        <v/>
      </c>
      <c r="X498" s="437" t="s">
        <v>7806</v>
      </c>
      <c r="Y498" s="437">
        <v>20</v>
      </c>
      <c r="Z498" s="436">
        <f>_xlfn.XLOOKUP(answers[[#This Row],[StudentID]],$A$7:$A$1418,$V$7:$V$1418)</f>
        <v>20</v>
      </c>
      <c r="AG498" s="142" t="s">
        <v>2398</v>
      </c>
      <c r="AH498" s="142" t="s">
        <v>2705</v>
      </c>
      <c r="AI498" s="142" t="s">
        <v>2705</v>
      </c>
      <c r="AJ498" s="142" t="s">
        <v>2705</v>
      </c>
      <c r="AK498" s="142" t="s">
        <v>2398</v>
      </c>
      <c r="AL498" s="142" t="s">
        <v>2675</v>
      </c>
      <c r="AM498" s="142" t="s">
        <v>2705</v>
      </c>
      <c r="AN498" s="142" t="s">
        <v>2705</v>
      </c>
      <c r="AO498" s="142" t="s">
        <v>2398</v>
      </c>
      <c r="AP498" s="142" t="s">
        <v>2398</v>
      </c>
      <c r="AQ498" s="142" t="s">
        <v>2705</v>
      </c>
      <c r="AR498" s="142" t="s">
        <v>2705</v>
      </c>
      <c r="AS498" s="142" t="s">
        <v>2705</v>
      </c>
      <c r="AT498" s="142" t="s">
        <v>2705</v>
      </c>
      <c r="AU498" s="142" t="s">
        <v>2398</v>
      </c>
      <c r="AV498" s="142" t="s">
        <v>2705</v>
      </c>
      <c r="AW498" s="142" t="s">
        <v>2705</v>
      </c>
      <c r="AX498" s="142" t="s">
        <v>2705</v>
      </c>
      <c r="AY498" s="142" t="s">
        <v>2398</v>
      </c>
      <c r="AZ498" s="142" t="s">
        <v>2705</v>
      </c>
    </row>
    <row r="499" spans="1:52" s="142" customFormat="1" ht="12.75" x14ac:dyDescent="0.2">
      <c r="A499" s="151" t="s">
        <v>7566</v>
      </c>
      <c r="B499" s="152" t="s">
        <v>2398</v>
      </c>
      <c r="C499" s="152" t="s">
        <v>2705</v>
      </c>
      <c r="D499" s="152" t="s">
        <v>2398</v>
      </c>
      <c r="E499" s="152" t="s">
        <v>2705</v>
      </c>
      <c r="F499" s="152" t="s">
        <v>2705</v>
      </c>
      <c r="G499" s="152" t="s">
        <v>2705</v>
      </c>
      <c r="H499" s="152" t="s">
        <v>2705</v>
      </c>
      <c r="I499" s="152" t="s">
        <v>2705</v>
      </c>
      <c r="J499" s="152" t="s">
        <v>2705</v>
      </c>
      <c r="K499" s="152" t="s">
        <v>2398</v>
      </c>
      <c r="L499" s="152" t="s">
        <v>2675</v>
      </c>
      <c r="M499" s="152" t="s">
        <v>2705</v>
      </c>
      <c r="N499" s="152" t="s">
        <v>2705</v>
      </c>
      <c r="O499" s="152" t="s">
        <v>2398</v>
      </c>
      <c r="P499" s="152" t="s">
        <v>2398</v>
      </c>
      <c r="Q499" s="152" t="s">
        <v>2705</v>
      </c>
      <c r="R499" s="152" t="s">
        <v>2398</v>
      </c>
      <c r="S499" s="152" t="s">
        <v>2705</v>
      </c>
      <c r="T499" s="152" t="s">
        <v>2705</v>
      </c>
      <c r="U499" s="152" t="s">
        <v>2705</v>
      </c>
      <c r="V499" s="142" cm="1">
        <f t="array" ref="V499">IF(A499&lt;&gt;"",SUM(--(B499:U500 = "X")*$U$3,--(B499:U500 ="A")*$Q$3,--(B499:U500 ="B")*$R$3,--(B499:U500 ="C")*$S$3),"")</f>
        <v>17</v>
      </c>
      <c r="X499" s="437" t="s">
        <v>7807</v>
      </c>
      <c r="Y499" s="437">
        <v>22.5</v>
      </c>
      <c r="Z499" s="436">
        <f>_xlfn.XLOOKUP(answers[[#This Row],[StudentID]],$A$7:$A$1418,$V$7:$V$1418)</f>
        <v>22.5</v>
      </c>
      <c r="AF499" s="142" t="s">
        <v>7566</v>
      </c>
      <c r="AG499" s="142" t="s">
        <v>2398</v>
      </c>
      <c r="AH499" s="142" t="s">
        <v>2705</v>
      </c>
      <c r="AI499" s="142" t="s">
        <v>2398</v>
      </c>
      <c r="AJ499" s="142" t="s">
        <v>2705</v>
      </c>
      <c r="AK499" s="142" t="s">
        <v>2705</v>
      </c>
      <c r="AL499" s="142" t="s">
        <v>2705</v>
      </c>
      <c r="AM499" s="142" t="s">
        <v>2705</v>
      </c>
      <c r="AN499" s="142" t="s">
        <v>2705</v>
      </c>
      <c r="AO499" s="142" t="s">
        <v>2705</v>
      </c>
      <c r="AP499" s="142" t="s">
        <v>2398</v>
      </c>
      <c r="AQ499" s="142" t="s">
        <v>2675</v>
      </c>
      <c r="AR499" s="142" t="s">
        <v>2705</v>
      </c>
      <c r="AS499" s="142" t="s">
        <v>2705</v>
      </c>
      <c r="AT499" s="142" t="s">
        <v>2398</v>
      </c>
      <c r="AU499" s="142" t="s">
        <v>2398</v>
      </c>
      <c r="AV499" s="142" t="s">
        <v>2705</v>
      </c>
      <c r="AW499" s="142" t="s">
        <v>2398</v>
      </c>
      <c r="AX499" s="142" t="s">
        <v>2705</v>
      </c>
      <c r="AY499" s="142" t="s">
        <v>2705</v>
      </c>
      <c r="AZ499" s="142" t="s">
        <v>2705</v>
      </c>
    </row>
    <row r="500" spans="1:52" s="142" customFormat="1" ht="12.75" x14ac:dyDescent="0.2">
      <c r="A500" s="151"/>
      <c r="B500" s="152" t="s">
        <v>2398</v>
      </c>
      <c r="C500" s="152" t="s">
        <v>2675</v>
      </c>
      <c r="D500" s="152" t="s">
        <v>2398</v>
      </c>
      <c r="E500" s="152" t="s">
        <v>2675</v>
      </c>
      <c r="F500" s="152" t="s">
        <v>2398</v>
      </c>
      <c r="G500" s="152" t="s">
        <v>2705</v>
      </c>
      <c r="H500" s="152" t="s">
        <v>2398</v>
      </c>
      <c r="I500" s="152" t="s">
        <v>2398</v>
      </c>
      <c r="J500" s="152" t="s">
        <v>2398</v>
      </c>
      <c r="K500" s="152" t="s">
        <v>2705</v>
      </c>
      <c r="L500" s="152" t="s">
        <v>2705</v>
      </c>
      <c r="M500" s="152" t="s">
        <v>2705</v>
      </c>
      <c r="N500" s="152" t="s">
        <v>2705</v>
      </c>
      <c r="O500" s="152" t="s">
        <v>2398</v>
      </c>
      <c r="P500" s="152" t="s">
        <v>2398</v>
      </c>
      <c r="Q500" s="152" t="s">
        <v>1435</v>
      </c>
      <c r="R500" s="152" t="s">
        <v>2398</v>
      </c>
      <c r="S500" s="152" t="s">
        <v>2398</v>
      </c>
      <c r="T500" s="152" t="s">
        <v>2705</v>
      </c>
      <c r="U500" s="152" t="s">
        <v>2398</v>
      </c>
      <c r="V500" s="142" t="str" cm="1">
        <f t="array" ref="V500">IF(A500&lt;&gt;"",SUM(--(B500:U501 = "X")*$U$3,--(B500:U501 ="A")*$Q$3,--(B500:U501 ="B")*$R$3,--(B500:U501 ="C")*$S$3),"")</f>
        <v/>
      </c>
      <c r="X500" s="437" t="s">
        <v>7808</v>
      </c>
      <c r="Y500" s="437">
        <v>19</v>
      </c>
      <c r="Z500" s="436">
        <f>_xlfn.XLOOKUP(answers[[#This Row],[StudentID]],$A$7:$A$1418,$V$7:$V$1418)</f>
        <v>19</v>
      </c>
      <c r="AG500" s="142" t="s">
        <v>2398</v>
      </c>
      <c r="AH500" s="142" t="s">
        <v>2675</v>
      </c>
      <c r="AI500" s="142" t="s">
        <v>2398</v>
      </c>
      <c r="AJ500" s="142" t="s">
        <v>2675</v>
      </c>
      <c r="AK500" s="142" t="s">
        <v>2398</v>
      </c>
      <c r="AL500" s="142" t="s">
        <v>2705</v>
      </c>
      <c r="AM500" s="142" t="s">
        <v>2398</v>
      </c>
      <c r="AN500" s="142" t="s">
        <v>2398</v>
      </c>
      <c r="AO500" s="142" t="s">
        <v>2398</v>
      </c>
      <c r="AP500" s="142" t="s">
        <v>2705</v>
      </c>
      <c r="AQ500" s="142" t="s">
        <v>2705</v>
      </c>
      <c r="AR500" s="142" t="s">
        <v>2705</v>
      </c>
      <c r="AS500" s="142" t="s">
        <v>2705</v>
      </c>
      <c r="AT500" s="142" t="s">
        <v>2398</v>
      </c>
      <c r="AU500" s="142" t="s">
        <v>2398</v>
      </c>
      <c r="AV500" s="142" t="s">
        <v>1435</v>
      </c>
      <c r="AW500" s="142" t="s">
        <v>2398</v>
      </c>
      <c r="AX500" s="142" t="s">
        <v>2398</v>
      </c>
      <c r="AY500" s="142" t="s">
        <v>2705</v>
      </c>
      <c r="AZ500" s="142" t="s">
        <v>2398</v>
      </c>
    </row>
    <row r="501" spans="1:52" s="142" customFormat="1" ht="12.75" x14ac:dyDescent="0.2">
      <c r="A501" s="151" t="s">
        <v>7567</v>
      </c>
      <c r="B501" s="152" t="s">
        <v>2398</v>
      </c>
      <c r="C501" s="152" t="s">
        <v>2705</v>
      </c>
      <c r="D501" s="152" t="s">
        <v>2397</v>
      </c>
      <c r="E501" s="152" t="s">
        <v>2398</v>
      </c>
      <c r="F501" s="152" t="s">
        <v>2705</v>
      </c>
      <c r="G501" s="152" t="s">
        <v>2705</v>
      </c>
      <c r="H501" s="152" t="s">
        <v>2705</v>
      </c>
      <c r="I501" s="152" t="s">
        <v>2398</v>
      </c>
      <c r="J501" s="152" t="s">
        <v>2705</v>
      </c>
      <c r="K501" s="152" t="s">
        <v>2705</v>
      </c>
      <c r="L501" s="152" t="s">
        <v>2398</v>
      </c>
      <c r="M501" s="152" t="s">
        <v>2705</v>
      </c>
      <c r="N501" s="152" t="s">
        <v>2705</v>
      </c>
      <c r="O501" s="152" t="s">
        <v>2705</v>
      </c>
      <c r="P501" s="152" t="s">
        <v>2705</v>
      </c>
      <c r="Q501" s="152" t="s">
        <v>2705</v>
      </c>
      <c r="R501" s="152" t="s">
        <v>2705</v>
      </c>
      <c r="S501" s="152" t="s">
        <v>2705</v>
      </c>
      <c r="T501" s="152" t="s">
        <v>2705</v>
      </c>
      <c r="U501" s="152" t="s">
        <v>2705</v>
      </c>
      <c r="V501" s="142" cm="1">
        <f t="array" ref="V501">IF(A501&lt;&gt;"",SUM(--(B501:U502 = "X")*$U$3,--(B501:U502 ="A")*$Q$3,--(B501:U502 ="B")*$R$3,--(B501:U502 ="C")*$S$3),"")</f>
        <v>30.5</v>
      </c>
      <c r="X501" s="437" t="s">
        <v>7809</v>
      </c>
      <c r="Y501" s="437">
        <v>13.5</v>
      </c>
      <c r="Z501" s="436">
        <f>_xlfn.XLOOKUP(answers[[#This Row],[StudentID]],$A$7:$A$1418,$V$7:$V$1418)</f>
        <v>13.5</v>
      </c>
      <c r="AF501" s="142" t="s">
        <v>7567</v>
      </c>
      <c r="AG501" s="142" t="s">
        <v>2398</v>
      </c>
      <c r="AH501" s="142" t="s">
        <v>2705</v>
      </c>
      <c r="AI501" s="142" t="s">
        <v>2397</v>
      </c>
      <c r="AJ501" s="142" t="s">
        <v>2398</v>
      </c>
      <c r="AK501" s="142" t="s">
        <v>2705</v>
      </c>
      <c r="AL501" s="142" t="s">
        <v>2705</v>
      </c>
      <c r="AM501" s="142" t="s">
        <v>2705</v>
      </c>
      <c r="AN501" s="142" t="s">
        <v>2398</v>
      </c>
      <c r="AO501" s="142" t="s">
        <v>2705</v>
      </c>
      <c r="AP501" s="142" t="s">
        <v>2705</v>
      </c>
      <c r="AQ501" s="142" t="s">
        <v>2398</v>
      </c>
      <c r="AR501" s="142" t="s">
        <v>2705</v>
      </c>
      <c r="AS501" s="142" t="s">
        <v>2705</v>
      </c>
      <c r="AT501" s="142" t="s">
        <v>2705</v>
      </c>
      <c r="AU501" s="142" t="s">
        <v>2705</v>
      </c>
      <c r="AV501" s="142" t="s">
        <v>2705</v>
      </c>
      <c r="AW501" s="142" t="s">
        <v>2705</v>
      </c>
      <c r="AX501" s="142" t="s">
        <v>2705</v>
      </c>
      <c r="AY501" s="142" t="s">
        <v>2705</v>
      </c>
      <c r="AZ501" s="142" t="s">
        <v>2705</v>
      </c>
    </row>
    <row r="502" spans="1:52" s="142" customFormat="1" ht="12.75" x14ac:dyDescent="0.2">
      <c r="A502" s="151"/>
      <c r="B502" s="152" t="s">
        <v>2398</v>
      </c>
      <c r="C502" s="152" t="s">
        <v>2675</v>
      </c>
      <c r="D502" s="152" t="s">
        <v>2705</v>
      </c>
      <c r="E502" s="152" t="s">
        <v>2705</v>
      </c>
      <c r="F502" s="152" t="s">
        <v>2705</v>
      </c>
      <c r="G502" s="152" t="s">
        <v>2705</v>
      </c>
      <c r="H502" s="152" t="s">
        <v>2398</v>
      </c>
      <c r="I502" s="152" t="s">
        <v>2705</v>
      </c>
      <c r="J502" s="152" t="s">
        <v>2705</v>
      </c>
      <c r="K502" s="152" t="s">
        <v>2705</v>
      </c>
      <c r="L502" s="152" t="s">
        <v>2705</v>
      </c>
      <c r="M502" s="152" t="s">
        <v>2398</v>
      </c>
      <c r="N502" s="152" t="s">
        <v>2705</v>
      </c>
      <c r="O502" s="152" t="s">
        <v>2705</v>
      </c>
      <c r="P502" s="152" t="s">
        <v>2705</v>
      </c>
      <c r="Q502" s="152" t="s">
        <v>2705</v>
      </c>
      <c r="R502" s="152" t="s">
        <v>2705</v>
      </c>
      <c r="S502" s="152" t="s">
        <v>2705</v>
      </c>
      <c r="T502" s="152" t="s">
        <v>2705</v>
      </c>
      <c r="U502" s="152" t="s">
        <v>2705</v>
      </c>
      <c r="V502" s="142" t="str" cm="1">
        <f t="array" ref="V502">IF(A502&lt;&gt;"",SUM(--(B502:U503 = "X")*$U$3,--(B502:U503 ="A")*$Q$3,--(B502:U503 ="B")*$R$3,--(B502:U503 ="C")*$S$3),"")</f>
        <v/>
      </c>
      <c r="X502" s="437" t="s">
        <v>7810</v>
      </c>
      <c r="Y502" s="437">
        <v>11</v>
      </c>
      <c r="Z502" s="436">
        <f>_xlfn.XLOOKUP(answers[[#This Row],[StudentID]],$A$7:$A$1418,$V$7:$V$1418)</f>
        <v>11</v>
      </c>
      <c r="AG502" s="142" t="s">
        <v>2398</v>
      </c>
      <c r="AH502" s="142" t="s">
        <v>2675</v>
      </c>
      <c r="AI502" s="142" t="s">
        <v>2705</v>
      </c>
      <c r="AJ502" s="142" t="s">
        <v>2705</v>
      </c>
      <c r="AK502" s="142" t="s">
        <v>2705</v>
      </c>
      <c r="AL502" s="142" t="s">
        <v>2705</v>
      </c>
      <c r="AM502" s="142" t="s">
        <v>2398</v>
      </c>
      <c r="AN502" s="142" t="s">
        <v>2705</v>
      </c>
      <c r="AO502" s="142" t="s">
        <v>2705</v>
      </c>
      <c r="AP502" s="142" t="s">
        <v>2705</v>
      </c>
      <c r="AQ502" s="142" t="s">
        <v>2705</v>
      </c>
      <c r="AR502" s="142" t="s">
        <v>2398</v>
      </c>
      <c r="AS502" s="142" t="s">
        <v>2705</v>
      </c>
      <c r="AT502" s="142" t="s">
        <v>2705</v>
      </c>
      <c r="AU502" s="142" t="s">
        <v>2705</v>
      </c>
      <c r="AV502" s="142" t="s">
        <v>2705</v>
      </c>
      <c r="AW502" s="142" t="s">
        <v>2705</v>
      </c>
      <c r="AX502" s="142" t="s">
        <v>2705</v>
      </c>
      <c r="AY502" s="142" t="s">
        <v>2705</v>
      </c>
      <c r="AZ502" s="142" t="s">
        <v>2705</v>
      </c>
    </row>
    <row r="503" spans="1:52" s="142" customFormat="1" ht="12.75" x14ac:dyDescent="0.2">
      <c r="A503" s="151" t="s">
        <v>7568</v>
      </c>
      <c r="B503" s="152" t="s">
        <v>1435</v>
      </c>
      <c r="C503" s="152" t="s">
        <v>2705</v>
      </c>
      <c r="D503" s="152" t="s">
        <v>2675</v>
      </c>
      <c r="E503" s="152" t="s">
        <v>2705</v>
      </c>
      <c r="F503" s="152" t="s">
        <v>1435</v>
      </c>
      <c r="G503" s="152" t="s">
        <v>2705</v>
      </c>
      <c r="H503" s="152" t="s">
        <v>2705</v>
      </c>
      <c r="I503" s="152" t="s">
        <v>2398</v>
      </c>
      <c r="J503" s="152" t="s">
        <v>2398</v>
      </c>
      <c r="K503" s="152" t="s">
        <v>2398</v>
      </c>
      <c r="L503" s="152" t="s">
        <v>2705</v>
      </c>
      <c r="M503" s="152" t="s">
        <v>2705</v>
      </c>
      <c r="N503" s="152" t="s">
        <v>2705</v>
      </c>
      <c r="O503" s="152" t="s">
        <v>2705</v>
      </c>
      <c r="P503" s="152" t="s">
        <v>2705</v>
      </c>
      <c r="Q503" s="152" t="s">
        <v>2705</v>
      </c>
      <c r="R503" s="152" t="s">
        <v>2705</v>
      </c>
      <c r="S503" s="152" t="s">
        <v>2705</v>
      </c>
      <c r="T503" s="152" t="s">
        <v>2398</v>
      </c>
      <c r="U503" s="152" t="s">
        <v>2705</v>
      </c>
      <c r="V503" s="142" cm="1">
        <f t="array" ref="V503">IF(A503&lt;&gt;"",SUM(--(B503:U504 = "X")*$U$3,--(B503:U504 ="A")*$Q$3,--(B503:U504 ="B")*$R$3,--(B503:U504 ="C")*$S$3),"")</f>
        <v>18.5</v>
      </c>
      <c r="X503" s="437" t="s">
        <v>7811</v>
      </c>
      <c r="Y503" s="437">
        <v>19</v>
      </c>
      <c r="Z503" s="436">
        <f>_xlfn.XLOOKUP(answers[[#This Row],[StudentID]],$A$7:$A$1418,$V$7:$V$1418)</f>
        <v>19</v>
      </c>
      <c r="AF503" s="142" t="s">
        <v>7568</v>
      </c>
      <c r="AG503" s="142" t="s">
        <v>1435</v>
      </c>
      <c r="AH503" s="142" t="s">
        <v>2705</v>
      </c>
      <c r="AI503" s="142" t="s">
        <v>2675</v>
      </c>
      <c r="AJ503" s="142" t="s">
        <v>2705</v>
      </c>
      <c r="AK503" s="142" t="s">
        <v>1435</v>
      </c>
      <c r="AL503" s="142" t="s">
        <v>2705</v>
      </c>
      <c r="AM503" s="142" t="s">
        <v>2705</v>
      </c>
      <c r="AN503" s="142" t="s">
        <v>2398</v>
      </c>
      <c r="AO503" s="142" t="s">
        <v>2398</v>
      </c>
      <c r="AP503" s="142" t="s">
        <v>2398</v>
      </c>
      <c r="AQ503" s="142" t="s">
        <v>2705</v>
      </c>
      <c r="AR503" s="142" t="s">
        <v>2705</v>
      </c>
      <c r="AS503" s="142" t="s">
        <v>2705</v>
      </c>
      <c r="AT503" s="142" t="s">
        <v>2705</v>
      </c>
      <c r="AU503" s="142" t="s">
        <v>2705</v>
      </c>
      <c r="AV503" s="142" t="s">
        <v>2705</v>
      </c>
      <c r="AW503" s="142" t="s">
        <v>2705</v>
      </c>
      <c r="AX503" s="142" t="s">
        <v>2705</v>
      </c>
      <c r="AY503" s="142" t="s">
        <v>2398</v>
      </c>
      <c r="AZ503" s="142" t="s">
        <v>2705</v>
      </c>
    </row>
    <row r="504" spans="1:52" s="142" customFormat="1" ht="12.75" x14ac:dyDescent="0.2">
      <c r="A504" s="151"/>
      <c r="B504" s="152" t="s">
        <v>2397</v>
      </c>
      <c r="C504" s="152" t="s">
        <v>2675</v>
      </c>
      <c r="D504" s="152" t="s">
        <v>1435</v>
      </c>
      <c r="E504" s="152" t="s">
        <v>2675</v>
      </c>
      <c r="F504" s="152" t="s">
        <v>2398</v>
      </c>
      <c r="G504" s="152" t="s">
        <v>2705</v>
      </c>
      <c r="H504" s="152" t="s">
        <v>2705</v>
      </c>
      <c r="I504" s="152" t="s">
        <v>2705</v>
      </c>
      <c r="J504" s="152" t="s">
        <v>2675</v>
      </c>
      <c r="K504" s="152" t="s">
        <v>2705</v>
      </c>
      <c r="L504" s="152" t="s">
        <v>2398</v>
      </c>
      <c r="M504" s="152" t="s">
        <v>1435</v>
      </c>
      <c r="N504" s="152" t="s">
        <v>2705</v>
      </c>
      <c r="O504" s="152" t="s">
        <v>2397</v>
      </c>
      <c r="P504" s="152" t="s">
        <v>2705</v>
      </c>
      <c r="Q504" s="152" t="s">
        <v>2705</v>
      </c>
      <c r="R504" s="152" t="s">
        <v>1435</v>
      </c>
      <c r="S504" s="152" t="s">
        <v>2705</v>
      </c>
      <c r="T504" s="152" t="s">
        <v>2705</v>
      </c>
      <c r="U504" s="152" t="s">
        <v>2705</v>
      </c>
      <c r="V504" s="142" t="str" cm="1">
        <f t="array" ref="V504">IF(A504&lt;&gt;"",SUM(--(B504:U505 = "X")*$U$3,--(B504:U505 ="A")*$Q$3,--(B504:U505 ="B")*$R$3,--(B504:U505 ="C")*$S$3),"")</f>
        <v/>
      </c>
      <c r="X504" s="437" t="s">
        <v>7812</v>
      </c>
      <c r="Y504" s="437">
        <v>26</v>
      </c>
      <c r="Z504" s="436">
        <f>_xlfn.XLOOKUP(answers[[#This Row],[StudentID]],$A$7:$A$1418,$V$7:$V$1418)</f>
        <v>26</v>
      </c>
      <c r="AG504" s="142" t="s">
        <v>2397</v>
      </c>
      <c r="AH504" s="142" t="s">
        <v>2675</v>
      </c>
      <c r="AI504" s="142" t="s">
        <v>1435</v>
      </c>
      <c r="AJ504" s="142" t="s">
        <v>2675</v>
      </c>
      <c r="AK504" s="142" t="s">
        <v>2398</v>
      </c>
      <c r="AL504" s="142" t="s">
        <v>2705</v>
      </c>
      <c r="AM504" s="142" t="s">
        <v>2705</v>
      </c>
      <c r="AN504" s="142" t="s">
        <v>2705</v>
      </c>
      <c r="AO504" s="142" t="s">
        <v>2675</v>
      </c>
      <c r="AP504" s="142" t="s">
        <v>2705</v>
      </c>
      <c r="AQ504" s="142" t="s">
        <v>2398</v>
      </c>
      <c r="AR504" s="142" t="s">
        <v>1435</v>
      </c>
      <c r="AS504" s="142" t="s">
        <v>2705</v>
      </c>
      <c r="AT504" s="142" t="s">
        <v>2397</v>
      </c>
      <c r="AU504" s="142" t="s">
        <v>2705</v>
      </c>
      <c r="AV504" s="142" t="s">
        <v>2705</v>
      </c>
      <c r="AW504" s="142" t="s">
        <v>1435</v>
      </c>
      <c r="AX504" s="142" t="s">
        <v>2705</v>
      </c>
      <c r="AY504" s="142" t="s">
        <v>2705</v>
      </c>
      <c r="AZ504" s="142" t="s">
        <v>2705</v>
      </c>
    </row>
    <row r="505" spans="1:52" s="142" customFormat="1" ht="12.75" x14ac:dyDescent="0.2">
      <c r="A505" s="151" t="s">
        <v>7569</v>
      </c>
      <c r="B505" s="152" t="s">
        <v>2705</v>
      </c>
      <c r="C505" s="152" t="s">
        <v>2705</v>
      </c>
      <c r="D505" s="152" t="s">
        <v>2705</v>
      </c>
      <c r="E505" s="152" t="s">
        <v>2705</v>
      </c>
      <c r="F505" s="152" t="s">
        <v>2705</v>
      </c>
      <c r="G505" s="152" t="s">
        <v>2705</v>
      </c>
      <c r="H505" s="152" t="s">
        <v>2705</v>
      </c>
      <c r="I505" s="152" t="s">
        <v>2705</v>
      </c>
      <c r="J505" s="152" t="s">
        <v>2705</v>
      </c>
      <c r="K505" s="152" t="s">
        <v>1435</v>
      </c>
      <c r="L505" s="152" t="s">
        <v>2705</v>
      </c>
      <c r="M505" s="152" t="s">
        <v>2705</v>
      </c>
      <c r="N505" s="152" t="s">
        <v>2705</v>
      </c>
      <c r="O505" s="152" t="s">
        <v>2705</v>
      </c>
      <c r="P505" s="152" t="s">
        <v>2705</v>
      </c>
      <c r="Q505" s="152" t="s">
        <v>1435</v>
      </c>
      <c r="R505" s="152" t="s">
        <v>2398</v>
      </c>
      <c r="S505" s="152" t="s">
        <v>2398</v>
      </c>
      <c r="T505" s="152" t="s">
        <v>2705</v>
      </c>
      <c r="U505" s="152" t="s">
        <v>2705</v>
      </c>
      <c r="V505" s="142" cm="1">
        <f t="array" ref="V505">IF(A505&lt;&gt;"",SUM(--(B505:U506 = "X")*$U$3,--(B505:U506 ="A")*$Q$3,--(B505:U506 ="B")*$R$3,--(B505:U506 ="C")*$S$3),"")</f>
        <v>29.5</v>
      </c>
      <c r="X505" s="437" t="s">
        <v>7813</v>
      </c>
      <c r="Y505" s="437">
        <v>17</v>
      </c>
      <c r="Z505" s="436">
        <f>_xlfn.XLOOKUP(answers[[#This Row],[StudentID]],$A$7:$A$1418,$V$7:$V$1418)</f>
        <v>17</v>
      </c>
      <c r="AF505" s="142" t="s">
        <v>7569</v>
      </c>
      <c r="AG505" s="142" t="s">
        <v>2705</v>
      </c>
      <c r="AH505" s="142" t="s">
        <v>2705</v>
      </c>
      <c r="AI505" s="142" t="s">
        <v>2705</v>
      </c>
      <c r="AJ505" s="142" t="s">
        <v>2705</v>
      </c>
      <c r="AK505" s="142" t="s">
        <v>2705</v>
      </c>
      <c r="AL505" s="142" t="s">
        <v>2705</v>
      </c>
      <c r="AM505" s="142" t="s">
        <v>2705</v>
      </c>
      <c r="AN505" s="142" t="s">
        <v>2705</v>
      </c>
      <c r="AO505" s="142" t="s">
        <v>2705</v>
      </c>
      <c r="AP505" s="142" t="s">
        <v>1435</v>
      </c>
      <c r="AQ505" s="142" t="s">
        <v>2705</v>
      </c>
      <c r="AR505" s="142" t="s">
        <v>2705</v>
      </c>
      <c r="AS505" s="142" t="s">
        <v>2705</v>
      </c>
      <c r="AT505" s="142" t="s">
        <v>2705</v>
      </c>
      <c r="AU505" s="142" t="s">
        <v>2705</v>
      </c>
      <c r="AV505" s="142" t="s">
        <v>1435</v>
      </c>
      <c r="AW505" s="142" t="s">
        <v>2398</v>
      </c>
      <c r="AX505" s="142" t="s">
        <v>2398</v>
      </c>
      <c r="AY505" s="142" t="s">
        <v>2705</v>
      </c>
      <c r="AZ505" s="142" t="s">
        <v>2705</v>
      </c>
    </row>
    <row r="506" spans="1:52" s="142" customFormat="1" ht="12.75" x14ac:dyDescent="0.2">
      <c r="A506" s="151"/>
      <c r="B506" s="152" t="s">
        <v>2705</v>
      </c>
      <c r="C506" s="152" t="s">
        <v>2705</v>
      </c>
      <c r="D506" s="152" t="s">
        <v>2705</v>
      </c>
      <c r="E506" s="152" t="s">
        <v>2705</v>
      </c>
      <c r="F506" s="152" t="s">
        <v>2705</v>
      </c>
      <c r="G506" s="152" t="s">
        <v>2675</v>
      </c>
      <c r="H506" s="152" t="s">
        <v>2705</v>
      </c>
      <c r="I506" s="152" t="s">
        <v>2705</v>
      </c>
      <c r="J506" s="152" t="s">
        <v>2675</v>
      </c>
      <c r="K506" s="152" t="s">
        <v>2675</v>
      </c>
      <c r="L506" s="152" t="s">
        <v>2705</v>
      </c>
      <c r="M506" s="152" t="s">
        <v>2705</v>
      </c>
      <c r="N506" s="152" t="s">
        <v>2705</v>
      </c>
      <c r="O506" s="152" t="s">
        <v>2705</v>
      </c>
      <c r="P506" s="152" t="s">
        <v>2398</v>
      </c>
      <c r="Q506" s="152" t="s">
        <v>2705</v>
      </c>
      <c r="R506" s="152" t="s">
        <v>2705</v>
      </c>
      <c r="S506" s="152" t="s">
        <v>2705</v>
      </c>
      <c r="T506" s="152" t="s">
        <v>2705</v>
      </c>
      <c r="U506" s="152" t="s">
        <v>2705</v>
      </c>
      <c r="V506" s="142" t="str" cm="1">
        <f t="array" ref="V506">IF(A506&lt;&gt;"",SUM(--(B506:U507 = "X")*$U$3,--(B506:U507 ="A")*$Q$3,--(B506:U507 ="B")*$R$3,--(B506:U507 ="C")*$S$3),"")</f>
        <v/>
      </c>
      <c r="X506" s="437" t="s">
        <v>7814</v>
      </c>
      <c r="Y506" s="437">
        <v>10.5</v>
      </c>
      <c r="Z506" s="436">
        <f>_xlfn.XLOOKUP(answers[[#This Row],[StudentID]],$A$7:$A$1418,$V$7:$V$1418)</f>
        <v>10.5</v>
      </c>
      <c r="AG506" s="142" t="s">
        <v>2705</v>
      </c>
      <c r="AH506" s="142" t="s">
        <v>2705</v>
      </c>
      <c r="AI506" s="142" t="s">
        <v>2705</v>
      </c>
      <c r="AJ506" s="142" t="s">
        <v>2705</v>
      </c>
      <c r="AK506" s="142" t="s">
        <v>2705</v>
      </c>
      <c r="AL506" s="142" t="s">
        <v>2675</v>
      </c>
      <c r="AM506" s="142" t="s">
        <v>2705</v>
      </c>
      <c r="AN506" s="142" t="s">
        <v>2705</v>
      </c>
      <c r="AO506" s="142" t="s">
        <v>2675</v>
      </c>
      <c r="AP506" s="142" t="s">
        <v>2675</v>
      </c>
      <c r="AQ506" s="142" t="s">
        <v>2705</v>
      </c>
      <c r="AR506" s="142" t="s">
        <v>2705</v>
      </c>
      <c r="AS506" s="142" t="s">
        <v>2705</v>
      </c>
      <c r="AT506" s="142" t="s">
        <v>2705</v>
      </c>
      <c r="AU506" s="142" t="s">
        <v>2398</v>
      </c>
      <c r="AV506" s="142" t="s">
        <v>2705</v>
      </c>
      <c r="AW506" s="142" t="s">
        <v>2705</v>
      </c>
      <c r="AX506" s="142" t="s">
        <v>2705</v>
      </c>
      <c r="AY506" s="142" t="s">
        <v>2705</v>
      </c>
      <c r="AZ506" s="142" t="s">
        <v>2705</v>
      </c>
    </row>
    <row r="507" spans="1:52" s="142" customFormat="1" ht="12.75" x14ac:dyDescent="0.2">
      <c r="A507" s="151" t="s">
        <v>7570</v>
      </c>
      <c r="B507" s="152" t="s">
        <v>2705</v>
      </c>
      <c r="C507" s="152" t="s">
        <v>2398</v>
      </c>
      <c r="D507" s="152" t="s">
        <v>2705</v>
      </c>
      <c r="E507" s="152" t="s">
        <v>2705</v>
      </c>
      <c r="F507" s="152" t="s">
        <v>2398</v>
      </c>
      <c r="G507" s="152" t="s">
        <v>2398</v>
      </c>
      <c r="H507" s="152" t="s">
        <v>2705</v>
      </c>
      <c r="I507" s="152" t="s">
        <v>2705</v>
      </c>
      <c r="J507" s="152" t="s">
        <v>2675</v>
      </c>
      <c r="K507" s="152" t="s">
        <v>2398</v>
      </c>
      <c r="L507" s="152" t="s">
        <v>2397</v>
      </c>
      <c r="M507" s="152" t="s">
        <v>2398</v>
      </c>
      <c r="N507" s="152" t="s">
        <v>2705</v>
      </c>
      <c r="O507" s="152" t="s">
        <v>2398</v>
      </c>
      <c r="P507" s="152" t="s">
        <v>2675</v>
      </c>
      <c r="Q507" s="152" t="s">
        <v>1435</v>
      </c>
      <c r="R507" s="152" t="s">
        <v>2398</v>
      </c>
      <c r="S507" s="152" t="s">
        <v>2705</v>
      </c>
      <c r="T507" s="152" t="s">
        <v>2398</v>
      </c>
      <c r="U507" s="152" t="s">
        <v>2398</v>
      </c>
      <c r="V507" s="142" cm="1">
        <f t="array" ref="V507">IF(A507&lt;&gt;"",SUM(--(B507:U508 = "X")*$U$3,--(B507:U508 ="A")*$Q$3,--(B507:U508 ="B")*$R$3,--(B507:U508 ="C")*$S$3),"")</f>
        <v>11.5</v>
      </c>
      <c r="X507" s="437" t="s">
        <v>7815</v>
      </c>
      <c r="Y507" s="437">
        <v>26</v>
      </c>
      <c r="Z507" s="436">
        <f>_xlfn.XLOOKUP(answers[[#This Row],[StudentID]],$A$7:$A$1418,$V$7:$V$1418)</f>
        <v>26</v>
      </c>
      <c r="AF507" s="142" t="s">
        <v>7570</v>
      </c>
      <c r="AG507" s="142" t="s">
        <v>2705</v>
      </c>
      <c r="AH507" s="142" t="s">
        <v>2398</v>
      </c>
      <c r="AI507" s="142" t="s">
        <v>2705</v>
      </c>
      <c r="AJ507" s="142" t="s">
        <v>2705</v>
      </c>
      <c r="AK507" s="142" t="s">
        <v>2398</v>
      </c>
      <c r="AL507" s="142" t="s">
        <v>2398</v>
      </c>
      <c r="AM507" s="142" t="s">
        <v>2705</v>
      </c>
      <c r="AN507" s="142" t="s">
        <v>2705</v>
      </c>
      <c r="AO507" s="142" t="s">
        <v>2675</v>
      </c>
      <c r="AP507" s="142" t="s">
        <v>2398</v>
      </c>
      <c r="AQ507" s="142" t="s">
        <v>2397</v>
      </c>
      <c r="AR507" s="142" t="s">
        <v>2398</v>
      </c>
      <c r="AS507" s="142" t="s">
        <v>2705</v>
      </c>
      <c r="AT507" s="142" t="s">
        <v>2398</v>
      </c>
      <c r="AU507" s="142" t="s">
        <v>2675</v>
      </c>
      <c r="AV507" s="142" t="s">
        <v>1435</v>
      </c>
      <c r="AW507" s="142" t="s">
        <v>2398</v>
      </c>
      <c r="AX507" s="142" t="s">
        <v>2705</v>
      </c>
      <c r="AY507" s="142" t="s">
        <v>2398</v>
      </c>
      <c r="AZ507" s="142" t="s">
        <v>2398</v>
      </c>
    </row>
    <row r="508" spans="1:52" s="142" customFormat="1" ht="12.75" x14ac:dyDescent="0.2">
      <c r="A508" s="151"/>
      <c r="B508" s="152" t="s">
        <v>2705</v>
      </c>
      <c r="C508" s="152" t="s">
        <v>2675</v>
      </c>
      <c r="D508" s="152" t="s">
        <v>2705</v>
      </c>
      <c r="E508" s="152" t="s">
        <v>2398</v>
      </c>
      <c r="F508" s="152" t="s">
        <v>2705</v>
      </c>
      <c r="G508" s="152" t="s">
        <v>1435</v>
      </c>
      <c r="H508" s="152" t="s">
        <v>2705</v>
      </c>
      <c r="I508" s="152" t="s">
        <v>2398</v>
      </c>
      <c r="J508" s="152" t="s">
        <v>2705</v>
      </c>
      <c r="K508" s="152" t="s">
        <v>2705</v>
      </c>
      <c r="L508" s="152" t="s">
        <v>2398</v>
      </c>
      <c r="M508" s="152" t="s">
        <v>1435</v>
      </c>
      <c r="N508" s="152" t="s">
        <v>2398</v>
      </c>
      <c r="O508" s="152" t="s">
        <v>2705</v>
      </c>
      <c r="P508" s="152" t="s">
        <v>2675</v>
      </c>
      <c r="Q508" s="152" t="s">
        <v>2705</v>
      </c>
      <c r="R508" s="152" t="s">
        <v>1435</v>
      </c>
      <c r="S508" s="152" t="s">
        <v>2675</v>
      </c>
      <c r="T508" s="152" t="s">
        <v>2705</v>
      </c>
      <c r="U508" s="152" t="s">
        <v>2397</v>
      </c>
      <c r="V508" s="142" t="str" cm="1">
        <f t="array" ref="V508">IF(A508&lt;&gt;"",SUM(--(B508:U509 = "X")*$U$3,--(B508:U509 ="A")*$Q$3,--(B508:U509 ="B")*$R$3,--(B508:U509 ="C")*$S$3),"")</f>
        <v/>
      </c>
      <c r="X508" s="437" t="s">
        <v>7816</v>
      </c>
      <c r="Y508" s="437">
        <v>14</v>
      </c>
      <c r="Z508" s="436">
        <f>_xlfn.XLOOKUP(answers[[#This Row],[StudentID]],$A$7:$A$1418,$V$7:$V$1418)</f>
        <v>14</v>
      </c>
      <c r="AG508" s="142" t="s">
        <v>2705</v>
      </c>
      <c r="AH508" s="142" t="s">
        <v>2675</v>
      </c>
      <c r="AI508" s="142" t="s">
        <v>2705</v>
      </c>
      <c r="AJ508" s="142" t="s">
        <v>2398</v>
      </c>
      <c r="AK508" s="142" t="s">
        <v>2705</v>
      </c>
      <c r="AL508" s="142" t="s">
        <v>1435</v>
      </c>
      <c r="AM508" s="142" t="s">
        <v>2705</v>
      </c>
      <c r="AN508" s="142" t="s">
        <v>2398</v>
      </c>
      <c r="AO508" s="142" t="s">
        <v>2705</v>
      </c>
      <c r="AP508" s="142" t="s">
        <v>2705</v>
      </c>
      <c r="AQ508" s="142" t="s">
        <v>2398</v>
      </c>
      <c r="AR508" s="142" t="s">
        <v>1435</v>
      </c>
      <c r="AS508" s="142" t="s">
        <v>2398</v>
      </c>
      <c r="AT508" s="142" t="s">
        <v>2705</v>
      </c>
      <c r="AU508" s="142" t="s">
        <v>2675</v>
      </c>
      <c r="AV508" s="142" t="s">
        <v>2705</v>
      </c>
      <c r="AW508" s="142" t="s">
        <v>1435</v>
      </c>
      <c r="AX508" s="142" t="s">
        <v>2675</v>
      </c>
      <c r="AY508" s="142" t="s">
        <v>2705</v>
      </c>
      <c r="AZ508" s="142" t="s">
        <v>2397</v>
      </c>
    </row>
    <row r="509" spans="1:52" s="142" customFormat="1" ht="12.75" x14ac:dyDescent="0.2">
      <c r="A509" s="151" t="s">
        <v>7571</v>
      </c>
      <c r="B509" s="152" t="s">
        <v>2398</v>
      </c>
      <c r="C509" s="152" t="s">
        <v>2705</v>
      </c>
      <c r="D509" s="152" t="s">
        <v>2705</v>
      </c>
      <c r="E509" s="152" t="s">
        <v>2398</v>
      </c>
      <c r="F509" s="152" t="s">
        <v>2705</v>
      </c>
      <c r="G509" s="152" t="s">
        <v>2705</v>
      </c>
      <c r="H509" s="152" t="s">
        <v>2705</v>
      </c>
      <c r="I509" s="152" t="s">
        <v>2705</v>
      </c>
      <c r="J509" s="152" t="s">
        <v>2675</v>
      </c>
      <c r="K509" s="152" t="s">
        <v>2398</v>
      </c>
      <c r="L509" s="152" t="s">
        <v>2705</v>
      </c>
      <c r="M509" s="152" t="s">
        <v>2705</v>
      </c>
      <c r="N509" s="152" t="s">
        <v>2675</v>
      </c>
      <c r="O509" s="152" t="s">
        <v>2398</v>
      </c>
      <c r="P509" s="152" t="s">
        <v>2397</v>
      </c>
      <c r="Q509" s="152" t="s">
        <v>2398</v>
      </c>
      <c r="R509" s="152" t="s">
        <v>2398</v>
      </c>
      <c r="S509" s="152" t="s">
        <v>2398</v>
      </c>
      <c r="T509" s="152" t="s">
        <v>2705</v>
      </c>
      <c r="U509" s="152" t="s">
        <v>2398</v>
      </c>
      <c r="V509" s="142" cm="1">
        <f t="array" ref="V509">IF(A509&lt;&gt;"",SUM(--(B509:U510 = "X")*$U$3,--(B509:U510 ="A")*$Q$3,--(B509:U510 ="B")*$R$3,--(B509:U510 ="C")*$S$3),"")</f>
        <v>19</v>
      </c>
      <c r="X509" s="437" t="s">
        <v>7817</v>
      </c>
      <c r="Y509" s="437">
        <v>15.5</v>
      </c>
      <c r="Z509" s="436">
        <f>_xlfn.XLOOKUP(answers[[#This Row],[StudentID]],$A$7:$A$1418,$V$7:$V$1418)</f>
        <v>15.5</v>
      </c>
      <c r="AF509" s="142" t="s">
        <v>7571</v>
      </c>
      <c r="AG509" s="142" t="s">
        <v>2398</v>
      </c>
      <c r="AH509" s="142" t="s">
        <v>2705</v>
      </c>
      <c r="AI509" s="142" t="s">
        <v>2705</v>
      </c>
      <c r="AJ509" s="142" t="s">
        <v>2398</v>
      </c>
      <c r="AK509" s="142" t="s">
        <v>2705</v>
      </c>
      <c r="AL509" s="142" t="s">
        <v>2705</v>
      </c>
      <c r="AM509" s="142" t="s">
        <v>2705</v>
      </c>
      <c r="AN509" s="142" t="s">
        <v>2705</v>
      </c>
      <c r="AO509" s="142" t="s">
        <v>2675</v>
      </c>
      <c r="AP509" s="142" t="s">
        <v>2398</v>
      </c>
      <c r="AQ509" s="142" t="s">
        <v>2705</v>
      </c>
      <c r="AR509" s="142" t="s">
        <v>2705</v>
      </c>
      <c r="AS509" s="142" t="s">
        <v>2675</v>
      </c>
      <c r="AT509" s="142" t="s">
        <v>2398</v>
      </c>
      <c r="AU509" s="142" t="s">
        <v>2397</v>
      </c>
      <c r="AV509" s="142" t="s">
        <v>2398</v>
      </c>
      <c r="AW509" s="142" t="s">
        <v>2398</v>
      </c>
      <c r="AX509" s="142" t="s">
        <v>2398</v>
      </c>
      <c r="AY509" s="142" t="s">
        <v>2705</v>
      </c>
      <c r="AZ509" s="142" t="s">
        <v>2398</v>
      </c>
    </row>
    <row r="510" spans="1:52" s="142" customFormat="1" ht="12.75" x14ac:dyDescent="0.2">
      <c r="A510" s="151"/>
      <c r="B510" s="152" t="s">
        <v>2398</v>
      </c>
      <c r="C510" s="152" t="s">
        <v>2705</v>
      </c>
      <c r="D510" s="152" t="s">
        <v>2705</v>
      </c>
      <c r="E510" s="152" t="s">
        <v>2705</v>
      </c>
      <c r="F510" s="152" t="s">
        <v>2398</v>
      </c>
      <c r="G510" s="152" t="s">
        <v>2705</v>
      </c>
      <c r="H510" s="152" t="s">
        <v>2398</v>
      </c>
      <c r="I510" s="152" t="s">
        <v>2705</v>
      </c>
      <c r="J510" s="152" t="s">
        <v>2675</v>
      </c>
      <c r="K510" s="152" t="s">
        <v>2398</v>
      </c>
      <c r="L510" s="152" t="s">
        <v>2705</v>
      </c>
      <c r="M510" s="152" t="s">
        <v>2705</v>
      </c>
      <c r="N510" s="152" t="s">
        <v>2705</v>
      </c>
      <c r="O510" s="152" t="s">
        <v>2705</v>
      </c>
      <c r="P510" s="152" t="s">
        <v>2398</v>
      </c>
      <c r="Q510" s="152" t="s">
        <v>1435</v>
      </c>
      <c r="R510" s="152" t="s">
        <v>2705</v>
      </c>
      <c r="S510" s="152" t="s">
        <v>2705</v>
      </c>
      <c r="T510" s="152" t="s">
        <v>2398</v>
      </c>
      <c r="U510" s="152" t="s">
        <v>2705</v>
      </c>
      <c r="V510" s="142" t="str" cm="1">
        <f t="array" ref="V510">IF(A510&lt;&gt;"",SUM(--(B510:U511 = "X")*$U$3,--(B510:U511 ="A")*$Q$3,--(B510:U511 ="B")*$R$3,--(B510:U511 ="C")*$S$3),"")</f>
        <v/>
      </c>
      <c r="X510" s="437" t="s">
        <v>7818</v>
      </c>
      <c r="Y510" s="437">
        <v>18.5</v>
      </c>
      <c r="Z510" s="436">
        <f>_xlfn.XLOOKUP(answers[[#This Row],[StudentID]],$A$7:$A$1418,$V$7:$V$1418)</f>
        <v>18.5</v>
      </c>
      <c r="AG510" s="142" t="s">
        <v>2398</v>
      </c>
      <c r="AH510" s="142" t="s">
        <v>2705</v>
      </c>
      <c r="AI510" s="142" t="s">
        <v>2705</v>
      </c>
      <c r="AJ510" s="142" t="s">
        <v>2705</v>
      </c>
      <c r="AK510" s="142" t="s">
        <v>2398</v>
      </c>
      <c r="AL510" s="142" t="s">
        <v>2705</v>
      </c>
      <c r="AM510" s="142" t="s">
        <v>2398</v>
      </c>
      <c r="AN510" s="142" t="s">
        <v>2705</v>
      </c>
      <c r="AO510" s="142" t="s">
        <v>2675</v>
      </c>
      <c r="AP510" s="142" t="s">
        <v>2398</v>
      </c>
      <c r="AQ510" s="142" t="s">
        <v>2705</v>
      </c>
      <c r="AR510" s="142" t="s">
        <v>2705</v>
      </c>
      <c r="AS510" s="142" t="s">
        <v>2705</v>
      </c>
      <c r="AT510" s="142" t="s">
        <v>2705</v>
      </c>
      <c r="AU510" s="142" t="s">
        <v>2398</v>
      </c>
      <c r="AV510" s="142" t="s">
        <v>1435</v>
      </c>
      <c r="AW510" s="142" t="s">
        <v>2705</v>
      </c>
      <c r="AX510" s="142" t="s">
        <v>2705</v>
      </c>
      <c r="AY510" s="142" t="s">
        <v>2398</v>
      </c>
      <c r="AZ510" s="142" t="s">
        <v>2705</v>
      </c>
    </row>
    <row r="511" spans="1:52" s="142" customFormat="1" ht="12.75" x14ac:dyDescent="0.2">
      <c r="A511" s="151" t="s">
        <v>7572</v>
      </c>
      <c r="B511" s="152" t="s">
        <v>2705</v>
      </c>
      <c r="C511" s="152" t="s">
        <v>2705</v>
      </c>
      <c r="D511" s="152" t="s">
        <v>2705</v>
      </c>
      <c r="E511" s="152" t="s">
        <v>2398</v>
      </c>
      <c r="F511" s="152" t="s">
        <v>2398</v>
      </c>
      <c r="G511" s="152" t="s">
        <v>2705</v>
      </c>
      <c r="H511" s="152" t="s">
        <v>2705</v>
      </c>
      <c r="I511" s="152" t="s">
        <v>2398</v>
      </c>
      <c r="J511" s="152" t="s">
        <v>1435</v>
      </c>
      <c r="K511" s="152" t="s">
        <v>2705</v>
      </c>
      <c r="L511" s="152" t="s">
        <v>2398</v>
      </c>
      <c r="M511" s="152" t="s">
        <v>2705</v>
      </c>
      <c r="N511" s="152" t="s">
        <v>2705</v>
      </c>
      <c r="O511" s="152" t="s">
        <v>2398</v>
      </c>
      <c r="P511" s="152" t="s">
        <v>2398</v>
      </c>
      <c r="Q511" s="152" t="s">
        <v>2705</v>
      </c>
      <c r="R511" s="152" t="s">
        <v>2398</v>
      </c>
      <c r="S511" s="152" t="s">
        <v>2398</v>
      </c>
      <c r="T511" s="152" t="s">
        <v>2398</v>
      </c>
      <c r="U511" s="152" t="s">
        <v>2398</v>
      </c>
      <c r="V511" s="142" cm="1">
        <f t="array" ref="V511">IF(A511&lt;&gt;"",SUM(--(B511:U512 = "X")*$U$3,--(B511:U512 ="A")*$Q$3,--(B511:U512 ="B")*$R$3,--(B511:U512 ="C")*$S$3),"")</f>
        <v>22</v>
      </c>
      <c r="X511" s="437" t="s">
        <v>7819</v>
      </c>
      <c r="Y511" s="437">
        <v>21.5</v>
      </c>
      <c r="Z511" s="436">
        <f>_xlfn.XLOOKUP(answers[[#This Row],[StudentID]],$A$7:$A$1418,$V$7:$V$1418)</f>
        <v>21.5</v>
      </c>
      <c r="AF511" s="142" t="s">
        <v>7572</v>
      </c>
      <c r="AG511" s="142" t="s">
        <v>2705</v>
      </c>
      <c r="AH511" s="142" t="s">
        <v>2705</v>
      </c>
      <c r="AI511" s="142" t="s">
        <v>2705</v>
      </c>
      <c r="AJ511" s="142" t="s">
        <v>2398</v>
      </c>
      <c r="AK511" s="142" t="s">
        <v>2398</v>
      </c>
      <c r="AL511" s="142" t="s">
        <v>2705</v>
      </c>
      <c r="AM511" s="142" t="s">
        <v>2705</v>
      </c>
      <c r="AN511" s="142" t="s">
        <v>2398</v>
      </c>
      <c r="AO511" s="142" t="s">
        <v>1435</v>
      </c>
      <c r="AP511" s="142" t="s">
        <v>2705</v>
      </c>
      <c r="AQ511" s="142" t="s">
        <v>2398</v>
      </c>
      <c r="AR511" s="142" t="s">
        <v>2705</v>
      </c>
      <c r="AS511" s="142" t="s">
        <v>2705</v>
      </c>
      <c r="AT511" s="142" t="s">
        <v>2398</v>
      </c>
      <c r="AU511" s="142" t="s">
        <v>2398</v>
      </c>
      <c r="AV511" s="142" t="s">
        <v>2705</v>
      </c>
      <c r="AW511" s="142" t="s">
        <v>2398</v>
      </c>
      <c r="AX511" s="142" t="s">
        <v>2398</v>
      </c>
      <c r="AY511" s="142" t="s">
        <v>2398</v>
      </c>
      <c r="AZ511" s="142" t="s">
        <v>2398</v>
      </c>
    </row>
    <row r="512" spans="1:52" s="142" customFormat="1" ht="12.75" x14ac:dyDescent="0.2">
      <c r="A512" s="151"/>
      <c r="B512" s="152" t="s">
        <v>2705</v>
      </c>
      <c r="C512" s="152" t="s">
        <v>2705</v>
      </c>
      <c r="D512" s="152" t="s">
        <v>2705</v>
      </c>
      <c r="E512" s="152" t="s">
        <v>2397</v>
      </c>
      <c r="F512" s="152" t="s">
        <v>2705</v>
      </c>
      <c r="G512" s="152" t="s">
        <v>2398</v>
      </c>
      <c r="H512" s="152" t="s">
        <v>2705</v>
      </c>
      <c r="I512" s="152" t="s">
        <v>2705</v>
      </c>
      <c r="J512" s="152" t="s">
        <v>2705</v>
      </c>
      <c r="K512" s="152" t="s">
        <v>2705</v>
      </c>
      <c r="L512" s="152" t="s">
        <v>2398</v>
      </c>
      <c r="M512" s="152" t="s">
        <v>1435</v>
      </c>
      <c r="N512" s="152" t="s">
        <v>2705</v>
      </c>
      <c r="O512" s="152" t="s">
        <v>2705</v>
      </c>
      <c r="P512" s="152" t="s">
        <v>2398</v>
      </c>
      <c r="Q512" s="152" t="s">
        <v>2705</v>
      </c>
      <c r="R512" s="152" t="s">
        <v>2398</v>
      </c>
      <c r="S512" s="152" t="s">
        <v>2705</v>
      </c>
      <c r="T512" s="152" t="s">
        <v>2705</v>
      </c>
      <c r="U512" s="152" t="s">
        <v>2705</v>
      </c>
      <c r="V512" s="142" t="str" cm="1">
        <f t="array" ref="V512">IF(A512&lt;&gt;"",SUM(--(B512:U513 = "X")*$U$3,--(B512:U513 ="A")*$Q$3,--(B512:U513 ="B")*$R$3,--(B512:U513 ="C")*$S$3),"")</f>
        <v/>
      </c>
      <c r="X512" s="437" t="s">
        <v>7820</v>
      </c>
      <c r="Y512" s="437">
        <v>15.5</v>
      </c>
      <c r="Z512" s="436">
        <f>_xlfn.XLOOKUP(answers[[#This Row],[StudentID]],$A$7:$A$1418,$V$7:$V$1418)</f>
        <v>15.5</v>
      </c>
      <c r="AG512" s="142" t="s">
        <v>2705</v>
      </c>
      <c r="AH512" s="142" t="s">
        <v>2705</v>
      </c>
      <c r="AI512" s="142" t="s">
        <v>2705</v>
      </c>
      <c r="AJ512" s="142" t="s">
        <v>2397</v>
      </c>
      <c r="AK512" s="142" t="s">
        <v>2705</v>
      </c>
      <c r="AL512" s="142" t="s">
        <v>2398</v>
      </c>
      <c r="AM512" s="142" t="s">
        <v>2705</v>
      </c>
      <c r="AN512" s="142" t="s">
        <v>2705</v>
      </c>
      <c r="AO512" s="142" t="s">
        <v>2705</v>
      </c>
      <c r="AP512" s="142" t="s">
        <v>2705</v>
      </c>
      <c r="AQ512" s="142" t="s">
        <v>2398</v>
      </c>
      <c r="AR512" s="142" t="s">
        <v>1435</v>
      </c>
      <c r="AS512" s="142" t="s">
        <v>2705</v>
      </c>
      <c r="AT512" s="142" t="s">
        <v>2705</v>
      </c>
      <c r="AU512" s="142" t="s">
        <v>2398</v>
      </c>
      <c r="AV512" s="142" t="s">
        <v>2705</v>
      </c>
      <c r="AW512" s="142" t="s">
        <v>2398</v>
      </c>
      <c r="AX512" s="142" t="s">
        <v>2705</v>
      </c>
      <c r="AY512" s="142" t="s">
        <v>2705</v>
      </c>
      <c r="AZ512" s="142" t="s">
        <v>2705</v>
      </c>
    </row>
    <row r="513" spans="1:52" s="142" customFormat="1" ht="12.75" x14ac:dyDescent="0.2">
      <c r="A513" s="151" t="s">
        <v>7573</v>
      </c>
      <c r="B513" s="152" t="s">
        <v>1435</v>
      </c>
      <c r="C513" s="152" t="s">
        <v>2675</v>
      </c>
      <c r="D513" s="152" t="s">
        <v>2705</v>
      </c>
      <c r="E513" s="152" t="s">
        <v>2705</v>
      </c>
      <c r="F513" s="152" t="s">
        <v>2398</v>
      </c>
      <c r="G513" s="152" t="s">
        <v>2705</v>
      </c>
      <c r="H513" s="152" t="s">
        <v>1435</v>
      </c>
      <c r="I513" s="152" t="s">
        <v>2398</v>
      </c>
      <c r="J513" s="152" t="s">
        <v>2705</v>
      </c>
      <c r="K513" s="152" t="s">
        <v>2705</v>
      </c>
      <c r="L513" s="152" t="s">
        <v>2675</v>
      </c>
      <c r="M513" s="152" t="s">
        <v>2705</v>
      </c>
      <c r="N513" s="152" t="s">
        <v>2705</v>
      </c>
      <c r="O513" s="152" t="s">
        <v>2398</v>
      </c>
      <c r="P513" s="152" t="s">
        <v>2705</v>
      </c>
      <c r="Q513" s="152" t="s">
        <v>2675</v>
      </c>
      <c r="R513" s="152" t="s">
        <v>2705</v>
      </c>
      <c r="S513" s="152" t="s">
        <v>2398</v>
      </c>
      <c r="T513" s="152" t="s">
        <v>2705</v>
      </c>
      <c r="U513" s="152" t="s">
        <v>2705</v>
      </c>
      <c r="V513" s="142" cm="1">
        <f t="array" ref="V513">IF(A513&lt;&gt;"",SUM(--(B513:U514 = "X")*$U$3,--(B513:U514 ="A")*$Q$3,--(B513:U514 ="B")*$R$3,--(B513:U514 ="C")*$S$3),"")</f>
        <v>20</v>
      </c>
      <c r="X513" s="437" t="s">
        <v>7821</v>
      </c>
      <c r="Y513" s="437">
        <v>22</v>
      </c>
      <c r="Z513" s="436">
        <f>_xlfn.XLOOKUP(answers[[#This Row],[StudentID]],$A$7:$A$1418,$V$7:$V$1418)</f>
        <v>22</v>
      </c>
      <c r="AF513" s="142" t="s">
        <v>7573</v>
      </c>
      <c r="AG513" s="142" t="s">
        <v>1435</v>
      </c>
      <c r="AH513" s="142" t="s">
        <v>2675</v>
      </c>
      <c r="AI513" s="142" t="s">
        <v>2705</v>
      </c>
      <c r="AJ513" s="142" t="s">
        <v>2705</v>
      </c>
      <c r="AK513" s="142" t="s">
        <v>2398</v>
      </c>
      <c r="AL513" s="142" t="s">
        <v>2705</v>
      </c>
      <c r="AM513" s="142" t="s">
        <v>1435</v>
      </c>
      <c r="AN513" s="142" t="s">
        <v>2398</v>
      </c>
      <c r="AO513" s="142" t="s">
        <v>2705</v>
      </c>
      <c r="AP513" s="142" t="s">
        <v>2705</v>
      </c>
      <c r="AQ513" s="142" t="s">
        <v>2675</v>
      </c>
      <c r="AR513" s="142" t="s">
        <v>2705</v>
      </c>
      <c r="AS513" s="142" t="s">
        <v>2705</v>
      </c>
      <c r="AT513" s="142" t="s">
        <v>2398</v>
      </c>
      <c r="AU513" s="142" t="s">
        <v>2705</v>
      </c>
      <c r="AV513" s="142" t="s">
        <v>2675</v>
      </c>
      <c r="AW513" s="142" t="s">
        <v>2705</v>
      </c>
      <c r="AX513" s="142" t="s">
        <v>2398</v>
      </c>
      <c r="AY513" s="142" t="s">
        <v>2705</v>
      </c>
      <c r="AZ513" s="142" t="s">
        <v>2705</v>
      </c>
    </row>
    <row r="514" spans="1:52" s="142" customFormat="1" ht="12.75" x14ac:dyDescent="0.2">
      <c r="A514" s="151"/>
      <c r="B514" s="152" t="s">
        <v>2398</v>
      </c>
      <c r="C514" s="152" t="s">
        <v>2705</v>
      </c>
      <c r="D514" s="152" t="s">
        <v>2705</v>
      </c>
      <c r="E514" s="152" t="s">
        <v>2705</v>
      </c>
      <c r="F514" s="152" t="s">
        <v>2705</v>
      </c>
      <c r="G514" s="152" t="s">
        <v>1435</v>
      </c>
      <c r="H514" s="152" t="s">
        <v>2705</v>
      </c>
      <c r="I514" s="152" t="s">
        <v>2705</v>
      </c>
      <c r="J514" s="152" t="s">
        <v>2705</v>
      </c>
      <c r="K514" s="152" t="s">
        <v>2705</v>
      </c>
      <c r="L514" s="152" t="s">
        <v>2398</v>
      </c>
      <c r="M514" s="152" t="s">
        <v>2705</v>
      </c>
      <c r="N514" s="152" t="s">
        <v>2398</v>
      </c>
      <c r="O514" s="152" t="s">
        <v>2398</v>
      </c>
      <c r="P514" s="152" t="s">
        <v>2398</v>
      </c>
      <c r="Q514" s="152" t="s">
        <v>2705</v>
      </c>
      <c r="R514" s="152" t="s">
        <v>2398</v>
      </c>
      <c r="S514" s="152" t="s">
        <v>2398</v>
      </c>
      <c r="T514" s="152" t="s">
        <v>2705</v>
      </c>
      <c r="U514" s="152" t="s">
        <v>2705</v>
      </c>
      <c r="V514" s="142" t="str" cm="1">
        <f t="array" ref="V514">IF(A514&lt;&gt;"",SUM(--(B514:U515 = "X")*$U$3,--(B514:U515 ="A")*$Q$3,--(B514:U515 ="B")*$R$3,--(B514:U515 ="C")*$S$3),"")</f>
        <v/>
      </c>
      <c r="X514" s="437" t="s">
        <v>7822</v>
      </c>
      <c r="Y514" s="437">
        <v>13.5</v>
      </c>
      <c r="Z514" s="436">
        <f>_xlfn.XLOOKUP(answers[[#This Row],[StudentID]],$A$7:$A$1418,$V$7:$V$1418)</f>
        <v>13.5</v>
      </c>
      <c r="AG514" s="142" t="s">
        <v>2398</v>
      </c>
      <c r="AH514" s="142" t="s">
        <v>2705</v>
      </c>
      <c r="AI514" s="142" t="s">
        <v>2705</v>
      </c>
      <c r="AJ514" s="142" t="s">
        <v>2705</v>
      </c>
      <c r="AK514" s="142" t="s">
        <v>2705</v>
      </c>
      <c r="AL514" s="142" t="s">
        <v>1435</v>
      </c>
      <c r="AM514" s="142" t="s">
        <v>2705</v>
      </c>
      <c r="AN514" s="142" t="s">
        <v>2705</v>
      </c>
      <c r="AO514" s="142" t="s">
        <v>2705</v>
      </c>
      <c r="AP514" s="142" t="s">
        <v>2705</v>
      </c>
      <c r="AQ514" s="142" t="s">
        <v>2398</v>
      </c>
      <c r="AR514" s="142" t="s">
        <v>2705</v>
      </c>
      <c r="AS514" s="142" t="s">
        <v>2398</v>
      </c>
      <c r="AT514" s="142" t="s">
        <v>2398</v>
      </c>
      <c r="AU514" s="142" t="s">
        <v>2398</v>
      </c>
      <c r="AV514" s="142" t="s">
        <v>2705</v>
      </c>
      <c r="AW514" s="142" t="s">
        <v>2398</v>
      </c>
      <c r="AX514" s="142" t="s">
        <v>2398</v>
      </c>
      <c r="AY514" s="142" t="s">
        <v>2705</v>
      </c>
      <c r="AZ514" s="142" t="s">
        <v>2705</v>
      </c>
    </row>
    <row r="515" spans="1:52" s="142" customFormat="1" ht="12.75" x14ac:dyDescent="0.2">
      <c r="A515" s="151" t="s">
        <v>7574</v>
      </c>
      <c r="B515" s="152" t="s">
        <v>2398</v>
      </c>
      <c r="C515" s="152" t="s">
        <v>2705</v>
      </c>
      <c r="D515" s="152" t="s">
        <v>2398</v>
      </c>
      <c r="E515" s="152" t="s">
        <v>2397</v>
      </c>
      <c r="F515" s="152" t="s">
        <v>2397</v>
      </c>
      <c r="G515" s="152" t="s">
        <v>2705</v>
      </c>
      <c r="H515" s="152" t="s">
        <v>2705</v>
      </c>
      <c r="I515" s="152" t="s">
        <v>2397</v>
      </c>
      <c r="J515" s="152" t="s">
        <v>1435</v>
      </c>
      <c r="K515" s="152" t="s">
        <v>2705</v>
      </c>
      <c r="L515" s="152" t="s">
        <v>2398</v>
      </c>
      <c r="M515" s="152" t="s">
        <v>2705</v>
      </c>
      <c r="N515" s="152" t="s">
        <v>2705</v>
      </c>
      <c r="O515" s="152" t="s">
        <v>2705</v>
      </c>
      <c r="P515" s="152" t="s">
        <v>2705</v>
      </c>
      <c r="Q515" s="152" t="s">
        <v>2705</v>
      </c>
      <c r="R515" s="152" t="s">
        <v>2675</v>
      </c>
      <c r="S515" s="152" t="s">
        <v>2705</v>
      </c>
      <c r="T515" s="152" t="s">
        <v>2705</v>
      </c>
      <c r="U515" s="152" t="s">
        <v>2705</v>
      </c>
      <c r="V515" s="142" cm="1">
        <f t="array" ref="V515">IF(A515&lt;&gt;"",SUM(--(B515:U516 = "X")*$U$3,--(B515:U516 ="A")*$Q$3,--(B515:U516 ="B")*$R$3,--(B515:U516 ="C")*$S$3),"")</f>
        <v>15.5</v>
      </c>
      <c r="X515" s="437" t="s">
        <v>7823</v>
      </c>
      <c r="Y515" s="437">
        <v>21.5</v>
      </c>
      <c r="Z515" s="436">
        <f>_xlfn.XLOOKUP(answers[[#This Row],[StudentID]],$A$7:$A$1418,$V$7:$V$1418)</f>
        <v>21.5</v>
      </c>
      <c r="AF515" s="142" t="s">
        <v>7574</v>
      </c>
      <c r="AG515" s="142" t="s">
        <v>2398</v>
      </c>
      <c r="AH515" s="142" t="s">
        <v>2705</v>
      </c>
      <c r="AI515" s="142" t="s">
        <v>2398</v>
      </c>
      <c r="AJ515" s="142" t="s">
        <v>2397</v>
      </c>
      <c r="AK515" s="142" t="s">
        <v>2397</v>
      </c>
      <c r="AL515" s="142" t="s">
        <v>2705</v>
      </c>
      <c r="AM515" s="142" t="s">
        <v>2705</v>
      </c>
      <c r="AN515" s="142" t="s">
        <v>2397</v>
      </c>
      <c r="AO515" s="142" t="s">
        <v>1435</v>
      </c>
      <c r="AP515" s="142" t="s">
        <v>2705</v>
      </c>
      <c r="AQ515" s="142" t="s">
        <v>2398</v>
      </c>
      <c r="AR515" s="142" t="s">
        <v>2705</v>
      </c>
      <c r="AS515" s="142" t="s">
        <v>2705</v>
      </c>
      <c r="AT515" s="142" t="s">
        <v>2705</v>
      </c>
      <c r="AU515" s="142" t="s">
        <v>2705</v>
      </c>
      <c r="AV515" s="142" t="s">
        <v>2705</v>
      </c>
      <c r="AW515" s="142" t="s">
        <v>2675</v>
      </c>
      <c r="AX515" s="142" t="s">
        <v>2705</v>
      </c>
      <c r="AY515" s="142" t="s">
        <v>2705</v>
      </c>
      <c r="AZ515" s="142" t="s">
        <v>2705</v>
      </c>
    </row>
    <row r="516" spans="1:52" s="142" customFormat="1" ht="12.75" x14ac:dyDescent="0.2">
      <c r="A516" s="151"/>
      <c r="B516" s="152" t="s">
        <v>2398</v>
      </c>
      <c r="C516" s="152" t="s">
        <v>2398</v>
      </c>
      <c r="D516" s="152" t="s">
        <v>2398</v>
      </c>
      <c r="E516" s="152" t="s">
        <v>2398</v>
      </c>
      <c r="F516" s="152" t="s">
        <v>2705</v>
      </c>
      <c r="G516" s="152" t="s">
        <v>2675</v>
      </c>
      <c r="H516" s="152" t="s">
        <v>2398</v>
      </c>
      <c r="I516" s="152" t="s">
        <v>2705</v>
      </c>
      <c r="J516" s="152" t="s">
        <v>2398</v>
      </c>
      <c r="K516" s="152" t="s">
        <v>2398</v>
      </c>
      <c r="L516" s="152" t="s">
        <v>2398</v>
      </c>
      <c r="M516" s="152" t="s">
        <v>2398</v>
      </c>
      <c r="N516" s="152" t="s">
        <v>2705</v>
      </c>
      <c r="O516" s="152" t="s">
        <v>2398</v>
      </c>
      <c r="P516" s="152" t="s">
        <v>2398</v>
      </c>
      <c r="Q516" s="152" t="s">
        <v>2398</v>
      </c>
      <c r="R516" s="152" t="s">
        <v>2398</v>
      </c>
      <c r="S516" s="152" t="s">
        <v>2705</v>
      </c>
      <c r="T516" s="152" t="s">
        <v>2705</v>
      </c>
      <c r="U516" s="152" t="s">
        <v>2398</v>
      </c>
      <c r="V516" s="142" t="str" cm="1">
        <f t="array" ref="V516">IF(A516&lt;&gt;"",SUM(--(B516:U517 = "X")*$U$3,--(B516:U517 ="A")*$Q$3,--(B516:U517 ="B")*$R$3,--(B516:U517 ="C")*$S$3),"")</f>
        <v/>
      </c>
      <c r="X516" s="437" t="s">
        <v>7824</v>
      </c>
      <c r="Y516" s="437">
        <v>15</v>
      </c>
      <c r="Z516" s="436">
        <f>_xlfn.XLOOKUP(answers[[#This Row],[StudentID]],$A$7:$A$1418,$V$7:$V$1418)</f>
        <v>15</v>
      </c>
      <c r="AG516" s="142" t="s">
        <v>2398</v>
      </c>
      <c r="AH516" s="142" t="s">
        <v>2398</v>
      </c>
      <c r="AI516" s="142" t="s">
        <v>2398</v>
      </c>
      <c r="AJ516" s="142" t="s">
        <v>2398</v>
      </c>
      <c r="AK516" s="142" t="s">
        <v>2705</v>
      </c>
      <c r="AL516" s="142" t="s">
        <v>2675</v>
      </c>
      <c r="AM516" s="142" t="s">
        <v>2398</v>
      </c>
      <c r="AN516" s="142" t="s">
        <v>2705</v>
      </c>
      <c r="AO516" s="142" t="s">
        <v>2398</v>
      </c>
      <c r="AP516" s="142" t="s">
        <v>2398</v>
      </c>
      <c r="AQ516" s="142" t="s">
        <v>2398</v>
      </c>
      <c r="AR516" s="142" t="s">
        <v>2398</v>
      </c>
      <c r="AS516" s="142" t="s">
        <v>2705</v>
      </c>
      <c r="AT516" s="142" t="s">
        <v>2398</v>
      </c>
      <c r="AU516" s="142" t="s">
        <v>2398</v>
      </c>
      <c r="AV516" s="142" t="s">
        <v>2398</v>
      </c>
      <c r="AW516" s="142" t="s">
        <v>2398</v>
      </c>
      <c r="AX516" s="142" t="s">
        <v>2705</v>
      </c>
      <c r="AY516" s="142" t="s">
        <v>2705</v>
      </c>
      <c r="AZ516" s="142" t="s">
        <v>2398</v>
      </c>
    </row>
    <row r="517" spans="1:52" s="142" customFormat="1" ht="12.75" x14ac:dyDescent="0.2">
      <c r="A517" s="151" t="s">
        <v>7575</v>
      </c>
      <c r="B517" s="152" t="s">
        <v>2675</v>
      </c>
      <c r="C517" s="152" t="s">
        <v>2398</v>
      </c>
      <c r="D517" s="152" t="s">
        <v>2398</v>
      </c>
      <c r="E517" s="152" t="s">
        <v>1435</v>
      </c>
      <c r="F517" s="152" t="s">
        <v>2397</v>
      </c>
      <c r="G517" s="152" t="s">
        <v>1435</v>
      </c>
      <c r="H517" s="152" t="s">
        <v>2398</v>
      </c>
      <c r="I517" s="152" t="s">
        <v>2675</v>
      </c>
      <c r="J517" s="152" t="s">
        <v>2705</v>
      </c>
      <c r="K517" s="152" t="s">
        <v>2705</v>
      </c>
      <c r="L517" s="152" t="s">
        <v>2398</v>
      </c>
      <c r="M517" s="152" t="s">
        <v>2705</v>
      </c>
      <c r="N517" s="152" t="s">
        <v>2705</v>
      </c>
      <c r="O517" s="152" t="s">
        <v>2398</v>
      </c>
      <c r="P517" s="152" t="s">
        <v>2398</v>
      </c>
      <c r="Q517" s="152" t="s">
        <v>2705</v>
      </c>
      <c r="R517" s="152" t="s">
        <v>1435</v>
      </c>
      <c r="S517" s="152" t="s">
        <v>2705</v>
      </c>
      <c r="T517" s="152" t="s">
        <v>1435</v>
      </c>
      <c r="U517" s="152" t="s">
        <v>2705</v>
      </c>
      <c r="V517" s="142" cm="1">
        <f t="array" ref="V517">IF(A517&lt;&gt;"",SUM(--(B517:U518 = "X")*$U$3,--(B517:U518 ="A")*$Q$3,--(B517:U518 ="B")*$R$3,--(B517:U518 ="C")*$S$3),"")</f>
        <v>9</v>
      </c>
      <c r="X517" s="437" t="s">
        <v>7825</v>
      </c>
      <c r="Y517" s="437">
        <v>20</v>
      </c>
      <c r="Z517" s="436">
        <f>_xlfn.XLOOKUP(answers[[#This Row],[StudentID]],$A$7:$A$1418,$V$7:$V$1418)</f>
        <v>20</v>
      </c>
      <c r="AF517" s="142" t="s">
        <v>7575</v>
      </c>
      <c r="AG517" s="142" t="s">
        <v>2675</v>
      </c>
      <c r="AH517" s="142" t="s">
        <v>2398</v>
      </c>
      <c r="AI517" s="142" t="s">
        <v>2398</v>
      </c>
      <c r="AJ517" s="142" t="s">
        <v>1435</v>
      </c>
      <c r="AK517" s="142" t="s">
        <v>2397</v>
      </c>
      <c r="AL517" s="142" t="s">
        <v>1435</v>
      </c>
      <c r="AM517" s="142" t="s">
        <v>2398</v>
      </c>
      <c r="AN517" s="142" t="s">
        <v>2675</v>
      </c>
      <c r="AO517" s="142" t="s">
        <v>2705</v>
      </c>
      <c r="AP517" s="142" t="s">
        <v>2705</v>
      </c>
      <c r="AQ517" s="142" t="s">
        <v>2398</v>
      </c>
      <c r="AR517" s="142" t="s">
        <v>2705</v>
      </c>
      <c r="AS517" s="142" t="s">
        <v>2705</v>
      </c>
      <c r="AT517" s="142" t="s">
        <v>2398</v>
      </c>
      <c r="AU517" s="142" t="s">
        <v>2398</v>
      </c>
      <c r="AV517" s="142" t="s">
        <v>2705</v>
      </c>
      <c r="AW517" s="142" t="s">
        <v>1435</v>
      </c>
      <c r="AX517" s="142" t="s">
        <v>2705</v>
      </c>
      <c r="AY517" s="142" t="s">
        <v>1435</v>
      </c>
      <c r="AZ517" s="142" t="s">
        <v>2705</v>
      </c>
    </row>
    <row r="518" spans="1:52" s="142" customFormat="1" ht="12.75" x14ac:dyDescent="0.2">
      <c r="A518" s="151"/>
      <c r="B518" s="152" t="s">
        <v>2675</v>
      </c>
      <c r="C518" s="152" t="s">
        <v>2675</v>
      </c>
      <c r="D518" s="152" t="s">
        <v>2398</v>
      </c>
      <c r="E518" s="152" t="s">
        <v>2398</v>
      </c>
      <c r="F518" s="152" t="s">
        <v>2398</v>
      </c>
      <c r="G518" s="152" t="s">
        <v>2675</v>
      </c>
      <c r="H518" s="152" t="s">
        <v>2398</v>
      </c>
      <c r="I518" s="152" t="s">
        <v>2705</v>
      </c>
      <c r="J518" s="152" t="s">
        <v>2397</v>
      </c>
      <c r="K518" s="152" t="s">
        <v>2398</v>
      </c>
      <c r="L518" s="152" t="s">
        <v>2705</v>
      </c>
      <c r="M518" s="152" t="s">
        <v>1435</v>
      </c>
      <c r="N518" s="152" t="s">
        <v>2705</v>
      </c>
      <c r="O518" s="152" t="s">
        <v>2705</v>
      </c>
      <c r="P518" s="152" t="s">
        <v>2398</v>
      </c>
      <c r="Q518" s="152" t="s">
        <v>2398</v>
      </c>
      <c r="R518" s="152" t="s">
        <v>2705</v>
      </c>
      <c r="S518" s="152" t="s">
        <v>2705</v>
      </c>
      <c r="T518" s="152" t="s">
        <v>2705</v>
      </c>
      <c r="U518" s="152" t="s">
        <v>2398</v>
      </c>
      <c r="V518" s="142" t="str" cm="1">
        <f t="array" ref="V518">IF(A518&lt;&gt;"",SUM(--(B518:U519 = "X")*$U$3,--(B518:U519 ="A")*$Q$3,--(B518:U519 ="B")*$R$3,--(B518:U519 ="C")*$S$3),"")</f>
        <v/>
      </c>
      <c r="X518" s="437" t="s">
        <v>7826</v>
      </c>
      <c r="Y518" s="437">
        <v>17.5</v>
      </c>
      <c r="Z518" s="436">
        <f>_xlfn.XLOOKUP(answers[[#This Row],[StudentID]],$A$7:$A$1418,$V$7:$V$1418)</f>
        <v>17.5</v>
      </c>
      <c r="AG518" s="142" t="s">
        <v>2675</v>
      </c>
      <c r="AH518" s="142" t="s">
        <v>2675</v>
      </c>
      <c r="AI518" s="142" t="s">
        <v>2398</v>
      </c>
      <c r="AJ518" s="142" t="s">
        <v>2398</v>
      </c>
      <c r="AK518" s="142" t="s">
        <v>2398</v>
      </c>
      <c r="AL518" s="142" t="s">
        <v>2675</v>
      </c>
      <c r="AM518" s="142" t="s">
        <v>2398</v>
      </c>
      <c r="AN518" s="142" t="s">
        <v>2705</v>
      </c>
      <c r="AO518" s="142" t="s">
        <v>2397</v>
      </c>
      <c r="AP518" s="142" t="s">
        <v>2398</v>
      </c>
      <c r="AQ518" s="142" t="s">
        <v>2705</v>
      </c>
      <c r="AR518" s="142" t="s">
        <v>1435</v>
      </c>
      <c r="AS518" s="142" t="s">
        <v>2705</v>
      </c>
      <c r="AT518" s="142" t="s">
        <v>2705</v>
      </c>
      <c r="AU518" s="142" t="s">
        <v>2398</v>
      </c>
      <c r="AV518" s="142" t="s">
        <v>2398</v>
      </c>
      <c r="AW518" s="142" t="s">
        <v>2705</v>
      </c>
      <c r="AX518" s="142" t="s">
        <v>2705</v>
      </c>
      <c r="AY518" s="142" t="s">
        <v>2705</v>
      </c>
      <c r="AZ518" s="142" t="s">
        <v>2398</v>
      </c>
    </row>
    <row r="519" spans="1:52" s="142" customFormat="1" ht="12.75" x14ac:dyDescent="0.2">
      <c r="A519" s="151" t="s">
        <v>7576</v>
      </c>
      <c r="B519" s="152" t="s">
        <v>2705</v>
      </c>
      <c r="C519" s="152" t="s">
        <v>2705</v>
      </c>
      <c r="D519" s="152" t="s">
        <v>2398</v>
      </c>
      <c r="E519" s="152" t="s">
        <v>2705</v>
      </c>
      <c r="F519" s="152" t="s">
        <v>2397</v>
      </c>
      <c r="G519" s="152" t="s">
        <v>2705</v>
      </c>
      <c r="H519" s="152" t="s">
        <v>2705</v>
      </c>
      <c r="I519" s="152" t="s">
        <v>2705</v>
      </c>
      <c r="J519" s="152" t="s">
        <v>2675</v>
      </c>
      <c r="K519" s="152" t="s">
        <v>2705</v>
      </c>
      <c r="L519" s="152" t="s">
        <v>2675</v>
      </c>
      <c r="M519" s="152" t="s">
        <v>2398</v>
      </c>
      <c r="N519" s="152" t="s">
        <v>2705</v>
      </c>
      <c r="O519" s="152" t="s">
        <v>1435</v>
      </c>
      <c r="P519" s="152" t="s">
        <v>2705</v>
      </c>
      <c r="Q519" s="152" t="s">
        <v>2705</v>
      </c>
      <c r="R519" s="152" t="s">
        <v>2705</v>
      </c>
      <c r="S519" s="152" t="s">
        <v>2705</v>
      </c>
      <c r="T519" s="152" t="s">
        <v>2398</v>
      </c>
      <c r="U519" s="152" t="s">
        <v>2705</v>
      </c>
      <c r="V519" s="142" cm="1">
        <f t="array" ref="V519">IF(A519&lt;&gt;"",SUM(--(B519:U520 = "X")*$U$3,--(B519:U520 ="A")*$Q$3,--(B519:U520 ="B")*$R$3,--(B519:U520 ="C")*$S$3),"")</f>
        <v>27</v>
      </c>
      <c r="X519" s="437" t="s">
        <v>7827</v>
      </c>
      <c r="Y519" s="437">
        <v>18.5</v>
      </c>
      <c r="Z519" s="436">
        <f>_xlfn.XLOOKUP(answers[[#This Row],[StudentID]],$A$7:$A$1418,$V$7:$V$1418)</f>
        <v>18.5</v>
      </c>
      <c r="AF519" s="142" t="s">
        <v>7576</v>
      </c>
      <c r="AG519" s="142" t="s">
        <v>2705</v>
      </c>
      <c r="AH519" s="142" t="s">
        <v>2705</v>
      </c>
      <c r="AI519" s="142" t="s">
        <v>2398</v>
      </c>
      <c r="AJ519" s="142" t="s">
        <v>2705</v>
      </c>
      <c r="AK519" s="142" t="s">
        <v>2397</v>
      </c>
      <c r="AL519" s="142" t="s">
        <v>2705</v>
      </c>
      <c r="AM519" s="142" t="s">
        <v>2705</v>
      </c>
      <c r="AN519" s="142" t="s">
        <v>2705</v>
      </c>
      <c r="AO519" s="142" t="s">
        <v>2675</v>
      </c>
      <c r="AP519" s="142" t="s">
        <v>2705</v>
      </c>
      <c r="AQ519" s="142" t="s">
        <v>2675</v>
      </c>
      <c r="AR519" s="142" t="s">
        <v>2398</v>
      </c>
      <c r="AS519" s="142" t="s">
        <v>2705</v>
      </c>
      <c r="AT519" s="142" t="s">
        <v>1435</v>
      </c>
      <c r="AU519" s="142" t="s">
        <v>2705</v>
      </c>
      <c r="AV519" s="142" t="s">
        <v>2705</v>
      </c>
      <c r="AW519" s="142" t="s">
        <v>2705</v>
      </c>
      <c r="AX519" s="142" t="s">
        <v>2705</v>
      </c>
      <c r="AY519" s="142" t="s">
        <v>2398</v>
      </c>
      <c r="AZ519" s="142" t="s">
        <v>2705</v>
      </c>
    </row>
    <row r="520" spans="1:52" s="142" customFormat="1" ht="12.75" x14ac:dyDescent="0.2">
      <c r="A520" s="151"/>
      <c r="B520" s="152" t="s">
        <v>2705</v>
      </c>
      <c r="C520" s="152" t="s">
        <v>2397</v>
      </c>
      <c r="D520" s="152" t="s">
        <v>1435</v>
      </c>
      <c r="E520" s="152" t="s">
        <v>2705</v>
      </c>
      <c r="F520" s="152" t="s">
        <v>2398</v>
      </c>
      <c r="G520" s="152" t="s">
        <v>2705</v>
      </c>
      <c r="H520" s="152" t="s">
        <v>2705</v>
      </c>
      <c r="I520" s="152" t="s">
        <v>2705</v>
      </c>
      <c r="J520" s="152" t="s">
        <v>2705</v>
      </c>
      <c r="K520" s="152" t="s">
        <v>2398</v>
      </c>
      <c r="L520" s="152" t="s">
        <v>2705</v>
      </c>
      <c r="M520" s="152" t="s">
        <v>2705</v>
      </c>
      <c r="N520" s="152" t="s">
        <v>2705</v>
      </c>
      <c r="O520" s="152" t="s">
        <v>2705</v>
      </c>
      <c r="P520" s="152" t="s">
        <v>2705</v>
      </c>
      <c r="Q520" s="152" t="s">
        <v>2705</v>
      </c>
      <c r="R520" s="152" t="s">
        <v>2705</v>
      </c>
      <c r="S520" s="152" t="s">
        <v>2705</v>
      </c>
      <c r="T520" s="152" t="s">
        <v>2705</v>
      </c>
      <c r="U520" s="152" t="s">
        <v>2705</v>
      </c>
      <c r="V520" s="142" t="str" cm="1">
        <f t="array" ref="V520">IF(A520&lt;&gt;"",SUM(--(B520:U521 = "X")*$U$3,--(B520:U521 ="A")*$Q$3,--(B520:U521 ="B")*$R$3,--(B520:U521 ="C")*$S$3),"")</f>
        <v/>
      </c>
      <c r="X520" s="437" t="s">
        <v>7828</v>
      </c>
      <c r="Y520" s="437">
        <v>2.5</v>
      </c>
      <c r="Z520" s="436">
        <f>_xlfn.XLOOKUP(answers[[#This Row],[StudentID]],$A$7:$A$1418,$V$7:$V$1418)</f>
        <v>2.5</v>
      </c>
      <c r="AG520" s="142" t="s">
        <v>2705</v>
      </c>
      <c r="AH520" s="142" t="s">
        <v>2397</v>
      </c>
      <c r="AI520" s="142" t="s">
        <v>1435</v>
      </c>
      <c r="AJ520" s="142" t="s">
        <v>2705</v>
      </c>
      <c r="AK520" s="142" t="s">
        <v>2398</v>
      </c>
      <c r="AL520" s="142" t="s">
        <v>2705</v>
      </c>
      <c r="AM520" s="142" t="s">
        <v>2705</v>
      </c>
      <c r="AN520" s="142" t="s">
        <v>2705</v>
      </c>
      <c r="AO520" s="142" t="s">
        <v>2705</v>
      </c>
      <c r="AP520" s="142" t="s">
        <v>2398</v>
      </c>
      <c r="AQ520" s="142" t="s">
        <v>2705</v>
      </c>
      <c r="AR520" s="142" t="s">
        <v>2705</v>
      </c>
      <c r="AS520" s="142" t="s">
        <v>2705</v>
      </c>
      <c r="AT520" s="142" t="s">
        <v>2705</v>
      </c>
      <c r="AU520" s="142" t="s">
        <v>2705</v>
      </c>
      <c r="AV520" s="142" t="s">
        <v>2705</v>
      </c>
      <c r="AW520" s="142" t="s">
        <v>2705</v>
      </c>
      <c r="AX520" s="142" t="s">
        <v>2705</v>
      </c>
      <c r="AY520" s="142" t="s">
        <v>2705</v>
      </c>
      <c r="AZ520" s="142" t="s">
        <v>2705</v>
      </c>
    </row>
    <row r="521" spans="1:52" s="142" customFormat="1" ht="12.75" x14ac:dyDescent="0.2">
      <c r="A521" s="151" t="s">
        <v>7577</v>
      </c>
      <c r="B521" s="152" t="s">
        <v>2705</v>
      </c>
      <c r="C521" s="152" t="s">
        <v>2398</v>
      </c>
      <c r="D521" s="152" t="s">
        <v>2705</v>
      </c>
      <c r="E521" s="152" t="s">
        <v>2705</v>
      </c>
      <c r="F521" s="152" t="s">
        <v>2398</v>
      </c>
      <c r="G521" s="152" t="s">
        <v>2705</v>
      </c>
      <c r="H521" s="152" t="s">
        <v>2705</v>
      </c>
      <c r="I521" s="152" t="s">
        <v>2705</v>
      </c>
      <c r="J521" s="152" t="s">
        <v>2705</v>
      </c>
      <c r="K521" s="152" t="s">
        <v>2705</v>
      </c>
      <c r="L521" s="152" t="s">
        <v>2398</v>
      </c>
      <c r="M521" s="152" t="s">
        <v>2705</v>
      </c>
      <c r="N521" s="152" t="s">
        <v>2705</v>
      </c>
      <c r="O521" s="152" t="s">
        <v>2705</v>
      </c>
      <c r="P521" s="152" t="s">
        <v>2398</v>
      </c>
      <c r="Q521" s="152" t="s">
        <v>2705</v>
      </c>
      <c r="R521" s="152" t="s">
        <v>2705</v>
      </c>
      <c r="S521" s="152" t="s">
        <v>2705</v>
      </c>
      <c r="T521" s="152" t="s">
        <v>2398</v>
      </c>
      <c r="U521" s="152" t="s">
        <v>2398</v>
      </c>
      <c r="V521" s="142" cm="1">
        <f t="array" ref="V521">IF(A521&lt;&gt;"",SUM(--(B521:U522 = "X")*$U$3,--(B521:U522 ="A")*$Q$3,--(B521:U522 ="B")*$R$3,--(B521:U522 ="C")*$S$3),"")</f>
        <v>20</v>
      </c>
      <c r="X521" s="437" t="s">
        <v>7829</v>
      </c>
      <c r="Y521" s="437">
        <v>20</v>
      </c>
      <c r="Z521" s="436">
        <f>_xlfn.XLOOKUP(answers[[#This Row],[StudentID]],$A$7:$A$1418,$V$7:$V$1418)</f>
        <v>20</v>
      </c>
      <c r="AF521" s="142" t="s">
        <v>7577</v>
      </c>
      <c r="AG521" s="142" t="s">
        <v>2705</v>
      </c>
      <c r="AH521" s="142" t="s">
        <v>2398</v>
      </c>
      <c r="AI521" s="142" t="s">
        <v>2705</v>
      </c>
      <c r="AJ521" s="142" t="s">
        <v>2705</v>
      </c>
      <c r="AK521" s="142" t="s">
        <v>2398</v>
      </c>
      <c r="AL521" s="142" t="s">
        <v>2705</v>
      </c>
      <c r="AM521" s="142" t="s">
        <v>2705</v>
      </c>
      <c r="AN521" s="142" t="s">
        <v>2705</v>
      </c>
      <c r="AO521" s="142" t="s">
        <v>2705</v>
      </c>
      <c r="AP521" s="142" t="s">
        <v>2705</v>
      </c>
      <c r="AQ521" s="142" t="s">
        <v>2398</v>
      </c>
      <c r="AR521" s="142" t="s">
        <v>2705</v>
      </c>
      <c r="AS521" s="142" t="s">
        <v>2705</v>
      </c>
      <c r="AT521" s="142" t="s">
        <v>2705</v>
      </c>
      <c r="AU521" s="142" t="s">
        <v>2398</v>
      </c>
      <c r="AV521" s="142" t="s">
        <v>2705</v>
      </c>
      <c r="AW521" s="142" t="s">
        <v>2705</v>
      </c>
      <c r="AX521" s="142" t="s">
        <v>2705</v>
      </c>
      <c r="AY521" s="142" t="s">
        <v>2398</v>
      </c>
      <c r="AZ521" s="142" t="s">
        <v>2398</v>
      </c>
    </row>
    <row r="522" spans="1:52" s="142" customFormat="1" ht="12.75" x14ac:dyDescent="0.2">
      <c r="A522" s="151"/>
      <c r="B522" s="152" t="s">
        <v>1435</v>
      </c>
      <c r="C522" s="152" t="s">
        <v>2675</v>
      </c>
      <c r="D522" s="152" t="s">
        <v>2398</v>
      </c>
      <c r="E522" s="152" t="s">
        <v>2398</v>
      </c>
      <c r="F522" s="152" t="s">
        <v>2705</v>
      </c>
      <c r="G522" s="152" t="s">
        <v>2398</v>
      </c>
      <c r="H522" s="152" t="s">
        <v>2705</v>
      </c>
      <c r="I522" s="152" t="s">
        <v>2398</v>
      </c>
      <c r="J522" s="152" t="s">
        <v>2398</v>
      </c>
      <c r="K522" s="152" t="s">
        <v>2705</v>
      </c>
      <c r="L522" s="152" t="s">
        <v>2675</v>
      </c>
      <c r="M522" s="152" t="s">
        <v>2398</v>
      </c>
      <c r="N522" s="152" t="s">
        <v>2705</v>
      </c>
      <c r="O522" s="152" t="s">
        <v>2705</v>
      </c>
      <c r="P522" s="152" t="s">
        <v>2398</v>
      </c>
      <c r="Q522" s="152" t="s">
        <v>2705</v>
      </c>
      <c r="R522" s="152" t="s">
        <v>1435</v>
      </c>
      <c r="S522" s="152" t="s">
        <v>2705</v>
      </c>
      <c r="T522" s="152" t="s">
        <v>2705</v>
      </c>
      <c r="U522" s="152" t="s">
        <v>2398</v>
      </c>
      <c r="V522" s="142" t="str" cm="1">
        <f t="array" ref="V522">IF(A522&lt;&gt;"",SUM(--(B522:U523 = "X")*$U$3,--(B522:U523 ="A")*$Q$3,--(B522:U523 ="B")*$R$3,--(B522:U523 ="C")*$S$3),"")</f>
        <v/>
      </c>
      <c r="X522" s="437" t="s">
        <v>7830</v>
      </c>
      <c r="Y522" s="437">
        <v>23</v>
      </c>
      <c r="Z522" s="436">
        <f>_xlfn.XLOOKUP(answers[[#This Row],[StudentID]],$A$7:$A$1418,$V$7:$V$1418)</f>
        <v>23</v>
      </c>
      <c r="AG522" s="142" t="s">
        <v>1435</v>
      </c>
      <c r="AH522" s="142" t="s">
        <v>2675</v>
      </c>
      <c r="AI522" s="142" t="s">
        <v>2398</v>
      </c>
      <c r="AJ522" s="142" t="s">
        <v>2398</v>
      </c>
      <c r="AK522" s="142" t="s">
        <v>2705</v>
      </c>
      <c r="AL522" s="142" t="s">
        <v>2398</v>
      </c>
      <c r="AM522" s="142" t="s">
        <v>2705</v>
      </c>
      <c r="AN522" s="142" t="s">
        <v>2398</v>
      </c>
      <c r="AO522" s="142" t="s">
        <v>2398</v>
      </c>
      <c r="AP522" s="142" t="s">
        <v>2705</v>
      </c>
      <c r="AQ522" s="142" t="s">
        <v>2675</v>
      </c>
      <c r="AR522" s="142" t="s">
        <v>2398</v>
      </c>
      <c r="AS522" s="142" t="s">
        <v>2705</v>
      </c>
      <c r="AT522" s="142" t="s">
        <v>2705</v>
      </c>
      <c r="AU522" s="142" t="s">
        <v>2398</v>
      </c>
      <c r="AV522" s="142" t="s">
        <v>2705</v>
      </c>
      <c r="AW522" s="142" t="s">
        <v>1435</v>
      </c>
      <c r="AX522" s="142" t="s">
        <v>2705</v>
      </c>
      <c r="AY522" s="142" t="s">
        <v>2705</v>
      </c>
      <c r="AZ522" s="142" t="s">
        <v>2398</v>
      </c>
    </row>
    <row r="523" spans="1:52" s="142" customFormat="1" ht="12.75" x14ac:dyDescent="0.2">
      <c r="A523" s="151" t="s">
        <v>7578</v>
      </c>
      <c r="B523" s="152" t="s">
        <v>2705</v>
      </c>
      <c r="C523" s="152" t="s">
        <v>2705</v>
      </c>
      <c r="D523" s="152" t="s">
        <v>2705</v>
      </c>
      <c r="E523" s="152" t="s">
        <v>2705</v>
      </c>
      <c r="F523" s="152" t="s">
        <v>2398</v>
      </c>
      <c r="G523" s="152" t="s">
        <v>2398</v>
      </c>
      <c r="H523" s="152" t="s">
        <v>2398</v>
      </c>
      <c r="I523" s="152" t="s">
        <v>2675</v>
      </c>
      <c r="J523" s="152" t="s">
        <v>2705</v>
      </c>
      <c r="K523" s="152" t="s">
        <v>2398</v>
      </c>
      <c r="L523" s="152" t="s">
        <v>2398</v>
      </c>
      <c r="M523" s="152" t="s">
        <v>2705</v>
      </c>
      <c r="N523" s="152" t="s">
        <v>2705</v>
      </c>
      <c r="O523" s="152" t="s">
        <v>1435</v>
      </c>
      <c r="P523" s="152" t="s">
        <v>2705</v>
      </c>
      <c r="Q523" s="152" t="s">
        <v>2398</v>
      </c>
      <c r="R523" s="152" t="s">
        <v>2705</v>
      </c>
      <c r="S523" s="152" t="s">
        <v>2705</v>
      </c>
      <c r="T523" s="152" t="s">
        <v>2705</v>
      </c>
      <c r="U523" s="152" t="s">
        <v>2705</v>
      </c>
      <c r="V523" s="142" cm="1">
        <f t="array" ref="V523">IF(A523&lt;&gt;"",SUM(--(B523:U524 = "X")*$U$3,--(B523:U524 ="A")*$Q$3,--(B523:U524 ="B")*$R$3,--(B523:U524 ="C")*$S$3),"")</f>
        <v>19</v>
      </c>
      <c r="X523" s="437" t="s">
        <v>7831</v>
      </c>
      <c r="Y523" s="437">
        <v>16.5</v>
      </c>
      <c r="Z523" s="436">
        <f>_xlfn.XLOOKUP(answers[[#This Row],[StudentID]],$A$7:$A$1418,$V$7:$V$1418)</f>
        <v>16.5</v>
      </c>
      <c r="AF523" s="142" t="s">
        <v>7578</v>
      </c>
      <c r="AG523" s="142" t="s">
        <v>2705</v>
      </c>
      <c r="AH523" s="142" t="s">
        <v>2705</v>
      </c>
      <c r="AI523" s="142" t="s">
        <v>2705</v>
      </c>
      <c r="AJ523" s="142" t="s">
        <v>2705</v>
      </c>
      <c r="AK523" s="142" t="s">
        <v>2398</v>
      </c>
      <c r="AL523" s="142" t="s">
        <v>2398</v>
      </c>
      <c r="AM523" s="142" t="s">
        <v>2398</v>
      </c>
      <c r="AN523" s="142" t="s">
        <v>2675</v>
      </c>
      <c r="AO523" s="142" t="s">
        <v>2705</v>
      </c>
      <c r="AP523" s="142" t="s">
        <v>2398</v>
      </c>
      <c r="AQ523" s="142" t="s">
        <v>2398</v>
      </c>
      <c r="AR523" s="142" t="s">
        <v>2705</v>
      </c>
      <c r="AS523" s="142" t="s">
        <v>2705</v>
      </c>
      <c r="AT523" s="142" t="s">
        <v>1435</v>
      </c>
      <c r="AU523" s="142" t="s">
        <v>2705</v>
      </c>
      <c r="AV523" s="142" t="s">
        <v>2398</v>
      </c>
      <c r="AW523" s="142" t="s">
        <v>2705</v>
      </c>
      <c r="AX523" s="142" t="s">
        <v>2705</v>
      </c>
      <c r="AY523" s="142" t="s">
        <v>2705</v>
      </c>
      <c r="AZ523" s="142" t="s">
        <v>2705</v>
      </c>
    </row>
    <row r="524" spans="1:52" s="142" customFormat="1" ht="12.75" x14ac:dyDescent="0.2">
      <c r="A524" s="151"/>
      <c r="B524" s="152" t="s">
        <v>2398</v>
      </c>
      <c r="C524" s="152" t="s">
        <v>2397</v>
      </c>
      <c r="D524" s="152" t="s">
        <v>1435</v>
      </c>
      <c r="E524" s="152" t="s">
        <v>2398</v>
      </c>
      <c r="F524" s="152" t="s">
        <v>2675</v>
      </c>
      <c r="G524" s="152" t="s">
        <v>1435</v>
      </c>
      <c r="H524" s="152" t="s">
        <v>2705</v>
      </c>
      <c r="I524" s="152" t="s">
        <v>2398</v>
      </c>
      <c r="J524" s="152" t="s">
        <v>2705</v>
      </c>
      <c r="K524" s="152" t="s">
        <v>2705</v>
      </c>
      <c r="L524" s="152" t="s">
        <v>2705</v>
      </c>
      <c r="M524" s="152" t="s">
        <v>2705</v>
      </c>
      <c r="N524" s="152" t="s">
        <v>2675</v>
      </c>
      <c r="O524" s="152" t="s">
        <v>2705</v>
      </c>
      <c r="P524" s="152" t="s">
        <v>2705</v>
      </c>
      <c r="Q524" s="152" t="s">
        <v>2705</v>
      </c>
      <c r="R524" s="152" t="s">
        <v>2705</v>
      </c>
      <c r="S524" s="152" t="s">
        <v>2705</v>
      </c>
      <c r="T524" s="152" t="s">
        <v>2398</v>
      </c>
      <c r="U524" s="152" t="s">
        <v>2398</v>
      </c>
      <c r="V524" s="142" t="str" cm="1">
        <f t="array" ref="V524">IF(A524&lt;&gt;"",SUM(--(B524:U525 = "X")*$U$3,--(B524:U525 ="A")*$Q$3,--(B524:U525 ="B")*$R$3,--(B524:U525 ="C")*$S$3),"")</f>
        <v/>
      </c>
      <c r="X524" s="437" t="s">
        <v>7832</v>
      </c>
      <c r="Y524" s="437">
        <v>24</v>
      </c>
      <c r="Z524" s="436">
        <f>_xlfn.XLOOKUP(answers[[#This Row],[StudentID]],$A$7:$A$1418,$V$7:$V$1418)</f>
        <v>24</v>
      </c>
      <c r="AG524" s="142" t="s">
        <v>2398</v>
      </c>
      <c r="AH524" s="142" t="s">
        <v>2397</v>
      </c>
      <c r="AI524" s="142" t="s">
        <v>1435</v>
      </c>
      <c r="AJ524" s="142" t="s">
        <v>2398</v>
      </c>
      <c r="AK524" s="142" t="s">
        <v>2675</v>
      </c>
      <c r="AL524" s="142" t="s">
        <v>1435</v>
      </c>
      <c r="AM524" s="142" t="s">
        <v>2705</v>
      </c>
      <c r="AN524" s="142" t="s">
        <v>2398</v>
      </c>
      <c r="AO524" s="142" t="s">
        <v>2705</v>
      </c>
      <c r="AP524" s="142" t="s">
        <v>2705</v>
      </c>
      <c r="AQ524" s="142" t="s">
        <v>2705</v>
      </c>
      <c r="AR524" s="142" t="s">
        <v>2705</v>
      </c>
      <c r="AS524" s="142" t="s">
        <v>2675</v>
      </c>
      <c r="AT524" s="142" t="s">
        <v>2705</v>
      </c>
      <c r="AU524" s="142" t="s">
        <v>2705</v>
      </c>
      <c r="AV524" s="142" t="s">
        <v>2705</v>
      </c>
      <c r="AW524" s="142" t="s">
        <v>2705</v>
      </c>
      <c r="AX524" s="142" t="s">
        <v>2705</v>
      </c>
      <c r="AY524" s="142" t="s">
        <v>2398</v>
      </c>
      <c r="AZ524" s="142" t="s">
        <v>2398</v>
      </c>
    </row>
    <row r="525" spans="1:52" s="142" customFormat="1" ht="12.75" x14ac:dyDescent="0.2">
      <c r="A525" s="151" t="s">
        <v>7579</v>
      </c>
      <c r="B525" s="152" t="s">
        <v>2398</v>
      </c>
      <c r="C525" s="152" t="s">
        <v>2398</v>
      </c>
      <c r="D525" s="152" t="s">
        <v>2675</v>
      </c>
      <c r="E525" s="152" t="s">
        <v>2705</v>
      </c>
      <c r="F525" s="152" t="s">
        <v>2398</v>
      </c>
      <c r="G525" s="152" t="s">
        <v>2675</v>
      </c>
      <c r="H525" s="152" t="s">
        <v>2398</v>
      </c>
      <c r="I525" s="152" t="s">
        <v>2398</v>
      </c>
      <c r="J525" s="152" t="s">
        <v>2675</v>
      </c>
      <c r="K525" s="152" t="s">
        <v>2398</v>
      </c>
      <c r="L525" s="152" t="s">
        <v>2705</v>
      </c>
      <c r="M525" s="152" t="s">
        <v>2398</v>
      </c>
      <c r="N525" s="152" t="s">
        <v>2705</v>
      </c>
      <c r="O525" s="152" t="s">
        <v>1435</v>
      </c>
      <c r="P525" s="152" t="s">
        <v>2705</v>
      </c>
      <c r="Q525" s="152" t="s">
        <v>2705</v>
      </c>
      <c r="R525" s="152" t="s">
        <v>2705</v>
      </c>
      <c r="S525" s="152" t="s">
        <v>2705</v>
      </c>
      <c r="T525" s="152" t="s">
        <v>2398</v>
      </c>
      <c r="U525" s="152" t="s">
        <v>2398</v>
      </c>
      <c r="V525" s="142" cm="1">
        <f t="array" ref="V525">IF(A525&lt;&gt;"",SUM(--(B525:U526 = "X")*$U$3,--(B525:U526 ="A")*$Q$3,--(B525:U526 ="B")*$R$3,--(B525:U526 ="C")*$S$3),"")</f>
        <v>17</v>
      </c>
      <c r="X525" s="437" t="s">
        <v>7833</v>
      </c>
      <c r="Y525" s="437">
        <v>21.5</v>
      </c>
      <c r="Z525" s="436">
        <f>_xlfn.XLOOKUP(answers[[#This Row],[StudentID]],$A$7:$A$1418,$V$7:$V$1418)</f>
        <v>21.5</v>
      </c>
      <c r="AF525" s="142" t="s">
        <v>7579</v>
      </c>
      <c r="AG525" s="142" t="s">
        <v>2398</v>
      </c>
      <c r="AH525" s="142" t="s">
        <v>2398</v>
      </c>
      <c r="AI525" s="142" t="s">
        <v>2675</v>
      </c>
      <c r="AJ525" s="142" t="s">
        <v>2705</v>
      </c>
      <c r="AK525" s="142" t="s">
        <v>2398</v>
      </c>
      <c r="AL525" s="142" t="s">
        <v>2675</v>
      </c>
      <c r="AM525" s="142" t="s">
        <v>2398</v>
      </c>
      <c r="AN525" s="142" t="s">
        <v>2398</v>
      </c>
      <c r="AO525" s="142" t="s">
        <v>2675</v>
      </c>
      <c r="AP525" s="142" t="s">
        <v>2398</v>
      </c>
      <c r="AQ525" s="142" t="s">
        <v>2705</v>
      </c>
      <c r="AR525" s="142" t="s">
        <v>2398</v>
      </c>
      <c r="AS525" s="142" t="s">
        <v>2705</v>
      </c>
      <c r="AT525" s="142" t="s">
        <v>1435</v>
      </c>
      <c r="AU525" s="142" t="s">
        <v>2705</v>
      </c>
      <c r="AV525" s="142" t="s">
        <v>2705</v>
      </c>
      <c r="AW525" s="142" t="s">
        <v>2705</v>
      </c>
      <c r="AX525" s="142" t="s">
        <v>2705</v>
      </c>
      <c r="AY525" s="142" t="s">
        <v>2398</v>
      </c>
      <c r="AZ525" s="142" t="s">
        <v>2398</v>
      </c>
    </row>
    <row r="526" spans="1:52" s="142" customFormat="1" ht="12.75" x14ac:dyDescent="0.2">
      <c r="A526" s="151"/>
      <c r="B526" s="152" t="s">
        <v>2705</v>
      </c>
      <c r="C526" s="152" t="s">
        <v>2398</v>
      </c>
      <c r="D526" s="152" t="s">
        <v>2705</v>
      </c>
      <c r="E526" s="152" t="s">
        <v>2705</v>
      </c>
      <c r="F526" s="152" t="s">
        <v>2398</v>
      </c>
      <c r="G526" s="152" t="s">
        <v>2705</v>
      </c>
      <c r="H526" s="152" t="s">
        <v>2705</v>
      </c>
      <c r="I526" s="152" t="s">
        <v>2705</v>
      </c>
      <c r="J526" s="152" t="s">
        <v>2705</v>
      </c>
      <c r="K526" s="152" t="s">
        <v>2705</v>
      </c>
      <c r="L526" s="152" t="s">
        <v>2398</v>
      </c>
      <c r="M526" s="152" t="s">
        <v>2705</v>
      </c>
      <c r="N526" s="152" t="s">
        <v>2705</v>
      </c>
      <c r="O526" s="152" t="s">
        <v>1435</v>
      </c>
      <c r="P526" s="152" t="s">
        <v>2705</v>
      </c>
      <c r="Q526" s="152" t="s">
        <v>2705</v>
      </c>
      <c r="R526" s="152" t="s">
        <v>2398</v>
      </c>
      <c r="S526" s="152" t="s">
        <v>2398</v>
      </c>
      <c r="T526" s="152" t="s">
        <v>2705</v>
      </c>
      <c r="U526" s="152" t="s">
        <v>2675</v>
      </c>
      <c r="V526" s="142" t="str" cm="1">
        <f t="array" ref="V526">IF(A526&lt;&gt;"",SUM(--(B526:U527 = "X")*$U$3,--(B526:U527 ="A")*$Q$3,--(B526:U527 ="B")*$R$3,--(B526:U527 ="C")*$S$3),"")</f>
        <v/>
      </c>
      <c r="X526" s="437" t="s">
        <v>7834</v>
      </c>
      <c r="Y526" s="437">
        <v>20</v>
      </c>
      <c r="Z526" s="436">
        <f>_xlfn.XLOOKUP(answers[[#This Row],[StudentID]],$A$7:$A$1418,$V$7:$V$1418)</f>
        <v>20</v>
      </c>
      <c r="AG526" s="142" t="s">
        <v>2705</v>
      </c>
      <c r="AH526" s="142" t="s">
        <v>2398</v>
      </c>
      <c r="AI526" s="142" t="s">
        <v>2705</v>
      </c>
      <c r="AJ526" s="142" t="s">
        <v>2705</v>
      </c>
      <c r="AK526" s="142" t="s">
        <v>2398</v>
      </c>
      <c r="AL526" s="142" t="s">
        <v>2705</v>
      </c>
      <c r="AM526" s="142" t="s">
        <v>2705</v>
      </c>
      <c r="AN526" s="142" t="s">
        <v>2705</v>
      </c>
      <c r="AO526" s="142" t="s">
        <v>2705</v>
      </c>
      <c r="AP526" s="142" t="s">
        <v>2705</v>
      </c>
      <c r="AQ526" s="142" t="s">
        <v>2398</v>
      </c>
      <c r="AR526" s="142" t="s">
        <v>2705</v>
      </c>
      <c r="AS526" s="142" t="s">
        <v>2705</v>
      </c>
      <c r="AT526" s="142" t="s">
        <v>1435</v>
      </c>
      <c r="AU526" s="142" t="s">
        <v>2705</v>
      </c>
      <c r="AV526" s="142" t="s">
        <v>2705</v>
      </c>
      <c r="AW526" s="142" t="s">
        <v>2398</v>
      </c>
      <c r="AX526" s="142" t="s">
        <v>2398</v>
      </c>
      <c r="AY526" s="142" t="s">
        <v>2705</v>
      </c>
      <c r="AZ526" s="142" t="s">
        <v>2675</v>
      </c>
    </row>
    <row r="527" spans="1:52" s="142" customFormat="1" ht="12.75" x14ac:dyDescent="0.2">
      <c r="A527" s="151" t="s">
        <v>7580</v>
      </c>
      <c r="B527" s="152" t="s">
        <v>1435</v>
      </c>
      <c r="C527" s="152" t="s">
        <v>2705</v>
      </c>
      <c r="D527" s="152" t="s">
        <v>2675</v>
      </c>
      <c r="E527" s="152" t="s">
        <v>2705</v>
      </c>
      <c r="F527" s="152" t="s">
        <v>2398</v>
      </c>
      <c r="G527" s="152" t="s">
        <v>1435</v>
      </c>
      <c r="H527" s="152" t="s">
        <v>2398</v>
      </c>
      <c r="I527" s="152" t="s">
        <v>2705</v>
      </c>
      <c r="J527" s="152" t="s">
        <v>2705</v>
      </c>
      <c r="K527" s="152" t="s">
        <v>2398</v>
      </c>
      <c r="L527" s="152" t="s">
        <v>2675</v>
      </c>
      <c r="M527" s="152" t="s">
        <v>2705</v>
      </c>
      <c r="N527" s="152" t="s">
        <v>1435</v>
      </c>
      <c r="O527" s="152" t="s">
        <v>2705</v>
      </c>
      <c r="P527" s="152" t="s">
        <v>2398</v>
      </c>
      <c r="Q527" s="152" t="s">
        <v>2705</v>
      </c>
      <c r="R527" s="152" t="s">
        <v>2705</v>
      </c>
      <c r="S527" s="152" t="s">
        <v>2705</v>
      </c>
      <c r="T527" s="152" t="s">
        <v>2398</v>
      </c>
      <c r="U527" s="152" t="s">
        <v>2398</v>
      </c>
      <c r="V527" s="142" cm="1">
        <f t="array" ref="V527">IF(A527&lt;&gt;"",SUM(--(B527:U528 = "X")*$U$3,--(B527:U528 ="A")*$Q$3,--(B527:U528 ="B")*$R$3,--(B527:U528 ="C")*$S$3),"")</f>
        <v>18.5</v>
      </c>
      <c r="X527" s="437" t="s">
        <v>7835</v>
      </c>
      <c r="Y527" s="437">
        <v>9</v>
      </c>
      <c r="Z527" s="436">
        <f>_xlfn.XLOOKUP(answers[[#This Row],[StudentID]],$A$7:$A$1418,$V$7:$V$1418)</f>
        <v>9</v>
      </c>
      <c r="AF527" s="142" t="s">
        <v>7580</v>
      </c>
      <c r="AG527" s="142" t="s">
        <v>1435</v>
      </c>
      <c r="AH527" s="142" t="s">
        <v>2705</v>
      </c>
      <c r="AI527" s="142" t="s">
        <v>2675</v>
      </c>
      <c r="AJ527" s="142" t="s">
        <v>2705</v>
      </c>
      <c r="AK527" s="142" t="s">
        <v>2398</v>
      </c>
      <c r="AL527" s="142" t="s">
        <v>1435</v>
      </c>
      <c r="AM527" s="142" t="s">
        <v>2398</v>
      </c>
      <c r="AN527" s="142" t="s">
        <v>2705</v>
      </c>
      <c r="AO527" s="142" t="s">
        <v>2705</v>
      </c>
      <c r="AP527" s="142" t="s">
        <v>2398</v>
      </c>
      <c r="AQ527" s="142" t="s">
        <v>2675</v>
      </c>
      <c r="AR527" s="142" t="s">
        <v>2705</v>
      </c>
      <c r="AS527" s="142" t="s">
        <v>1435</v>
      </c>
      <c r="AT527" s="142" t="s">
        <v>2705</v>
      </c>
      <c r="AU527" s="142" t="s">
        <v>2398</v>
      </c>
      <c r="AV527" s="142" t="s">
        <v>2705</v>
      </c>
      <c r="AW527" s="142" t="s">
        <v>2705</v>
      </c>
      <c r="AX527" s="142" t="s">
        <v>2705</v>
      </c>
      <c r="AY527" s="142" t="s">
        <v>2398</v>
      </c>
      <c r="AZ527" s="142" t="s">
        <v>2398</v>
      </c>
    </row>
    <row r="528" spans="1:52" s="142" customFormat="1" ht="12.75" x14ac:dyDescent="0.2">
      <c r="A528" s="151"/>
      <c r="B528" s="152" t="s">
        <v>2705</v>
      </c>
      <c r="C528" s="152" t="s">
        <v>2398</v>
      </c>
      <c r="D528" s="152" t="s">
        <v>1435</v>
      </c>
      <c r="E528" s="152" t="s">
        <v>2705</v>
      </c>
      <c r="F528" s="152" t="s">
        <v>2398</v>
      </c>
      <c r="G528" s="152" t="s">
        <v>1435</v>
      </c>
      <c r="H528" s="152" t="s">
        <v>2705</v>
      </c>
      <c r="I528" s="152" t="s">
        <v>2398</v>
      </c>
      <c r="J528" s="152" t="s">
        <v>2705</v>
      </c>
      <c r="K528" s="152" t="s">
        <v>2398</v>
      </c>
      <c r="L528" s="152" t="s">
        <v>2705</v>
      </c>
      <c r="M528" s="152" t="s">
        <v>2705</v>
      </c>
      <c r="N528" s="152" t="s">
        <v>2705</v>
      </c>
      <c r="O528" s="152" t="s">
        <v>2705</v>
      </c>
      <c r="P528" s="152" t="s">
        <v>2705</v>
      </c>
      <c r="Q528" s="152" t="s">
        <v>2705</v>
      </c>
      <c r="R528" s="152" t="s">
        <v>2398</v>
      </c>
      <c r="S528" s="152" t="s">
        <v>2705</v>
      </c>
      <c r="T528" s="152" t="s">
        <v>2705</v>
      </c>
      <c r="U528" s="152" t="s">
        <v>2705</v>
      </c>
      <c r="V528" s="142" t="str" cm="1">
        <f t="array" ref="V528">IF(A528&lt;&gt;"",SUM(--(B528:U529 = "X")*$U$3,--(B528:U529 ="A")*$Q$3,--(B528:U529 ="B")*$R$3,--(B528:U529 ="C")*$S$3),"")</f>
        <v/>
      </c>
      <c r="X528" s="437" t="s">
        <v>7836</v>
      </c>
      <c r="Y528" s="437">
        <v>14.5</v>
      </c>
      <c r="Z528" s="436">
        <f>_xlfn.XLOOKUP(answers[[#This Row],[StudentID]],$A$7:$A$1418,$V$7:$V$1418)</f>
        <v>14.5</v>
      </c>
      <c r="AG528" s="142" t="s">
        <v>2705</v>
      </c>
      <c r="AH528" s="142" t="s">
        <v>2398</v>
      </c>
      <c r="AI528" s="142" t="s">
        <v>1435</v>
      </c>
      <c r="AJ528" s="142" t="s">
        <v>2705</v>
      </c>
      <c r="AK528" s="142" t="s">
        <v>2398</v>
      </c>
      <c r="AL528" s="142" t="s">
        <v>1435</v>
      </c>
      <c r="AM528" s="142" t="s">
        <v>2705</v>
      </c>
      <c r="AN528" s="142" t="s">
        <v>2398</v>
      </c>
      <c r="AO528" s="142" t="s">
        <v>2705</v>
      </c>
      <c r="AP528" s="142" t="s">
        <v>2398</v>
      </c>
      <c r="AQ528" s="142" t="s">
        <v>2705</v>
      </c>
      <c r="AR528" s="142" t="s">
        <v>2705</v>
      </c>
      <c r="AS528" s="142" t="s">
        <v>2705</v>
      </c>
      <c r="AT528" s="142" t="s">
        <v>2705</v>
      </c>
      <c r="AU528" s="142" t="s">
        <v>2705</v>
      </c>
      <c r="AV528" s="142" t="s">
        <v>2705</v>
      </c>
      <c r="AW528" s="142" t="s">
        <v>2398</v>
      </c>
      <c r="AX528" s="142" t="s">
        <v>2705</v>
      </c>
      <c r="AY528" s="142" t="s">
        <v>2705</v>
      </c>
      <c r="AZ528" s="142" t="s">
        <v>2705</v>
      </c>
    </row>
    <row r="529" spans="1:52" s="142" customFormat="1" ht="12.75" x14ac:dyDescent="0.2">
      <c r="A529" s="151" t="s">
        <v>7581</v>
      </c>
      <c r="B529" s="152" t="s">
        <v>2705</v>
      </c>
      <c r="C529" s="152" t="s">
        <v>2675</v>
      </c>
      <c r="D529" s="152" t="s">
        <v>2675</v>
      </c>
      <c r="E529" s="152" t="s">
        <v>2705</v>
      </c>
      <c r="F529" s="152" t="s">
        <v>2398</v>
      </c>
      <c r="G529" s="152" t="s">
        <v>2705</v>
      </c>
      <c r="H529" s="152" t="s">
        <v>2398</v>
      </c>
      <c r="I529" s="152" t="s">
        <v>2705</v>
      </c>
      <c r="J529" s="152" t="s">
        <v>2705</v>
      </c>
      <c r="K529" s="152" t="s">
        <v>2398</v>
      </c>
      <c r="L529" s="152" t="s">
        <v>2675</v>
      </c>
      <c r="M529" s="152" t="s">
        <v>2398</v>
      </c>
      <c r="N529" s="152" t="s">
        <v>2705</v>
      </c>
      <c r="O529" s="152" t="s">
        <v>2398</v>
      </c>
      <c r="P529" s="152" t="s">
        <v>2398</v>
      </c>
      <c r="Q529" s="152" t="s">
        <v>2705</v>
      </c>
      <c r="R529" s="152" t="s">
        <v>2705</v>
      </c>
      <c r="S529" s="152" t="s">
        <v>2398</v>
      </c>
      <c r="T529" s="152" t="s">
        <v>1435</v>
      </c>
      <c r="U529" s="152" t="s">
        <v>2705</v>
      </c>
      <c r="V529" s="142" cm="1">
        <f t="array" ref="V529">IF(A529&lt;&gt;"",SUM(--(B529:U530 = "X")*$U$3,--(B529:U530 ="A")*$Q$3,--(B529:U530 ="B")*$R$3,--(B529:U530 ="C")*$S$3),"")</f>
        <v>17.5</v>
      </c>
      <c r="X529" s="437" t="s">
        <v>7837</v>
      </c>
      <c r="Y529" s="437">
        <v>17.5</v>
      </c>
      <c r="Z529" s="436">
        <f>_xlfn.XLOOKUP(answers[[#This Row],[StudentID]],$A$7:$A$1418,$V$7:$V$1418)</f>
        <v>17.5</v>
      </c>
      <c r="AF529" s="142" t="s">
        <v>7581</v>
      </c>
      <c r="AG529" s="142" t="s">
        <v>2705</v>
      </c>
      <c r="AH529" s="142" t="s">
        <v>2675</v>
      </c>
      <c r="AI529" s="142" t="s">
        <v>2675</v>
      </c>
      <c r="AJ529" s="142" t="s">
        <v>2705</v>
      </c>
      <c r="AK529" s="142" t="s">
        <v>2398</v>
      </c>
      <c r="AL529" s="142" t="s">
        <v>2705</v>
      </c>
      <c r="AM529" s="142" t="s">
        <v>2398</v>
      </c>
      <c r="AN529" s="142" t="s">
        <v>2705</v>
      </c>
      <c r="AO529" s="142" t="s">
        <v>2705</v>
      </c>
      <c r="AP529" s="142" t="s">
        <v>2398</v>
      </c>
      <c r="AQ529" s="142" t="s">
        <v>2675</v>
      </c>
      <c r="AR529" s="142" t="s">
        <v>2398</v>
      </c>
      <c r="AS529" s="142" t="s">
        <v>2705</v>
      </c>
      <c r="AT529" s="142" t="s">
        <v>2398</v>
      </c>
      <c r="AU529" s="142" t="s">
        <v>2398</v>
      </c>
      <c r="AV529" s="142" t="s">
        <v>2705</v>
      </c>
      <c r="AW529" s="142" t="s">
        <v>2705</v>
      </c>
      <c r="AX529" s="142" t="s">
        <v>2398</v>
      </c>
      <c r="AY529" s="142" t="s">
        <v>1435</v>
      </c>
      <c r="AZ529" s="142" t="s">
        <v>2705</v>
      </c>
    </row>
    <row r="530" spans="1:52" s="142" customFormat="1" ht="12.75" x14ac:dyDescent="0.2">
      <c r="A530" s="151"/>
      <c r="B530" s="152" t="s">
        <v>2705</v>
      </c>
      <c r="C530" s="152" t="s">
        <v>2398</v>
      </c>
      <c r="D530" s="152" t="s">
        <v>2705</v>
      </c>
      <c r="E530" s="152" t="s">
        <v>2705</v>
      </c>
      <c r="F530" s="152" t="s">
        <v>2398</v>
      </c>
      <c r="G530" s="152" t="s">
        <v>2398</v>
      </c>
      <c r="H530" s="152" t="s">
        <v>2705</v>
      </c>
      <c r="I530" s="152" t="s">
        <v>2705</v>
      </c>
      <c r="J530" s="152" t="s">
        <v>2705</v>
      </c>
      <c r="K530" s="152" t="s">
        <v>2705</v>
      </c>
      <c r="L530" s="152" t="s">
        <v>2705</v>
      </c>
      <c r="M530" s="152" t="s">
        <v>2398</v>
      </c>
      <c r="N530" s="152" t="s">
        <v>2705</v>
      </c>
      <c r="O530" s="152" t="s">
        <v>2705</v>
      </c>
      <c r="P530" s="152" t="s">
        <v>2398</v>
      </c>
      <c r="Q530" s="152" t="s">
        <v>2398</v>
      </c>
      <c r="R530" s="152" t="s">
        <v>1435</v>
      </c>
      <c r="S530" s="152" t="s">
        <v>2705</v>
      </c>
      <c r="T530" s="152" t="s">
        <v>2397</v>
      </c>
      <c r="U530" s="152" t="s">
        <v>2398</v>
      </c>
      <c r="V530" s="142" t="str" cm="1">
        <f t="array" ref="V530">IF(A530&lt;&gt;"",SUM(--(B530:U531 = "X")*$U$3,--(B530:U531 ="A")*$Q$3,--(B530:U531 ="B")*$R$3,--(B530:U531 ="C")*$S$3),"")</f>
        <v/>
      </c>
      <c r="X530" s="437" t="s">
        <v>7838</v>
      </c>
      <c r="Y530" s="437">
        <v>26</v>
      </c>
      <c r="Z530" s="436">
        <f>_xlfn.XLOOKUP(answers[[#This Row],[StudentID]],$A$7:$A$1418,$V$7:$V$1418)</f>
        <v>26</v>
      </c>
      <c r="AG530" s="142" t="s">
        <v>2705</v>
      </c>
      <c r="AH530" s="142" t="s">
        <v>2398</v>
      </c>
      <c r="AI530" s="142" t="s">
        <v>2705</v>
      </c>
      <c r="AJ530" s="142" t="s">
        <v>2705</v>
      </c>
      <c r="AK530" s="142" t="s">
        <v>2398</v>
      </c>
      <c r="AL530" s="142" t="s">
        <v>2398</v>
      </c>
      <c r="AM530" s="142" t="s">
        <v>2705</v>
      </c>
      <c r="AN530" s="142" t="s">
        <v>2705</v>
      </c>
      <c r="AO530" s="142" t="s">
        <v>2705</v>
      </c>
      <c r="AP530" s="142" t="s">
        <v>2705</v>
      </c>
      <c r="AQ530" s="142" t="s">
        <v>2705</v>
      </c>
      <c r="AR530" s="142" t="s">
        <v>2398</v>
      </c>
      <c r="AS530" s="142" t="s">
        <v>2705</v>
      </c>
      <c r="AT530" s="142" t="s">
        <v>2705</v>
      </c>
      <c r="AU530" s="142" t="s">
        <v>2398</v>
      </c>
      <c r="AV530" s="142" t="s">
        <v>2398</v>
      </c>
      <c r="AW530" s="142" t="s">
        <v>1435</v>
      </c>
      <c r="AX530" s="142" t="s">
        <v>2705</v>
      </c>
      <c r="AY530" s="142" t="s">
        <v>2397</v>
      </c>
      <c r="AZ530" s="142" t="s">
        <v>2398</v>
      </c>
    </row>
    <row r="531" spans="1:52" s="142" customFormat="1" ht="12.75" x14ac:dyDescent="0.2">
      <c r="A531" s="151" t="s">
        <v>7582</v>
      </c>
      <c r="B531" s="152" t="s">
        <v>2705</v>
      </c>
      <c r="C531" s="152" t="s">
        <v>2705</v>
      </c>
      <c r="D531" s="152" t="s">
        <v>2705</v>
      </c>
      <c r="E531" s="152" t="s">
        <v>2705</v>
      </c>
      <c r="F531" s="152" t="s">
        <v>1435</v>
      </c>
      <c r="G531" s="152" t="s">
        <v>2705</v>
      </c>
      <c r="H531" s="152" t="s">
        <v>2398</v>
      </c>
      <c r="I531" s="152" t="s">
        <v>2705</v>
      </c>
      <c r="J531" s="152" t="s">
        <v>2675</v>
      </c>
      <c r="K531" s="152" t="s">
        <v>2705</v>
      </c>
      <c r="L531" s="152" t="s">
        <v>2705</v>
      </c>
      <c r="M531" s="152" t="s">
        <v>2705</v>
      </c>
      <c r="N531" s="152" t="s">
        <v>2705</v>
      </c>
      <c r="O531" s="152" t="s">
        <v>2398</v>
      </c>
      <c r="P531" s="152" t="s">
        <v>2398</v>
      </c>
      <c r="Q531" s="152" t="s">
        <v>2705</v>
      </c>
      <c r="R531" s="152" t="s">
        <v>2705</v>
      </c>
      <c r="S531" s="152" t="s">
        <v>2705</v>
      </c>
      <c r="T531" s="152" t="s">
        <v>2398</v>
      </c>
      <c r="U531" s="152" t="s">
        <v>2705</v>
      </c>
      <c r="V531" s="142" cm="1">
        <f t="array" ref="V531">IF(A531&lt;&gt;"",SUM(--(B531:U532 = "X")*$U$3,--(B531:U532 ="A")*$Q$3,--(B531:U532 ="B")*$R$3,--(B531:U532 ="C")*$S$3),"")</f>
        <v>24</v>
      </c>
      <c r="X531" s="437" t="s">
        <v>7839</v>
      </c>
      <c r="Y531" s="437">
        <v>11.5</v>
      </c>
      <c r="Z531" s="436">
        <f>_xlfn.XLOOKUP(answers[[#This Row],[StudentID]],$A$7:$A$1418,$V$7:$V$1418)</f>
        <v>11.5</v>
      </c>
      <c r="AF531" s="142" t="s">
        <v>7582</v>
      </c>
      <c r="AG531" s="142" t="s">
        <v>2705</v>
      </c>
      <c r="AH531" s="142" t="s">
        <v>2705</v>
      </c>
      <c r="AI531" s="142" t="s">
        <v>2705</v>
      </c>
      <c r="AJ531" s="142" t="s">
        <v>2705</v>
      </c>
      <c r="AK531" s="142" t="s">
        <v>1435</v>
      </c>
      <c r="AL531" s="142" t="s">
        <v>2705</v>
      </c>
      <c r="AM531" s="142" t="s">
        <v>2398</v>
      </c>
      <c r="AN531" s="142" t="s">
        <v>2705</v>
      </c>
      <c r="AO531" s="142" t="s">
        <v>2675</v>
      </c>
      <c r="AP531" s="142" t="s">
        <v>2705</v>
      </c>
      <c r="AQ531" s="142" t="s">
        <v>2705</v>
      </c>
      <c r="AR531" s="142" t="s">
        <v>2705</v>
      </c>
      <c r="AS531" s="142" t="s">
        <v>2705</v>
      </c>
      <c r="AT531" s="142" t="s">
        <v>2398</v>
      </c>
      <c r="AU531" s="142" t="s">
        <v>2398</v>
      </c>
      <c r="AV531" s="142" t="s">
        <v>2705</v>
      </c>
      <c r="AW531" s="142" t="s">
        <v>2705</v>
      </c>
      <c r="AX531" s="142" t="s">
        <v>2705</v>
      </c>
      <c r="AY531" s="142" t="s">
        <v>2398</v>
      </c>
      <c r="AZ531" s="142" t="s">
        <v>2705</v>
      </c>
    </row>
    <row r="532" spans="1:52" s="142" customFormat="1" ht="12.75" x14ac:dyDescent="0.2">
      <c r="A532" s="151"/>
      <c r="B532" s="152" t="s">
        <v>2705</v>
      </c>
      <c r="C532" s="152" t="s">
        <v>2705</v>
      </c>
      <c r="D532" s="152" t="s">
        <v>2397</v>
      </c>
      <c r="E532" s="152" t="s">
        <v>2675</v>
      </c>
      <c r="F532" s="152" t="s">
        <v>2705</v>
      </c>
      <c r="G532" s="152" t="s">
        <v>2398</v>
      </c>
      <c r="H532" s="152" t="s">
        <v>2705</v>
      </c>
      <c r="I532" s="152" t="s">
        <v>2705</v>
      </c>
      <c r="J532" s="152" t="s">
        <v>2398</v>
      </c>
      <c r="K532" s="152" t="s">
        <v>2705</v>
      </c>
      <c r="L532" s="152" t="s">
        <v>2705</v>
      </c>
      <c r="M532" s="152" t="s">
        <v>2705</v>
      </c>
      <c r="N532" s="152" t="s">
        <v>2398</v>
      </c>
      <c r="O532" s="152" t="s">
        <v>2705</v>
      </c>
      <c r="P532" s="152" t="s">
        <v>1435</v>
      </c>
      <c r="Q532" s="152" t="s">
        <v>2705</v>
      </c>
      <c r="R532" s="152" t="s">
        <v>2398</v>
      </c>
      <c r="S532" s="152" t="s">
        <v>2398</v>
      </c>
      <c r="T532" s="152" t="s">
        <v>2705</v>
      </c>
      <c r="U532" s="152" t="s">
        <v>2705</v>
      </c>
      <c r="V532" s="142" t="str" cm="1">
        <f t="array" ref="V532">IF(A532&lt;&gt;"",SUM(--(B532:U533 = "X")*$U$3,--(B532:U533 ="A")*$Q$3,--(B532:U533 ="B")*$R$3,--(B532:U533 ="C")*$S$3),"")</f>
        <v/>
      </c>
      <c r="X532" s="437" t="s">
        <v>7840</v>
      </c>
      <c r="Y532" s="437">
        <v>12.5</v>
      </c>
      <c r="Z532" s="436">
        <f>_xlfn.XLOOKUP(answers[[#This Row],[StudentID]],$A$7:$A$1418,$V$7:$V$1418)</f>
        <v>12.5</v>
      </c>
      <c r="AG532" s="142" t="s">
        <v>2705</v>
      </c>
      <c r="AH532" s="142" t="s">
        <v>2705</v>
      </c>
      <c r="AI532" s="142" t="s">
        <v>2397</v>
      </c>
      <c r="AJ532" s="142" t="s">
        <v>2675</v>
      </c>
      <c r="AK532" s="142" t="s">
        <v>2705</v>
      </c>
      <c r="AL532" s="142" t="s">
        <v>2398</v>
      </c>
      <c r="AM532" s="142" t="s">
        <v>2705</v>
      </c>
      <c r="AN532" s="142" t="s">
        <v>2705</v>
      </c>
      <c r="AO532" s="142" t="s">
        <v>2398</v>
      </c>
      <c r="AP532" s="142" t="s">
        <v>2705</v>
      </c>
      <c r="AQ532" s="142" t="s">
        <v>2705</v>
      </c>
      <c r="AR532" s="142" t="s">
        <v>2705</v>
      </c>
      <c r="AS532" s="142" t="s">
        <v>2398</v>
      </c>
      <c r="AT532" s="142" t="s">
        <v>2705</v>
      </c>
      <c r="AU532" s="142" t="s">
        <v>1435</v>
      </c>
      <c r="AV532" s="142" t="s">
        <v>2705</v>
      </c>
      <c r="AW532" s="142" t="s">
        <v>2398</v>
      </c>
      <c r="AX532" s="142" t="s">
        <v>2398</v>
      </c>
      <c r="AY532" s="142" t="s">
        <v>2705</v>
      </c>
      <c r="AZ532" s="142" t="s">
        <v>2705</v>
      </c>
    </row>
    <row r="533" spans="1:52" s="142" customFormat="1" ht="12.75" x14ac:dyDescent="0.2">
      <c r="A533" s="151" t="s">
        <v>7583</v>
      </c>
      <c r="B533" s="152" t="s">
        <v>2398</v>
      </c>
      <c r="C533" s="152" t="s">
        <v>2398</v>
      </c>
      <c r="D533" s="152" t="s">
        <v>2705</v>
      </c>
      <c r="E533" s="152" t="s">
        <v>2398</v>
      </c>
      <c r="F533" s="152" t="s">
        <v>2398</v>
      </c>
      <c r="G533" s="152" t="s">
        <v>2705</v>
      </c>
      <c r="H533" s="152" t="s">
        <v>2398</v>
      </c>
      <c r="I533" s="152" t="s">
        <v>2398</v>
      </c>
      <c r="J533" s="152" t="s">
        <v>2675</v>
      </c>
      <c r="K533" s="152" t="s">
        <v>2705</v>
      </c>
      <c r="L533" s="152" t="s">
        <v>2705</v>
      </c>
      <c r="M533" s="152" t="s">
        <v>2398</v>
      </c>
      <c r="N533" s="152" t="s">
        <v>2705</v>
      </c>
      <c r="O533" s="152" t="s">
        <v>2398</v>
      </c>
      <c r="P533" s="152" t="s">
        <v>2398</v>
      </c>
      <c r="Q533" s="152" t="s">
        <v>2398</v>
      </c>
      <c r="R533" s="152" t="s">
        <v>2398</v>
      </c>
      <c r="S533" s="152" t="s">
        <v>2398</v>
      </c>
      <c r="T533" s="152" t="s">
        <v>2705</v>
      </c>
      <c r="U533" s="152" t="s">
        <v>2398</v>
      </c>
      <c r="V533" s="142" cm="1">
        <f t="array" ref="V533">IF(A533&lt;&gt;"",SUM(--(B533:U534 = "X")*$U$3,--(B533:U534 ="A")*$Q$3,--(B533:U534 ="B")*$R$3,--(B533:U534 ="C")*$S$3),"")</f>
        <v>17</v>
      </c>
      <c r="X533" s="437" t="s">
        <v>7841</v>
      </c>
      <c r="Y533" s="437">
        <v>16</v>
      </c>
      <c r="Z533" s="436">
        <f>_xlfn.XLOOKUP(answers[[#This Row],[StudentID]],$A$7:$A$1418,$V$7:$V$1418)</f>
        <v>16</v>
      </c>
      <c r="AF533" s="142" t="s">
        <v>7583</v>
      </c>
      <c r="AG533" s="142" t="s">
        <v>2398</v>
      </c>
      <c r="AH533" s="142" t="s">
        <v>2398</v>
      </c>
      <c r="AI533" s="142" t="s">
        <v>2705</v>
      </c>
      <c r="AJ533" s="142" t="s">
        <v>2398</v>
      </c>
      <c r="AK533" s="142" t="s">
        <v>2398</v>
      </c>
      <c r="AL533" s="142" t="s">
        <v>2705</v>
      </c>
      <c r="AM533" s="142" t="s">
        <v>2398</v>
      </c>
      <c r="AN533" s="142" t="s">
        <v>2398</v>
      </c>
      <c r="AO533" s="142" t="s">
        <v>2675</v>
      </c>
      <c r="AP533" s="142" t="s">
        <v>2705</v>
      </c>
      <c r="AQ533" s="142" t="s">
        <v>2705</v>
      </c>
      <c r="AR533" s="142" t="s">
        <v>2398</v>
      </c>
      <c r="AS533" s="142" t="s">
        <v>2705</v>
      </c>
      <c r="AT533" s="142" t="s">
        <v>2398</v>
      </c>
      <c r="AU533" s="142" t="s">
        <v>2398</v>
      </c>
      <c r="AV533" s="142" t="s">
        <v>2398</v>
      </c>
      <c r="AW533" s="142" t="s">
        <v>2398</v>
      </c>
      <c r="AX533" s="142" t="s">
        <v>2398</v>
      </c>
      <c r="AY533" s="142" t="s">
        <v>2705</v>
      </c>
      <c r="AZ533" s="142" t="s">
        <v>2398</v>
      </c>
    </row>
    <row r="534" spans="1:52" s="142" customFormat="1" ht="12.75" x14ac:dyDescent="0.2">
      <c r="A534" s="151"/>
      <c r="B534" s="152" t="s">
        <v>2705</v>
      </c>
      <c r="C534" s="152" t="s">
        <v>2705</v>
      </c>
      <c r="D534" s="152" t="s">
        <v>2705</v>
      </c>
      <c r="E534" s="152" t="s">
        <v>2705</v>
      </c>
      <c r="F534" s="152" t="s">
        <v>2705</v>
      </c>
      <c r="G534" s="152" t="s">
        <v>2705</v>
      </c>
      <c r="H534" s="152" t="s">
        <v>2705</v>
      </c>
      <c r="I534" s="152" t="s">
        <v>2705</v>
      </c>
      <c r="J534" s="152" t="s">
        <v>2705</v>
      </c>
      <c r="K534" s="152" t="s">
        <v>2705</v>
      </c>
      <c r="L534" s="152" t="s">
        <v>1435</v>
      </c>
      <c r="M534" s="152" t="s">
        <v>1435</v>
      </c>
      <c r="N534" s="152" t="s">
        <v>2398</v>
      </c>
      <c r="O534" s="152" t="s">
        <v>2398</v>
      </c>
      <c r="P534" s="152" t="s">
        <v>2398</v>
      </c>
      <c r="Q534" s="152" t="s">
        <v>2705</v>
      </c>
      <c r="R534" s="152" t="s">
        <v>2398</v>
      </c>
      <c r="S534" s="152" t="s">
        <v>2675</v>
      </c>
      <c r="T534" s="152" t="s">
        <v>2705</v>
      </c>
      <c r="U534" s="152" t="s">
        <v>2705</v>
      </c>
      <c r="V534" s="142" t="str" cm="1">
        <f t="array" ref="V534">IF(A534&lt;&gt;"",SUM(--(B534:U535 = "X")*$U$3,--(B534:U535 ="A")*$Q$3,--(B534:U535 ="B")*$R$3,--(B534:U535 ="C")*$S$3),"")</f>
        <v/>
      </c>
      <c r="X534" s="437" t="s">
        <v>7842</v>
      </c>
      <c r="Y534" s="437">
        <v>8.5</v>
      </c>
      <c r="Z534" s="436">
        <f>_xlfn.XLOOKUP(answers[[#This Row],[StudentID]],$A$7:$A$1418,$V$7:$V$1418)</f>
        <v>8.5</v>
      </c>
      <c r="AG534" s="142" t="s">
        <v>2705</v>
      </c>
      <c r="AH534" s="142" t="s">
        <v>2705</v>
      </c>
      <c r="AI534" s="142" t="s">
        <v>2705</v>
      </c>
      <c r="AJ534" s="142" t="s">
        <v>2705</v>
      </c>
      <c r="AK534" s="142" t="s">
        <v>2705</v>
      </c>
      <c r="AL534" s="142" t="s">
        <v>2705</v>
      </c>
      <c r="AM534" s="142" t="s">
        <v>2705</v>
      </c>
      <c r="AN534" s="142" t="s">
        <v>2705</v>
      </c>
      <c r="AO534" s="142" t="s">
        <v>2705</v>
      </c>
      <c r="AP534" s="142" t="s">
        <v>2705</v>
      </c>
      <c r="AQ534" s="142" t="s">
        <v>1435</v>
      </c>
      <c r="AR534" s="142" t="s">
        <v>1435</v>
      </c>
      <c r="AS534" s="142" t="s">
        <v>2398</v>
      </c>
      <c r="AT534" s="142" t="s">
        <v>2398</v>
      </c>
      <c r="AU534" s="142" t="s">
        <v>2398</v>
      </c>
      <c r="AV534" s="142" t="s">
        <v>2705</v>
      </c>
      <c r="AW534" s="142" t="s">
        <v>2398</v>
      </c>
      <c r="AX534" s="142" t="s">
        <v>2675</v>
      </c>
      <c r="AY534" s="142" t="s">
        <v>2705</v>
      </c>
      <c r="AZ534" s="142" t="s">
        <v>2705</v>
      </c>
    </row>
    <row r="535" spans="1:52" s="142" customFormat="1" ht="12.75" x14ac:dyDescent="0.2">
      <c r="A535" s="151" t="s">
        <v>7584</v>
      </c>
      <c r="B535" s="152" t="s">
        <v>2705</v>
      </c>
      <c r="C535" s="152" t="s">
        <v>2705</v>
      </c>
      <c r="D535" s="152" t="s">
        <v>2705</v>
      </c>
      <c r="E535" s="152" t="s">
        <v>2705</v>
      </c>
      <c r="F535" s="152" t="s">
        <v>1435</v>
      </c>
      <c r="G535" s="152" t="s">
        <v>1435</v>
      </c>
      <c r="H535" s="152" t="s">
        <v>2705</v>
      </c>
      <c r="I535" s="152" t="s">
        <v>2705</v>
      </c>
      <c r="J535" s="152" t="s">
        <v>2675</v>
      </c>
      <c r="K535" s="152" t="s">
        <v>1435</v>
      </c>
      <c r="L535" s="152" t="s">
        <v>2705</v>
      </c>
      <c r="M535" s="152" t="s">
        <v>2705</v>
      </c>
      <c r="N535" s="152" t="s">
        <v>2705</v>
      </c>
      <c r="O535" s="152" t="s">
        <v>2705</v>
      </c>
      <c r="P535" s="152" t="s">
        <v>2705</v>
      </c>
      <c r="Q535" s="152" t="s">
        <v>2675</v>
      </c>
      <c r="R535" s="152" t="s">
        <v>2705</v>
      </c>
      <c r="S535" s="152" t="s">
        <v>2705</v>
      </c>
      <c r="T535" s="152" t="s">
        <v>2705</v>
      </c>
      <c r="U535" s="152" t="s">
        <v>2398</v>
      </c>
      <c r="V535" s="142" cm="1">
        <f t="array" ref="V535">IF(A535&lt;&gt;"",SUM(--(B535:U536 = "X")*$U$3,--(B535:U536 ="A")*$Q$3,--(B535:U536 ="B")*$R$3,--(B535:U536 ="C")*$S$3),"")</f>
        <v>25.5</v>
      </c>
      <c r="X535" s="437" t="s">
        <v>7843</v>
      </c>
      <c r="Y535" s="437">
        <v>11</v>
      </c>
      <c r="Z535" s="436">
        <f>_xlfn.XLOOKUP(answers[[#This Row],[StudentID]],$A$7:$A$1418,$V$7:$V$1418)</f>
        <v>11</v>
      </c>
      <c r="AF535" s="142" t="s">
        <v>7584</v>
      </c>
      <c r="AG535" s="142" t="s">
        <v>2705</v>
      </c>
      <c r="AH535" s="142" t="s">
        <v>2705</v>
      </c>
      <c r="AI535" s="142" t="s">
        <v>2705</v>
      </c>
      <c r="AJ535" s="142" t="s">
        <v>2705</v>
      </c>
      <c r="AK535" s="142" t="s">
        <v>1435</v>
      </c>
      <c r="AL535" s="142" t="s">
        <v>1435</v>
      </c>
      <c r="AM535" s="142" t="s">
        <v>2705</v>
      </c>
      <c r="AN535" s="142" t="s">
        <v>2705</v>
      </c>
      <c r="AO535" s="142" t="s">
        <v>2675</v>
      </c>
      <c r="AP535" s="142" t="s">
        <v>1435</v>
      </c>
      <c r="AQ535" s="142" t="s">
        <v>2705</v>
      </c>
      <c r="AR535" s="142" t="s">
        <v>2705</v>
      </c>
      <c r="AS535" s="142" t="s">
        <v>2705</v>
      </c>
      <c r="AT535" s="142" t="s">
        <v>2705</v>
      </c>
      <c r="AU535" s="142" t="s">
        <v>2705</v>
      </c>
      <c r="AV535" s="142" t="s">
        <v>2675</v>
      </c>
      <c r="AW535" s="142" t="s">
        <v>2705</v>
      </c>
      <c r="AX535" s="142" t="s">
        <v>2705</v>
      </c>
      <c r="AY535" s="142" t="s">
        <v>2705</v>
      </c>
      <c r="AZ535" s="142" t="s">
        <v>2398</v>
      </c>
    </row>
    <row r="536" spans="1:52" s="142" customFormat="1" ht="12.75" x14ac:dyDescent="0.2">
      <c r="A536" s="151"/>
      <c r="B536" s="152" t="s">
        <v>2705</v>
      </c>
      <c r="C536" s="152" t="s">
        <v>2705</v>
      </c>
      <c r="D536" s="152" t="s">
        <v>2705</v>
      </c>
      <c r="E536" s="152" t="s">
        <v>2705</v>
      </c>
      <c r="F536" s="152" t="s">
        <v>2705</v>
      </c>
      <c r="G536" s="152" t="s">
        <v>1435</v>
      </c>
      <c r="H536" s="152" t="s">
        <v>2705</v>
      </c>
      <c r="I536" s="152" t="s">
        <v>2705</v>
      </c>
      <c r="J536" s="152" t="s">
        <v>2705</v>
      </c>
      <c r="K536" s="152" t="s">
        <v>2705</v>
      </c>
      <c r="L536" s="152" t="s">
        <v>1435</v>
      </c>
      <c r="M536" s="152" t="s">
        <v>1435</v>
      </c>
      <c r="N536" s="152" t="s">
        <v>2705</v>
      </c>
      <c r="O536" s="152" t="s">
        <v>2705</v>
      </c>
      <c r="P536" s="152" t="s">
        <v>2705</v>
      </c>
      <c r="Q536" s="152" t="s">
        <v>2705</v>
      </c>
      <c r="R536" s="152" t="s">
        <v>1435</v>
      </c>
      <c r="S536" s="152" t="s">
        <v>2705</v>
      </c>
      <c r="T536" s="152" t="s">
        <v>2705</v>
      </c>
      <c r="U536" s="152" t="s">
        <v>2705</v>
      </c>
      <c r="V536" s="142" t="str" cm="1">
        <f t="array" ref="V536">IF(A536&lt;&gt;"",SUM(--(B536:U537 = "X")*$U$3,--(B536:U537 ="A")*$Q$3,--(B536:U537 ="B")*$R$3,--(B536:U537 ="C")*$S$3),"")</f>
        <v/>
      </c>
      <c r="X536" s="437" t="s">
        <v>7844</v>
      </c>
      <c r="Y536" s="437">
        <v>12.5</v>
      </c>
      <c r="Z536" s="436">
        <f>_xlfn.XLOOKUP(answers[[#This Row],[StudentID]],$A$7:$A$1418,$V$7:$V$1418)</f>
        <v>12.5</v>
      </c>
      <c r="AG536" s="142" t="s">
        <v>2705</v>
      </c>
      <c r="AH536" s="142" t="s">
        <v>2705</v>
      </c>
      <c r="AI536" s="142" t="s">
        <v>2705</v>
      </c>
      <c r="AJ536" s="142" t="s">
        <v>2705</v>
      </c>
      <c r="AK536" s="142" t="s">
        <v>2705</v>
      </c>
      <c r="AL536" s="142" t="s">
        <v>1435</v>
      </c>
      <c r="AM536" s="142" t="s">
        <v>2705</v>
      </c>
      <c r="AN536" s="142" t="s">
        <v>2705</v>
      </c>
      <c r="AO536" s="142" t="s">
        <v>2705</v>
      </c>
      <c r="AP536" s="142" t="s">
        <v>2705</v>
      </c>
      <c r="AQ536" s="142" t="s">
        <v>1435</v>
      </c>
      <c r="AR536" s="142" t="s">
        <v>1435</v>
      </c>
      <c r="AS536" s="142" t="s">
        <v>2705</v>
      </c>
      <c r="AT536" s="142" t="s">
        <v>2705</v>
      </c>
      <c r="AU536" s="142" t="s">
        <v>2705</v>
      </c>
      <c r="AV536" s="142" t="s">
        <v>2705</v>
      </c>
      <c r="AW536" s="142" t="s">
        <v>1435</v>
      </c>
      <c r="AX536" s="142" t="s">
        <v>2705</v>
      </c>
      <c r="AY536" s="142" t="s">
        <v>2705</v>
      </c>
      <c r="AZ536" s="142" t="s">
        <v>2705</v>
      </c>
    </row>
    <row r="537" spans="1:52" s="142" customFormat="1" ht="12.75" x14ac:dyDescent="0.2">
      <c r="A537" s="151" t="s">
        <v>7585</v>
      </c>
      <c r="B537" s="152" t="s">
        <v>2705</v>
      </c>
      <c r="C537" s="152" t="s">
        <v>2705</v>
      </c>
      <c r="D537" s="152" t="s">
        <v>2675</v>
      </c>
      <c r="E537" s="152" t="s">
        <v>1435</v>
      </c>
      <c r="F537" s="152" t="s">
        <v>2398</v>
      </c>
      <c r="G537" s="152" t="s">
        <v>2705</v>
      </c>
      <c r="H537" s="152" t="s">
        <v>2705</v>
      </c>
      <c r="I537" s="152" t="s">
        <v>2398</v>
      </c>
      <c r="J537" s="152" t="s">
        <v>2705</v>
      </c>
      <c r="K537" s="152" t="s">
        <v>1435</v>
      </c>
      <c r="L537" s="152" t="s">
        <v>2705</v>
      </c>
      <c r="M537" s="152" t="s">
        <v>2705</v>
      </c>
      <c r="N537" s="152" t="s">
        <v>2675</v>
      </c>
      <c r="O537" s="152" t="s">
        <v>2398</v>
      </c>
      <c r="P537" s="152" t="s">
        <v>2675</v>
      </c>
      <c r="Q537" s="152" t="s">
        <v>2398</v>
      </c>
      <c r="R537" s="152" t="s">
        <v>2397</v>
      </c>
      <c r="S537" s="152" t="s">
        <v>2398</v>
      </c>
      <c r="T537" s="152" t="s">
        <v>2398</v>
      </c>
      <c r="U537" s="152" t="s">
        <v>2705</v>
      </c>
      <c r="V537" s="142" cm="1">
        <f t="array" ref="V537">IF(A537&lt;&gt;"",SUM(--(B537:U538 = "X")*$U$3,--(B537:U538 ="A")*$Q$3,--(B537:U538 ="B")*$R$3,--(B537:U538 ="C")*$S$3),"")</f>
        <v>13.5</v>
      </c>
      <c r="X537" s="437" t="s">
        <v>7845</v>
      </c>
      <c r="Y537" s="437">
        <v>18.5</v>
      </c>
      <c r="Z537" s="436">
        <f>_xlfn.XLOOKUP(answers[[#This Row],[StudentID]],$A$7:$A$1418,$V$7:$V$1418)</f>
        <v>18.5</v>
      </c>
      <c r="AF537" s="142" t="s">
        <v>7585</v>
      </c>
      <c r="AG537" s="142" t="s">
        <v>2705</v>
      </c>
      <c r="AH537" s="142" t="s">
        <v>2705</v>
      </c>
      <c r="AI537" s="142" t="s">
        <v>2675</v>
      </c>
      <c r="AJ537" s="142" t="s">
        <v>1435</v>
      </c>
      <c r="AK537" s="142" t="s">
        <v>2398</v>
      </c>
      <c r="AL537" s="142" t="s">
        <v>2705</v>
      </c>
      <c r="AM537" s="142" t="s">
        <v>2705</v>
      </c>
      <c r="AN537" s="142" t="s">
        <v>2398</v>
      </c>
      <c r="AO537" s="142" t="s">
        <v>2705</v>
      </c>
      <c r="AP537" s="142" t="s">
        <v>1435</v>
      </c>
      <c r="AQ537" s="142" t="s">
        <v>2705</v>
      </c>
      <c r="AR537" s="142" t="s">
        <v>2705</v>
      </c>
      <c r="AS537" s="142" t="s">
        <v>2675</v>
      </c>
      <c r="AT537" s="142" t="s">
        <v>2398</v>
      </c>
      <c r="AU537" s="142" t="s">
        <v>2675</v>
      </c>
      <c r="AV537" s="142" t="s">
        <v>2398</v>
      </c>
      <c r="AW537" s="142" t="s">
        <v>2397</v>
      </c>
      <c r="AX537" s="142" t="s">
        <v>2398</v>
      </c>
      <c r="AY537" s="142" t="s">
        <v>2398</v>
      </c>
      <c r="AZ537" s="142" t="s">
        <v>2705</v>
      </c>
    </row>
    <row r="538" spans="1:52" s="142" customFormat="1" ht="12.75" x14ac:dyDescent="0.2">
      <c r="A538" s="151"/>
      <c r="B538" s="152" t="s">
        <v>2398</v>
      </c>
      <c r="C538" s="152" t="s">
        <v>2397</v>
      </c>
      <c r="D538" s="152" t="s">
        <v>2705</v>
      </c>
      <c r="E538" s="152" t="s">
        <v>2675</v>
      </c>
      <c r="F538" s="152" t="s">
        <v>2705</v>
      </c>
      <c r="G538" s="152" t="s">
        <v>2398</v>
      </c>
      <c r="H538" s="152" t="s">
        <v>2705</v>
      </c>
      <c r="I538" s="152" t="s">
        <v>2705</v>
      </c>
      <c r="J538" s="152" t="s">
        <v>2675</v>
      </c>
      <c r="K538" s="152" t="s">
        <v>2705</v>
      </c>
      <c r="L538" s="152" t="s">
        <v>2705</v>
      </c>
      <c r="M538" s="152" t="s">
        <v>2398</v>
      </c>
      <c r="N538" s="152" t="s">
        <v>2398</v>
      </c>
      <c r="O538" s="152" t="s">
        <v>2705</v>
      </c>
      <c r="P538" s="152" t="s">
        <v>2705</v>
      </c>
      <c r="Q538" s="152" t="s">
        <v>2398</v>
      </c>
      <c r="R538" s="152" t="s">
        <v>2398</v>
      </c>
      <c r="S538" s="152" t="s">
        <v>2705</v>
      </c>
      <c r="T538" s="152" t="s">
        <v>2398</v>
      </c>
      <c r="U538" s="152" t="s">
        <v>2398</v>
      </c>
      <c r="V538" s="142" t="str" cm="1">
        <f t="array" ref="V538">IF(A538&lt;&gt;"",SUM(--(B538:U539 = "X")*$U$3,--(B538:U539 ="A")*$Q$3,--(B538:U539 ="B")*$R$3,--(B538:U539 ="C")*$S$3),"")</f>
        <v/>
      </c>
      <c r="X538" s="437" t="s">
        <v>7846</v>
      </c>
      <c r="Y538" s="437">
        <v>8.5</v>
      </c>
      <c r="Z538" s="436">
        <f>_xlfn.XLOOKUP(answers[[#This Row],[StudentID]],$A$7:$A$1418,$V$7:$V$1418)</f>
        <v>8.5</v>
      </c>
      <c r="AG538" s="142" t="s">
        <v>2398</v>
      </c>
      <c r="AH538" s="142" t="s">
        <v>2397</v>
      </c>
      <c r="AI538" s="142" t="s">
        <v>2705</v>
      </c>
      <c r="AJ538" s="142" t="s">
        <v>2675</v>
      </c>
      <c r="AK538" s="142" t="s">
        <v>2705</v>
      </c>
      <c r="AL538" s="142" t="s">
        <v>2398</v>
      </c>
      <c r="AM538" s="142" t="s">
        <v>2705</v>
      </c>
      <c r="AN538" s="142" t="s">
        <v>2705</v>
      </c>
      <c r="AO538" s="142" t="s">
        <v>2675</v>
      </c>
      <c r="AP538" s="142" t="s">
        <v>2705</v>
      </c>
      <c r="AQ538" s="142" t="s">
        <v>2705</v>
      </c>
      <c r="AR538" s="142" t="s">
        <v>2398</v>
      </c>
      <c r="AS538" s="142" t="s">
        <v>2398</v>
      </c>
      <c r="AT538" s="142" t="s">
        <v>2705</v>
      </c>
      <c r="AU538" s="142" t="s">
        <v>2705</v>
      </c>
      <c r="AV538" s="142" t="s">
        <v>2398</v>
      </c>
      <c r="AW538" s="142" t="s">
        <v>2398</v>
      </c>
      <c r="AX538" s="142" t="s">
        <v>2705</v>
      </c>
      <c r="AY538" s="142" t="s">
        <v>2398</v>
      </c>
      <c r="AZ538" s="142" t="s">
        <v>2398</v>
      </c>
    </row>
    <row r="539" spans="1:52" s="142" customFormat="1" ht="12.75" x14ac:dyDescent="0.2">
      <c r="A539" s="151" t="s">
        <v>7586</v>
      </c>
      <c r="B539" s="152" t="s">
        <v>2398</v>
      </c>
      <c r="C539" s="152" t="s">
        <v>2398</v>
      </c>
      <c r="D539" s="152" t="s">
        <v>2398</v>
      </c>
      <c r="E539" s="152" t="s">
        <v>2398</v>
      </c>
      <c r="F539" s="152" t="s">
        <v>2398</v>
      </c>
      <c r="G539" s="152" t="s">
        <v>2705</v>
      </c>
      <c r="H539" s="152" t="s">
        <v>2705</v>
      </c>
      <c r="I539" s="152" t="s">
        <v>2398</v>
      </c>
      <c r="J539" s="152" t="s">
        <v>2398</v>
      </c>
      <c r="K539" s="152" t="s">
        <v>2398</v>
      </c>
      <c r="L539" s="152" t="s">
        <v>2398</v>
      </c>
      <c r="M539" s="152" t="s">
        <v>2705</v>
      </c>
      <c r="N539" s="152" t="s">
        <v>2705</v>
      </c>
      <c r="O539" s="152" t="s">
        <v>2398</v>
      </c>
      <c r="P539" s="152" t="s">
        <v>2705</v>
      </c>
      <c r="Q539" s="152" t="s">
        <v>2705</v>
      </c>
      <c r="R539" s="152" t="s">
        <v>2398</v>
      </c>
      <c r="S539" s="152" t="s">
        <v>2705</v>
      </c>
      <c r="T539" s="152" t="s">
        <v>2705</v>
      </c>
      <c r="U539" s="152" t="s">
        <v>2705</v>
      </c>
      <c r="V539" s="142" cm="1">
        <f t="array" ref="V539">IF(A539&lt;&gt;"",SUM(--(B539:U540 = "X")*$U$3,--(B539:U540 ="A")*$Q$3,--(B539:U540 ="B")*$R$3,--(B539:U540 ="C")*$S$3),"")</f>
        <v>18.5</v>
      </c>
      <c r="X539" s="437" t="s">
        <v>7847</v>
      </c>
      <c r="Y539" s="437">
        <v>15.5</v>
      </c>
      <c r="Z539" s="436">
        <f>_xlfn.XLOOKUP(answers[[#This Row],[StudentID]],$A$7:$A$1418,$V$7:$V$1418)</f>
        <v>15.5</v>
      </c>
      <c r="AF539" s="142" t="s">
        <v>7586</v>
      </c>
      <c r="AG539" s="142" t="s">
        <v>2398</v>
      </c>
      <c r="AH539" s="142" t="s">
        <v>2398</v>
      </c>
      <c r="AI539" s="142" t="s">
        <v>2398</v>
      </c>
      <c r="AJ539" s="142" t="s">
        <v>2398</v>
      </c>
      <c r="AK539" s="142" t="s">
        <v>2398</v>
      </c>
      <c r="AL539" s="142" t="s">
        <v>2705</v>
      </c>
      <c r="AM539" s="142" t="s">
        <v>2705</v>
      </c>
      <c r="AN539" s="142" t="s">
        <v>2398</v>
      </c>
      <c r="AO539" s="142" t="s">
        <v>2398</v>
      </c>
      <c r="AP539" s="142" t="s">
        <v>2398</v>
      </c>
      <c r="AQ539" s="142" t="s">
        <v>2398</v>
      </c>
      <c r="AR539" s="142" t="s">
        <v>2705</v>
      </c>
      <c r="AS539" s="142" t="s">
        <v>2705</v>
      </c>
      <c r="AT539" s="142" t="s">
        <v>2398</v>
      </c>
      <c r="AU539" s="142" t="s">
        <v>2705</v>
      </c>
      <c r="AV539" s="142" t="s">
        <v>2705</v>
      </c>
      <c r="AW539" s="142" t="s">
        <v>2398</v>
      </c>
      <c r="AX539" s="142" t="s">
        <v>2705</v>
      </c>
      <c r="AY539" s="142" t="s">
        <v>2705</v>
      </c>
      <c r="AZ539" s="142" t="s">
        <v>2705</v>
      </c>
    </row>
    <row r="540" spans="1:52" s="142" customFormat="1" ht="12.75" x14ac:dyDescent="0.2">
      <c r="A540" s="151"/>
      <c r="B540" s="152" t="s">
        <v>2705</v>
      </c>
      <c r="C540" s="152" t="s">
        <v>2398</v>
      </c>
      <c r="D540" s="152" t="s">
        <v>2705</v>
      </c>
      <c r="E540" s="152" t="s">
        <v>2398</v>
      </c>
      <c r="F540" s="152" t="s">
        <v>2705</v>
      </c>
      <c r="G540" s="152" t="s">
        <v>2705</v>
      </c>
      <c r="H540" s="152" t="s">
        <v>2398</v>
      </c>
      <c r="I540" s="152" t="s">
        <v>1435</v>
      </c>
      <c r="J540" s="152" t="s">
        <v>2398</v>
      </c>
      <c r="K540" s="152" t="s">
        <v>2705</v>
      </c>
      <c r="L540" s="152" t="s">
        <v>2398</v>
      </c>
      <c r="M540" s="152" t="s">
        <v>2398</v>
      </c>
      <c r="N540" s="152" t="s">
        <v>2705</v>
      </c>
      <c r="O540" s="152" t="s">
        <v>2398</v>
      </c>
      <c r="P540" s="152" t="s">
        <v>2398</v>
      </c>
      <c r="Q540" s="152" t="s">
        <v>2705</v>
      </c>
      <c r="R540" s="152" t="s">
        <v>2705</v>
      </c>
      <c r="S540" s="152" t="s">
        <v>2705</v>
      </c>
      <c r="T540" s="152" t="s">
        <v>2398</v>
      </c>
      <c r="U540" s="152" t="s">
        <v>2705</v>
      </c>
      <c r="V540" s="142" t="str" cm="1">
        <f t="array" ref="V540">IF(A540&lt;&gt;"",SUM(--(B540:U541 = "X")*$U$3,--(B540:U541 ="A")*$Q$3,--(B540:U541 ="B")*$R$3,--(B540:U541 ="C")*$S$3),"")</f>
        <v/>
      </c>
      <c r="X540" s="437" t="s">
        <v>7848</v>
      </c>
      <c r="Y540" s="437">
        <v>11</v>
      </c>
      <c r="Z540" s="436">
        <f>_xlfn.XLOOKUP(answers[[#This Row],[StudentID]],$A$7:$A$1418,$V$7:$V$1418)</f>
        <v>11</v>
      </c>
      <c r="AG540" s="142" t="s">
        <v>2705</v>
      </c>
      <c r="AH540" s="142" t="s">
        <v>2398</v>
      </c>
      <c r="AI540" s="142" t="s">
        <v>2705</v>
      </c>
      <c r="AJ540" s="142" t="s">
        <v>2398</v>
      </c>
      <c r="AK540" s="142" t="s">
        <v>2705</v>
      </c>
      <c r="AL540" s="142" t="s">
        <v>2705</v>
      </c>
      <c r="AM540" s="142" t="s">
        <v>2398</v>
      </c>
      <c r="AN540" s="142" t="s">
        <v>1435</v>
      </c>
      <c r="AO540" s="142" t="s">
        <v>2398</v>
      </c>
      <c r="AP540" s="142" t="s">
        <v>2705</v>
      </c>
      <c r="AQ540" s="142" t="s">
        <v>2398</v>
      </c>
      <c r="AR540" s="142" t="s">
        <v>2398</v>
      </c>
      <c r="AS540" s="142" t="s">
        <v>2705</v>
      </c>
      <c r="AT540" s="142" t="s">
        <v>2398</v>
      </c>
      <c r="AU540" s="142" t="s">
        <v>2398</v>
      </c>
      <c r="AV540" s="142" t="s">
        <v>2705</v>
      </c>
      <c r="AW540" s="142" t="s">
        <v>2705</v>
      </c>
      <c r="AX540" s="142" t="s">
        <v>2705</v>
      </c>
      <c r="AY540" s="142" t="s">
        <v>2398</v>
      </c>
      <c r="AZ540" s="142" t="s">
        <v>2705</v>
      </c>
    </row>
    <row r="541" spans="1:52" s="142" customFormat="1" ht="12.75" x14ac:dyDescent="0.2">
      <c r="A541" s="151" t="s">
        <v>7587</v>
      </c>
      <c r="B541" s="152" t="s">
        <v>2705</v>
      </c>
      <c r="C541" s="152" t="s">
        <v>2705</v>
      </c>
      <c r="D541" s="152" t="s">
        <v>2705</v>
      </c>
      <c r="E541" s="152" t="s">
        <v>2398</v>
      </c>
      <c r="F541" s="152" t="s">
        <v>2705</v>
      </c>
      <c r="G541" s="152" t="s">
        <v>2398</v>
      </c>
      <c r="H541" s="152" t="s">
        <v>2705</v>
      </c>
      <c r="I541" s="152" t="s">
        <v>2398</v>
      </c>
      <c r="J541" s="152" t="s">
        <v>2705</v>
      </c>
      <c r="K541" s="152" t="s">
        <v>2705</v>
      </c>
      <c r="L541" s="152" t="s">
        <v>2705</v>
      </c>
      <c r="M541" s="152" t="s">
        <v>2398</v>
      </c>
      <c r="N541" s="152" t="s">
        <v>2398</v>
      </c>
      <c r="O541" s="152" t="s">
        <v>2398</v>
      </c>
      <c r="P541" s="152" t="s">
        <v>2705</v>
      </c>
      <c r="Q541" s="152" t="s">
        <v>2398</v>
      </c>
      <c r="R541" s="152" t="s">
        <v>2398</v>
      </c>
      <c r="S541" s="152" t="s">
        <v>2705</v>
      </c>
      <c r="T541" s="152" t="s">
        <v>2705</v>
      </c>
      <c r="U541" s="152" t="s">
        <v>2398</v>
      </c>
      <c r="V541" s="142" cm="1">
        <f t="array" ref="V541">IF(A541&lt;&gt;"",SUM(--(B541:U542 = "X")*$U$3,--(B541:U542 ="A")*$Q$3,--(B541:U542 ="B")*$R$3,--(B541:U542 ="C")*$S$3),"")</f>
        <v>20.5</v>
      </c>
      <c r="X541" s="437" t="s">
        <v>7849</v>
      </c>
      <c r="Y541" s="437">
        <v>12.5</v>
      </c>
      <c r="Z541" s="436">
        <f>_xlfn.XLOOKUP(answers[[#This Row],[StudentID]],$A$7:$A$1418,$V$7:$V$1418)</f>
        <v>12.5</v>
      </c>
      <c r="AF541" s="142" t="s">
        <v>7587</v>
      </c>
      <c r="AG541" s="142" t="s">
        <v>2705</v>
      </c>
      <c r="AH541" s="142" t="s">
        <v>2705</v>
      </c>
      <c r="AI541" s="142" t="s">
        <v>2705</v>
      </c>
      <c r="AJ541" s="142" t="s">
        <v>2398</v>
      </c>
      <c r="AK541" s="142" t="s">
        <v>2705</v>
      </c>
      <c r="AL541" s="142" t="s">
        <v>2398</v>
      </c>
      <c r="AM541" s="142" t="s">
        <v>2705</v>
      </c>
      <c r="AN541" s="142" t="s">
        <v>2398</v>
      </c>
      <c r="AO541" s="142" t="s">
        <v>2705</v>
      </c>
      <c r="AP541" s="142" t="s">
        <v>2705</v>
      </c>
      <c r="AQ541" s="142" t="s">
        <v>2705</v>
      </c>
      <c r="AR541" s="142" t="s">
        <v>2398</v>
      </c>
      <c r="AS541" s="142" t="s">
        <v>2398</v>
      </c>
      <c r="AT541" s="142" t="s">
        <v>2398</v>
      </c>
      <c r="AU541" s="142" t="s">
        <v>2705</v>
      </c>
      <c r="AV541" s="142" t="s">
        <v>2398</v>
      </c>
      <c r="AW541" s="142" t="s">
        <v>2398</v>
      </c>
      <c r="AX541" s="142" t="s">
        <v>2705</v>
      </c>
      <c r="AY541" s="142" t="s">
        <v>2705</v>
      </c>
      <c r="AZ541" s="142" t="s">
        <v>2398</v>
      </c>
    </row>
    <row r="542" spans="1:52" s="142" customFormat="1" ht="12.75" x14ac:dyDescent="0.2">
      <c r="A542" s="151"/>
      <c r="B542" s="152" t="s">
        <v>2398</v>
      </c>
      <c r="C542" s="152" t="s">
        <v>2705</v>
      </c>
      <c r="D542" s="152" t="s">
        <v>2398</v>
      </c>
      <c r="E542" s="152" t="s">
        <v>2705</v>
      </c>
      <c r="F542" s="152" t="s">
        <v>2705</v>
      </c>
      <c r="G542" s="152" t="s">
        <v>2675</v>
      </c>
      <c r="H542" s="152" t="s">
        <v>2398</v>
      </c>
      <c r="I542" s="152" t="s">
        <v>2398</v>
      </c>
      <c r="J542" s="152" t="s">
        <v>2705</v>
      </c>
      <c r="K542" s="152" t="s">
        <v>2705</v>
      </c>
      <c r="L542" s="152" t="s">
        <v>2705</v>
      </c>
      <c r="M542" s="152" t="s">
        <v>2705</v>
      </c>
      <c r="N542" s="152" t="s">
        <v>2398</v>
      </c>
      <c r="O542" s="152" t="s">
        <v>2705</v>
      </c>
      <c r="P542" s="152" t="s">
        <v>2398</v>
      </c>
      <c r="Q542" s="152" t="s">
        <v>1435</v>
      </c>
      <c r="R542" s="152" t="s">
        <v>2705</v>
      </c>
      <c r="S542" s="152" t="s">
        <v>2705</v>
      </c>
      <c r="T542" s="152" t="s">
        <v>2705</v>
      </c>
      <c r="U542" s="152" t="s">
        <v>1435</v>
      </c>
      <c r="V542" s="142" t="str" cm="1">
        <f t="array" ref="V542">IF(A542&lt;&gt;"",SUM(--(B542:U543 = "X")*$U$3,--(B542:U543 ="A")*$Q$3,--(B542:U543 ="B")*$R$3,--(B542:U543 ="C")*$S$3),"")</f>
        <v/>
      </c>
      <c r="X542" s="437" t="s">
        <v>7850</v>
      </c>
      <c r="Y542" s="437">
        <v>4</v>
      </c>
      <c r="Z542" s="436">
        <f>_xlfn.XLOOKUP(answers[[#This Row],[StudentID]],$A$7:$A$1418,$V$7:$V$1418)</f>
        <v>4</v>
      </c>
      <c r="AG542" s="142" t="s">
        <v>2398</v>
      </c>
      <c r="AH542" s="142" t="s">
        <v>2705</v>
      </c>
      <c r="AI542" s="142" t="s">
        <v>2398</v>
      </c>
      <c r="AJ542" s="142" t="s">
        <v>2705</v>
      </c>
      <c r="AK542" s="142" t="s">
        <v>2705</v>
      </c>
      <c r="AL542" s="142" t="s">
        <v>2675</v>
      </c>
      <c r="AM542" s="142" t="s">
        <v>2398</v>
      </c>
      <c r="AN542" s="142" t="s">
        <v>2398</v>
      </c>
      <c r="AO542" s="142" t="s">
        <v>2705</v>
      </c>
      <c r="AP542" s="142" t="s">
        <v>2705</v>
      </c>
      <c r="AQ542" s="142" t="s">
        <v>2705</v>
      </c>
      <c r="AR542" s="142" t="s">
        <v>2705</v>
      </c>
      <c r="AS542" s="142" t="s">
        <v>2398</v>
      </c>
      <c r="AT542" s="142" t="s">
        <v>2705</v>
      </c>
      <c r="AU542" s="142" t="s">
        <v>2398</v>
      </c>
      <c r="AV542" s="142" t="s">
        <v>1435</v>
      </c>
      <c r="AW542" s="142" t="s">
        <v>2705</v>
      </c>
      <c r="AX542" s="142" t="s">
        <v>2705</v>
      </c>
      <c r="AY542" s="142" t="s">
        <v>2705</v>
      </c>
      <c r="AZ542" s="142" t="s">
        <v>1435</v>
      </c>
    </row>
    <row r="543" spans="1:52" s="142" customFormat="1" ht="12.75" x14ac:dyDescent="0.2">
      <c r="A543" s="151" t="s">
        <v>7588</v>
      </c>
      <c r="B543" s="152" t="s">
        <v>2398</v>
      </c>
      <c r="C543" s="152" t="s">
        <v>2398</v>
      </c>
      <c r="D543" s="152" t="s">
        <v>2398</v>
      </c>
      <c r="E543" s="152" t="s">
        <v>2398</v>
      </c>
      <c r="F543" s="152" t="s">
        <v>2398</v>
      </c>
      <c r="G543" s="152" t="s">
        <v>1435</v>
      </c>
      <c r="H543" s="152" t="s">
        <v>2398</v>
      </c>
      <c r="I543" s="152" t="s">
        <v>2398</v>
      </c>
      <c r="J543" s="152" t="s">
        <v>2398</v>
      </c>
      <c r="K543" s="152" t="s">
        <v>2398</v>
      </c>
      <c r="L543" s="152" t="s">
        <v>2398</v>
      </c>
      <c r="M543" s="152" t="s">
        <v>2705</v>
      </c>
      <c r="N543" s="152" t="s">
        <v>2705</v>
      </c>
      <c r="O543" s="152" t="s">
        <v>1435</v>
      </c>
      <c r="P543" s="152" t="s">
        <v>2398</v>
      </c>
      <c r="Q543" s="152" t="s">
        <v>2705</v>
      </c>
      <c r="R543" s="152" t="s">
        <v>2705</v>
      </c>
      <c r="S543" s="152" t="s">
        <v>2705</v>
      </c>
      <c r="T543" s="152" t="s">
        <v>2705</v>
      </c>
      <c r="U543" s="152" t="s">
        <v>2705</v>
      </c>
      <c r="V543" s="142" cm="1">
        <f t="array" ref="V543">IF(A543&lt;&gt;"",SUM(--(B543:U544 = "X")*$U$3,--(B543:U544 ="A")*$Q$3,--(B543:U544 ="B")*$R$3,--(B543:U544 ="C")*$S$3),"")</f>
        <v>18.5</v>
      </c>
      <c r="X543" s="437" t="s">
        <v>7851</v>
      </c>
      <c r="Y543" s="437">
        <v>6</v>
      </c>
      <c r="Z543" s="436">
        <f>_xlfn.XLOOKUP(answers[[#This Row],[StudentID]],$A$7:$A$1418,$V$7:$V$1418)</f>
        <v>6</v>
      </c>
      <c r="AF543" s="142" t="s">
        <v>7588</v>
      </c>
      <c r="AG543" s="142" t="s">
        <v>2398</v>
      </c>
      <c r="AH543" s="142" t="s">
        <v>2398</v>
      </c>
      <c r="AI543" s="142" t="s">
        <v>2398</v>
      </c>
      <c r="AJ543" s="142" t="s">
        <v>2398</v>
      </c>
      <c r="AK543" s="142" t="s">
        <v>2398</v>
      </c>
      <c r="AL543" s="142" t="s">
        <v>1435</v>
      </c>
      <c r="AM543" s="142" t="s">
        <v>2398</v>
      </c>
      <c r="AN543" s="142" t="s">
        <v>2398</v>
      </c>
      <c r="AO543" s="142" t="s">
        <v>2398</v>
      </c>
      <c r="AP543" s="142" t="s">
        <v>2398</v>
      </c>
      <c r="AQ543" s="142" t="s">
        <v>2398</v>
      </c>
      <c r="AR543" s="142" t="s">
        <v>2705</v>
      </c>
      <c r="AS543" s="142" t="s">
        <v>2705</v>
      </c>
      <c r="AT543" s="142" t="s">
        <v>1435</v>
      </c>
      <c r="AU543" s="142" t="s">
        <v>2398</v>
      </c>
      <c r="AV543" s="142" t="s">
        <v>2705</v>
      </c>
      <c r="AW543" s="142" t="s">
        <v>2705</v>
      </c>
      <c r="AX543" s="142" t="s">
        <v>2705</v>
      </c>
      <c r="AY543" s="142" t="s">
        <v>2705</v>
      </c>
      <c r="AZ543" s="142" t="s">
        <v>2705</v>
      </c>
    </row>
    <row r="544" spans="1:52" s="142" customFormat="1" ht="12.75" x14ac:dyDescent="0.2">
      <c r="A544" s="151"/>
      <c r="B544" s="152" t="s">
        <v>2398</v>
      </c>
      <c r="C544" s="152" t="s">
        <v>2705</v>
      </c>
      <c r="D544" s="152" t="s">
        <v>2398</v>
      </c>
      <c r="E544" s="152" t="s">
        <v>2705</v>
      </c>
      <c r="F544" s="152" t="s">
        <v>2398</v>
      </c>
      <c r="G544" s="152" t="s">
        <v>2398</v>
      </c>
      <c r="H544" s="152" t="s">
        <v>2398</v>
      </c>
      <c r="I544" s="152" t="s">
        <v>2705</v>
      </c>
      <c r="J544" s="152" t="s">
        <v>2705</v>
      </c>
      <c r="K544" s="152" t="s">
        <v>2705</v>
      </c>
      <c r="L544" s="152" t="s">
        <v>2705</v>
      </c>
      <c r="M544" s="152" t="s">
        <v>2705</v>
      </c>
      <c r="N544" s="152" t="s">
        <v>2705</v>
      </c>
      <c r="O544" s="152" t="s">
        <v>2705</v>
      </c>
      <c r="P544" s="152" t="s">
        <v>2705</v>
      </c>
      <c r="Q544" s="152" t="s">
        <v>2705</v>
      </c>
      <c r="R544" s="152" t="s">
        <v>2398</v>
      </c>
      <c r="S544" s="152" t="s">
        <v>2705</v>
      </c>
      <c r="T544" s="152" t="s">
        <v>2705</v>
      </c>
      <c r="U544" s="152" t="s">
        <v>2675</v>
      </c>
      <c r="V544" s="142" t="str" cm="1">
        <f t="array" ref="V544">IF(A544&lt;&gt;"",SUM(--(B544:U545 = "X")*$U$3,--(B544:U545 ="A")*$Q$3,--(B544:U545 ="B")*$R$3,--(B544:U545 ="C")*$S$3),"")</f>
        <v/>
      </c>
      <c r="X544" s="437" t="s">
        <v>7852</v>
      </c>
      <c r="Y544" s="437">
        <v>11.5</v>
      </c>
      <c r="Z544" s="436">
        <f>_xlfn.XLOOKUP(answers[[#This Row],[StudentID]],$A$7:$A$1418,$V$7:$V$1418)</f>
        <v>11.5</v>
      </c>
      <c r="AG544" s="142" t="s">
        <v>2398</v>
      </c>
      <c r="AH544" s="142" t="s">
        <v>2705</v>
      </c>
      <c r="AI544" s="142" t="s">
        <v>2398</v>
      </c>
      <c r="AJ544" s="142" t="s">
        <v>2705</v>
      </c>
      <c r="AK544" s="142" t="s">
        <v>2398</v>
      </c>
      <c r="AL544" s="142" t="s">
        <v>2398</v>
      </c>
      <c r="AM544" s="142" t="s">
        <v>2398</v>
      </c>
      <c r="AN544" s="142" t="s">
        <v>2705</v>
      </c>
      <c r="AO544" s="142" t="s">
        <v>2705</v>
      </c>
      <c r="AP544" s="142" t="s">
        <v>2705</v>
      </c>
      <c r="AQ544" s="142" t="s">
        <v>2705</v>
      </c>
      <c r="AR544" s="142" t="s">
        <v>2705</v>
      </c>
      <c r="AS544" s="142" t="s">
        <v>2705</v>
      </c>
      <c r="AT544" s="142" t="s">
        <v>2705</v>
      </c>
      <c r="AU544" s="142" t="s">
        <v>2705</v>
      </c>
      <c r="AV544" s="142" t="s">
        <v>2705</v>
      </c>
      <c r="AW544" s="142" t="s">
        <v>2398</v>
      </c>
      <c r="AX544" s="142" t="s">
        <v>2705</v>
      </c>
      <c r="AY544" s="142" t="s">
        <v>2705</v>
      </c>
      <c r="AZ544" s="142" t="s">
        <v>2675</v>
      </c>
    </row>
    <row r="545" spans="1:52" s="142" customFormat="1" ht="12.75" x14ac:dyDescent="0.2">
      <c r="A545" s="151" t="s">
        <v>7589</v>
      </c>
      <c r="B545" s="152" t="s">
        <v>2398</v>
      </c>
      <c r="C545" s="152" t="s">
        <v>2398</v>
      </c>
      <c r="D545" s="152" t="s">
        <v>2705</v>
      </c>
      <c r="E545" s="152" t="s">
        <v>2705</v>
      </c>
      <c r="F545" s="152" t="s">
        <v>2705</v>
      </c>
      <c r="G545" s="152" t="s">
        <v>2398</v>
      </c>
      <c r="H545" s="152" t="s">
        <v>2398</v>
      </c>
      <c r="I545" s="152" t="s">
        <v>2705</v>
      </c>
      <c r="J545" s="152" t="s">
        <v>2398</v>
      </c>
      <c r="K545" s="152" t="s">
        <v>2705</v>
      </c>
      <c r="L545" s="152" t="s">
        <v>2675</v>
      </c>
      <c r="M545" s="152" t="s">
        <v>2398</v>
      </c>
      <c r="N545" s="152" t="s">
        <v>2705</v>
      </c>
      <c r="O545" s="152" t="s">
        <v>2705</v>
      </c>
      <c r="P545" s="152" t="s">
        <v>2398</v>
      </c>
      <c r="Q545" s="152" t="s">
        <v>2675</v>
      </c>
      <c r="R545" s="152" t="s">
        <v>2398</v>
      </c>
      <c r="S545" s="152" t="s">
        <v>2398</v>
      </c>
      <c r="T545" s="152" t="s">
        <v>2398</v>
      </c>
      <c r="U545" s="152" t="s">
        <v>2705</v>
      </c>
      <c r="V545" s="142" cm="1">
        <f t="array" ref="V545">IF(A545&lt;&gt;"",SUM(--(B545:U546 = "X")*$U$3,--(B545:U546 ="A")*$Q$3,--(B545:U546 ="B")*$R$3,--(B545:U546 ="C")*$S$3),"")</f>
        <v>11.5</v>
      </c>
      <c r="X545" s="437" t="s">
        <v>7853</v>
      </c>
      <c r="Y545" s="437">
        <v>30.5</v>
      </c>
      <c r="Z545" s="436">
        <f>_xlfn.XLOOKUP(answers[[#This Row],[StudentID]],$A$7:$A$1418,$V$7:$V$1418)</f>
        <v>30.5</v>
      </c>
      <c r="AF545" s="142" t="s">
        <v>7589</v>
      </c>
      <c r="AG545" s="142" t="s">
        <v>2398</v>
      </c>
      <c r="AH545" s="142" t="s">
        <v>2398</v>
      </c>
      <c r="AI545" s="142" t="s">
        <v>2705</v>
      </c>
      <c r="AJ545" s="142" t="s">
        <v>2705</v>
      </c>
      <c r="AK545" s="142" t="s">
        <v>2705</v>
      </c>
      <c r="AL545" s="142" t="s">
        <v>2398</v>
      </c>
      <c r="AM545" s="142" t="s">
        <v>2398</v>
      </c>
      <c r="AN545" s="142" t="s">
        <v>2705</v>
      </c>
      <c r="AO545" s="142" t="s">
        <v>2398</v>
      </c>
      <c r="AP545" s="142" t="s">
        <v>2705</v>
      </c>
      <c r="AQ545" s="142" t="s">
        <v>2675</v>
      </c>
      <c r="AR545" s="142" t="s">
        <v>2398</v>
      </c>
      <c r="AS545" s="142" t="s">
        <v>2705</v>
      </c>
      <c r="AT545" s="142" t="s">
        <v>2705</v>
      </c>
      <c r="AU545" s="142" t="s">
        <v>2398</v>
      </c>
      <c r="AV545" s="142" t="s">
        <v>2675</v>
      </c>
      <c r="AW545" s="142" t="s">
        <v>2398</v>
      </c>
      <c r="AX545" s="142" t="s">
        <v>2398</v>
      </c>
      <c r="AY545" s="142" t="s">
        <v>2398</v>
      </c>
      <c r="AZ545" s="142" t="s">
        <v>2705</v>
      </c>
    </row>
    <row r="546" spans="1:52" s="142" customFormat="1" ht="12.75" x14ac:dyDescent="0.2">
      <c r="A546" s="151"/>
      <c r="B546" s="152" t="s">
        <v>2705</v>
      </c>
      <c r="C546" s="152" t="s">
        <v>2675</v>
      </c>
      <c r="D546" s="152" t="s">
        <v>1435</v>
      </c>
      <c r="E546" s="152" t="s">
        <v>2675</v>
      </c>
      <c r="F546" s="152" t="s">
        <v>2398</v>
      </c>
      <c r="G546" s="152" t="s">
        <v>2705</v>
      </c>
      <c r="H546" s="152" t="s">
        <v>2705</v>
      </c>
      <c r="I546" s="152" t="s">
        <v>2705</v>
      </c>
      <c r="J546" s="152" t="s">
        <v>2397</v>
      </c>
      <c r="K546" s="152" t="s">
        <v>2397</v>
      </c>
      <c r="L546" s="152" t="s">
        <v>2397</v>
      </c>
      <c r="M546" s="152" t="s">
        <v>2705</v>
      </c>
      <c r="N546" s="152" t="s">
        <v>2675</v>
      </c>
      <c r="O546" s="152" t="s">
        <v>2398</v>
      </c>
      <c r="P546" s="152" t="s">
        <v>1435</v>
      </c>
      <c r="Q546" s="152" t="s">
        <v>2398</v>
      </c>
      <c r="R546" s="152" t="s">
        <v>2705</v>
      </c>
      <c r="S546" s="152" t="s">
        <v>2398</v>
      </c>
      <c r="T546" s="152" t="s">
        <v>2705</v>
      </c>
      <c r="U546" s="152" t="s">
        <v>2398</v>
      </c>
      <c r="V546" s="142" t="str" cm="1">
        <f t="array" ref="V546">IF(A546&lt;&gt;"",SUM(--(B546:U547 = "X")*$U$3,--(B546:U547 ="A")*$Q$3,--(B546:U547 ="B")*$R$3,--(B546:U547 ="C")*$S$3),"")</f>
        <v/>
      </c>
      <c r="X546" s="437" t="s">
        <v>7854</v>
      </c>
      <c r="Y546" s="437">
        <v>27.5</v>
      </c>
      <c r="Z546" s="436">
        <f>_xlfn.XLOOKUP(answers[[#This Row],[StudentID]],$A$7:$A$1418,$V$7:$V$1418)</f>
        <v>27.5</v>
      </c>
      <c r="AG546" s="142" t="s">
        <v>2705</v>
      </c>
      <c r="AH546" s="142" t="s">
        <v>2675</v>
      </c>
      <c r="AI546" s="142" t="s">
        <v>1435</v>
      </c>
      <c r="AJ546" s="142" t="s">
        <v>2675</v>
      </c>
      <c r="AK546" s="142" t="s">
        <v>2398</v>
      </c>
      <c r="AL546" s="142" t="s">
        <v>2705</v>
      </c>
      <c r="AM546" s="142" t="s">
        <v>2705</v>
      </c>
      <c r="AN546" s="142" t="s">
        <v>2705</v>
      </c>
      <c r="AO546" s="142" t="s">
        <v>2397</v>
      </c>
      <c r="AP546" s="142" t="s">
        <v>2397</v>
      </c>
      <c r="AQ546" s="142" t="s">
        <v>2397</v>
      </c>
      <c r="AR546" s="142" t="s">
        <v>2705</v>
      </c>
      <c r="AS546" s="142" t="s">
        <v>2675</v>
      </c>
      <c r="AT546" s="142" t="s">
        <v>2398</v>
      </c>
      <c r="AU546" s="142" t="s">
        <v>1435</v>
      </c>
      <c r="AV546" s="142" t="s">
        <v>2398</v>
      </c>
      <c r="AW546" s="142" t="s">
        <v>2705</v>
      </c>
      <c r="AX546" s="142" t="s">
        <v>2398</v>
      </c>
      <c r="AY546" s="142" t="s">
        <v>2705</v>
      </c>
      <c r="AZ546" s="142" t="s">
        <v>2398</v>
      </c>
    </row>
    <row r="547" spans="1:52" s="142" customFormat="1" ht="12.75" x14ac:dyDescent="0.2">
      <c r="A547" s="151" t="s">
        <v>7590</v>
      </c>
      <c r="B547" s="152" t="s">
        <v>2705</v>
      </c>
      <c r="C547" s="152" t="s">
        <v>2705</v>
      </c>
      <c r="D547" s="152" t="s">
        <v>2705</v>
      </c>
      <c r="E547" s="152" t="s">
        <v>2398</v>
      </c>
      <c r="F547" s="152" t="s">
        <v>2705</v>
      </c>
      <c r="G547" s="152" t="s">
        <v>2705</v>
      </c>
      <c r="H547" s="152" t="s">
        <v>1435</v>
      </c>
      <c r="I547" s="152" t="s">
        <v>2398</v>
      </c>
      <c r="J547" s="152" t="s">
        <v>2398</v>
      </c>
      <c r="K547" s="152" t="s">
        <v>2705</v>
      </c>
      <c r="L547" s="152" t="s">
        <v>2705</v>
      </c>
      <c r="M547" s="152" t="s">
        <v>2705</v>
      </c>
      <c r="N547" s="152" t="s">
        <v>2705</v>
      </c>
      <c r="O547" s="152" t="s">
        <v>2705</v>
      </c>
      <c r="P547" s="152" t="s">
        <v>2705</v>
      </c>
      <c r="Q547" s="152" t="s">
        <v>2705</v>
      </c>
      <c r="R547" s="152" t="s">
        <v>2398</v>
      </c>
      <c r="S547" s="152" t="s">
        <v>2705</v>
      </c>
      <c r="T547" s="152" t="s">
        <v>2705</v>
      </c>
      <c r="U547" s="152" t="s">
        <v>2705</v>
      </c>
      <c r="V547" s="142" cm="1">
        <f t="array" ref="V547">IF(A547&lt;&gt;"",SUM(--(B547:U548 = "X")*$U$3,--(B547:U548 ="A")*$Q$3,--(B547:U548 ="B")*$R$3,--(B547:U548 ="C")*$S$3),"")</f>
        <v>26</v>
      </c>
      <c r="X547" s="437" t="s">
        <v>7855</v>
      </c>
      <c r="Y547" s="437">
        <v>4.5</v>
      </c>
      <c r="Z547" s="436">
        <f>_xlfn.XLOOKUP(answers[[#This Row],[StudentID]],$A$7:$A$1418,$V$7:$V$1418)</f>
        <v>4.5</v>
      </c>
      <c r="AF547" s="142" t="s">
        <v>7590</v>
      </c>
      <c r="AG547" s="142" t="s">
        <v>2705</v>
      </c>
      <c r="AH547" s="142" t="s">
        <v>2705</v>
      </c>
      <c r="AI547" s="142" t="s">
        <v>2705</v>
      </c>
      <c r="AJ547" s="142" t="s">
        <v>2398</v>
      </c>
      <c r="AK547" s="142" t="s">
        <v>2705</v>
      </c>
      <c r="AL547" s="142" t="s">
        <v>2705</v>
      </c>
      <c r="AM547" s="142" t="s">
        <v>1435</v>
      </c>
      <c r="AN547" s="142" t="s">
        <v>2398</v>
      </c>
      <c r="AO547" s="142" t="s">
        <v>2398</v>
      </c>
      <c r="AP547" s="142" t="s">
        <v>2705</v>
      </c>
      <c r="AQ547" s="142" t="s">
        <v>2705</v>
      </c>
      <c r="AR547" s="142" t="s">
        <v>2705</v>
      </c>
      <c r="AS547" s="142" t="s">
        <v>2705</v>
      </c>
      <c r="AT547" s="142" t="s">
        <v>2705</v>
      </c>
      <c r="AU547" s="142" t="s">
        <v>2705</v>
      </c>
      <c r="AV547" s="142" t="s">
        <v>2705</v>
      </c>
      <c r="AW547" s="142" t="s">
        <v>2398</v>
      </c>
      <c r="AX547" s="142" t="s">
        <v>2705</v>
      </c>
      <c r="AY547" s="142" t="s">
        <v>2705</v>
      </c>
      <c r="AZ547" s="142" t="s">
        <v>2705</v>
      </c>
    </row>
    <row r="548" spans="1:52" s="142" customFormat="1" ht="12.75" x14ac:dyDescent="0.2">
      <c r="A548" s="151"/>
      <c r="B548" s="152" t="s">
        <v>2705</v>
      </c>
      <c r="C548" s="152" t="s">
        <v>2705</v>
      </c>
      <c r="D548" s="152" t="s">
        <v>2705</v>
      </c>
      <c r="E548" s="152" t="s">
        <v>2705</v>
      </c>
      <c r="F548" s="152" t="s">
        <v>2705</v>
      </c>
      <c r="G548" s="152" t="s">
        <v>1435</v>
      </c>
      <c r="H548" s="152" t="s">
        <v>2705</v>
      </c>
      <c r="I548" s="152" t="s">
        <v>2705</v>
      </c>
      <c r="J548" s="152" t="s">
        <v>1435</v>
      </c>
      <c r="K548" s="152" t="s">
        <v>2705</v>
      </c>
      <c r="L548" s="152" t="s">
        <v>2705</v>
      </c>
      <c r="M548" s="152" t="s">
        <v>1435</v>
      </c>
      <c r="N548" s="152" t="s">
        <v>2675</v>
      </c>
      <c r="O548" s="152" t="s">
        <v>2705</v>
      </c>
      <c r="P548" s="152" t="s">
        <v>2705</v>
      </c>
      <c r="Q548" s="152" t="s">
        <v>2705</v>
      </c>
      <c r="R548" s="152" t="s">
        <v>1435</v>
      </c>
      <c r="S548" s="152" t="s">
        <v>2398</v>
      </c>
      <c r="T548" s="152" t="s">
        <v>2705</v>
      </c>
      <c r="U548" s="152" t="s">
        <v>2705</v>
      </c>
      <c r="V548" s="142" t="str" cm="1">
        <f t="array" ref="V548">IF(A548&lt;&gt;"",SUM(--(B548:U549 = "X")*$U$3,--(B548:U549 ="A")*$Q$3,--(B548:U549 ="B")*$R$3,--(B548:U549 ="C")*$S$3),"")</f>
        <v/>
      </c>
      <c r="X548" s="437" t="s">
        <v>7856</v>
      </c>
      <c r="Y548" s="437">
        <v>8.5</v>
      </c>
      <c r="Z548" s="436">
        <f>_xlfn.XLOOKUP(answers[[#This Row],[StudentID]],$A$7:$A$1418,$V$7:$V$1418)</f>
        <v>8.5</v>
      </c>
      <c r="AG548" s="142" t="s">
        <v>2705</v>
      </c>
      <c r="AH548" s="142" t="s">
        <v>2705</v>
      </c>
      <c r="AI548" s="142" t="s">
        <v>2705</v>
      </c>
      <c r="AJ548" s="142" t="s">
        <v>2705</v>
      </c>
      <c r="AK548" s="142" t="s">
        <v>2705</v>
      </c>
      <c r="AL548" s="142" t="s">
        <v>1435</v>
      </c>
      <c r="AM548" s="142" t="s">
        <v>2705</v>
      </c>
      <c r="AN548" s="142" t="s">
        <v>2705</v>
      </c>
      <c r="AO548" s="142" t="s">
        <v>1435</v>
      </c>
      <c r="AP548" s="142" t="s">
        <v>2705</v>
      </c>
      <c r="AQ548" s="142" t="s">
        <v>2705</v>
      </c>
      <c r="AR548" s="142" t="s">
        <v>1435</v>
      </c>
      <c r="AS548" s="142" t="s">
        <v>2675</v>
      </c>
      <c r="AT548" s="142" t="s">
        <v>2705</v>
      </c>
      <c r="AU548" s="142" t="s">
        <v>2705</v>
      </c>
      <c r="AV548" s="142" t="s">
        <v>2705</v>
      </c>
      <c r="AW548" s="142" t="s">
        <v>1435</v>
      </c>
      <c r="AX548" s="142" t="s">
        <v>2398</v>
      </c>
      <c r="AY548" s="142" t="s">
        <v>2705</v>
      </c>
      <c r="AZ548" s="142" t="s">
        <v>2705</v>
      </c>
    </row>
    <row r="549" spans="1:52" s="142" customFormat="1" ht="12.75" x14ac:dyDescent="0.2">
      <c r="A549" s="151" t="s">
        <v>7591</v>
      </c>
      <c r="B549" s="152" t="s">
        <v>2705</v>
      </c>
      <c r="C549" s="152" t="s">
        <v>2705</v>
      </c>
      <c r="D549" s="152" t="s">
        <v>2705</v>
      </c>
      <c r="E549" s="152" t="s">
        <v>2398</v>
      </c>
      <c r="F549" s="152" t="s">
        <v>2705</v>
      </c>
      <c r="G549" s="152" t="s">
        <v>2705</v>
      </c>
      <c r="H549" s="152" t="s">
        <v>2705</v>
      </c>
      <c r="I549" s="152" t="s">
        <v>2675</v>
      </c>
      <c r="J549" s="152" t="s">
        <v>2675</v>
      </c>
      <c r="K549" s="152" t="s">
        <v>2705</v>
      </c>
      <c r="L549" s="152" t="s">
        <v>2398</v>
      </c>
      <c r="M549" s="152" t="s">
        <v>2705</v>
      </c>
      <c r="N549" s="152" t="s">
        <v>2705</v>
      </c>
      <c r="O549" s="152" t="s">
        <v>2398</v>
      </c>
      <c r="P549" s="152" t="s">
        <v>2398</v>
      </c>
      <c r="Q549" s="152" t="s">
        <v>2675</v>
      </c>
      <c r="R549" s="152" t="s">
        <v>2398</v>
      </c>
      <c r="S549" s="152" t="s">
        <v>2398</v>
      </c>
      <c r="T549" s="152" t="s">
        <v>2675</v>
      </c>
      <c r="U549" s="152" t="s">
        <v>2705</v>
      </c>
      <c r="V549" s="142" cm="1">
        <f t="array" ref="V549">IF(A549&lt;&gt;"",SUM(--(B549:U550 = "X")*$U$3,--(B549:U550 ="A")*$Q$3,--(B549:U550 ="B")*$R$3,--(B549:U550 ="C")*$S$3),"")</f>
        <v>18</v>
      </c>
      <c r="X549" s="437" t="s">
        <v>7857</v>
      </c>
      <c r="Y549" s="437">
        <v>10</v>
      </c>
      <c r="Z549" s="436">
        <f>_xlfn.XLOOKUP(answers[[#This Row],[StudentID]],$A$7:$A$1418,$V$7:$V$1418)</f>
        <v>10</v>
      </c>
      <c r="AF549" s="142" t="s">
        <v>7591</v>
      </c>
      <c r="AG549" s="142" t="s">
        <v>2705</v>
      </c>
      <c r="AH549" s="142" t="s">
        <v>2705</v>
      </c>
      <c r="AI549" s="142" t="s">
        <v>2705</v>
      </c>
      <c r="AJ549" s="142" t="s">
        <v>2398</v>
      </c>
      <c r="AK549" s="142" t="s">
        <v>2705</v>
      </c>
      <c r="AL549" s="142" t="s">
        <v>2705</v>
      </c>
      <c r="AM549" s="142" t="s">
        <v>2705</v>
      </c>
      <c r="AN549" s="142" t="s">
        <v>2675</v>
      </c>
      <c r="AO549" s="142" t="s">
        <v>2675</v>
      </c>
      <c r="AP549" s="142" t="s">
        <v>2705</v>
      </c>
      <c r="AQ549" s="142" t="s">
        <v>2398</v>
      </c>
      <c r="AR549" s="142" t="s">
        <v>2705</v>
      </c>
      <c r="AS549" s="142" t="s">
        <v>2705</v>
      </c>
      <c r="AT549" s="142" t="s">
        <v>2398</v>
      </c>
      <c r="AU549" s="142" t="s">
        <v>2398</v>
      </c>
      <c r="AV549" s="142" t="s">
        <v>2675</v>
      </c>
      <c r="AW549" s="142" t="s">
        <v>2398</v>
      </c>
      <c r="AX549" s="142" t="s">
        <v>2398</v>
      </c>
      <c r="AY549" s="142" t="s">
        <v>2675</v>
      </c>
      <c r="AZ549" s="142" t="s">
        <v>2705</v>
      </c>
    </row>
    <row r="550" spans="1:52" s="142" customFormat="1" ht="12.75" x14ac:dyDescent="0.2">
      <c r="A550" s="151"/>
      <c r="B550" s="152" t="s">
        <v>2705</v>
      </c>
      <c r="C550" s="152" t="s">
        <v>2705</v>
      </c>
      <c r="D550" s="152" t="s">
        <v>2705</v>
      </c>
      <c r="E550" s="152" t="s">
        <v>2398</v>
      </c>
      <c r="F550" s="152" t="s">
        <v>2705</v>
      </c>
      <c r="G550" s="152" t="s">
        <v>2398</v>
      </c>
      <c r="H550" s="152" t="s">
        <v>2705</v>
      </c>
      <c r="I550" s="152" t="s">
        <v>2705</v>
      </c>
      <c r="J550" s="152" t="s">
        <v>2705</v>
      </c>
      <c r="K550" s="152" t="s">
        <v>2705</v>
      </c>
      <c r="L550" s="152" t="s">
        <v>2398</v>
      </c>
      <c r="M550" s="152" t="s">
        <v>2675</v>
      </c>
      <c r="N550" s="152" t="s">
        <v>2398</v>
      </c>
      <c r="O550" s="152" t="s">
        <v>2705</v>
      </c>
      <c r="P550" s="152" t="s">
        <v>2398</v>
      </c>
      <c r="Q550" s="152" t="s">
        <v>2675</v>
      </c>
      <c r="R550" s="152" t="s">
        <v>2398</v>
      </c>
      <c r="S550" s="152" t="s">
        <v>2398</v>
      </c>
      <c r="T550" s="152" t="s">
        <v>2705</v>
      </c>
      <c r="U550" s="152" t="s">
        <v>2705</v>
      </c>
      <c r="V550" s="142" t="str" cm="1">
        <f t="array" ref="V550">IF(A550&lt;&gt;"",SUM(--(B550:U551 = "X")*$U$3,--(B550:U551 ="A")*$Q$3,--(B550:U551 ="B")*$R$3,--(B550:U551 ="C")*$S$3),"")</f>
        <v/>
      </c>
      <c r="X550" s="437" t="s">
        <v>7858</v>
      </c>
      <c r="Y550" s="437">
        <v>11</v>
      </c>
      <c r="Z550" s="436">
        <f>_xlfn.XLOOKUP(answers[[#This Row],[StudentID]],$A$7:$A$1418,$V$7:$V$1418)</f>
        <v>11</v>
      </c>
      <c r="AG550" s="142" t="s">
        <v>2705</v>
      </c>
      <c r="AH550" s="142" t="s">
        <v>2705</v>
      </c>
      <c r="AI550" s="142" t="s">
        <v>2705</v>
      </c>
      <c r="AJ550" s="142" t="s">
        <v>2398</v>
      </c>
      <c r="AK550" s="142" t="s">
        <v>2705</v>
      </c>
      <c r="AL550" s="142" t="s">
        <v>2398</v>
      </c>
      <c r="AM550" s="142" t="s">
        <v>2705</v>
      </c>
      <c r="AN550" s="142" t="s">
        <v>2705</v>
      </c>
      <c r="AO550" s="142" t="s">
        <v>2705</v>
      </c>
      <c r="AP550" s="142" t="s">
        <v>2705</v>
      </c>
      <c r="AQ550" s="142" t="s">
        <v>2398</v>
      </c>
      <c r="AR550" s="142" t="s">
        <v>2675</v>
      </c>
      <c r="AS550" s="142" t="s">
        <v>2398</v>
      </c>
      <c r="AT550" s="142" t="s">
        <v>2705</v>
      </c>
      <c r="AU550" s="142" t="s">
        <v>2398</v>
      </c>
      <c r="AV550" s="142" t="s">
        <v>2675</v>
      </c>
      <c r="AW550" s="142" t="s">
        <v>2398</v>
      </c>
      <c r="AX550" s="142" t="s">
        <v>2398</v>
      </c>
      <c r="AY550" s="142" t="s">
        <v>2705</v>
      </c>
      <c r="AZ550" s="142" t="s">
        <v>2705</v>
      </c>
    </row>
    <row r="551" spans="1:52" s="142" customFormat="1" ht="12.75" x14ac:dyDescent="0.2">
      <c r="A551" s="151" t="s">
        <v>7592</v>
      </c>
      <c r="B551" s="152" t="s">
        <v>2705</v>
      </c>
      <c r="C551" s="152" t="s">
        <v>2705</v>
      </c>
      <c r="D551" s="152" t="s">
        <v>2398</v>
      </c>
      <c r="E551" s="152" t="s">
        <v>2705</v>
      </c>
      <c r="F551" s="152" t="s">
        <v>2705</v>
      </c>
      <c r="G551" s="152" t="s">
        <v>1435</v>
      </c>
      <c r="H551" s="152" t="s">
        <v>2705</v>
      </c>
      <c r="I551" s="152" t="s">
        <v>2705</v>
      </c>
      <c r="J551" s="152" t="s">
        <v>2705</v>
      </c>
      <c r="K551" s="152" t="s">
        <v>2705</v>
      </c>
      <c r="L551" s="152" t="s">
        <v>2705</v>
      </c>
      <c r="M551" s="152" t="s">
        <v>2705</v>
      </c>
      <c r="N551" s="152" t="s">
        <v>2705</v>
      </c>
      <c r="O551" s="152" t="s">
        <v>2705</v>
      </c>
      <c r="P551" s="152" t="s">
        <v>2675</v>
      </c>
      <c r="Q551" s="152" t="s">
        <v>2675</v>
      </c>
      <c r="R551" s="152" t="s">
        <v>2705</v>
      </c>
      <c r="S551" s="152" t="s">
        <v>2397</v>
      </c>
      <c r="T551" s="152" t="s">
        <v>2705</v>
      </c>
      <c r="U551" s="152" t="s">
        <v>2398</v>
      </c>
      <c r="V551" s="142" cm="1">
        <f t="array" ref="V551">IF(A551&lt;&gt;"",SUM(--(B551:U552 = "X")*$U$3,--(B551:U552 ="A")*$Q$3,--(B551:U552 ="B")*$R$3,--(B551:U552 ="C")*$S$3),"")</f>
        <v>20</v>
      </c>
      <c r="X551" s="437" t="s">
        <v>7859</v>
      </c>
      <c r="Y551" s="437">
        <v>22</v>
      </c>
      <c r="Z551" s="436">
        <f>_xlfn.XLOOKUP(answers[[#This Row],[StudentID]],$A$7:$A$1418,$V$7:$V$1418)</f>
        <v>22</v>
      </c>
      <c r="AF551" s="142" t="s">
        <v>7592</v>
      </c>
      <c r="AG551" s="142" t="s">
        <v>2705</v>
      </c>
      <c r="AH551" s="142" t="s">
        <v>2705</v>
      </c>
      <c r="AI551" s="142" t="s">
        <v>2398</v>
      </c>
      <c r="AJ551" s="142" t="s">
        <v>2705</v>
      </c>
      <c r="AK551" s="142" t="s">
        <v>2705</v>
      </c>
      <c r="AL551" s="142" t="s">
        <v>1435</v>
      </c>
      <c r="AM551" s="142" t="s">
        <v>2705</v>
      </c>
      <c r="AN551" s="142" t="s">
        <v>2705</v>
      </c>
      <c r="AO551" s="142" t="s">
        <v>2705</v>
      </c>
      <c r="AP551" s="142" t="s">
        <v>2705</v>
      </c>
      <c r="AQ551" s="142" t="s">
        <v>2705</v>
      </c>
      <c r="AR551" s="142" t="s">
        <v>2705</v>
      </c>
      <c r="AS551" s="142" t="s">
        <v>2705</v>
      </c>
      <c r="AT551" s="142" t="s">
        <v>2705</v>
      </c>
      <c r="AU551" s="142" t="s">
        <v>2675</v>
      </c>
      <c r="AV551" s="142" t="s">
        <v>2675</v>
      </c>
      <c r="AW551" s="142" t="s">
        <v>2705</v>
      </c>
      <c r="AX551" s="142" t="s">
        <v>2397</v>
      </c>
      <c r="AY551" s="142" t="s">
        <v>2705</v>
      </c>
      <c r="AZ551" s="142" t="s">
        <v>2398</v>
      </c>
    </row>
    <row r="552" spans="1:52" s="142" customFormat="1" ht="12.75" x14ac:dyDescent="0.2">
      <c r="A552" s="151"/>
      <c r="B552" s="152" t="s">
        <v>2398</v>
      </c>
      <c r="C552" s="152" t="s">
        <v>1435</v>
      </c>
      <c r="D552" s="152" t="s">
        <v>2705</v>
      </c>
      <c r="E552" s="152" t="s">
        <v>2705</v>
      </c>
      <c r="F552" s="152" t="s">
        <v>2705</v>
      </c>
      <c r="G552" s="152" t="s">
        <v>2398</v>
      </c>
      <c r="H552" s="152" t="s">
        <v>2705</v>
      </c>
      <c r="I552" s="152" t="s">
        <v>2397</v>
      </c>
      <c r="J552" s="152" t="s">
        <v>1435</v>
      </c>
      <c r="K552" s="152" t="s">
        <v>2705</v>
      </c>
      <c r="L552" s="152" t="s">
        <v>2705</v>
      </c>
      <c r="M552" s="152" t="s">
        <v>1435</v>
      </c>
      <c r="N552" s="152" t="s">
        <v>2705</v>
      </c>
      <c r="O552" s="152" t="s">
        <v>2398</v>
      </c>
      <c r="P552" s="152" t="s">
        <v>1435</v>
      </c>
      <c r="Q552" s="152" t="s">
        <v>2705</v>
      </c>
      <c r="R552" s="152" t="s">
        <v>2705</v>
      </c>
      <c r="S552" s="152" t="s">
        <v>2397</v>
      </c>
      <c r="T552" s="152" t="s">
        <v>1435</v>
      </c>
      <c r="U552" s="152" t="s">
        <v>2705</v>
      </c>
      <c r="V552" s="142" t="str" cm="1">
        <f t="array" ref="V552">IF(A552&lt;&gt;"",SUM(--(B552:U553 = "X")*$U$3,--(B552:U553 ="A")*$Q$3,--(B552:U553 ="B")*$R$3,--(B552:U553 ="C")*$S$3),"")</f>
        <v/>
      </c>
      <c r="X552" s="437" t="s">
        <v>7860</v>
      </c>
      <c r="Y552" s="437">
        <v>5.5</v>
      </c>
      <c r="Z552" s="436">
        <f>_xlfn.XLOOKUP(answers[[#This Row],[StudentID]],$A$7:$A$1418,$V$7:$V$1418)</f>
        <v>5.5</v>
      </c>
      <c r="AG552" s="142" t="s">
        <v>2398</v>
      </c>
      <c r="AH552" s="142" t="s">
        <v>1435</v>
      </c>
      <c r="AI552" s="142" t="s">
        <v>2705</v>
      </c>
      <c r="AJ552" s="142" t="s">
        <v>2705</v>
      </c>
      <c r="AK552" s="142" t="s">
        <v>2705</v>
      </c>
      <c r="AL552" s="142" t="s">
        <v>2398</v>
      </c>
      <c r="AM552" s="142" t="s">
        <v>2705</v>
      </c>
      <c r="AN552" s="142" t="s">
        <v>2397</v>
      </c>
      <c r="AO552" s="142" t="s">
        <v>1435</v>
      </c>
      <c r="AP552" s="142" t="s">
        <v>2705</v>
      </c>
      <c r="AQ552" s="142" t="s">
        <v>2705</v>
      </c>
      <c r="AR552" s="142" t="s">
        <v>1435</v>
      </c>
      <c r="AS552" s="142" t="s">
        <v>2705</v>
      </c>
      <c r="AT552" s="142" t="s">
        <v>2398</v>
      </c>
      <c r="AU552" s="142" t="s">
        <v>1435</v>
      </c>
      <c r="AV552" s="142" t="s">
        <v>2705</v>
      </c>
      <c r="AW552" s="142" t="s">
        <v>2705</v>
      </c>
      <c r="AX552" s="142" t="s">
        <v>2397</v>
      </c>
      <c r="AY552" s="142" t="s">
        <v>1435</v>
      </c>
      <c r="AZ552" s="142" t="s">
        <v>2705</v>
      </c>
    </row>
    <row r="553" spans="1:52" s="142" customFormat="1" ht="12.75" x14ac:dyDescent="0.2">
      <c r="A553" s="151" t="s">
        <v>7593</v>
      </c>
      <c r="B553" s="152" t="s">
        <v>2705</v>
      </c>
      <c r="C553" s="152" t="s">
        <v>2398</v>
      </c>
      <c r="D553" s="152" t="s">
        <v>2705</v>
      </c>
      <c r="E553" s="152" t="s">
        <v>2705</v>
      </c>
      <c r="F553" s="152" t="s">
        <v>2705</v>
      </c>
      <c r="G553" s="152" t="s">
        <v>2705</v>
      </c>
      <c r="H553" s="152" t="s">
        <v>1435</v>
      </c>
      <c r="I553" s="152" t="s">
        <v>2397</v>
      </c>
      <c r="J553" s="152" t="s">
        <v>2705</v>
      </c>
      <c r="K553" s="152" t="s">
        <v>2398</v>
      </c>
      <c r="L553" s="152" t="s">
        <v>2675</v>
      </c>
      <c r="M553" s="152" t="s">
        <v>2705</v>
      </c>
      <c r="N553" s="152" t="s">
        <v>2705</v>
      </c>
      <c r="O553" s="152" t="s">
        <v>1435</v>
      </c>
      <c r="P553" s="152" t="s">
        <v>2705</v>
      </c>
      <c r="Q553" s="152" t="s">
        <v>2705</v>
      </c>
      <c r="R553" s="152" t="s">
        <v>2705</v>
      </c>
      <c r="S553" s="152" t="s">
        <v>2705</v>
      </c>
      <c r="T553" s="152" t="s">
        <v>2398</v>
      </c>
      <c r="U553" s="152" t="s">
        <v>2705</v>
      </c>
      <c r="V553" s="142" cm="1">
        <f t="array" ref="V553">IF(A553&lt;&gt;"",SUM(--(B553:U554 = "X")*$U$3,--(B553:U554 ="A")*$Q$3,--(B553:U554 ="B")*$R$3,--(B553:U554 ="C")*$S$3),"")</f>
        <v>21</v>
      </c>
      <c r="X553" s="437" t="s">
        <v>7861</v>
      </c>
      <c r="Y553" s="437">
        <v>10</v>
      </c>
      <c r="Z553" s="436">
        <f>_xlfn.XLOOKUP(answers[[#This Row],[StudentID]],$A$7:$A$1418,$V$7:$V$1418)</f>
        <v>10</v>
      </c>
      <c r="AF553" s="142" t="s">
        <v>7593</v>
      </c>
      <c r="AG553" s="142" t="s">
        <v>2705</v>
      </c>
      <c r="AH553" s="142" t="s">
        <v>2398</v>
      </c>
      <c r="AI553" s="142" t="s">
        <v>2705</v>
      </c>
      <c r="AJ553" s="142" t="s">
        <v>2705</v>
      </c>
      <c r="AK553" s="142" t="s">
        <v>2705</v>
      </c>
      <c r="AL553" s="142" t="s">
        <v>2705</v>
      </c>
      <c r="AM553" s="142" t="s">
        <v>1435</v>
      </c>
      <c r="AN553" s="142" t="s">
        <v>2397</v>
      </c>
      <c r="AO553" s="142" t="s">
        <v>2705</v>
      </c>
      <c r="AP553" s="142" t="s">
        <v>2398</v>
      </c>
      <c r="AQ553" s="142" t="s">
        <v>2675</v>
      </c>
      <c r="AR553" s="142" t="s">
        <v>2705</v>
      </c>
      <c r="AS553" s="142" t="s">
        <v>2705</v>
      </c>
      <c r="AT553" s="142" t="s">
        <v>1435</v>
      </c>
      <c r="AU553" s="142" t="s">
        <v>2705</v>
      </c>
      <c r="AV553" s="142" t="s">
        <v>2705</v>
      </c>
      <c r="AW553" s="142" t="s">
        <v>2705</v>
      </c>
      <c r="AX553" s="142" t="s">
        <v>2705</v>
      </c>
      <c r="AY553" s="142" t="s">
        <v>2398</v>
      </c>
      <c r="AZ553" s="142" t="s">
        <v>2705</v>
      </c>
    </row>
    <row r="554" spans="1:52" s="142" customFormat="1" ht="12.75" x14ac:dyDescent="0.2">
      <c r="A554" s="151"/>
      <c r="B554" s="152" t="s">
        <v>2705</v>
      </c>
      <c r="C554" s="152" t="s">
        <v>2675</v>
      </c>
      <c r="D554" s="152" t="s">
        <v>2398</v>
      </c>
      <c r="E554" s="152" t="s">
        <v>2675</v>
      </c>
      <c r="F554" s="152" t="s">
        <v>2398</v>
      </c>
      <c r="G554" s="152" t="s">
        <v>2705</v>
      </c>
      <c r="H554" s="152" t="s">
        <v>2705</v>
      </c>
      <c r="I554" s="152" t="s">
        <v>2705</v>
      </c>
      <c r="J554" s="152" t="s">
        <v>2705</v>
      </c>
      <c r="K554" s="152" t="s">
        <v>2398</v>
      </c>
      <c r="L554" s="152" t="s">
        <v>2398</v>
      </c>
      <c r="M554" s="152" t="s">
        <v>2705</v>
      </c>
      <c r="N554" s="152" t="s">
        <v>2705</v>
      </c>
      <c r="O554" s="152" t="s">
        <v>2397</v>
      </c>
      <c r="P554" s="152" t="s">
        <v>2705</v>
      </c>
      <c r="Q554" s="152" t="s">
        <v>2705</v>
      </c>
      <c r="R554" s="152" t="s">
        <v>1435</v>
      </c>
      <c r="S554" s="152" t="s">
        <v>2705</v>
      </c>
      <c r="T554" s="152" t="s">
        <v>2705</v>
      </c>
      <c r="U554" s="152" t="s">
        <v>2398</v>
      </c>
      <c r="V554" s="142" t="str" cm="1">
        <f t="array" ref="V554">IF(A554&lt;&gt;"",SUM(--(B554:U555 = "X")*$U$3,--(B554:U555 ="A")*$Q$3,--(B554:U555 ="B")*$R$3,--(B554:U555 ="C")*$S$3),"")</f>
        <v/>
      </c>
      <c r="X554" s="437" t="s">
        <v>7862</v>
      </c>
      <c r="Y554" s="437">
        <v>23</v>
      </c>
      <c r="Z554" s="436">
        <f>_xlfn.XLOOKUP(answers[[#This Row],[StudentID]],$A$7:$A$1418,$V$7:$V$1418)</f>
        <v>23</v>
      </c>
      <c r="AG554" s="142" t="s">
        <v>2705</v>
      </c>
      <c r="AH554" s="142" t="s">
        <v>2675</v>
      </c>
      <c r="AI554" s="142" t="s">
        <v>2398</v>
      </c>
      <c r="AJ554" s="142" t="s">
        <v>2675</v>
      </c>
      <c r="AK554" s="142" t="s">
        <v>2398</v>
      </c>
      <c r="AL554" s="142" t="s">
        <v>2705</v>
      </c>
      <c r="AM554" s="142" t="s">
        <v>2705</v>
      </c>
      <c r="AN554" s="142" t="s">
        <v>2705</v>
      </c>
      <c r="AO554" s="142" t="s">
        <v>2705</v>
      </c>
      <c r="AP554" s="142" t="s">
        <v>2398</v>
      </c>
      <c r="AQ554" s="142" t="s">
        <v>2398</v>
      </c>
      <c r="AR554" s="142" t="s">
        <v>2705</v>
      </c>
      <c r="AS554" s="142" t="s">
        <v>2705</v>
      </c>
      <c r="AT554" s="142" t="s">
        <v>2397</v>
      </c>
      <c r="AU554" s="142" t="s">
        <v>2705</v>
      </c>
      <c r="AV554" s="142" t="s">
        <v>2705</v>
      </c>
      <c r="AW554" s="142" t="s">
        <v>1435</v>
      </c>
      <c r="AX554" s="142" t="s">
        <v>2705</v>
      </c>
      <c r="AY554" s="142" t="s">
        <v>2705</v>
      </c>
      <c r="AZ554" s="142" t="s">
        <v>2398</v>
      </c>
    </row>
    <row r="555" spans="1:52" s="142" customFormat="1" ht="12.75" x14ac:dyDescent="0.2">
      <c r="A555" s="151" t="s">
        <v>7594</v>
      </c>
      <c r="B555" s="152" t="s">
        <v>2705</v>
      </c>
      <c r="C555" s="152" t="s">
        <v>2398</v>
      </c>
      <c r="D555" s="152" t="s">
        <v>2675</v>
      </c>
      <c r="E555" s="152" t="s">
        <v>2675</v>
      </c>
      <c r="F555" s="152" t="s">
        <v>2705</v>
      </c>
      <c r="G555" s="152" t="s">
        <v>2398</v>
      </c>
      <c r="H555" s="152" t="s">
        <v>2705</v>
      </c>
      <c r="I555" s="152" t="s">
        <v>2705</v>
      </c>
      <c r="J555" s="152" t="s">
        <v>2705</v>
      </c>
      <c r="K555" s="152" t="s">
        <v>2398</v>
      </c>
      <c r="L555" s="152" t="s">
        <v>2705</v>
      </c>
      <c r="M555" s="152" t="s">
        <v>2705</v>
      </c>
      <c r="N555" s="152" t="s">
        <v>2398</v>
      </c>
      <c r="O555" s="152" t="s">
        <v>1435</v>
      </c>
      <c r="P555" s="152" t="s">
        <v>2705</v>
      </c>
      <c r="Q555" s="152" t="s">
        <v>2398</v>
      </c>
      <c r="R555" s="152" t="s">
        <v>2398</v>
      </c>
      <c r="S555" s="152" t="s">
        <v>2398</v>
      </c>
      <c r="T555" s="152" t="s">
        <v>2398</v>
      </c>
      <c r="U555" s="152" t="s">
        <v>2675</v>
      </c>
      <c r="V555" s="142" cm="1">
        <f t="array" ref="V555">IF(A555&lt;&gt;"",SUM(--(B555:U556 = "X")*$U$3,--(B555:U556 ="A")*$Q$3,--(B555:U556 ="B")*$R$3,--(B555:U556 ="C")*$S$3),"")</f>
        <v>14</v>
      </c>
      <c r="X555" s="437" t="s">
        <v>7863</v>
      </c>
      <c r="Y555" s="437">
        <v>12</v>
      </c>
      <c r="Z555" s="436">
        <f>_xlfn.XLOOKUP(answers[[#This Row],[StudentID]],$A$7:$A$1418,$V$7:$V$1418)</f>
        <v>12</v>
      </c>
      <c r="AF555" s="142" t="s">
        <v>7594</v>
      </c>
      <c r="AG555" s="142" t="s">
        <v>2705</v>
      </c>
      <c r="AH555" s="142" t="s">
        <v>2398</v>
      </c>
      <c r="AI555" s="142" t="s">
        <v>2675</v>
      </c>
      <c r="AJ555" s="142" t="s">
        <v>2675</v>
      </c>
      <c r="AK555" s="142" t="s">
        <v>2705</v>
      </c>
      <c r="AL555" s="142" t="s">
        <v>2398</v>
      </c>
      <c r="AM555" s="142" t="s">
        <v>2705</v>
      </c>
      <c r="AN555" s="142" t="s">
        <v>2705</v>
      </c>
      <c r="AO555" s="142" t="s">
        <v>2705</v>
      </c>
      <c r="AP555" s="142" t="s">
        <v>2398</v>
      </c>
      <c r="AQ555" s="142" t="s">
        <v>2705</v>
      </c>
      <c r="AR555" s="142" t="s">
        <v>2705</v>
      </c>
      <c r="AS555" s="142" t="s">
        <v>2398</v>
      </c>
      <c r="AT555" s="142" t="s">
        <v>1435</v>
      </c>
      <c r="AU555" s="142" t="s">
        <v>2705</v>
      </c>
      <c r="AV555" s="142" t="s">
        <v>2398</v>
      </c>
      <c r="AW555" s="142" t="s">
        <v>2398</v>
      </c>
      <c r="AX555" s="142" t="s">
        <v>2398</v>
      </c>
      <c r="AY555" s="142" t="s">
        <v>2398</v>
      </c>
      <c r="AZ555" s="142" t="s">
        <v>2675</v>
      </c>
    </row>
    <row r="556" spans="1:52" s="142" customFormat="1" ht="12.75" x14ac:dyDescent="0.2">
      <c r="A556" s="151"/>
      <c r="B556" s="152" t="s">
        <v>2398</v>
      </c>
      <c r="C556" s="152" t="s">
        <v>1435</v>
      </c>
      <c r="D556" s="152" t="s">
        <v>2705</v>
      </c>
      <c r="E556" s="152" t="s">
        <v>2675</v>
      </c>
      <c r="F556" s="152" t="s">
        <v>2705</v>
      </c>
      <c r="G556" s="152" t="s">
        <v>2398</v>
      </c>
      <c r="H556" s="152" t="s">
        <v>2705</v>
      </c>
      <c r="I556" s="152" t="s">
        <v>2705</v>
      </c>
      <c r="J556" s="152" t="s">
        <v>2398</v>
      </c>
      <c r="K556" s="152" t="s">
        <v>2705</v>
      </c>
      <c r="L556" s="152" t="s">
        <v>1435</v>
      </c>
      <c r="M556" s="152" t="s">
        <v>2398</v>
      </c>
      <c r="N556" s="152" t="s">
        <v>2397</v>
      </c>
      <c r="O556" s="152" t="s">
        <v>2705</v>
      </c>
      <c r="P556" s="152" t="s">
        <v>2705</v>
      </c>
      <c r="Q556" s="152" t="s">
        <v>2705</v>
      </c>
      <c r="R556" s="152" t="s">
        <v>2398</v>
      </c>
      <c r="S556" s="152" t="s">
        <v>2705</v>
      </c>
      <c r="T556" s="152" t="s">
        <v>2705</v>
      </c>
      <c r="U556" s="152" t="s">
        <v>1435</v>
      </c>
      <c r="V556" s="142" t="str" cm="1">
        <f t="array" ref="V556">IF(A556&lt;&gt;"",SUM(--(B556:U557 = "X")*$U$3,--(B556:U557 ="A")*$Q$3,--(B556:U557 ="B")*$R$3,--(B556:U557 ="C")*$S$3),"")</f>
        <v/>
      </c>
      <c r="X556" s="437" t="s">
        <v>7864</v>
      </c>
      <c r="Y556" s="437">
        <v>13</v>
      </c>
      <c r="Z556" s="436">
        <f>_xlfn.XLOOKUP(answers[[#This Row],[StudentID]],$A$7:$A$1418,$V$7:$V$1418)</f>
        <v>13</v>
      </c>
      <c r="AG556" s="142" t="s">
        <v>2398</v>
      </c>
      <c r="AH556" s="142" t="s">
        <v>1435</v>
      </c>
      <c r="AI556" s="142" t="s">
        <v>2705</v>
      </c>
      <c r="AJ556" s="142" t="s">
        <v>2675</v>
      </c>
      <c r="AK556" s="142" t="s">
        <v>2705</v>
      </c>
      <c r="AL556" s="142" t="s">
        <v>2398</v>
      </c>
      <c r="AM556" s="142" t="s">
        <v>2705</v>
      </c>
      <c r="AN556" s="142" t="s">
        <v>2705</v>
      </c>
      <c r="AO556" s="142" t="s">
        <v>2398</v>
      </c>
      <c r="AP556" s="142" t="s">
        <v>2705</v>
      </c>
      <c r="AQ556" s="142" t="s">
        <v>1435</v>
      </c>
      <c r="AR556" s="142" t="s">
        <v>2398</v>
      </c>
      <c r="AS556" s="142" t="s">
        <v>2397</v>
      </c>
      <c r="AT556" s="142" t="s">
        <v>2705</v>
      </c>
      <c r="AU556" s="142" t="s">
        <v>2705</v>
      </c>
      <c r="AV556" s="142" t="s">
        <v>2705</v>
      </c>
      <c r="AW556" s="142" t="s">
        <v>2398</v>
      </c>
      <c r="AX556" s="142" t="s">
        <v>2705</v>
      </c>
      <c r="AY556" s="142" t="s">
        <v>2705</v>
      </c>
      <c r="AZ556" s="142" t="s">
        <v>1435</v>
      </c>
    </row>
    <row r="557" spans="1:52" s="142" customFormat="1" ht="12.75" x14ac:dyDescent="0.2">
      <c r="A557" s="151" t="s">
        <v>7595</v>
      </c>
      <c r="B557" s="152" t="s">
        <v>2705</v>
      </c>
      <c r="C557" s="152" t="s">
        <v>2675</v>
      </c>
      <c r="D557" s="152" t="s">
        <v>2705</v>
      </c>
      <c r="E557" s="152" t="s">
        <v>2705</v>
      </c>
      <c r="F557" s="152" t="s">
        <v>2398</v>
      </c>
      <c r="G557" s="152" t="s">
        <v>2705</v>
      </c>
      <c r="H557" s="152" t="s">
        <v>2705</v>
      </c>
      <c r="I557" s="152" t="s">
        <v>2398</v>
      </c>
      <c r="J557" s="152" t="s">
        <v>2705</v>
      </c>
      <c r="K557" s="152" t="s">
        <v>2705</v>
      </c>
      <c r="L557" s="152" t="s">
        <v>2705</v>
      </c>
      <c r="M557" s="152" t="s">
        <v>2675</v>
      </c>
      <c r="N557" s="152" t="s">
        <v>2705</v>
      </c>
      <c r="O557" s="152" t="s">
        <v>2705</v>
      </c>
      <c r="P557" s="152" t="s">
        <v>2675</v>
      </c>
      <c r="Q557" s="152" t="s">
        <v>1435</v>
      </c>
      <c r="R557" s="152" t="s">
        <v>2705</v>
      </c>
      <c r="S557" s="152" t="s">
        <v>2398</v>
      </c>
      <c r="T557" s="152" t="s">
        <v>2705</v>
      </c>
      <c r="U557" s="152" t="s">
        <v>2398</v>
      </c>
      <c r="V557" s="142" cm="1">
        <f t="array" ref="V557">IF(A557&lt;&gt;"",SUM(--(B557:U558 = "X")*$U$3,--(B557:U558 ="A")*$Q$3,--(B557:U558 ="B")*$R$3,--(B557:U558 ="C")*$S$3),"")</f>
        <v>18</v>
      </c>
      <c r="X557" s="437" t="s">
        <v>7865</v>
      </c>
      <c r="Y557" s="437">
        <v>4</v>
      </c>
      <c r="Z557" s="436">
        <f>_xlfn.XLOOKUP(answers[[#This Row],[StudentID]],$A$7:$A$1418,$V$7:$V$1418)</f>
        <v>4</v>
      </c>
      <c r="AF557" s="142" t="s">
        <v>7595</v>
      </c>
      <c r="AG557" s="142" t="s">
        <v>2705</v>
      </c>
      <c r="AH557" s="142" t="s">
        <v>2675</v>
      </c>
      <c r="AI557" s="142" t="s">
        <v>2705</v>
      </c>
      <c r="AJ557" s="142" t="s">
        <v>2705</v>
      </c>
      <c r="AK557" s="142" t="s">
        <v>2398</v>
      </c>
      <c r="AL557" s="142" t="s">
        <v>2705</v>
      </c>
      <c r="AM557" s="142" t="s">
        <v>2705</v>
      </c>
      <c r="AN557" s="142" t="s">
        <v>2398</v>
      </c>
      <c r="AO557" s="142" t="s">
        <v>2705</v>
      </c>
      <c r="AP557" s="142" t="s">
        <v>2705</v>
      </c>
      <c r="AQ557" s="142" t="s">
        <v>2705</v>
      </c>
      <c r="AR557" s="142" t="s">
        <v>2675</v>
      </c>
      <c r="AS557" s="142" t="s">
        <v>2705</v>
      </c>
      <c r="AT557" s="142" t="s">
        <v>2705</v>
      </c>
      <c r="AU557" s="142" t="s">
        <v>2675</v>
      </c>
      <c r="AV557" s="142" t="s">
        <v>1435</v>
      </c>
      <c r="AW557" s="142" t="s">
        <v>2705</v>
      </c>
      <c r="AX557" s="142" t="s">
        <v>2398</v>
      </c>
      <c r="AY557" s="142" t="s">
        <v>2705</v>
      </c>
      <c r="AZ557" s="142" t="s">
        <v>2398</v>
      </c>
    </row>
    <row r="558" spans="1:52" s="142" customFormat="1" ht="12.75" x14ac:dyDescent="0.2">
      <c r="A558" s="151"/>
      <c r="B558" s="152" t="s">
        <v>2705</v>
      </c>
      <c r="C558" s="152" t="s">
        <v>1435</v>
      </c>
      <c r="D558" s="152" t="s">
        <v>2705</v>
      </c>
      <c r="E558" s="152" t="s">
        <v>2705</v>
      </c>
      <c r="F558" s="152" t="s">
        <v>2705</v>
      </c>
      <c r="G558" s="152" t="s">
        <v>2398</v>
      </c>
      <c r="H558" s="152" t="s">
        <v>2398</v>
      </c>
      <c r="I558" s="152" t="s">
        <v>2705</v>
      </c>
      <c r="J558" s="152" t="s">
        <v>2705</v>
      </c>
      <c r="K558" s="152" t="s">
        <v>1435</v>
      </c>
      <c r="L558" s="152" t="s">
        <v>2398</v>
      </c>
      <c r="M558" s="152" t="s">
        <v>2675</v>
      </c>
      <c r="N558" s="152" t="s">
        <v>2398</v>
      </c>
      <c r="O558" s="152" t="s">
        <v>2705</v>
      </c>
      <c r="P558" s="152" t="s">
        <v>2705</v>
      </c>
      <c r="Q558" s="152" t="s">
        <v>2705</v>
      </c>
      <c r="R558" s="152" t="s">
        <v>2397</v>
      </c>
      <c r="S558" s="152" t="s">
        <v>2675</v>
      </c>
      <c r="T558" s="152" t="s">
        <v>2705</v>
      </c>
      <c r="U558" s="152" t="s">
        <v>2398</v>
      </c>
      <c r="V558" s="142" t="str" cm="1">
        <f t="array" ref="V558">IF(A558&lt;&gt;"",SUM(--(B558:U559 = "X")*$U$3,--(B558:U559 ="A")*$Q$3,--(B558:U559 ="B")*$R$3,--(B558:U559 ="C")*$S$3),"")</f>
        <v/>
      </c>
      <c r="X558" s="437" t="s">
        <v>7866</v>
      </c>
      <c r="Y558" s="437">
        <v>24.5</v>
      </c>
      <c r="Z558" s="436">
        <f>_xlfn.XLOOKUP(answers[[#This Row],[StudentID]],$A$7:$A$1418,$V$7:$V$1418)</f>
        <v>24.5</v>
      </c>
      <c r="AG558" s="142" t="s">
        <v>2705</v>
      </c>
      <c r="AH558" s="142" t="s">
        <v>1435</v>
      </c>
      <c r="AI558" s="142" t="s">
        <v>2705</v>
      </c>
      <c r="AJ558" s="142" t="s">
        <v>2705</v>
      </c>
      <c r="AK558" s="142" t="s">
        <v>2705</v>
      </c>
      <c r="AL558" s="142" t="s">
        <v>2398</v>
      </c>
      <c r="AM558" s="142" t="s">
        <v>2398</v>
      </c>
      <c r="AN558" s="142" t="s">
        <v>2705</v>
      </c>
      <c r="AO558" s="142" t="s">
        <v>2705</v>
      </c>
      <c r="AP558" s="142" t="s">
        <v>1435</v>
      </c>
      <c r="AQ558" s="142" t="s">
        <v>2398</v>
      </c>
      <c r="AR558" s="142" t="s">
        <v>2675</v>
      </c>
      <c r="AS558" s="142" t="s">
        <v>2398</v>
      </c>
      <c r="AT558" s="142" t="s">
        <v>2705</v>
      </c>
      <c r="AU558" s="142" t="s">
        <v>2705</v>
      </c>
      <c r="AV558" s="142" t="s">
        <v>2705</v>
      </c>
      <c r="AW558" s="142" t="s">
        <v>2397</v>
      </c>
      <c r="AX558" s="142" t="s">
        <v>2675</v>
      </c>
      <c r="AY558" s="142" t="s">
        <v>2705</v>
      </c>
      <c r="AZ558" s="142" t="s">
        <v>2398</v>
      </c>
    </row>
    <row r="559" spans="1:52" s="142" customFormat="1" ht="12.75" x14ac:dyDescent="0.2">
      <c r="A559" s="151" t="s">
        <v>7596</v>
      </c>
      <c r="B559" s="152" t="s">
        <v>2705</v>
      </c>
      <c r="C559" s="152" t="s">
        <v>2398</v>
      </c>
      <c r="D559" s="152" t="s">
        <v>2705</v>
      </c>
      <c r="E559" s="152" t="s">
        <v>2705</v>
      </c>
      <c r="F559" s="152" t="s">
        <v>2705</v>
      </c>
      <c r="G559" s="152" t="s">
        <v>2705</v>
      </c>
      <c r="H559" s="152" t="s">
        <v>2398</v>
      </c>
      <c r="I559" s="152" t="s">
        <v>2705</v>
      </c>
      <c r="J559" s="152" t="s">
        <v>2675</v>
      </c>
      <c r="K559" s="152" t="s">
        <v>2705</v>
      </c>
      <c r="L559" s="152" t="s">
        <v>2705</v>
      </c>
      <c r="M559" s="152" t="s">
        <v>2675</v>
      </c>
      <c r="N559" s="152" t="s">
        <v>2705</v>
      </c>
      <c r="O559" s="152" t="s">
        <v>2705</v>
      </c>
      <c r="P559" s="152" t="s">
        <v>2398</v>
      </c>
      <c r="Q559" s="152" t="s">
        <v>2675</v>
      </c>
      <c r="R559" s="152" t="s">
        <v>2398</v>
      </c>
      <c r="S559" s="152" t="s">
        <v>2398</v>
      </c>
      <c r="T559" s="152" t="s">
        <v>2705</v>
      </c>
      <c r="U559" s="152" t="s">
        <v>2398</v>
      </c>
      <c r="V559" s="142" cm="1">
        <f t="array" ref="V559">IF(A559&lt;&gt;"",SUM(--(B559:U560 = "X")*$U$3,--(B559:U560 ="A")*$Q$3,--(B559:U560 ="B")*$R$3,--(B559:U560 ="C")*$S$3),"")</f>
        <v>21.5</v>
      </c>
      <c r="X559" s="437" t="s">
        <v>7867</v>
      </c>
      <c r="Y559" s="437">
        <v>8</v>
      </c>
      <c r="Z559" s="436">
        <f>_xlfn.XLOOKUP(answers[[#This Row],[StudentID]],$A$7:$A$1418,$V$7:$V$1418)</f>
        <v>8</v>
      </c>
      <c r="AF559" s="142" t="s">
        <v>7596</v>
      </c>
      <c r="AG559" s="142" t="s">
        <v>2705</v>
      </c>
      <c r="AH559" s="142" t="s">
        <v>2398</v>
      </c>
      <c r="AI559" s="142" t="s">
        <v>2705</v>
      </c>
      <c r="AJ559" s="142" t="s">
        <v>2705</v>
      </c>
      <c r="AK559" s="142" t="s">
        <v>2705</v>
      </c>
      <c r="AL559" s="142" t="s">
        <v>2705</v>
      </c>
      <c r="AM559" s="142" t="s">
        <v>2398</v>
      </c>
      <c r="AN559" s="142" t="s">
        <v>2705</v>
      </c>
      <c r="AO559" s="142" t="s">
        <v>2675</v>
      </c>
      <c r="AP559" s="142" t="s">
        <v>2705</v>
      </c>
      <c r="AQ559" s="142" t="s">
        <v>2705</v>
      </c>
      <c r="AR559" s="142" t="s">
        <v>2675</v>
      </c>
      <c r="AS559" s="142" t="s">
        <v>2705</v>
      </c>
      <c r="AT559" s="142" t="s">
        <v>2705</v>
      </c>
      <c r="AU559" s="142" t="s">
        <v>2398</v>
      </c>
      <c r="AV559" s="142" t="s">
        <v>2675</v>
      </c>
      <c r="AW559" s="142" t="s">
        <v>2398</v>
      </c>
      <c r="AX559" s="142" t="s">
        <v>2398</v>
      </c>
      <c r="AY559" s="142" t="s">
        <v>2705</v>
      </c>
      <c r="AZ559" s="142" t="s">
        <v>2398</v>
      </c>
    </row>
    <row r="560" spans="1:52" s="142" customFormat="1" ht="12.75" x14ac:dyDescent="0.2">
      <c r="A560" s="151"/>
      <c r="B560" s="152" t="s">
        <v>2705</v>
      </c>
      <c r="C560" s="152" t="s">
        <v>2705</v>
      </c>
      <c r="D560" s="152" t="s">
        <v>2675</v>
      </c>
      <c r="E560" s="152" t="s">
        <v>2705</v>
      </c>
      <c r="F560" s="152" t="s">
        <v>2705</v>
      </c>
      <c r="G560" s="152" t="s">
        <v>2705</v>
      </c>
      <c r="H560" s="152" t="s">
        <v>2705</v>
      </c>
      <c r="I560" s="152" t="s">
        <v>2705</v>
      </c>
      <c r="J560" s="152" t="s">
        <v>2705</v>
      </c>
      <c r="K560" s="152" t="s">
        <v>2705</v>
      </c>
      <c r="L560" s="152" t="s">
        <v>2398</v>
      </c>
      <c r="M560" s="152" t="s">
        <v>2398</v>
      </c>
      <c r="N560" s="152" t="s">
        <v>2398</v>
      </c>
      <c r="O560" s="152" t="s">
        <v>2705</v>
      </c>
      <c r="P560" s="152" t="s">
        <v>2398</v>
      </c>
      <c r="Q560" s="152" t="s">
        <v>2705</v>
      </c>
      <c r="R560" s="152" t="s">
        <v>1435</v>
      </c>
      <c r="S560" s="152" t="s">
        <v>2398</v>
      </c>
      <c r="T560" s="152" t="s">
        <v>2705</v>
      </c>
      <c r="U560" s="152" t="s">
        <v>2705</v>
      </c>
      <c r="V560" s="142" t="str" cm="1">
        <f t="array" ref="V560">IF(A560&lt;&gt;"",SUM(--(B560:U561 = "X")*$U$3,--(B560:U561 ="A")*$Q$3,--(B560:U561 ="B")*$R$3,--(B560:U561 ="C")*$S$3),"")</f>
        <v/>
      </c>
      <c r="X560" s="437" t="s">
        <v>7868</v>
      </c>
      <c r="Y560" s="437">
        <v>18</v>
      </c>
      <c r="Z560" s="436">
        <f>_xlfn.XLOOKUP(answers[[#This Row],[StudentID]],$A$7:$A$1418,$V$7:$V$1418)</f>
        <v>18</v>
      </c>
      <c r="AG560" s="142" t="s">
        <v>2705</v>
      </c>
      <c r="AH560" s="142" t="s">
        <v>2705</v>
      </c>
      <c r="AI560" s="142" t="s">
        <v>2675</v>
      </c>
      <c r="AJ560" s="142" t="s">
        <v>2705</v>
      </c>
      <c r="AK560" s="142" t="s">
        <v>2705</v>
      </c>
      <c r="AL560" s="142" t="s">
        <v>2705</v>
      </c>
      <c r="AM560" s="142" t="s">
        <v>2705</v>
      </c>
      <c r="AN560" s="142" t="s">
        <v>2705</v>
      </c>
      <c r="AO560" s="142" t="s">
        <v>2705</v>
      </c>
      <c r="AP560" s="142" t="s">
        <v>2705</v>
      </c>
      <c r="AQ560" s="142" t="s">
        <v>2398</v>
      </c>
      <c r="AR560" s="142" t="s">
        <v>2398</v>
      </c>
      <c r="AS560" s="142" t="s">
        <v>2398</v>
      </c>
      <c r="AT560" s="142" t="s">
        <v>2705</v>
      </c>
      <c r="AU560" s="142" t="s">
        <v>2398</v>
      </c>
      <c r="AV560" s="142" t="s">
        <v>2705</v>
      </c>
      <c r="AW560" s="142" t="s">
        <v>1435</v>
      </c>
      <c r="AX560" s="142" t="s">
        <v>2398</v>
      </c>
      <c r="AY560" s="142" t="s">
        <v>2705</v>
      </c>
      <c r="AZ560" s="142" t="s">
        <v>2705</v>
      </c>
    </row>
    <row r="561" spans="1:52" s="142" customFormat="1" ht="12.75" x14ac:dyDescent="0.2">
      <c r="A561" s="151" t="s">
        <v>7597</v>
      </c>
      <c r="B561" s="152" t="s">
        <v>2705</v>
      </c>
      <c r="C561" s="152" t="s">
        <v>2705</v>
      </c>
      <c r="D561" s="152" t="s">
        <v>2705</v>
      </c>
      <c r="E561" s="152" t="s">
        <v>2705</v>
      </c>
      <c r="F561" s="152" t="s">
        <v>2398</v>
      </c>
      <c r="G561" s="152" t="s">
        <v>2705</v>
      </c>
      <c r="H561" s="152" t="s">
        <v>2705</v>
      </c>
      <c r="I561" s="152" t="s">
        <v>2398</v>
      </c>
      <c r="J561" s="152" t="s">
        <v>2675</v>
      </c>
      <c r="K561" s="152" t="s">
        <v>2398</v>
      </c>
      <c r="L561" s="152" t="s">
        <v>2705</v>
      </c>
      <c r="M561" s="152" t="s">
        <v>2705</v>
      </c>
      <c r="N561" s="152" t="s">
        <v>2675</v>
      </c>
      <c r="O561" s="152" t="s">
        <v>2398</v>
      </c>
      <c r="P561" s="152" t="s">
        <v>2705</v>
      </c>
      <c r="Q561" s="152" t="s">
        <v>2705</v>
      </c>
      <c r="R561" s="152" t="s">
        <v>2705</v>
      </c>
      <c r="S561" s="152" t="s">
        <v>2705</v>
      </c>
      <c r="T561" s="152" t="s">
        <v>2705</v>
      </c>
      <c r="U561" s="152" t="s">
        <v>2398</v>
      </c>
      <c r="V561" s="142" cm="1">
        <f t="array" ref="V561">IF(A561&lt;&gt;"",SUM(--(B561:U562 = "X")*$U$3,--(B561:U562 ="A")*$Q$3,--(B561:U562 ="B")*$R$3,--(B561:U562 ="C")*$S$3),"")</f>
        <v>17.5</v>
      </c>
      <c r="X561" s="437" t="s">
        <v>7869</v>
      </c>
      <c r="Y561" s="437">
        <v>21</v>
      </c>
      <c r="Z561" s="436">
        <f>_xlfn.XLOOKUP(answers[[#This Row],[StudentID]],$A$7:$A$1418,$V$7:$V$1418)</f>
        <v>21</v>
      </c>
      <c r="AF561" s="142" t="s">
        <v>7597</v>
      </c>
      <c r="AG561" s="142" t="s">
        <v>2705</v>
      </c>
      <c r="AH561" s="142" t="s">
        <v>2705</v>
      </c>
      <c r="AI561" s="142" t="s">
        <v>2705</v>
      </c>
      <c r="AJ561" s="142" t="s">
        <v>2705</v>
      </c>
      <c r="AK561" s="142" t="s">
        <v>2398</v>
      </c>
      <c r="AL561" s="142" t="s">
        <v>2705</v>
      </c>
      <c r="AM561" s="142" t="s">
        <v>2705</v>
      </c>
      <c r="AN561" s="142" t="s">
        <v>2398</v>
      </c>
      <c r="AO561" s="142" t="s">
        <v>2675</v>
      </c>
      <c r="AP561" s="142" t="s">
        <v>2398</v>
      </c>
      <c r="AQ561" s="142" t="s">
        <v>2705</v>
      </c>
      <c r="AR561" s="142" t="s">
        <v>2705</v>
      </c>
      <c r="AS561" s="142" t="s">
        <v>2675</v>
      </c>
      <c r="AT561" s="142" t="s">
        <v>2398</v>
      </c>
      <c r="AU561" s="142" t="s">
        <v>2705</v>
      </c>
      <c r="AV561" s="142" t="s">
        <v>2705</v>
      </c>
      <c r="AW561" s="142" t="s">
        <v>2705</v>
      </c>
      <c r="AX561" s="142" t="s">
        <v>2705</v>
      </c>
      <c r="AY561" s="142" t="s">
        <v>2705</v>
      </c>
      <c r="AZ561" s="142" t="s">
        <v>2398</v>
      </c>
    </row>
    <row r="562" spans="1:52" s="142" customFormat="1" ht="12.75" x14ac:dyDescent="0.2">
      <c r="A562" s="151"/>
      <c r="B562" s="152" t="s">
        <v>2398</v>
      </c>
      <c r="C562" s="152" t="s">
        <v>2397</v>
      </c>
      <c r="D562" s="152" t="s">
        <v>2705</v>
      </c>
      <c r="E562" s="152" t="s">
        <v>1435</v>
      </c>
      <c r="F562" s="152" t="s">
        <v>2705</v>
      </c>
      <c r="G562" s="152" t="s">
        <v>2705</v>
      </c>
      <c r="H562" s="152" t="s">
        <v>2675</v>
      </c>
      <c r="I562" s="152" t="s">
        <v>2398</v>
      </c>
      <c r="J562" s="152" t="s">
        <v>2398</v>
      </c>
      <c r="K562" s="152" t="s">
        <v>2675</v>
      </c>
      <c r="L562" s="152" t="s">
        <v>2705</v>
      </c>
      <c r="M562" s="152" t="s">
        <v>2398</v>
      </c>
      <c r="N562" s="152" t="s">
        <v>1435</v>
      </c>
      <c r="O562" s="152" t="s">
        <v>2705</v>
      </c>
      <c r="P562" s="152" t="s">
        <v>2398</v>
      </c>
      <c r="Q562" s="152" t="s">
        <v>2705</v>
      </c>
      <c r="R562" s="152" t="s">
        <v>2705</v>
      </c>
      <c r="S562" s="152" t="s">
        <v>2705</v>
      </c>
      <c r="T562" s="152" t="s">
        <v>2398</v>
      </c>
      <c r="U562" s="152" t="s">
        <v>1435</v>
      </c>
      <c r="V562" s="142" t="str" cm="1">
        <f t="array" ref="V562">IF(A562&lt;&gt;"",SUM(--(B562:U563 = "X")*$U$3,--(B562:U563 ="A")*$Q$3,--(B562:U563 ="B")*$R$3,--(B562:U563 ="C")*$S$3),"")</f>
        <v/>
      </c>
      <c r="X562" s="437" t="s">
        <v>7870</v>
      </c>
      <c r="Y562" s="437">
        <v>14.5</v>
      </c>
      <c r="Z562" s="436">
        <f>_xlfn.XLOOKUP(answers[[#This Row],[StudentID]],$A$7:$A$1418,$V$7:$V$1418)</f>
        <v>14.5</v>
      </c>
      <c r="AG562" s="142" t="s">
        <v>2398</v>
      </c>
      <c r="AH562" s="142" t="s">
        <v>2397</v>
      </c>
      <c r="AI562" s="142" t="s">
        <v>2705</v>
      </c>
      <c r="AJ562" s="142" t="s">
        <v>1435</v>
      </c>
      <c r="AK562" s="142" t="s">
        <v>2705</v>
      </c>
      <c r="AL562" s="142" t="s">
        <v>2705</v>
      </c>
      <c r="AM562" s="142" t="s">
        <v>2675</v>
      </c>
      <c r="AN562" s="142" t="s">
        <v>2398</v>
      </c>
      <c r="AO562" s="142" t="s">
        <v>2398</v>
      </c>
      <c r="AP562" s="142" t="s">
        <v>2675</v>
      </c>
      <c r="AQ562" s="142" t="s">
        <v>2705</v>
      </c>
      <c r="AR562" s="142" t="s">
        <v>2398</v>
      </c>
      <c r="AS562" s="142" t="s">
        <v>1435</v>
      </c>
      <c r="AT562" s="142" t="s">
        <v>2705</v>
      </c>
      <c r="AU562" s="142" t="s">
        <v>2398</v>
      </c>
      <c r="AV562" s="142" t="s">
        <v>2705</v>
      </c>
      <c r="AW562" s="142" t="s">
        <v>2705</v>
      </c>
      <c r="AX562" s="142" t="s">
        <v>2705</v>
      </c>
      <c r="AY562" s="142" t="s">
        <v>2398</v>
      </c>
      <c r="AZ562" s="142" t="s">
        <v>1435</v>
      </c>
    </row>
    <row r="563" spans="1:52" s="142" customFormat="1" ht="12.75" x14ac:dyDescent="0.2">
      <c r="A563" s="151" t="s">
        <v>7598</v>
      </c>
      <c r="B563" s="152" t="s">
        <v>2705</v>
      </c>
      <c r="C563" s="152" t="s">
        <v>2705</v>
      </c>
      <c r="D563" s="152" t="s">
        <v>2705</v>
      </c>
      <c r="E563" s="152" t="s">
        <v>2705</v>
      </c>
      <c r="F563" s="152" t="s">
        <v>2705</v>
      </c>
      <c r="G563" s="152" t="s">
        <v>1435</v>
      </c>
      <c r="H563" s="152" t="s">
        <v>2705</v>
      </c>
      <c r="I563" s="152" t="s">
        <v>2705</v>
      </c>
      <c r="J563" s="152" t="s">
        <v>2705</v>
      </c>
      <c r="K563" s="152" t="s">
        <v>2398</v>
      </c>
      <c r="L563" s="152" t="s">
        <v>2705</v>
      </c>
      <c r="M563" s="152" t="s">
        <v>2705</v>
      </c>
      <c r="N563" s="152" t="s">
        <v>2398</v>
      </c>
      <c r="O563" s="152" t="s">
        <v>2398</v>
      </c>
      <c r="P563" s="152" t="s">
        <v>2705</v>
      </c>
      <c r="Q563" s="152" t="s">
        <v>2398</v>
      </c>
      <c r="R563" s="152" t="s">
        <v>2398</v>
      </c>
      <c r="S563" s="152" t="s">
        <v>2398</v>
      </c>
      <c r="T563" s="152" t="s">
        <v>2398</v>
      </c>
      <c r="U563" s="152" t="s">
        <v>2398</v>
      </c>
      <c r="V563" s="142" cm="1">
        <f t="array" ref="V563">IF(A563&lt;&gt;"",SUM(--(B563:U564 = "X")*$U$3,--(B563:U564 ="A")*$Q$3,--(B563:U564 ="B")*$R$3,--(B563:U564 ="C")*$S$3),"")</f>
        <v>17</v>
      </c>
      <c r="X563" s="437" t="s">
        <v>7871</v>
      </c>
      <c r="Y563" s="437">
        <v>14.5</v>
      </c>
      <c r="Z563" s="436">
        <f>_xlfn.XLOOKUP(answers[[#This Row],[StudentID]],$A$7:$A$1418,$V$7:$V$1418)</f>
        <v>14.5</v>
      </c>
      <c r="AF563" s="142" t="s">
        <v>7598</v>
      </c>
      <c r="AG563" s="142" t="s">
        <v>2705</v>
      </c>
      <c r="AH563" s="142" t="s">
        <v>2705</v>
      </c>
      <c r="AI563" s="142" t="s">
        <v>2705</v>
      </c>
      <c r="AJ563" s="142" t="s">
        <v>2705</v>
      </c>
      <c r="AK563" s="142" t="s">
        <v>2705</v>
      </c>
      <c r="AL563" s="142" t="s">
        <v>1435</v>
      </c>
      <c r="AM563" s="142" t="s">
        <v>2705</v>
      </c>
      <c r="AN563" s="142" t="s">
        <v>2705</v>
      </c>
      <c r="AO563" s="142" t="s">
        <v>2705</v>
      </c>
      <c r="AP563" s="142" t="s">
        <v>2398</v>
      </c>
      <c r="AQ563" s="142" t="s">
        <v>2705</v>
      </c>
      <c r="AR563" s="142" t="s">
        <v>2705</v>
      </c>
      <c r="AS563" s="142" t="s">
        <v>2398</v>
      </c>
      <c r="AT563" s="142" t="s">
        <v>2398</v>
      </c>
      <c r="AU563" s="142" t="s">
        <v>2705</v>
      </c>
      <c r="AV563" s="142" t="s">
        <v>2398</v>
      </c>
      <c r="AW563" s="142" t="s">
        <v>2398</v>
      </c>
      <c r="AX563" s="142" t="s">
        <v>2398</v>
      </c>
      <c r="AY563" s="142" t="s">
        <v>2398</v>
      </c>
      <c r="AZ563" s="142" t="s">
        <v>2398</v>
      </c>
    </row>
    <row r="564" spans="1:52" s="142" customFormat="1" ht="12.75" x14ac:dyDescent="0.2">
      <c r="A564" s="151"/>
      <c r="B564" s="152" t="s">
        <v>2398</v>
      </c>
      <c r="C564" s="152" t="s">
        <v>2398</v>
      </c>
      <c r="D564" s="152" t="s">
        <v>2675</v>
      </c>
      <c r="E564" s="152" t="s">
        <v>2705</v>
      </c>
      <c r="F564" s="152" t="s">
        <v>2398</v>
      </c>
      <c r="G564" s="152" t="s">
        <v>2398</v>
      </c>
      <c r="H564" s="152" t="s">
        <v>2398</v>
      </c>
      <c r="I564" s="152" t="s">
        <v>2398</v>
      </c>
      <c r="J564" s="152" t="s">
        <v>2398</v>
      </c>
      <c r="K564" s="152" t="s">
        <v>2675</v>
      </c>
      <c r="L564" s="152" t="s">
        <v>2398</v>
      </c>
      <c r="M564" s="152" t="s">
        <v>2705</v>
      </c>
      <c r="N564" s="152" t="s">
        <v>2705</v>
      </c>
      <c r="O564" s="152" t="s">
        <v>2705</v>
      </c>
      <c r="P564" s="152" t="s">
        <v>2705</v>
      </c>
      <c r="Q564" s="152" t="s">
        <v>2398</v>
      </c>
      <c r="R564" s="152" t="s">
        <v>2705</v>
      </c>
      <c r="S564" s="152" t="s">
        <v>2705</v>
      </c>
      <c r="T564" s="152" t="s">
        <v>1435</v>
      </c>
      <c r="U564" s="152" t="s">
        <v>2705</v>
      </c>
      <c r="V564" s="142" t="str" cm="1">
        <f t="array" ref="V564">IF(A564&lt;&gt;"",SUM(--(B564:U565 = "X")*$U$3,--(B564:U565 ="A")*$Q$3,--(B564:U565 ="B")*$R$3,--(B564:U565 ="C")*$S$3),"")</f>
        <v/>
      </c>
      <c r="X564" s="437" t="s">
        <v>7872</v>
      </c>
      <c r="Y564" s="437">
        <v>12.5</v>
      </c>
      <c r="Z564" s="436">
        <f>_xlfn.XLOOKUP(answers[[#This Row],[StudentID]],$A$7:$A$1418,$V$7:$V$1418)</f>
        <v>12.5</v>
      </c>
      <c r="AG564" s="142" t="s">
        <v>2398</v>
      </c>
      <c r="AH564" s="142" t="s">
        <v>2398</v>
      </c>
      <c r="AI564" s="142" t="s">
        <v>2675</v>
      </c>
      <c r="AJ564" s="142" t="s">
        <v>2705</v>
      </c>
      <c r="AK564" s="142" t="s">
        <v>2398</v>
      </c>
      <c r="AL564" s="142" t="s">
        <v>2398</v>
      </c>
      <c r="AM564" s="142" t="s">
        <v>2398</v>
      </c>
      <c r="AN564" s="142" t="s">
        <v>2398</v>
      </c>
      <c r="AO564" s="142" t="s">
        <v>2398</v>
      </c>
      <c r="AP564" s="142" t="s">
        <v>2675</v>
      </c>
      <c r="AQ564" s="142" t="s">
        <v>2398</v>
      </c>
      <c r="AR564" s="142" t="s">
        <v>2705</v>
      </c>
      <c r="AS564" s="142" t="s">
        <v>2705</v>
      </c>
      <c r="AT564" s="142" t="s">
        <v>2705</v>
      </c>
      <c r="AU564" s="142" t="s">
        <v>2705</v>
      </c>
      <c r="AV564" s="142" t="s">
        <v>2398</v>
      </c>
      <c r="AW564" s="142" t="s">
        <v>2705</v>
      </c>
      <c r="AX564" s="142" t="s">
        <v>2705</v>
      </c>
      <c r="AY564" s="142" t="s">
        <v>1435</v>
      </c>
      <c r="AZ564" s="142" t="s">
        <v>2705</v>
      </c>
    </row>
    <row r="565" spans="1:52" s="142" customFormat="1" ht="12.75" x14ac:dyDescent="0.2">
      <c r="A565" s="151" t="s">
        <v>7599</v>
      </c>
      <c r="B565" s="152" t="s">
        <v>2705</v>
      </c>
      <c r="C565" s="152" t="s">
        <v>2398</v>
      </c>
      <c r="D565" s="152" t="s">
        <v>2398</v>
      </c>
      <c r="E565" s="152" t="s">
        <v>2705</v>
      </c>
      <c r="F565" s="152" t="s">
        <v>2705</v>
      </c>
      <c r="G565" s="152" t="s">
        <v>2705</v>
      </c>
      <c r="H565" s="152" t="s">
        <v>2705</v>
      </c>
      <c r="I565" s="152" t="s">
        <v>2705</v>
      </c>
      <c r="J565" s="152" t="s">
        <v>2398</v>
      </c>
      <c r="K565" s="152" t="s">
        <v>2398</v>
      </c>
      <c r="L565" s="152" t="s">
        <v>2398</v>
      </c>
      <c r="M565" s="152" t="s">
        <v>2705</v>
      </c>
      <c r="N565" s="152" t="s">
        <v>2705</v>
      </c>
      <c r="O565" s="152" t="s">
        <v>2705</v>
      </c>
      <c r="P565" s="152" t="s">
        <v>2705</v>
      </c>
      <c r="Q565" s="152" t="s">
        <v>2705</v>
      </c>
      <c r="R565" s="152" t="s">
        <v>2705</v>
      </c>
      <c r="S565" s="152" t="s">
        <v>2705</v>
      </c>
      <c r="T565" s="152" t="s">
        <v>2398</v>
      </c>
      <c r="U565" s="152" t="s">
        <v>2398</v>
      </c>
      <c r="V565" s="142" cm="1">
        <f t="array" ref="V565">IF(A565&lt;&gt;"",SUM(--(B565:U566 = "X")*$U$3,--(B565:U566 ="A")*$Q$3,--(B565:U566 ="B")*$R$3,--(B565:U566 ="C")*$S$3),"")</f>
        <v>22</v>
      </c>
      <c r="X565" s="437" t="s">
        <v>7873</v>
      </c>
      <c r="Y565" s="437">
        <v>21</v>
      </c>
      <c r="Z565" s="436">
        <f>_xlfn.XLOOKUP(answers[[#This Row],[StudentID]],$A$7:$A$1418,$V$7:$V$1418)</f>
        <v>21</v>
      </c>
      <c r="AF565" s="142" t="s">
        <v>7599</v>
      </c>
      <c r="AG565" s="142" t="s">
        <v>2705</v>
      </c>
      <c r="AH565" s="142" t="s">
        <v>2398</v>
      </c>
      <c r="AI565" s="142" t="s">
        <v>2398</v>
      </c>
      <c r="AJ565" s="142" t="s">
        <v>2705</v>
      </c>
      <c r="AK565" s="142" t="s">
        <v>2705</v>
      </c>
      <c r="AL565" s="142" t="s">
        <v>2705</v>
      </c>
      <c r="AM565" s="142" t="s">
        <v>2705</v>
      </c>
      <c r="AN565" s="142" t="s">
        <v>2705</v>
      </c>
      <c r="AO565" s="142" t="s">
        <v>2398</v>
      </c>
      <c r="AP565" s="142" t="s">
        <v>2398</v>
      </c>
      <c r="AQ565" s="142" t="s">
        <v>2398</v>
      </c>
      <c r="AR565" s="142" t="s">
        <v>2705</v>
      </c>
      <c r="AS565" s="142" t="s">
        <v>2705</v>
      </c>
      <c r="AT565" s="142" t="s">
        <v>2705</v>
      </c>
      <c r="AU565" s="142" t="s">
        <v>2705</v>
      </c>
      <c r="AV565" s="142" t="s">
        <v>2705</v>
      </c>
      <c r="AW565" s="142" t="s">
        <v>2705</v>
      </c>
      <c r="AX565" s="142" t="s">
        <v>2705</v>
      </c>
      <c r="AY565" s="142" t="s">
        <v>2398</v>
      </c>
      <c r="AZ565" s="142" t="s">
        <v>2398</v>
      </c>
    </row>
    <row r="566" spans="1:52" s="142" customFormat="1" ht="12.75" x14ac:dyDescent="0.2">
      <c r="A566" s="151"/>
      <c r="B566" s="152" t="s">
        <v>2705</v>
      </c>
      <c r="C566" s="152" t="s">
        <v>2398</v>
      </c>
      <c r="D566" s="152" t="s">
        <v>2398</v>
      </c>
      <c r="E566" s="152" t="s">
        <v>1435</v>
      </c>
      <c r="F566" s="152" t="s">
        <v>2398</v>
      </c>
      <c r="G566" s="152" t="s">
        <v>2705</v>
      </c>
      <c r="H566" s="152" t="s">
        <v>2705</v>
      </c>
      <c r="I566" s="152" t="s">
        <v>2398</v>
      </c>
      <c r="J566" s="152" t="s">
        <v>2705</v>
      </c>
      <c r="K566" s="152" t="s">
        <v>2705</v>
      </c>
      <c r="L566" s="152" t="s">
        <v>2705</v>
      </c>
      <c r="M566" s="152" t="s">
        <v>2398</v>
      </c>
      <c r="N566" s="152" t="s">
        <v>2675</v>
      </c>
      <c r="O566" s="152" t="s">
        <v>1435</v>
      </c>
      <c r="P566" s="152" t="s">
        <v>2705</v>
      </c>
      <c r="Q566" s="152" t="s">
        <v>2705</v>
      </c>
      <c r="R566" s="152" t="s">
        <v>1435</v>
      </c>
      <c r="S566" s="152" t="s">
        <v>2705</v>
      </c>
      <c r="T566" s="152" t="s">
        <v>2705</v>
      </c>
      <c r="U566" s="152" t="s">
        <v>2705</v>
      </c>
      <c r="V566" s="142" t="str" cm="1">
        <f t="array" ref="V566">IF(A566&lt;&gt;"",SUM(--(B566:U567 = "X")*$U$3,--(B566:U567 ="A")*$Q$3,--(B566:U567 ="B")*$R$3,--(B566:U567 ="C")*$S$3),"")</f>
        <v/>
      </c>
      <c r="X566" s="437" t="s">
        <v>7874</v>
      </c>
      <c r="Y566" s="437">
        <v>10.5</v>
      </c>
      <c r="Z566" s="436">
        <f>_xlfn.XLOOKUP(answers[[#This Row],[StudentID]],$A$7:$A$1418,$V$7:$V$1418)</f>
        <v>10.5</v>
      </c>
      <c r="AG566" s="142" t="s">
        <v>2705</v>
      </c>
      <c r="AH566" s="142" t="s">
        <v>2398</v>
      </c>
      <c r="AI566" s="142" t="s">
        <v>2398</v>
      </c>
      <c r="AJ566" s="142" t="s">
        <v>1435</v>
      </c>
      <c r="AK566" s="142" t="s">
        <v>2398</v>
      </c>
      <c r="AL566" s="142" t="s">
        <v>2705</v>
      </c>
      <c r="AM566" s="142" t="s">
        <v>2705</v>
      </c>
      <c r="AN566" s="142" t="s">
        <v>2398</v>
      </c>
      <c r="AO566" s="142" t="s">
        <v>2705</v>
      </c>
      <c r="AP566" s="142" t="s">
        <v>2705</v>
      </c>
      <c r="AQ566" s="142" t="s">
        <v>2705</v>
      </c>
      <c r="AR566" s="142" t="s">
        <v>2398</v>
      </c>
      <c r="AS566" s="142" t="s">
        <v>2675</v>
      </c>
      <c r="AT566" s="142" t="s">
        <v>1435</v>
      </c>
      <c r="AU566" s="142" t="s">
        <v>2705</v>
      </c>
      <c r="AV566" s="142" t="s">
        <v>2705</v>
      </c>
      <c r="AW566" s="142" t="s">
        <v>1435</v>
      </c>
      <c r="AX566" s="142" t="s">
        <v>2705</v>
      </c>
      <c r="AY566" s="142" t="s">
        <v>2705</v>
      </c>
      <c r="AZ566" s="142" t="s">
        <v>2705</v>
      </c>
    </row>
    <row r="567" spans="1:52" s="142" customFormat="1" ht="12.75" x14ac:dyDescent="0.2">
      <c r="A567" s="151" t="s">
        <v>7600</v>
      </c>
      <c r="B567" s="152" t="s">
        <v>2705</v>
      </c>
      <c r="C567" s="152" t="s">
        <v>2705</v>
      </c>
      <c r="D567" s="152" t="s">
        <v>2705</v>
      </c>
      <c r="E567" s="152" t="s">
        <v>2705</v>
      </c>
      <c r="F567" s="152" t="s">
        <v>2705</v>
      </c>
      <c r="G567" s="152" t="s">
        <v>2705</v>
      </c>
      <c r="H567" s="152" t="s">
        <v>2705</v>
      </c>
      <c r="I567" s="152" t="s">
        <v>2705</v>
      </c>
      <c r="J567" s="152" t="s">
        <v>2705</v>
      </c>
      <c r="K567" s="152" t="s">
        <v>2705</v>
      </c>
      <c r="L567" s="152" t="s">
        <v>2705</v>
      </c>
      <c r="M567" s="152" t="s">
        <v>2705</v>
      </c>
      <c r="N567" s="152" t="s">
        <v>2705</v>
      </c>
      <c r="O567" s="152" t="s">
        <v>2705</v>
      </c>
      <c r="P567" s="152" t="s">
        <v>2705</v>
      </c>
      <c r="Q567" s="152" t="s">
        <v>2705</v>
      </c>
      <c r="R567" s="152" t="s">
        <v>2705</v>
      </c>
      <c r="S567" s="152" t="s">
        <v>2705</v>
      </c>
      <c r="T567" s="152" t="s">
        <v>2705</v>
      </c>
      <c r="U567" s="152" t="s">
        <v>2705</v>
      </c>
      <c r="V567" s="142" cm="1">
        <f t="array" ref="V567">IF(A567&lt;&gt;"",SUM(--(B567:U568 = "X")*$U$3,--(B567:U568 ="A")*$Q$3,--(B567:U568 ="B")*$R$3,--(B567:U568 ="C")*$S$3),"")</f>
        <v>29</v>
      </c>
      <c r="X567" s="437" t="s">
        <v>7875</v>
      </c>
      <c r="Y567" s="437">
        <v>25</v>
      </c>
      <c r="Z567" s="436">
        <f>_xlfn.XLOOKUP(answers[[#This Row],[StudentID]],$A$7:$A$1418,$V$7:$V$1418)</f>
        <v>25</v>
      </c>
      <c r="AF567" s="142" t="s">
        <v>7600</v>
      </c>
      <c r="AG567" s="142" t="s">
        <v>2705</v>
      </c>
      <c r="AH567" s="142" t="s">
        <v>2705</v>
      </c>
      <c r="AI567" s="142" t="s">
        <v>2705</v>
      </c>
      <c r="AJ567" s="142" t="s">
        <v>2705</v>
      </c>
      <c r="AK567" s="142" t="s">
        <v>2705</v>
      </c>
      <c r="AL567" s="142" t="s">
        <v>2705</v>
      </c>
      <c r="AM567" s="142" t="s">
        <v>2705</v>
      </c>
      <c r="AN567" s="142" t="s">
        <v>2705</v>
      </c>
      <c r="AO567" s="142" t="s">
        <v>2705</v>
      </c>
      <c r="AP567" s="142" t="s">
        <v>2705</v>
      </c>
      <c r="AQ567" s="142" t="s">
        <v>2705</v>
      </c>
      <c r="AR567" s="142" t="s">
        <v>2705</v>
      </c>
      <c r="AS567" s="142" t="s">
        <v>2705</v>
      </c>
      <c r="AT567" s="142" t="s">
        <v>2705</v>
      </c>
      <c r="AU567" s="142" t="s">
        <v>2705</v>
      </c>
      <c r="AV567" s="142" t="s">
        <v>2705</v>
      </c>
      <c r="AW567" s="142" t="s">
        <v>2705</v>
      </c>
      <c r="AX567" s="142" t="s">
        <v>2705</v>
      </c>
      <c r="AY567" s="142" t="s">
        <v>2705</v>
      </c>
      <c r="AZ567" s="142" t="s">
        <v>2705</v>
      </c>
    </row>
    <row r="568" spans="1:52" s="142" customFormat="1" ht="12.75" x14ac:dyDescent="0.2">
      <c r="A568" s="151"/>
      <c r="B568" s="152" t="s">
        <v>2398</v>
      </c>
      <c r="C568" s="152" t="s">
        <v>2705</v>
      </c>
      <c r="D568" s="152" t="s">
        <v>2705</v>
      </c>
      <c r="E568" s="152" t="s">
        <v>2705</v>
      </c>
      <c r="F568" s="152" t="s">
        <v>2675</v>
      </c>
      <c r="G568" s="152" t="s">
        <v>2398</v>
      </c>
      <c r="H568" s="152" t="s">
        <v>2705</v>
      </c>
      <c r="I568" s="152" t="s">
        <v>2705</v>
      </c>
      <c r="J568" s="152" t="s">
        <v>2398</v>
      </c>
      <c r="K568" s="152" t="s">
        <v>2398</v>
      </c>
      <c r="L568" s="152" t="s">
        <v>2398</v>
      </c>
      <c r="M568" s="152" t="s">
        <v>2398</v>
      </c>
      <c r="N568" s="152" t="s">
        <v>2705</v>
      </c>
      <c r="O568" s="152" t="s">
        <v>2705</v>
      </c>
      <c r="P568" s="152" t="s">
        <v>2398</v>
      </c>
      <c r="Q568" s="152" t="s">
        <v>2398</v>
      </c>
      <c r="R568" s="152" t="s">
        <v>2705</v>
      </c>
      <c r="S568" s="152" t="s">
        <v>1435</v>
      </c>
      <c r="T568" s="152" t="s">
        <v>2705</v>
      </c>
      <c r="U568" s="152" t="s">
        <v>2705</v>
      </c>
      <c r="V568" s="142" t="str" cm="1">
        <f t="array" ref="V568">IF(A568&lt;&gt;"",SUM(--(B568:U569 = "X")*$U$3,--(B568:U569 ="A")*$Q$3,--(B568:U569 ="B")*$R$3,--(B568:U569 ="C")*$S$3),"")</f>
        <v/>
      </c>
      <c r="X568" s="437" t="s">
        <v>7876</v>
      </c>
      <c r="Y568" s="437">
        <v>18</v>
      </c>
      <c r="Z568" s="436">
        <f>_xlfn.XLOOKUP(answers[[#This Row],[StudentID]],$A$7:$A$1418,$V$7:$V$1418)</f>
        <v>18</v>
      </c>
      <c r="AG568" s="142" t="s">
        <v>2398</v>
      </c>
      <c r="AH568" s="142" t="s">
        <v>2705</v>
      </c>
      <c r="AI568" s="142" t="s">
        <v>2705</v>
      </c>
      <c r="AJ568" s="142" t="s">
        <v>2705</v>
      </c>
      <c r="AK568" s="142" t="s">
        <v>2675</v>
      </c>
      <c r="AL568" s="142" t="s">
        <v>2398</v>
      </c>
      <c r="AM568" s="142" t="s">
        <v>2705</v>
      </c>
      <c r="AN568" s="142" t="s">
        <v>2705</v>
      </c>
      <c r="AO568" s="142" t="s">
        <v>2398</v>
      </c>
      <c r="AP568" s="142" t="s">
        <v>2398</v>
      </c>
      <c r="AQ568" s="142" t="s">
        <v>2398</v>
      </c>
      <c r="AR568" s="142" t="s">
        <v>2398</v>
      </c>
      <c r="AS568" s="142" t="s">
        <v>2705</v>
      </c>
      <c r="AT568" s="142" t="s">
        <v>2705</v>
      </c>
      <c r="AU568" s="142" t="s">
        <v>2398</v>
      </c>
      <c r="AV568" s="142" t="s">
        <v>2398</v>
      </c>
      <c r="AW568" s="142" t="s">
        <v>2705</v>
      </c>
      <c r="AX568" s="142" t="s">
        <v>1435</v>
      </c>
      <c r="AY568" s="142" t="s">
        <v>2705</v>
      </c>
      <c r="AZ568" s="142" t="s">
        <v>2705</v>
      </c>
    </row>
    <row r="569" spans="1:52" s="142" customFormat="1" ht="12.75" x14ac:dyDescent="0.2">
      <c r="A569" s="151" t="s">
        <v>7601</v>
      </c>
      <c r="B569" s="152" t="s">
        <v>2705</v>
      </c>
      <c r="C569" s="152" t="s">
        <v>2705</v>
      </c>
      <c r="D569" s="152" t="s">
        <v>2705</v>
      </c>
      <c r="E569" s="152" t="s">
        <v>2705</v>
      </c>
      <c r="F569" s="152" t="s">
        <v>2705</v>
      </c>
      <c r="G569" s="152" t="s">
        <v>2705</v>
      </c>
      <c r="H569" s="152" t="s">
        <v>2705</v>
      </c>
      <c r="I569" s="152" t="s">
        <v>2705</v>
      </c>
      <c r="J569" s="152" t="s">
        <v>2705</v>
      </c>
      <c r="K569" s="152" t="s">
        <v>2705</v>
      </c>
      <c r="L569" s="152" t="s">
        <v>2705</v>
      </c>
      <c r="M569" s="152" t="s">
        <v>2705</v>
      </c>
      <c r="N569" s="152" t="s">
        <v>2398</v>
      </c>
      <c r="O569" s="152" t="s">
        <v>2705</v>
      </c>
      <c r="P569" s="152" t="s">
        <v>2705</v>
      </c>
      <c r="Q569" s="152" t="s">
        <v>2398</v>
      </c>
      <c r="R569" s="152" t="s">
        <v>2398</v>
      </c>
      <c r="S569" s="152" t="s">
        <v>2705</v>
      </c>
      <c r="T569" s="152" t="s">
        <v>2705</v>
      </c>
      <c r="U569" s="152" t="s">
        <v>2705</v>
      </c>
      <c r="V569" s="142" cm="1">
        <f t="array" ref="V569">IF(A569&lt;&gt;"",SUM(--(B569:U570 = "X")*$U$3,--(B569:U570 ="A")*$Q$3,--(B569:U570 ="B")*$R$3,--(B569:U570 ="C")*$S$3),"")</f>
        <v>31.5</v>
      </c>
      <c r="X569" s="437" t="s">
        <v>7877</v>
      </c>
      <c r="Y569" s="437">
        <v>9.5</v>
      </c>
      <c r="Z569" s="436">
        <f>_xlfn.XLOOKUP(answers[[#This Row],[StudentID]],$A$7:$A$1418,$V$7:$V$1418)</f>
        <v>9.5</v>
      </c>
      <c r="AF569" s="142" t="s">
        <v>7601</v>
      </c>
      <c r="AG569" s="142" t="s">
        <v>2705</v>
      </c>
      <c r="AH569" s="142" t="s">
        <v>2705</v>
      </c>
      <c r="AI569" s="142" t="s">
        <v>2705</v>
      </c>
      <c r="AJ569" s="142" t="s">
        <v>2705</v>
      </c>
      <c r="AK569" s="142" t="s">
        <v>2705</v>
      </c>
      <c r="AL569" s="142" t="s">
        <v>2705</v>
      </c>
      <c r="AM569" s="142" t="s">
        <v>2705</v>
      </c>
      <c r="AN569" s="142" t="s">
        <v>2705</v>
      </c>
      <c r="AO569" s="142" t="s">
        <v>2705</v>
      </c>
      <c r="AP569" s="142" t="s">
        <v>2705</v>
      </c>
      <c r="AQ569" s="142" t="s">
        <v>2705</v>
      </c>
      <c r="AR569" s="142" t="s">
        <v>2705</v>
      </c>
      <c r="AS569" s="142" t="s">
        <v>2398</v>
      </c>
      <c r="AT569" s="142" t="s">
        <v>2705</v>
      </c>
      <c r="AU569" s="142" t="s">
        <v>2705</v>
      </c>
      <c r="AV569" s="142" t="s">
        <v>2398</v>
      </c>
      <c r="AW569" s="142" t="s">
        <v>2398</v>
      </c>
      <c r="AX569" s="142" t="s">
        <v>2705</v>
      </c>
      <c r="AY569" s="142" t="s">
        <v>2705</v>
      </c>
      <c r="AZ569" s="142" t="s">
        <v>2705</v>
      </c>
    </row>
    <row r="570" spans="1:52" s="142" customFormat="1" ht="12.75" x14ac:dyDescent="0.2">
      <c r="A570" s="151"/>
      <c r="B570" s="152" t="s">
        <v>2398</v>
      </c>
      <c r="C570" s="152" t="s">
        <v>2705</v>
      </c>
      <c r="D570" s="152" t="s">
        <v>2398</v>
      </c>
      <c r="E570" s="152" t="s">
        <v>2705</v>
      </c>
      <c r="F570" s="152" t="s">
        <v>2705</v>
      </c>
      <c r="G570" s="152" t="s">
        <v>2675</v>
      </c>
      <c r="H570" s="152" t="s">
        <v>2705</v>
      </c>
      <c r="I570" s="152" t="s">
        <v>2705</v>
      </c>
      <c r="J570" s="152" t="s">
        <v>2705</v>
      </c>
      <c r="K570" s="152" t="s">
        <v>2398</v>
      </c>
      <c r="L570" s="152" t="s">
        <v>2705</v>
      </c>
      <c r="M570" s="152" t="s">
        <v>2705</v>
      </c>
      <c r="N570" s="152" t="s">
        <v>2705</v>
      </c>
      <c r="O570" s="152" t="s">
        <v>2705</v>
      </c>
      <c r="P570" s="152" t="s">
        <v>2705</v>
      </c>
      <c r="Q570" s="152" t="s">
        <v>2705</v>
      </c>
      <c r="R570" s="152" t="s">
        <v>2398</v>
      </c>
      <c r="S570" s="152" t="s">
        <v>2705</v>
      </c>
      <c r="T570" s="152" t="s">
        <v>2705</v>
      </c>
      <c r="U570" s="152" t="s">
        <v>2705</v>
      </c>
      <c r="V570" s="142" t="str" cm="1">
        <f t="array" ref="V570">IF(A570&lt;&gt;"",SUM(--(B570:U571 = "X")*$U$3,--(B570:U571 ="A")*$Q$3,--(B570:U571 ="B")*$R$3,--(B570:U571 ="C")*$S$3),"")</f>
        <v/>
      </c>
      <c r="X570" s="437" t="s">
        <v>7878</v>
      </c>
      <c r="Y570" s="437">
        <v>31</v>
      </c>
      <c r="Z570" s="436">
        <f>_xlfn.XLOOKUP(answers[[#This Row],[StudentID]],$A$7:$A$1418,$V$7:$V$1418)</f>
        <v>31</v>
      </c>
      <c r="AG570" s="142" t="s">
        <v>2398</v>
      </c>
      <c r="AH570" s="142" t="s">
        <v>2705</v>
      </c>
      <c r="AI570" s="142" t="s">
        <v>2398</v>
      </c>
      <c r="AJ570" s="142" t="s">
        <v>2705</v>
      </c>
      <c r="AK570" s="142" t="s">
        <v>2705</v>
      </c>
      <c r="AL570" s="142" t="s">
        <v>2675</v>
      </c>
      <c r="AM570" s="142" t="s">
        <v>2705</v>
      </c>
      <c r="AN570" s="142" t="s">
        <v>2705</v>
      </c>
      <c r="AO570" s="142" t="s">
        <v>2705</v>
      </c>
      <c r="AP570" s="142" t="s">
        <v>2398</v>
      </c>
      <c r="AQ570" s="142" t="s">
        <v>2705</v>
      </c>
      <c r="AR570" s="142" t="s">
        <v>2705</v>
      </c>
      <c r="AS570" s="142" t="s">
        <v>2705</v>
      </c>
      <c r="AT570" s="142" t="s">
        <v>2705</v>
      </c>
      <c r="AU570" s="142" t="s">
        <v>2705</v>
      </c>
      <c r="AV570" s="142" t="s">
        <v>2705</v>
      </c>
      <c r="AW570" s="142" t="s">
        <v>2398</v>
      </c>
      <c r="AX570" s="142" t="s">
        <v>2705</v>
      </c>
      <c r="AY570" s="142" t="s">
        <v>2705</v>
      </c>
      <c r="AZ570" s="142" t="s">
        <v>2705</v>
      </c>
    </row>
    <row r="571" spans="1:52" s="142" customFormat="1" ht="12.75" x14ac:dyDescent="0.2">
      <c r="A571" s="151" t="s">
        <v>7602</v>
      </c>
      <c r="B571" s="152" t="s">
        <v>2398</v>
      </c>
      <c r="C571" s="152" t="s">
        <v>2705</v>
      </c>
      <c r="D571" s="152" t="s">
        <v>2398</v>
      </c>
      <c r="E571" s="152" t="s">
        <v>2398</v>
      </c>
      <c r="F571" s="152" t="s">
        <v>2705</v>
      </c>
      <c r="G571" s="152" t="s">
        <v>2705</v>
      </c>
      <c r="H571" s="152" t="s">
        <v>2705</v>
      </c>
      <c r="I571" s="152" t="s">
        <v>2675</v>
      </c>
      <c r="J571" s="152" t="s">
        <v>2398</v>
      </c>
      <c r="K571" s="152" t="s">
        <v>2398</v>
      </c>
      <c r="L571" s="152" t="s">
        <v>1435</v>
      </c>
      <c r="M571" s="152" t="s">
        <v>2705</v>
      </c>
      <c r="N571" s="152" t="s">
        <v>2398</v>
      </c>
      <c r="O571" s="152" t="s">
        <v>2398</v>
      </c>
      <c r="P571" s="152" t="s">
        <v>2705</v>
      </c>
      <c r="Q571" s="152" t="s">
        <v>2705</v>
      </c>
      <c r="R571" s="152" t="s">
        <v>2705</v>
      </c>
      <c r="S571" s="152" t="s">
        <v>2705</v>
      </c>
      <c r="T571" s="152" t="s">
        <v>2398</v>
      </c>
      <c r="U571" s="152" t="s">
        <v>2705</v>
      </c>
      <c r="V571" s="142" cm="1">
        <f t="array" ref="V571">IF(A571&lt;&gt;"",SUM(--(B571:U572 = "X")*$U$3,--(B571:U572 ="A")*$Q$3,--(B571:U572 ="B")*$R$3,--(B571:U572 ="C")*$S$3),"")</f>
        <v>19</v>
      </c>
      <c r="X571" s="437" t="s">
        <v>7879</v>
      </c>
      <c r="Y571" s="437">
        <v>13.5</v>
      </c>
      <c r="Z571" s="436">
        <f>_xlfn.XLOOKUP(answers[[#This Row],[StudentID]],$A$7:$A$1418,$V$7:$V$1418)</f>
        <v>13.5</v>
      </c>
      <c r="AF571" s="142" t="s">
        <v>7602</v>
      </c>
      <c r="AG571" s="142" t="s">
        <v>2398</v>
      </c>
      <c r="AH571" s="142" t="s">
        <v>2705</v>
      </c>
      <c r="AI571" s="142" t="s">
        <v>2398</v>
      </c>
      <c r="AJ571" s="142" t="s">
        <v>2398</v>
      </c>
      <c r="AK571" s="142" t="s">
        <v>2705</v>
      </c>
      <c r="AL571" s="142" t="s">
        <v>2705</v>
      </c>
      <c r="AM571" s="142" t="s">
        <v>2705</v>
      </c>
      <c r="AN571" s="142" t="s">
        <v>2675</v>
      </c>
      <c r="AO571" s="142" t="s">
        <v>2398</v>
      </c>
      <c r="AP571" s="142" t="s">
        <v>2398</v>
      </c>
      <c r="AQ571" s="142" t="s">
        <v>1435</v>
      </c>
      <c r="AR571" s="142" t="s">
        <v>2705</v>
      </c>
      <c r="AS571" s="142" t="s">
        <v>2398</v>
      </c>
      <c r="AT571" s="142" t="s">
        <v>2398</v>
      </c>
      <c r="AU571" s="142" t="s">
        <v>2705</v>
      </c>
      <c r="AV571" s="142" t="s">
        <v>2705</v>
      </c>
      <c r="AW571" s="142" t="s">
        <v>2705</v>
      </c>
      <c r="AX571" s="142" t="s">
        <v>2705</v>
      </c>
      <c r="AY571" s="142" t="s">
        <v>2398</v>
      </c>
      <c r="AZ571" s="142" t="s">
        <v>2705</v>
      </c>
    </row>
    <row r="572" spans="1:52" s="142" customFormat="1" ht="12.75" x14ac:dyDescent="0.2">
      <c r="A572" s="151"/>
      <c r="B572" s="152" t="s">
        <v>2398</v>
      </c>
      <c r="C572" s="152" t="s">
        <v>2398</v>
      </c>
      <c r="D572" s="152" t="s">
        <v>2398</v>
      </c>
      <c r="E572" s="152" t="s">
        <v>2705</v>
      </c>
      <c r="F572" s="152" t="s">
        <v>2705</v>
      </c>
      <c r="G572" s="152" t="s">
        <v>2705</v>
      </c>
      <c r="H572" s="152" t="s">
        <v>2398</v>
      </c>
      <c r="I572" s="152" t="s">
        <v>1435</v>
      </c>
      <c r="J572" s="152" t="s">
        <v>1435</v>
      </c>
      <c r="K572" s="152" t="s">
        <v>2705</v>
      </c>
      <c r="L572" s="152" t="s">
        <v>2705</v>
      </c>
      <c r="M572" s="152" t="s">
        <v>2705</v>
      </c>
      <c r="N572" s="152" t="s">
        <v>2705</v>
      </c>
      <c r="O572" s="152" t="s">
        <v>2705</v>
      </c>
      <c r="P572" s="152" t="s">
        <v>2398</v>
      </c>
      <c r="Q572" s="152" t="s">
        <v>2705</v>
      </c>
      <c r="R572" s="152" t="s">
        <v>2705</v>
      </c>
      <c r="S572" s="152" t="s">
        <v>2705</v>
      </c>
      <c r="T572" s="152" t="s">
        <v>2398</v>
      </c>
      <c r="U572" s="152" t="s">
        <v>2398</v>
      </c>
      <c r="V572" s="142" t="str" cm="1">
        <f t="array" ref="V572">IF(A572&lt;&gt;"",SUM(--(B572:U573 = "X")*$U$3,--(B572:U573 ="A")*$Q$3,--(B572:U573 ="B")*$R$3,--(B572:U573 ="C")*$S$3),"")</f>
        <v/>
      </c>
      <c r="X572" s="437" t="s">
        <v>7880</v>
      </c>
      <c r="Y572" s="437">
        <v>20</v>
      </c>
      <c r="Z572" s="436">
        <f>_xlfn.XLOOKUP(answers[[#This Row],[StudentID]],$A$7:$A$1418,$V$7:$V$1418)</f>
        <v>20</v>
      </c>
      <c r="AG572" s="142" t="s">
        <v>2398</v>
      </c>
      <c r="AH572" s="142" t="s">
        <v>2398</v>
      </c>
      <c r="AI572" s="142" t="s">
        <v>2398</v>
      </c>
      <c r="AJ572" s="142" t="s">
        <v>2705</v>
      </c>
      <c r="AK572" s="142" t="s">
        <v>2705</v>
      </c>
      <c r="AL572" s="142" t="s">
        <v>2705</v>
      </c>
      <c r="AM572" s="142" t="s">
        <v>2398</v>
      </c>
      <c r="AN572" s="142" t="s">
        <v>1435</v>
      </c>
      <c r="AO572" s="142" t="s">
        <v>1435</v>
      </c>
      <c r="AP572" s="142" t="s">
        <v>2705</v>
      </c>
      <c r="AQ572" s="142" t="s">
        <v>2705</v>
      </c>
      <c r="AR572" s="142" t="s">
        <v>2705</v>
      </c>
      <c r="AS572" s="142" t="s">
        <v>2705</v>
      </c>
      <c r="AT572" s="142" t="s">
        <v>2705</v>
      </c>
      <c r="AU572" s="142" t="s">
        <v>2398</v>
      </c>
      <c r="AV572" s="142" t="s">
        <v>2705</v>
      </c>
      <c r="AW572" s="142" t="s">
        <v>2705</v>
      </c>
      <c r="AX572" s="142" t="s">
        <v>2705</v>
      </c>
      <c r="AY572" s="142" t="s">
        <v>2398</v>
      </c>
      <c r="AZ572" s="142" t="s">
        <v>2398</v>
      </c>
    </row>
    <row r="573" spans="1:52" s="142" customFormat="1" ht="12.75" x14ac:dyDescent="0.2">
      <c r="A573" s="151" t="s">
        <v>7603</v>
      </c>
      <c r="B573" s="152" t="s">
        <v>2398</v>
      </c>
      <c r="C573" s="152" t="s">
        <v>2705</v>
      </c>
      <c r="D573" s="152" t="s">
        <v>2398</v>
      </c>
      <c r="E573" s="152" t="s">
        <v>2398</v>
      </c>
      <c r="F573" s="152" t="s">
        <v>2705</v>
      </c>
      <c r="G573" s="152" t="s">
        <v>2398</v>
      </c>
      <c r="H573" s="152" t="s">
        <v>2705</v>
      </c>
      <c r="I573" s="152" t="s">
        <v>2675</v>
      </c>
      <c r="J573" s="152" t="s">
        <v>2398</v>
      </c>
      <c r="K573" s="152" t="s">
        <v>2705</v>
      </c>
      <c r="L573" s="152" t="s">
        <v>1435</v>
      </c>
      <c r="M573" s="152" t="s">
        <v>2705</v>
      </c>
      <c r="N573" s="152" t="s">
        <v>2705</v>
      </c>
      <c r="O573" s="152" t="s">
        <v>2398</v>
      </c>
      <c r="P573" s="152" t="s">
        <v>2705</v>
      </c>
      <c r="Q573" s="152" t="s">
        <v>2705</v>
      </c>
      <c r="R573" s="152" t="s">
        <v>2675</v>
      </c>
      <c r="S573" s="152" t="s">
        <v>2705</v>
      </c>
      <c r="T573" s="152" t="s">
        <v>2705</v>
      </c>
      <c r="U573" s="152" t="s">
        <v>2705</v>
      </c>
      <c r="V573" s="142" cm="1">
        <f t="array" ref="V573">IF(A573&lt;&gt;"",SUM(--(B573:U574 = "X")*$U$3,--(B573:U574 ="A")*$Q$3,--(B573:U574 ="B")*$R$3,--(B573:U574 ="C")*$S$3),"")</f>
        <v>18.5</v>
      </c>
      <c r="X573" s="437" t="s">
        <v>7881</v>
      </c>
      <c r="Y573" s="437">
        <v>18.5</v>
      </c>
      <c r="Z573" s="436">
        <f>_xlfn.XLOOKUP(answers[[#This Row],[StudentID]],$A$7:$A$1418,$V$7:$V$1418)</f>
        <v>18.5</v>
      </c>
      <c r="AF573" s="142" t="s">
        <v>7603</v>
      </c>
      <c r="AG573" s="142" t="s">
        <v>2398</v>
      </c>
      <c r="AH573" s="142" t="s">
        <v>2705</v>
      </c>
      <c r="AI573" s="142" t="s">
        <v>2398</v>
      </c>
      <c r="AJ573" s="142" t="s">
        <v>2398</v>
      </c>
      <c r="AK573" s="142" t="s">
        <v>2705</v>
      </c>
      <c r="AL573" s="142" t="s">
        <v>2398</v>
      </c>
      <c r="AM573" s="142" t="s">
        <v>2705</v>
      </c>
      <c r="AN573" s="142" t="s">
        <v>2675</v>
      </c>
      <c r="AO573" s="142" t="s">
        <v>2398</v>
      </c>
      <c r="AP573" s="142" t="s">
        <v>2705</v>
      </c>
      <c r="AQ573" s="142" t="s">
        <v>1435</v>
      </c>
      <c r="AR573" s="142" t="s">
        <v>2705</v>
      </c>
      <c r="AS573" s="142" t="s">
        <v>2705</v>
      </c>
      <c r="AT573" s="142" t="s">
        <v>2398</v>
      </c>
      <c r="AU573" s="142" t="s">
        <v>2705</v>
      </c>
      <c r="AV573" s="142" t="s">
        <v>2705</v>
      </c>
      <c r="AW573" s="142" t="s">
        <v>2675</v>
      </c>
      <c r="AX573" s="142" t="s">
        <v>2705</v>
      </c>
      <c r="AY573" s="142" t="s">
        <v>2705</v>
      </c>
      <c r="AZ573" s="142" t="s">
        <v>2705</v>
      </c>
    </row>
    <row r="574" spans="1:52" s="142" customFormat="1" ht="12.75" x14ac:dyDescent="0.2">
      <c r="A574" s="151"/>
      <c r="B574" s="152" t="s">
        <v>2705</v>
      </c>
      <c r="C574" s="152" t="s">
        <v>2398</v>
      </c>
      <c r="D574" s="152" t="s">
        <v>2398</v>
      </c>
      <c r="E574" s="152" t="s">
        <v>2675</v>
      </c>
      <c r="F574" s="152" t="s">
        <v>2705</v>
      </c>
      <c r="G574" s="152" t="s">
        <v>2705</v>
      </c>
      <c r="H574" s="152" t="s">
        <v>2398</v>
      </c>
      <c r="I574" s="152" t="s">
        <v>2705</v>
      </c>
      <c r="J574" s="152" t="s">
        <v>2705</v>
      </c>
      <c r="K574" s="152" t="s">
        <v>2705</v>
      </c>
      <c r="L574" s="152" t="s">
        <v>2398</v>
      </c>
      <c r="M574" s="152" t="s">
        <v>2398</v>
      </c>
      <c r="N574" s="152" t="s">
        <v>2398</v>
      </c>
      <c r="O574" s="152" t="s">
        <v>2705</v>
      </c>
      <c r="P574" s="152" t="s">
        <v>1435</v>
      </c>
      <c r="Q574" s="152" t="s">
        <v>2705</v>
      </c>
      <c r="R574" s="152" t="s">
        <v>2705</v>
      </c>
      <c r="S574" s="152" t="s">
        <v>2705</v>
      </c>
      <c r="T574" s="152" t="s">
        <v>2398</v>
      </c>
      <c r="U574" s="152" t="s">
        <v>2398</v>
      </c>
      <c r="V574" s="142" t="str" cm="1">
        <f t="array" ref="V574">IF(A574&lt;&gt;"",SUM(--(B574:U575 = "X")*$U$3,--(B574:U575 ="A")*$Q$3,--(B574:U575 ="B")*$R$3,--(B574:U575 ="C")*$S$3),"")</f>
        <v/>
      </c>
      <c r="X574" s="437" t="s">
        <v>7882</v>
      </c>
      <c r="Y574" s="437">
        <v>9</v>
      </c>
      <c r="Z574" s="436">
        <f>_xlfn.XLOOKUP(answers[[#This Row],[StudentID]],$A$7:$A$1418,$V$7:$V$1418)</f>
        <v>9</v>
      </c>
      <c r="AG574" s="142" t="s">
        <v>2705</v>
      </c>
      <c r="AH574" s="142" t="s">
        <v>2398</v>
      </c>
      <c r="AI574" s="142" t="s">
        <v>2398</v>
      </c>
      <c r="AJ574" s="142" t="s">
        <v>2675</v>
      </c>
      <c r="AK574" s="142" t="s">
        <v>2705</v>
      </c>
      <c r="AL574" s="142" t="s">
        <v>2705</v>
      </c>
      <c r="AM574" s="142" t="s">
        <v>2398</v>
      </c>
      <c r="AN574" s="142" t="s">
        <v>2705</v>
      </c>
      <c r="AO574" s="142" t="s">
        <v>2705</v>
      </c>
      <c r="AP574" s="142" t="s">
        <v>2705</v>
      </c>
      <c r="AQ574" s="142" t="s">
        <v>2398</v>
      </c>
      <c r="AR574" s="142" t="s">
        <v>2398</v>
      </c>
      <c r="AS574" s="142" t="s">
        <v>2398</v>
      </c>
      <c r="AT574" s="142" t="s">
        <v>2705</v>
      </c>
      <c r="AU574" s="142" t="s">
        <v>1435</v>
      </c>
      <c r="AV574" s="142" t="s">
        <v>2705</v>
      </c>
      <c r="AW574" s="142" t="s">
        <v>2705</v>
      </c>
      <c r="AX574" s="142" t="s">
        <v>2705</v>
      </c>
      <c r="AY574" s="142" t="s">
        <v>2398</v>
      </c>
      <c r="AZ574" s="142" t="s">
        <v>2398</v>
      </c>
    </row>
    <row r="575" spans="1:52" s="142" customFormat="1" ht="12.75" x14ac:dyDescent="0.2">
      <c r="A575" s="151" t="s">
        <v>7604</v>
      </c>
      <c r="B575" s="152" t="s">
        <v>2398</v>
      </c>
      <c r="C575" s="152" t="s">
        <v>2705</v>
      </c>
      <c r="D575" s="152" t="s">
        <v>2398</v>
      </c>
      <c r="E575" s="152" t="s">
        <v>2398</v>
      </c>
      <c r="F575" s="152" t="s">
        <v>2705</v>
      </c>
      <c r="G575" s="152" t="s">
        <v>2705</v>
      </c>
      <c r="H575" s="152" t="s">
        <v>2705</v>
      </c>
      <c r="I575" s="152" t="s">
        <v>2398</v>
      </c>
      <c r="J575" s="152" t="s">
        <v>2705</v>
      </c>
      <c r="K575" s="152" t="s">
        <v>2705</v>
      </c>
      <c r="L575" s="152" t="s">
        <v>2705</v>
      </c>
      <c r="M575" s="152" t="s">
        <v>2705</v>
      </c>
      <c r="N575" s="152" t="s">
        <v>2398</v>
      </c>
      <c r="O575" s="152" t="s">
        <v>2705</v>
      </c>
      <c r="P575" s="152" t="s">
        <v>2705</v>
      </c>
      <c r="Q575" s="152" t="s">
        <v>2705</v>
      </c>
      <c r="R575" s="152" t="s">
        <v>2705</v>
      </c>
      <c r="S575" s="152" t="s">
        <v>2705</v>
      </c>
      <c r="T575" s="152" t="s">
        <v>2705</v>
      </c>
      <c r="U575" s="152" t="s">
        <v>2705</v>
      </c>
      <c r="V575" s="142" cm="1">
        <f t="array" ref="V575">IF(A575&lt;&gt;"",SUM(--(B575:U576 = "X")*$U$3,--(B575:U576 ="A")*$Q$3,--(B575:U576 ="B")*$R$3,--(B575:U576 ="C")*$S$3),"")</f>
        <v>26.5</v>
      </c>
      <c r="X575" s="437" t="s">
        <v>7883</v>
      </c>
      <c r="Y575" s="437">
        <v>18.5</v>
      </c>
      <c r="Z575" s="436">
        <f>_xlfn.XLOOKUP(answers[[#This Row],[StudentID]],$A$7:$A$1418,$V$7:$V$1418)</f>
        <v>18.5</v>
      </c>
      <c r="AF575" s="142" t="s">
        <v>7604</v>
      </c>
      <c r="AG575" s="142" t="s">
        <v>2398</v>
      </c>
      <c r="AH575" s="142" t="s">
        <v>2705</v>
      </c>
      <c r="AI575" s="142" t="s">
        <v>2398</v>
      </c>
      <c r="AJ575" s="142" t="s">
        <v>2398</v>
      </c>
      <c r="AK575" s="142" t="s">
        <v>2705</v>
      </c>
      <c r="AL575" s="142" t="s">
        <v>2705</v>
      </c>
      <c r="AM575" s="142" t="s">
        <v>2705</v>
      </c>
      <c r="AN575" s="142" t="s">
        <v>2398</v>
      </c>
      <c r="AO575" s="142" t="s">
        <v>2705</v>
      </c>
      <c r="AP575" s="142" t="s">
        <v>2705</v>
      </c>
      <c r="AQ575" s="142" t="s">
        <v>2705</v>
      </c>
      <c r="AR575" s="142" t="s">
        <v>2705</v>
      </c>
      <c r="AS575" s="142" t="s">
        <v>2398</v>
      </c>
      <c r="AT575" s="142" t="s">
        <v>2705</v>
      </c>
      <c r="AU575" s="142" t="s">
        <v>2705</v>
      </c>
      <c r="AV575" s="142" t="s">
        <v>2705</v>
      </c>
      <c r="AW575" s="142" t="s">
        <v>2705</v>
      </c>
      <c r="AX575" s="142" t="s">
        <v>2705</v>
      </c>
      <c r="AY575" s="142" t="s">
        <v>2705</v>
      </c>
      <c r="AZ575" s="142" t="s">
        <v>2705</v>
      </c>
    </row>
    <row r="576" spans="1:52" s="142" customFormat="1" ht="12.75" x14ac:dyDescent="0.2">
      <c r="A576" s="151"/>
      <c r="B576" s="152" t="s">
        <v>2705</v>
      </c>
      <c r="C576" s="152" t="s">
        <v>2398</v>
      </c>
      <c r="D576" s="152" t="s">
        <v>2705</v>
      </c>
      <c r="E576" s="152" t="s">
        <v>2398</v>
      </c>
      <c r="F576" s="152" t="s">
        <v>2705</v>
      </c>
      <c r="G576" s="152" t="s">
        <v>2705</v>
      </c>
      <c r="H576" s="152" t="s">
        <v>2398</v>
      </c>
      <c r="I576" s="152" t="s">
        <v>2398</v>
      </c>
      <c r="J576" s="152" t="s">
        <v>2705</v>
      </c>
      <c r="K576" s="152" t="s">
        <v>2398</v>
      </c>
      <c r="L576" s="152" t="s">
        <v>2705</v>
      </c>
      <c r="M576" s="152" t="s">
        <v>2398</v>
      </c>
      <c r="N576" s="152" t="s">
        <v>2705</v>
      </c>
      <c r="O576" s="152" t="s">
        <v>2705</v>
      </c>
      <c r="P576" s="152" t="s">
        <v>2675</v>
      </c>
      <c r="Q576" s="152" t="s">
        <v>2705</v>
      </c>
      <c r="R576" s="152" t="s">
        <v>2398</v>
      </c>
      <c r="S576" s="152" t="s">
        <v>2705</v>
      </c>
      <c r="T576" s="152" t="s">
        <v>2705</v>
      </c>
      <c r="U576" s="152" t="s">
        <v>2705</v>
      </c>
      <c r="V576" s="142" t="str" cm="1">
        <f t="array" ref="V576">IF(A576&lt;&gt;"",SUM(--(B576:U577 = "X")*$U$3,--(B576:U577 ="A")*$Q$3,--(B576:U577 ="B")*$R$3,--(B576:U577 ="C")*$S$3),"")</f>
        <v/>
      </c>
      <c r="X576" s="437" t="s">
        <v>7884</v>
      </c>
      <c r="Y576" s="437">
        <v>17.5</v>
      </c>
      <c r="Z576" s="436">
        <f>_xlfn.XLOOKUP(answers[[#This Row],[StudentID]],$A$7:$A$1418,$V$7:$V$1418)</f>
        <v>17.5</v>
      </c>
      <c r="AG576" s="142" t="s">
        <v>2705</v>
      </c>
      <c r="AH576" s="142" t="s">
        <v>2398</v>
      </c>
      <c r="AI576" s="142" t="s">
        <v>2705</v>
      </c>
      <c r="AJ576" s="142" t="s">
        <v>2398</v>
      </c>
      <c r="AK576" s="142" t="s">
        <v>2705</v>
      </c>
      <c r="AL576" s="142" t="s">
        <v>2705</v>
      </c>
      <c r="AM576" s="142" t="s">
        <v>2398</v>
      </c>
      <c r="AN576" s="142" t="s">
        <v>2398</v>
      </c>
      <c r="AO576" s="142" t="s">
        <v>2705</v>
      </c>
      <c r="AP576" s="142" t="s">
        <v>2398</v>
      </c>
      <c r="AQ576" s="142" t="s">
        <v>2705</v>
      </c>
      <c r="AR576" s="142" t="s">
        <v>2398</v>
      </c>
      <c r="AS576" s="142" t="s">
        <v>2705</v>
      </c>
      <c r="AT576" s="142" t="s">
        <v>2705</v>
      </c>
      <c r="AU576" s="142" t="s">
        <v>2675</v>
      </c>
      <c r="AV576" s="142" t="s">
        <v>2705</v>
      </c>
      <c r="AW576" s="142" t="s">
        <v>2398</v>
      </c>
      <c r="AX576" s="142" t="s">
        <v>2705</v>
      </c>
      <c r="AY576" s="142" t="s">
        <v>2705</v>
      </c>
      <c r="AZ576" s="142" t="s">
        <v>2705</v>
      </c>
    </row>
    <row r="577" spans="1:52" s="142" customFormat="1" ht="12.75" x14ac:dyDescent="0.2">
      <c r="A577" s="151" t="s">
        <v>7605</v>
      </c>
      <c r="B577" s="152" t="s">
        <v>2705</v>
      </c>
      <c r="C577" s="152" t="s">
        <v>2398</v>
      </c>
      <c r="D577" s="152" t="s">
        <v>2397</v>
      </c>
      <c r="E577" s="152" t="s">
        <v>2705</v>
      </c>
      <c r="F577" s="152" t="s">
        <v>2705</v>
      </c>
      <c r="G577" s="152" t="s">
        <v>2398</v>
      </c>
      <c r="H577" s="152" t="s">
        <v>2705</v>
      </c>
      <c r="I577" s="152" t="s">
        <v>2675</v>
      </c>
      <c r="J577" s="152" t="s">
        <v>2397</v>
      </c>
      <c r="K577" s="152" t="s">
        <v>1435</v>
      </c>
      <c r="L577" s="152" t="s">
        <v>2705</v>
      </c>
      <c r="M577" s="152" t="s">
        <v>2705</v>
      </c>
      <c r="N577" s="152" t="s">
        <v>2705</v>
      </c>
      <c r="O577" s="152" t="s">
        <v>2705</v>
      </c>
      <c r="P577" s="152" t="s">
        <v>2675</v>
      </c>
      <c r="Q577" s="152" t="s">
        <v>1435</v>
      </c>
      <c r="R577" s="152" t="s">
        <v>2705</v>
      </c>
      <c r="S577" s="152" t="s">
        <v>2705</v>
      </c>
      <c r="T577" s="152" t="s">
        <v>2705</v>
      </c>
      <c r="U577" s="152" t="s">
        <v>1435</v>
      </c>
      <c r="V577" s="142" cm="1">
        <f t="array" ref="V577">IF(A577&lt;&gt;"",SUM(--(B577:U578 = "X")*$U$3,--(B577:U578 ="A")*$Q$3,--(B577:U578 ="B")*$R$3,--(B577:U578 ="C")*$S$3),"")</f>
        <v>13</v>
      </c>
      <c r="X577" s="437" t="s">
        <v>7885</v>
      </c>
      <c r="Y577" s="437">
        <v>19</v>
      </c>
      <c r="Z577" s="436">
        <f>_xlfn.XLOOKUP(answers[[#This Row],[StudentID]],$A$7:$A$1418,$V$7:$V$1418)</f>
        <v>19</v>
      </c>
      <c r="AF577" s="142" t="s">
        <v>7605</v>
      </c>
      <c r="AG577" s="142" t="s">
        <v>2705</v>
      </c>
      <c r="AH577" s="142" t="s">
        <v>2398</v>
      </c>
      <c r="AI577" s="142" t="s">
        <v>2397</v>
      </c>
      <c r="AJ577" s="142" t="s">
        <v>2705</v>
      </c>
      <c r="AK577" s="142" t="s">
        <v>2705</v>
      </c>
      <c r="AL577" s="142" t="s">
        <v>2398</v>
      </c>
      <c r="AM577" s="142" t="s">
        <v>2705</v>
      </c>
      <c r="AN577" s="142" t="s">
        <v>2675</v>
      </c>
      <c r="AO577" s="142" t="s">
        <v>2397</v>
      </c>
      <c r="AP577" s="142" t="s">
        <v>1435</v>
      </c>
      <c r="AQ577" s="142" t="s">
        <v>2705</v>
      </c>
      <c r="AR577" s="142" t="s">
        <v>2705</v>
      </c>
      <c r="AS577" s="142" t="s">
        <v>2705</v>
      </c>
      <c r="AT577" s="142" t="s">
        <v>2705</v>
      </c>
      <c r="AU577" s="142" t="s">
        <v>2675</v>
      </c>
      <c r="AV577" s="142" t="s">
        <v>1435</v>
      </c>
      <c r="AW577" s="142" t="s">
        <v>2705</v>
      </c>
      <c r="AX577" s="142" t="s">
        <v>2705</v>
      </c>
      <c r="AY577" s="142" t="s">
        <v>2705</v>
      </c>
      <c r="AZ577" s="142" t="s">
        <v>1435</v>
      </c>
    </row>
    <row r="578" spans="1:52" s="142" customFormat="1" ht="12.75" x14ac:dyDescent="0.2">
      <c r="A578" s="151"/>
      <c r="B578" s="152" t="s">
        <v>2398</v>
      </c>
      <c r="C578" s="152" t="s">
        <v>1435</v>
      </c>
      <c r="D578" s="152" t="s">
        <v>1435</v>
      </c>
      <c r="E578" s="152" t="s">
        <v>2398</v>
      </c>
      <c r="F578" s="152" t="s">
        <v>2705</v>
      </c>
      <c r="G578" s="152" t="s">
        <v>2675</v>
      </c>
      <c r="H578" s="152" t="s">
        <v>2675</v>
      </c>
      <c r="I578" s="152" t="s">
        <v>2705</v>
      </c>
      <c r="J578" s="152" t="s">
        <v>2675</v>
      </c>
      <c r="K578" s="152" t="s">
        <v>2675</v>
      </c>
      <c r="L578" s="152" t="s">
        <v>2398</v>
      </c>
      <c r="M578" s="152" t="s">
        <v>2398</v>
      </c>
      <c r="N578" s="152" t="s">
        <v>2705</v>
      </c>
      <c r="O578" s="152" t="s">
        <v>2705</v>
      </c>
      <c r="P578" s="152" t="s">
        <v>2397</v>
      </c>
      <c r="Q578" s="152" t="s">
        <v>2705</v>
      </c>
      <c r="R578" s="152" t="s">
        <v>2705</v>
      </c>
      <c r="S578" s="152" t="s">
        <v>2705</v>
      </c>
      <c r="T578" s="152" t="s">
        <v>2705</v>
      </c>
      <c r="U578" s="152" t="s">
        <v>2675</v>
      </c>
      <c r="V578" s="142" t="str" cm="1">
        <f t="array" ref="V578">IF(A578&lt;&gt;"",SUM(--(B578:U579 = "X")*$U$3,--(B578:U579 ="A")*$Q$3,--(B578:U579 ="B")*$R$3,--(B578:U579 ="C")*$S$3),"")</f>
        <v/>
      </c>
      <c r="X578" s="437" t="s">
        <v>7886</v>
      </c>
      <c r="Y578" s="437">
        <v>21.5</v>
      </c>
      <c r="Z578" s="436">
        <f>_xlfn.XLOOKUP(answers[[#This Row],[StudentID]],$A$7:$A$1418,$V$7:$V$1418)</f>
        <v>21.5</v>
      </c>
      <c r="AG578" s="142" t="s">
        <v>2398</v>
      </c>
      <c r="AH578" s="142" t="s">
        <v>1435</v>
      </c>
      <c r="AI578" s="142" t="s">
        <v>1435</v>
      </c>
      <c r="AJ578" s="142" t="s">
        <v>2398</v>
      </c>
      <c r="AK578" s="142" t="s">
        <v>2705</v>
      </c>
      <c r="AL578" s="142" t="s">
        <v>2675</v>
      </c>
      <c r="AM578" s="142" t="s">
        <v>2675</v>
      </c>
      <c r="AN578" s="142" t="s">
        <v>2705</v>
      </c>
      <c r="AO578" s="142" t="s">
        <v>2675</v>
      </c>
      <c r="AP578" s="142" t="s">
        <v>2675</v>
      </c>
      <c r="AQ578" s="142" t="s">
        <v>2398</v>
      </c>
      <c r="AR578" s="142" t="s">
        <v>2398</v>
      </c>
      <c r="AS578" s="142" t="s">
        <v>2705</v>
      </c>
      <c r="AT578" s="142" t="s">
        <v>2705</v>
      </c>
      <c r="AU578" s="142" t="s">
        <v>2397</v>
      </c>
      <c r="AV578" s="142" t="s">
        <v>2705</v>
      </c>
      <c r="AW578" s="142" t="s">
        <v>2705</v>
      </c>
      <c r="AX578" s="142" t="s">
        <v>2705</v>
      </c>
      <c r="AY578" s="142" t="s">
        <v>2705</v>
      </c>
      <c r="AZ578" s="142" t="s">
        <v>2675</v>
      </c>
    </row>
    <row r="579" spans="1:52" s="142" customFormat="1" ht="12.75" x14ac:dyDescent="0.2">
      <c r="A579" s="151" t="s">
        <v>7606</v>
      </c>
      <c r="B579" s="152" t="s">
        <v>2705</v>
      </c>
      <c r="C579" s="152" t="s">
        <v>2398</v>
      </c>
      <c r="D579" s="152" t="s">
        <v>2705</v>
      </c>
      <c r="E579" s="152" t="s">
        <v>1435</v>
      </c>
      <c r="F579" s="152" t="s">
        <v>2398</v>
      </c>
      <c r="G579" s="152" t="s">
        <v>2705</v>
      </c>
      <c r="H579" s="152" t="s">
        <v>2705</v>
      </c>
      <c r="I579" s="152" t="s">
        <v>2397</v>
      </c>
      <c r="J579" s="152" t="s">
        <v>2675</v>
      </c>
      <c r="K579" s="152" t="s">
        <v>2398</v>
      </c>
      <c r="L579" s="152" t="s">
        <v>2705</v>
      </c>
      <c r="M579" s="152" t="s">
        <v>2705</v>
      </c>
      <c r="N579" s="152" t="s">
        <v>2397</v>
      </c>
      <c r="O579" s="152" t="s">
        <v>2705</v>
      </c>
      <c r="P579" s="152" t="s">
        <v>2398</v>
      </c>
      <c r="Q579" s="152" t="s">
        <v>2705</v>
      </c>
      <c r="R579" s="152" t="s">
        <v>2398</v>
      </c>
      <c r="S579" s="152" t="s">
        <v>2705</v>
      </c>
      <c r="T579" s="152" t="s">
        <v>2705</v>
      </c>
      <c r="U579" s="152" t="s">
        <v>2705</v>
      </c>
      <c r="V579" s="142" cm="1">
        <f t="array" ref="V579">IF(A579&lt;&gt;"",SUM(--(B579:U580 = "X")*$U$3,--(B579:U580 ="A")*$Q$3,--(B579:U580 ="B")*$R$3,--(B579:U580 ="C")*$S$3),"")</f>
        <v>20.5</v>
      </c>
      <c r="X579" s="437" t="s">
        <v>7887</v>
      </c>
      <c r="Y579" s="437">
        <v>10</v>
      </c>
      <c r="Z579" s="436">
        <f>_xlfn.XLOOKUP(answers[[#This Row],[StudentID]],$A$7:$A$1418,$V$7:$V$1418)</f>
        <v>10</v>
      </c>
      <c r="AF579" s="142" t="s">
        <v>7606</v>
      </c>
      <c r="AG579" s="142" t="s">
        <v>2705</v>
      </c>
      <c r="AH579" s="142" t="s">
        <v>2398</v>
      </c>
      <c r="AI579" s="142" t="s">
        <v>2705</v>
      </c>
      <c r="AJ579" s="142" t="s">
        <v>1435</v>
      </c>
      <c r="AK579" s="142" t="s">
        <v>2398</v>
      </c>
      <c r="AL579" s="142" t="s">
        <v>2705</v>
      </c>
      <c r="AM579" s="142" t="s">
        <v>2705</v>
      </c>
      <c r="AN579" s="142" t="s">
        <v>2397</v>
      </c>
      <c r="AO579" s="142" t="s">
        <v>2675</v>
      </c>
      <c r="AP579" s="142" t="s">
        <v>2398</v>
      </c>
      <c r="AQ579" s="142" t="s">
        <v>2705</v>
      </c>
      <c r="AR579" s="142" t="s">
        <v>2705</v>
      </c>
      <c r="AS579" s="142" t="s">
        <v>2397</v>
      </c>
      <c r="AT579" s="142" t="s">
        <v>2705</v>
      </c>
      <c r="AU579" s="142" t="s">
        <v>2398</v>
      </c>
      <c r="AV579" s="142" t="s">
        <v>2705</v>
      </c>
      <c r="AW579" s="142" t="s">
        <v>2398</v>
      </c>
      <c r="AX579" s="142" t="s">
        <v>2705</v>
      </c>
      <c r="AY579" s="142" t="s">
        <v>2705</v>
      </c>
      <c r="AZ579" s="142" t="s">
        <v>2705</v>
      </c>
    </row>
    <row r="580" spans="1:52" s="142" customFormat="1" ht="12.75" x14ac:dyDescent="0.2">
      <c r="A580" s="151"/>
      <c r="B580" s="152" t="s">
        <v>2705</v>
      </c>
      <c r="C580" s="152" t="s">
        <v>2675</v>
      </c>
      <c r="D580" s="152" t="s">
        <v>2705</v>
      </c>
      <c r="E580" s="152" t="s">
        <v>2705</v>
      </c>
      <c r="F580" s="152" t="s">
        <v>2705</v>
      </c>
      <c r="G580" s="152" t="s">
        <v>2705</v>
      </c>
      <c r="H580" s="152" t="s">
        <v>2398</v>
      </c>
      <c r="I580" s="152" t="s">
        <v>1435</v>
      </c>
      <c r="J580" s="152" t="s">
        <v>2398</v>
      </c>
      <c r="K580" s="152" t="s">
        <v>2705</v>
      </c>
      <c r="L580" s="152" t="s">
        <v>2705</v>
      </c>
      <c r="M580" s="152" t="s">
        <v>2705</v>
      </c>
      <c r="N580" s="152" t="s">
        <v>2397</v>
      </c>
      <c r="O580" s="152" t="s">
        <v>2398</v>
      </c>
      <c r="P580" s="152" t="s">
        <v>2675</v>
      </c>
      <c r="Q580" s="152" t="s">
        <v>2705</v>
      </c>
      <c r="R580" s="152" t="s">
        <v>2705</v>
      </c>
      <c r="S580" s="152" t="s">
        <v>2705</v>
      </c>
      <c r="T580" s="152" t="s">
        <v>2705</v>
      </c>
      <c r="U580" s="152" t="s">
        <v>2398</v>
      </c>
      <c r="V580" s="142" t="str" cm="1">
        <f t="array" ref="V580">IF(A580&lt;&gt;"",SUM(--(B580:U581 = "X")*$U$3,--(B580:U581 ="A")*$Q$3,--(B580:U581 ="B")*$R$3,--(B580:U581 ="C")*$S$3),"")</f>
        <v/>
      </c>
      <c r="X580" s="437" t="s">
        <v>7888</v>
      </c>
      <c r="Y580" s="437">
        <v>21.5</v>
      </c>
      <c r="Z580" s="436">
        <f>_xlfn.XLOOKUP(answers[[#This Row],[StudentID]],$A$7:$A$1418,$V$7:$V$1418)</f>
        <v>21.5</v>
      </c>
      <c r="AG580" s="142" t="s">
        <v>2705</v>
      </c>
      <c r="AH580" s="142" t="s">
        <v>2675</v>
      </c>
      <c r="AI580" s="142" t="s">
        <v>2705</v>
      </c>
      <c r="AJ580" s="142" t="s">
        <v>2705</v>
      </c>
      <c r="AK580" s="142" t="s">
        <v>2705</v>
      </c>
      <c r="AL580" s="142" t="s">
        <v>2705</v>
      </c>
      <c r="AM580" s="142" t="s">
        <v>2398</v>
      </c>
      <c r="AN580" s="142" t="s">
        <v>1435</v>
      </c>
      <c r="AO580" s="142" t="s">
        <v>2398</v>
      </c>
      <c r="AP580" s="142" t="s">
        <v>2705</v>
      </c>
      <c r="AQ580" s="142" t="s">
        <v>2705</v>
      </c>
      <c r="AR580" s="142" t="s">
        <v>2705</v>
      </c>
      <c r="AS580" s="142" t="s">
        <v>2397</v>
      </c>
      <c r="AT580" s="142" t="s">
        <v>2398</v>
      </c>
      <c r="AU580" s="142" t="s">
        <v>2675</v>
      </c>
      <c r="AV580" s="142" t="s">
        <v>2705</v>
      </c>
      <c r="AW580" s="142" t="s">
        <v>2705</v>
      </c>
      <c r="AX580" s="142" t="s">
        <v>2705</v>
      </c>
      <c r="AY580" s="142" t="s">
        <v>2705</v>
      </c>
      <c r="AZ580" s="142" t="s">
        <v>2398</v>
      </c>
    </row>
    <row r="581" spans="1:52" s="142" customFormat="1" ht="12.75" x14ac:dyDescent="0.2">
      <c r="A581" s="151" t="s">
        <v>7607</v>
      </c>
      <c r="B581" s="152" t="s">
        <v>2398</v>
      </c>
      <c r="C581" s="152" t="s">
        <v>2398</v>
      </c>
      <c r="D581" s="152" t="s">
        <v>2705</v>
      </c>
      <c r="E581" s="152" t="s">
        <v>2705</v>
      </c>
      <c r="F581" s="152" t="s">
        <v>2398</v>
      </c>
      <c r="G581" s="152" t="s">
        <v>2705</v>
      </c>
      <c r="H581" s="152" t="s">
        <v>2675</v>
      </c>
      <c r="I581" s="152" t="s">
        <v>2705</v>
      </c>
      <c r="J581" s="152" t="s">
        <v>2398</v>
      </c>
      <c r="K581" s="152" t="s">
        <v>2705</v>
      </c>
      <c r="L581" s="152" t="s">
        <v>2705</v>
      </c>
      <c r="M581" s="152" t="s">
        <v>2705</v>
      </c>
      <c r="N581" s="152" t="s">
        <v>2705</v>
      </c>
      <c r="O581" s="152" t="s">
        <v>2398</v>
      </c>
      <c r="P581" s="152" t="s">
        <v>2398</v>
      </c>
      <c r="Q581" s="152" t="s">
        <v>2705</v>
      </c>
      <c r="R581" s="152" t="s">
        <v>2398</v>
      </c>
      <c r="S581" s="152" t="s">
        <v>2398</v>
      </c>
      <c r="T581" s="152" t="s">
        <v>2398</v>
      </c>
      <c r="U581" s="152" t="s">
        <v>2398</v>
      </c>
      <c r="V581" s="142" cm="1">
        <f t="array" ref="V581">IF(A581&lt;&gt;"",SUM(--(B581:U582 = "X")*$U$3,--(B581:U582 ="A")*$Q$3,--(B581:U582 ="B")*$R$3,--(B581:U582 ="C")*$S$3),"")</f>
        <v>23.5</v>
      </c>
      <c r="X581" s="437" t="s">
        <v>7889</v>
      </c>
      <c r="Y581" s="437">
        <v>25.5</v>
      </c>
      <c r="Z581" s="436">
        <f>_xlfn.XLOOKUP(answers[[#This Row],[StudentID]],$A$7:$A$1418,$V$7:$V$1418)</f>
        <v>25.5</v>
      </c>
      <c r="AF581" s="142" t="s">
        <v>7607</v>
      </c>
      <c r="AG581" s="142" t="s">
        <v>2398</v>
      </c>
      <c r="AH581" s="142" t="s">
        <v>2398</v>
      </c>
      <c r="AI581" s="142" t="s">
        <v>2705</v>
      </c>
      <c r="AJ581" s="142" t="s">
        <v>2705</v>
      </c>
      <c r="AK581" s="142" t="s">
        <v>2398</v>
      </c>
      <c r="AL581" s="142" t="s">
        <v>2705</v>
      </c>
      <c r="AM581" s="142" t="s">
        <v>2675</v>
      </c>
      <c r="AN581" s="142" t="s">
        <v>2705</v>
      </c>
      <c r="AO581" s="142" t="s">
        <v>2398</v>
      </c>
      <c r="AP581" s="142" t="s">
        <v>2705</v>
      </c>
      <c r="AQ581" s="142" t="s">
        <v>2705</v>
      </c>
      <c r="AR581" s="142" t="s">
        <v>2705</v>
      </c>
      <c r="AS581" s="142" t="s">
        <v>2705</v>
      </c>
      <c r="AT581" s="142" t="s">
        <v>2398</v>
      </c>
      <c r="AU581" s="142" t="s">
        <v>2398</v>
      </c>
      <c r="AV581" s="142" t="s">
        <v>2705</v>
      </c>
      <c r="AW581" s="142" t="s">
        <v>2398</v>
      </c>
      <c r="AX581" s="142" t="s">
        <v>2398</v>
      </c>
      <c r="AY581" s="142" t="s">
        <v>2398</v>
      </c>
      <c r="AZ581" s="142" t="s">
        <v>2398</v>
      </c>
    </row>
    <row r="582" spans="1:52" s="142" customFormat="1" ht="12.75" x14ac:dyDescent="0.2">
      <c r="A582" s="151"/>
      <c r="B582" s="152" t="s">
        <v>2705</v>
      </c>
      <c r="C582" s="152" t="s">
        <v>2705</v>
      </c>
      <c r="D582" s="152" t="s">
        <v>2705</v>
      </c>
      <c r="E582" s="152" t="s">
        <v>2705</v>
      </c>
      <c r="F582" s="152" t="s">
        <v>2705</v>
      </c>
      <c r="G582" s="152" t="s">
        <v>2705</v>
      </c>
      <c r="H582" s="152" t="s">
        <v>2397</v>
      </c>
      <c r="I582" s="152" t="s">
        <v>2705</v>
      </c>
      <c r="J582" s="152" t="s">
        <v>2705</v>
      </c>
      <c r="K582" s="152" t="s">
        <v>2705</v>
      </c>
      <c r="L582" s="152" t="s">
        <v>2705</v>
      </c>
      <c r="M582" s="152" t="s">
        <v>2398</v>
      </c>
      <c r="N582" s="152" t="s">
        <v>2398</v>
      </c>
      <c r="O582" s="152" t="s">
        <v>2705</v>
      </c>
      <c r="P582" s="152" t="s">
        <v>2705</v>
      </c>
      <c r="Q582" s="152" t="s">
        <v>2705</v>
      </c>
      <c r="R582" s="152" t="s">
        <v>2398</v>
      </c>
      <c r="S582" s="152" t="s">
        <v>2398</v>
      </c>
      <c r="T582" s="152" t="s">
        <v>2705</v>
      </c>
      <c r="U582" s="152" t="s">
        <v>2705</v>
      </c>
      <c r="V582" s="142" t="str" cm="1">
        <f t="array" ref="V582">IF(A582&lt;&gt;"",SUM(--(B582:U583 = "X")*$U$3,--(B582:U583 ="A")*$Q$3,--(B582:U583 ="B")*$R$3,--(B582:U583 ="C")*$S$3),"")</f>
        <v/>
      </c>
      <c r="X582" s="437" t="s">
        <v>7890</v>
      </c>
      <c r="Y582" s="437">
        <v>12.5</v>
      </c>
      <c r="Z582" s="436">
        <f>_xlfn.XLOOKUP(answers[[#This Row],[StudentID]],$A$7:$A$1418,$V$7:$V$1418)</f>
        <v>12.5</v>
      </c>
      <c r="AG582" s="142" t="s">
        <v>2705</v>
      </c>
      <c r="AH582" s="142" t="s">
        <v>2705</v>
      </c>
      <c r="AI582" s="142" t="s">
        <v>2705</v>
      </c>
      <c r="AJ582" s="142" t="s">
        <v>2705</v>
      </c>
      <c r="AK582" s="142" t="s">
        <v>2705</v>
      </c>
      <c r="AL582" s="142" t="s">
        <v>2705</v>
      </c>
      <c r="AM582" s="142" t="s">
        <v>2397</v>
      </c>
      <c r="AN582" s="142" t="s">
        <v>2705</v>
      </c>
      <c r="AO582" s="142" t="s">
        <v>2705</v>
      </c>
      <c r="AP582" s="142" t="s">
        <v>2705</v>
      </c>
      <c r="AQ582" s="142" t="s">
        <v>2705</v>
      </c>
      <c r="AR582" s="142" t="s">
        <v>2398</v>
      </c>
      <c r="AS582" s="142" t="s">
        <v>2398</v>
      </c>
      <c r="AT582" s="142" t="s">
        <v>2705</v>
      </c>
      <c r="AU582" s="142" t="s">
        <v>2705</v>
      </c>
      <c r="AV582" s="142" t="s">
        <v>2705</v>
      </c>
      <c r="AW582" s="142" t="s">
        <v>2398</v>
      </c>
      <c r="AX582" s="142" t="s">
        <v>2398</v>
      </c>
      <c r="AY582" s="142" t="s">
        <v>2705</v>
      </c>
      <c r="AZ582" s="142" t="s">
        <v>2705</v>
      </c>
    </row>
    <row r="583" spans="1:52" s="142" customFormat="1" ht="12.75" x14ac:dyDescent="0.2">
      <c r="A583" s="151" t="s">
        <v>7608</v>
      </c>
      <c r="B583" s="152" t="s">
        <v>1435</v>
      </c>
      <c r="C583" s="152" t="s">
        <v>2398</v>
      </c>
      <c r="D583" s="152" t="s">
        <v>2398</v>
      </c>
      <c r="E583" s="152" t="s">
        <v>2398</v>
      </c>
      <c r="F583" s="152" t="s">
        <v>2398</v>
      </c>
      <c r="G583" s="152" t="s">
        <v>2705</v>
      </c>
      <c r="H583" s="152" t="s">
        <v>2705</v>
      </c>
      <c r="I583" s="152" t="s">
        <v>2398</v>
      </c>
      <c r="J583" s="152" t="s">
        <v>2398</v>
      </c>
      <c r="K583" s="152" t="s">
        <v>2398</v>
      </c>
      <c r="L583" s="152" t="s">
        <v>2398</v>
      </c>
      <c r="M583" s="152" t="s">
        <v>2705</v>
      </c>
      <c r="N583" s="152" t="s">
        <v>2705</v>
      </c>
      <c r="O583" s="152" t="s">
        <v>1435</v>
      </c>
      <c r="P583" s="152" t="s">
        <v>2398</v>
      </c>
      <c r="Q583" s="152" t="s">
        <v>2705</v>
      </c>
      <c r="R583" s="152" t="s">
        <v>2705</v>
      </c>
      <c r="S583" s="152" t="s">
        <v>2705</v>
      </c>
      <c r="T583" s="152" t="s">
        <v>2398</v>
      </c>
      <c r="U583" s="152" t="s">
        <v>2705</v>
      </c>
      <c r="V583" s="142" cm="1">
        <f t="array" ref="V583">IF(A583&lt;&gt;"",SUM(--(B583:U584 = "X")*$U$3,--(B583:U584 ="A")*$Q$3,--(B583:U584 ="B")*$R$3,--(B583:U584 ="C")*$S$3),"")</f>
        <v>18</v>
      </c>
      <c r="X583" s="437" t="s">
        <v>7891</v>
      </c>
      <c r="Y583" s="437">
        <v>26.5</v>
      </c>
      <c r="Z583" s="436">
        <f>_xlfn.XLOOKUP(answers[[#This Row],[StudentID]],$A$7:$A$1418,$V$7:$V$1418)</f>
        <v>26.5</v>
      </c>
      <c r="AF583" s="142" t="s">
        <v>7608</v>
      </c>
      <c r="AG583" s="142" t="s">
        <v>1435</v>
      </c>
      <c r="AH583" s="142" t="s">
        <v>2398</v>
      </c>
      <c r="AI583" s="142" t="s">
        <v>2398</v>
      </c>
      <c r="AJ583" s="142" t="s">
        <v>2398</v>
      </c>
      <c r="AK583" s="142" t="s">
        <v>2398</v>
      </c>
      <c r="AL583" s="142" t="s">
        <v>2705</v>
      </c>
      <c r="AM583" s="142" t="s">
        <v>2705</v>
      </c>
      <c r="AN583" s="142" t="s">
        <v>2398</v>
      </c>
      <c r="AO583" s="142" t="s">
        <v>2398</v>
      </c>
      <c r="AP583" s="142" t="s">
        <v>2398</v>
      </c>
      <c r="AQ583" s="142" t="s">
        <v>2398</v>
      </c>
      <c r="AR583" s="142" t="s">
        <v>2705</v>
      </c>
      <c r="AS583" s="142" t="s">
        <v>2705</v>
      </c>
      <c r="AT583" s="142" t="s">
        <v>1435</v>
      </c>
      <c r="AU583" s="142" t="s">
        <v>2398</v>
      </c>
      <c r="AV583" s="142" t="s">
        <v>2705</v>
      </c>
      <c r="AW583" s="142" t="s">
        <v>2705</v>
      </c>
      <c r="AX583" s="142" t="s">
        <v>2705</v>
      </c>
      <c r="AY583" s="142" t="s">
        <v>2398</v>
      </c>
      <c r="AZ583" s="142" t="s">
        <v>2705</v>
      </c>
    </row>
    <row r="584" spans="1:52" s="142" customFormat="1" ht="12.75" x14ac:dyDescent="0.2">
      <c r="A584" s="151"/>
      <c r="B584" s="152" t="s">
        <v>2705</v>
      </c>
      <c r="C584" s="152" t="s">
        <v>2398</v>
      </c>
      <c r="D584" s="152" t="s">
        <v>2398</v>
      </c>
      <c r="E584" s="152" t="s">
        <v>2675</v>
      </c>
      <c r="F584" s="152" t="s">
        <v>2398</v>
      </c>
      <c r="G584" s="152" t="s">
        <v>2705</v>
      </c>
      <c r="H584" s="152" t="s">
        <v>2705</v>
      </c>
      <c r="I584" s="152" t="s">
        <v>2398</v>
      </c>
      <c r="J584" s="152" t="s">
        <v>2705</v>
      </c>
      <c r="K584" s="152" t="s">
        <v>2705</v>
      </c>
      <c r="L584" s="152" t="s">
        <v>2398</v>
      </c>
      <c r="M584" s="152" t="s">
        <v>2705</v>
      </c>
      <c r="N584" s="152" t="s">
        <v>2675</v>
      </c>
      <c r="O584" s="152" t="s">
        <v>2705</v>
      </c>
      <c r="P584" s="152" t="s">
        <v>2705</v>
      </c>
      <c r="Q584" s="152" t="s">
        <v>2705</v>
      </c>
      <c r="R584" s="152" t="s">
        <v>2398</v>
      </c>
      <c r="S584" s="152" t="s">
        <v>2705</v>
      </c>
      <c r="T584" s="152" t="s">
        <v>2705</v>
      </c>
      <c r="U584" s="152" t="s">
        <v>2705</v>
      </c>
      <c r="V584" s="142" t="str" cm="1">
        <f t="array" ref="V584">IF(A584&lt;&gt;"",SUM(--(B584:U585 = "X")*$U$3,--(B584:U585 ="A")*$Q$3,--(B584:U585 ="B")*$R$3,--(B584:U585 ="C")*$S$3),"")</f>
        <v/>
      </c>
      <c r="X584" s="437" t="s">
        <v>7892</v>
      </c>
      <c r="Y584" s="437">
        <v>16</v>
      </c>
      <c r="Z584" s="436">
        <f>_xlfn.XLOOKUP(answers[[#This Row],[StudentID]],$A$7:$A$1418,$V$7:$V$1418)</f>
        <v>16</v>
      </c>
      <c r="AG584" s="142" t="s">
        <v>2705</v>
      </c>
      <c r="AH584" s="142" t="s">
        <v>2398</v>
      </c>
      <c r="AI584" s="142" t="s">
        <v>2398</v>
      </c>
      <c r="AJ584" s="142" t="s">
        <v>2675</v>
      </c>
      <c r="AK584" s="142" t="s">
        <v>2398</v>
      </c>
      <c r="AL584" s="142" t="s">
        <v>2705</v>
      </c>
      <c r="AM584" s="142" t="s">
        <v>2705</v>
      </c>
      <c r="AN584" s="142" t="s">
        <v>2398</v>
      </c>
      <c r="AO584" s="142" t="s">
        <v>2705</v>
      </c>
      <c r="AP584" s="142" t="s">
        <v>2705</v>
      </c>
      <c r="AQ584" s="142" t="s">
        <v>2398</v>
      </c>
      <c r="AR584" s="142" t="s">
        <v>2705</v>
      </c>
      <c r="AS584" s="142" t="s">
        <v>2675</v>
      </c>
      <c r="AT584" s="142" t="s">
        <v>2705</v>
      </c>
      <c r="AU584" s="142" t="s">
        <v>2705</v>
      </c>
      <c r="AV584" s="142" t="s">
        <v>2705</v>
      </c>
      <c r="AW584" s="142" t="s">
        <v>2398</v>
      </c>
      <c r="AX584" s="142" t="s">
        <v>2705</v>
      </c>
      <c r="AY584" s="142" t="s">
        <v>2705</v>
      </c>
      <c r="AZ584" s="142" t="s">
        <v>2705</v>
      </c>
    </row>
    <row r="585" spans="1:52" s="142" customFormat="1" ht="12.75" x14ac:dyDescent="0.2">
      <c r="A585" s="151" t="s">
        <v>7609</v>
      </c>
      <c r="B585" s="152" t="s">
        <v>2675</v>
      </c>
      <c r="C585" s="152" t="s">
        <v>2705</v>
      </c>
      <c r="D585" s="152" t="s">
        <v>2398</v>
      </c>
      <c r="E585" s="152" t="s">
        <v>2705</v>
      </c>
      <c r="F585" s="152" t="s">
        <v>2397</v>
      </c>
      <c r="G585" s="152" t="s">
        <v>2705</v>
      </c>
      <c r="H585" s="152" t="s">
        <v>2705</v>
      </c>
      <c r="I585" s="152" t="s">
        <v>2705</v>
      </c>
      <c r="J585" s="152" t="s">
        <v>2705</v>
      </c>
      <c r="K585" s="152" t="s">
        <v>1435</v>
      </c>
      <c r="L585" s="152" t="s">
        <v>2398</v>
      </c>
      <c r="M585" s="152" t="s">
        <v>2705</v>
      </c>
      <c r="N585" s="152" t="s">
        <v>2397</v>
      </c>
      <c r="O585" s="152" t="s">
        <v>2398</v>
      </c>
      <c r="P585" s="152" t="s">
        <v>2675</v>
      </c>
      <c r="Q585" s="152" t="s">
        <v>2705</v>
      </c>
      <c r="R585" s="152" t="s">
        <v>2397</v>
      </c>
      <c r="S585" s="152" t="s">
        <v>2397</v>
      </c>
      <c r="T585" s="152" t="s">
        <v>1435</v>
      </c>
      <c r="U585" s="152" t="s">
        <v>2398</v>
      </c>
      <c r="V585" s="142" cm="1">
        <f t="array" ref="V585">IF(A585&lt;&gt;"",SUM(--(B585:U586 = "X")*$U$3,--(B585:U586 ="A")*$Q$3,--(B585:U586 ="B")*$R$3,--(B585:U586 ="C")*$S$3),"")</f>
        <v>12</v>
      </c>
      <c r="X585" s="437" t="s">
        <v>7893</v>
      </c>
      <c r="Y585" s="437">
        <v>10</v>
      </c>
      <c r="Z585" s="436">
        <f>_xlfn.XLOOKUP(answers[[#This Row],[StudentID]],$A$7:$A$1418,$V$7:$V$1418)</f>
        <v>10</v>
      </c>
      <c r="AF585" s="142" t="s">
        <v>7609</v>
      </c>
      <c r="AG585" s="142" t="s">
        <v>2675</v>
      </c>
      <c r="AH585" s="142" t="s">
        <v>2705</v>
      </c>
      <c r="AI585" s="142" t="s">
        <v>2398</v>
      </c>
      <c r="AJ585" s="142" t="s">
        <v>2705</v>
      </c>
      <c r="AK585" s="142" t="s">
        <v>2397</v>
      </c>
      <c r="AL585" s="142" t="s">
        <v>2705</v>
      </c>
      <c r="AM585" s="142" t="s">
        <v>2705</v>
      </c>
      <c r="AN585" s="142" t="s">
        <v>2705</v>
      </c>
      <c r="AO585" s="142" t="s">
        <v>2705</v>
      </c>
      <c r="AP585" s="142" t="s">
        <v>1435</v>
      </c>
      <c r="AQ585" s="142" t="s">
        <v>2398</v>
      </c>
      <c r="AR585" s="142" t="s">
        <v>2705</v>
      </c>
      <c r="AS585" s="142" t="s">
        <v>2397</v>
      </c>
      <c r="AT585" s="142" t="s">
        <v>2398</v>
      </c>
      <c r="AU585" s="142" t="s">
        <v>2675</v>
      </c>
      <c r="AV585" s="142" t="s">
        <v>2705</v>
      </c>
      <c r="AW585" s="142" t="s">
        <v>2397</v>
      </c>
      <c r="AX585" s="142" t="s">
        <v>2397</v>
      </c>
      <c r="AY585" s="142" t="s">
        <v>1435</v>
      </c>
      <c r="AZ585" s="142" t="s">
        <v>2398</v>
      </c>
    </row>
    <row r="586" spans="1:52" s="142" customFormat="1" ht="12.75" x14ac:dyDescent="0.2">
      <c r="A586" s="151"/>
      <c r="B586" s="152" t="s">
        <v>2398</v>
      </c>
      <c r="C586" s="152" t="s">
        <v>2705</v>
      </c>
      <c r="D586" s="152" t="s">
        <v>2705</v>
      </c>
      <c r="E586" s="152" t="s">
        <v>2397</v>
      </c>
      <c r="F586" s="152" t="s">
        <v>2675</v>
      </c>
      <c r="G586" s="152" t="s">
        <v>1435</v>
      </c>
      <c r="H586" s="152" t="s">
        <v>2705</v>
      </c>
      <c r="I586" s="152" t="s">
        <v>1435</v>
      </c>
      <c r="J586" s="152" t="s">
        <v>2705</v>
      </c>
      <c r="K586" s="152" t="s">
        <v>2705</v>
      </c>
      <c r="L586" s="152" t="s">
        <v>2398</v>
      </c>
      <c r="M586" s="152" t="s">
        <v>1435</v>
      </c>
      <c r="N586" s="152" t="s">
        <v>2675</v>
      </c>
      <c r="O586" s="152" t="s">
        <v>2705</v>
      </c>
      <c r="P586" s="152" t="s">
        <v>2705</v>
      </c>
      <c r="Q586" s="152" t="s">
        <v>2705</v>
      </c>
      <c r="R586" s="152" t="s">
        <v>1435</v>
      </c>
      <c r="S586" s="152" t="s">
        <v>2705</v>
      </c>
      <c r="T586" s="152" t="s">
        <v>2397</v>
      </c>
      <c r="U586" s="152" t="s">
        <v>2397</v>
      </c>
      <c r="V586" s="142" t="str" cm="1">
        <f t="array" ref="V586">IF(A586&lt;&gt;"",SUM(--(B586:U587 = "X")*$U$3,--(B586:U587 ="A")*$Q$3,--(B586:U587 ="B")*$R$3,--(B586:U587 ="C")*$S$3),"")</f>
        <v/>
      </c>
      <c r="X586" s="437" t="s">
        <v>7894</v>
      </c>
      <c r="Y586" s="437">
        <v>25.5</v>
      </c>
      <c r="Z586" s="436">
        <f>_xlfn.XLOOKUP(answers[[#This Row],[StudentID]],$A$7:$A$1418,$V$7:$V$1418)</f>
        <v>25.5</v>
      </c>
      <c r="AG586" s="142" t="s">
        <v>2398</v>
      </c>
      <c r="AH586" s="142" t="s">
        <v>2705</v>
      </c>
      <c r="AI586" s="142" t="s">
        <v>2705</v>
      </c>
      <c r="AJ586" s="142" t="s">
        <v>2397</v>
      </c>
      <c r="AK586" s="142" t="s">
        <v>2675</v>
      </c>
      <c r="AL586" s="142" t="s">
        <v>1435</v>
      </c>
      <c r="AM586" s="142" t="s">
        <v>2705</v>
      </c>
      <c r="AN586" s="142" t="s">
        <v>1435</v>
      </c>
      <c r="AO586" s="142" t="s">
        <v>2705</v>
      </c>
      <c r="AP586" s="142" t="s">
        <v>2705</v>
      </c>
      <c r="AQ586" s="142" t="s">
        <v>2398</v>
      </c>
      <c r="AR586" s="142" t="s">
        <v>1435</v>
      </c>
      <c r="AS586" s="142" t="s">
        <v>2675</v>
      </c>
      <c r="AT586" s="142" t="s">
        <v>2705</v>
      </c>
      <c r="AU586" s="142" t="s">
        <v>2705</v>
      </c>
      <c r="AV586" s="142" t="s">
        <v>2705</v>
      </c>
      <c r="AW586" s="142" t="s">
        <v>1435</v>
      </c>
      <c r="AX586" s="142" t="s">
        <v>2705</v>
      </c>
      <c r="AY586" s="142" t="s">
        <v>2397</v>
      </c>
      <c r="AZ586" s="142" t="s">
        <v>2397</v>
      </c>
    </row>
    <row r="587" spans="1:52" s="142" customFormat="1" ht="12.75" x14ac:dyDescent="0.2">
      <c r="A587" s="151" t="s">
        <v>7610</v>
      </c>
      <c r="B587" s="152" t="s">
        <v>2705</v>
      </c>
      <c r="C587" s="152" t="s">
        <v>2398</v>
      </c>
      <c r="D587" s="152" t="s">
        <v>2705</v>
      </c>
      <c r="E587" s="152" t="s">
        <v>2705</v>
      </c>
      <c r="F587" s="152" t="s">
        <v>2705</v>
      </c>
      <c r="G587" s="152" t="s">
        <v>2705</v>
      </c>
      <c r="H587" s="152" t="s">
        <v>2705</v>
      </c>
      <c r="I587" s="152" t="s">
        <v>2705</v>
      </c>
      <c r="J587" s="152" t="s">
        <v>2705</v>
      </c>
      <c r="K587" s="152" t="s">
        <v>2705</v>
      </c>
      <c r="L587" s="152" t="s">
        <v>2705</v>
      </c>
      <c r="M587" s="152" t="s">
        <v>2705</v>
      </c>
      <c r="N587" s="152" t="s">
        <v>2705</v>
      </c>
      <c r="O587" s="152" t="s">
        <v>2705</v>
      </c>
      <c r="P587" s="152" t="s">
        <v>2398</v>
      </c>
      <c r="Q587" s="152" t="s">
        <v>2398</v>
      </c>
      <c r="R587" s="152" t="s">
        <v>2398</v>
      </c>
      <c r="S587" s="152" t="s">
        <v>2397</v>
      </c>
      <c r="T587" s="152" t="s">
        <v>2398</v>
      </c>
      <c r="U587" s="152" t="s">
        <v>2705</v>
      </c>
      <c r="V587" s="142" cm="1">
        <f t="array" ref="V587">IF(A587&lt;&gt;"",SUM(--(B587:U588 = "X")*$U$3,--(B587:U588 ="A")*$Q$3,--(B587:U588 ="B")*$R$3,--(B587:U588 ="C")*$S$3),"")</f>
        <v>28</v>
      </c>
      <c r="X587" s="437" t="s">
        <v>7895</v>
      </c>
      <c r="Y587" s="437">
        <v>22</v>
      </c>
      <c r="Z587" s="436">
        <f>_xlfn.XLOOKUP(answers[[#This Row],[StudentID]],$A$7:$A$1418,$V$7:$V$1418)</f>
        <v>22</v>
      </c>
      <c r="AF587" s="142" t="s">
        <v>7610</v>
      </c>
      <c r="AG587" s="142" t="s">
        <v>2705</v>
      </c>
      <c r="AH587" s="142" t="s">
        <v>2398</v>
      </c>
      <c r="AI587" s="142" t="s">
        <v>2705</v>
      </c>
      <c r="AJ587" s="142" t="s">
        <v>2705</v>
      </c>
      <c r="AK587" s="142" t="s">
        <v>2705</v>
      </c>
      <c r="AL587" s="142" t="s">
        <v>2705</v>
      </c>
      <c r="AM587" s="142" t="s">
        <v>2705</v>
      </c>
      <c r="AN587" s="142" t="s">
        <v>2705</v>
      </c>
      <c r="AO587" s="142" t="s">
        <v>2705</v>
      </c>
      <c r="AP587" s="142" t="s">
        <v>2705</v>
      </c>
      <c r="AQ587" s="142" t="s">
        <v>2705</v>
      </c>
      <c r="AR587" s="142" t="s">
        <v>2705</v>
      </c>
      <c r="AS587" s="142" t="s">
        <v>2705</v>
      </c>
      <c r="AT587" s="142" t="s">
        <v>2705</v>
      </c>
      <c r="AU587" s="142" t="s">
        <v>2398</v>
      </c>
      <c r="AV587" s="142" t="s">
        <v>2398</v>
      </c>
      <c r="AW587" s="142" t="s">
        <v>2398</v>
      </c>
      <c r="AX587" s="142" t="s">
        <v>2397</v>
      </c>
      <c r="AY587" s="142" t="s">
        <v>2398</v>
      </c>
      <c r="AZ587" s="142" t="s">
        <v>2705</v>
      </c>
    </row>
    <row r="588" spans="1:52" s="142" customFormat="1" ht="12.75" x14ac:dyDescent="0.2">
      <c r="A588" s="151"/>
      <c r="B588" s="152" t="s">
        <v>2705</v>
      </c>
      <c r="C588" s="152" t="s">
        <v>2675</v>
      </c>
      <c r="D588" s="152" t="s">
        <v>2705</v>
      </c>
      <c r="E588" s="152" t="s">
        <v>2705</v>
      </c>
      <c r="F588" s="152" t="s">
        <v>2705</v>
      </c>
      <c r="G588" s="152" t="s">
        <v>2705</v>
      </c>
      <c r="H588" s="152" t="s">
        <v>2705</v>
      </c>
      <c r="I588" s="152" t="s">
        <v>2705</v>
      </c>
      <c r="J588" s="152" t="s">
        <v>2705</v>
      </c>
      <c r="K588" s="152" t="s">
        <v>2705</v>
      </c>
      <c r="L588" s="152" t="s">
        <v>2398</v>
      </c>
      <c r="M588" s="152" t="s">
        <v>2398</v>
      </c>
      <c r="N588" s="152" t="s">
        <v>2705</v>
      </c>
      <c r="O588" s="152" t="s">
        <v>2398</v>
      </c>
      <c r="P588" s="152" t="s">
        <v>2705</v>
      </c>
      <c r="Q588" s="152" t="s">
        <v>2705</v>
      </c>
      <c r="R588" s="152" t="s">
        <v>1435</v>
      </c>
      <c r="S588" s="152" t="s">
        <v>2705</v>
      </c>
      <c r="T588" s="152" t="s">
        <v>2705</v>
      </c>
      <c r="U588" s="152" t="s">
        <v>2705</v>
      </c>
      <c r="V588" s="142" t="str" cm="1">
        <f t="array" ref="V588">IF(A588&lt;&gt;"",SUM(--(B588:U589 = "X")*$U$3,--(B588:U589 ="A")*$Q$3,--(B588:U589 ="B")*$R$3,--(B588:U589 ="C")*$S$3),"")</f>
        <v/>
      </c>
      <c r="X588" s="437" t="s">
        <v>7896</v>
      </c>
      <c r="Y588" s="437">
        <v>15.5</v>
      </c>
      <c r="Z588" s="436">
        <f>_xlfn.XLOOKUP(answers[[#This Row],[StudentID]],$A$7:$A$1418,$V$7:$V$1418)</f>
        <v>15.5</v>
      </c>
      <c r="AG588" s="142" t="s">
        <v>2705</v>
      </c>
      <c r="AH588" s="142" t="s">
        <v>2675</v>
      </c>
      <c r="AI588" s="142" t="s">
        <v>2705</v>
      </c>
      <c r="AJ588" s="142" t="s">
        <v>2705</v>
      </c>
      <c r="AK588" s="142" t="s">
        <v>2705</v>
      </c>
      <c r="AL588" s="142" t="s">
        <v>2705</v>
      </c>
      <c r="AM588" s="142" t="s">
        <v>2705</v>
      </c>
      <c r="AN588" s="142" t="s">
        <v>2705</v>
      </c>
      <c r="AO588" s="142" t="s">
        <v>2705</v>
      </c>
      <c r="AP588" s="142" t="s">
        <v>2705</v>
      </c>
      <c r="AQ588" s="142" t="s">
        <v>2398</v>
      </c>
      <c r="AR588" s="142" t="s">
        <v>2398</v>
      </c>
      <c r="AS588" s="142" t="s">
        <v>2705</v>
      </c>
      <c r="AT588" s="142" t="s">
        <v>2398</v>
      </c>
      <c r="AU588" s="142" t="s">
        <v>2705</v>
      </c>
      <c r="AV588" s="142" t="s">
        <v>2705</v>
      </c>
      <c r="AW588" s="142" t="s">
        <v>1435</v>
      </c>
      <c r="AX588" s="142" t="s">
        <v>2705</v>
      </c>
      <c r="AY588" s="142" t="s">
        <v>2705</v>
      </c>
      <c r="AZ588" s="142" t="s">
        <v>2705</v>
      </c>
    </row>
    <row r="589" spans="1:52" s="142" customFormat="1" ht="12.75" x14ac:dyDescent="0.2">
      <c r="A589" s="151" t="s">
        <v>7611</v>
      </c>
      <c r="B589" s="152" t="s">
        <v>2675</v>
      </c>
      <c r="C589" s="152" t="s">
        <v>2705</v>
      </c>
      <c r="D589" s="152" t="s">
        <v>1435</v>
      </c>
      <c r="E589" s="152" t="s">
        <v>1435</v>
      </c>
      <c r="F589" s="152" t="s">
        <v>2705</v>
      </c>
      <c r="G589" s="152" t="s">
        <v>2705</v>
      </c>
      <c r="H589" s="152" t="s">
        <v>2705</v>
      </c>
      <c r="I589" s="152" t="s">
        <v>2398</v>
      </c>
      <c r="J589" s="152" t="s">
        <v>2675</v>
      </c>
      <c r="K589" s="152" t="s">
        <v>2705</v>
      </c>
      <c r="L589" s="152" t="s">
        <v>2398</v>
      </c>
      <c r="M589" s="152" t="s">
        <v>2705</v>
      </c>
      <c r="N589" s="152" t="s">
        <v>2398</v>
      </c>
      <c r="O589" s="152" t="s">
        <v>2398</v>
      </c>
      <c r="P589" s="152" t="s">
        <v>2705</v>
      </c>
      <c r="Q589" s="152" t="s">
        <v>2705</v>
      </c>
      <c r="R589" s="152" t="s">
        <v>2705</v>
      </c>
      <c r="S589" s="152" t="s">
        <v>2705</v>
      </c>
      <c r="T589" s="152" t="s">
        <v>2705</v>
      </c>
      <c r="U589" s="152" t="s">
        <v>2705</v>
      </c>
      <c r="V589" s="142" cm="1">
        <f t="array" ref="V589">IF(A589&lt;&gt;"",SUM(--(B589:U590 = "X")*$U$3,--(B589:U590 ="A")*$Q$3,--(B589:U590 ="B")*$R$3,--(B589:U590 ="C")*$S$3),"")</f>
        <v>16.5</v>
      </c>
      <c r="X589" s="437" t="s">
        <v>7897</v>
      </c>
      <c r="Y589" s="437">
        <v>19</v>
      </c>
      <c r="Z589" s="436">
        <f>_xlfn.XLOOKUP(answers[[#This Row],[StudentID]],$A$7:$A$1418,$V$7:$V$1418)</f>
        <v>19</v>
      </c>
      <c r="AF589" s="142" t="s">
        <v>7611</v>
      </c>
      <c r="AG589" s="142" t="s">
        <v>2675</v>
      </c>
      <c r="AH589" s="142" t="s">
        <v>2705</v>
      </c>
      <c r="AI589" s="142" t="s">
        <v>1435</v>
      </c>
      <c r="AJ589" s="142" t="s">
        <v>1435</v>
      </c>
      <c r="AK589" s="142" t="s">
        <v>2705</v>
      </c>
      <c r="AL589" s="142" t="s">
        <v>2705</v>
      </c>
      <c r="AM589" s="142" t="s">
        <v>2705</v>
      </c>
      <c r="AN589" s="142" t="s">
        <v>2398</v>
      </c>
      <c r="AO589" s="142" t="s">
        <v>2675</v>
      </c>
      <c r="AP589" s="142" t="s">
        <v>2705</v>
      </c>
      <c r="AQ589" s="142" t="s">
        <v>2398</v>
      </c>
      <c r="AR589" s="142" t="s">
        <v>2705</v>
      </c>
      <c r="AS589" s="142" t="s">
        <v>2398</v>
      </c>
      <c r="AT589" s="142" t="s">
        <v>2398</v>
      </c>
      <c r="AU589" s="142" t="s">
        <v>2705</v>
      </c>
      <c r="AV589" s="142" t="s">
        <v>2705</v>
      </c>
      <c r="AW589" s="142" t="s">
        <v>2705</v>
      </c>
      <c r="AX589" s="142" t="s">
        <v>2705</v>
      </c>
      <c r="AY589" s="142" t="s">
        <v>2705</v>
      </c>
      <c r="AZ589" s="142" t="s">
        <v>2705</v>
      </c>
    </row>
    <row r="590" spans="1:52" s="142" customFormat="1" ht="12.75" x14ac:dyDescent="0.2">
      <c r="A590" s="151"/>
      <c r="B590" s="152" t="s">
        <v>2398</v>
      </c>
      <c r="C590" s="152" t="s">
        <v>2675</v>
      </c>
      <c r="D590" s="152" t="s">
        <v>2398</v>
      </c>
      <c r="E590" s="152" t="s">
        <v>2705</v>
      </c>
      <c r="F590" s="152" t="s">
        <v>2705</v>
      </c>
      <c r="G590" s="152" t="s">
        <v>2675</v>
      </c>
      <c r="H590" s="152" t="s">
        <v>2398</v>
      </c>
      <c r="I590" s="152" t="s">
        <v>2675</v>
      </c>
      <c r="J590" s="152" t="s">
        <v>1435</v>
      </c>
      <c r="K590" s="152" t="s">
        <v>2705</v>
      </c>
      <c r="L590" s="152" t="s">
        <v>2398</v>
      </c>
      <c r="M590" s="152" t="s">
        <v>2705</v>
      </c>
      <c r="N590" s="152" t="s">
        <v>2705</v>
      </c>
      <c r="O590" s="152" t="s">
        <v>2705</v>
      </c>
      <c r="P590" s="152" t="s">
        <v>2675</v>
      </c>
      <c r="Q590" s="152" t="s">
        <v>2705</v>
      </c>
      <c r="R590" s="152" t="s">
        <v>2398</v>
      </c>
      <c r="S590" s="152" t="s">
        <v>2705</v>
      </c>
      <c r="T590" s="152" t="s">
        <v>2705</v>
      </c>
      <c r="U590" s="152" t="s">
        <v>2398</v>
      </c>
      <c r="V590" s="142" t="str" cm="1">
        <f t="array" ref="V590">IF(A590&lt;&gt;"",SUM(--(B590:U591 = "X")*$U$3,--(B590:U591 ="A")*$Q$3,--(B590:U591 ="B")*$R$3,--(B590:U591 ="C")*$S$3),"")</f>
        <v/>
      </c>
      <c r="X590" s="437" t="s">
        <v>7898</v>
      </c>
      <c r="Y590" s="437">
        <v>27</v>
      </c>
      <c r="Z590" s="436">
        <f>_xlfn.XLOOKUP(answers[[#This Row],[StudentID]],$A$7:$A$1418,$V$7:$V$1418)</f>
        <v>27</v>
      </c>
      <c r="AG590" s="142" t="s">
        <v>2398</v>
      </c>
      <c r="AH590" s="142" t="s">
        <v>2675</v>
      </c>
      <c r="AI590" s="142" t="s">
        <v>2398</v>
      </c>
      <c r="AJ590" s="142" t="s">
        <v>2705</v>
      </c>
      <c r="AK590" s="142" t="s">
        <v>2705</v>
      </c>
      <c r="AL590" s="142" t="s">
        <v>2675</v>
      </c>
      <c r="AM590" s="142" t="s">
        <v>2398</v>
      </c>
      <c r="AN590" s="142" t="s">
        <v>2675</v>
      </c>
      <c r="AO590" s="142" t="s">
        <v>1435</v>
      </c>
      <c r="AP590" s="142" t="s">
        <v>2705</v>
      </c>
      <c r="AQ590" s="142" t="s">
        <v>2398</v>
      </c>
      <c r="AR590" s="142" t="s">
        <v>2705</v>
      </c>
      <c r="AS590" s="142" t="s">
        <v>2705</v>
      </c>
      <c r="AT590" s="142" t="s">
        <v>2705</v>
      </c>
      <c r="AU590" s="142" t="s">
        <v>2675</v>
      </c>
      <c r="AV590" s="142" t="s">
        <v>2705</v>
      </c>
      <c r="AW590" s="142" t="s">
        <v>2398</v>
      </c>
      <c r="AX590" s="142" t="s">
        <v>2705</v>
      </c>
      <c r="AY590" s="142" t="s">
        <v>2705</v>
      </c>
      <c r="AZ590" s="142" t="s">
        <v>2398</v>
      </c>
    </row>
    <row r="591" spans="1:52" s="142" customFormat="1" ht="12.75" x14ac:dyDescent="0.2">
      <c r="A591" s="151" t="s">
        <v>7612</v>
      </c>
      <c r="B591" s="152" t="s">
        <v>2398</v>
      </c>
      <c r="C591" s="152" t="s">
        <v>2398</v>
      </c>
      <c r="D591" s="152" t="s">
        <v>2398</v>
      </c>
      <c r="E591" s="152" t="s">
        <v>2705</v>
      </c>
      <c r="F591" s="152" t="s">
        <v>2705</v>
      </c>
      <c r="G591" s="152" t="s">
        <v>2705</v>
      </c>
      <c r="H591" s="152" t="s">
        <v>1435</v>
      </c>
      <c r="I591" s="152" t="s">
        <v>2705</v>
      </c>
      <c r="J591" s="152" t="s">
        <v>2705</v>
      </c>
      <c r="K591" s="152" t="s">
        <v>2398</v>
      </c>
      <c r="L591" s="152" t="s">
        <v>2705</v>
      </c>
      <c r="M591" s="152" t="s">
        <v>2398</v>
      </c>
      <c r="N591" s="152" t="s">
        <v>2705</v>
      </c>
      <c r="O591" s="152" t="s">
        <v>1435</v>
      </c>
      <c r="P591" s="152" t="s">
        <v>2397</v>
      </c>
      <c r="Q591" s="152" t="s">
        <v>2398</v>
      </c>
      <c r="R591" s="152" t="s">
        <v>2705</v>
      </c>
      <c r="S591" s="152" t="s">
        <v>2705</v>
      </c>
      <c r="T591" s="152" t="s">
        <v>2705</v>
      </c>
      <c r="U591" s="152" t="s">
        <v>2705</v>
      </c>
      <c r="V591" s="142" cm="1">
        <f t="array" ref="V591">IF(A591&lt;&gt;"",SUM(--(B591:U592 = "X")*$U$3,--(B591:U592 ="A")*$Q$3,--(B591:U592 ="B")*$R$3,--(B591:U592 ="C")*$S$3),"")</f>
        <v>16</v>
      </c>
      <c r="X591" s="437" t="s">
        <v>7899</v>
      </c>
      <c r="Y591" s="437">
        <v>20</v>
      </c>
      <c r="Z591" s="436">
        <f>_xlfn.XLOOKUP(answers[[#This Row],[StudentID]],$A$7:$A$1418,$V$7:$V$1418)</f>
        <v>20</v>
      </c>
      <c r="AF591" s="142" t="s">
        <v>7612</v>
      </c>
      <c r="AG591" s="142" t="s">
        <v>2398</v>
      </c>
      <c r="AH591" s="142" t="s">
        <v>2398</v>
      </c>
      <c r="AI591" s="142" t="s">
        <v>2398</v>
      </c>
      <c r="AJ591" s="142" t="s">
        <v>2705</v>
      </c>
      <c r="AK591" s="142" t="s">
        <v>2705</v>
      </c>
      <c r="AL591" s="142" t="s">
        <v>2705</v>
      </c>
      <c r="AM591" s="142" t="s">
        <v>1435</v>
      </c>
      <c r="AN591" s="142" t="s">
        <v>2705</v>
      </c>
      <c r="AO591" s="142" t="s">
        <v>2705</v>
      </c>
      <c r="AP591" s="142" t="s">
        <v>2398</v>
      </c>
      <c r="AQ591" s="142" t="s">
        <v>2705</v>
      </c>
      <c r="AR591" s="142" t="s">
        <v>2398</v>
      </c>
      <c r="AS591" s="142" t="s">
        <v>2705</v>
      </c>
      <c r="AT591" s="142" t="s">
        <v>1435</v>
      </c>
      <c r="AU591" s="142" t="s">
        <v>2397</v>
      </c>
      <c r="AV591" s="142" t="s">
        <v>2398</v>
      </c>
      <c r="AW591" s="142" t="s">
        <v>2705</v>
      </c>
      <c r="AX591" s="142" t="s">
        <v>2705</v>
      </c>
      <c r="AY591" s="142" t="s">
        <v>2705</v>
      </c>
      <c r="AZ591" s="142" t="s">
        <v>2705</v>
      </c>
    </row>
    <row r="592" spans="1:52" s="142" customFormat="1" ht="12.75" x14ac:dyDescent="0.2">
      <c r="A592" s="151"/>
      <c r="B592" s="152" t="s">
        <v>2398</v>
      </c>
      <c r="C592" s="152" t="s">
        <v>2398</v>
      </c>
      <c r="D592" s="152" t="s">
        <v>1435</v>
      </c>
      <c r="E592" s="152" t="s">
        <v>2705</v>
      </c>
      <c r="F592" s="152" t="s">
        <v>2398</v>
      </c>
      <c r="G592" s="152" t="s">
        <v>2398</v>
      </c>
      <c r="H592" s="152" t="s">
        <v>2705</v>
      </c>
      <c r="I592" s="152" t="s">
        <v>2398</v>
      </c>
      <c r="J592" s="152" t="s">
        <v>2705</v>
      </c>
      <c r="K592" s="152" t="s">
        <v>2398</v>
      </c>
      <c r="L592" s="152" t="s">
        <v>2705</v>
      </c>
      <c r="M592" s="152" t="s">
        <v>2705</v>
      </c>
      <c r="N592" s="152" t="s">
        <v>2705</v>
      </c>
      <c r="O592" s="152" t="s">
        <v>2398</v>
      </c>
      <c r="P592" s="152" t="s">
        <v>2675</v>
      </c>
      <c r="Q592" s="152" t="s">
        <v>2705</v>
      </c>
      <c r="R592" s="152" t="s">
        <v>2398</v>
      </c>
      <c r="S592" s="152" t="s">
        <v>2398</v>
      </c>
      <c r="T592" s="152" t="s">
        <v>2398</v>
      </c>
      <c r="U592" s="152" t="s">
        <v>2398</v>
      </c>
      <c r="V592" s="142" t="str" cm="1">
        <f t="array" ref="V592">IF(A592&lt;&gt;"",SUM(--(B592:U593 = "X")*$U$3,--(B592:U593 ="A")*$Q$3,--(B592:U593 ="B")*$R$3,--(B592:U593 ="C")*$S$3),"")</f>
        <v/>
      </c>
      <c r="X592" s="437" t="s">
        <v>7900</v>
      </c>
      <c r="Y592" s="437">
        <v>20.5</v>
      </c>
      <c r="Z592" s="436">
        <f>_xlfn.XLOOKUP(answers[[#This Row],[StudentID]],$A$7:$A$1418,$V$7:$V$1418)</f>
        <v>20.5</v>
      </c>
      <c r="AG592" s="142" t="s">
        <v>2398</v>
      </c>
      <c r="AH592" s="142" t="s">
        <v>2398</v>
      </c>
      <c r="AI592" s="142" t="s">
        <v>1435</v>
      </c>
      <c r="AJ592" s="142" t="s">
        <v>2705</v>
      </c>
      <c r="AK592" s="142" t="s">
        <v>2398</v>
      </c>
      <c r="AL592" s="142" t="s">
        <v>2398</v>
      </c>
      <c r="AM592" s="142" t="s">
        <v>2705</v>
      </c>
      <c r="AN592" s="142" t="s">
        <v>2398</v>
      </c>
      <c r="AO592" s="142" t="s">
        <v>2705</v>
      </c>
      <c r="AP592" s="142" t="s">
        <v>2398</v>
      </c>
      <c r="AQ592" s="142" t="s">
        <v>2705</v>
      </c>
      <c r="AR592" s="142" t="s">
        <v>2705</v>
      </c>
      <c r="AS592" s="142" t="s">
        <v>2705</v>
      </c>
      <c r="AT592" s="142" t="s">
        <v>2398</v>
      </c>
      <c r="AU592" s="142" t="s">
        <v>2675</v>
      </c>
      <c r="AV592" s="142" t="s">
        <v>2705</v>
      </c>
      <c r="AW592" s="142" t="s">
        <v>2398</v>
      </c>
      <c r="AX592" s="142" t="s">
        <v>2398</v>
      </c>
      <c r="AY592" s="142" t="s">
        <v>2398</v>
      </c>
      <c r="AZ592" s="142" t="s">
        <v>2398</v>
      </c>
    </row>
    <row r="593" spans="1:52" s="142" customFormat="1" ht="12.75" x14ac:dyDescent="0.2">
      <c r="A593" s="151" t="s">
        <v>7613</v>
      </c>
      <c r="B593" s="152" t="s">
        <v>2705</v>
      </c>
      <c r="C593" s="152" t="s">
        <v>2705</v>
      </c>
      <c r="D593" s="152" t="s">
        <v>2705</v>
      </c>
      <c r="E593" s="152" t="s">
        <v>2705</v>
      </c>
      <c r="F593" s="152" t="s">
        <v>2705</v>
      </c>
      <c r="G593" s="152" t="s">
        <v>2705</v>
      </c>
      <c r="H593" s="152" t="s">
        <v>2398</v>
      </c>
      <c r="I593" s="152" t="s">
        <v>2705</v>
      </c>
      <c r="J593" s="152" t="s">
        <v>2705</v>
      </c>
      <c r="K593" s="152" t="s">
        <v>2705</v>
      </c>
      <c r="L593" s="152" t="s">
        <v>2705</v>
      </c>
      <c r="M593" s="152" t="s">
        <v>2705</v>
      </c>
      <c r="N593" s="152" t="s">
        <v>2705</v>
      </c>
      <c r="O593" s="152" t="s">
        <v>2397</v>
      </c>
      <c r="P593" s="152" t="s">
        <v>2705</v>
      </c>
      <c r="Q593" s="152" t="s">
        <v>2675</v>
      </c>
      <c r="R593" s="152" t="s">
        <v>2705</v>
      </c>
      <c r="S593" s="152" t="s">
        <v>2398</v>
      </c>
      <c r="T593" s="152" t="s">
        <v>2705</v>
      </c>
      <c r="U593" s="152" t="s">
        <v>2705</v>
      </c>
      <c r="V593" s="142" cm="1">
        <f t="array" ref="V593">IF(A593&lt;&gt;"",SUM(--(B593:U594 = "X")*$U$3,--(B593:U594 ="A")*$Q$3,--(B593:U594 ="B")*$R$3,--(B593:U594 ="C")*$S$3),"")</f>
        <v>27.5</v>
      </c>
      <c r="X593" s="437" t="s">
        <v>7901</v>
      </c>
      <c r="Y593" s="437">
        <v>22.5</v>
      </c>
      <c r="Z593" s="436">
        <f>_xlfn.XLOOKUP(answers[[#This Row],[StudentID]],$A$7:$A$1418,$V$7:$V$1418)</f>
        <v>22.5</v>
      </c>
      <c r="AF593" s="142" t="s">
        <v>7613</v>
      </c>
      <c r="AG593" s="142" t="s">
        <v>2705</v>
      </c>
      <c r="AH593" s="142" t="s">
        <v>2705</v>
      </c>
      <c r="AI593" s="142" t="s">
        <v>2705</v>
      </c>
      <c r="AJ593" s="142" t="s">
        <v>2705</v>
      </c>
      <c r="AK593" s="142" t="s">
        <v>2705</v>
      </c>
      <c r="AL593" s="142" t="s">
        <v>2705</v>
      </c>
      <c r="AM593" s="142" t="s">
        <v>2398</v>
      </c>
      <c r="AN593" s="142" t="s">
        <v>2705</v>
      </c>
      <c r="AO593" s="142" t="s">
        <v>2705</v>
      </c>
      <c r="AP593" s="142" t="s">
        <v>2705</v>
      </c>
      <c r="AQ593" s="142" t="s">
        <v>2705</v>
      </c>
      <c r="AR593" s="142" t="s">
        <v>2705</v>
      </c>
      <c r="AS593" s="142" t="s">
        <v>2705</v>
      </c>
      <c r="AT593" s="142" t="s">
        <v>2397</v>
      </c>
      <c r="AU593" s="142" t="s">
        <v>2705</v>
      </c>
      <c r="AV593" s="142" t="s">
        <v>2675</v>
      </c>
      <c r="AW593" s="142" t="s">
        <v>2705</v>
      </c>
      <c r="AX593" s="142" t="s">
        <v>2398</v>
      </c>
      <c r="AY593" s="142" t="s">
        <v>2705</v>
      </c>
      <c r="AZ593" s="142" t="s">
        <v>2705</v>
      </c>
    </row>
    <row r="594" spans="1:52" s="142" customFormat="1" ht="12.75" x14ac:dyDescent="0.2">
      <c r="A594" s="151"/>
      <c r="B594" s="152" t="s">
        <v>2705</v>
      </c>
      <c r="C594" s="152" t="s">
        <v>2675</v>
      </c>
      <c r="D594" s="152" t="s">
        <v>2705</v>
      </c>
      <c r="E594" s="152" t="s">
        <v>2705</v>
      </c>
      <c r="F594" s="152" t="s">
        <v>2675</v>
      </c>
      <c r="G594" s="152" t="s">
        <v>2705</v>
      </c>
      <c r="H594" s="152" t="s">
        <v>2397</v>
      </c>
      <c r="I594" s="152" t="s">
        <v>2705</v>
      </c>
      <c r="J594" s="152" t="s">
        <v>2705</v>
      </c>
      <c r="K594" s="152" t="s">
        <v>2705</v>
      </c>
      <c r="L594" s="152" t="s">
        <v>1435</v>
      </c>
      <c r="M594" s="152" t="s">
        <v>2705</v>
      </c>
      <c r="N594" s="152" t="s">
        <v>2705</v>
      </c>
      <c r="O594" s="152" t="s">
        <v>2705</v>
      </c>
      <c r="P594" s="152" t="s">
        <v>2705</v>
      </c>
      <c r="Q594" s="152" t="s">
        <v>2705</v>
      </c>
      <c r="R594" s="152" t="s">
        <v>2397</v>
      </c>
      <c r="S594" s="152" t="s">
        <v>2675</v>
      </c>
      <c r="T594" s="152" t="s">
        <v>2705</v>
      </c>
      <c r="U594" s="152" t="s">
        <v>2705</v>
      </c>
      <c r="V594" s="142" t="str" cm="1">
        <f t="array" ref="V594">IF(A594&lt;&gt;"",SUM(--(B594:U595 = "X")*$U$3,--(B594:U595 ="A")*$Q$3,--(B594:U595 ="B")*$R$3,--(B594:U595 ="C")*$S$3),"")</f>
        <v/>
      </c>
      <c r="X594" s="437" t="s">
        <v>7902</v>
      </c>
      <c r="Y594" s="437">
        <v>25.5</v>
      </c>
      <c r="Z594" s="436">
        <f>_xlfn.XLOOKUP(answers[[#This Row],[StudentID]],$A$7:$A$1418,$V$7:$V$1418)</f>
        <v>25.5</v>
      </c>
      <c r="AG594" s="142" t="s">
        <v>2705</v>
      </c>
      <c r="AH594" s="142" t="s">
        <v>2675</v>
      </c>
      <c r="AI594" s="142" t="s">
        <v>2705</v>
      </c>
      <c r="AJ594" s="142" t="s">
        <v>2705</v>
      </c>
      <c r="AK594" s="142" t="s">
        <v>2675</v>
      </c>
      <c r="AL594" s="142" t="s">
        <v>2705</v>
      </c>
      <c r="AM594" s="142" t="s">
        <v>2397</v>
      </c>
      <c r="AN594" s="142" t="s">
        <v>2705</v>
      </c>
      <c r="AO594" s="142" t="s">
        <v>2705</v>
      </c>
      <c r="AP594" s="142" t="s">
        <v>2705</v>
      </c>
      <c r="AQ594" s="142" t="s">
        <v>1435</v>
      </c>
      <c r="AR594" s="142" t="s">
        <v>2705</v>
      </c>
      <c r="AS594" s="142" t="s">
        <v>2705</v>
      </c>
      <c r="AT594" s="142" t="s">
        <v>2705</v>
      </c>
      <c r="AU594" s="142" t="s">
        <v>2705</v>
      </c>
      <c r="AV594" s="142" t="s">
        <v>2705</v>
      </c>
      <c r="AW594" s="142" t="s">
        <v>2397</v>
      </c>
      <c r="AX594" s="142" t="s">
        <v>2675</v>
      </c>
      <c r="AY594" s="142" t="s">
        <v>2705</v>
      </c>
      <c r="AZ594" s="142" t="s">
        <v>2705</v>
      </c>
    </row>
    <row r="595" spans="1:52" s="142" customFormat="1" ht="12.75" x14ac:dyDescent="0.2">
      <c r="A595" s="151" t="s">
        <v>7614</v>
      </c>
      <c r="B595" s="152" t="s">
        <v>2705</v>
      </c>
      <c r="C595" s="152" t="s">
        <v>2705</v>
      </c>
      <c r="D595" s="152" t="s">
        <v>2705</v>
      </c>
      <c r="E595" s="152" t="s">
        <v>2398</v>
      </c>
      <c r="F595" s="152" t="s">
        <v>2705</v>
      </c>
      <c r="G595" s="152" t="s">
        <v>2705</v>
      </c>
      <c r="H595" s="152" t="s">
        <v>2705</v>
      </c>
      <c r="I595" s="152" t="s">
        <v>2397</v>
      </c>
      <c r="J595" s="152" t="s">
        <v>2705</v>
      </c>
      <c r="K595" s="152" t="s">
        <v>2705</v>
      </c>
      <c r="L595" s="152" t="s">
        <v>2705</v>
      </c>
      <c r="M595" s="152" t="s">
        <v>2398</v>
      </c>
      <c r="N595" s="152" t="s">
        <v>2705</v>
      </c>
      <c r="O595" s="152" t="s">
        <v>2705</v>
      </c>
      <c r="P595" s="152" t="s">
        <v>2705</v>
      </c>
      <c r="Q595" s="152" t="s">
        <v>2705</v>
      </c>
      <c r="R595" s="152" t="s">
        <v>2675</v>
      </c>
      <c r="S595" s="152" t="s">
        <v>2705</v>
      </c>
      <c r="T595" s="152" t="s">
        <v>2705</v>
      </c>
      <c r="U595" s="152" t="s">
        <v>2705</v>
      </c>
      <c r="V595" s="142" cm="1">
        <f t="array" ref="V595">IF(A595&lt;&gt;"",SUM(--(B595:U596 = "X")*$U$3,--(B595:U596 ="A")*$Q$3,--(B595:U596 ="B")*$R$3,--(B595:U596 ="C")*$S$3),"")</f>
        <v>31.5</v>
      </c>
      <c r="X595" s="437" t="s">
        <v>7903</v>
      </c>
      <c r="Y595" s="437">
        <v>15.5</v>
      </c>
      <c r="Z595" s="436">
        <f>_xlfn.XLOOKUP(answers[[#This Row],[StudentID]],$A$7:$A$1418,$V$7:$V$1418)</f>
        <v>15.5</v>
      </c>
      <c r="AF595" s="142" t="s">
        <v>7614</v>
      </c>
      <c r="AG595" s="142" t="s">
        <v>2705</v>
      </c>
      <c r="AH595" s="142" t="s">
        <v>2705</v>
      </c>
      <c r="AI595" s="142" t="s">
        <v>2705</v>
      </c>
      <c r="AJ595" s="142" t="s">
        <v>2398</v>
      </c>
      <c r="AK595" s="142" t="s">
        <v>2705</v>
      </c>
      <c r="AL595" s="142" t="s">
        <v>2705</v>
      </c>
      <c r="AM595" s="142" t="s">
        <v>2705</v>
      </c>
      <c r="AN595" s="142" t="s">
        <v>2397</v>
      </c>
      <c r="AO595" s="142" t="s">
        <v>2705</v>
      </c>
      <c r="AP595" s="142" t="s">
        <v>2705</v>
      </c>
      <c r="AQ595" s="142" t="s">
        <v>2705</v>
      </c>
      <c r="AR595" s="142" t="s">
        <v>2398</v>
      </c>
      <c r="AS595" s="142" t="s">
        <v>2705</v>
      </c>
      <c r="AT595" s="142" t="s">
        <v>2705</v>
      </c>
      <c r="AU595" s="142" t="s">
        <v>2705</v>
      </c>
      <c r="AV595" s="142" t="s">
        <v>2705</v>
      </c>
      <c r="AW595" s="142" t="s">
        <v>2675</v>
      </c>
      <c r="AX595" s="142" t="s">
        <v>2705</v>
      </c>
      <c r="AY595" s="142" t="s">
        <v>2705</v>
      </c>
      <c r="AZ595" s="142" t="s">
        <v>2705</v>
      </c>
    </row>
    <row r="596" spans="1:52" s="142" customFormat="1" ht="12.75" x14ac:dyDescent="0.2">
      <c r="A596" s="151"/>
      <c r="B596" s="152" t="s">
        <v>2705</v>
      </c>
      <c r="C596" s="152" t="s">
        <v>2705</v>
      </c>
      <c r="D596" s="152" t="s">
        <v>2705</v>
      </c>
      <c r="E596" s="152" t="s">
        <v>2705</v>
      </c>
      <c r="F596" s="152" t="s">
        <v>2705</v>
      </c>
      <c r="G596" s="152" t="s">
        <v>2705</v>
      </c>
      <c r="H596" s="152" t="s">
        <v>2705</v>
      </c>
      <c r="I596" s="152" t="s">
        <v>2398</v>
      </c>
      <c r="J596" s="152" t="s">
        <v>2705</v>
      </c>
      <c r="K596" s="152" t="s">
        <v>2398</v>
      </c>
      <c r="L596" s="152" t="s">
        <v>2705</v>
      </c>
      <c r="M596" s="152" t="s">
        <v>2705</v>
      </c>
      <c r="N596" s="152" t="s">
        <v>2705</v>
      </c>
      <c r="O596" s="152" t="s">
        <v>2398</v>
      </c>
      <c r="P596" s="152" t="s">
        <v>2398</v>
      </c>
      <c r="Q596" s="152" t="s">
        <v>2705</v>
      </c>
      <c r="R596" s="152" t="s">
        <v>2705</v>
      </c>
      <c r="S596" s="152" t="s">
        <v>2705</v>
      </c>
      <c r="T596" s="152" t="s">
        <v>2705</v>
      </c>
      <c r="U596" s="152" t="s">
        <v>2705</v>
      </c>
      <c r="V596" s="142" t="str" cm="1">
        <f t="array" ref="V596">IF(A596&lt;&gt;"",SUM(--(B596:U597 = "X")*$U$3,--(B596:U597 ="A")*$Q$3,--(B596:U597 ="B")*$R$3,--(B596:U597 ="C")*$S$3),"")</f>
        <v/>
      </c>
      <c r="X596" s="437" t="s">
        <v>7904</v>
      </c>
      <c r="Y596" s="437">
        <v>9.5</v>
      </c>
      <c r="Z596" s="436">
        <f>_xlfn.XLOOKUP(answers[[#This Row],[StudentID]],$A$7:$A$1418,$V$7:$V$1418)</f>
        <v>9.5</v>
      </c>
      <c r="AG596" s="142" t="s">
        <v>2705</v>
      </c>
      <c r="AH596" s="142" t="s">
        <v>2705</v>
      </c>
      <c r="AI596" s="142" t="s">
        <v>2705</v>
      </c>
      <c r="AJ596" s="142" t="s">
        <v>2705</v>
      </c>
      <c r="AK596" s="142" t="s">
        <v>2705</v>
      </c>
      <c r="AL596" s="142" t="s">
        <v>2705</v>
      </c>
      <c r="AM596" s="142" t="s">
        <v>2705</v>
      </c>
      <c r="AN596" s="142" t="s">
        <v>2398</v>
      </c>
      <c r="AO596" s="142" t="s">
        <v>2705</v>
      </c>
      <c r="AP596" s="142" t="s">
        <v>2398</v>
      </c>
      <c r="AQ596" s="142" t="s">
        <v>2705</v>
      </c>
      <c r="AR596" s="142" t="s">
        <v>2705</v>
      </c>
      <c r="AS596" s="142" t="s">
        <v>2705</v>
      </c>
      <c r="AT596" s="142" t="s">
        <v>2398</v>
      </c>
      <c r="AU596" s="142" t="s">
        <v>2398</v>
      </c>
      <c r="AV596" s="142" t="s">
        <v>2705</v>
      </c>
      <c r="AW596" s="142" t="s">
        <v>2705</v>
      </c>
      <c r="AX596" s="142" t="s">
        <v>2705</v>
      </c>
      <c r="AY596" s="142" t="s">
        <v>2705</v>
      </c>
      <c r="AZ596" s="142" t="s">
        <v>2705</v>
      </c>
    </row>
    <row r="597" spans="1:52" s="142" customFormat="1" ht="12.75" x14ac:dyDescent="0.2">
      <c r="A597" s="151" t="s">
        <v>7615</v>
      </c>
      <c r="B597" s="152" t="s">
        <v>2705</v>
      </c>
      <c r="C597" s="152" t="s">
        <v>2705</v>
      </c>
      <c r="D597" s="152" t="s">
        <v>2705</v>
      </c>
      <c r="E597" s="152" t="s">
        <v>2398</v>
      </c>
      <c r="F597" s="152" t="s">
        <v>2705</v>
      </c>
      <c r="G597" s="152" t="s">
        <v>2705</v>
      </c>
      <c r="H597" s="152" t="s">
        <v>2705</v>
      </c>
      <c r="I597" s="152" t="s">
        <v>2397</v>
      </c>
      <c r="J597" s="152" t="s">
        <v>2398</v>
      </c>
      <c r="K597" s="152" t="s">
        <v>1435</v>
      </c>
      <c r="L597" s="152" t="s">
        <v>2705</v>
      </c>
      <c r="M597" s="152" t="s">
        <v>2705</v>
      </c>
      <c r="N597" s="152" t="s">
        <v>2398</v>
      </c>
      <c r="O597" s="152" t="s">
        <v>2397</v>
      </c>
      <c r="P597" s="152" t="s">
        <v>2705</v>
      </c>
      <c r="Q597" s="152" t="s">
        <v>1435</v>
      </c>
      <c r="R597" s="152" t="s">
        <v>2398</v>
      </c>
      <c r="S597" s="152" t="s">
        <v>2398</v>
      </c>
      <c r="T597" s="152" t="s">
        <v>2705</v>
      </c>
      <c r="U597" s="152" t="s">
        <v>2705</v>
      </c>
      <c r="V597" s="142" cm="1">
        <f t="array" ref="V597">IF(A597&lt;&gt;"",SUM(--(B597:U598 = "X")*$U$3,--(B597:U598 ="A")*$Q$3,--(B597:U598 ="B")*$R$3,--(B597:U598 ="C")*$S$3),"")</f>
        <v>20</v>
      </c>
      <c r="X597" s="437" t="s">
        <v>7905</v>
      </c>
      <c r="Y597" s="437">
        <v>23</v>
      </c>
      <c r="Z597" s="436">
        <f>_xlfn.XLOOKUP(answers[[#This Row],[StudentID]],$A$7:$A$1418,$V$7:$V$1418)</f>
        <v>23</v>
      </c>
      <c r="AF597" s="142" t="s">
        <v>7615</v>
      </c>
      <c r="AG597" s="142" t="s">
        <v>2705</v>
      </c>
      <c r="AH597" s="142" t="s">
        <v>2705</v>
      </c>
      <c r="AI597" s="142" t="s">
        <v>2705</v>
      </c>
      <c r="AJ597" s="142" t="s">
        <v>2398</v>
      </c>
      <c r="AK597" s="142" t="s">
        <v>2705</v>
      </c>
      <c r="AL597" s="142" t="s">
        <v>2705</v>
      </c>
      <c r="AM597" s="142" t="s">
        <v>2705</v>
      </c>
      <c r="AN597" s="142" t="s">
        <v>2397</v>
      </c>
      <c r="AO597" s="142" t="s">
        <v>2398</v>
      </c>
      <c r="AP597" s="142" t="s">
        <v>1435</v>
      </c>
      <c r="AQ597" s="142" t="s">
        <v>2705</v>
      </c>
      <c r="AR597" s="142" t="s">
        <v>2705</v>
      </c>
      <c r="AS597" s="142" t="s">
        <v>2398</v>
      </c>
      <c r="AT597" s="142" t="s">
        <v>2397</v>
      </c>
      <c r="AU597" s="142" t="s">
        <v>2705</v>
      </c>
      <c r="AV597" s="142" t="s">
        <v>1435</v>
      </c>
      <c r="AW597" s="142" t="s">
        <v>2398</v>
      </c>
      <c r="AX597" s="142" t="s">
        <v>2398</v>
      </c>
      <c r="AY597" s="142" t="s">
        <v>2705</v>
      </c>
      <c r="AZ597" s="142" t="s">
        <v>2705</v>
      </c>
    </row>
    <row r="598" spans="1:52" s="142" customFormat="1" ht="12.75" x14ac:dyDescent="0.2">
      <c r="A598" s="151"/>
      <c r="B598" s="152" t="s">
        <v>2705</v>
      </c>
      <c r="C598" s="152" t="s">
        <v>2397</v>
      </c>
      <c r="D598" s="152" t="s">
        <v>2675</v>
      </c>
      <c r="E598" s="152" t="s">
        <v>2705</v>
      </c>
      <c r="F598" s="152" t="s">
        <v>2705</v>
      </c>
      <c r="G598" s="152" t="s">
        <v>2398</v>
      </c>
      <c r="H598" s="152" t="s">
        <v>2705</v>
      </c>
      <c r="I598" s="152" t="s">
        <v>2705</v>
      </c>
      <c r="J598" s="152" t="s">
        <v>2675</v>
      </c>
      <c r="K598" s="152" t="s">
        <v>2398</v>
      </c>
      <c r="L598" s="152" t="s">
        <v>2705</v>
      </c>
      <c r="M598" s="152" t="s">
        <v>2398</v>
      </c>
      <c r="N598" s="152" t="s">
        <v>2398</v>
      </c>
      <c r="O598" s="152" t="s">
        <v>2705</v>
      </c>
      <c r="P598" s="152" t="s">
        <v>2398</v>
      </c>
      <c r="Q598" s="152" t="s">
        <v>2705</v>
      </c>
      <c r="R598" s="152" t="s">
        <v>2398</v>
      </c>
      <c r="S598" s="152" t="s">
        <v>2705</v>
      </c>
      <c r="T598" s="152" t="s">
        <v>2705</v>
      </c>
      <c r="U598" s="152" t="s">
        <v>2705</v>
      </c>
      <c r="V598" s="142" t="str" cm="1">
        <f t="array" ref="V598">IF(A598&lt;&gt;"",SUM(--(B598:U599 = "X")*$U$3,--(B598:U599 ="A")*$Q$3,--(B598:U599 ="B")*$R$3,--(B598:U599 ="C")*$S$3),"")</f>
        <v/>
      </c>
      <c r="X598" s="437" t="s">
        <v>7906</v>
      </c>
      <c r="Y598" s="437">
        <v>33.5</v>
      </c>
      <c r="Z598" s="436">
        <f>_xlfn.XLOOKUP(answers[[#This Row],[StudentID]],$A$7:$A$1418,$V$7:$V$1418)</f>
        <v>33.5</v>
      </c>
      <c r="AG598" s="142" t="s">
        <v>2705</v>
      </c>
      <c r="AH598" s="142" t="s">
        <v>2397</v>
      </c>
      <c r="AI598" s="142" t="s">
        <v>2675</v>
      </c>
      <c r="AJ598" s="142" t="s">
        <v>2705</v>
      </c>
      <c r="AK598" s="142" t="s">
        <v>2705</v>
      </c>
      <c r="AL598" s="142" t="s">
        <v>2398</v>
      </c>
      <c r="AM598" s="142" t="s">
        <v>2705</v>
      </c>
      <c r="AN598" s="142" t="s">
        <v>2705</v>
      </c>
      <c r="AO598" s="142" t="s">
        <v>2675</v>
      </c>
      <c r="AP598" s="142" t="s">
        <v>2398</v>
      </c>
      <c r="AQ598" s="142" t="s">
        <v>2705</v>
      </c>
      <c r="AR598" s="142" t="s">
        <v>2398</v>
      </c>
      <c r="AS598" s="142" t="s">
        <v>2398</v>
      </c>
      <c r="AT598" s="142" t="s">
        <v>2705</v>
      </c>
      <c r="AU598" s="142" t="s">
        <v>2398</v>
      </c>
      <c r="AV598" s="142" t="s">
        <v>2705</v>
      </c>
      <c r="AW598" s="142" t="s">
        <v>2398</v>
      </c>
      <c r="AX598" s="142" t="s">
        <v>2705</v>
      </c>
      <c r="AY598" s="142" t="s">
        <v>2705</v>
      </c>
      <c r="AZ598" s="142" t="s">
        <v>2705</v>
      </c>
    </row>
    <row r="599" spans="1:52" s="142" customFormat="1" ht="12.75" x14ac:dyDescent="0.2">
      <c r="A599" s="151" t="s">
        <v>7616</v>
      </c>
      <c r="B599" s="152" t="s">
        <v>2398</v>
      </c>
      <c r="C599" s="152" t="s">
        <v>2398</v>
      </c>
      <c r="D599" s="152" t="s">
        <v>2675</v>
      </c>
      <c r="E599" s="152" t="s">
        <v>2705</v>
      </c>
      <c r="F599" s="152" t="s">
        <v>2705</v>
      </c>
      <c r="G599" s="152" t="s">
        <v>2398</v>
      </c>
      <c r="H599" s="152" t="s">
        <v>2398</v>
      </c>
      <c r="I599" s="152" t="s">
        <v>2705</v>
      </c>
      <c r="J599" s="152" t="s">
        <v>2398</v>
      </c>
      <c r="K599" s="152" t="s">
        <v>2705</v>
      </c>
      <c r="L599" s="152" t="s">
        <v>2398</v>
      </c>
      <c r="M599" s="152" t="s">
        <v>2398</v>
      </c>
      <c r="N599" s="152" t="s">
        <v>2705</v>
      </c>
      <c r="O599" s="152" t="s">
        <v>2705</v>
      </c>
      <c r="P599" s="152" t="s">
        <v>2705</v>
      </c>
      <c r="Q599" s="152" t="s">
        <v>2398</v>
      </c>
      <c r="R599" s="152" t="s">
        <v>2705</v>
      </c>
      <c r="S599" s="152" t="s">
        <v>2705</v>
      </c>
      <c r="T599" s="152" t="s">
        <v>2398</v>
      </c>
      <c r="U599" s="152" t="s">
        <v>2398</v>
      </c>
      <c r="V599" s="142" cm="1">
        <f t="array" ref="V599">IF(A599&lt;&gt;"",SUM(--(B599:U600 = "X")*$U$3,--(B599:U600 ="A")*$Q$3,--(B599:U600 ="B")*$R$3,--(B599:U600 ="C")*$S$3),"")</f>
        <v>20</v>
      </c>
      <c r="X599" s="437" t="s">
        <v>7907</v>
      </c>
      <c r="Y599" s="437">
        <v>15</v>
      </c>
      <c r="Z599" s="436">
        <f>_xlfn.XLOOKUP(answers[[#This Row],[StudentID]],$A$7:$A$1418,$V$7:$V$1418)</f>
        <v>15</v>
      </c>
      <c r="AF599" s="142" t="s">
        <v>7616</v>
      </c>
      <c r="AG599" s="142" t="s">
        <v>2398</v>
      </c>
      <c r="AH599" s="142" t="s">
        <v>2398</v>
      </c>
      <c r="AI599" s="142" t="s">
        <v>2675</v>
      </c>
      <c r="AJ599" s="142" t="s">
        <v>2705</v>
      </c>
      <c r="AK599" s="142" t="s">
        <v>2705</v>
      </c>
      <c r="AL599" s="142" t="s">
        <v>2398</v>
      </c>
      <c r="AM599" s="142" t="s">
        <v>2398</v>
      </c>
      <c r="AN599" s="142" t="s">
        <v>2705</v>
      </c>
      <c r="AO599" s="142" t="s">
        <v>2398</v>
      </c>
      <c r="AP599" s="142" t="s">
        <v>2705</v>
      </c>
      <c r="AQ599" s="142" t="s">
        <v>2398</v>
      </c>
      <c r="AR599" s="142" t="s">
        <v>2398</v>
      </c>
      <c r="AS599" s="142" t="s">
        <v>2705</v>
      </c>
      <c r="AT599" s="142" t="s">
        <v>2705</v>
      </c>
      <c r="AU599" s="142" t="s">
        <v>2705</v>
      </c>
      <c r="AV599" s="142" t="s">
        <v>2398</v>
      </c>
      <c r="AW599" s="142" t="s">
        <v>2705</v>
      </c>
      <c r="AX599" s="142" t="s">
        <v>2705</v>
      </c>
      <c r="AY599" s="142" t="s">
        <v>2398</v>
      </c>
      <c r="AZ599" s="142" t="s">
        <v>2398</v>
      </c>
    </row>
    <row r="600" spans="1:52" s="142" customFormat="1" ht="12.75" x14ac:dyDescent="0.2">
      <c r="A600" s="151"/>
      <c r="B600" s="152" t="s">
        <v>2705</v>
      </c>
      <c r="C600" s="152" t="s">
        <v>2398</v>
      </c>
      <c r="D600" s="152" t="s">
        <v>2705</v>
      </c>
      <c r="E600" s="152" t="s">
        <v>2398</v>
      </c>
      <c r="F600" s="152" t="s">
        <v>2398</v>
      </c>
      <c r="G600" s="152" t="s">
        <v>2398</v>
      </c>
      <c r="H600" s="152" t="s">
        <v>2705</v>
      </c>
      <c r="I600" s="152" t="s">
        <v>2398</v>
      </c>
      <c r="J600" s="152" t="s">
        <v>2705</v>
      </c>
      <c r="K600" s="152" t="s">
        <v>2705</v>
      </c>
      <c r="L600" s="152" t="s">
        <v>2705</v>
      </c>
      <c r="M600" s="152" t="s">
        <v>2398</v>
      </c>
      <c r="N600" s="152" t="s">
        <v>2675</v>
      </c>
      <c r="O600" s="152" t="s">
        <v>2705</v>
      </c>
      <c r="P600" s="152" t="s">
        <v>2398</v>
      </c>
      <c r="Q600" s="152" t="s">
        <v>2705</v>
      </c>
      <c r="R600" s="152" t="s">
        <v>2705</v>
      </c>
      <c r="S600" s="152" t="s">
        <v>2705</v>
      </c>
      <c r="T600" s="152" t="s">
        <v>2705</v>
      </c>
      <c r="U600" s="152" t="s">
        <v>2705</v>
      </c>
      <c r="V600" s="142" t="str" cm="1">
        <f t="array" ref="V600">IF(A600&lt;&gt;"",SUM(--(B600:U601 = "X")*$U$3,--(B600:U601 ="A")*$Q$3,--(B600:U601 ="B")*$R$3,--(B600:U601 ="C")*$S$3),"")</f>
        <v/>
      </c>
      <c r="X600" s="437" t="s">
        <v>7908</v>
      </c>
      <c r="Y600" s="437">
        <v>18</v>
      </c>
      <c r="Z600" s="436">
        <f>_xlfn.XLOOKUP(answers[[#This Row],[StudentID]],$A$7:$A$1418,$V$7:$V$1418)</f>
        <v>18</v>
      </c>
      <c r="AG600" s="142" t="s">
        <v>2705</v>
      </c>
      <c r="AH600" s="142" t="s">
        <v>2398</v>
      </c>
      <c r="AI600" s="142" t="s">
        <v>2705</v>
      </c>
      <c r="AJ600" s="142" t="s">
        <v>2398</v>
      </c>
      <c r="AK600" s="142" t="s">
        <v>2398</v>
      </c>
      <c r="AL600" s="142" t="s">
        <v>2398</v>
      </c>
      <c r="AM600" s="142" t="s">
        <v>2705</v>
      </c>
      <c r="AN600" s="142" t="s">
        <v>2398</v>
      </c>
      <c r="AO600" s="142" t="s">
        <v>2705</v>
      </c>
      <c r="AP600" s="142" t="s">
        <v>2705</v>
      </c>
      <c r="AQ600" s="142" t="s">
        <v>2705</v>
      </c>
      <c r="AR600" s="142" t="s">
        <v>2398</v>
      </c>
      <c r="AS600" s="142" t="s">
        <v>2675</v>
      </c>
      <c r="AT600" s="142" t="s">
        <v>2705</v>
      </c>
      <c r="AU600" s="142" t="s">
        <v>2398</v>
      </c>
      <c r="AV600" s="142" t="s">
        <v>2705</v>
      </c>
      <c r="AW600" s="142" t="s">
        <v>2705</v>
      </c>
      <c r="AX600" s="142" t="s">
        <v>2705</v>
      </c>
      <c r="AY600" s="142" t="s">
        <v>2705</v>
      </c>
      <c r="AZ600" s="142" t="s">
        <v>2705</v>
      </c>
    </row>
    <row r="601" spans="1:52" s="142" customFormat="1" ht="12.75" x14ac:dyDescent="0.2">
      <c r="A601" s="151" t="s">
        <v>7617</v>
      </c>
      <c r="B601" s="152" t="s">
        <v>2398</v>
      </c>
      <c r="C601" s="152" t="s">
        <v>2705</v>
      </c>
      <c r="D601" s="152" t="s">
        <v>2398</v>
      </c>
      <c r="E601" s="152" t="s">
        <v>2705</v>
      </c>
      <c r="F601" s="152" t="s">
        <v>2398</v>
      </c>
      <c r="G601" s="152" t="s">
        <v>2705</v>
      </c>
      <c r="H601" s="152" t="s">
        <v>2705</v>
      </c>
      <c r="I601" s="152" t="s">
        <v>2705</v>
      </c>
      <c r="J601" s="152" t="s">
        <v>2398</v>
      </c>
      <c r="K601" s="152" t="s">
        <v>2398</v>
      </c>
      <c r="L601" s="152" t="s">
        <v>2398</v>
      </c>
      <c r="M601" s="152" t="s">
        <v>2705</v>
      </c>
      <c r="N601" s="152" t="s">
        <v>2705</v>
      </c>
      <c r="O601" s="152" t="s">
        <v>2705</v>
      </c>
      <c r="P601" s="152" t="s">
        <v>2398</v>
      </c>
      <c r="Q601" s="152" t="s">
        <v>2398</v>
      </c>
      <c r="R601" s="152" t="s">
        <v>2705</v>
      </c>
      <c r="S601" s="152" t="s">
        <v>2705</v>
      </c>
      <c r="T601" s="152" t="s">
        <v>2398</v>
      </c>
      <c r="U601" s="152" t="s">
        <v>2705</v>
      </c>
      <c r="V601" s="142" cm="1">
        <f t="array" ref="V601">IF(A601&lt;&gt;"",SUM(--(B601:U602 = "X")*$U$3,--(B601:U602 ="A")*$Q$3,--(B601:U602 ="B")*$R$3,--(B601:U602 ="C")*$S$3),"")</f>
        <v>21.5</v>
      </c>
      <c r="X601" s="437" t="s">
        <v>7909</v>
      </c>
      <c r="Y601" s="437">
        <v>18.5</v>
      </c>
      <c r="Z601" s="436">
        <f>_xlfn.XLOOKUP(answers[[#This Row],[StudentID]],$A$7:$A$1418,$V$7:$V$1418)</f>
        <v>18.5</v>
      </c>
      <c r="AF601" s="142" t="s">
        <v>7617</v>
      </c>
      <c r="AG601" s="142" t="s">
        <v>2398</v>
      </c>
      <c r="AH601" s="142" t="s">
        <v>2705</v>
      </c>
      <c r="AI601" s="142" t="s">
        <v>2398</v>
      </c>
      <c r="AJ601" s="142" t="s">
        <v>2705</v>
      </c>
      <c r="AK601" s="142" t="s">
        <v>2398</v>
      </c>
      <c r="AL601" s="142" t="s">
        <v>2705</v>
      </c>
      <c r="AM601" s="142" t="s">
        <v>2705</v>
      </c>
      <c r="AN601" s="142" t="s">
        <v>2705</v>
      </c>
      <c r="AO601" s="142" t="s">
        <v>2398</v>
      </c>
      <c r="AP601" s="142" t="s">
        <v>2398</v>
      </c>
      <c r="AQ601" s="142" t="s">
        <v>2398</v>
      </c>
      <c r="AR601" s="142" t="s">
        <v>2705</v>
      </c>
      <c r="AS601" s="142" t="s">
        <v>2705</v>
      </c>
      <c r="AT601" s="142" t="s">
        <v>2705</v>
      </c>
      <c r="AU601" s="142" t="s">
        <v>2398</v>
      </c>
      <c r="AV601" s="142" t="s">
        <v>2398</v>
      </c>
      <c r="AW601" s="142" t="s">
        <v>2705</v>
      </c>
      <c r="AX601" s="142" t="s">
        <v>2705</v>
      </c>
      <c r="AY601" s="142" t="s">
        <v>2398</v>
      </c>
      <c r="AZ601" s="142" t="s">
        <v>2705</v>
      </c>
    </row>
    <row r="602" spans="1:52" s="142" customFormat="1" ht="12.75" x14ac:dyDescent="0.2">
      <c r="A602" s="151"/>
      <c r="B602" s="152" t="s">
        <v>2398</v>
      </c>
      <c r="C602" s="152" t="s">
        <v>2398</v>
      </c>
      <c r="D602" s="152" t="s">
        <v>2398</v>
      </c>
      <c r="E602" s="152" t="s">
        <v>1435</v>
      </c>
      <c r="F602" s="152" t="s">
        <v>2398</v>
      </c>
      <c r="G602" s="152" t="s">
        <v>2705</v>
      </c>
      <c r="H602" s="152" t="s">
        <v>2705</v>
      </c>
      <c r="I602" s="152" t="s">
        <v>2705</v>
      </c>
      <c r="J602" s="152" t="s">
        <v>2705</v>
      </c>
      <c r="K602" s="152" t="s">
        <v>2705</v>
      </c>
      <c r="L602" s="152" t="s">
        <v>2675</v>
      </c>
      <c r="M602" s="152" t="s">
        <v>2705</v>
      </c>
      <c r="N602" s="152" t="s">
        <v>2705</v>
      </c>
      <c r="O602" s="152" t="s">
        <v>2705</v>
      </c>
      <c r="P602" s="152" t="s">
        <v>2705</v>
      </c>
      <c r="Q602" s="152" t="s">
        <v>2705</v>
      </c>
      <c r="R602" s="152" t="s">
        <v>1435</v>
      </c>
      <c r="S602" s="152" t="s">
        <v>2705</v>
      </c>
      <c r="T602" s="152" t="s">
        <v>2705</v>
      </c>
      <c r="U602" s="152" t="s">
        <v>2398</v>
      </c>
      <c r="V602" s="142" t="str" cm="1">
        <f t="array" ref="V602">IF(A602&lt;&gt;"",SUM(--(B602:U603 = "X")*$U$3,--(B602:U603 ="A")*$Q$3,--(B602:U603 ="B")*$R$3,--(B602:U603 ="C")*$S$3),"")</f>
        <v/>
      </c>
      <c r="X602" s="437" t="s">
        <v>7910</v>
      </c>
      <c r="Y602" s="437">
        <v>20</v>
      </c>
      <c r="Z602" s="436">
        <f>_xlfn.XLOOKUP(answers[[#This Row],[StudentID]],$A$7:$A$1418,$V$7:$V$1418)</f>
        <v>20</v>
      </c>
      <c r="AG602" s="142" t="s">
        <v>2398</v>
      </c>
      <c r="AH602" s="142" t="s">
        <v>2398</v>
      </c>
      <c r="AI602" s="142" t="s">
        <v>2398</v>
      </c>
      <c r="AJ602" s="142" t="s">
        <v>1435</v>
      </c>
      <c r="AK602" s="142" t="s">
        <v>2398</v>
      </c>
      <c r="AL602" s="142" t="s">
        <v>2705</v>
      </c>
      <c r="AM602" s="142" t="s">
        <v>2705</v>
      </c>
      <c r="AN602" s="142" t="s">
        <v>2705</v>
      </c>
      <c r="AO602" s="142" t="s">
        <v>2705</v>
      </c>
      <c r="AP602" s="142" t="s">
        <v>2705</v>
      </c>
      <c r="AQ602" s="142" t="s">
        <v>2675</v>
      </c>
      <c r="AR602" s="142" t="s">
        <v>2705</v>
      </c>
      <c r="AS602" s="142" t="s">
        <v>2705</v>
      </c>
      <c r="AT602" s="142" t="s">
        <v>2705</v>
      </c>
      <c r="AU602" s="142" t="s">
        <v>2705</v>
      </c>
      <c r="AV602" s="142" t="s">
        <v>2705</v>
      </c>
      <c r="AW602" s="142" t="s">
        <v>1435</v>
      </c>
      <c r="AX602" s="142" t="s">
        <v>2705</v>
      </c>
      <c r="AY602" s="142" t="s">
        <v>2705</v>
      </c>
      <c r="AZ602" s="142" t="s">
        <v>2398</v>
      </c>
    </row>
    <row r="603" spans="1:52" s="142" customFormat="1" ht="12.75" x14ac:dyDescent="0.2">
      <c r="A603" s="151" t="s">
        <v>7618</v>
      </c>
      <c r="B603" s="152" t="s">
        <v>2705</v>
      </c>
      <c r="C603" s="152" t="s">
        <v>2705</v>
      </c>
      <c r="D603" s="152" t="s">
        <v>2398</v>
      </c>
      <c r="E603" s="152" t="s">
        <v>2705</v>
      </c>
      <c r="F603" s="152" t="s">
        <v>2705</v>
      </c>
      <c r="G603" s="152" t="s">
        <v>2705</v>
      </c>
      <c r="H603" s="152" t="s">
        <v>2705</v>
      </c>
      <c r="I603" s="152" t="s">
        <v>2397</v>
      </c>
      <c r="J603" s="152" t="s">
        <v>2398</v>
      </c>
      <c r="K603" s="152" t="s">
        <v>1435</v>
      </c>
      <c r="L603" s="152" t="s">
        <v>1435</v>
      </c>
      <c r="M603" s="152" t="s">
        <v>2705</v>
      </c>
      <c r="N603" s="152" t="s">
        <v>2705</v>
      </c>
      <c r="O603" s="152" t="s">
        <v>2705</v>
      </c>
      <c r="P603" s="152" t="s">
        <v>2705</v>
      </c>
      <c r="Q603" s="152" t="s">
        <v>2705</v>
      </c>
      <c r="R603" s="152" t="s">
        <v>2705</v>
      </c>
      <c r="S603" s="152" t="s">
        <v>2675</v>
      </c>
      <c r="T603" s="152" t="s">
        <v>2398</v>
      </c>
      <c r="U603" s="152" t="s">
        <v>2705</v>
      </c>
      <c r="V603" s="142" cm="1">
        <f t="array" ref="V603">IF(A603&lt;&gt;"",SUM(--(B603:U604 = "X")*$U$3,--(B603:U604 ="A")*$Q$3,--(B603:U604 ="B")*$R$3,--(B603:U604 ="C")*$S$3),"")</f>
        <v>25.5</v>
      </c>
      <c r="X603" s="437" t="s">
        <v>7911</v>
      </c>
      <c r="Y603" s="437">
        <v>13</v>
      </c>
      <c r="Z603" s="436">
        <f>_xlfn.XLOOKUP(answers[[#This Row],[StudentID]],$A$7:$A$1418,$V$7:$V$1418)</f>
        <v>13</v>
      </c>
      <c r="AF603" s="142" t="s">
        <v>7618</v>
      </c>
      <c r="AG603" s="142" t="s">
        <v>2705</v>
      </c>
      <c r="AH603" s="142" t="s">
        <v>2705</v>
      </c>
      <c r="AI603" s="142" t="s">
        <v>2398</v>
      </c>
      <c r="AJ603" s="142" t="s">
        <v>2705</v>
      </c>
      <c r="AK603" s="142" t="s">
        <v>2705</v>
      </c>
      <c r="AL603" s="142" t="s">
        <v>2705</v>
      </c>
      <c r="AM603" s="142" t="s">
        <v>2705</v>
      </c>
      <c r="AN603" s="142" t="s">
        <v>2397</v>
      </c>
      <c r="AO603" s="142" t="s">
        <v>2398</v>
      </c>
      <c r="AP603" s="142" t="s">
        <v>1435</v>
      </c>
      <c r="AQ603" s="142" t="s">
        <v>1435</v>
      </c>
      <c r="AR603" s="142" t="s">
        <v>2705</v>
      </c>
      <c r="AS603" s="142" t="s">
        <v>2705</v>
      </c>
      <c r="AT603" s="142" t="s">
        <v>2705</v>
      </c>
      <c r="AU603" s="142" t="s">
        <v>2705</v>
      </c>
      <c r="AV603" s="142" t="s">
        <v>2705</v>
      </c>
      <c r="AW603" s="142" t="s">
        <v>2705</v>
      </c>
      <c r="AX603" s="142" t="s">
        <v>2675</v>
      </c>
      <c r="AY603" s="142" t="s">
        <v>2398</v>
      </c>
      <c r="AZ603" s="142" t="s">
        <v>2705</v>
      </c>
    </row>
    <row r="604" spans="1:52" s="142" customFormat="1" ht="12.75" x14ac:dyDescent="0.2">
      <c r="A604" s="151"/>
      <c r="B604" s="152" t="s">
        <v>2398</v>
      </c>
      <c r="C604" s="152" t="s">
        <v>2705</v>
      </c>
      <c r="D604" s="152" t="s">
        <v>2705</v>
      </c>
      <c r="E604" s="152" t="s">
        <v>2705</v>
      </c>
      <c r="F604" s="152" t="s">
        <v>2705</v>
      </c>
      <c r="G604" s="152" t="s">
        <v>2705</v>
      </c>
      <c r="H604" s="152" t="s">
        <v>2705</v>
      </c>
      <c r="I604" s="152" t="s">
        <v>1435</v>
      </c>
      <c r="J604" s="152" t="s">
        <v>2398</v>
      </c>
      <c r="K604" s="152" t="s">
        <v>2705</v>
      </c>
      <c r="L604" s="152" t="s">
        <v>2705</v>
      </c>
      <c r="M604" s="152" t="s">
        <v>2705</v>
      </c>
      <c r="N604" s="152" t="s">
        <v>2705</v>
      </c>
      <c r="O604" s="152" t="s">
        <v>2705</v>
      </c>
      <c r="P604" s="152" t="s">
        <v>2675</v>
      </c>
      <c r="Q604" s="152" t="s">
        <v>2705</v>
      </c>
      <c r="R604" s="152" t="s">
        <v>2705</v>
      </c>
      <c r="S604" s="152" t="s">
        <v>2705</v>
      </c>
      <c r="T604" s="152" t="s">
        <v>2705</v>
      </c>
      <c r="U604" s="152" t="s">
        <v>2398</v>
      </c>
      <c r="V604" s="142" t="str" cm="1">
        <f t="array" ref="V604">IF(A604&lt;&gt;"",SUM(--(B604:U605 = "X")*$U$3,--(B604:U605 ="A")*$Q$3,--(B604:U605 ="B")*$R$3,--(B604:U605 ="C")*$S$3),"")</f>
        <v/>
      </c>
      <c r="X604" s="437" t="s">
        <v>7912</v>
      </c>
      <c r="Y604" s="437">
        <v>14.5</v>
      </c>
      <c r="Z604" s="436">
        <f>_xlfn.XLOOKUP(answers[[#This Row],[StudentID]],$A$7:$A$1418,$V$7:$V$1418)</f>
        <v>14.5</v>
      </c>
      <c r="AG604" s="142" t="s">
        <v>2398</v>
      </c>
      <c r="AH604" s="142" t="s">
        <v>2705</v>
      </c>
      <c r="AI604" s="142" t="s">
        <v>2705</v>
      </c>
      <c r="AJ604" s="142" t="s">
        <v>2705</v>
      </c>
      <c r="AK604" s="142" t="s">
        <v>2705</v>
      </c>
      <c r="AL604" s="142" t="s">
        <v>2705</v>
      </c>
      <c r="AM604" s="142" t="s">
        <v>2705</v>
      </c>
      <c r="AN604" s="142" t="s">
        <v>1435</v>
      </c>
      <c r="AO604" s="142" t="s">
        <v>2398</v>
      </c>
      <c r="AP604" s="142" t="s">
        <v>2705</v>
      </c>
      <c r="AQ604" s="142" t="s">
        <v>2705</v>
      </c>
      <c r="AR604" s="142" t="s">
        <v>2705</v>
      </c>
      <c r="AS604" s="142" t="s">
        <v>2705</v>
      </c>
      <c r="AT604" s="142" t="s">
        <v>2705</v>
      </c>
      <c r="AU604" s="142" t="s">
        <v>2675</v>
      </c>
      <c r="AV604" s="142" t="s">
        <v>2705</v>
      </c>
      <c r="AW604" s="142" t="s">
        <v>2705</v>
      </c>
      <c r="AX604" s="142" t="s">
        <v>2705</v>
      </c>
      <c r="AY604" s="142" t="s">
        <v>2705</v>
      </c>
      <c r="AZ604" s="142" t="s">
        <v>2398</v>
      </c>
    </row>
    <row r="605" spans="1:52" s="142" customFormat="1" ht="12.75" x14ac:dyDescent="0.2">
      <c r="A605" s="151" t="s">
        <v>7619</v>
      </c>
      <c r="B605" s="152" t="s">
        <v>2398</v>
      </c>
      <c r="C605" s="152" t="s">
        <v>2675</v>
      </c>
      <c r="D605" s="152" t="s">
        <v>2705</v>
      </c>
      <c r="E605" s="152" t="s">
        <v>2705</v>
      </c>
      <c r="F605" s="152" t="s">
        <v>2398</v>
      </c>
      <c r="G605" s="152" t="s">
        <v>2398</v>
      </c>
      <c r="H605" s="152" t="s">
        <v>2705</v>
      </c>
      <c r="I605" s="152" t="s">
        <v>2398</v>
      </c>
      <c r="J605" s="152" t="s">
        <v>2705</v>
      </c>
      <c r="K605" s="152" t="s">
        <v>2398</v>
      </c>
      <c r="L605" s="152" t="s">
        <v>2705</v>
      </c>
      <c r="M605" s="152" t="s">
        <v>2398</v>
      </c>
      <c r="N605" s="152" t="s">
        <v>2705</v>
      </c>
      <c r="O605" s="152" t="s">
        <v>1435</v>
      </c>
      <c r="P605" s="152" t="s">
        <v>2705</v>
      </c>
      <c r="Q605" s="152" t="s">
        <v>2398</v>
      </c>
      <c r="R605" s="152" t="s">
        <v>2675</v>
      </c>
      <c r="S605" s="152" t="s">
        <v>2398</v>
      </c>
      <c r="T605" s="152" t="s">
        <v>2705</v>
      </c>
      <c r="U605" s="152" t="s">
        <v>2398</v>
      </c>
      <c r="V605" s="142" cm="1">
        <f t="array" ref="V605">IF(A605&lt;&gt;"",SUM(--(B605:U606 = "X")*$U$3,--(B605:U606 ="A")*$Q$3,--(B605:U606 ="B")*$R$3,--(B605:U606 ="C")*$S$3),"")</f>
        <v>19.5</v>
      </c>
      <c r="X605" s="437" t="s">
        <v>7913</v>
      </c>
      <c r="Y605" s="437">
        <v>25.5</v>
      </c>
      <c r="Z605" s="436">
        <f>_xlfn.XLOOKUP(answers[[#This Row],[StudentID]],$A$7:$A$1418,$V$7:$V$1418)</f>
        <v>25.5</v>
      </c>
      <c r="AF605" s="142" t="s">
        <v>7619</v>
      </c>
      <c r="AG605" s="142" t="s">
        <v>2398</v>
      </c>
      <c r="AH605" s="142" t="s">
        <v>2675</v>
      </c>
      <c r="AI605" s="142" t="s">
        <v>2705</v>
      </c>
      <c r="AJ605" s="142" t="s">
        <v>2705</v>
      </c>
      <c r="AK605" s="142" t="s">
        <v>2398</v>
      </c>
      <c r="AL605" s="142" t="s">
        <v>2398</v>
      </c>
      <c r="AM605" s="142" t="s">
        <v>2705</v>
      </c>
      <c r="AN605" s="142" t="s">
        <v>2398</v>
      </c>
      <c r="AO605" s="142" t="s">
        <v>2705</v>
      </c>
      <c r="AP605" s="142" t="s">
        <v>2398</v>
      </c>
      <c r="AQ605" s="142" t="s">
        <v>2705</v>
      </c>
      <c r="AR605" s="142" t="s">
        <v>2398</v>
      </c>
      <c r="AS605" s="142" t="s">
        <v>2705</v>
      </c>
      <c r="AT605" s="142" t="s">
        <v>1435</v>
      </c>
      <c r="AU605" s="142" t="s">
        <v>2705</v>
      </c>
      <c r="AV605" s="142" t="s">
        <v>2398</v>
      </c>
      <c r="AW605" s="142" t="s">
        <v>2675</v>
      </c>
      <c r="AX605" s="142" t="s">
        <v>2398</v>
      </c>
      <c r="AY605" s="142" t="s">
        <v>2705</v>
      </c>
      <c r="AZ605" s="142" t="s">
        <v>2398</v>
      </c>
    </row>
    <row r="606" spans="1:52" s="142" customFormat="1" ht="12.75" x14ac:dyDescent="0.2">
      <c r="A606" s="151"/>
      <c r="B606" s="152" t="s">
        <v>2705</v>
      </c>
      <c r="C606" s="152" t="s">
        <v>2705</v>
      </c>
      <c r="D606" s="152" t="s">
        <v>2705</v>
      </c>
      <c r="E606" s="152" t="s">
        <v>2705</v>
      </c>
      <c r="F606" s="152" t="s">
        <v>2705</v>
      </c>
      <c r="G606" s="152" t="s">
        <v>2705</v>
      </c>
      <c r="H606" s="152" t="s">
        <v>2705</v>
      </c>
      <c r="I606" s="152" t="s">
        <v>2705</v>
      </c>
      <c r="J606" s="152" t="s">
        <v>2398</v>
      </c>
      <c r="K606" s="152" t="s">
        <v>2705</v>
      </c>
      <c r="L606" s="152" t="s">
        <v>2397</v>
      </c>
      <c r="M606" s="152" t="s">
        <v>2705</v>
      </c>
      <c r="N606" s="152" t="s">
        <v>2398</v>
      </c>
      <c r="O606" s="152" t="s">
        <v>2705</v>
      </c>
      <c r="P606" s="152" t="s">
        <v>2705</v>
      </c>
      <c r="Q606" s="152" t="s">
        <v>2705</v>
      </c>
      <c r="R606" s="152" t="s">
        <v>1435</v>
      </c>
      <c r="S606" s="152" t="s">
        <v>2675</v>
      </c>
      <c r="T606" s="152" t="s">
        <v>2397</v>
      </c>
      <c r="U606" s="152" t="s">
        <v>2705</v>
      </c>
      <c r="V606" s="142" t="str" cm="1">
        <f t="array" ref="V606">IF(A606&lt;&gt;"",SUM(--(B606:U607 = "X")*$U$3,--(B606:U607 ="A")*$Q$3,--(B606:U607 ="B")*$R$3,--(B606:U607 ="C")*$S$3),"")</f>
        <v/>
      </c>
      <c r="X606" s="437" t="s">
        <v>7914</v>
      </c>
      <c r="Y606" s="437">
        <v>16.5</v>
      </c>
      <c r="Z606" s="436">
        <f>_xlfn.XLOOKUP(answers[[#This Row],[StudentID]],$A$7:$A$1418,$V$7:$V$1418)</f>
        <v>16.5</v>
      </c>
      <c r="AG606" s="142" t="s">
        <v>2705</v>
      </c>
      <c r="AH606" s="142" t="s">
        <v>2705</v>
      </c>
      <c r="AI606" s="142" t="s">
        <v>2705</v>
      </c>
      <c r="AJ606" s="142" t="s">
        <v>2705</v>
      </c>
      <c r="AK606" s="142" t="s">
        <v>2705</v>
      </c>
      <c r="AL606" s="142" t="s">
        <v>2705</v>
      </c>
      <c r="AM606" s="142" t="s">
        <v>2705</v>
      </c>
      <c r="AN606" s="142" t="s">
        <v>2705</v>
      </c>
      <c r="AO606" s="142" t="s">
        <v>2398</v>
      </c>
      <c r="AP606" s="142" t="s">
        <v>2705</v>
      </c>
      <c r="AQ606" s="142" t="s">
        <v>2397</v>
      </c>
      <c r="AR606" s="142" t="s">
        <v>2705</v>
      </c>
      <c r="AS606" s="142" t="s">
        <v>2398</v>
      </c>
      <c r="AT606" s="142" t="s">
        <v>2705</v>
      </c>
      <c r="AU606" s="142" t="s">
        <v>2705</v>
      </c>
      <c r="AV606" s="142" t="s">
        <v>2705</v>
      </c>
      <c r="AW606" s="142" t="s">
        <v>1435</v>
      </c>
      <c r="AX606" s="142" t="s">
        <v>2675</v>
      </c>
      <c r="AY606" s="142" t="s">
        <v>2397</v>
      </c>
      <c r="AZ606" s="142" t="s">
        <v>2705</v>
      </c>
    </row>
    <row r="607" spans="1:52" s="142" customFormat="1" ht="12.75" x14ac:dyDescent="0.2">
      <c r="A607" s="151" t="s">
        <v>7620</v>
      </c>
      <c r="B607" s="152" t="s">
        <v>1435</v>
      </c>
      <c r="C607" s="152" t="s">
        <v>1435</v>
      </c>
      <c r="D607" s="152" t="s">
        <v>2705</v>
      </c>
      <c r="E607" s="152" t="s">
        <v>2398</v>
      </c>
      <c r="F607" s="152" t="s">
        <v>2398</v>
      </c>
      <c r="G607" s="152" t="s">
        <v>1435</v>
      </c>
      <c r="H607" s="152" t="s">
        <v>2675</v>
      </c>
      <c r="I607" s="152" t="s">
        <v>2705</v>
      </c>
      <c r="J607" s="152" t="s">
        <v>2398</v>
      </c>
      <c r="K607" s="152" t="s">
        <v>2398</v>
      </c>
      <c r="L607" s="152" t="s">
        <v>2675</v>
      </c>
      <c r="M607" s="152" t="s">
        <v>2705</v>
      </c>
      <c r="N607" s="152" t="s">
        <v>2398</v>
      </c>
      <c r="O607" s="152" t="s">
        <v>2705</v>
      </c>
      <c r="P607" s="152" t="s">
        <v>2398</v>
      </c>
      <c r="Q607" s="152" t="s">
        <v>2675</v>
      </c>
      <c r="R607" s="152" t="s">
        <v>2705</v>
      </c>
      <c r="S607" s="152" t="s">
        <v>2705</v>
      </c>
      <c r="T607" s="152" t="s">
        <v>2398</v>
      </c>
      <c r="U607" s="152" t="s">
        <v>2398</v>
      </c>
      <c r="V607" s="142" cm="1">
        <f t="array" ref="V607">IF(A607&lt;&gt;"",SUM(--(B607:U608 = "X")*$U$3,--(B607:U608 ="A")*$Q$3,--(B607:U608 ="B")*$R$3,--(B607:U608 ="C")*$S$3),"")</f>
        <v>4.5</v>
      </c>
      <c r="X607" s="437" t="s">
        <v>7915</v>
      </c>
      <c r="Y607" s="437">
        <v>13</v>
      </c>
      <c r="Z607" s="436">
        <f>_xlfn.XLOOKUP(answers[[#This Row],[StudentID]],$A$7:$A$1418,$V$7:$V$1418)</f>
        <v>13</v>
      </c>
      <c r="AF607" s="142" t="s">
        <v>7620</v>
      </c>
      <c r="AG607" s="142" t="s">
        <v>1435</v>
      </c>
      <c r="AH607" s="142" t="s">
        <v>1435</v>
      </c>
      <c r="AI607" s="142" t="s">
        <v>2705</v>
      </c>
      <c r="AJ607" s="142" t="s">
        <v>2398</v>
      </c>
      <c r="AK607" s="142" t="s">
        <v>2398</v>
      </c>
      <c r="AL607" s="142" t="s">
        <v>1435</v>
      </c>
      <c r="AM607" s="142" t="s">
        <v>2675</v>
      </c>
      <c r="AN607" s="142" t="s">
        <v>2705</v>
      </c>
      <c r="AO607" s="142" t="s">
        <v>2398</v>
      </c>
      <c r="AP607" s="142" t="s">
        <v>2398</v>
      </c>
      <c r="AQ607" s="142" t="s">
        <v>2675</v>
      </c>
      <c r="AR607" s="142" t="s">
        <v>2705</v>
      </c>
      <c r="AS607" s="142" t="s">
        <v>2398</v>
      </c>
      <c r="AT607" s="142" t="s">
        <v>2705</v>
      </c>
      <c r="AU607" s="142" t="s">
        <v>2398</v>
      </c>
      <c r="AV607" s="142" t="s">
        <v>2675</v>
      </c>
      <c r="AW607" s="142" t="s">
        <v>2705</v>
      </c>
      <c r="AX607" s="142" t="s">
        <v>2705</v>
      </c>
      <c r="AY607" s="142" t="s">
        <v>2398</v>
      </c>
      <c r="AZ607" s="142" t="s">
        <v>2398</v>
      </c>
    </row>
    <row r="608" spans="1:52" s="142" customFormat="1" ht="12.75" x14ac:dyDescent="0.2">
      <c r="A608" s="151"/>
      <c r="B608" s="152" t="s">
        <v>1435</v>
      </c>
      <c r="C608" s="152" t="s">
        <v>2398</v>
      </c>
      <c r="D608" s="152" t="s">
        <v>1435</v>
      </c>
      <c r="E608" s="152" t="s">
        <v>2675</v>
      </c>
      <c r="F608" s="152" t="s">
        <v>2398</v>
      </c>
      <c r="G608" s="152" t="s">
        <v>2705</v>
      </c>
      <c r="H608" s="152" t="s">
        <v>1435</v>
      </c>
      <c r="I608" s="152" t="s">
        <v>1435</v>
      </c>
      <c r="J608" s="152" t="s">
        <v>2705</v>
      </c>
      <c r="K608" s="152" t="s">
        <v>2398</v>
      </c>
      <c r="L608" s="152" t="s">
        <v>2398</v>
      </c>
      <c r="M608" s="152" t="s">
        <v>2398</v>
      </c>
      <c r="N608" s="152" t="s">
        <v>2705</v>
      </c>
      <c r="O608" s="152" t="s">
        <v>2398</v>
      </c>
      <c r="P608" s="152" t="s">
        <v>2675</v>
      </c>
      <c r="Q608" s="152" t="s">
        <v>2398</v>
      </c>
      <c r="R608" s="152" t="s">
        <v>1435</v>
      </c>
      <c r="S608" s="152" t="s">
        <v>2705</v>
      </c>
      <c r="T608" s="152" t="s">
        <v>2705</v>
      </c>
      <c r="U608" s="152" t="s">
        <v>2398</v>
      </c>
      <c r="V608" s="142" t="str" cm="1">
        <f t="array" ref="V608">IF(A608&lt;&gt;"",SUM(--(B608:U609 = "X")*$U$3,--(B608:U609 ="A")*$Q$3,--(B608:U609 ="B")*$R$3,--(B608:U609 ="C")*$S$3),"")</f>
        <v/>
      </c>
      <c r="X608" s="437" t="s">
        <v>7916</v>
      </c>
      <c r="Y608" s="437">
        <v>28.5</v>
      </c>
      <c r="Z608" s="436">
        <f>_xlfn.XLOOKUP(answers[[#This Row],[StudentID]],$A$7:$A$1418,$V$7:$V$1418)</f>
        <v>28.5</v>
      </c>
      <c r="AG608" s="142" t="s">
        <v>1435</v>
      </c>
      <c r="AH608" s="142" t="s">
        <v>2398</v>
      </c>
      <c r="AI608" s="142" t="s">
        <v>1435</v>
      </c>
      <c r="AJ608" s="142" t="s">
        <v>2675</v>
      </c>
      <c r="AK608" s="142" t="s">
        <v>2398</v>
      </c>
      <c r="AL608" s="142" t="s">
        <v>2705</v>
      </c>
      <c r="AM608" s="142" t="s">
        <v>1435</v>
      </c>
      <c r="AN608" s="142" t="s">
        <v>1435</v>
      </c>
      <c r="AO608" s="142" t="s">
        <v>2705</v>
      </c>
      <c r="AP608" s="142" t="s">
        <v>2398</v>
      </c>
      <c r="AQ608" s="142" t="s">
        <v>2398</v>
      </c>
      <c r="AR608" s="142" t="s">
        <v>2398</v>
      </c>
      <c r="AS608" s="142" t="s">
        <v>2705</v>
      </c>
      <c r="AT608" s="142" t="s">
        <v>2398</v>
      </c>
      <c r="AU608" s="142" t="s">
        <v>2675</v>
      </c>
      <c r="AV608" s="142" t="s">
        <v>2398</v>
      </c>
      <c r="AW608" s="142" t="s">
        <v>1435</v>
      </c>
      <c r="AX608" s="142" t="s">
        <v>2705</v>
      </c>
      <c r="AY608" s="142" t="s">
        <v>2705</v>
      </c>
      <c r="AZ608" s="142" t="s">
        <v>2398</v>
      </c>
    </row>
    <row r="609" spans="1:52" s="142" customFormat="1" ht="12.75" x14ac:dyDescent="0.2">
      <c r="A609" s="151" t="s">
        <v>7621</v>
      </c>
      <c r="B609" s="152" t="s">
        <v>2705</v>
      </c>
      <c r="C609" s="152" t="s">
        <v>2675</v>
      </c>
      <c r="D609" s="152" t="s">
        <v>2705</v>
      </c>
      <c r="E609" s="152" t="s">
        <v>2398</v>
      </c>
      <c r="F609" s="152" t="s">
        <v>2705</v>
      </c>
      <c r="G609" s="152" t="s">
        <v>2705</v>
      </c>
      <c r="H609" s="152" t="s">
        <v>2705</v>
      </c>
      <c r="I609" s="152" t="s">
        <v>2705</v>
      </c>
      <c r="J609" s="152" t="s">
        <v>2705</v>
      </c>
      <c r="K609" s="152" t="s">
        <v>2705</v>
      </c>
      <c r="L609" s="152" t="s">
        <v>2705</v>
      </c>
      <c r="M609" s="152" t="s">
        <v>2705</v>
      </c>
      <c r="N609" s="152" t="s">
        <v>2705</v>
      </c>
      <c r="O609" s="152" t="s">
        <v>2398</v>
      </c>
      <c r="P609" s="152" t="s">
        <v>2398</v>
      </c>
      <c r="Q609" s="152" t="s">
        <v>2398</v>
      </c>
      <c r="R609" s="152" t="s">
        <v>2398</v>
      </c>
      <c r="S609" s="152" t="s">
        <v>2398</v>
      </c>
      <c r="T609" s="152" t="s">
        <v>2398</v>
      </c>
      <c r="U609" s="152" t="s">
        <v>2705</v>
      </c>
      <c r="V609" s="142" cm="1">
        <f t="array" ref="V609">IF(A609&lt;&gt;"",SUM(--(B609:U610 = "X")*$U$3,--(B609:U610 ="A")*$Q$3,--(B609:U610 ="B")*$R$3,--(B609:U610 ="C")*$S$3),"")</f>
        <v>22.5</v>
      </c>
      <c r="X609" s="437" t="s">
        <v>7917</v>
      </c>
      <c r="Y609" s="437">
        <v>17</v>
      </c>
      <c r="Z609" s="436">
        <f>_xlfn.XLOOKUP(answers[[#This Row],[StudentID]],$A$7:$A$1418,$V$7:$V$1418)</f>
        <v>17</v>
      </c>
      <c r="AF609" s="142" t="s">
        <v>7621</v>
      </c>
      <c r="AG609" s="142" t="s">
        <v>2705</v>
      </c>
      <c r="AH609" s="142" t="s">
        <v>2675</v>
      </c>
      <c r="AI609" s="142" t="s">
        <v>2705</v>
      </c>
      <c r="AJ609" s="142" t="s">
        <v>2398</v>
      </c>
      <c r="AK609" s="142" t="s">
        <v>2705</v>
      </c>
      <c r="AL609" s="142" t="s">
        <v>2705</v>
      </c>
      <c r="AM609" s="142" t="s">
        <v>2705</v>
      </c>
      <c r="AN609" s="142" t="s">
        <v>2705</v>
      </c>
      <c r="AO609" s="142" t="s">
        <v>2705</v>
      </c>
      <c r="AP609" s="142" t="s">
        <v>2705</v>
      </c>
      <c r="AQ609" s="142" t="s">
        <v>2705</v>
      </c>
      <c r="AR609" s="142" t="s">
        <v>2705</v>
      </c>
      <c r="AS609" s="142" t="s">
        <v>2705</v>
      </c>
      <c r="AT609" s="142" t="s">
        <v>2398</v>
      </c>
      <c r="AU609" s="142" t="s">
        <v>2398</v>
      </c>
      <c r="AV609" s="142" t="s">
        <v>2398</v>
      </c>
      <c r="AW609" s="142" t="s">
        <v>2398</v>
      </c>
      <c r="AX609" s="142" t="s">
        <v>2398</v>
      </c>
      <c r="AY609" s="142" t="s">
        <v>2398</v>
      </c>
      <c r="AZ609" s="142" t="s">
        <v>2705</v>
      </c>
    </row>
    <row r="610" spans="1:52" s="142" customFormat="1" ht="12.75" x14ac:dyDescent="0.2">
      <c r="A610" s="151"/>
      <c r="B610" s="152" t="s">
        <v>2705</v>
      </c>
      <c r="C610" s="152" t="s">
        <v>2705</v>
      </c>
      <c r="D610" s="152" t="s">
        <v>2705</v>
      </c>
      <c r="E610" s="152" t="s">
        <v>2398</v>
      </c>
      <c r="F610" s="152" t="s">
        <v>2675</v>
      </c>
      <c r="G610" s="152" t="s">
        <v>2398</v>
      </c>
      <c r="H610" s="152" t="s">
        <v>2398</v>
      </c>
      <c r="I610" s="152" t="s">
        <v>2705</v>
      </c>
      <c r="J610" s="152" t="s">
        <v>2705</v>
      </c>
      <c r="K610" s="152" t="s">
        <v>2705</v>
      </c>
      <c r="L610" s="152" t="s">
        <v>2705</v>
      </c>
      <c r="M610" s="152" t="s">
        <v>2705</v>
      </c>
      <c r="N610" s="152" t="s">
        <v>2398</v>
      </c>
      <c r="O610" s="152" t="s">
        <v>1435</v>
      </c>
      <c r="P610" s="152" t="s">
        <v>2705</v>
      </c>
      <c r="Q610" s="152" t="s">
        <v>2705</v>
      </c>
      <c r="R610" s="152" t="s">
        <v>2398</v>
      </c>
      <c r="S610" s="152" t="s">
        <v>2398</v>
      </c>
      <c r="T610" s="152" t="s">
        <v>2705</v>
      </c>
      <c r="U610" s="152" t="s">
        <v>2705</v>
      </c>
      <c r="V610" s="142" t="str" cm="1">
        <f t="array" ref="V610">IF(A610&lt;&gt;"",SUM(--(B610:U611 = "X")*$U$3,--(B610:U611 ="A")*$Q$3,--(B610:U611 ="B")*$R$3,--(B610:U611 ="C")*$S$3),"")</f>
        <v/>
      </c>
      <c r="X610" s="437" t="s">
        <v>7918</v>
      </c>
      <c r="Y610" s="437">
        <v>3</v>
      </c>
      <c r="Z610" s="436">
        <f>_xlfn.XLOOKUP(answers[[#This Row],[StudentID]],$A$7:$A$1418,$V$7:$V$1418)</f>
        <v>3</v>
      </c>
      <c r="AG610" s="142" t="s">
        <v>2705</v>
      </c>
      <c r="AH610" s="142" t="s">
        <v>2705</v>
      </c>
      <c r="AI610" s="142" t="s">
        <v>2705</v>
      </c>
      <c r="AJ610" s="142" t="s">
        <v>2398</v>
      </c>
      <c r="AK610" s="142" t="s">
        <v>2675</v>
      </c>
      <c r="AL610" s="142" t="s">
        <v>2398</v>
      </c>
      <c r="AM610" s="142" t="s">
        <v>2398</v>
      </c>
      <c r="AN610" s="142" t="s">
        <v>2705</v>
      </c>
      <c r="AO610" s="142" t="s">
        <v>2705</v>
      </c>
      <c r="AP610" s="142" t="s">
        <v>2705</v>
      </c>
      <c r="AQ610" s="142" t="s">
        <v>2705</v>
      </c>
      <c r="AR610" s="142" t="s">
        <v>2705</v>
      </c>
      <c r="AS610" s="142" t="s">
        <v>2398</v>
      </c>
      <c r="AT610" s="142" t="s">
        <v>1435</v>
      </c>
      <c r="AU610" s="142" t="s">
        <v>2705</v>
      </c>
      <c r="AV610" s="142" t="s">
        <v>2705</v>
      </c>
      <c r="AW610" s="142" t="s">
        <v>2398</v>
      </c>
      <c r="AX610" s="142" t="s">
        <v>2398</v>
      </c>
      <c r="AY610" s="142" t="s">
        <v>2705</v>
      </c>
      <c r="AZ610" s="142" t="s">
        <v>2705</v>
      </c>
    </row>
    <row r="611" spans="1:52" s="142" customFormat="1" ht="12.75" x14ac:dyDescent="0.2">
      <c r="A611" s="151" t="s">
        <v>7622</v>
      </c>
      <c r="B611" s="152" t="s">
        <v>2397</v>
      </c>
      <c r="C611" s="152" t="s">
        <v>2397</v>
      </c>
      <c r="D611" s="152" t="s">
        <v>2705</v>
      </c>
      <c r="E611" s="152" t="s">
        <v>1435</v>
      </c>
      <c r="F611" s="152" t="s">
        <v>2705</v>
      </c>
      <c r="G611" s="152" t="s">
        <v>2705</v>
      </c>
      <c r="H611" s="152" t="s">
        <v>2705</v>
      </c>
      <c r="I611" s="152" t="s">
        <v>2675</v>
      </c>
      <c r="J611" s="152" t="s">
        <v>2398</v>
      </c>
      <c r="K611" s="152" t="s">
        <v>2398</v>
      </c>
      <c r="L611" s="152" t="s">
        <v>2705</v>
      </c>
      <c r="M611" s="152" t="s">
        <v>2705</v>
      </c>
      <c r="N611" s="152" t="s">
        <v>1435</v>
      </c>
      <c r="O611" s="152" t="s">
        <v>2398</v>
      </c>
      <c r="P611" s="152" t="s">
        <v>2705</v>
      </c>
      <c r="Q611" s="152" t="s">
        <v>2398</v>
      </c>
      <c r="R611" s="152" t="s">
        <v>2675</v>
      </c>
      <c r="S611" s="152" t="s">
        <v>2398</v>
      </c>
      <c r="T611" s="152" t="s">
        <v>2398</v>
      </c>
      <c r="U611" s="152" t="s">
        <v>2398</v>
      </c>
      <c r="V611" s="142" cm="1">
        <f t="array" ref="V611">IF(A611&lt;&gt;"",SUM(--(B611:U612 = "X")*$U$3,--(B611:U612 ="A")*$Q$3,--(B611:U612 ="B")*$R$3,--(B611:U612 ="C")*$S$3),"")</f>
        <v>12.5</v>
      </c>
      <c r="X611" s="437" t="s">
        <v>7919</v>
      </c>
      <c r="Y611" s="437">
        <v>21</v>
      </c>
      <c r="Z611" s="436">
        <f>_xlfn.XLOOKUP(answers[[#This Row],[StudentID]],$A$7:$A$1418,$V$7:$V$1418)</f>
        <v>21</v>
      </c>
      <c r="AF611" s="142" t="s">
        <v>7622</v>
      </c>
      <c r="AG611" s="142" t="s">
        <v>2397</v>
      </c>
      <c r="AH611" s="142" t="s">
        <v>2397</v>
      </c>
      <c r="AI611" s="142" t="s">
        <v>2705</v>
      </c>
      <c r="AJ611" s="142" t="s">
        <v>1435</v>
      </c>
      <c r="AK611" s="142" t="s">
        <v>2705</v>
      </c>
      <c r="AL611" s="142" t="s">
        <v>2705</v>
      </c>
      <c r="AM611" s="142" t="s">
        <v>2705</v>
      </c>
      <c r="AN611" s="142" t="s">
        <v>2675</v>
      </c>
      <c r="AO611" s="142" t="s">
        <v>2398</v>
      </c>
      <c r="AP611" s="142" t="s">
        <v>2398</v>
      </c>
      <c r="AQ611" s="142" t="s">
        <v>2705</v>
      </c>
      <c r="AR611" s="142" t="s">
        <v>2705</v>
      </c>
      <c r="AS611" s="142" t="s">
        <v>1435</v>
      </c>
      <c r="AT611" s="142" t="s">
        <v>2398</v>
      </c>
      <c r="AU611" s="142" t="s">
        <v>2705</v>
      </c>
      <c r="AV611" s="142" t="s">
        <v>2398</v>
      </c>
      <c r="AW611" s="142" t="s">
        <v>2675</v>
      </c>
      <c r="AX611" s="142" t="s">
        <v>2398</v>
      </c>
      <c r="AY611" s="142" t="s">
        <v>2398</v>
      </c>
      <c r="AZ611" s="142" t="s">
        <v>2398</v>
      </c>
    </row>
    <row r="612" spans="1:52" s="142" customFormat="1" ht="12.75" x14ac:dyDescent="0.2">
      <c r="A612" s="151"/>
      <c r="B612" s="152" t="s">
        <v>2398</v>
      </c>
      <c r="C612" s="152" t="s">
        <v>2398</v>
      </c>
      <c r="D612" s="152" t="s">
        <v>2675</v>
      </c>
      <c r="E612" s="152" t="s">
        <v>2398</v>
      </c>
      <c r="F612" s="152" t="s">
        <v>2705</v>
      </c>
      <c r="G612" s="152" t="s">
        <v>2675</v>
      </c>
      <c r="H612" s="152" t="s">
        <v>2705</v>
      </c>
      <c r="I612" s="152" t="s">
        <v>2398</v>
      </c>
      <c r="J612" s="152" t="s">
        <v>2705</v>
      </c>
      <c r="K612" s="152" t="s">
        <v>2705</v>
      </c>
      <c r="L612" s="152" t="s">
        <v>2705</v>
      </c>
      <c r="M612" s="152" t="s">
        <v>2398</v>
      </c>
      <c r="N612" s="152" t="s">
        <v>2398</v>
      </c>
      <c r="O612" s="152" t="s">
        <v>2705</v>
      </c>
      <c r="P612" s="152" t="s">
        <v>2705</v>
      </c>
      <c r="Q612" s="152" t="s">
        <v>2705</v>
      </c>
      <c r="R612" s="152" t="s">
        <v>2398</v>
      </c>
      <c r="S612" s="152" t="s">
        <v>2705</v>
      </c>
      <c r="T612" s="152" t="s">
        <v>2398</v>
      </c>
      <c r="U612" s="152" t="s">
        <v>1435</v>
      </c>
      <c r="V612" s="142" t="str" cm="1">
        <f t="array" ref="V612">IF(A612&lt;&gt;"",SUM(--(B612:U613 = "X")*$U$3,--(B612:U613 ="A")*$Q$3,--(B612:U613 ="B")*$R$3,--(B612:U613 ="C")*$S$3),"")</f>
        <v/>
      </c>
      <c r="X612" s="437" t="s">
        <v>7920</v>
      </c>
      <c r="Y612" s="437">
        <v>20.5</v>
      </c>
      <c r="Z612" s="436">
        <f>_xlfn.XLOOKUP(answers[[#This Row],[StudentID]],$A$7:$A$1418,$V$7:$V$1418)</f>
        <v>20.5</v>
      </c>
      <c r="AG612" s="142" t="s">
        <v>2398</v>
      </c>
      <c r="AH612" s="142" t="s">
        <v>2398</v>
      </c>
      <c r="AI612" s="142" t="s">
        <v>2675</v>
      </c>
      <c r="AJ612" s="142" t="s">
        <v>2398</v>
      </c>
      <c r="AK612" s="142" t="s">
        <v>2705</v>
      </c>
      <c r="AL612" s="142" t="s">
        <v>2675</v>
      </c>
      <c r="AM612" s="142" t="s">
        <v>2705</v>
      </c>
      <c r="AN612" s="142" t="s">
        <v>2398</v>
      </c>
      <c r="AO612" s="142" t="s">
        <v>2705</v>
      </c>
      <c r="AP612" s="142" t="s">
        <v>2705</v>
      </c>
      <c r="AQ612" s="142" t="s">
        <v>2705</v>
      </c>
      <c r="AR612" s="142" t="s">
        <v>2398</v>
      </c>
      <c r="AS612" s="142" t="s">
        <v>2398</v>
      </c>
      <c r="AT612" s="142" t="s">
        <v>2705</v>
      </c>
      <c r="AU612" s="142" t="s">
        <v>2705</v>
      </c>
      <c r="AV612" s="142" t="s">
        <v>2705</v>
      </c>
      <c r="AW612" s="142" t="s">
        <v>2398</v>
      </c>
      <c r="AX612" s="142" t="s">
        <v>2705</v>
      </c>
      <c r="AY612" s="142" t="s">
        <v>2398</v>
      </c>
      <c r="AZ612" s="142" t="s">
        <v>1435</v>
      </c>
    </row>
    <row r="613" spans="1:52" s="142" customFormat="1" ht="12.75" x14ac:dyDescent="0.2">
      <c r="A613" s="151" t="s">
        <v>7623</v>
      </c>
      <c r="B613" s="152" t="s">
        <v>2398</v>
      </c>
      <c r="C613" s="152" t="s">
        <v>2398</v>
      </c>
      <c r="D613" s="152" t="s">
        <v>2398</v>
      </c>
      <c r="E613" s="152" t="s">
        <v>2398</v>
      </c>
      <c r="F613" s="152" t="s">
        <v>2705</v>
      </c>
      <c r="G613" s="152" t="s">
        <v>1435</v>
      </c>
      <c r="H613" s="152" t="s">
        <v>2398</v>
      </c>
      <c r="I613" s="152" t="s">
        <v>2705</v>
      </c>
      <c r="J613" s="152" t="s">
        <v>2675</v>
      </c>
      <c r="K613" s="152" t="s">
        <v>2398</v>
      </c>
      <c r="L613" s="152" t="s">
        <v>2398</v>
      </c>
      <c r="M613" s="152" t="s">
        <v>2705</v>
      </c>
      <c r="N613" s="152" t="s">
        <v>2398</v>
      </c>
      <c r="O613" s="152" t="s">
        <v>2675</v>
      </c>
      <c r="P613" s="152" t="s">
        <v>2398</v>
      </c>
      <c r="Q613" s="152" t="s">
        <v>2398</v>
      </c>
      <c r="R613" s="152" t="s">
        <v>2675</v>
      </c>
      <c r="S613" s="152" t="s">
        <v>2705</v>
      </c>
      <c r="T613" s="152" t="s">
        <v>2398</v>
      </c>
      <c r="U613" s="152" t="s">
        <v>2705</v>
      </c>
      <c r="V613" s="142" cm="1">
        <f t="array" ref="V613">IF(A613&lt;&gt;"",SUM(--(B613:U614 = "X")*$U$3,--(B613:U614 ="A")*$Q$3,--(B613:U614 ="B")*$R$3,--(B613:U614 ="C")*$S$3),"")</f>
        <v>9.5</v>
      </c>
      <c r="X613" s="437" t="s">
        <v>7921</v>
      </c>
      <c r="Y613" s="437">
        <v>13.5</v>
      </c>
      <c r="Z613" s="436">
        <f>_xlfn.XLOOKUP(answers[[#This Row],[StudentID]],$A$7:$A$1418,$V$7:$V$1418)</f>
        <v>13.5</v>
      </c>
      <c r="AF613" s="142" t="s">
        <v>7623</v>
      </c>
      <c r="AG613" s="142" t="s">
        <v>2398</v>
      </c>
      <c r="AH613" s="142" t="s">
        <v>2398</v>
      </c>
      <c r="AI613" s="142" t="s">
        <v>2398</v>
      </c>
      <c r="AJ613" s="142" t="s">
        <v>2398</v>
      </c>
      <c r="AK613" s="142" t="s">
        <v>2705</v>
      </c>
      <c r="AL613" s="142" t="s">
        <v>1435</v>
      </c>
      <c r="AM613" s="142" t="s">
        <v>2398</v>
      </c>
      <c r="AN613" s="142" t="s">
        <v>2705</v>
      </c>
      <c r="AO613" s="142" t="s">
        <v>2675</v>
      </c>
      <c r="AP613" s="142" t="s">
        <v>2398</v>
      </c>
      <c r="AQ613" s="142" t="s">
        <v>2398</v>
      </c>
      <c r="AR613" s="142" t="s">
        <v>2705</v>
      </c>
      <c r="AS613" s="142" t="s">
        <v>2398</v>
      </c>
      <c r="AT613" s="142" t="s">
        <v>2675</v>
      </c>
      <c r="AU613" s="142" t="s">
        <v>2398</v>
      </c>
      <c r="AV613" s="142" t="s">
        <v>2398</v>
      </c>
      <c r="AW613" s="142" t="s">
        <v>2675</v>
      </c>
      <c r="AX613" s="142" t="s">
        <v>2705</v>
      </c>
      <c r="AY613" s="142" t="s">
        <v>2398</v>
      </c>
      <c r="AZ613" s="142" t="s">
        <v>2705</v>
      </c>
    </row>
    <row r="614" spans="1:52" s="142" customFormat="1" ht="12.75" x14ac:dyDescent="0.2">
      <c r="A614" s="151"/>
      <c r="B614" s="152" t="s">
        <v>2398</v>
      </c>
      <c r="C614" s="152" t="s">
        <v>2398</v>
      </c>
      <c r="D614" s="152" t="s">
        <v>2705</v>
      </c>
      <c r="E614" s="152" t="s">
        <v>2398</v>
      </c>
      <c r="F614" s="152" t="s">
        <v>2397</v>
      </c>
      <c r="G614" s="152" t="s">
        <v>2398</v>
      </c>
      <c r="H614" s="152" t="s">
        <v>2398</v>
      </c>
      <c r="I614" s="152" t="s">
        <v>2705</v>
      </c>
      <c r="J614" s="152" t="s">
        <v>2398</v>
      </c>
      <c r="K614" s="152" t="s">
        <v>2705</v>
      </c>
      <c r="L614" s="152" t="s">
        <v>2398</v>
      </c>
      <c r="M614" s="152" t="s">
        <v>2398</v>
      </c>
      <c r="N614" s="152" t="s">
        <v>2397</v>
      </c>
      <c r="O614" s="152" t="s">
        <v>2705</v>
      </c>
      <c r="P614" s="152" t="s">
        <v>1435</v>
      </c>
      <c r="Q614" s="152" t="s">
        <v>2705</v>
      </c>
      <c r="R614" s="152" t="s">
        <v>2705</v>
      </c>
      <c r="S614" s="152" t="s">
        <v>2705</v>
      </c>
      <c r="T614" s="152" t="s">
        <v>2397</v>
      </c>
      <c r="U614" s="152" t="s">
        <v>2398</v>
      </c>
      <c r="V614" s="142" t="str" cm="1">
        <f t="array" ref="V614">IF(A614&lt;&gt;"",SUM(--(B614:U615 = "X")*$U$3,--(B614:U615 ="A")*$Q$3,--(B614:U615 ="B")*$R$3,--(B614:U615 ="C")*$S$3),"")</f>
        <v/>
      </c>
      <c r="X614" s="437" t="s">
        <v>7922</v>
      </c>
      <c r="Y614" s="437">
        <v>17</v>
      </c>
      <c r="Z614" s="436">
        <f>_xlfn.XLOOKUP(answers[[#This Row],[StudentID]],$A$7:$A$1418,$V$7:$V$1418)</f>
        <v>17</v>
      </c>
      <c r="AG614" s="142" t="s">
        <v>2398</v>
      </c>
      <c r="AH614" s="142" t="s">
        <v>2398</v>
      </c>
      <c r="AI614" s="142" t="s">
        <v>2705</v>
      </c>
      <c r="AJ614" s="142" t="s">
        <v>2398</v>
      </c>
      <c r="AK614" s="142" t="s">
        <v>2397</v>
      </c>
      <c r="AL614" s="142" t="s">
        <v>2398</v>
      </c>
      <c r="AM614" s="142" t="s">
        <v>2398</v>
      </c>
      <c r="AN614" s="142" t="s">
        <v>2705</v>
      </c>
      <c r="AO614" s="142" t="s">
        <v>2398</v>
      </c>
      <c r="AP614" s="142" t="s">
        <v>2705</v>
      </c>
      <c r="AQ614" s="142" t="s">
        <v>2398</v>
      </c>
      <c r="AR614" s="142" t="s">
        <v>2398</v>
      </c>
      <c r="AS614" s="142" t="s">
        <v>2397</v>
      </c>
      <c r="AT614" s="142" t="s">
        <v>2705</v>
      </c>
      <c r="AU614" s="142" t="s">
        <v>1435</v>
      </c>
      <c r="AV614" s="142" t="s">
        <v>2705</v>
      </c>
      <c r="AW614" s="142" t="s">
        <v>2705</v>
      </c>
      <c r="AX614" s="142" t="s">
        <v>2705</v>
      </c>
      <c r="AY614" s="142" t="s">
        <v>2397</v>
      </c>
      <c r="AZ614" s="142" t="s">
        <v>2398</v>
      </c>
    </row>
    <row r="615" spans="1:52" s="142" customFormat="1" ht="12.75" x14ac:dyDescent="0.2">
      <c r="A615" s="151" t="s">
        <v>7624</v>
      </c>
      <c r="B615" s="152" t="s">
        <v>2398</v>
      </c>
      <c r="C615" s="152" t="s">
        <v>2705</v>
      </c>
      <c r="D615" s="152" t="s">
        <v>2398</v>
      </c>
      <c r="E615" s="152" t="s">
        <v>2705</v>
      </c>
      <c r="F615" s="152" t="s">
        <v>2398</v>
      </c>
      <c r="G615" s="152" t="s">
        <v>2398</v>
      </c>
      <c r="H615" s="152" t="s">
        <v>2398</v>
      </c>
      <c r="I615" s="152" t="s">
        <v>2705</v>
      </c>
      <c r="J615" s="152" t="s">
        <v>2398</v>
      </c>
      <c r="K615" s="152" t="s">
        <v>2705</v>
      </c>
      <c r="L615" s="152" t="s">
        <v>2705</v>
      </c>
      <c r="M615" s="152" t="s">
        <v>2398</v>
      </c>
      <c r="N615" s="152" t="s">
        <v>2705</v>
      </c>
      <c r="O615" s="152" t="s">
        <v>2398</v>
      </c>
      <c r="P615" s="152" t="s">
        <v>2398</v>
      </c>
      <c r="Q615" s="152" t="s">
        <v>2398</v>
      </c>
      <c r="R615" s="152" t="s">
        <v>2398</v>
      </c>
      <c r="S615" s="152" t="s">
        <v>2398</v>
      </c>
      <c r="T615" s="152" t="s">
        <v>2705</v>
      </c>
      <c r="U615" s="152" t="s">
        <v>2705</v>
      </c>
      <c r="V615" s="142" cm="1">
        <f t="array" ref="V615">IF(A615&lt;&gt;"",SUM(--(B615:U616 = "X")*$U$3,--(B615:U616 ="A")*$Q$3,--(B615:U616 ="B")*$R$3,--(B615:U616 ="C")*$S$3),"")</f>
        <v>15.5</v>
      </c>
      <c r="X615" s="437" t="s">
        <v>7923</v>
      </c>
      <c r="Y615" s="437">
        <v>12</v>
      </c>
      <c r="Z615" s="436">
        <f>_xlfn.XLOOKUP(answers[[#This Row],[StudentID]],$A$7:$A$1418,$V$7:$V$1418)</f>
        <v>12</v>
      </c>
      <c r="AF615" s="142" t="s">
        <v>7624</v>
      </c>
      <c r="AG615" s="142" t="s">
        <v>2398</v>
      </c>
      <c r="AH615" s="142" t="s">
        <v>2705</v>
      </c>
      <c r="AI615" s="142" t="s">
        <v>2398</v>
      </c>
      <c r="AJ615" s="142" t="s">
        <v>2705</v>
      </c>
      <c r="AK615" s="142" t="s">
        <v>2398</v>
      </c>
      <c r="AL615" s="142" t="s">
        <v>2398</v>
      </c>
      <c r="AM615" s="142" t="s">
        <v>2398</v>
      </c>
      <c r="AN615" s="142" t="s">
        <v>2705</v>
      </c>
      <c r="AO615" s="142" t="s">
        <v>2398</v>
      </c>
      <c r="AP615" s="142" t="s">
        <v>2705</v>
      </c>
      <c r="AQ615" s="142" t="s">
        <v>2705</v>
      </c>
      <c r="AR615" s="142" t="s">
        <v>2398</v>
      </c>
      <c r="AS615" s="142" t="s">
        <v>2705</v>
      </c>
      <c r="AT615" s="142" t="s">
        <v>2398</v>
      </c>
      <c r="AU615" s="142" t="s">
        <v>2398</v>
      </c>
      <c r="AV615" s="142" t="s">
        <v>2398</v>
      </c>
      <c r="AW615" s="142" t="s">
        <v>2398</v>
      </c>
      <c r="AX615" s="142" t="s">
        <v>2398</v>
      </c>
      <c r="AY615" s="142" t="s">
        <v>2705</v>
      </c>
      <c r="AZ615" s="142" t="s">
        <v>2705</v>
      </c>
    </row>
    <row r="616" spans="1:52" s="142" customFormat="1" ht="12.75" x14ac:dyDescent="0.2">
      <c r="A616" s="151"/>
      <c r="B616" s="152" t="s">
        <v>2705</v>
      </c>
      <c r="C616" s="152" t="s">
        <v>2398</v>
      </c>
      <c r="D616" s="152" t="s">
        <v>2705</v>
      </c>
      <c r="E616" s="152" t="s">
        <v>2398</v>
      </c>
      <c r="F616" s="152" t="s">
        <v>2705</v>
      </c>
      <c r="G616" s="152" t="s">
        <v>1435</v>
      </c>
      <c r="H616" s="152" t="s">
        <v>2398</v>
      </c>
      <c r="I616" s="152" t="s">
        <v>2705</v>
      </c>
      <c r="J616" s="152" t="s">
        <v>2705</v>
      </c>
      <c r="K616" s="152" t="s">
        <v>2705</v>
      </c>
      <c r="L616" s="152" t="s">
        <v>1435</v>
      </c>
      <c r="M616" s="152" t="s">
        <v>2705</v>
      </c>
      <c r="N616" s="152" t="s">
        <v>2398</v>
      </c>
      <c r="O616" s="152" t="s">
        <v>2398</v>
      </c>
      <c r="P616" s="152" t="s">
        <v>2398</v>
      </c>
      <c r="Q616" s="152" t="s">
        <v>2705</v>
      </c>
      <c r="R616" s="152" t="s">
        <v>2398</v>
      </c>
      <c r="S616" s="152" t="s">
        <v>2675</v>
      </c>
      <c r="T616" s="152" t="s">
        <v>2705</v>
      </c>
      <c r="U616" s="152" t="s">
        <v>2398</v>
      </c>
      <c r="V616" s="142" t="str" cm="1">
        <f t="array" ref="V616">IF(A616&lt;&gt;"",SUM(--(B616:U617 = "X")*$U$3,--(B616:U617 ="A")*$Q$3,--(B616:U617 ="B")*$R$3,--(B616:U617 ="C")*$S$3),"")</f>
        <v/>
      </c>
      <c r="X616" s="437" t="s">
        <v>7924</v>
      </c>
      <c r="Y616" s="437">
        <v>4</v>
      </c>
      <c r="Z616" s="436">
        <f>_xlfn.XLOOKUP(answers[[#This Row],[StudentID]],$A$7:$A$1418,$V$7:$V$1418)</f>
        <v>4</v>
      </c>
      <c r="AG616" s="142" t="s">
        <v>2705</v>
      </c>
      <c r="AH616" s="142" t="s">
        <v>2398</v>
      </c>
      <c r="AI616" s="142" t="s">
        <v>2705</v>
      </c>
      <c r="AJ616" s="142" t="s">
        <v>2398</v>
      </c>
      <c r="AK616" s="142" t="s">
        <v>2705</v>
      </c>
      <c r="AL616" s="142" t="s">
        <v>1435</v>
      </c>
      <c r="AM616" s="142" t="s">
        <v>2398</v>
      </c>
      <c r="AN616" s="142" t="s">
        <v>2705</v>
      </c>
      <c r="AO616" s="142" t="s">
        <v>2705</v>
      </c>
      <c r="AP616" s="142" t="s">
        <v>2705</v>
      </c>
      <c r="AQ616" s="142" t="s">
        <v>1435</v>
      </c>
      <c r="AR616" s="142" t="s">
        <v>2705</v>
      </c>
      <c r="AS616" s="142" t="s">
        <v>2398</v>
      </c>
      <c r="AT616" s="142" t="s">
        <v>2398</v>
      </c>
      <c r="AU616" s="142" t="s">
        <v>2398</v>
      </c>
      <c r="AV616" s="142" t="s">
        <v>2705</v>
      </c>
      <c r="AW616" s="142" t="s">
        <v>2398</v>
      </c>
      <c r="AX616" s="142" t="s">
        <v>2675</v>
      </c>
      <c r="AY616" s="142" t="s">
        <v>2705</v>
      </c>
      <c r="AZ616" s="142" t="s">
        <v>2398</v>
      </c>
    </row>
    <row r="617" spans="1:52" s="142" customFormat="1" ht="12.75" x14ac:dyDescent="0.2">
      <c r="A617" s="151" t="s">
        <v>7625</v>
      </c>
      <c r="B617" s="152" t="s">
        <v>2705</v>
      </c>
      <c r="C617" s="152" t="s">
        <v>2705</v>
      </c>
      <c r="D617" s="152" t="s">
        <v>2705</v>
      </c>
      <c r="E617" s="152" t="s">
        <v>2705</v>
      </c>
      <c r="F617" s="152" t="s">
        <v>2705</v>
      </c>
      <c r="G617" s="152" t="s">
        <v>2705</v>
      </c>
      <c r="H617" s="152" t="s">
        <v>2705</v>
      </c>
      <c r="I617" s="152" t="s">
        <v>2398</v>
      </c>
      <c r="J617" s="152" t="s">
        <v>2705</v>
      </c>
      <c r="K617" s="152" t="s">
        <v>1435</v>
      </c>
      <c r="L617" s="152" t="s">
        <v>2705</v>
      </c>
      <c r="M617" s="152" t="s">
        <v>2398</v>
      </c>
      <c r="N617" s="152" t="s">
        <v>1435</v>
      </c>
      <c r="O617" s="152" t="s">
        <v>2705</v>
      </c>
      <c r="P617" s="152" t="s">
        <v>2398</v>
      </c>
      <c r="Q617" s="152" t="s">
        <v>2398</v>
      </c>
      <c r="R617" s="152" t="s">
        <v>2397</v>
      </c>
      <c r="S617" s="152" t="s">
        <v>2398</v>
      </c>
      <c r="T617" s="152" t="s">
        <v>2398</v>
      </c>
      <c r="U617" s="152" t="s">
        <v>2398</v>
      </c>
      <c r="V617" s="142" cm="1">
        <f t="array" ref="V617">IF(A617&lt;&gt;"",SUM(--(B617:U618 = "X")*$U$3,--(B617:U618 ="A")*$Q$3,--(B617:U618 ="B")*$R$3,--(B617:U618 ="C")*$S$3),"")</f>
        <v>13.5</v>
      </c>
      <c r="X617" s="437" t="s">
        <v>7925</v>
      </c>
      <c r="Y617" s="437">
        <v>21.5</v>
      </c>
      <c r="Z617" s="436">
        <f>_xlfn.XLOOKUP(answers[[#This Row],[StudentID]],$A$7:$A$1418,$V$7:$V$1418)</f>
        <v>21.5</v>
      </c>
      <c r="AF617" s="142" t="s">
        <v>7625</v>
      </c>
      <c r="AG617" s="142" t="s">
        <v>2705</v>
      </c>
      <c r="AH617" s="142" t="s">
        <v>2705</v>
      </c>
      <c r="AI617" s="142" t="s">
        <v>2705</v>
      </c>
      <c r="AJ617" s="142" t="s">
        <v>2705</v>
      </c>
      <c r="AK617" s="142" t="s">
        <v>2705</v>
      </c>
      <c r="AL617" s="142" t="s">
        <v>2705</v>
      </c>
      <c r="AM617" s="142" t="s">
        <v>2705</v>
      </c>
      <c r="AN617" s="142" t="s">
        <v>2398</v>
      </c>
      <c r="AO617" s="142" t="s">
        <v>2705</v>
      </c>
      <c r="AP617" s="142" t="s">
        <v>1435</v>
      </c>
      <c r="AQ617" s="142" t="s">
        <v>2705</v>
      </c>
      <c r="AR617" s="142" t="s">
        <v>2398</v>
      </c>
      <c r="AS617" s="142" t="s">
        <v>1435</v>
      </c>
      <c r="AT617" s="142" t="s">
        <v>2705</v>
      </c>
      <c r="AU617" s="142" t="s">
        <v>2398</v>
      </c>
      <c r="AV617" s="142" t="s">
        <v>2398</v>
      </c>
      <c r="AW617" s="142" t="s">
        <v>2397</v>
      </c>
      <c r="AX617" s="142" t="s">
        <v>2398</v>
      </c>
      <c r="AY617" s="142" t="s">
        <v>2398</v>
      </c>
      <c r="AZ617" s="142" t="s">
        <v>2398</v>
      </c>
    </row>
    <row r="618" spans="1:52" s="142" customFormat="1" ht="12.75" x14ac:dyDescent="0.2">
      <c r="A618" s="151"/>
      <c r="B618" s="152" t="s">
        <v>2705</v>
      </c>
      <c r="C618" s="152" t="s">
        <v>2705</v>
      </c>
      <c r="D618" s="152" t="s">
        <v>1435</v>
      </c>
      <c r="E618" s="152" t="s">
        <v>2398</v>
      </c>
      <c r="F618" s="152" t="s">
        <v>2398</v>
      </c>
      <c r="G618" s="152" t="s">
        <v>2398</v>
      </c>
      <c r="H618" s="152" t="s">
        <v>2675</v>
      </c>
      <c r="I618" s="152" t="s">
        <v>2705</v>
      </c>
      <c r="J618" s="152" t="s">
        <v>2675</v>
      </c>
      <c r="K618" s="152" t="s">
        <v>2398</v>
      </c>
      <c r="L618" s="152" t="s">
        <v>2398</v>
      </c>
      <c r="M618" s="152" t="s">
        <v>2398</v>
      </c>
      <c r="N618" s="152" t="s">
        <v>2398</v>
      </c>
      <c r="O618" s="152" t="s">
        <v>2705</v>
      </c>
      <c r="P618" s="152" t="s">
        <v>2398</v>
      </c>
      <c r="Q618" s="152" t="s">
        <v>2398</v>
      </c>
      <c r="R618" s="152" t="s">
        <v>2398</v>
      </c>
      <c r="S618" s="152" t="s">
        <v>2705</v>
      </c>
      <c r="T618" s="152" t="s">
        <v>2705</v>
      </c>
      <c r="U618" s="152" t="s">
        <v>2398</v>
      </c>
      <c r="V618" s="142" t="str" cm="1">
        <f t="array" ref="V618">IF(A618&lt;&gt;"",SUM(--(B618:U619 = "X")*$U$3,--(B618:U619 ="A")*$Q$3,--(B618:U619 ="B")*$R$3,--(B618:U619 ="C")*$S$3),"")</f>
        <v/>
      </c>
      <c r="X618" s="437" t="s">
        <v>7926</v>
      </c>
      <c r="Y618" s="437">
        <v>1.5</v>
      </c>
      <c r="Z618" s="436">
        <f>_xlfn.XLOOKUP(answers[[#This Row],[StudentID]],$A$7:$A$1418,$V$7:$V$1418)</f>
        <v>1.5</v>
      </c>
      <c r="AG618" s="142" t="s">
        <v>2705</v>
      </c>
      <c r="AH618" s="142" t="s">
        <v>2705</v>
      </c>
      <c r="AI618" s="142" t="s">
        <v>1435</v>
      </c>
      <c r="AJ618" s="142" t="s">
        <v>2398</v>
      </c>
      <c r="AK618" s="142" t="s">
        <v>2398</v>
      </c>
      <c r="AL618" s="142" t="s">
        <v>2398</v>
      </c>
      <c r="AM618" s="142" t="s">
        <v>2675</v>
      </c>
      <c r="AN618" s="142" t="s">
        <v>2705</v>
      </c>
      <c r="AO618" s="142" t="s">
        <v>2675</v>
      </c>
      <c r="AP618" s="142" t="s">
        <v>2398</v>
      </c>
      <c r="AQ618" s="142" t="s">
        <v>2398</v>
      </c>
      <c r="AR618" s="142" t="s">
        <v>2398</v>
      </c>
      <c r="AS618" s="142" t="s">
        <v>2398</v>
      </c>
      <c r="AT618" s="142" t="s">
        <v>2705</v>
      </c>
      <c r="AU618" s="142" t="s">
        <v>2398</v>
      </c>
      <c r="AV618" s="142" t="s">
        <v>2398</v>
      </c>
      <c r="AW618" s="142" t="s">
        <v>2398</v>
      </c>
      <c r="AX618" s="142" t="s">
        <v>2705</v>
      </c>
      <c r="AY618" s="142" t="s">
        <v>2705</v>
      </c>
      <c r="AZ618" s="142" t="s">
        <v>2398</v>
      </c>
    </row>
    <row r="619" spans="1:52" s="142" customFormat="1" ht="12.75" x14ac:dyDescent="0.2">
      <c r="A619" s="151" t="s">
        <v>7626</v>
      </c>
      <c r="B619" s="152" t="s">
        <v>2705</v>
      </c>
      <c r="C619" s="152" t="s">
        <v>2705</v>
      </c>
      <c r="D619" s="152" t="s">
        <v>1435</v>
      </c>
      <c r="E619" s="152" t="s">
        <v>2705</v>
      </c>
      <c r="F619" s="152" t="s">
        <v>2705</v>
      </c>
      <c r="G619" s="152" t="s">
        <v>2705</v>
      </c>
      <c r="H619" s="152" t="s">
        <v>2705</v>
      </c>
      <c r="I619" s="152" t="s">
        <v>2705</v>
      </c>
      <c r="J619" s="152" t="s">
        <v>2398</v>
      </c>
      <c r="K619" s="152" t="s">
        <v>2398</v>
      </c>
      <c r="L619" s="152" t="s">
        <v>2398</v>
      </c>
      <c r="M619" s="152" t="s">
        <v>2705</v>
      </c>
      <c r="N619" s="152" t="s">
        <v>2705</v>
      </c>
      <c r="O619" s="152" t="s">
        <v>2398</v>
      </c>
      <c r="P619" s="152" t="s">
        <v>2705</v>
      </c>
      <c r="Q619" s="152" t="s">
        <v>2705</v>
      </c>
      <c r="R619" s="152" t="s">
        <v>2705</v>
      </c>
      <c r="S619" s="152" t="s">
        <v>2705</v>
      </c>
      <c r="T619" s="152" t="s">
        <v>2705</v>
      </c>
      <c r="U619" s="152" t="s">
        <v>2705</v>
      </c>
      <c r="V619" s="142" cm="1">
        <f t="array" ref="V619">IF(A619&lt;&gt;"",SUM(--(B619:U620 = "X")*$U$3,--(B619:U620 ="A")*$Q$3,--(B619:U620 ="B")*$R$3,--(B619:U620 ="C")*$S$3),"")</f>
        <v>26</v>
      </c>
      <c r="X619" s="437" t="s">
        <v>7927</v>
      </c>
      <c r="Y619" s="437">
        <v>16</v>
      </c>
      <c r="Z619" s="436">
        <f>_xlfn.XLOOKUP(answers[[#This Row],[StudentID]],$A$7:$A$1418,$V$7:$V$1418)</f>
        <v>16</v>
      </c>
      <c r="AF619" s="142" t="s">
        <v>7626</v>
      </c>
      <c r="AG619" s="142" t="s">
        <v>2705</v>
      </c>
      <c r="AH619" s="142" t="s">
        <v>2705</v>
      </c>
      <c r="AI619" s="142" t="s">
        <v>1435</v>
      </c>
      <c r="AJ619" s="142" t="s">
        <v>2705</v>
      </c>
      <c r="AK619" s="142" t="s">
        <v>2705</v>
      </c>
      <c r="AL619" s="142" t="s">
        <v>2705</v>
      </c>
      <c r="AM619" s="142" t="s">
        <v>2705</v>
      </c>
      <c r="AN619" s="142" t="s">
        <v>2705</v>
      </c>
      <c r="AO619" s="142" t="s">
        <v>2398</v>
      </c>
      <c r="AP619" s="142" t="s">
        <v>2398</v>
      </c>
      <c r="AQ619" s="142" t="s">
        <v>2398</v>
      </c>
      <c r="AR619" s="142" t="s">
        <v>2705</v>
      </c>
      <c r="AS619" s="142" t="s">
        <v>2705</v>
      </c>
      <c r="AT619" s="142" t="s">
        <v>2398</v>
      </c>
      <c r="AU619" s="142" t="s">
        <v>2705</v>
      </c>
      <c r="AV619" s="142" t="s">
        <v>2705</v>
      </c>
      <c r="AW619" s="142" t="s">
        <v>2705</v>
      </c>
      <c r="AX619" s="142" t="s">
        <v>2705</v>
      </c>
      <c r="AY619" s="142" t="s">
        <v>2705</v>
      </c>
      <c r="AZ619" s="142" t="s">
        <v>2705</v>
      </c>
    </row>
    <row r="620" spans="1:52" s="142" customFormat="1" ht="12.75" x14ac:dyDescent="0.2">
      <c r="A620" s="151"/>
      <c r="B620" s="152" t="s">
        <v>2398</v>
      </c>
      <c r="C620" s="152" t="s">
        <v>2398</v>
      </c>
      <c r="D620" s="152" t="s">
        <v>2398</v>
      </c>
      <c r="E620" s="152" t="s">
        <v>1435</v>
      </c>
      <c r="F620" s="152" t="s">
        <v>2705</v>
      </c>
      <c r="G620" s="152" t="s">
        <v>2398</v>
      </c>
      <c r="H620" s="152" t="s">
        <v>2705</v>
      </c>
      <c r="I620" s="152" t="s">
        <v>2398</v>
      </c>
      <c r="J620" s="152" t="s">
        <v>2705</v>
      </c>
      <c r="K620" s="152" t="s">
        <v>2705</v>
      </c>
      <c r="L620" s="152" t="s">
        <v>2398</v>
      </c>
      <c r="M620" s="152" t="s">
        <v>2705</v>
      </c>
      <c r="N620" s="152" t="s">
        <v>2705</v>
      </c>
      <c r="O620" s="152" t="s">
        <v>2705</v>
      </c>
      <c r="P620" s="152" t="s">
        <v>2705</v>
      </c>
      <c r="Q620" s="152" t="s">
        <v>2705</v>
      </c>
      <c r="R620" s="152" t="s">
        <v>2398</v>
      </c>
      <c r="S620" s="152" t="s">
        <v>2705</v>
      </c>
      <c r="T620" s="152" t="s">
        <v>2705</v>
      </c>
      <c r="U620" s="152" t="s">
        <v>2705</v>
      </c>
      <c r="V620" s="142" t="str" cm="1">
        <f t="array" ref="V620">IF(A620&lt;&gt;"",SUM(--(B620:U621 = "X")*$U$3,--(B620:U621 ="A")*$Q$3,--(B620:U621 ="B")*$R$3,--(B620:U621 ="C")*$S$3),"")</f>
        <v/>
      </c>
      <c r="X620" s="437" t="s">
        <v>7928</v>
      </c>
      <c r="Y620" s="437">
        <v>27.5</v>
      </c>
      <c r="Z620" s="436">
        <f>_xlfn.XLOOKUP(answers[[#This Row],[StudentID]],$A$7:$A$1418,$V$7:$V$1418)</f>
        <v>27.5</v>
      </c>
      <c r="AG620" s="142" t="s">
        <v>2398</v>
      </c>
      <c r="AH620" s="142" t="s">
        <v>2398</v>
      </c>
      <c r="AI620" s="142" t="s">
        <v>2398</v>
      </c>
      <c r="AJ620" s="142" t="s">
        <v>1435</v>
      </c>
      <c r="AK620" s="142" t="s">
        <v>2705</v>
      </c>
      <c r="AL620" s="142" t="s">
        <v>2398</v>
      </c>
      <c r="AM620" s="142" t="s">
        <v>2705</v>
      </c>
      <c r="AN620" s="142" t="s">
        <v>2398</v>
      </c>
      <c r="AO620" s="142" t="s">
        <v>2705</v>
      </c>
      <c r="AP620" s="142" t="s">
        <v>2705</v>
      </c>
      <c r="AQ620" s="142" t="s">
        <v>2398</v>
      </c>
      <c r="AR620" s="142" t="s">
        <v>2705</v>
      </c>
      <c r="AS620" s="142" t="s">
        <v>2705</v>
      </c>
      <c r="AT620" s="142" t="s">
        <v>2705</v>
      </c>
      <c r="AU620" s="142" t="s">
        <v>2705</v>
      </c>
      <c r="AV620" s="142" t="s">
        <v>2705</v>
      </c>
      <c r="AW620" s="142" t="s">
        <v>2398</v>
      </c>
      <c r="AX620" s="142" t="s">
        <v>2705</v>
      </c>
      <c r="AY620" s="142" t="s">
        <v>2705</v>
      </c>
      <c r="AZ620" s="142" t="s">
        <v>2705</v>
      </c>
    </row>
    <row r="621" spans="1:52" s="142" customFormat="1" ht="12.75" x14ac:dyDescent="0.2">
      <c r="A621" s="151" t="s">
        <v>7627</v>
      </c>
      <c r="B621" s="152" t="s">
        <v>2398</v>
      </c>
      <c r="C621" s="152" t="s">
        <v>2705</v>
      </c>
      <c r="D621" s="152" t="s">
        <v>2398</v>
      </c>
      <c r="E621" s="152" t="s">
        <v>2705</v>
      </c>
      <c r="F621" s="152" t="s">
        <v>2398</v>
      </c>
      <c r="G621" s="152" t="s">
        <v>2705</v>
      </c>
      <c r="H621" s="152" t="s">
        <v>2398</v>
      </c>
      <c r="I621" s="152" t="s">
        <v>2705</v>
      </c>
      <c r="J621" s="152" t="s">
        <v>2705</v>
      </c>
      <c r="K621" s="152" t="s">
        <v>2398</v>
      </c>
      <c r="L621" s="152" t="s">
        <v>2675</v>
      </c>
      <c r="M621" s="152" t="s">
        <v>2398</v>
      </c>
      <c r="N621" s="152" t="s">
        <v>2705</v>
      </c>
      <c r="O621" s="152" t="s">
        <v>2705</v>
      </c>
      <c r="P621" s="152" t="s">
        <v>2705</v>
      </c>
      <c r="Q621" s="152" t="s">
        <v>2705</v>
      </c>
      <c r="R621" s="152" t="s">
        <v>2705</v>
      </c>
      <c r="S621" s="152" t="s">
        <v>2705</v>
      </c>
      <c r="T621" s="152" t="s">
        <v>2398</v>
      </c>
      <c r="U621" s="152" t="s">
        <v>2705</v>
      </c>
      <c r="V621" s="142" cm="1">
        <f t="array" ref="V621">IF(A621&lt;&gt;"",SUM(--(B621:U622 = "X")*$U$3,--(B621:U622 ="A")*$Q$3,--(B621:U622 ="B")*$R$3,--(B621:U622 ="C")*$S$3),"")</f>
        <v>17</v>
      </c>
      <c r="X621" s="437" t="s">
        <v>7929</v>
      </c>
      <c r="Y621" s="437">
        <v>14</v>
      </c>
      <c r="Z621" s="436">
        <f>_xlfn.XLOOKUP(answers[[#This Row],[StudentID]],$A$7:$A$1418,$V$7:$V$1418)</f>
        <v>14</v>
      </c>
      <c r="AF621" s="142" t="s">
        <v>7627</v>
      </c>
      <c r="AG621" s="142" t="s">
        <v>2398</v>
      </c>
      <c r="AH621" s="142" t="s">
        <v>2705</v>
      </c>
      <c r="AI621" s="142" t="s">
        <v>2398</v>
      </c>
      <c r="AJ621" s="142" t="s">
        <v>2705</v>
      </c>
      <c r="AK621" s="142" t="s">
        <v>2398</v>
      </c>
      <c r="AL621" s="142" t="s">
        <v>2705</v>
      </c>
      <c r="AM621" s="142" t="s">
        <v>2398</v>
      </c>
      <c r="AN621" s="142" t="s">
        <v>2705</v>
      </c>
      <c r="AO621" s="142" t="s">
        <v>2705</v>
      </c>
      <c r="AP621" s="142" t="s">
        <v>2398</v>
      </c>
      <c r="AQ621" s="142" t="s">
        <v>2675</v>
      </c>
      <c r="AR621" s="142" t="s">
        <v>2398</v>
      </c>
      <c r="AS621" s="142" t="s">
        <v>2705</v>
      </c>
      <c r="AT621" s="142" t="s">
        <v>2705</v>
      </c>
      <c r="AU621" s="142" t="s">
        <v>2705</v>
      </c>
      <c r="AV621" s="142" t="s">
        <v>2705</v>
      </c>
      <c r="AW621" s="142" t="s">
        <v>2705</v>
      </c>
      <c r="AX621" s="142" t="s">
        <v>2705</v>
      </c>
      <c r="AY621" s="142" t="s">
        <v>2398</v>
      </c>
      <c r="AZ621" s="142" t="s">
        <v>2705</v>
      </c>
    </row>
    <row r="622" spans="1:52" s="142" customFormat="1" ht="12.75" x14ac:dyDescent="0.2">
      <c r="A622" s="151"/>
      <c r="B622" s="152" t="s">
        <v>2397</v>
      </c>
      <c r="C622" s="152" t="s">
        <v>2398</v>
      </c>
      <c r="D622" s="152" t="s">
        <v>2398</v>
      </c>
      <c r="E622" s="152" t="s">
        <v>2398</v>
      </c>
      <c r="F622" s="152" t="s">
        <v>2398</v>
      </c>
      <c r="G622" s="152" t="s">
        <v>2705</v>
      </c>
      <c r="H622" s="152" t="s">
        <v>2705</v>
      </c>
      <c r="I622" s="152" t="s">
        <v>2398</v>
      </c>
      <c r="J622" s="152" t="s">
        <v>2705</v>
      </c>
      <c r="K622" s="152" t="s">
        <v>2398</v>
      </c>
      <c r="L622" s="152" t="s">
        <v>2398</v>
      </c>
      <c r="M622" s="152" t="s">
        <v>2705</v>
      </c>
      <c r="N622" s="152" t="s">
        <v>2398</v>
      </c>
      <c r="O622" s="152" t="s">
        <v>2398</v>
      </c>
      <c r="P622" s="152" t="s">
        <v>2398</v>
      </c>
      <c r="Q622" s="152" t="s">
        <v>2705</v>
      </c>
      <c r="R622" s="152" t="s">
        <v>1435</v>
      </c>
      <c r="S622" s="152" t="s">
        <v>2705</v>
      </c>
      <c r="T622" s="152" t="s">
        <v>2398</v>
      </c>
      <c r="U622" s="152" t="s">
        <v>2398</v>
      </c>
      <c r="V622" s="142" t="str" cm="1">
        <f t="array" ref="V622">IF(A622&lt;&gt;"",SUM(--(B622:U623 = "X")*$U$3,--(B622:U623 ="A")*$Q$3,--(B622:U623 ="B")*$R$3,--(B622:U623 ="C")*$S$3),"")</f>
        <v/>
      </c>
      <c r="X622" s="437" t="s">
        <v>7930</v>
      </c>
      <c r="Y622" s="437">
        <v>12.5</v>
      </c>
      <c r="Z622" s="436">
        <f>_xlfn.XLOOKUP(answers[[#This Row],[StudentID]],$A$7:$A$1418,$V$7:$V$1418)</f>
        <v>12.5</v>
      </c>
      <c r="AG622" s="142" t="s">
        <v>2397</v>
      </c>
      <c r="AH622" s="142" t="s">
        <v>2398</v>
      </c>
      <c r="AI622" s="142" t="s">
        <v>2398</v>
      </c>
      <c r="AJ622" s="142" t="s">
        <v>2398</v>
      </c>
      <c r="AK622" s="142" t="s">
        <v>2398</v>
      </c>
      <c r="AL622" s="142" t="s">
        <v>2705</v>
      </c>
      <c r="AM622" s="142" t="s">
        <v>2705</v>
      </c>
      <c r="AN622" s="142" t="s">
        <v>2398</v>
      </c>
      <c r="AO622" s="142" t="s">
        <v>2705</v>
      </c>
      <c r="AP622" s="142" t="s">
        <v>2398</v>
      </c>
      <c r="AQ622" s="142" t="s">
        <v>2398</v>
      </c>
      <c r="AR622" s="142" t="s">
        <v>2705</v>
      </c>
      <c r="AS622" s="142" t="s">
        <v>2398</v>
      </c>
      <c r="AT622" s="142" t="s">
        <v>2398</v>
      </c>
      <c r="AU622" s="142" t="s">
        <v>2398</v>
      </c>
      <c r="AV622" s="142" t="s">
        <v>2705</v>
      </c>
      <c r="AW622" s="142" t="s">
        <v>1435</v>
      </c>
      <c r="AX622" s="142" t="s">
        <v>2705</v>
      </c>
      <c r="AY622" s="142" t="s">
        <v>2398</v>
      </c>
      <c r="AZ622" s="142" t="s">
        <v>2398</v>
      </c>
    </row>
    <row r="623" spans="1:52" s="142" customFormat="1" ht="12.75" x14ac:dyDescent="0.2">
      <c r="A623" s="151" t="s">
        <v>7628</v>
      </c>
      <c r="B623" s="152" t="s">
        <v>2705</v>
      </c>
      <c r="C623" s="152" t="s">
        <v>2705</v>
      </c>
      <c r="D623" s="152" t="s">
        <v>2705</v>
      </c>
      <c r="E623" s="152" t="s">
        <v>2705</v>
      </c>
      <c r="F623" s="152" t="s">
        <v>2705</v>
      </c>
      <c r="G623" s="152" t="s">
        <v>2705</v>
      </c>
      <c r="H623" s="152" t="s">
        <v>2705</v>
      </c>
      <c r="I623" s="152" t="s">
        <v>2705</v>
      </c>
      <c r="J623" s="152" t="s">
        <v>2705</v>
      </c>
      <c r="K623" s="152" t="s">
        <v>2705</v>
      </c>
      <c r="L623" s="152" t="s">
        <v>2705</v>
      </c>
      <c r="M623" s="152" t="s">
        <v>2705</v>
      </c>
      <c r="N623" s="152" t="s">
        <v>2705</v>
      </c>
      <c r="O623" s="152" t="s">
        <v>2705</v>
      </c>
      <c r="P623" s="152" t="s">
        <v>2705</v>
      </c>
      <c r="Q623" s="152" t="s">
        <v>2705</v>
      </c>
      <c r="R623" s="152" t="s">
        <v>2705</v>
      </c>
      <c r="S623" s="152" t="s">
        <v>2705</v>
      </c>
      <c r="T623" s="152" t="s">
        <v>2705</v>
      </c>
      <c r="U623" s="152" t="s">
        <v>2705</v>
      </c>
      <c r="V623" s="142" cm="1">
        <f t="array" ref="V623">IF(A623&lt;&gt;"",SUM(--(B623:U624 = "X")*$U$3,--(B623:U624 ="A")*$Q$3,--(B623:U624 ="B")*$R$3,--(B623:U624 ="C")*$S$3),"")</f>
        <v>31</v>
      </c>
      <c r="X623" s="437" t="s">
        <v>7931</v>
      </c>
      <c r="Y623" s="437">
        <v>6.5</v>
      </c>
      <c r="Z623" s="436">
        <f>_xlfn.XLOOKUP(answers[[#This Row],[StudentID]],$A$7:$A$1418,$V$7:$V$1418)</f>
        <v>6.5</v>
      </c>
      <c r="AF623" s="142" t="s">
        <v>7628</v>
      </c>
      <c r="AG623" s="142" t="s">
        <v>2705</v>
      </c>
      <c r="AH623" s="142" t="s">
        <v>2705</v>
      </c>
      <c r="AI623" s="142" t="s">
        <v>2705</v>
      </c>
      <c r="AJ623" s="142" t="s">
        <v>2705</v>
      </c>
      <c r="AK623" s="142" t="s">
        <v>2705</v>
      </c>
      <c r="AL623" s="142" t="s">
        <v>2705</v>
      </c>
      <c r="AM623" s="142" t="s">
        <v>2705</v>
      </c>
      <c r="AN623" s="142" t="s">
        <v>2705</v>
      </c>
      <c r="AO623" s="142" t="s">
        <v>2705</v>
      </c>
      <c r="AP623" s="142" t="s">
        <v>2705</v>
      </c>
      <c r="AQ623" s="142" t="s">
        <v>2705</v>
      </c>
      <c r="AR623" s="142" t="s">
        <v>2705</v>
      </c>
      <c r="AS623" s="142" t="s">
        <v>2705</v>
      </c>
      <c r="AT623" s="142" t="s">
        <v>2705</v>
      </c>
      <c r="AU623" s="142" t="s">
        <v>2705</v>
      </c>
      <c r="AV623" s="142" t="s">
        <v>2705</v>
      </c>
      <c r="AW623" s="142" t="s">
        <v>2705</v>
      </c>
      <c r="AX623" s="142" t="s">
        <v>2705</v>
      </c>
      <c r="AY623" s="142" t="s">
        <v>2705</v>
      </c>
      <c r="AZ623" s="142" t="s">
        <v>2705</v>
      </c>
    </row>
    <row r="624" spans="1:52" s="142" customFormat="1" ht="12.75" x14ac:dyDescent="0.2">
      <c r="A624" s="151"/>
      <c r="B624" s="152" t="s">
        <v>2705</v>
      </c>
      <c r="C624" s="152" t="s">
        <v>2675</v>
      </c>
      <c r="D624" s="152" t="s">
        <v>1435</v>
      </c>
      <c r="E624" s="152" t="s">
        <v>2705</v>
      </c>
      <c r="F624" s="152" t="s">
        <v>2705</v>
      </c>
      <c r="G624" s="152" t="s">
        <v>2705</v>
      </c>
      <c r="H624" s="152" t="s">
        <v>2705</v>
      </c>
      <c r="I624" s="152" t="s">
        <v>2705</v>
      </c>
      <c r="J624" s="152" t="s">
        <v>2398</v>
      </c>
      <c r="K624" s="152" t="s">
        <v>2397</v>
      </c>
      <c r="L624" s="152" t="s">
        <v>2705</v>
      </c>
      <c r="M624" s="152" t="s">
        <v>2705</v>
      </c>
      <c r="N624" s="152" t="s">
        <v>2705</v>
      </c>
      <c r="O624" s="152" t="s">
        <v>2398</v>
      </c>
      <c r="P624" s="152" t="s">
        <v>2675</v>
      </c>
      <c r="Q624" s="152" t="s">
        <v>2705</v>
      </c>
      <c r="R624" s="152" t="s">
        <v>1435</v>
      </c>
      <c r="S624" s="152" t="s">
        <v>2705</v>
      </c>
      <c r="T624" s="152" t="s">
        <v>2705</v>
      </c>
      <c r="U624" s="152" t="s">
        <v>2705</v>
      </c>
      <c r="V624" s="142" t="str" cm="1">
        <f t="array" ref="V624">IF(A624&lt;&gt;"",SUM(--(B624:U625 = "X")*$U$3,--(B624:U625 ="A")*$Q$3,--(B624:U625 ="B")*$R$3,--(B624:U625 ="C")*$S$3),"")</f>
        <v/>
      </c>
      <c r="X624" s="437" t="s">
        <v>7932</v>
      </c>
      <c r="Y624" s="437">
        <v>3</v>
      </c>
      <c r="Z624" s="436">
        <f>_xlfn.XLOOKUP(answers[[#This Row],[StudentID]],$A$7:$A$1418,$V$7:$V$1418)</f>
        <v>3</v>
      </c>
      <c r="AG624" s="142" t="s">
        <v>2705</v>
      </c>
      <c r="AH624" s="142" t="s">
        <v>2675</v>
      </c>
      <c r="AI624" s="142" t="s">
        <v>1435</v>
      </c>
      <c r="AJ624" s="142" t="s">
        <v>2705</v>
      </c>
      <c r="AK624" s="142" t="s">
        <v>2705</v>
      </c>
      <c r="AL624" s="142" t="s">
        <v>2705</v>
      </c>
      <c r="AM624" s="142" t="s">
        <v>2705</v>
      </c>
      <c r="AN624" s="142" t="s">
        <v>2705</v>
      </c>
      <c r="AO624" s="142" t="s">
        <v>2398</v>
      </c>
      <c r="AP624" s="142" t="s">
        <v>2397</v>
      </c>
      <c r="AQ624" s="142" t="s">
        <v>2705</v>
      </c>
      <c r="AR624" s="142" t="s">
        <v>2705</v>
      </c>
      <c r="AS624" s="142" t="s">
        <v>2705</v>
      </c>
      <c r="AT624" s="142" t="s">
        <v>2398</v>
      </c>
      <c r="AU624" s="142" t="s">
        <v>2675</v>
      </c>
      <c r="AV624" s="142" t="s">
        <v>2705</v>
      </c>
      <c r="AW624" s="142" t="s">
        <v>1435</v>
      </c>
      <c r="AX624" s="142" t="s">
        <v>2705</v>
      </c>
      <c r="AY624" s="142" t="s">
        <v>2705</v>
      </c>
      <c r="AZ624" s="142" t="s">
        <v>2705</v>
      </c>
    </row>
    <row r="625" spans="1:52" s="142" customFormat="1" ht="12.75" x14ac:dyDescent="0.2">
      <c r="A625" s="151" t="s">
        <v>7629</v>
      </c>
      <c r="B625" s="152" t="s">
        <v>2705</v>
      </c>
      <c r="C625" s="152" t="s">
        <v>2705</v>
      </c>
      <c r="D625" s="152" t="s">
        <v>2705</v>
      </c>
      <c r="E625" s="152" t="s">
        <v>2705</v>
      </c>
      <c r="F625" s="152" t="s">
        <v>2705</v>
      </c>
      <c r="G625" s="152" t="s">
        <v>2705</v>
      </c>
      <c r="H625" s="152" t="s">
        <v>1435</v>
      </c>
      <c r="I625" s="152" t="s">
        <v>1435</v>
      </c>
      <c r="J625" s="152" t="s">
        <v>2705</v>
      </c>
      <c r="K625" s="152" t="s">
        <v>2705</v>
      </c>
      <c r="L625" s="152" t="s">
        <v>2705</v>
      </c>
      <c r="M625" s="152" t="s">
        <v>2705</v>
      </c>
      <c r="N625" s="152" t="s">
        <v>2705</v>
      </c>
      <c r="O625" s="152" t="s">
        <v>2705</v>
      </c>
      <c r="P625" s="152" t="s">
        <v>2398</v>
      </c>
      <c r="Q625" s="152" t="s">
        <v>2705</v>
      </c>
      <c r="R625" s="152" t="s">
        <v>2398</v>
      </c>
      <c r="S625" s="152" t="s">
        <v>2397</v>
      </c>
      <c r="T625" s="152" t="s">
        <v>2705</v>
      </c>
      <c r="U625" s="152" t="s">
        <v>2675</v>
      </c>
      <c r="V625" s="142" cm="1">
        <f t="array" ref="V625">IF(A625&lt;&gt;"",SUM(--(B625:U626 = "X")*$U$3,--(B625:U626 ="A")*$Q$3,--(B625:U626 ="B")*$R$3,--(B625:U626 ="C")*$S$3),"")</f>
        <v>27</v>
      </c>
      <c r="X625" s="437" t="s">
        <v>7933</v>
      </c>
      <c r="Y625" s="437">
        <v>15</v>
      </c>
      <c r="Z625" s="436">
        <f>_xlfn.XLOOKUP(answers[[#This Row],[StudentID]],$A$7:$A$1418,$V$7:$V$1418)</f>
        <v>15</v>
      </c>
      <c r="AF625" s="142" t="s">
        <v>7629</v>
      </c>
      <c r="AG625" s="142" t="s">
        <v>2705</v>
      </c>
      <c r="AH625" s="142" t="s">
        <v>2705</v>
      </c>
      <c r="AI625" s="142" t="s">
        <v>2705</v>
      </c>
      <c r="AJ625" s="142" t="s">
        <v>2705</v>
      </c>
      <c r="AK625" s="142" t="s">
        <v>2705</v>
      </c>
      <c r="AL625" s="142" t="s">
        <v>2705</v>
      </c>
      <c r="AM625" s="142" t="s">
        <v>1435</v>
      </c>
      <c r="AN625" s="142" t="s">
        <v>1435</v>
      </c>
      <c r="AO625" s="142" t="s">
        <v>2705</v>
      </c>
      <c r="AP625" s="142" t="s">
        <v>2705</v>
      </c>
      <c r="AQ625" s="142" t="s">
        <v>2705</v>
      </c>
      <c r="AR625" s="142" t="s">
        <v>2705</v>
      </c>
      <c r="AS625" s="142" t="s">
        <v>2705</v>
      </c>
      <c r="AT625" s="142" t="s">
        <v>2705</v>
      </c>
      <c r="AU625" s="142" t="s">
        <v>2398</v>
      </c>
      <c r="AV625" s="142" t="s">
        <v>2705</v>
      </c>
      <c r="AW625" s="142" t="s">
        <v>2398</v>
      </c>
      <c r="AX625" s="142" t="s">
        <v>2397</v>
      </c>
      <c r="AY625" s="142" t="s">
        <v>2705</v>
      </c>
      <c r="AZ625" s="142" t="s">
        <v>2675</v>
      </c>
    </row>
    <row r="626" spans="1:52" s="142" customFormat="1" ht="12.75" x14ac:dyDescent="0.2">
      <c r="A626" s="151"/>
      <c r="B626" s="152" t="s">
        <v>2705</v>
      </c>
      <c r="C626" s="152" t="s">
        <v>2705</v>
      </c>
      <c r="D626" s="152" t="s">
        <v>2705</v>
      </c>
      <c r="E626" s="152" t="s">
        <v>2705</v>
      </c>
      <c r="F626" s="152" t="s">
        <v>2705</v>
      </c>
      <c r="G626" s="152" t="s">
        <v>1435</v>
      </c>
      <c r="H626" s="152" t="s">
        <v>2705</v>
      </c>
      <c r="I626" s="152" t="s">
        <v>2705</v>
      </c>
      <c r="J626" s="152" t="s">
        <v>2705</v>
      </c>
      <c r="K626" s="152" t="s">
        <v>2705</v>
      </c>
      <c r="L626" s="152" t="s">
        <v>2705</v>
      </c>
      <c r="M626" s="152" t="s">
        <v>2705</v>
      </c>
      <c r="N626" s="152" t="s">
        <v>2705</v>
      </c>
      <c r="O626" s="152" t="s">
        <v>2705</v>
      </c>
      <c r="P626" s="152" t="s">
        <v>2398</v>
      </c>
      <c r="Q626" s="152" t="s">
        <v>2705</v>
      </c>
      <c r="R626" s="152" t="s">
        <v>2398</v>
      </c>
      <c r="S626" s="152" t="s">
        <v>2398</v>
      </c>
      <c r="T626" s="152" t="s">
        <v>2705</v>
      </c>
      <c r="U626" s="152" t="s">
        <v>2397</v>
      </c>
      <c r="V626" s="142" t="str" cm="1">
        <f t="array" ref="V626">IF(A626&lt;&gt;"",SUM(--(B626:U627 = "X")*$U$3,--(B626:U627 ="A")*$Q$3,--(B626:U627 ="B")*$R$3,--(B626:U627 ="C")*$S$3),"")</f>
        <v/>
      </c>
      <c r="X626" s="437" t="s">
        <v>7934</v>
      </c>
      <c r="Y626" s="437">
        <v>16</v>
      </c>
      <c r="Z626" s="436">
        <f>_xlfn.XLOOKUP(answers[[#This Row],[StudentID]],$A$7:$A$1418,$V$7:$V$1418)</f>
        <v>16</v>
      </c>
      <c r="AG626" s="142" t="s">
        <v>2705</v>
      </c>
      <c r="AH626" s="142" t="s">
        <v>2705</v>
      </c>
      <c r="AI626" s="142" t="s">
        <v>2705</v>
      </c>
      <c r="AJ626" s="142" t="s">
        <v>2705</v>
      </c>
      <c r="AK626" s="142" t="s">
        <v>2705</v>
      </c>
      <c r="AL626" s="142" t="s">
        <v>1435</v>
      </c>
      <c r="AM626" s="142" t="s">
        <v>2705</v>
      </c>
      <c r="AN626" s="142" t="s">
        <v>2705</v>
      </c>
      <c r="AO626" s="142" t="s">
        <v>2705</v>
      </c>
      <c r="AP626" s="142" t="s">
        <v>2705</v>
      </c>
      <c r="AQ626" s="142" t="s">
        <v>2705</v>
      </c>
      <c r="AR626" s="142" t="s">
        <v>2705</v>
      </c>
      <c r="AS626" s="142" t="s">
        <v>2705</v>
      </c>
      <c r="AT626" s="142" t="s">
        <v>2705</v>
      </c>
      <c r="AU626" s="142" t="s">
        <v>2398</v>
      </c>
      <c r="AV626" s="142" t="s">
        <v>2705</v>
      </c>
      <c r="AW626" s="142" t="s">
        <v>2398</v>
      </c>
      <c r="AX626" s="142" t="s">
        <v>2398</v>
      </c>
      <c r="AY626" s="142" t="s">
        <v>2705</v>
      </c>
      <c r="AZ626" s="142" t="s">
        <v>2397</v>
      </c>
    </row>
    <row r="627" spans="1:52" s="142" customFormat="1" ht="12.75" x14ac:dyDescent="0.2">
      <c r="A627" s="151" t="s">
        <v>7630</v>
      </c>
      <c r="B627" s="152" t="s">
        <v>2398</v>
      </c>
      <c r="C627" s="152" t="s">
        <v>2705</v>
      </c>
      <c r="D627" s="152" t="s">
        <v>2398</v>
      </c>
      <c r="E627" s="152" t="s">
        <v>2705</v>
      </c>
      <c r="F627" s="152" t="s">
        <v>2398</v>
      </c>
      <c r="G627" s="152" t="s">
        <v>2705</v>
      </c>
      <c r="H627" s="152" t="s">
        <v>1435</v>
      </c>
      <c r="I627" s="152" t="s">
        <v>2398</v>
      </c>
      <c r="J627" s="152" t="s">
        <v>2398</v>
      </c>
      <c r="K627" s="152" t="s">
        <v>2705</v>
      </c>
      <c r="L627" s="152" t="s">
        <v>2398</v>
      </c>
      <c r="M627" s="152" t="s">
        <v>2398</v>
      </c>
      <c r="N627" s="152" t="s">
        <v>2705</v>
      </c>
      <c r="O627" s="152" t="s">
        <v>2398</v>
      </c>
      <c r="P627" s="152" t="s">
        <v>2675</v>
      </c>
      <c r="Q627" s="152" t="s">
        <v>2398</v>
      </c>
      <c r="R627" s="152" t="s">
        <v>2675</v>
      </c>
      <c r="S627" s="152" t="s">
        <v>2397</v>
      </c>
      <c r="T627" s="152" t="s">
        <v>2398</v>
      </c>
      <c r="U627" s="152" t="s">
        <v>2398</v>
      </c>
      <c r="V627" s="142" cm="1">
        <f t="array" ref="V627">IF(A627&lt;&gt;"",SUM(--(B627:U628 = "X")*$U$3,--(B627:U628 ="A")*$Q$3,--(B627:U628 ="B")*$R$3,--(B627:U628 ="C")*$S$3),"")</f>
        <v>14.5</v>
      </c>
      <c r="X627" s="437" t="s">
        <v>7935</v>
      </c>
      <c r="Y627" s="437">
        <v>25.5</v>
      </c>
      <c r="Z627" s="436">
        <f>_xlfn.XLOOKUP(answers[[#This Row],[StudentID]],$A$7:$A$1418,$V$7:$V$1418)</f>
        <v>25.5</v>
      </c>
      <c r="AF627" s="142" t="s">
        <v>7630</v>
      </c>
      <c r="AG627" s="142" t="s">
        <v>2398</v>
      </c>
      <c r="AH627" s="142" t="s">
        <v>2705</v>
      </c>
      <c r="AI627" s="142" t="s">
        <v>2398</v>
      </c>
      <c r="AJ627" s="142" t="s">
        <v>2705</v>
      </c>
      <c r="AK627" s="142" t="s">
        <v>2398</v>
      </c>
      <c r="AL627" s="142" t="s">
        <v>2705</v>
      </c>
      <c r="AM627" s="142" t="s">
        <v>1435</v>
      </c>
      <c r="AN627" s="142" t="s">
        <v>2398</v>
      </c>
      <c r="AO627" s="142" t="s">
        <v>2398</v>
      </c>
      <c r="AP627" s="142" t="s">
        <v>2705</v>
      </c>
      <c r="AQ627" s="142" t="s">
        <v>2398</v>
      </c>
      <c r="AR627" s="142" t="s">
        <v>2398</v>
      </c>
      <c r="AS627" s="142" t="s">
        <v>2705</v>
      </c>
      <c r="AT627" s="142" t="s">
        <v>2398</v>
      </c>
      <c r="AU627" s="142" t="s">
        <v>2675</v>
      </c>
      <c r="AV627" s="142" t="s">
        <v>2398</v>
      </c>
      <c r="AW627" s="142" t="s">
        <v>2675</v>
      </c>
      <c r="AX627" s="142" t="s">
        <v>2397</v>
      </c>
      <c r="AY627" s="142" t="s">
        <v>2398</v>
      </c>
      <c r="AZ627" s="142" t="s">
        <v>2398</v>
      </c>
    </row>
    <row r="628" spans="1:52" s="142" customFormat="1" ht="12.75" x14ac:dyDescent="0.2">
      <c r="A628" s="151"/>
      <c r="B628" s="152" t="s">
        <v>2397</v>
      </c>
      <c r="C628" s="152" t="s">
        <v>2705</v>
      </c>
      <c r="D628" s="152" t="s">
        <v>2705</v>
      </c>
      <c r="E628" s="152" t="s">
        <v>2705</v>
      </c>
      <c r="F628" s="152" t="s">
        <v>2705</v>
      </c>
      <c r="G628" s="152" t="s">
        <v>2397</v>
      </c>
      <c r="H628" s="152" t="s">
        <v>2675</v>
      </c>
      <c r="I628" s="152" t="s">
        <v>2705</v>
      </c>
      <c r="J628" s="152" t="s">
        <v>2705</v>
      </c>
      <c r="K628" s="152" t="s">
        <v>2705</v>
      </c>
      <c r="L628" s="152" t="s">
        <v>2705</v>
      </c>
      <c r="M628" s="152" t="s">
        <v>2705</v>
      </c>
      <c r="N628" s="152" t="s">
        <v>2675</v>
      </c>
      <c r="O628" s="152" t="s">
        <v>2705</v>
      </c>
      <c r="P628" s="152" t="s">
        <v>2398</v>
      </c>
      <c r="Q628" s="152" t="s">
        <v>2705</v>
      </c>
      <c r="R628" s="152" t="s">
        <v>2397</v>
      </c>
      <c r="S628" s="152" t="s">
        <v>2398</v>
      </c>
      <c r="T628" s="152" t="s">
        <v>2705</v>
      </c>
      <c r="U628" s="152" t="s">
        <v>2398</v>
      </c>
      <c r="V628" s="142" t="str" cm="1">
        <f t="array" ref="V628">IF(A628&lt;&gt;"",SUM(--(B628:U629 = "X")*$U$3,--(B628:U629 ="A")*$Q$3,--(B628:U629 ="B")*$R$3,--(B628:U629 ="C")*$S$3),"")</f>
        <v/>
      </c>
      <c r="X628" s="437" t="s">
        <v>7936</v>
      </c>
      <c r="Y628" s="437">
        <v>11</v>
      </c>
      <c r="Z628" s="436">
        <f>_xlfn.XLOOKUP(answers[[#This Row],[StudentID]],$A$7:$A$1418,$V$7:$V$1418)</f>
        <v>11</v>
      </c>
      <c r="AG628" s="142" t="s">
        <v>2397</v>
      </c>
      <c r="AH628" s="142" t="s">
        <v>2705</v>
      </c>
      <c r="AI628" s="142" t="s">
        <v>2705</v>
      </c>
      <c r="AJ628" s="142" t="s">
        <v>2705</v>
      </c>
      <c r="AK628" s="142" t="s">
        <v>2705</v>
      </c>
      <c r="AL628" s="142" t="s">
        <v>2397</v>
      </c>
      <c r="AM628" s="142" t="s">
        <v>2675</v>
      </c>
      <c r="AN628" s="142" t="s">
        <v>2705</v>
      </c>
      <c r="AO628" s="142" t="s">
        <v>2705</v>
      </c>
      <c r="AP628" s="142" t="s">
        <v>2705</v>
      </c>
      <c r="AQ628" s="142" t="s">
        <v>2705</v>
      </c>
      <c r="AR628" s="142" t="s">
        <v>2705</v>
      </c>
      <c r="AS628" s="142" t="s">
        <v>2675</v>
      </c>
      <c r="AT628" s="142" t="s">
        <v>2705</v>
      </c>
      <c r="AU628" s="142" t="s">
        <v>2398</v>
      </c>
      <c r="AV628" s="142" t="s">
        <v>2705</v>
      </c>
      <c r="AW628" s="142" t="s">
        <v>2397</v>
      </c>
      <c r="AX628" s="142" t="s">
        <v>2398</v>
      </c>
      <c r="AY628" s="142" t="s">
        <v>2705</v>
      </c>
      <c r="AZ628" s="142" t="s">
        <v>2398</v>
      </c>
    </row>
    <row r="629" spans="1:52" s="142" customFormat="1" ht="12.75" x14ac:dyDescent="0.2">
      <c r="A629" s="151" t="s">
        <v>7631</v>
      </c>
      <c r="B629" s="152" t="s">
        <v>2398</v>
      </c>
      <c r="C629" s="152" t="s">
        <v>2705</v>
      </c>
      <c r="D629" s="152" t="s">
        <v>2398</v>
      </c>
      <c r="E629" s="152" t="s">
        <v>2398</v>
      </c>
      <c r="F629" s="152" t="s">
        <v>2705</v>
      </c>
      <c r="G629" s="152" t="s">
        <v>2705</v>
      </c>
      <c r="H629" s="152" t="s">
        <v>2398</v>
      </c>
      <c r="I629" s="152" t="s">
        <v>2675</v>
      </c>
      <c r="J629" s="152" t="s">
        <v>2675</v>
      </c>
      <c r="K629" s="152" t="s">
        <v>2705</v>
      </c>
      <c r="L629" s="152" t="s">
        <v>2705</v>
      </c>
      <c r="M629" s="152" t="s">
        <v>2398</v>
      </c>
      <c r="N629" s="152" t="s">
        <v>2398</v>
      </c>
      <c r="O629" s="152" t="s">
        <v>2705</v>
      </c>
      <c r="P629" s="152" t="s">
        <v>2705</v>
      </c>
      <c r="Q629" s="152" t="s">
        <v>2705</v>
      </c>
      <c r="R629" s="152" t="s">
        <v>2398</v>
      </c>
      <c r="S629" s="152" t="s">
        <v>2705</v>
      </c>
      <c r="T629" s="152" t="s">
        <v>2705</v>
      </c>
      <c r="U629" s="152" t="s">
        <v>2705</v>
      </c>
      <c r="V629" s="142" cm="1">
        <f t="array" ref="V629">IF(A629&lt;&gt;"",SUM(--(B629:U630 = "X")*$U$3,--(B629:U630 ="A")*$Q$3,--(B629:U630 ="B")*$R$3,--(B629:U630 ="C")*$S$3),"")</f>
        <v>17.5</v>
      </c>
      <c r="X629" s="437" t="s">
        <v>7937</v>
      </c>
      <c r="Y629" s="437">
        <v>22</v>
      </c>
      <c r="Z629" s="436">
        <f>_xlfn.XLOOKUP(answers[[#This Row],[StudentID]],$A$7:$A$1418,$V$7:$V$1418)</f>
        <v>22</v>
      </c>
      <c r="AF629" s="142" t="s">
        <v>7631</v>
      </c>
      <c r="AG629" s="142" t="s">
        <v>2398</v>
      </c>
      <c r="AH629" s="142" t="s">
        <v>2705</v>
      </c>
      <c r="AI629" s="142" t="s">
        <v>2398</v>
      </c>
      <c r="AJ629" s="142" t="s">
        <v>2398</v>
      </c>
      <c r="AK629" s="142" t="s">
        <v>2705</v>
      </c>
      <c r="AL629" s="142" t="s">
        <v>2705</v>
      </c>
      <c r="AM629" s="142" t="s">
        <v>2398</v>
      </c>
      <c r="AN629" s="142" t="s">
        <v>2675</v>
      </c>
      <c r="AO629" s="142" t="s">
        <v>2675</v>
      </c>
      <c r="AP629" s="142" t="s">
        <v>2705</v>
      </c>
      <c r="AQ629" s="142" t="s">
        <v>2705</v>
      </c>
      <c r="AR629" s="142" t="s">
        <v>2398</v>
      </c>
      <c r="AS629" s="142" t="s">
        <v>2398</v>
      </c>
      <c r="AT629" s="142" t="s">
        <v>2705</v>
      </c>
      <c r="AU629" s="142" t="s">
        <v>2705</v>
      </c>
      <c r="AV629" s="142" t="s">
        <v>2705</v>
      </c>
      <c r="AW629" s="142" t="s">
        <v>2398</v>
      </c>
      <c r="AX629" s="142" t="s">
        <v>2705</v>
      </c>
      <c r="AY629" s="142" t="s">
        <v>2705</v>
      </c>
      <c r="AZ629" s="142" t="s">
        <v>2705</v>
      </c>
    </row>
    <row r="630" spans="1:52" s="142" customFormat="1" ht="12.75" x14ac:dyDescent="0.2">
      <c r="A630" s="151"/>
      <c r="B630" s="152" t="s">
        <v>2675</v>
      </c>
      <c r="C630" s="152" t="s">
        <v>2398</v>
      </c>
      <c r="D630" s="152" t="s">
        <v>2705</v>
      </c>
      <c r="E630" s="152" t="s">
        <v>2675</v>
      </c>
      <c r="F630" s="152" t="s">
        <v>2705</v>
      </c>
      <c r="G630" s="152" t="s">
        <v>2675</v>
      </c>
      <c r="H630" s="152" t="s">
        <v>2398</v>
      </c>
      <c r="I630" s="152" t="s">
        <v>2398</v>
      </c>
      <c r="J630" s="152" t="s">
        <v>2705</v>
      </c>
      <c r="K630" s="152" t="s">
        <v>2705</v>
      </c>
      <c r="L630" s="152" t="s">
        <v>2705</v>
      </c>
      <c r="M630" s="152" t="s">
        <v>2398</v>
      </c>
      <c r="N630" s="152" t="s">
        <v>2398</v>
      </c>
      <c r="O630" s="152" t="s">
        <v>2705</v>
      </c>
      <c r="P630" s="152" t="s">
        <v>2398</v>
      </c>
      <c r="Q630" s="152" t="s">
        <v>2705</v>
      </c>
      <c r="R630" s="152" t="s">
        <v>2398</v>
      </c>
      <c r="S630" s="152" t="s">
        <v>2705</v>
      </c>
      <c r="T630" s="152" t="s">
        <v>2705</v>
      </c>
      <c r="U630" s="152" t="s">
        <v>2398</v>
      </c>
      <c r="V630" s="142" t="str" cm="1">
        <f t="array" ref="V630">IF(A630&lt;&gt;"",SUM(--(B630:U631 = "X")*$U$3,--(B630:U631 ="A")*$Q$3,--(B630:U631 ="B")*$R$3,--(B630:U631 ="C")*$S$3),"")</f>
        <v/>
      </c>
      <c r="X630" s="437" t="s">
        <v>7938</v>
      </c>
      <c r="Y630" s="437">
        <v>23.5</v>
      </c>
      <c r="Z630" s="436">
        <f>_xlfn.XLOOKUP(answers[[#This Row],[StudentID]],$A$7:$A$1418,$V$7:$V$1418)</f>
        <v>23.5</v>
      </c>
      <c r="AG630" s="142" t="s">
        <v>2675</v>
      </c>
      <c r="AH630" s="142" t="s">
        <v>2398</v>
      </c>
      <c r="AI630" s="142" t="s">
        <v>2705</v>
      </c>
      <c r="AJ630" s="142" t="s">
        <v>2675</v>
      </c>
      <c r="AK630" s="142" t="s">
        <v>2705</v>
      </c>
      <c r="AL630" s="142" t="s">
        <v>2675</v>
      </c>
      <c r="AM630" s="142" t="s">
        <v>2398</v>
      </c>
      <c r="AN630" s="142" t="s">
        <v>2398</v>
      </c>
      <c r="AO630" s="142" t="s">
        <v>2705</v>
      </c>
      <c r="AP630" s="142" t="s">
        <v>2705</v>
      </c>
      <c r="AQ630" s="142" t="s">
        <v>2705</v>
      </c>
      <c r="AR630" s="142" t="s">
        <v>2398</v>
      </c>
      <c r="AS630" s="142" t="s">
        <v>2398</v>
      </c>
      <c r="AT630" s="142" t="s">
        <v>2705</v>
      </c>
      <c r="AU630" s="142" t="s">
        <v>2398</v>
      </c>
      <c r="AV630" s="142" t="s">
        <v>2705</v>
      </c>
      <c r="AW630" s="142" t="s">
        <v>2398</v>
      </c>
      <c r="AX630" s="142" t="s">
        <v>2705</v>
      </c>
      <c r="AY630" s="142" t="s">
        <v>2705</v>
      </c>
      <c r="AZ630" s="142" t="s">
        <v>2398</v>
      </c>
    </row>
    <row r="631" spans="1:52" s="142" customFormat="1" ht="12.75" x14ac:dyDescent="0.2">
      <c r="A631" s="151" t="s">
        <v>7632</v>
      </c>
      <c r="B631" s="152" t="s">
        <v>2705</v>
      </c>
      <c r="C631" s="152" t="s">
        <v>2705</v>
      </c>
      <c r="D631" s="152" t="s">
        <v>2675</v>
      </c>
      <c r="E631" s="152" t="s">
        <v>1435</v>
      </c>
      <c r="F631" s="152" t="s">
        <v>2398</v>
      </c>
      <c r="G631" s="152" t="s">
        <v>2398</v>
      </c>
      <c r="H631" s="152" t="s">
        <v>2397</v>
      </c>
      <c r="I631" s="152" t="s">
        <v>2675</v>
      </c>
      <c r="J631" s="152" t="s">
        <v>2705</v>
      </c>
      <c r="K631" s="152" t="s">
        <v>2398</v>
      </c>
      <c r="L631" s="152" t="s">
        <v>2705</v>
      </c>
      <c r="M631" s="152" t="s">
        <v>1435</v>
      </c>
      <c r="N631" s="152" t="s">
        <v>2675</v>
      </c>
      <c r="O631" s="152" t="s">
        <v>2398</v>
      </c>
      <c r="P631" s="152" t="s">
        <v>2397</v>
      </c>
      <c r="Q631" s="152" t="s">
        <v>2398</v>
      </c>
      <c r="R631" s="152" t="s">
        <v>2398</v>
      </c>
      <c r="S631" s="152" t="s">
        <v>2398</v>
      </c>
      <c r="T631" s="152" t="s">
        <v>2398</v>
      </c>
      <c r="U631" s="152" t="s">
        <v>2705</v>
      </c>
      <c r="V631" s="142" cm="1">
        <f t="array" ref="V631">IF(A631&lt;&gt;"",SUM(--(B631:U632 = "X")*$U$3,--(B631:U632 ="A")*$Q$3,--(B631:U632 ="B")*$R$3,--(B631:U632 ="C")*$S$3),"")</f>
        <v>6</v>
      </c>
      <c r="X631" s="437" t="s">
        <v>7939</v>
      </c>
      <c r="Y631" s="437">
        <v>19</v>
      </c>
      <c r="Z631" s="436">
        <f>_xlfn.XLOOKUP(answers[[#This Row],[StudentID]],$A$7:$A$1418,$V$7:$V$1418)</f>
        <v>19</v>
      </c>
      <c r="AF631" s="142" t="s">
        <v>7632</v>
      </c>
      <c r="AG631" s="142" t="s">
        <v>2705</v>
      </c>
      <c r="AH631" s="142" t="s">
        <v>2705</v>
      </c>
      <c r="AI631" s="142" t="s">
        <v>2675</v>
      </c>
      <c r="AJ631" s="142" t="s">
        <v>1435</v>
      </c>
      <c r="AK631" s="142" t="s">
        <v>2398</v>
      </c>
      <c r="AL631" s="142" t="s">
        <v>2398</v>
      </c>
      <c r="AM631" s="142" t="s">
        <v>2397</v>
      </c>
      <c r="AN631" s="142" t="s">
        <v>2675</v>
      </c>
      <c r="AO631" s="142" t="s">
        <v>2705</v>
      </c>
      <c r="AP631" s="142" t="s">
        <v>2398</v>
      </c>
      <c r="AQ631" s="142" t="s">
        <v>2705</v>
      </c>
      <c r="AR631" s="142" t="s">
        <v>1435</v>
      </c>
      <c r="AS631" s="142" t="s">
        <v>2675</v>
      </c>
      <c r="AT631" s="142" t="s">
        <v>2398</v>
      </c>
      <c r="AU631" s="142" t="s">
        <v>2397</v>
      </c>
      <c r="AV631" s="142" t="s">
        <v>2398</v>
      </c>
      <c r="AW631" s="142" t="s">
        <v>2398</v>
      </c>
      <c r="AX631" s="142" t="s">
        <v>2398</v>
      </c>
      <c r="AY631" s="142" t="s">
        <v>2398</v>
      </c>
      <c r="AZ631" s="142" t="s">
        <v>2705</v>
      </c>
    </row>
    <row r="632" spans="1:52" s="142" customFormat="1" ht="12.75" x14ac:dyDescent="0.2">
      <c r="A632" s="151"/>
      <c r="B632" s="152" t="s">
        <v>2398</v>
      </c>
      <c r="C632" s="152" t="s">
        <v>2705</v>
      </c>
      <c r="D632" s="152" t="s">
        <v>2675</v>
      </c>
      <c r="E632" s="152" t="s">
        <v>1435</v>
      </c>
      <c r="F632" s="152" t="s">
        <v>2397</v>
      </c>
      <c r="G632" s="152" t="s">
        <v>2398</v>
      </c>
      <c r="H632" s="152" t="s">
        <v>2675</v>
      </c>
      <c r="I632" s="152" t="s">
        <v>2705</v>
      </c>
      <c r="J632" s="152" t="s">
        <v>2398</v>
      </c>
      <c r="K632" s="152" t="s">
        <v>2675</v>
      </c>
      <c r="L632" s="152" t="s">
        <v>2705</v>
      </c>
      <c r="M632" s="152" t="s">
        <v>2398</v>
      </c>
      <c r="N632" s="152" t="s">
        <v>1435</v>
      </c>
      <c r="O632" s="152" t="s">
        <v>2397</v>
      </c>
      <c r="P632" s="152" t="s">
        <v>2398</v>
      </c>
      <c r="Q632" s="152" t="s">
        <v>2705</v>
      </c>
      <c r="R632" s="152" t="s">
        <v>2398</v>
      </c>
      <c r="S632" s="152" t="s">
        <v>2705</v>
      </c>
      <c r="T632" s="152" t="s">
        <v>2398</v>
      </c>
      <c r="U632" s="152" t="s">
        <v>2705</v>
      </c>
      <c r="V632" s="142" t="str" cm="1">
        <f t="array" ref="V632">IF(A632&lt;&gt;"",SUM(--(B632:U633 = "X")*$U$3,--(B632:U633 ="A")*$Q$3,--(B632:U633 ="B")*$R$3,--(B632:U633 ="C")*$S$3),"")</f>
        <v/>
      </c>
      <c r="X632" s="437" t="s">
        <v>7940</v>
      </c>
      <c r="Y632" s="437">
        <v>8.5</v>
      </c>
      <c r="Z632" s="436">
        <f>_xlfn.XLOOKUP(answers[[#This Row],[StudentID]],$A$7:$A$1418,$V$7:$V$1418)</f>
        <v>8.5</v>
      </c>
      <c r="AG632" s="142" t="s">
        <v>2398</v>
      </c>
      <c r="AH632" s="142" t="s">
        <v>2705</v>
      </c>
      <c r="AI632" s="142" t="s">
        <v>2675</v>
      </c>
      <c r="AJ632" s="142" t="s">
        <v>1435</v>
      </c>
      <c r="AK632" s="142" t="s">
        <v>2397</v>
      </c>
      <c r="AL632" s="142" t="s">
        <v>2398</v>
      </c>
      <c r="AM632" s="142" t="s">
        <v>2675</v>
      </c>
      <c r="AN632" s="142" t="s">
        <v>2705</v>
      </c>
      <c r="AO632" s="142" t="s">
        <v>2398</v>
      </c>
      <c r="AP632" s="142" t="s">
        <v>2675</v>
      </c>
      <c r="AQ632" s="142" t="s">
        <v>2705</v>
      </c>
      <c r="AR632" s="142" t="s">
        <v>2398</v>
      </c>
      <c r="AS632" s="142" t="s">
        <v>1435</v>
      </c>
      <c r="AT632" s="142" t="s">
        <v>2397</v>
      </c>
      <c r="AU632" s="142" t="s">
        <v>2398</v>
      </c>
      <c r="AV632" s="142" t="s">
        <v>2705</v>
      </c>
      <c r="AW632" s="142" t="s">
        <v>2398</v>
      </c>
      <c r="AX632" s="142" t="s">
        <v>2705</v>
      </c>
      <c r="AY632" s="142" t="s">
        <v>2398</v>
      </c>
      <c r="AZ632" s="142" t="s">
        <v>2705</v>
      </c>
    </row>
    <row r="633" spans="1:52" s="142" customFormat="1" ht="12.75" x14ac:dyDescent="0.2">
      <c r="A633" s="151" t="s">
        <v>7633</v>
      </c>
      <c r="B633" s="152" t="s">
        <v>2705</v>
      </c>
      <c r="C633" s="152" t="s">
        <v>2705</v>
      </c>
      <c r="D633" s="152" t="s">
        <v>2705</v>
      </c>
      <c r="E633" s="152" t="s">
        <v>2675</v>
      </c>
      <c r="F633" s="152" t="s">
        <v>2705</v>
      </c>
      <c r="G633" s="152" t="s">
        <v>2705</v>
      </c>
      <c r="H633" s="152" t="s">
        <v>2705</v>
      </c>
      <c r="I633" s="152" t="s">
        <v>2675</v>
      </c>
      <c r="J633" s="152" t="s">
        <v>2675</v>
      </c>
      <c r="K633" s="152" t="s">
        <v>2398</v>
      </c>
      <c r="L633" s="152" t="s">
        <v>2705</v>
      </c>
      <c r="M633" s="152" t="s">
        <v>2705</v>
      </c>
      <c r="N633" s="152" t="s">
        <v>2705</v>
      </c>
      <c r="O633" s="152" t="s">
        <v>2705</v>
      </c>
      <c r="P633" s="152" t="s">
        <v>2398</v>
      </c>
      <c r="Q633" s="152" t="s">
        <v>2398</v>
      </c>
      <c r="R633" s="152" t="s">
        <v>2398</v>
      </c>
      <c r="S633" s="152" t="s">
        <v>2705</v>
      </c>
      <c r="T633" s="152" t="s">
        <v>2705</v>
      </c>
      <c r="U633" s="152" t="s">
        <v>2398</v>
      </c>
      <c r="V633" s="142" cm="1">
        <f t="array" ref="V633">IF(A633&lt;&gt;"",SUM(--(B633:U634 = "X")*$U$3,--(B633:U634 ="A")*$Q$3,--(B633:U634 ="B")*$R$3,--(B633:U634 ="C")*$S$3),"")</f>
        <v>18</v>
      </c>
      <c r="X633" s="437" t="s">
        <v>7941</v>
      </c>
      <c r="Y633" s="437">
        <v>10.5</v>
      </c>
      <c r="Z633" s="436">
        <f>_xlfn.XLOOKUP(answers[[#This Row],[StudentID]],$A$7:$A$1418,$V$7:$V$1418)</f>
        <v>10.5</v>
      </c>
      <c r="AF633" s="142" t="s">
        <v>7633</v>
      </c>
      <c r="AG633" s="142" t="s">
        <v>2705</v>
      </c>
      <c r="AH633" s="142" t="s">
        <v>2705</v>
      </c>
      <c r="AI633" s="142" t="s">
        <v>2705</v>
      </c>
      <c r="AJ633" s="142" t="s">
        <v>2675</v>
      </c>
      <c r="AK633" s="142" t="s">
        <v>2705</v>
      </c>
      <c r="AL633" s="142" t="s">
        <v>2705</v>
      </c>
      <c r="AM633" s="142" t="s">
        <v>2705</v>
      </c>
      <c r="AN633" s="142" t="s">
        <v>2675</v>
      </c>
      <c r="AO633" s="142" t="s">
        <v>2675</v>
      </c>
      <c r="AP633" s="142" t="s">
        <v>2398</v>
      </c>
      <c r="AQ633" s="142" t="s">
        <v>2705</v>
      </c>
      <c r="AR633" s="142" t="s">
        <v>2705</v>
      </c>
      <c r="AS633" s="142" t="s">
        <v>2705</v>
      </c>
      <c r="AT633" s="142" t="s">
        <v>2705</v>
      </c>
      <c r="AU633" s="142" t="s">
        <v>2398</v>
      </c>
      <c r="AV633" s="142" t="s">
        <v>2398</v>
      </c>
      <c r="AW633" s="142" t="s">
        <v>2398</v>
      </c>
      <c r="AX633" s="142" t="s">
        <v>2705</v>
      </c>
      <c r="AY633" s="142" t="s">
        <v>2705</v>
      </c>
      <c r="AZ633" s="142" t="s">
        <v>2398</v>
      </c>
    </row>
    <row r="634" spans="1:52" s="142" customFormat="1" ht="12.75" x14ac:dyDescent="0.2">
      <c r="A634" s="151"/>
      <c r="B634" s="152" t="s">
        <v>2398</v>
      </c>
      <c r="C634" s="152" t="s">
        <v>2705</v>
      </c>
      <c r="D634" s="152" t="s">
        <v>2705</v>
      </c>
      <c r="E634" s="152" t="s">
        <v>1435</v>
      </c>
      <c r="F634" s="152" t="s">
        <v>2705</v>
      </c>
      <c r="G634" s="152" t="s">
        <v>2675</v>
      </c>
      <c r="H634" s="152" t="s">
        <v>2398</v>
      </c>
      <c r="I634" s="152" t="s">
        <v>2705</v>
      </c>
      <c r="J634" s="152" t="s">
        <v>2675</v>
      </c>
      <c r="K634" s="152" t="s">
        <v>2675</v>
      </c>
      <c r="L634" s="152" t="s">
        <v>2705</v>
      </c>
      <c r="M634" s="152" t="s">
        <v>2398</v>
      </c>
      <c r="N634" s="152" t="s">
        <v>2705</v>
      </c>
      <c r="O634" s="152" t="s">
        <v>2705</v>
      </c>
      <c r="P634" s="152" t="s">
        <v>2705</v>
      </c>
      <c r="Q634" s="152" t="s">
        <v>1435</v>
      </c>
      <c r="R634" s="152" t="s">
        <v>2398</v>
      </c>
      <c r="S634" s="152" t="s">
        <v>2705</v>
      </c>
      <c r="T634" s="152" t="s">
        <v>2398</v>
      </c>
      <c r="U634" s="152" t="s">
        <v>2705</v>
      </c>
      <c r="V634" s="142" t="str" cm="1">
        <f t="array" ref="V634">IF(A634&lt;&gt;"",SUM(--(B634:U635 = "X")*$U$3,--(B634:U635 ="A")*$Q$3,--(B634:U635 ="B")*$R$3,--(B634:U635 ="C")*$S$3),"")</f>
        <v/>
      </c>
      <c r="X634" s="437" t="s">
        <v>7942</v>
      </c>
      <c r="Y634" s="437">
        <v>26</v>
      </c>
      <c r="Z634" s="436">
        <f>_xlfn.XLOOKUP(answers[[#This Row],[StudentID]],$A$7:$A$1418,$V$7:$V$1418)</f>
        <v>26</v>
      </c>
      <c r="AG634" s="142" t="s">
        <v>2398</v>
      </c>
      <c r="AH634" s="142" t="s">
        <v>2705</v>
      </c>
      <c r="AI634" s="142" t="s">
        <v>2705</v>
      </c>
      <c r="AJ634" s="142" t="s">
        <v>1435</v>
      </c>
      <c r="AK634" s="142" t="s">
        <v>2705</v>
      </c>
      <c r="AL634" s="142" t="s">
        <v>2675</v>
      </c>
      <c r="AM634" s="142" t="s">
        <v>2398</v>
      </c>
      <c r="AN634" s="142" t="s">
        <v>2705</v>
      </c>
      <c r="AO634" s="142" t="s">
        <v>2675</v>
      </c>
      <c r="AP634" s="142" t="s">
        <v>2675</v>
      </c>
      <c r="AQ634" s="142" t="s">
        <v>2705</v>
      </c>
      <c r="AR634" s="142" t="s">
        <v>2398</v>
      </c>
      <c r="AS634" s="142" t="s">
        <v>2705</v>
      </c>
      <c r="AT634" s="142" t="s">
        <v>2705</v>
      </c>
      <c r="AU634" s="142" t="s">
        <v>2705</v>
      </c>
      <c r="AV634" s="142" t="s">
        <v>1435</v>
      </c>
      <c r="AW634" s="142" t="s">
        <v>2398</v>
      </c>
      <c r="AX634" s="142" t="s">
        <v>2705</v>
      </c>
      <c r="AY634" s="142" t="s">
        <v>2398</v>
      </c>
      <c r="AZ634" s="142" t="s">
        <v>2705</v>
      </c>
    </row>
    <row r="635" spans="1:52" s="142" customFormat="1" ht="12.75" x14ac:dyDescent="0.2">
      <c r="A635" s="151" t="s">
        <v>7634</v>
      </c>
      <c r="B635" s="152" t="s">
        <v>2705</v>
      </c>
      <c r="C635" s="152" t="s">
        <v>2705</v>
      </c>
      <c r="D635" s="152" t="s">
        <v>2705</v>
      </c>
      <c r="E635" s="152" t="s">
        <v>2398</v>
      </c>
      <c r="F635" s="152" t="s">
        <v>2398</v>
      </c>
      <c r="G635" s="152" t="s">
        <v>2705</v>
      </c>
      <c r="H635" s="152" t="s">
        <v>2398</v>
      </c>
      <c r="I635" s="152" t="s">
        <v>2398</v>
      </c>
      <c r="J635" s="152" t="s">
        <v>2398</v>
      </c>
      <c r="K635" s="152" t="s">
        <v>2705</v>
      </c>
      <c r="L635" s="152" t="s">
        <v>2705</v>
      </c>
      <c r="M635" s="152" t="s">
        <v>2705</v>
      </c>
      <c r="N635" s="152" t="s">
        <v>2398</v>
      </c>
      <c r="O635" s="152" t="s">
        <v>1435</v>
      </c>
      <c r="P635" s="152" t="s">
        <v>2397</v>
      </c>
      <c r="Q635" s="152" t="s">
        <v>1435</v>
      </c>
      <c r="R635" s="152" t="s">
        <v>2398</v>
      </c>
      <c r="S635" s="152" t="s">
        <v>2398</v>
      </c>
      <c r="T635" s="152" t="s">
        <v>2705</v>
      </c>
      <c r="U635" s="152" t="s">
        <v>2705</v>
      </c>
      <c r="V635" s="142" cm="1">
        <f t="array" ref="V635">IF(A635&lt;&gt;"",SUM(--(B635:U636 = "X")*$U$3,--(B635:U636 ="A")*$Q$3,--(B635:U636 ="B")*$R$3,--(B635:U636 ="C")*$S$3),"")</f>
        <v>16.5</v>
      </c>
      <c r="X635" s="437" t="s">
        <v>7943</v>
      </c>
      <c r="Y635" s="437">
        <v>20</v>
      </c>
      <c r="Z635" s="436">
        <f>_xlfn.XLOOKUP(answers[[#This Row],[StudentID]],$A$7:$A$1418,$V$7:$V$1418)</f>
        <v>20</v>
      </c>
      <c r="AF635" s="142" t="s">
        <v>7634</v>
      </c>
      <c r="AG635" s="142" t="s">
        <v>2705</v>
      </c>
      <c r="AH635" s="142" t="s">
        <v>2705</v>
      </c>
      <c r="AI635" s="142" t="s">
        <v>2705</v>
      </c>
      <c r="AJ635" s="142" t="s">
        <v>2398</v>
      </c>
      <c r="AK635" s="142" t="s">
        <v>2398</v>
      </c>
      <c r="AL635" s="142" t="s">
        <v>2705</v>
      </c>
      <c r="AM635" s="142" t="s">
        <v>2398</v>
      </c>
      <c r="AN635" s="142" t="s">
        <v>2398</v>
      </c>
      <c r="AO635" s="142" t="s">
        <v>2398</v>
      </c>
      <c r="AP635" s="142" t="s">
        <v>2705</v>
      </c>
      <c r="AQ635" s="142" t="s">
        <v>2705</v>
      </c>
      <c r="AR635" s="142" t="s">
        <v>2705</v>
      </c>
      <c r="AS635" s="142" t="s">
        <v>2398</v>
      </c>
      <c r="AT635" s="142" t="s">
        <v>1435</v>
      </c>
      <c r="AU635" s="142" t="s">
        <v>2397</v>
      </c>
      <c r="AV635" s="142" t="s">
        <v>1435</v>
      </c>
      <c r="AW635" s="142" t="s">
        <v>2398</v>
      </c>
      <c r="AX635" s="142" t="s">
        <v>2398</v>
      </c>
      <c r="AY635" s="142" t="s">
        <v>2705</v>
      </c>
      <c r="AZ635" s="142" t="s">
        <v>2705</v>
      </c>
    </row>
    <row r="636" spans="1:52" s="142" customFormat="1" ht="12.75" x14ac:dyDescent="0.2">
      <c r="A636" s="151"/>
      <c r="B636" s="152" t="s">
        <v>2705</v>
      </c>
      <c r="C636" s="152" t="s">
        <v>2705</v>
      </c>
      <c r="D636" s="152" t="s">
        <v>2705</v>
      </c>
      <c r="E636" s="152" t="s">
        <v>2705</v>
      </c>
      <c r="F636" s="152" t="s">
        <v>2398</v>
      </c>
      <c r="G636" s="152" t="s">
        <v>2675</v>
      </c>
      <c r="H636" s="152" t="s">
        <v>2705</v>
      </c>
      <c r="I636" s="152" t="s">
        <v>2397</v>
      </c>
      <c r="J636" s="152" t="s">
        <v>2705</v>
      </c>
      <c r="K636" s="152" t="s">
        <v>2675</v>
      </c>
      <c r="L636" s="152" t="s">
        <v>2705</v>
      </c>
      <c r="M636" s="152" t="s">
        <v>2398</v>
      </c>
      <c r="N636" s="152" t="s">
        <v>1435</v>
      </c>
      <c r="O636" s="152" t="s">
        <v>2705</v>
      </c>
      <c r="P636" s="152" t="s">
        <v>2398</v>
      </c>
      <c r="Q636" s="152" t="s">
        <v>2705</v>
      </c>
      <c r="R636" s="152" t="s">
        <v>2398</v>
      </c>
      <c r="S636" s="152" t="s">
        <v>2398</v>
      </c>
      <c r="T636" s="152" t="s">
        <v>2705</v>
      </c>
      <c r="U636" s="152" t="s">
        <v>2398</v>
      </c>
      <c r="V636" s="142" t="str" cm="1">
        <f t="array" ref="V636">IF(A636&lt;&gt;"",SUM(--(B636:U637 = "X")*$U$3,--(B636:U637 ="A")*$Q$3,--(B636:U637 ="B")*$R$3,--(B636:U637 ="C")*$S$3),"")</f>
        <v/>
      </c>
      <c r="X636" s="437" t="s">
        <v>7944</v>
      </c>
      <c r="Y636" s="437">
        <v>22</v>
      </c>
      <c r="Z636" s="436">
        <f>_xlfn.XLOOKUP(answers[[#This Row],[StudentID]],$A$7:$A$1418,$V$7:$V$1418)</f>
        <v>22</v>
      </c>
      <c r="AG636" s="142" t="s">
        <v>2705</v>
      </c>
      <c r="AH636" s="142" t="s">
        <v>2705</v>
      </c>
      <c r="AI636" s="142" t="s">
        <v>2705</v>
      </c>
      <c r="AJ636" s="142" t="s">
        <v>2705</v>
      </c>
      <c r="AK636" s="142" t="s">
        <v>2398</v>
      </c>
      <c r="AL636" s="142" t="s">
        <v>2675</v>
      </c>
      <c r="AM636" s="142" t="s">
        <v>2705</v>
      </c>
      <c r="AN636" s="142" t="s">
        <v>2397</v>
      </c>
      <c r="AO636" s="142" t="s">
        <v>2705</v>
      </c>
      <c r="AP636" s="142" t="s">
        <v>2675</v>
      </c>
      <c r="AQ636" s="142" t="s">
        <v>2705</v>
      </c>
      <c r="AR636" s="142" t="s">
        <v>2398</v>
      </c>
      <c r="AS636" s="142" t="s">
        <v>1435</v>
      </c>
      <c r="AT636" s="142" t="s">
        <v>2705</v>
      </c>
      <c r="AU636" s="142" t="s">
        <v>2398</v>
      </c>
      <c r="AV636" s="142" t="s">
        <v>2705</v>
      </c>
      <c r="AW636" s="142" t="s">
        <v>2398</v>
      </c>
      <c r="AX636" s="142" t="s">
        <v>2398</v>
      </c>
      <c r="AY636" s="142" t="s">
        <v>2705</v>
      </c>
      <c r="AZ636" s="142" t="s">
        <v>2398</v>
      </c>
    </row>
    <row r="637" spans="1:52" s="142" customFormat="1" ht="12.75" x14ac:dyDescent="0.2">
      <c r="A637" s="151" t="s">
        <v>7635</v>
      </c>
      <c r="B637" s="152" t="s">
        <v>2398</v>
      </c>
      <c r="C637" s="152" t="s">
        <v>2705</v>
      </c>
      <c r="D637" s="152" t="s">
        <v>2397</v>
      </c>
      <c r="E637" s="152" t="s">
        <v>1435</v>
      </c>
      <c r="F637" s="152" t="s">
        <v>2705</v>
      </c>
      <c r="G637" s="152" t="s">
        <v>2705</v>
      </c>
      <c r="H637" s="152" t="s">
        <v>2705</v>
      </c>
      <c r="I637" s="152" t="s">
        <v>2675</v>
      </c>
      <c r="J637" s="152" t="s">
        <v>2705</v>
      </c>
      <c r="K637" s="152" t="s">
        <v>2705</v>
      </c>
      <c r="L637" s="152" t="s">
        <v>1435</v>
      </c>
      <c r="M637" s="152" t="s">
        <v>2705</v>
      </c>
      <c r="N637" s="152" t="s">
        <v>2705</v>
      </c>
      <c r="O637" s="152" t="s">
        <v>2705</v>
      </c>
      <c r="P637" s="152" t="s">
        <v>2705</v>
      </c>
      <c r="Q637" s="152" t="s">
        <v>2705</v>
      </c>
      <c r="R637" s="152" t="s">
        <v>2705</v>
      </c>
      <c r="S637" s="152" t="s">
        <v>2705</v>
      </c>
      <c r="T637" s="152" t="s">
        <v>2398</v>
      </c>
      <c r="U637" s="152" t="s">
        <v>2705</v>
      </c>
      <c r="V637" s="142" cm="1">
        <f t="array" ref="V637">IF(A637&lt;&gt;"",SUM(--(B637:U638 = "X")*$U$3,--(B637:U638 ="A")*$Q$3,--(B637:U638 ="B")*$R$3,--(B637:U638 ="C")*$S$3),"")</f>
        <v>25.5</v>
      </c>
      <c r="X637" s="437" t="s">
        <v>7945</v>
      </c>
      <c r="Y637" s="437">
        <v>23</v>
      </c>
      <c r="Z637" s="436">
        <f>_xlfn.XLOOKUP(answers[[#This Row],[StudentID]],$A$7:$A$1418,$V$7:$V$1418)</f>
        <v>23</v>
      </c>
      <c r="AF637" s="142" t="s">
        <v>7635</v>
      </c>
      <c r="AG637" s="142" t="s">
        <v>2398</v>
      </c>
      <c r="AH637" s="142" t="s">
        <v>2705</v>
      </c>
      <c r="AI637" s="142" t="s">
        <v>2397</v>
      </c>
      <c r="AJ637" s="142" t="s">
        <v>1435</v>
      </c>
      <c r="AK637" s="142" t="s">
        <v>2705</v>
      </c>
      <c r="AL637" s="142" t="s">
        <v>2705</v>
      </c>
      <c r="AM637" s="142" t="s">
        <v>2705</v>
      </c>
      <c r="AN637" s="142" t="s">
        <v>2675</v>
      </c>
      <c r="AO637" s="142" t="s">
        <v>2705</v>
      </c>
      <c r="AP637" s="142" t="s">
        <v>2705</v>
      </c>
      <c r="AQ637" s="142" t="s">
        <v>1435</v>
      </c>
      <c r="AR637" s="142" t="s">
        <v>2705</v>
      </c>
      <c r="AS637" s="142" t="s">
        <v>2705</v>
      </c>
      <c r="AT637" s="142" t="s">
        <v>2705</v>
      </c>
      <c r="AU637" s="142" t="s">
        <v>2705</v>
      </c>
      <c r="AV637" s="142" t="s">
        <v>2705</v>
      </c>
      <c r="AW637" s="142" t="s">
        <v>2705</v>
      </c>
      <c r="AX637" s="142" t="s">
        <v>2705</v>
      </c>
      <c r="AY637" s="142" t="s">
        <v>2398</v>
      </c>
      <c r="AZ637" s="142" t="s">
        <v>2705</v>
      </c>
    </row>
    <row r="638" spans="1:52" s="142" customFormat="1" ht="12.75" x14ac:dyDescent="0.2">
      <c r="A638" s="151"/>
      <c r="B638" s="152" t="s">
        <v>2705</v>
      </c>
      <c r="C638" s="152" t="s">
        <v>2398</v>
      </c>
      <c r="D638" s="152" t="s">
        <v>2705</v>
      </c>
      <c r="E638" s="152" t="s">
        <v>2705</v>
      </c>
      <c r="F638" s="152" t="s">
        <v>2705</v>
      </c>
      <c r="G638" s="152" t="s">
        <v>2398</v>
      </c>
      <c r="H638" s="152" t="s">
        <v>2397</v>
      </c>
      <c r="I638" s="152" t="s">
        <v>1435</v>
      </c>
      <c r="J638" s="152" t="s">
        <v>2705</v>
      </c>
      <c r="K638" s="152" t="s">
        <v>2705</v>
      </c>
      <c r="L638" s="152" t="s">
        <v>2705</v>
      </c>
      <c r="M638" s="152" t="s">
        <v>2398</v>
      </c>
      <c r="N638" s="152" t="s">
        <v>1435</v>
      </c>
      <c r="O638" s="152" t="s">
        <v>2705</v>
      </c>
      <c r="P638" s="152" t="s">
        <v>2705</v>
      </c>
      <c r="Q638" s="152" t="s">
        <v>2705</v>
      </c>
      <c r="R638" s="152" t="s">
        <v>2705</v>
      </c>
      <c r="S638" s="152" t="s">
        <v>2705</v>
      </c>
      <c r="T638" s="152" t="s">
        <v>2705</v>
      </c>
      <c r="U638" s="152" t="s">
        <v>2705</v>
      </c>
      <c r="V638" s="142" t="str" cm="1">
        <f t="array" ref="V638">IF(A638&lt;&gt;"",SUM(--(B638:U639 = "X")*$U$3,--(B638:U639 ="A")*$Q$3,--(B638:U639 ="B")*$R$3,--(B638:U639 ="C")*$S$3),"")</f>
        <v/>
      </c>
      <c r="X638" s="437" t="s">
        <v>7946</v>
      </c>
      <c r="Y638" s="437">
        <v>23.5</v>
      </c>
      <c r="Z638" s="436">
        <f>_xlfn.XLOOKUP(answers[[#This Row],[StudentID]],$A$7:$A$1418,$V$7:$V$1418)</f>
        <v>23.5</v>
      </c>
      <c r="AG638" s="142" t="s">
        <v>2705</v>
      </c>
      <c r="AH638" s="142" t="s">
        <v>2398</v>
      </c>
      <c r="AI638" s="142" t="s">
        <v>2705</v>
      </c>
      <c r="AJ638" s="142" t="s">
        <v>2705</v>
      </c>
      <c r="AK638" s="142" t="s">
        <v>2705</v>
      </c>
      <c r="AL638" s="142" t="s">
        <v>2398</v>
      </c>
      <c r="AM638" s="142" t="s">
        <v>2397</v>
      </c>
      <c r="AN638" s="142" t="s">
        <v>1435</v>
      </c>
      <c r="AO638" s="142" t="s">
        <v>2705</v>
      </c>
      <c r="AP638" s="142" t="s">
        <v>2705</v>
      </c>
      <c r="AQ638" s="142" t="s">
        <v>2705</v>
      </c>
      <c r="AR638" s="142" t="s">
        <v>2398</v>
      </c>
      <c r="AS638" s="142" t="s">
        <v>1435</v>
      </c>
      <c r="AT638" s="142" t="s">
        <v>2705</v>
      </c>
      <c r="AU638" s="142" t="s">
        <v>2705</v>
      </c>
      <c r="AV638" s="142" t="s">
        <v>2705</v>
      </c>
      <c r="AW638" s="142" t="s">
        <v>2705</v>
      </c>
      <c r="AX638" s="142" t="s">
        <v>2705</v>
      </c>
      <c r="AY638" s="142" t="s">
        <v>2705</v>
      </c>
      <c r="AZ638" s="142" t="s">
        <v>2705</v>
      </c>
    </row>
    <row r="639" spans="1:52" s="142" customFormat="1" ht="12.75" x14ac:dyDescent="0.2">
      <c r="A639" s="151" t="s">
        <v>7636</v>
      </c>
      <c r="B639" s="152" t="s">
        <v>2705</v>
      </c>
      <c r="C639" s="152" t="s">
        <v>2705</v>
      </c>
      <c r="D639" s="152" t="s">
        <v>2705</v>
      </c>
      <c r="E639" s="152" t="s">
        <v>2705</v>
      </c>
      <c r="F639" s="152" t="s">
        <v>2705</v>
      </c>
      <c r="G639" s="152" t="s">
        <v>2705</v>
      </c>
      <c r="H639" s="152" t="s">
        <v>2705</v>
      </c>
      <c r="I639" s="152" t="s">
        <v>2705</v>
      </c>
      <c r="J639" s="152" t="s">
        <v>2705</v>
      </c>
      <c r="K639" s="152" t="s">
        <v>2705</v>
      </c>
      <c r="L639" s="152" t="s">
        <v>2705</v>
      </c>
      <c r="M639" s="152" t="s">
        <v>2705</v>
      </c>
      <c r="N639" s="152" t="s">
        <v>2705</v>
      </c>
      <c r="O639" s="152" t="s">
        <v>2705</v>
      </c>
      <c r="P639" s="152" t="s">
        <v>2705</v>
      </c>
      <c r="Q639" s="152" t="s">
        <v>2675</v>
      </c>
      <c r="R639" s="152" t="s">
        <v>2398</v>
      </c>
      <c r="S639" s="152" t="s">
        <v>2705</v>
      </c>
      <c r="T639" s="152" t="s">
        <v>2705</v>
      </c>
      <c r="U639" s="152" t="s">
        <v>2705</v>
      </c>
      <c r="V639" s="142" cm="1">
        <f t="array" ref="V639">IF(A639&lt;&gt;"",SUM(--(B639:U640 = "X")*$U$3,--(B639:U640 ="A")*$Q$3,--(B639:U640 ="B")*$R$3,--(B639:U640 ="C")*$S$3),"")</f>
        <v>35</v>
      </c>
      <c r="X639" s="437" t="s">
        <v>7947</v>
      </c>
      <c r="Y639" s="437">
        <v>7</v>
      </c>
      <c r="Z639" s="436">
        <f>_xlfn.XLOOKUP(answers[[#This Row],[StudentID]],$A$7:$A$1418,$V$7:$V$1418)</f>
        <v>7</v>
      </c>
      <c r="AF639" s="142" t="s">
        <v>7636</v>
      </c>
      <c r="AG639" s="142" t="s">
        <v>2705</v>
      </c>
      <c r="AH639" s="142" t="s">
        <v>2705</v>
      </c>
      <c r="AI639" s="142" t="s">
        <v>2705</v>
      </c>
      <c r="AJ639" s="142" t="s">
        <v>2705</v>
      </c>
      <c r="AK639" s="142" t="s">
        <v>2705</v>
      </c>
      <c r="AL639" s="142" t="s">
        <v>2705</v>
      </c>
      <c r="AM639" s="142" t="s">
        <v>2705</v>
      </c>
      <c r="AN639" s="142" t="s">
        <v>2705</v>
      </c>
      <c r="AO639" s="142" t="s">
        <v>2705</v>
      </c>
      <c r="AP639" s="142" t="s">
        <v>2705</v>
      </c>
      <c r="AQ639" s="142" t="s">
        <v>2705</v>
      </c>
      <c r="AR639" s="142" t="s">
        <v>2705</v>
      </c>
      <c r="AS639" s="142" t="s">
        <v>2705</v>
      </c>
      <c r="AT639" s="142" t="s">
        <v>2705</v>
      </c>
      <c r="AU639" s="142" t="s">
        <v>2705</v>
      </c>
      <c r="AV639" s="142" t="s">
        <v>2675</v>
      </c>
      <c r="AW639" s="142" t="s">
        <v>2398</v>
      </c>
      <c r="AX639" s="142" t="s">
        <v>2705</v>
      </c>
      <c r="AY639" s="142" t="s">
        <v>2705</v>
      </c>
      <c r="AZ639" s="142" t="s">
        <v>2705</v>
      </c>
    </row>
    <row r="640" spans="1:52" s="142" customFormat="1" ht="12.75" x14ac:dyDescent="0.2">
      <c r="A640" s="151"/>
      <c r="B640" s="152" t="s">
        <v>2705</v>
      </c>
      <c r="C640" s="152" t="s">
        <v>2705</v>
      </c>
      <c r="D640" s="152" t="s">
        <v>2705</v>
      </c>
      <c r="E640" s="152" t="s">
        <v>2705</v>
      </c>
      <c r="F640" s="152" t="s">
        <v>2705</v>
      </c>
      <c r="G640" s="152" t="s">
        <v>2705</v>
      </c>
      <c r="H640" s="152" t="s">
        <v>2705</v>
      </c>
      <c r="I640" s="152" t="s">
        <v>2705</v>
      </c>
      <c r="J640" s="152" t="s">
        <v>2705</v>
      </c>
      <c r="K640" s="152" t="s">
        <v>2705</v>
      </c>
      <c r="L640" s="152" t="s">
        <v>2705</v>
      </c>
      <c r="M640" s="152" t="s">
        <v>2675</v>
      </c>
      <c r="N640" s="152" t="s">
        <v>2705</v>
      </c>
      <c r="O640" s="152" t="s">
        <v>2705</v>
      </c>
      <c r="P640" s="152" t="s">
        <v>2705</v>
      </c>
      <c r="Q640" s="152" t="s">
        <v>2705</v>
      </c>
      <c r="R640" s="152" t="s">
        <v>2705</v>
      </c>
      <c r="S640" s="152" t="s">
        <v>2398</v>
      </c>
      <c r="T640" s="152" t="s">
        <v>2705</v>
      </c>
      <c r="U640" s="152" t="s">
        <v>2705</v>
      </c>
      <c r="V640" s="142" t="str" cm="1">
        <f t="array" ref="V640">IF(A640&lt;&gt;"",SUM(--(B640:U641 = "X")*$U$3,--(B640:U641 ="A")*$Q$3,--(B640:U641 ="B")*$R$3,--(B640:U641 ="C")*$S$3),"")</f>
        <v/>
      </c>
      <c r="X640" s="437" t="s">
        <v>7948</v>
      </c>
      <c r="Y640" s="437">
        <v>10</v>
      </c>
      <c r="Z640" s="436">
        <f>_xlfn.XLOOKUP(answers[[#This Row],[StudentID]],$A$7:$A$1418,$V$7:$V$1418)</f>
        <v>10</v>
      </c>
      <c r="AG640" s="142" t="s">
        <v>2705</v>
      </c>
      <c r="AH640" s="142" t="s">
        <v>2705</v>
      </c>
      <c r="AI640" s="142" t="s">
        <v>2705</v>
      </c>
      <c r="AJ640" s="142" t="s">
        <v>2705</v>
      </c>
      <c r="AK640" s="142" t="s">
        <v>2705</v>
      </c>
      <c r="AL640" s="142" t="s">
        <v>2705</v>
      </c>
      <c r="AM640" s="142" t="s">
        <v>2705</v>
      </c>
      <c r="AN640" s="142" t="s">
        <v>2705</v>
      </c>
      <c r="AO640" s="142" t="s">
        <v>2705</v>
      </c>
      <c r="AP640" s="142" t="s">
        <v>2705</v>
      </c>
      <c r="AQ640" s="142" t="s">
        <v>2705</v>
      </c>
      <c r="AR640" s="142" t="s">
        <v>2675</v>
      </c>
      <c r="AS640" s="142" t="s">
        <v>2705</v>
      </c>
      <c r="AT640" s="142" t="s">
        <v>2705</v>
      </c>
      <c r="AU640" s="142" t="s">
        <v>2705</v>
      </c>
      <c r="AV640" s="142" t="s">
        <v>2705</v>
      </c>
      <c r="AW640" s="142" t="s">
        <v>2705</v>
      </c>
      <c r="AX640" s="142" t="s">
        <v>2398</v>
      </c>
      <c r="AY640" s="142" t="s">
        <v>2705</v>
      </c>
      <c r="AZ640" s="142" t="s">
        <v>2705</v>
      </c>
    </row>
    <row r="641" spans="1:52" s="142" customFormat="1" ht="12.75" x14ac:dyDescent="0.2">
      <c r="A641" s="151" t="s">
        <v>7637</v>
      </c>
      <c r="B641" s="152" t="s">
        <v>2705</v>
      </c>
      <c r="C641" s="152" t="s">
        <v>2398</v>
      </c>
      <c r="D641" s="152" t="s">
        <v>2675</v>
      </c>
      <c r="E641" s="152" t="s">
        <v>2398</v>
      </c>
      <c r="F641" s="152" t="s">
        <v>2397</v>
      </c>
      <c r="G641" s="152" t="s">
        <v>2398</v>
      </c>
      <c r="H641" s="152" t="s">
        <v>2398</v>
      </c>
      <c r="I641" s="152" t="s">
        <v>2397</v>
      </c>
      <c r="J641" s="152" t="s">
        <v>2398</v>
      </c>
      <c r="K641" s="152" t="s">
        <v>2705</v>
      </c>
      <c r="L641" s="152" t="s">
        <v>2675</v>
      </c>
      <c r="M641" s="152" t="s">
        <v>2398</v>
      </c>
      <c r="N641" s="152" t="s">
        <v>2705</v>
      </c>
      <c r="O641" s="152" t="s">
        <v>2705</v>
      </c>
      <c r="P641" s="152" t="s">
        <v>2398</v>
      </c>
      <c r="Q641" s="152" t="s">
        <v>2398</v>
      </c>
      <c r="R641" s="152" t="s">
        <v>2705</v>
      </c>
      <c r="S641" s="152" t="s">
        <v>2705</v>
      </c>
      <c r="T641" s="152" t="s">
        <v>2705</v>
      </c>
      <c r="U641" s="152" t="s">
        <v>2398</v>
      </c>
      <c r="V641" s="142" cm="1">
        <f t="array" ref="V641">IF(A641&lt;&gt;"",SUM(--(B641:U642 = "X")*$U$3,--(B641:U642 ="A")*$Q$3,--(B641:U642 ="B")*$R$3,--(B641:U642 ="C")*$S$3),"")</f>
        <v>13</v>
      </c>
      <c r="X641" s="437" t="s">
        <v>7949</v>
      </c>
      <c r="Y641" s="437">
        <v>15.5</v>
      </c>
      <c r="Z641" s="436">
        <f>_xlfn.XLOOKUP(answers[[#This Row],[StudentID]],$A$7:$A$1418,$V$7:$V$1418)</f>
        <v>15.5</v>
      </c>
      <c r="AF641" s="142" t="s">
        <v>7637</v>
      </c>
      <c r="AG641" s="142" t="s">
        <v>2705</v>
      </c>
      <c r="AH641" s="142" t="s">
        <v>2398</v>
      </c>
      <c r="AI641" s="142" t="s">
        <v>2675</v>
      </c>
      <c r="AJ641" s="142" t="s">
        <v>2398</v>
      </c>
      <c r="AK641" s="142" t="s">
        <v>2397</v>
      </c>
      <c r="AL641" s="142" t="s">
        <v>2398</v>
      </c>
      <c r="AM641" s="142" t="s">
        <v>2398</v>
      </c>
      <c r="AN641" s="142" t="s">
        <v>2397</v>
      </c>
      <c r="AO641" s="142" t="s">
        <v>2398</v>
      </c>
      <c r="AP641" s="142" t="s">
        <v>2705</v>
      </c>
      <c r="AQ641" s="142" t="s">
        <v>2675</v>
      </c>
      <c r="AR641" s="142" t="s">
        <v>2398</v>
      </c>
      <c r="AS641" s="142" t="s">
        <v>2705</v>
      </c>
      <c r="AT641" s="142" t="s">
        <v>2705</v>
      </c>
      <c r="AU641" s="142" t="s">
        <v>2398</v>
      </c>
      <c r="AV641" s="142" t="s">
        <v>2398</v>
      </c>
      <c r="AW641" s="142" t="s">
        <v>2705</v>
      </c>
      <c r="AX641" s="142" t="s">
        <v>2705</v>
      </c>
      <c r="AY641" s="142" t="s">
        <v>2705</v>
      </c>
      <c r="AZ641" s="142" t="s">
        <v>2398</v>
      </c>
    </row>
    <row r="642" spans="1:52" s="142" customFormat="1" ht="12.75" x14ac:dyDescent="0.2">
      <c r="A642" s="151"/>
      <c r="B642" s="152" t="s">
        <v>2398</v>
      </c>
      <c r="C642" s="152" t="s">
        <v>2398</v>
      </c>
      <c r="D642" s="152" t="s">
        <v>2705</v>
      </c>
      <c r="E642" s="152" t="s">
        <v>2675</v>
      </c>
      <c r="F642" s="152" t="s">
        <v>2398</v>
      </c>
      <c r="G642" s="152" t="s">
        <v>2705</v>
      </c>
      <c r="H642" s="152" t="s">
        <v>2705</v>
      </c>
      <c r="I642" s="152" t="s">
        <v>2705</v>
      </c>
      <c r="J642" s="152" t="s">
        <v>2675</v>
      </c>
      <c r="K642" s="152" t="s">
        <v>2705</v>
      </c>
      <c r="L642" s="152" t="s">
        <v>2398</v>
      </c>
      <c r="M642" s="152" t="s">
        <v>2398</v>
      </c>
      <c r="N642" s="152" t="s">
        <v>2705</v>
      </c>
      <c r="O642" s="152" t="s">
        <v>2705</v>
      </c>
      <c r="P642" s="152" t="s">
        <v>2398</v>
      </c>
      <c r="Q642" s="152" t="s">
        <v>1435</v>
      </c>
      <c r="R642" s="152" t="s">
        <v>1435</v>
      </c>
      <c r="S642" s="152" t="s">
        <v>2705</v>
      </c>
      <c r="T642" s="152" t="s">
        <v>2705</v>
      </c>
      <c r="U642" s="152" t="s">
        <v>2398</v>
      </c>
      <c r="V642" s="142" t="str" cm="1">
        <f t="array" ref="V642">IF(A642&lt;&gt;"",SUM(--(B642:U643 = "X")*$U$3,--(B642:U643 ="A")*$Q$3,--(B642:U643 ="B")*$R$3,--(B642:U643 ="C")*$S$3),"")</f>
        <v/>
      </c>
      <c r="X642" s="437" t="s">
        <v>7950</v>
      </c>
      <c r="Y642" s="437">
        <v>18</v>
      </c>
      <c r="Z642" s="436">
        <f>_xlfn.XLOOKUP(answers[[#This Row],[StudentID]],$A$7:$A$1418,$V$7:$V$1418)</f>
        <v>18</v>
      </c>
      <c r="AG642" s="142" t="s">
        <v>2398</v>
      </c>
      <c r="AH642" s="142" t="s">
        <v>2398</v>
      </c>
      <c r="AI642" s="142" t="s">
        <v>2705</v>
      </c>
      <c r="AJ642" s="142" t="s">
        <v>2675</v>
      </c>
      <c r="AK642" s="142" t="s">
        <v>2398</v>
      </c>
      <c r="AL642" s="142" t="s">
        <v>2705</v>
      </c>
      <c r="AM642" s="142" t="s">
        <v>2705</v>
      </c>
      <c r="AN642" s="142" t="s">
        <v>2705</v>
      </c>
      <c r="AO642" s="142" t="s">
        <v>2675</v>
      </c>
      <c r="AP642" s="142" t="s">
        <v>2705</v>
      </c>
      <c r="AQ642" s="142" t="s">
        <v>2398</v>
      </c>
      <c r="AR642" s="142" t="s">
        <v>2398</v>
      </c>
      <c r="AS642" s="142" t="s">
        <v>2705</v>
      </c>
      <c r="AT642" s="142" t="s">
        <v>2705</v>
      </c>
      <c r="AU642" s="142" t="s">
        <v>2398</v>
      </c>
      <c r="AV642" s="142" t="s">
        <v>1435</v>
      </c>
      <c r="AW642" s="142" t="s">
        <v>1435</v>
      </c>
      <c r="AX642" s="142" t="s">
        <v>2705</v>
      </c>
      <c r="AY642" s="142" t="s">
        <v>2705</v>
      </c>
      <c r="AZ642" s="142" t="s">
        <v>2398</v>
      </c>
    </row>
    <row r="643" spans="1:52" s="142" customFormat="1" ht="12.75" x14ac:dyDescent="0.2">
      <c r="A643" s="151" t="s">
        <v>7638</v>
      </c>
      <c r="B643" s="152" t="s">
        <v>2705</v>
      </c>
      <c r="C643" s="152" t="s">
        <v>2705</v>
      </c>
      <c r="D643" s="152" t="s">
        <v>2705</v>
      </c>
      <c r="E643" s="152" t="s">
        <v>2398</v>
      </c>
      <c r="F643" s="152" t="s">
        <v>2705</v>
      </c>
      <c r="G643" s="152" t="s">
        <v>2705</v>
      </c>
      <c r="H643" s="152" t="s">
        <v>2705</v>
      </c>
      <c r="I643" s="152" t="s">
        <v>2398</v>
      </c>
      <c r="J643" s="152" t="s">
        <v>2705</v>
      </c>
      <c r="K643" s="152" t="s">
        <v>2705</v>
      </c>
      <c r="L643" s="152" t="s">
        <v>2705</v>
      </c>
      <c r="M643" s="152" t="s">
        <v>2398</v>
      </c>
      <c r="N643" s="152" t="s">
        <v>2398</v>
      </c>
      <c r="O643" s="152" t="s">
        <v>2398</v>
      </c>
      <c r="P643" s="152" t="s">
        <v>2705</v>
      </c>
      <c r="Q643" s="152" t="s">
        <v>2398</v>
      </c>
      <c r="R643" s="152" t="s">
        <v>2675</v>
      </c>
      <c r="S643" s="152" t="s">
        <v>2675</v>
      </c>
      <c r="T643" s="152" t="s">
        <v>2398</v>
      </c>
      <c r="U643" s="152" t="s">
        <v>2705</v>
      </c>
      <c r="V643" s="142" cm="1">
        <f t="array" ref="V643">IF(A643&lt;&gt;"",SUM(--(B643:U644 = "X")*$U$3,--(B643:U644 ="A")*$Q$3,--(B643:U644 ="B")*$R$3,--(B643:U644 ="C")*$S$3),"")</f>
        <v>19</v>
      </c>
      <c r="X643" s="437" t="s">
        <v>7951</v>
      </c>
      <c r="Y643" s="437">
        <v>19</v>
      </c>
      <c r="Z643" s="436">
        <f>_xlfn.XLOOKUP(answers[[#This Row],[StudentID]],$A$7:$A$1418,$V$7:$V$1418)</f>
        <v>19</v>
      </c>
      <c r="AF643" s="142" t="s">
        <v>7638</v>
      </c>
      <c r="AG643" s="142" t="s">
        <v>2705</v>
      </c>
      <c r="AH643" s="142" t="s">
        <v>2705</v>
      </c>
      <c r="AI643" s="142" t="s">
        <v>2705</v>
      </c>
      <c r="AJ643" s="142" t="s">
        <v>2398</v>
      </c>
      <c r="AK643" s="142" t="s">
        <v>2705</v>
      </c>
      <c r="AL643" s="142" t="s">
        <v>2705</v>
      </c>
      <c r="AM643" s="142" t="s">
        <v>2705</v>
      </c>
      <c r="AN643" s="142" t="s">
        <v>2398</v>
      </c>
      <c r="AO643" s="142" t="s">
        <v>2705</v>
      </c>
      <c r="AP643" s="142" t="s">
        <v>2705</v>
      </c>
      <c r="AQ643" s="142" t="s">
        <v>2705</v>
      </c>
      <c r="AR643" s="142" t="s">
        <v>2398</v>
      </c>
      <c r="AS643" s="142" t="s">
        <v>2398</v>
      </c>
      <c r="AT643" s="142" t="s">
        <v>2398</v>
      </c>
      <c r="AU643" s="142" t="s">
        <v>2705</v>
      </c>
      <c r="AV643" s="142" t="s">
        <v>2398</v>
      </c>
      <c r="AW643" s="142" t="s">
        <v>2675</v>
      </c>
      <c r="AX643" s="142" t="s">
        <v>2675</v>
      </c>
      <c r="AY643" s="142" t="s">
        <v>2398</v>
      </c>
      <c r="AZ643" s="142" t="s">
        <v>2705</v>
      </c>
    </row>
    <row r="644" spans="1:52" s="142" customFormat="1" ht="12.75" x14ac:dyDescent="0.2">
      <c r="A644" s="151"/>
      <c r="B644" s="152" t="s">
        <v>2398</v>
      </c>
      <c r="C644" s="152" t="s">
        <v>2705</v>
      </c>
      <c r="D644" s="152" t="s">
        <v>2705</v>
      </c>
      <c r="E644" s="152" t="s">
        <v>2705</v>
      </c>
      <c r="F644" s="152" t="s">
        <v>2705</v>
      </c>
      <c r="G644" s="152" t="s">
        <v>2398</v>
      </c>
      <c r="H644" s="152" t="s">
        <v>2705</v>
      </c>
      <c r="I644" s="152" t="s">
        <v>2705</v>
      </c>
      <c r="J644" s="152" t="s">
        <v>2675</v>
      </c>
      <c r="K644" s="152" t="s">
        <v>2398</v>
      </c>
      <c r="L644" s="152" t="s">
        <v>2398</v>
      </c>
      <c r="M644" s="152" t="s">
        <v>2705</v>
      </c>
      <c r="N644" s="152" t="s">
        <v>2398</v>
      </c>
      <c r="O644" s="152" t="s">
        <v>2705</v>
      </c>
      <c r="P644" s="152" t="s">
        <v>2398</v>
      </c>
      <c r="Q644" s="152" t="s">
        <v>2675</v>
      </c>
      <c r="R644" s="152" t="s">
        <v>2398</v>
      </c>
      <c r="S644" s="152" t="s">
        <v>2705</v>
      </c>
      <c r="T644" s="152" t="s">
        <v>2398</v>
      </c>
      <c r="U644" s="152" t="s">
        <v>2705</v>
      </c>
      <c r="V644" s="142" t="str" cm="1">
        <f t="array" ref="V644">IF(A644&lt;&gt;"",SUM(--(B644:U645 = "X")*$U$3,--(B644:U645 ="A")*$Q$3,--(B644:U645 ="B")*$R$3,--(B644:U645 ="C")*$S$3),"")</f>
        <v/>
      </c>
      <c r="X644" s="437" t="s">
        <v>7952</v>
      </c>
      <c r="Y644" s="437">
        <v>24</v>
      </c>
      <c r="Z644" s="436">
        <f>_xlfn.XLOOKUP(answers[[#This Row],[StudentID]],$A$7:$A$1418,$V$7:$V$1418)</f>
        <v>24</v>
      </c>
      <c r="AG644" s="142" t="s">
        <v>2398</v>
      </c>
      <c r="AH644" s="142" t="s">
        <v>2705</v>
      </c>
      <c r="AI644" s="142" t="s">
        <v>2705</v>
      </c>
      <c r="AJ644" s="142" t="s">
        <v>2705</v>
      </c>
      <c r="AK644" s="142" t="s">
        <v>2705</v>
      </c>
      <c r="AL644" s="142" t="s">
        <v>2398</v>
      </c>
      <c r="AM644" s="142" t="s">
        <v>2705</v>
      </c>
      <c r="AN644" s="142" t="s">
        <v>2705</v>
      </c>
      <c r="AO644" s="142" t="s">
        <v>2675</v>
      </c>
      <c r="AP644" s="142" t="s">
        <v>2398</v>
      </c>
      <c r="AQ644" s="142" t="s">
        <v>2398</v>
      </c>
      <c r="AR644" s="142" t="s">
        <v>2705</v>
      </c>
      <c r="AS644" s="142" t="s">
        <v>2398</v>
      </c>
      <c r="AT644" s="142" t="s">
        <v>2705</v>
      </c>
      <c r="AU644" s="142" t="s">
        <v>2398</v>
      </c>
      <c r="AV644" s="142" t="s">
        <v>2675</v>
      </c>
      <c r="AW644" s="142" t="s">
        <v>2398</v>
      </c>
      <c r="AX644" s="142" t="s">
        <v>2705</v>
      </c>
      <c r="AY644" s="142" t="s">
        <v>2398</v>
      </c>
      <c r="AZ644" s="142" t="s">
        <v>2705</v>
      </c>
    </row>
    <row r="645" spans="1:52" s="142" customFormat="1" ht="12.75" x14ac:dyDescent="0.2">
      <c r="A645" s="151" t="s">
        <v>7639</v>
      </c>
      <c r="B645" s="152" t="s">
        <v>1435</v>
      </c>
      <c r="C645" s="152" t="s">
        <v>2398</v>
      </c>
      <c r="D645" s="152" t="s">
        <v>2398</v>
      </c>
      <c r="E645" s="152" t="s">
        <v>2705</v>
      </c>
      <c r="F645" s="152" t="s">
        <v>2398</v>
      </c>
      <c r="G645" s="152" t="s">
        <v>2705</v>
      </c>
      <c r="H645" s="152" t="s">
        <v>2675</v>
      </c>
      <c r="I645" s="152" t="s">
        <v>2705</v>
      </c>
      <c r="J645" s="152" t="s">
        <v>2705</v>
      </c>
      <c r="K645" s="152" t="s">
        <v>2705</v>
      </c>
      <c r="L645" s="152" t="s">
        <v>2398</v>
      </c>
      <c r="M645" s="152" t="s">
        <v>2398</v>
      </c>
      <c r="N645" s="152" t="s">
        <v>2705</v>
      </c>
      <c r="O645" s="152" t="s">
        <v>2705</v>
      </c>
      <c r="P645" s="152" t="s">
        <v>2398</v>
      </c>
      <c r="Q645" s="152" t="s">
        <v>2705</v>
      </c>
      <c r="R645" s="152" t="s">
        <v>2398</v>
      </c>
      <c r="S645" s="152" t="s">
        <v>2705</v>
      </c>
      <c r="T645" s="152" t="s">
        <v>2705</v>
      </c>
      <c r="U645" s="152" t="s">
        <v>2398</v>
      </c>
      <c r="V645" s="142" cm="1">
        <f t="array" ref="V645">IF(A645&lt;&gt;"",SUM(--(B645:U646 = "X")*$U$3,--(B645:U646 ="A")*$Q$3,--(B645:U646 ="B")*$R$3,--(B645:U646 ="C")*$S$3),"")</f>
        <v>17</v>
      </c>
      <c r="X645" s="437" t="s">
        <v>7953</v>
      </c>
      <c r="Y645" s="437">
        <v>23.5</v>
      </c>
      <c r="Z645" s="436">
        <f>_xlfn.XLOOKUP(answers[[#This Row],[StudentID]],$A$7:$A$1418,$V$7:$V$1418)</f>
        <v>23.5</v>
      </c>
      <c r="AF645" s="142" t="s">
        <v>7639</v>
      </c>
      <c r="AG645" s="142" t="s">
        <v>1435</v>
      </c>
      <c r="AH645" s="142" t="s">
        <v>2398</v>
      </c>
      <c r="AI645" s="142" t="s">
        <v>2398</v>
      </c>
      <c r="AJ645" s="142" t="s">
        <v>2705</v>
      </c>
      <c r="AK645" s="142" t="s">
        <v>2398</v>
      </c>
      <c r="AL645" s="142" t="s">
        <v>2705</v>
      </c>
      <c r="AM645" s="142" t="s">
        <v>2675</v>
      </c>
      <c r="AN645" s="142" t="s">
        <v>2705</v>
      </c>
      <c r="AO645" s="142" t="s">
        <v>2705</v>
      </c>
      <c r="AP645" s="142" t="s">
        <v>2705</v>
      </c>
      <c r="AQ645" s="142" t="s">
        <v>2398</v>
      </c>
      <c r="AR645" s="142" t="s">
        <v>2398</v>
      </c>
      <c r="AS645" s="142" t="s">
        <v>2705</v>
      </c>
      <c r="AT645" s="142" t="s">
        <v>2705</v>
      </c>
      <c r="AU645" s="142" t="s">
        <v>2398</v>
      </c>
      <c r="AV645" s="142" t="s">
        <v>2705</v>
      </c>
      <c r="AW645" s="142" t="s">
        <v>2398</v>
      </c>
      <c r="AX645" s="142" t="s">
        <v>2705</v>
      </c>
      <c r="AY645" s="142" t="s">
        <v>2705</v>
      </c>
      <c r="AZ645" s="142" t="s">
        <v>2398</v>
      </c>
    </row>
    <row r="646" spans="1:52" s="142" customFormat="1" ht="12.75" x14ac:dyDescent="0.2">
      <c r="A646" s="151"/>
      <c r="B646" s="152" t="s">
        <v>2398</v>
      </c>
      <c r="C646" s="152" t="s">
        <v>2397</v>
      </c>
      <c r="D646" s="152" t="s">
        <v>1435</v>
      </c>
      <c r="E646" s="152" t="s">
        <v>2398</v>
      </c>
      <c r="F646" s="152" t="s">
        <v>2398</v>
      </c>
      <c r="G646" s="152" t="s">
        <v>2398</v>
      </c>
      <c r="H646" s="152" t="s">
        <v>2705</v>
      </c>
      <c r="I646" s="152" t="s">
        <v>2705</v>
      </c>
      <c r="J646" s="152" t="s">
        <v>2398</v>
      </c>
      <c r="K646" s="152" t="s">
        <v>2705</v>
      </c>
      <c r="L646" s="152" t="s">
        <v>2398</v>
      </c>
      <c r="M646" s="152" t="s">
        <v>2705</v>
      </c>
      <c r="N646" s="152" t="s">
        <v>2705</v>
      </c>
      <c r="O646" s="152" t="s">
        <v>2705</v>
      </c>
      <c r="P646" s="152" t="s">
        <v>2675</v>
      </c>
      <c r="Q646" s="152" t="s">
        <v>2705</v>
      </c>
      <c r="R646" s="152" t="s">
        <v>2398</v>
      </c>
      <c r="S646" s="152" t="s">
        <v>2705</v>
      </c>
      <c r="T646" s="152" t="s">
        <v>2397</v>
      </c>
      <c r="U646" s="152" t="s">
        <v>2705</v>
      </c>
      <c r="V646" s="142" t="str" cm="1">
        <f t="array" ref="V646">IF(A646&lt;&gt;"",SUM(--(B646:U647 = "X")*$U$3,--(B646:U647 ="A")*$Q$3,--(B646:U647 ="B")*$R$3,--(B646:U647 ="C")*$S$3),"")</f>
        <v/>
      </c>
      <c r="X646" s="437" t="s">
        <v>7954</v>
      </c>
      <c r="Y646" s="437">
        <v>11.5</v>
      </c>
      <c r="Z646" s="436">
        <f>_xlfn.XLOOKUP(answers[[#This Row],[StudentID]],$A$7:$A$1418,$V$7:$V$1418)</f>
        <v>11.5</v>
      </c>
      <c r="AG646" s="142" t="s">
        <v>2398</v>
      </c>
      <c r="AH646" s="142" t="s">
        <v>2397</v>
      </c>
      <c r="AI646" s="142" t="s">
        <v>1435</v>
      </c>
      <c r="AJ646" s="142" t="s">
        <v>2398</v>
      </c>
      <c r="AK646" s="142" t="s">
        <v>2398</v>
      </c>
      <c r="AL646" s="142" t="s">
        <v>2398</v>
      </c>
      <c r="AM646" s="142" t="s">
        <v>2705</v>
      </c>
      <c r="AN646" s="142" t="s">
        <v>2705</v>
      </c>
      <c r="AO646" s="142" t="s">
        <v>2398</v>
      </c>
      <c r="AP646" s="142" t="s">
        <v>2705</v>
      </c>
      <c r="AQ646" s="142" t="s">
        <v>2398</v>
      </c>
      <c r="AR646" s="142" t="s">
        <v>2705</v>
      </c>
      <c r="AS646" s="142" t="s">
        <v>2705</v>
      </c>
      <c r="AT646" s="142" t="s">
        <v>2705</v>
      </c>
      <c r="AU646" s="142" t="s">
        <v>2675</v>
      </c>
      <c r="AV646" s="142" t="s">
        <v>2705</v>
      </c>
      <c r="AW646" s="142" t="s">
        <v>2398</v>
      </c>
      <c r="AX646" s="142" t="s">
        <v>2705</v>
      </c>
      <c r="AY646" s="142" t="s">
        <v>2397</v>
      </c>
      <c r="AZ646" s="142" t="s">
        <v>2705</v>
      </c>
    </row>
    <row r="647" spans="1:52" s="142" customFormat="1" ht="12.75" x14ac:dyDescent="0.2">
      <c r="A647" s="151" t="s">
        <v>7640</v>
      </c>
      <c r="B647" s="152" t="s">
        <v>2705</v>
      </c>
      <c r="C647" s="152" t="s">
        <v>2705</v>
      </c>
      <c r="D647" s="152" t="s">
        <v>2705</v>
      </c>
      <c r="E647" s="152" t="s">
        <v>2398</v>
      </c>
      <c r="F647" s="152" t="s">
        <v>2705</v>
      </c>
      <c r="G647" s="152" t="s">
        <v>2705</v>
      </c>
      <c r="H647" s="152" t="s">
        <v>2705</v>
      </c>
      <c r="I647" s="152" t="s">
        <v>2705</v>
      </c>
      <c r="J647" s="152" t="s">
        <v>2675</v>
      </c>
      <c r="K647" s="152" t="s">
        <v>2705</v>
      </c>
      <c r="L647" s="152" t="s">
        <v>2705</v>
      </c>
      <c r="M647" s="152" t="s">
        <v>2705</v>
      </c>
      <c r="N647" s="152" t="s">
        <v>2705</v>
      </c>
      <c r="O647" s="152" t="s">
        <v>2398</v>
      </c>
      <c r="P647" s="152" t="s">
        <v>2705</v>
      </c>
      <c r="Q647" s="152" t="s">
        <v>2398</v>
      </c>
      <c r="R647" s="152" t="s">
        <v>2705</v>
      </c>
      <c r="S647" s="152" t="s">
        <v>2398</v>
      </c>
      <c r="T647" s="152" t="s">
        <v>2705</v>
      </c>
      <c r="U647" s="152" t="s">
        <v>2705</v>
      </c>
      <c r="V647" s="142" cm="1">
        <f t="array" ref="V647">IF(A647&lt;&gt;"",SUM(--(B647:U648 = "X")*$U$3,--(B647:U648 ="A")*$Q$3,--(B647:U648 ="B")*$R$3,--(B647:U648 ="C")*$S$3),"")</f>
        <v>28.5</v>
      </c>
      <c r="X647" s="437" t="s">
        <v>7955</v>
      </c>
      <c r="Y647" s="437">
        <v>13.5</v>
      </c>
      <c r="Z647" s="436">
        <f>_xlfn.XLOOKUP(answers[[#This Row],[StudentID]],$A$7:$A$1418,$V$7:$V$1418)</f>
        <v>13.5</v>
      </c>
      <c r="AF647" s="142" t="s">
        <v>7640</v>
      </c>
      <c r="AG647" s="142" t="s">
        <v>2705</v>
      </c>
      <c r="AH647" s="142" t="s">
        <v>2705</v>
      </c>
      <c r="AI647" s="142" t="s">
        <v>2705</v>
      </c>
      <c r="AJ647" s="142" t="s">
        <v>2398</v>
      </c>
      <c r="AK647" s="142" t="s">
        <v>2705</v>
      </c>
      <c r="AL647" s="142" t="s">
        <v>2705</v>
      </c>
      <c r="AM647" s="142" t="s">
        <v>2705</v>
      </c>
      <c r="AN647" s="142" t="s">
        <v>2705</v>
      </c>
      <c r="AO647" s="142" t="s">
        <v>2675</v>
      </c>
      <c r="AP647" s="142" t="s">
        <v>2705</v>
      </c>
      <c r="AQ647" s="142" t="s">
        <v>2705</v>
      </c>
      <c r="AR647" s="142" t="s">
        <v>2705</v>
      </c>
      <c r="AS647" s="142" t="s">
        <v>2705</v>
      </c>
      <c r="AT647" s="142" t="s">
        <v>2398</v>
      </c>
      <c r="AU647" s="142" t="s">
        <v>2705</v>
      </c>
      <c r="AV647" s="142" t="s">
        <v>2398</v>
      </c>
      <c r="AW647" s="142" t="s">
        <v>2705</v>
      </c>
      <c r="AX647" s="142" t="s">
        <v>2398</v>
      </c>
      <c r="AY647" s="142" t="s">
        <v>2705</v>
      </c>
      <c r="AZ647" s="142" t="s">
        <v>2705</v>
      </c>
    </row>
    <row r="648" spans="1:52" s="142" customFormat="1" ht="12.75" x14ac:dyDescent="0.2">
      <c r="A648" s="151"/>
      <c r="B648" s="152" t="s">
        <v>2398</v>
      </c>
      <c r="C648" s="152" t="s">
        <v>2705</v>
      </c>
      <c r="D648" s="152" t="s">
        <v>2705</v>
      </c>
      <c r="E648" s="152" t="s">
        <v>2705</v>
      </c>
      <c r="F648" s="152" t="s">
        <v>2705</v>
      </c>
      <c r="G648" s="152" t="s">
        <v>2675</v>
      </c>
      <c r="H648" s="152" t="s">
        <v>2675</v>
      </c>
      <c r="I648" s="152" t="s">
        <v>2705</v>
      </c>
      <c r="J648" s="152" t="s">
        <v>2398</v>
      </c>
      <c r="K648" s="152" t="s">
        <v>2398</v>
      </c>
      <c r="L648" s="152" t="s">
        <v>2705</v>
      </c>
      <c r="M648" s="152" t="s">
        <v>2705</v>
      </c>
      <c r="N648" s="152" t="s">
        <v>2705</v>
      </c>
      <c r="O648" s="152" t="s">
        <v>2705</v>
      </c>
      <c r="P648" s="152" t="s">
        <v>2705</v>
      </c>
      <c r="Q648" s="152" t="s">
        <v>2705</v>
      </c>
      <c r="R648" s="152" t="s">
        <v>2705</v>
      </c>
      <c r="S648" s="152" t="s">
        <v>2705</v>
      </c>
      <c r="T648" s="152" t="s">
        <v>2705</v>
      </c>
      <c r="U648" s="152" t="s">
        <v>2705</v>
      </c>
      <c r="V648" s="142" t="str" cm="1">
        <f t="array" ref="V648">IF(A648&lt;&gt;"",SUM(--(B648:U649 = "X")*$U$3,--(B648:U649 ="A")*$Q$3,--(B648:U649 ="B")*$R$3,--(B648:U649 ="C")*$S$3),"")</f>
        <v/>
      </c>
      <c r="X648" s="437" t="s">
        <v>7956</v>
      </c>
      <c r="Y648" s="437">
        <v>18.5</v>
      </c>
      <c r="Z648" s="436">
        <f>_xlfn.XLOOKUP(answers[[#This Row],[StudentID]],$A$7:$A$1418,$V$7:$V$1418)</f>
        <v>18.5</v>
      </c>
      <c r="AG648" s="142" t="s">
        <v>2398</v>
      </c>
      <c r="AH648" s="142" t="s">
        <v>2705</v>
      </c>
      <c r="AI648" s="142" t="s">
        <v>2705</v>
      </c>
      <c r="AJ648" s="142" t="s">
        <v>2705</v>
      </c>
      <c r="AK648" s="142" t="s">
        <v>2705</v>
      </c>
      <c r="AL648" s="142" t="s">
        <v>2675</v>
      </c>
      <c r="AM648" s="142" t="s">
        <v>2675</v>
      </c>
      <c r="AN648" s="142" t="s">
        <v>2705</v>
      </c>
      <c r="AO648" s="142" t="s">
        <v>2398</v>
      </c>
      <c r="AP648" s="142" t="s">
        <v>2398</v>
      </c>
      <c r="AQ648" s="142" t="s">
        <v>2705</v>
      </c>
      <c r="AR648" s="142" t="s">
        <v>2705</v>
      </c>
      <c r="AS648" s="142" t="s">
        <v>2705</v>
      </c>
      <c r="AT648" s="142" t="s">
        <v>2705</v>
      </c>
      <c r="AU648" s="142" t="s">
        <v>2705</v>
      </c>
      <c r="AV648" s="142" t="s">
        <v>2705</v>
      </c>
      <c r="AW648" s="142" t="s">
        <v>2705</v>
      </c>
      <c r="AX648" s="142" t="s">
        <v>2705</v>
      </c>
      <c r="AY648" s="142" t="s">
        <v>2705</v>
      </c>
      <c r="AZ648" s="142" t="s">
        <v>2705</v>
      </c>
    </row>
    <row r="649" spans="1:52" s="142" customFormat="1" ht="12.75" x14ac:dyDescent="0.2">
      <c r="A649" s="151" t="s">
        <v>7641</v>
      </c>
      <c r="B649" s="152" t="s">
        <v>2705</v>
      </c>
      <c r="C649" s="152" t="s">
        <v>2705</v>
      </c>
      <c r="D649" s="152" t="s">
        <v>2675</v>
      </c>
      <c r="E649" s="152" t="s">
        <v>2705</v>
      </c>
      <c r="F649" s="152" t="s">
        <v>2705</v>
      </c>
      <c r="G649" s="152" t="s">
        <v>2705</v>
      </c>
      <c r="H649" s="152" t="s">
        <v>2705</v>
      </c>
      <c r="I649" s="152" t="s">
        <v>2705</v>
      </c>
      <c r="J649" s="152" t="s">
        <v>2705</v>
      </c>
      <c r="K649" s="152" t="s">
        <v>2398</v>
      </c>
      <c r="L649" s="152" t="s">
        <v>2705</v>
      </c>
      <c r="M649" s="152" t="s">
        <v>2705</v>
      </c>
      <c r="N649" s="152" t="s">
        <v>2705</v>
      </c>
      <c r="O649" s="152" t="s">
        <v>2705</v>
      </c>
      <c r="P649" s="152" t="s">
        <v>2705</v>
      </c>
      <c r="Q649" s="152" t="s">
        <v>2705</v>
      </c>
      <c r="R649" s="152" t="s">
        <v>2398</v>
      </c>
      <c r="S649" s="152" t="s">
        <v>2675</v>
      </c>
      <c r="T649" s="152" t="s">
        <v>2705</v>
      </c>
      <c r="U649" s="152" t="s">
        <v>2398</v>
      </c>
      <c r="V649" s="142" cm="1">
        <f t="array" ref="V649">IF(A649&lt;&gt;"",SUM(--(B649:U650 = "X")*$U$3,--(B649:U650 ="A")*$Q$3,--(B649:U650 ="B")*$R$3,--(B649:U650 ="C")*$S$3),"")</f>
        <v>26</v>
      </c>
      <c r="X649" s="437" t="s">
        <v>7957</v>
      </c>
      <c r="Y649" s="437">
        <v>19.5</v>
      </c>
      <c r="Z649" s="436">
        <f>_xlfn.XLOOKUP(answers[[#This Row],[StudentID]],$A$7:$A$1418,$V$7:$V$1418)</f>
        <v>19.5</v>
      </c>
      <c r="AF649" s="142" t="s">
        <v>7641</v>
      </c>
      <c r="AG649" s="142" t="s">
        <v>2705</v>
      </c>
      <c r="AH649" s="142" t="s">
        <v>2705</v>
      </c>
      <c r="AI649" s="142" t="s">
        <v>2675</v>
      </c>
      <c r="AJ649" s="142" t="s">
        <v>2705</v>
      </c>
      <c r="AK649" s="142" t="s">
        <v>2705</v>
      </c>
      <c r="AL649" s="142" t="s">
        <v>2705</v>
      </c>
      <c r="AM649" s="142" t="s">
        <v>2705</v>
      </c>
      <c r="AN649" s="142" t="s">
        <v>2705</v>
      </c>
      <c r="AO649" s="142" t="s">
        <v>2705</v>
      </c>
      <c r="AP649" s="142" t="s">
        <v>2398</v>
      </c>
      <c r="AQ649" s="142" t="s">
        <v>2705</v>
      </c>
      <c r="AR649" s="142" t="s">
        <v>2705</v>
      </c>
      <c r="AS649" s="142" t="s">
        <v>2705</v>
      </c>
      <c r="AT649" s="142" t="s">
        <v>2705</v>
      </c>
      <c r="AU649" s="142" t="s">
        <v>2705</v>
      </c>
      <c r="AV649" s="142" t="s">
        <v>2705</v>
      </c>
      <c r="AW649" s="142" t="s">
        <v>2398</v>
      </c>
      <c r="AX649" s="142" t="s">
        <v>2675</v>
      </c>
      <c r="AY649" s="142" t="s">
        <v>2705</v>
      </c>
      <c r="AZ649" s="142" t="s">
        <v>2398</v>
      </c>
    </row>
    <row r="650" spans="1:52" s="142" customFormat="1" ht="12.75" x14ac:dyDescent="0.2">
      <c r="A650" s="151"/>
      <c r="B650" s="152" t="s">
        <v>2705</v>
      </c>
      <c r="C650" s="152" t="s">
        <v>2705</v>
      </c>
      <c r="D650" s="152" t="s">
        <v>2705</v>
      </c>
      <c r="E650" s="152" t="s">
        <v>2705</v>
      </c>
      <c r="F650" s="152" t="s">
        <v>2705</v>
      </c>
      <c r="G650" s="152" t="s">
        <v>2675</v>
      </c>
      <c r="H650" s="152" t="s">
        <v>2398</v>
      </c>
      <c r="I650" s="152" t="s">
        <v>2705</v>
      </c>
      <c r="J650" s="152" t="s">
        <v>2705</v>
      </c>
      <c r="K650" s="152" t="s">
        <v>2675</v>
      </c>
      <c r="L650" s="152" t="s">
        <v>2705</v>
      </c>
      <c r="M650" s="152" t="s">
        <v>1435</v>
      </c>
      <c r="N650" s="152" t="s">
        <v>2705</v>
      </c>
      <c r="O650" s="152" t="s">
        <v>2705</v>
      </c>
      <c r="P650" s="152" t="s">
        <v>2705</v>
      </c>
      <c r="Q650" s="152" t="s">
        <v>2705</v>
      </c>
      <c r="R650" s="152" t="s">
        <v>2705</v>
      </c>
      <c r="S650" s="152" t="s">
        <v>2398</v>
      </c>
      <c r="T650" s="152" t="s">
        <v>2705</v>
      </c>
      <c r="U650" s="152" t="s">
        <v>1435</v>
      </c>
      <c r="V650" s="142" t="str" cm="1">
        <f t="array" ref="V650">IF(A650&lt;&gt;"",SUM(--(B650:U651 = "X")*$U$3,--(B650:U651 ="A")*$Q$3,--(B650:U651 ="B")*$R$3,--(B650:U651 ="C")*$S$3),"")</f>
        <v/>
      </c>
      <c r="X650" s="437" t="s">
        <v>7958</v>
      </c>
      <c r="Y650" s="437">
        <v>22.5</v>
      </c>
      <c r="Z650" s="436">
        <f>_xlfn.XLOOKUP(answers[[#This Row],[StudentID]],$A$7:$A$1418,$V$7:$V$1418)</f>
        <v>22.5</v>
      </c>
      <c r="AG650" s="142" t="s">
        <v>2705</v>
      </c>
      <c r="AH650" s="142" t="s">
        <v>2705</v>
      </c>
      <c r="AI650" s="142" t="s">
        <v>2705</v>
      </c>
      <c r="AJ650" s="142" t="s">
        <v>2705</v>
      </c>
      <c r="AK650" s="142" t="s">
        <v>2705</v>
      </c>
      <c r="AL650" s="142" t="s">
        <v>2675</v>
      </c>
      <c r="AM650" s="142" t="s">
        <v>2398</v>
      </c>
      <c r="AN650" s="142" t="s">
        <v>2705</v>
      </c>
      <c r="AO650" s="142" t="s">
        <v>2705</v>
      </c>
      <c r="AP650" s="142" t="s">
        <v>2675</v>
      </c>
      <c r="AQ650" s="142" t="s">
        <v>2705</v>
      </c>
      <c r="AR650" s="142" t="s">
        <v>1435</v>
      </c>
      <c r="AS650" s="142" t="s">
        <v>2705</v>
      </c>
      <c r="AT650" s="142" t="s">
        <v>2705</v>
      </c>
      <c r="AU650" s="142" t="s">
        <v>2705</v>
      </c>
      <c r="AV650" s="142" t="s">
        <v>2705</v>
      </c>
      <c r="AW650" s="142" t="s">
        <v>2705</v>
      </c>
      <c r="AX650" s="142" t="s">
        <v>2398</v>
      </c>
      <c r="AY650" s="142" t="s">
        <v>2705</v>
      </c>
      <c r="AZ650" s="142" t="s">
        <v>1435</v>
      </c>
    </row>
    <row r="651" spans="1:52" s="142" customFormat="1" ht="12.75" x14ac:dyDescent="0.2">
      <c r="A651" s="151" t="s">
        <v>7642</v>
      </c>
      <c r="B651" s="152" t="s">
        <v>2705</v>
      </c>
      <c r="C651" s="152" t="s">
        <v>2705</v>
      </c>
      <c r="D651" s="152" t="s">
        <v>2398</v>
      </c>
      <c r="E651" s="152" t="s">
        <v>2705</v>
      </c>
      <c r="F651" s="152" t="s">
        <v>2705</v>
      </c>
      <c r="G651" s="152" t="s">
        <v>2705</v>
      </c>
      <c r="H651" s="152" t="s">
        <v>2705</v>
      </c>
      <c r="I651" s="152" t="s">
        <v>2398</v>
      </c>
      <c r="J651" s="152" t="s">
        <v>2705</v>
      </c>
      <c r="K651" s="152" t="s">
        <v>2398</v>
      </c>
      <c r="L651" s="152" t="s">
        <v>2398</v>
      </c>
      <c r="M651" s="152" t="s">
        <v>2705</v>
      </c>
      <c r="N651" s="152" t="s">
        <v>2705</v>
      </c>
      <c r="O651" s="152" t="s">
        <v>1435</v>
      </c>
      <c r="P651" s="152" t="s">
        <v>2705</v>
      </c>
      <c r="Q651" s="152" t="s">
        <v>2705</v>
      </c>
      <c r="R651" s="152" t="s">
        <v>2705</v>
      </c>
      <c r="S651" s="152" t="s">
        <v>2705</v>
      </c>
      <c r="T651" s="152" t="s">
        <v>2705</v>
      </c>
      <c r="U651" s="152" t="s">
        <v>2705</v>
      </c>
      <c r="V651" s="142" cm="1">
        <f t="array" ref="V651">IF(A651&lt;&gt;"",SUM(--(B651:U652 = "X")*$U$3,--(B651:U652 ="A")*$Q$3,--(B651:U652 ="B")*$R$3,--(B651:U652 ="C")*$S$3),"")</f>
        <v>25.5</v>
      </c>
      <c r="X651" s="437" t="s">
        <v>7959</v>
      </c>
      <c r="Y651" s="437">
        <v>19</v>
      </c>
      <c r="Z651" s="436">
        <f>_xlfn.XLOOKUP(answers[[#This Row],[StudentID]],$A$7:$A$1418,$V$7:$V$1418)</f>
        <v>19</v>
      </c>
      <c r="AF651" s="142" t="s">
        <v>7642</v>
      </c>
      <c r="AG651" s="142" t="s">
        <v>2705</v>
      </c>
      <c r="AH651" s="142" t="s">
        <v>2705</v>
      </c>
      <c r="AI651" s="142" t="s">
        <v>2398</v>
      </c>
      <c r="AJ651" s="142" t="s">
        <v>2705</v>
      </c>
      <c r="AK651" s="142" t="s">
        <v>2705</v>
      </c>
      <c r="AL651" s="142" t="s">
        <v>2705</v>
      </c>
      <c r="AM651" s="142" t="s">
        <v>2705</v>
      </c>
      <c r="AN651" s="142" t="s">
        <v>2398</v>
      </c>
      <c r="AO651" s="142" t="s">
        <v>2705</v>
      </c>
      <c r="AP651" s="142" t="s">
        <v>2398</v>
      </c>
      <c r="AQ651" s="142" t="s">
        <v>2398</v>
      </c>
      <c r="AR651" s="142" t="s">
        <v>2705</v>
      </c>
      <c r="AS651" s="142" t="s">
        <v>2705</v>
      </c>
      <c r="AT651" s="142" t="s">
        <v>1435</v>
      </c>
      <c r="AU651" s="142" t="s">
        <v>2705</v>
      </c>
      <c r="AV651" s="142" t="s">
        <v>2705</v>
      </c>
      <c r="AW651" s="142" t="s">
        <v>2705</v>
      </c>
      <c r="AX651" s="142" t="s">
        <v>2705</v>
      </c>
      <c r="AY651" s="142" t="s">
        <v>2705</v>
      </c>
      <c r="AZ651" s="142" t="s">
        <v>2705</v>
      </c>
    </row>
    <row r="652" spans="1:52" s="142" customFormat="1" ht="12.75" x14ac:dyDescent="0.2">
      <c r="A652" s="151"/>
      <c r="B652" s="152" t="s">
        <v>2398</v>
      </c>
      <c r="C652" s="152" t="s">
        <v>2398</v>
      </c>
      <c r="D652" s="152" t="s">
        <v>2705</v>
      </c>
      <c r="E652" s="152" t="s">
        <v>2675</v>
      </c>
      <c r="F652" s="152" t="s">
        <v>2398</v>
      </c>
      <c r="G652" s="152" t="s">
        <v>2705</v>
      </c>
      <c r="H652" s="152" t="s">
        <v>2705</v>
      </c>
      <c r="I652" s="152" t="s">
        <v>2398</v>
      </c>
      <c r="J652" s="152" t="s">
        <v>2705</v>
      </c>
      <c r="K652" s="152" t="s">
        <v>2705</v>
      </c>
      <c r="L652" s="152" t="s">
        <v>2705</v>
      </c>
      <c r="M652" s="152" t="s">
        <v>2705</v>
      </c>
      <c r="N652" s="152" t="s">
        <v>2705</v>
      </c>
      <c r="O652" s="152" t="s">
        <v>2398</v>
      </c>
      <c r="P652" s="152" t="s">
        <v>1435</v>
      </c>
      <c r="Q652" s="152" t="s">
        <v>2705</v>
      </c>
      <c r="R652" s="152" t="s">
        <v>2398</v>
      </c>
      <c r="S652" s="152" t="s">
        <v>2705</v>
      </c>
      <c r="T652" s="152" t="s">
        <v>2705</v>
      </c>
      <c r="U652" s="152" t="s">
        <v>2705</v>
      </c>
      <c r="V652" s="142" t="str" cm="1">
        <f t="array" ref="V652">IF(A652&lt;&gt;"",SUM(--(B652:U653 = "X")*$U$3,--(B652:U653 ="A")*$Q$3,--(B652:U653 ="B")*$R$3,--(B652:U653 ="C")*$S$3),"")</f>
        <v/>
      </c>
      <c r="X652" s="437" t="s">
        <v>7960</v>
      </c>
      <c r="Y652" s="437">
        <v>14.5</v>
      </c>
      <c r="Z652" s="436">
        <f>_xlfn.XLOOKUP(answers[[#This Row],[StudentID]],$A$7:$A$1418,$V$7:$V$1418)</f>
        <v>14.5</v>
      </c>
      <c r="AG652" s="142" t="s">
        <v>2398</v>
      </c>
      <c r="AH652" s="142" t="s">
        <v>2398</v>
      </c>
      <c r="AI652" s="142" t="s">
        <v>2705</v>
      </c>
      <c r="AJ652" s="142" t="s">
        <v>2675</v>
      </c>
      <c r="AK652" s="142" t="s">
        <v>2398</v>
      </c>
      <c r="AL652" s="142" t="s">
        <v>2705</v>
      </c>
      <c r="AM652" s="142" t="s">
        <v>2705</v>
      </c>
      <c r="AN652" s="142" t="s">
        <v>2398</v>
      </c>
      <c r="AO652" s="142" t="s">
        <v>2705</v>
      </c>
      <c r="AP652" s="142" t="s">
        <v>2705</v>
      </c>
      <c r="AQ652" s="142" t="s">
        <v>2705</v>
      </c>
      <c r="AR652" s="142" t="s">
        <v>2705</v>
      </c>
      <c r="AS652" s="142" t="s">
        <v>2705</v>
      </c>
      <c r="AT652" s="142" t="s">
        <v>2398</v>
      </c>
      <c r="AU652" s="142" t="s">
        <v>1435</v>
      </c>
      <c r="AV652" s="142" t="s">
        <v>2705</v>
      </c>
      <c r="AW652" s="142" t="s">
        <v>2398</v>
      </c>
      <c r="AX652" s="142" t="s">
        <v>2705</v>
      </c>
      <c r="AY652" s="142" t="s">
        <v>2705</v>
      </c>
      <c r="AZ652" s="142" t="s">
        <v>2705</v>
      </c>
    </row>
    <row r="653" spans="1:52" s="142" customFormat="1" ht="12.75" x14ac:dyDescent="0.2">
      <c r="A653" s="151" t="s">
        <v>7643</v>
      </c>
      <c r="B653" s="152" t="s">
        <v>2705</v>
      </c>
      <c r="C653" s="152" t="s">
        <v>2398</v>
      </c>
      <c r="D653" s="152" t="s">
        <v>2705</v>
      </c>
      <c r="E653" s="152" t="s">
        <v>2705</v>
      </c>
      <c r="F653" s="152" t="s">
        <v>2705</v>
      </c>
      <c r="G653" s="152" t="s">
        <v>2705</v>
      </c>
      <c r="H653" s="152" t="s">
        <v>1435</v>
      </c>
      <c r="I653" s="152" t="s">
        <v>2705</v>
      </c>
      <c r="J653" s="152" t="s">
        <v>2398</v>
      </c>
      <c r="K653" s="152" t="s">
        <v>2705</v>
      </c>
      <c r="L653" s="152" t="s">
        <v>2705</v>
      </c>
      <c r="M653" s="152" t="s">
        <v>2705</v>
      </c>
      <c r="N653" s="152" t="s">
        <v>2705</v>
      </c>
      <c r="O653" s="152" t="s">
        <v>2705</v>
      </c>
      <c r="P653" s="152" t="s">
        <v>2398</v>
      </c>
      <c r="Q653" s="152" t="s">
        <v>2675</v>
      </c>
      <c r="R653" s="152" t="s">
        <v>2398</v>
      </c>
      <c r="S653" s="152" t="s">
        <v>2397</v>
      </c>
      <c r="T653" s="152" t="s">
        <v>2398</v>
      </c>
      <c r="U653" s="152" t="s">
        <v>2398</v>
      </c>
      <c r="V653" s="142" cm="1">
        <f t="array" ref="V653">IF(A653&lt;&gt;"",SUM(--(B653:U654 = "X")*$U$3,--(B653:U654 ="A")*$Q$3,--(B653:U654 ="B")*$R$3,--(B653:U654 ="C")*$S$3),"")</f>
        <v>22</v>
      </c>
      <c r="X653" s="437" t="s">
        <v>7961</v>
      </c>
      <c r="Y653" s="437">
        <v>21.5</v>
      </c>
      <c r="Z653" s="436">
        <f>_xlfn.XLOOKUP(answers[[#This Row],[StudentID]],$A$7:$A$1418,$V$7:$V$1418)</f>
        <v>21.5</v>
      </c>
      <c r="AF653" s="142" t="s">
        <v>7643</v>
      </c>
      <c r="AG653" s="142" t="s">
        <v>2705</v>
      </c>
      <c r="AH653" s="142" t="s">
        <v>2398</v>
      </c>
      <c r="AI653" s="142" t="s">
        <v>2705</v>
      </c>
      <c r="AJ653" s="142" t="s">
        <v>2705</v>
      </c>
      <c r="AK653" s="142" t="s">
        <v>2705</v>
      </c>
      <c r="AL653" s="142" t="s">
        <v>2705</v>
      </c>
      <c r="AM653" s="142" t="s">
        <v>1435</v>
      </c>
      <c r="AN653" s="142" t="s">
        <v>2705</v>
      </c>
      <c r="AO653" s="142" t="s">
        <v>2398</v>
      </c>
      <c r="AP653" s="142" t="s">
        <v>2705</v>
      </c>
      <c r="AQ653" s="142" t="s">
        <v>2705</v>
      </c>
      <c r="AR653" s="142" t="s">
        <v>2705</v>
      </c>
      <c r="AS653" s="142" t="s">
        <v>2705</v>
      </c>
      <c r="AT653" s="142" t="s">
        <v>2705</v>
      </c>
      <c r="AU653" s="142" t="s">
        <v>2398</v>
      </c>
      <c r="AV653" s="142" t="s">
        <v>2675</v>
      </c>
      <c r="AW653" s="142" t="s">
        <v>2398</v>
      </c>
      <c r="AX653" s="142" t="s">
        <v>2397</v>
      </c>
      <c r="AY653" s="142" t="s">
        <v>2398</v>
      </c>
      <c r="AZ653" s="142" t="s">
        <v>2398</v>
      </c>
    </row>
    <row r="654" spans="1:52" s="142" customFormat="1" ht="12.75" x14ac:dyDescent="0.2">
      <c r="A654" s="151"/>
      <c r="B654" s="152" t="s">
        <v>2705</v>
      </c>
      <c r="C654" s="152" t="s">
        <v>2705</v>
      </c>
      <c r="D654" s="152" t="s">
        <v>2705</v>
      </c>
      <c r="E654" s="152" t="s">
        <v>2705</v>
      </c>
      <c r="F654" s="152" t="s">
        <v>2705</v>
      </c>
      <c r="G654" s="152" t="s">
        <v>2398</v>
      </c>
      <c r="H654" s="152" t="s">
        <v>2705</v>
      </c>
      <c r="I654" s="152" t="s">
        <v>2705</v>
      </c>
      <c r="J654" s="152" t="s">
        <v>2398</v>
      </c>
      <c r="K654" s="152" t="s">
        <v>2705</v>
      </c>
      <c r="L654" s="152" t="s">
        <v>2398</v>
      </c>
      <c r="M654" s="152" t="s">
        <v>2705</v>
      </c>
      <c r="N654" s="152" t="s">
        <v>2705</v>
      </c>
      <c r="O654" s="152" t="s">
        <v>2705</v>
      </c>
      <c r="P654" s="152" t="s">
        <v>2398</v>
      </c>
      <c r="Q654" s="152" t="s">
        <v>2705</v>
      </c>
      <c r="R654" s="152" t="s">
        <v>1435</v>
      </c>
      <c r="S654" s="152" t="s">
        <v>2675</v>
      </c>
      <c r="T654" s="152" t="s">
        <v>2398</v>
      </c>
      <c r="U654" s="152" t="s">
        <v>2705</v>
      </c>
      <c r="V654" s="142" t="str" cm="1">
        <f t="array" ref="V654">IF(A654&lt;&gt;"",SUM(--(B654:U655 = "X")*$U$3,--(B654:U655 ="A")*$Q$3,--(B654:U655 ="B")*$R$3,--(B654:U655 ="C")*$S$3),"")</f>
        <v/>
      </c>
      <c r="X654" s="437" t="s">
        <v>7962</v>
      </c>
      <c r="Y654" s="437">
        <v>10</v>
      </c>
      <c r="Z654" s="436">
        <f>_xlfn.XLOOKUP(answers[[#This Row],[StudentID]],$A$7:$A$1418,$V$7:$V$1418)</f>
        <v>10</v>
      </c>
      <c r="AG654" s="142" t="s">
        <v>2705</v>
      </c>
      <c r="AH654" s="142" t="s">
        <v>2705</v>
      </c>
      <c r="AI654" s="142" t="s">
        <v>2705</v>
      </c>
      <c r="AJ654" s="142" t="s">
        <v>2705</v>
      </c>
      <c r="AK654" s="142" t="s">
        <v>2705</v>
      </c>
      <c r="AL654" s="142" t="s">
        <v>2398</v>
      </c>
      <c r="AM654" s="142" t="s">
        <v>2705</v>
      </c>
      <c r="AN654" s="142" t="s">
        <v>2705</v>
      </c>
      <c r="AO654" s="142" t="s">
        <v>2398</v>
      </c>
      <c r="AP654" s="142" t="s">
        <v>2705</v>
      </c>
      <c r="AQ654" s="142" t="s">
        <v>2398</v>
      </c>
      <c r="AR654" s="142" t="s">
        <v>2705</v>
      </c>
      <c r="AS654" s="142" t="s">
        <v>2705</v>
      </c>
      <c r="AT654" s="142" t="s">
        <v>2705</v>
      </c>
      <c r="AU654" s="142" t="s">
        <v>2398</v>
      </c>
      <c r="AV654" s="142" t="s">
        <v>2705</v>
      </c>
      <c r="AW654" s="142" t="s">
        <v>1435</v>
      </c>
      <c r="AX654" s="142" t="s">
        <v>2675</v>
      </c>
      <c r="AY654" s="142" t="s">
        <v>2398</v>
      </c>
      <c r="AZ654" s="142" t="s">
        <v>2705</v>
      </c>
    </row>
    <row r="655" spans="1:52" s="142" customFormat="1" ht="12.75" x14ac:dyDescent="0.2">
      <c r="A655" s="151" t="s">
        <v>7644</v>
      </c>
      <c r="B655" s="152" t="s">
        <v>2705</v>
      </c>
      <c r="C655" s="152" t="s">
        <v>2705</v>
      </c>
      <c r="D655" s="152" t="s">
        <v>2705</v>
      </c>
      <c r="E655" s="152" t="s">
        <v>2705</v>
      </c>
      <c r="F655" s="152" t="s">
        <v>2705</v>
      </c>
      <c r="G655" s="152" t="s">
        <v>2705</v>
      </c>
      <c r="H655" s="152" t="s">
        <v>2705</v>
      </c>
      <c r="I655" s="152" t="s">
        <v>2705</v>
      </c>
      <c r="J655" s="152" t="s">
        <v>2705</v>
      </c>
      <c r="K655" s="152" t="s">
        <v>1435</v>
      </c>
      <c r="L655" s="152" t="s">
        <v>2705</v>
      </c>
      <c r="M655" s="152" t="s">
        <v>2705</v>
      </c>
      <c r="N655" s="152" t="s">
        <v>2398</v>
      </c>
      <c r="O655" s="152" t="s">
        <v>2705</v>
      </c>
      <c r="P655" s="152" t="s">
        <v>2705</v>
      </c>
      <c r="Q655" s="152" t="s">
        <v>2398</v>
      </c>
      <c r="R655" s="152" t="s">
        <v>2705</v>
      </c>
      <c r="S655" s="152" t="s">
        <v>2705</v>
      </c>
      <c r="T655" s="152" t="s">
        <v>2705</v>
      </c>
      <c r="U655" s="152" t="s">
        <v>2705</v>
      </c>
      <c r="V655" s="142" cm="1">
        <f t="array" ref="V655">IF(A655&lt;&gt;"",SUM(--(B655:U656 = "X")*$U$3,--(B655:U656 ="A")*$Q$3,--(B655:U656 ="B")*$R$3,--(B655:U656 ="C")*$S$3),"")</f>
        <v>30</v>
      </c>
      <c r="X655" s="437" t="s">
        <v>7963</v>
      </c>
      <c r="Y655" s="437">
        <v>13.5</v>
      </c>
      <c r="Z655" s="436">
        <f>_xlfn.XLOOKUP(answers[[#This Row],[StudentID]],$A$7:$A$1418,$V$7:$V$1418)</f>
        <v>13.5</v>
      </c>
      <c r="AF655" s="142" t="s">
        <v>7644</v>
      </c>
      <c r="AG655" s="142" t="s">
        <v>2705</v>
      </c>
      <c r="AH655" s="142" t="s">
        <v>2705</v>
      </c>
      <c r="AI655" s="142" t="s">
        <v>2705</v>
      </c>
      <c r="AJ655" s="142" t="s">
        <v>2705</v>
      </c>
      <c r="AK655" s="142" t="s">
        <v>2705</v>
      </c>
      <c r="AL655" s="142" t="s">
        <v>2705</v>
      </c>
      <c r="AM655" s="142" t="s">
        <v>2705</v>
      </c>
      <c r="AN655" s="142" t="s">
        <v>2705</v>
      </c>
      <c r="AO655" s="142" t="s">
        <v>2705</v>
      </c>
      <c r="AP655" s="142" t="s">
        <v>1435</v>
      </c>
      <c r="AQ655" s="142" t="s">
        <v>2705</v>
      </c>
      <c r="AR655" s="142" t="s">
        <v>2705</v>
      </c>
      <c r="AS655" s="142" t="s">
        <v>2398</v>
      </c>
      <c r="AT655" s="142" t="s">
        <v>2705</v>
      </c>
      <c r="AU655" s="142" t="s">
        <v>2705</v>
      </c>
      <c r="AV655" s="142" t="s">
        <v>2398</v>
      </c>
      <c r="AW655" s="142" t="s">
        <v>2705</v>
      </c>
      <c r="AX655" s="142" t="s">
        <v>2705</v>
      </c>
      <c r="AY655" s="142" t="s">
        <v>2705</v>
      </c>
      <c r="AZ655" s="142" t="s">
        <v>2705</v>
      </c>
    </row>
    <row r="656" spans="1:52" s="142" customFormat="1" ht="12.75" x14ac:dyDescent="0.2">
      <c r="A656" s="151"/>
      <c r="B656" s="152" t="s">
        <v>2705</v>
      </c>
      <c r="C656" s="152" t="s">
        <v>2398</v>
      </c>
      <c r="D656" s="152" t="s">
        <v>2705</v>
      </c>
      <c r="E656" s="152" t="s">
        <v>1435</v>
      </c>
      <c r="F656" s="152" t="s">
        <v>2705</v>
      </c>
      <c r="G656" s="152" t="s">
        <v>2398</v>
      </c>
      <c r="H656" s="152" t="s">
        <v>2705</v>
      </c>
      <c r="I656" s="152" t="s">
        <v>2705</v>
      </c>
      <c r="J656" s="152" t="s">
        <v>2705</v>
      </c>
      <c r="K656" s="152" t="s">
        <v>2398</v>
      </c>
      <c r="L656" s="152" t="s">
        <v>2705</v>
      </c>
      <c r="M656" s="152" t="s">
        <v>2398</v>
      </c>
      <c r="N656" s="152" t="s">
        <v>2705</v>
      </c>
      <c r="O656" s="152" t="s">
        <v>2705</v>
      </c>
      <c r="P656" s="152" t="s">
        <v>2705</v>
      </c>
      <c r="Q656" s="152" t="s">
        <v>2705</v>
      </c>
      <c r="R656" s="152" t="s">
        <v>2705</v>
      </c>
      <c r="S656" s="152" t="s">
        <v>2705</v>
      </c>
      <c r="T656" s="152" t="s">
        <v>2398</v>
      </c>
      <c r="U656" s="152" t="s">
        <v>2705</v>
      </c>
      <c r="V656" s="142" t="str" cm="1">
        <f t="array" ref="V656">IF(A656&lt;&gt;"",SUM(--(B656:U657 = "X")*$U$3,--(B656:U657 ="A")*$Q$3,--(B656:U657 ="B")*$R$3,--(B656:U657 ="C")*$S$3),"")</f>
        <v/>
      </c>
      <c r="X656" s="437" t="s">
        <v>7964</v>
      </c>
      <c r="Y656" s="437">
        <v>5</v>
      </c>
      <c r="Z656" s="436">
        <f>_xlfn.XLOOKUP(answers[[#This Row],[StudentID]],$A$7:$A$1418,$V$7:$V$1418)</f>
        <v>5</v>
      </c>
      <c r="AG656" s="142" t="s">
        <v>2705</v>
      </c>
      <c r="AH656" s="142" t="s">
        <v>2398</v>
      </c>
      <c r="AI656" s="142" t="s">
        <v>2705</v>
      </c>
      <c r="AJ656" s="142" t="s">
        <v>1435</v>
      </c>
      <c r="AK656" s="142" t="s">
        <v>2705</v>
      </c>
      <c r="AL656" s="142" t="s">
        <v>2398</v>
      </c>
      <c r="AM656" s="142" t="s">
        <v>2705</v>
      </c>
      <c r="AN656" s="142" t="s">
        <v>2705</v>
      </c>
      <c r="AO656" s="142" t="s">
        <v>2705</v>
      </c>
      <c r="AP656" s="142" t="s">
        <v>2398</v>
      </c>
      <c r="AQ656" s="142" t="s">
        <v>2705</v>
      </c>
      <c r="AR656" s="142" t="s">
        <v>2398</v>
      </c>
      <c r="AS656" s="142" t="s">
        <v>2705</v>
      </c>
      <c r="AT656" s="142" t="s">
        <v>2705</v>
      </c>
      <c r="AU656" s="142" t="s">
        <v>2705</v>
      </c>
      <c r="AV656" s="142" t="s">
        <v>2705</v>
      </c>
      <c r="AW656" s="142" t="s">
        <v>2705</v>
      </c>
      <c r="AX656" s="142" t="s">
        <v>2705</v>
      </c>
      <c r="AY656" s="142" t="s">
        <v>2398</v>
      </c>
      <c r="AZ656" s="142" t="s">
        <v>2705</v>
      </c>
    </row>
    <row r="657" spans="1:52" s="142" customFormat="1" ht="12.75" x14ac:dyDescent="0.2">
      <c r="A657" s="151" t="s">
        <v>7645</v>
      </c>
      <c r="B657" s="152" t="s">
        <v>2705</v>
      </c>
      <c r="C657" s="152" t="s">
        <v>2705</v>
      </c>
      <c r="D657" s="152" t="s">
        <v>2705</v>
      </c>
      <c r="E657" s="152" t="s">
        <v>2705</v>
      </c>
      <c r="F657" s="152" t="s">
        <v>2398</v>
      </c>
      <c r="G657" s="152" t="s">
        <v>2675</v>
      </c>
      <c r="H657" s="152" t="s">
        <v>2675</v>
      </c>
      <c r="I657" s="152" t="s">
        <v>2705</v>
      </c>
      <c r="J657" s="152" t="s">
        <v>2705</v>
      </c>
      <c r="K657" s="152" t="s">
        <v>2705</v>
      </c>
      <c r="L657" s="152" t="s">
        <v>1435</v>
      </c>
      <c r="M657" s="152" t="s">
        <v>2398</v>
      </c>
      <c r="N657" s="152" t="s">
        <v>2705</v>
      </c>
      <c r="O657" s="152" t="s">
        <v>2705</v>
      </c>
      <c r="P657" s="152" t="s">
        <v>2705</v>
      </c>
      <c r="Q657" s="152" t="s">
        <v>2705</v>
      </c>
      <c r="R657" s="152" t="s">
        <v>1435</v>
      </c>
      <c r="S657" s="152" t="s">
        <v>2705</v>
      </c>
      <c r="T657" s="152" t="s">
        <v>2705</v>
      </c>
      <c r="U657" s="152" t="s">
        <v>2398</v>
      </c>
      <c r="V657" s="142" cm="1">
        <f t="array" ref="V657">IF(A657&lt;&gt;"",SUM(--(B657:U658 = "X")*$U$3,--(B657:U658 ="A")*$Q$3,--(B657:U658 ="B")*$R$3,--(B657:U658 ="C")*$S$3),"")</f>
        <v>13.5</v>
      </c>
      <c r="X657" s="437" t="s">
        <v>7965</v>
      </c>
      <c r="Y657" s="437">
        <v>19.5</v>
      </c>
      <c r="Z657" s="436">
        <f>_xlfn.XLOOKUP(answers[[#This Row],[StudentID]],$A$7:$A$1418,$V$7:$V$1418)</f>
        <v>19.5</v>
      </c>
      <c r="AF657" s="142" t="s">
        <v>7645</v>
      </c>
      <c r="AG657" s="142" t="s">
        <v>2705</v>
      </c>
      <c r="AH657" s="142" t="s">
        <v>2705</v>
      </c>
      <c r="AI657" s="142" t="s">
        <v>2705</v>
      </c>
      <c r="AJ657" s="142" t="s">
        <v>2705</v>
      </c>
      <c r="AK657" s="142" t="s">
        <v>2398</v>
      </c>
      <c r="AL657" s="142" t="s">
        <v>2675</v>
      </c>
      <c r="AM657" s="142" t="s">
        <v>2675</v>
      </c>
      <c r="AN657" s="142" t="s">
        <v>2705</v>
      </c>
      <c r="AO657" s="142" t="s">
        <v>2705</v>
      </c>
      <c r="AP657" s="142" t="s">
        <v>2705</v>
      </c>
      <c r="AQ657" s="142" t="s">
        <v>1435</v>
      </c>
      <c r="AR657" s="142" t="s">
        <v>2398</v>
      </c>
      <c r="AS657" s="142" t="s">
        <v>2705</v>
      </c>
      <c r="AT657" s="142" t="s">
        <v>2705</v>
      </c>
      <c r="AU657" s="142" t="s">
        <v>2705</v>
      </c>
      <c r="AV657" s="142" t="s">
        <v>2705</v>
      </c>
      <c r="AW657" s="142" t="s">
        <v>1435</v>
      </c>
      <c r="AX657" s="142" t="s">
        <v>2705</v>
      </c>
      <c r="AY657" s="142" t="s">
        <v>2705</v>
      </c>
      <c r="AZ657" s="142" t="s">
        <v>2398</v>
      </c>
    </row>
    <row r="658" spans="1:52" s="142" customFormat="1" ht="12.75" x14ac:dyDescent="0.2">
      <c r="A658" s="151"/>
      <c r="B658" s="152" t="s">
        <v>2398</v>
      </c>
      <c r="C658" s="152" t="s">
        <v>2675</v>
      </c>
      <c r="D658" s="152" t="s">
        <v>1435</v>
      </c>
      <c r="E658" s="152" t="s">
        <v>2675</v>
      </c>
      <c r="F658" s="152" t="s">
        <v>2675</v>
      </c>
      <c r="G658" s="152" t="s">
        <v>2398</v>
      </c>
      <c r="H658" s="152" t="s">
        <v>1435</v>
      </c>
      <c r="I658" s="152" t="s">
        <v>2398</v>
      </c>
      <c r="J658" s="152" t="s">
        <v>2705</v>
      </c>
      <c r="K658" s="152" t="s">
        <v>2705</v>
      </c>
      <c r="L658" s="152" t="s">
        <v>2398</v>
      </c>
      <c r="M658" s="152" t="s">
        <v>2705</v>
      </c>
      <c r="N658" s="152" t="s">
        <v>2675</v>
      </c>
      <c r="O658" s="152" t="s">
        <v>2705</v>
      </c>
      <c r="P658" s="152" t="s">
        <v>2398</v>
      </c>
      <c r="Q658" s="152" t="s">
        <v>2705</v>
      </c>
      <c r="R658" s="152" t="s">
        <v>1435</v>
      </c>
      <c r="S658" s="152" t="s">
        <v>2397</v>
      </c>
      <c r="T658" s="152" t="s">
        <v>2705</v>
      </c>
      <c r="U658" s="152" t="s">
        <v>2398</v>
      </c>
      <c r="V658" s="142" t="str" cm="1">
        <f t="array" ref="V658">IF(A658&lt;&gt;"",SUM(--(B658:U659 = "X")*$U$3,--(B658:U659 ="A")*$Q$3,--(B658:U659 ="B")*$R$3,--(B658:U659 ="C")*$S$3),"")</f>
        <v/>
      </c>
      <c r="X658" s="437" t="s">
        <v>7966</v>
      </c>
      <c r="Y658" s="437">
        <v>28</v>
      </c>
      <c r="Z658" s="436">
        <f>_xlfn.XLOOKUP(answers[[#This Row],[StudentID]],$A$7:$A$1418,$V$7:$V$1418)</f>
        <v>28</v>
      </c>
      <c r="AG658" s="142" t="s">
        <v>2398</v>
      </c>
      <c r="AH658" s="142" t="s">
        <v>2675</v>
      </c>
      <c r="AI658" s="142" t="s">
        <v>1435</v>
      </c>
      <c r="AJ658" s="142" t="s">
        <v>2675</v>
      </c>
      <c r="AK658" s="142" t="s">
        <v>2675</v>
      </c>
      <c r="AL658" s="142" t="s">
        <v>2398</v>
      </c>
      <c r="AM658" s="142" t="s">
        <v>1435</v>
      </c>
      <c r="AN658" s="142" t="s">
        <v>2398</v>
      </c>
      <c r="AO658" s="142" t="s">
        <v>2705</v>
      </c>
      <c r="AP658" s="142" t="s">
        <v>2705</v>
      </c>
      <c r="AQ658" s="142" t="s">
        <v>2398</v>
      </c>
      <c r="AR658" s="142" t="s">
        <v>2705</v>
      </c>
      <c r="AS658" s="142" t="s">
        <v>2675</v>
      </c>
      <c r="AT658" s="142" t="s">
        <v>2705</v>
      </c>
      <c r="AU658" s="142" t="s">
        <v>2398</v>
      </c>
      <c r="AV658" s="142" t="s">
        <v>2705</v>
      </c>
      <c r="AW658" s="142" t="s">
        <v>1435</v>
      </c>
      <c r="AX658" s="142" t="s">
        <v>2397</v>
      </c>
      <c r="AY658" s="142" t="s">
        <v>2705</v>
      </c>
      <c r="AZ658" s="142" t="s">
        <v>2398</v>
      </c>
    </row>
    <row r="659" spans="1:52" s="142" customFormat="1" ht="12.75" x14ac:dyDescent="0.2">
      <c r="A659" s="151" t="s">
        <v>7646</v>
      </c>
      <c r="B659" s="152" t="s">
        <v>2705</v>
      </c>
      <c r="C659" s="152" t="s">
        <v>2398</v>
      </c>
      <c r="D659" s="152" t="s">
        <v>1435</v>
      </c>
      <c r="E659" s="152" t="s">
        <v>2675</v>
      </c>
      <c r="F659" s="152" t="s">
        <v>2705</v>
      </c>
      <c r="G659" s="152" t="s">
        <v>2705</v>
      </c>
      <c r="H659" s="152" t="s">
        <v>2675</v>
      </c>
      <c r="I659" s="152" t="s">
        <v>2398</v>
      </c>
      <c r="J659" s="152" t="s">
        <v>2398</v>
      </c>
      <c r="K659" s="152" t="s">
        <v>2397</v>
      </c>
      <c r="L659" s="152" t="s">
        <v>2398</v>
      </c>
      <c r="M659" s="152" t="s">
        <v>2705</v>
      </c>
      <c r="N659" s="152" t="s">
        <v>1435</v>
      </c>
      <c r="O659" s="152" t="s">
        <v>2705</v>
      </c>
      <c r="P659" s="152" t="s">
        <v>2705</v>
      </c>
      <c r="Q659" s="152" t="s">
        <v>2705</v>
      </c>
      <c r="R659" s="152" t="s">
        <v>2705</v>
      </c>
      <c r="S659" s="152" t="s">
        <v>2705</v>
      </c>
      <c r="T659" s="152" t="s">
        <v>2398</v>
      </c>
      <c r="U659" s="152" t="s">
        <v>2398</v>
      </c>
      <c r="V659" s="142" cm="1">
        <f t="array" ref="V659">IF(A659&lt;&gt;"",SUM(--(B659:U660 = "X")*$U$3,--(B659:U660 ="A")*$Q$3,--(B659:U660 ="B")*$R$3,--(B659:U660 ="C")*$S$3),"")</f>
        <v>11</v>
      </c>
      <c r="X659" s="437" t="s">
        <v>7967</v>
      </c>
      <c r="Y659" s="437">
        <v>15</v>
      </c>
      <c r="Z659" s="436">
        <f>_xlfn.XLOOKUP(answers[[#This Row],[StudentID]],$A$7:$A$1418,$V$7:$V$1418)</f>
        <v>15</v>
      </c>
      <c r="AF659" s="142" t="s">
        <v>7646</v>
      </c>
      <c r="AG659" s="142" t="s">
        <v>2705</v>
      </c>
      <c r="AH659" s="142" t="s">
        <v>2398</v>
      </c>
      <c r="AI659" s="142" t="s">
        <v>1435</v>
      </c>
      <c r="AJ659" s="142" t="s">
        <v>2675</v>
      </c>
      <c r="AK659" s="142" t="s">
        <v>2705</v>
      </c>
      <c r="AL659" s="142" t="s">
        <v>2705</v>
      </c>
      <c r="AM659" s="142" t="s">
        <v>2675</v>
      </c>
      <c r="AN659" s="142" t="s">
        <v>2398</v>
      </c>
      <c r="AO659" s="142" t="s">
        <v>2398</v>
      </c>
      <c r="AP659" s="142" t="s">
        <v>2397</v>
      </c>
      <c r="AQ659" s="142" t="s">
        <v>2398</v>
      </c>
      <c r="AR659" s="142" t="s">
        <v>2705</v>
      </c>
      <c r="AS659" s="142" t="s">
        <v>1435</v>
      </c>
      <c r="AT659" s="142" t="s">
        <v>2705</v>
      </c>
      <c r="AU659" s="142" t="s">
        <v>2705</v>
      </c>
      <c r="AV659" s="142" t="s">
        <v>2705</v>
      </c>
      <c r="AW659" s="142" t="s">
        <v>2705</v>
      </c>
      <c r="AX659" s="142" t="s">
        <v>2705</v>
      </c>
      <c r="AY659" s="142" t="s">
        <v>2398</v>
      </c>
      <c r="AZ659" s="142" t="s">
        <v>2398</v>
      </c>
    </row>
    <row r="660" spans="1:52" s="142" customFormat="1" ht="12.75" x14ac:dyDescent="0.2">
      <c r="A660" s="151"/>
      <c r="B660" s="152" t="s">
        <v>1435</v>
      </c>
      <c r="C660" s="152" t="s">
        <v>2398</v>
      </c>
      <c r="D660" s="152" t="s">
        <v>1435</v>
      </c>
      <c r="E660" s="152" t="s">
        <v>2675</v>
      </c>
      <c r="F660" s="152" t="s">
        <v>2705</v>
      </c>
      <c r="G660" s="152" t="s">
        <v>1435</v>
      </c>
      <c r="H660" s="152" t="s">
        <v>2705</v>
      </c>
      <c r="I660" s="152" t="s">
        <v>2398</v>
      </c>
      <c r="J660" s="152" t="s">
        <v>2397</v>
      </c>
      <c r="K660" s="152" t="s">
        <v>2398</v>
      </c>
      <c r="L660" s="152" t="s">
        <v>2397</v>
      </c>
      <c r="M660" s="152" t="s">
        <v>2705</v>
      </c>
      <c r="N660" s="152" t="s">
        <v>2705</v>
      </c>
      <c r="O660" s="152" t="s">
        <v>2705</v>
      </c>
      <c r="P660" s="152" t="s">
        <v>2675</v>
      </c>
      <c r="Q660" s="152" t="s">
        <v>2398</v>
      </c>
      <c r="R660" s="152" t="s">
        <v>2705</v>
      </c>
      <c r="S660" s="152" t="s">
        <v>2705</v>
      </c>
      <c r="T660" s="152" t="s">
        <v>2397</v>
      </c>
      <c r="U660" s="152" t="s">
        <v>2675</v>
      </c>
      <c r="V660" s="142" t="str" cm="1">
        <f t="array" ref="V660">IF(A660&lt;&gt;"",SUM(--(B660:U661 = "X")*$U$3,--(B660:U661 ="A")*$Q$3,--(B660:U661 ="B")*$R$3,--(B660:U661 ="C")*$S$3),"")</f>
        <v/>
      </c>
      <c r="X660" s="437" t="s">
        <v>7968</v>
      </c>
      <c r="Y660" s="437">
        <v>6</v>
      </c>
      <c r="Z660" s="436">
        <f>_xlfn.XLOOKUP(answers[[#This Row],[StudentID]],$A$7:$A$1418,$V$7:$V$1418)</f>
        <v>6</v>
      </c>
      <c r="AG660" s="142" t="s">
        <v>1435</v>
      </c>
      <c r="AH660" s="142" t="s">
        <v>2398</v>
      </c>
      <c r="AI660" s="142" t="s">
        <v>1435</v>
      </c>
      <c r="AJ660" s="142" t="s">
        <v>2675</v>
      </c>
      <c r="AK660" s="142" t="s">
        <v>2705</v>
      </c>
      <c r="AL660" s="142" t="s">
        <v>1435</v>
      </c>
      <c r="AM660" s="142" t="s">
        <v>2705</v>
      </c>
      <c r="AN660" s="142" t="s">
        <v>2398</v>
      </c>
      <c r="AO660" s="142" t="s">
        <v>2397</v>
      </c>
      <c r="AP660" s="142" t="s">
        <v>2398</v>
      </c>
      <c r="AQ660" s="142" t="s">
        <v>2397</v>
      </c>
      <c r="AR660" s="142" t="s">
        <v>2705</v>
      </c>
      <c r="AS660" s="142" t="s">
        <v>2705</v>
      </c>
      <c r="AT660" s="142" t="s">
        <v>2705</v>
      </c>
      <c r="AU660" s="142" t="s">
        <v>2675</v>
      </c>
      <c r="AV660" s="142" t="s">
        <v>2398</v>
      </c>
      <c r="AW660" s="142" t="s">
        <v>2705</v>
      </c>
      <c r="AX660" s="142" t="s">
        <v>2705</v>
      </c>
      <c r="AY660" s="142" t="s">
        <v>2397</v>
      </c>
      <c r="AZ660" s="142" t="s">
        <v>2675</v>
      </c>
    </row>
    <row r="661" spans="1:52" s="142" customFormat="1" ht="12.75" x14ac:dyDescent="0.2">
      <c r="A661" s="151" t="s">
        <v>7647</v>
      </c>
      <c r="B661" s="152" t="s">
        <v>2398</v>
      </c>
      <c r="C661" s="152" t="s">
        <v>2705</v>
      </c>
      <c r="D661" s="152" t="s">
        <v>2705</v>
      </c>
      <c r="E661" s="152" t="s">
        <v>2705</v>
      </c>
      <c r="F661" s="152" t="s">
        <v>2705</v>
      </c>
      <c r="G661" s="152" t="s">
        <v>2705</v>
      </c>
      <c r="H661" s="152" t="s">
        <v>2705</v>
      </c>
      <c r="I661" s="152" t="s">
        <v>2705</v>
      </c>
      <c r="J661" s="152" t="s">
        <v>2705</v>
      </c>
      <c r="K661" s="152" t="s">
        <v>1435</v>
      </c>
      <c r="L661" s="152" t="s">
        <v>1435</v>
      </c>
      <c r="M661" s="152" t="s">
        <v>2398</v>
      </c>
      <c r="N661" s="152" t="s">
        <v>2705</v>
      </c>
      <c r="O661" s="152" t="s">
        <v>2398</v>
      </c>
      <c r="P661" s="152" t="s">
        <v>2397</v>
      </c>
      <c r="Q661" s="152" t="s">
        <v>2398</v>
      </c>
      <c r="R661" s="152" t="s">
        <v>2397</v>
      </c>
      <c r="S661" s="152" t="s">
        <v>2705</v>
      </c>
      <c r="T661" s="152" t="s">
        <v>1435</v>
      </c>
      <c r="U661" s="152" t="s">
        <v>2398</v>
      </c>
      <c r="V661" s="142" cm="1">
        <f t="array" ref="V661">IF(A661&lt;&gt;"",SUM(--(B661:U662 = "X")*$U$3,--(B661:U662 ="A")*$Q$3,--(B661:U662 ="B")*$R$3,--(B661:U662 ="C")*$S$3),"")</f>
        <v>17</v>
      </c>
      <c r="X661" s="437" t="s">
        <v>7969</v>
      </c>
      <c r="Y661" s="437">
        <v>12.5</v>
      </c>
      <c r="Z661" s="436">
        <f>_xlfn.XLOOKUP(answers[[#This Row],[StudentID]],$A$7:$A$1418,$V$7:$V$1418)</f>
        <v>12.5</v>
      </c>
      <c r="AF661" s="142" t="s">
        <v>7647</v>
      </c>
      <c r="AG661" s="142" t="s">
        <v>2398</v>
      </c>
      <c r="AH661" s="142" t="s">
        <v>2705</v>
      </c>
      <c r="AI661" s="142" t="s">
        <v>2705</v>
      </c>
      <c r="AJ661" s="142" t="s">
        <v>2705</v>
      </c>
      <c r="AK661" s="142" t="s">
        <v>2705</v>
      </c>
      <c r="AL661" s="142" t="s">
        <v>2705</v>
      </c>
      <c r="AM661" s="142" t="s">
        <v>2705</v>
      </c>
      <c r="AN661" s="142" t="s">
        <v>2705</v>
      </c>
      <c r="AO661" s="142" t="s">
        <v>2705</v>
      </c>
      <c r="AP661" s="142" t="s">
        <v>1435</v>
      </c>
      <c r="AQ661" s="142" t="s">
        <v>1435</v>
      </c>
      <c r="AR661" s="142" t="s">
        <v>2398</v>
      </c>
      <c r="AS661" s="142" t="s">
        <v>2705</v>
      </c>
      <c r="AT661" s="142" t="s">
        <v>2398</v>
      </c>
      <c r="AU661" s="142" t="s">
        <v>2397</v>
      </c>
      <c r="AV661" s="142" t="s">
        <v>2398</v>
      </c>
      <c r="AW661" s="142" t="s">
        <v>2397</v>
      </c>
      <c r="AX661" s="142" t="s">
        <v>2705</v>
      </c>
      <c r="AY661" s="142" t="s">
        <v>1435</v>
      </c>
      <c r="AZ661" s="142" t="s">
        <v>2398</v>
      </c>
    </row>
    <row r="662" spans="1:52" s="142" customFormat="1" ht="12.75" x14ac:dyDescent="0.2">
      <c r="A662" s="151"/>
      <c r="B662" s="152" t="s">
        <v>2398</v>
      </c>
      <c r="C662" s="152" t="s">
        <v>2705</v>
      </c>
      <c r="D662" s="152" t="s">
        <v>2398</v>
      </c>
      <c r="E662" s="152" t="s">
        <v>2398</v>
      </c>
      <c r="F662" s="152" t="s">
        <v>2398</v>
      </c>
      <c r="G662" s="152" t="s">
        <v>1435</v>
      </c>
      <c r="H662" s="152" t="s">
        <v>1435</v>
      </c>
      <c r="I662" s="152" t="s">
        <v>2705</v>
      </c>
      <c r="J662" s="152" t="s">
        <v>2705</v>
      </c>
      <c r="K662" s="152" t="s">
        <v>2675</v>
      </c>
      <c r="L662" s="152" t="s">
        <v>2705</v>
      </c>
      <c r="M662" s="152" t="s">
        <v>2398</v>
      </c>
      <c r="N662" s="152" t="s">
        <v>2398</v>
      </c>
      <c r="O662" s="152" t="s">
        <v>2705</v>
      </c>
      <c r="P662" s="152" t="s">
        <v>2398</v>
      </c>
      <c r="Q662" s="152" t="s">
        <v>2705</v>
      </c>
      <c r="R662" s="152" t="s">
        <v>2705</v>
      </c>
      <c r="S662" s="152" t="s">
        <v>2705</v>
      </c>
      <c r="T662" s="152" t="s">
        <v>2705</v>
      </c>
      <c r="U662" s="152" t="s">
        <v>2705</v>
      </c>
      <c r="V662" s="142" t="str" cm="1">
        <f t="array" ref="V662">IF(A662&lt;&gt;"",SUM(--(B662:U663 = "X")*$U$3,--(B662:U663 ="A")*$Q$3,--(B662:U663 ="B")*$R$3,--(B662:U663 ="C")*$S$3),"")</f>
        <v/>
      </c>
      <c r="X662" s="437" t="s">
        <v>7970</v>
      </c>
      <c r="Y662" s="437">
        <v>15</v>
      </c>
      <c r="Z662" s="436">
        <f>_xlfn.XLOOKUP(answers[[#This Row],[StudentID]],$A$7:$A$1418,$V$7:$V$1418)</f>
        <v>15</v>
      </c>
      <c r="AG662" s="142" t="s">
        <v>2398</v>
      </c>
      <c r="AH662" s="142" t="s">
        <v>2705</v>
      </c>
      <c r="AI662" s="142" t="s">
        <v>2398</v>
      </c>
      <c r="AJ662" s="142" t="s">
        <v>2398</v>
      </c>
      <c r="AK662" s="142" t="s">
        <v>2398</v>
      </c>
      <c r="AL662" s="142" t="s">
        <v>1435</v>
      </c>
      <c r="AM662" s="142" t="s">
        <v>1435</v>
      </c>
      <c r="AN662" s="142" t="s">
        <v>2705</v>
      </c>
      <c r="AO662" s="142" t="s">
        <v>2705</v>
      </c>
      <c r="AP662" s="142" t="s">
        <v>2675</v>
      </c>
      <c r="AQ662" s="142" t="s">
        <v>2705</v>
      </c>
      <c r="AR662" s="142" t="s">
        <v>2398</v>
      </c>
      <c r="AS662" s="142" t="s">
        <v>2398</v>
      </c>
      <c r="AT662" s="142" t="s">
        <v>2705</v>
      </c>
      <c r="AU662" s="142" t="s">
        <v>2398</v>
      </c>
      <c r="AV662" s="142" t="s">
        <v>2705</v>
      </c>
      <c r="AW662" s="142" t="s">
        <v>2705</v>
      </c>
      <c r="AX662" s="142" t="s">
        <v>2705</v>
      </c>
      <c r="AY662" s="142" t="s">
        <v>2705</v>
      </c>
      <c r="AZ662" s="142" t="s">
        <v>2705</v>
      </c>
    </row>
    <row r="663" spans="1:52" s="142" customFormat="1" ht="12.75" x14ac:dyDescent="0.2">
      <c r="A663" s="151" t="s">
        <v>7648</v>
      </c>
      <c r="B663" s="152" t="s">
        <v>2705</v>
      </c>
      <c r="C663" s="152" t="s">
        <v>2398</v>
      </c>
      <c r="D663" s="152" t="s">
        <v>2398</v>
      </c>
      <c r="E663" s="152" t="s">
        <v>2397</v>
      </c>
      <c r="F663" s="152" t="s">
        <v>2398</v>
      </c>
      <c r="G663" s="152" t="s">
        <v>2398</v>
      </c>
      <c r="H663" s="152" t="s">
        <v>2398</v>
      </c>
      <c r="I663" s="152" t="s">
        <v>2705</v>
      </c>
      <c r="J663" s="152" t="s">
        <v>2398</v>
      </c>
      <c r="K663" s="152" t="s">
        <v>2398</v>
      </c>
      <c r="L663" s="152" t="s">
        <v>2675</v>
      </c>
      <c r="M663" s="152" t="s">
        <v>2705</v>
      </c>
      <c r="N663" s="152" t="s">
        <v>2705</v>
      </c>
      <c r="O663" s="152" t="s">
        <v>2705</v>
      </c>
      <c r="P663" s="152" t="s">
        <v>1435</v>
      </c>
      <c r="Q663" s="152" t="s">
        <v>2675</v>
      </c>
      <c r="R663" s="152" t="s">
        <v>2705</v>
      </c>
      <c r="S663" s="152" t="s">
        <v>2705</v>
      </c>
      <c r="T663" s="152" t="s">
        <v>2398</v>
      </c>
      <c r="U663" s="152" t="s">
        <v>2675</v>
      </c>
      <c r="V663" s="142" cm="1">
        <f t="array" ref="V663">IF(A663&lt;&gt;"",SUM(--(B663:U664 = "X")*$U$3,--(B663:U664 ="A")*$Q$3,--(B663:U664 ="B")*$R$3,--(B663:U664 ="C")*$S$3),"")</f>
        <v>11.5</v>
      </c>
      <c r="X663" s="437" t="s">
        <v>7971</v>
      </c>
      <c r="Y663" s="437">
        <v>10.5</v>
      </c>
      <c r="Z663" s="436">
        <f>_xlfn.XLOOKUP(answers[[#This Row],[StudentID]],$A$7:$A$1418,$V$7:$V$1418)</f>
        <v>10.5</v>
      </c>
      <c r="AF663" s="142" t="s">
        <v>7648</v>
      </c>
      <c r="AG663" s="142" t="s">
        <v>2705</v>
      </c>
      <c r="AH663" s="142" t="s">
        <v>2398</v>
      </c>
      <c r="AI663" s="142" t="s">
        <v>2398</v>
      </c>
      <c r="AJ663" s="142" t="s">
        <v>2397</v>
      </c>
      <c r="AK663" s="142" t="s">
        <v>2398</v>
      </c>
      <c r="AL663" s="142" t="s">
        <v>2398</v>
      </c>
      <c r="AM663" s="142" t="s">
        <v>2398</v>
      </c>
      <c r="AN663" s="142" t="s">
        <v>2705</v>
      </c>
      <c r="AO663" s="142" t="s">
        <v>2398</v>
      </c>
      <c r="AP663" s="142" t="s">
        <v>2398</v>
      </c>
      <c r="AQ663" s="142" t="s">
        <v>2675</v>
      </c>
      <c r="AR663" s="142" t="s">
        <v>2705</v>
      </c>
      <c r="AS663" s="142" t="s">
        <v>2705</v>
      </c>
      <c r="AT663" s="142" t="s">
        <v>2705</v>
      </c>
      <c r="AU663" s="142" t="s">
        <v>1435</v>
      </c>
      <c r="AV663" s="142" t="s">
        <v>2675</v>
      </c>
      <c r="AW663" s="142" t="s">
        <v>2705</v>
      </c>
      <c r="AX663" s="142" t="s">
        <v>2705</v>
      </c>
      <c r="AY663" s="142" t="s">
        <v>2398</v>
      </c>
      <c r="AZ663" s="142" t="s">
        <v>2675</v>
      </c>
    </row>
    <row r="664" spans="1:52" s="142" customFormat="1" ht="12.75" x14ac:dyDescent="0.2">
      <c r="A664" s="151"/>
      <c r="B664" s="152" t="s">
        <v>1435</v>
      </c>
      <c r="C664" s="152" t="s">
        <v>2398</v>
      </c>
      <c r="D664" s="152" t="s">
        <v>2705</v>
      </c>
      <c r="E664" s="152" t="s">
        <v>2675</v>
      </c>
      <c r="F664" s="152" t="s">
        <v>2705</v>
      </c>
      <c r="G664" s="152" t="s">
        <v>2705</v>
      </c>
      <c r="H664" s="152" t="s">
        <v>2705</v>
      </c>
      <c r="I664" s="152" t="s">
        <v>2398</v>
      </c>
      <c r="J664" s="152" t="s">
        <v>2398</v>
      </c>
      <c r="K664" s="152" t="s">
        <v>2705</v>
      </c>
      <c r="L664" s="152" t="s">
        <v>2398</v>
      </c>
      <c r="M664" s="152" t="s">
        <v>2705</v>
      </c>
      <c r="N664" s="152" t="s">
        <v>2705</v>
      </c>
      <c r="O664" s="152" t="s">
        <v>1435</v>
      </c>
      <c r="P664" s="152" t="s">
        <v>2675</v>
      </c>
      <c r="Q664" s="152" t="s">
        <v>2398</v>
      </c>
      <c r="R664" s="152" t="s">
        <v>1435</v>
      </c>
      <c r="S664" s="152" t="s">
        <v>2705</v>
      </c>
      <c r="T664" s="152" t="s">
        <v>2705</v>
      </c>
      <c r="U664" s="152" t="s">
        <v>2398</v>
      </c>
      <c r="V664" s="142" t="str" cm="1">
        <f t="array" ref="V664">IF(A664&lt;&gt;"",SUM(--(B664:U665 = "X")*$U$3,--(B664:U665 ="A")*$Q$3,--(B664:U665 ="B")*$R$3,--(B664:U665 ="C")*$S$3),"")</f>
        <v/>
      </c>
      <c r="X664" s="437" t="s">
        <v>7972</v>
      </c>
      <c r="Y664" s="437">
        <v>13.5</v>
      </c>
      <c r="Z664" s="436">
        <f>_xlfn.XLOOKUP(answers[[#This Row],[StudentID]],$A$7:$A$1418,$V$7:$V$1418)</f>
        <v>13.5</v>
      </c>
      <c r="AG664" s="142" t="s">
        <v>1435</v>
      </c>
      <c r="AH664" s="142" t="s">
        <v>2398</v>
      </c>
      <c r="AI664" s="142" t="s">
        <v>2705</v>
      </c>
      <c r="AJ664" s="142" t="s">
        <v>2675</v>
      </c>
      <c r="AK664" s="142" t="s">
        <v>2705</v>
      </c>
      <c r="AL664" s="142" t="s">
        <v>2705</v>
      </c>
      <c r="AM664" s="142" t="s">
        <v>2705</v>
      </c>
      <c r="AN664" s="142" t="s">
        <v>2398</v>
      </c>
      <c r="AO664" s="142" t="s">
        <v>2398</v>
      </c>
      <c r="AP664" s="142" t="s">
        <v>2705</v>
      </c>
      <c r="AQ664" s="142" t="s">
        <v>2398</v>
      </c>
      <c r="AR664" s="142" t="s">
        <v>2705</v>
      </c>
      <c r="AS664" s="142" t="s">
        <v>2705</v>
      </c>
      <c r="AT664" s="142" t="s">
        <v>1435</v>
      </c>
      <c r="AU664" s="142" t="s">
        <v>2675</v>
      </c>
      <c r="AV664" s="142" t="s">
        <v>2398</v>
      </c>
      <c r="AW664" s="142" t="s">
        <v>1435</v>
      </c>
      <c r="AX664" s="142" t="s">
        <v>2705</v>
      </c>
      <c r="AY664" s="142" t="s">
        <v>2705</v>
      </c>
      <c r="AZ664" s="142" t="s">
        <v>2398</v>
      </c>
    </row>
    <row r="665" spans="1:52" s="142" customFormat="1" ht="12.75" x14ac:dyDescent="0.2">
      <c r="A665" s="151" t="s">
        <v>7649</v>
      </c>
      <c r="B665" s="152" t="s">
        <v>1435</v>
      </c>
      <c r="C665" s="152" t="s">
        <v>2705</v>
      </c>
      <c r="D665" s="152" t="s">
        <v>2398</v>
      </c>
      <c r="E665" s="152" t="s">
        <v>2398</v>
      </c>
      <c r="F665" s="152" t="s">
        <v>2705</v>
      </c>
      <c r="G665" s="152" t="s">
        <v>2398</v>
      </c>
      <c r="H665" s="152" t="s">
        <v>2705</v>
      </c>
      <c r="I665" s="152" t="s">
        <v>2398</v>
      </c>
      <c r="J665" s="152" t="s">
        <v>2705</v>
      </c>
      <c r="K665" s="152" t="s">
        <v>2705</v>
      </c>
      <c r="L665" s="152" t="s">
        <v>2705</v>
      </c>
      <c r="M665" s="152" t="s">
        <v>2398</v>
      </c>
      <c r="N665" s="152" t="s">
        <v>2705</v>
      </c>
      <c r="O665" s="152" t="s">
        <v>2705</v>
      </c>
      <c r="P665" s="152" t="s">
        <v>2675</v>
      </c>
      <c r="Q665" s="152" t="s">
        <v>2398</v>
      </c>
      <c r="R665" s="152" t="s">
        <v>2398</v>
      </c>
      <c r="S665" s="152" t="s">
        <v>2705</v>
      </c>
      <c r="T665" s="152" t="s">
        <v>1435</v>
      </c>
      <c r="U665" s="152" t="s">
        <v>2398</v>
      </c>
      <c r="V665" s="142" cm="1">
        <f t="array" ref="V665">IF(A665&lt;&gt;"",SUM(--(B665:U666 = "X")*$U$3,--(B665:U666 ="A")*$Q$3,--(B665:U666 ="B")*$R$3,--(B665:U666 ="C")*$S$3),"")</f>
        <v>11</v>
      </c>
      <c r="X665" s="437" t="s">
        <v>7973</v>
      </c>
      <c r="Y665" s="437">
        <v>10</v>
      </c>
      <c r="Z665" s="436">
        <f>_xlfn.XLOOKUP(answers[[#This Row],[StudentID]],$A$7:$A$1418,$V$7:$V$1418)</f>
        <v>10</v>
      </c>
      <c r="AF665" s="142" t="s">
        <v>7649</v>
      </c>
      <c r="AG665" s="142" t="s">
        <v>1435</v>
      </c>
      <c r="AH665" s="142" t="s">
        <v>2705</v>
      </c>
      <c r="AI665" s="142" t="s">
        <v>2398</v>
      </c>
      <c r="AJ665" s="142" t="s">
        <v>2398</v>
      </c>
      <c r="AK665" s="142" t="s">
        <v>2705</v>
      </c>
      <c r="AL665" s="142" t="s">
        <v>2398</v>
      </c>
      <c r="AM665" s="142" t="s">
        <v>2705</v>
      </c>
      <c r="AN665" s="142" t="s">
        <v>2398</v>
      </c>
      <c r="AO665" s="142" t="s">
        <v>2705</v>
      </c>
      <c r="AP665" s="142" t="s">
        <v>2705</v>
      </c>
      <c r="AQ665" s="142" t="s">
        <v>2705</v>
      </c>
      <c r="AR665" s="142" t="s">
        <v>2398</v>
      </c>
      <c r="AS665" s="142" t="s">
        <v>2705</v>
      </c>
      <c r="AT665" s="142" t="s">
        <v>2705</v>
      </c>
      <c r="AU665" s="142" t="s">
        <v>2675</v>
      </c>
      <c r="AV665" s="142" t="s">
        <v>2398</v>
      </c>
      <c r="AW665" s="142" t="s">
        <v>2398</v>
      </c>
      <c r="AX665" s="142" t="s">
        <v>2705</v>
      </c>
      <c r="AY665" s="142" t="s">
        <v>1435</v>
      </c>
      <c r="AZ665" s="142" t="s">
        <v>2398</v>
      </c>
    </row>
    <row r="666" spans="1:52" s="142" customFormat="1" ht="12.75" x14ac:dyDescent="0.2">
      <c r="A666" s="151"/>
      <c r="B666" s="152" t="s">
        <v>2397</v>
      </c>
      <c r="C666" s="152" t="s">
        <v>2398</v>
      </c>
      <c r="D666" s="152" t="s">
        <v>2705</v>
      </c>
      <c r="E666" s="152" t="s">
        <v>2675</v>
      </c>
      <c r="F666" s="152" t="s">
        <v>2705</v>
      </c>
      <c r="G666" s="152" t="s">
        <v>1435</v>
      </c>
      <c r="H666" s="152" t="s">
        <v>2398</v>
      </c>
      <c r="I666" s="152" t="s">
        <v>2705</v>
      </c>
      <c r="J666" s="152" t="s">
        <v>2398</v>
      </c>
      <c r="K666" s="152" t="s">
        <v>2398</v>
      </c>
      <c r="L666" s="152" t="s">
        <v>2398</v>
      </c>
      <c r="M666" s="152" t="s">
        <v>1435</v>
      </c>
      <c r="N666" s="152" t="s">
        <v>2398</v>
      </c>
      <c r="O666" s="152" t="s">
        <v>2705</v>
      </c>
      <c r="P666" s="152" t="s">
        <v>1435</v>
      </c>
      <c r="Q666" s="152" t="s">
        <v>2705</v>
      </c>
      <c r="R666" s="152" t="s">
        <v>2397</v>
      </c>
      <c r="S666" s="152" t="s">
        <v>2675</v>
      </c>
      <c r="T666" s="152" t="s">
        <v>2705</v>
      </c>
      <c r="U666" s="152" t="s">
        <v>2397</v>
      </c>
      <c r="V666" s="142" t="str" cm="1">
        <f t="array" ref="V666">IF(A666&lt;&gt;"",SUM(--(B666:U667 = "X")*$U$3,--(B666:U667 ="A")*$Q$3,--(B666:U667 ="B")*$R$3,--(B666:U667 ="C")*$S$3),"")</f>
        <v/>
      </c>
      <c r="X666" s="437" t="s">
        <v>7974</v>
      </c>
      <c r="Y666" s="437">
        <v>5</v>
      </c>
      <c r="Z666" s="436">
        <f>_xlfn.XLOOKUP(answers[[#This Row],[StudentID]],$A$7:$A$1418,$V$7:$V$1418)</f>
        <v>5</v>
      </c>
      <c r="AG666" s="142" t="s">
        <v>2397</v>
      </c>
      <c r="AH666" s="142" t="s">
        <v>2398</v>
      </c>
      <c r="AI666" s="142" t="s">
        <v>2705</v>
      </c>
      <c r="AJ666" s="142" t="s">
        <v>2675</v>
      </c>
      <c r="AK666" s="142" t="s">
        <v>2705</v>
      </c>
      <c r="AL666" s="142" t="s">
        <v>1435</v>
      </c>
      <c r="AM666" s="142" t="s">
        <v>2398</v>
      </c>
      <c r="AN666" s="142" t="s">
        <v>2705</v>
      </c>
      <c r="AO666" s="142" t="s">
        <v>2398</v>
      </c>
      <c r="AP666" s="142" t="s">
        <v>2398</v>
      </c>
      <c r="AQ666" s="142" t="s">
        <v>2398</v>
      </c>
      <c r="AR666" s="142" t="s">
        <v>1435</v>
      </c>
      <c r="AS666" s="142" t="s">
        <v>2398</v>
      </c>
      <c r="AT666" s="142" t="s">
        <v>2705</v>
      </c>
      <c r="AU666" s="142" t="s">
        <v>1435</v>
      </c>
      <c r="AV666" s="142" t="s">
        <v>2705</v>
      </c>
      <c r="AW666" s="142" t="s">
        <v>2397</v>
      </c>
      <c r="AX666" s="142" t="s">
        <v>2675</v>
      </c>
      <c r="AY666" s="142" t="s">
        <v>2705</v>
      </c>
      <c r="AZ666" s="142" t="s">
        <v>2397</v>
      </c>
    </row>
    <row r="667" spans="1:52" s="142" customFormat="1" ht="12.75" x14ac:dyDescent="0.2">
      <c r="A667" s="151" t="s">
        <v>7650</v>
      </c>
      <c r="B667" s="152" t="s">
        <v>2705</v>
      </c>
      <c r="C667" s="152" t="s">
        <v>2397</v>
      </c>
      <c r="D667" s="152" t="s">
        <v>2705</v>
      </c>
      <c r="E667" s="152" t="s">
        <v>2398</v>
      </c>
      <c r="F667" s="152" t="s">
        <v>2398</v>
      </c>
      <c r="G667" s="152" t="s">
        <v>2398</v>
      </c>
      <c r="H667" s="152" t="s">
        <v>2398</v>
      </c>
      <c r="I667" s="152" t="s">
        <v>2398</v>
      </c>
      <c r="J667" s="152" t="s">
        <v>2398</v>
      </c>
      <c r="K667" s="152" t="s">
        <v>2705</v>
      </c>
      <c r="L667" s="152" t="s">
        <v>1435</v>
      </c>
      <c r="M667" s="152" t="s">
        <v>2705</v>
      </c>
      <c r="N667" s="152" t="s">
        <v>2705</v>
      </c>
      <c r="O667" s="152" t="s">
        <v>2398</v>
      </c>
      <c r="P667" s="152" t="s">
        <v>2397</v>
      </c>
      <c r="Q667" s="152" t="s">
        <v>1435</v>
      </c>
      <c r="R667" s="152" t="s">
        <v>2675</v>
      </c>
      <c r="S667" s="152" t="s">
        <v>2705</v>
      </c>
      <c r="T667" s="152" t="s">
        <v>2705</v>
      </c>
      <c r="U667" s="152" t="s">
        <v>2705</v>
      </c>
      <c r="V667" s="142" cm="1">
        <f t="array" ref="V667">IF(A667&lt;&gt;"",SUM(--(B667:U668 = "X")*$U$3,--(B667:U668 ="A")*$Q$3,--(B667:U668 ="B")*$R$3,--(B667:U668 ="C")*$S$3),"")</f>
        <v>13.5</v>
      </c>
      <c r="X667" s="437" t="s">
        <v>7975</v>
      </c>
      <c r="Y667" s="437">
        <v>17</v>
      </c>
      <c r="Z667" s="436">
        <f>_xlfn.XLOOKUP(answers[[#This Row],[StudentID]],$A$7:$A$1418,$V$7:$V$1418)</f>
        <v>17</v>
      </c>
      <c r="AF667" s="142" t="s">
        <v>7650</v>
      </c>
      <c r="AG667" s="142" t="s">
        <v>2705</v>
      </c>
      <c r="AH667" s="142" t="s">
        <v>2397</v>
      </c>
      <c r="AI667" s="142" t="s">
        <v>2705</v>
      </c>
      <c r="AJ667" s="142" t="s">
        <v>2398</v>
      </c>
      <c r="AK667" s="142" t="s">
        <v>2398</v>
      </c>
      <c r="AL667" s="142" t="s">
        <v>2398</v>
      </c>
      <c r="AM667" s="142" t="s">
        <v>2398</v>
      </c>
      <c r="AN667" s="142" t="s">
        <v>2398</v>
      </c>
      <c r="AO667" s="142" t="s">
        <v>2398</v>
      </c>
      <c r="AP667" s="142" t="s">
        <v>2705</v>
      </c>
      <c r="AQ667" s="142" t="s">
        <v>1435</v>
      </c>
      <c r="AR667" s="142" t="s">
        <v>2705</v>
      </c>
      <c r="AS667" s="142" t="s">
        <v>2705</v>
      </c>
      <c r="AT667" s="142" t="s">
        <v>2398</v>
      </c>
      <c r="AU667" s="142" t="s">
        <v>2397</v>
      </c>
      <c r="AV667" s="142" t="s">
        <v>1435</v>
      </c>
      <c r="AW667" s="142" t="s">
        <v>2675</v>
      </c>
      <c r="AX667" s="142" t="s">
        <v>2705</v>
      </c>
      <c r="AY667" s="142" t="s">
        <v>2705</v>
      </c>
      <c r="AZ667" s="142" t="s">
        <v>2705</v>
      </c>
    </row>
    <row r="668" spans="1:52" s="142" customFormat="1" ht="12.75" x14ac:dyDescent="0.2">
      <c r="A668" s="151"/>
      <c r="B668" s="152" t="s">
        <v>2705</v>
      </c>
      <c r="C668" s="152" t="s">
        <v>2705</v>
      </c>
      <c r="D668" s="152" t="s">
        <v>2675</v>
      </c>
      <c r="E668" s="152" t="s">
        <v>2398</v>
      </c>
      <c r="F668" s="152" t="s">
        <v>2705</v>
      </c>
      <c r="G668" s="152" t="s">
        <v>2675</v>
      </c>
      <c r="H668" s="152" t="s">
        <v>2398</v>
      </c>
      <c r="I668" s="152" t="s">
        <v>2705</v>
      </c>
      <c r="J668" s="152" t="s">
        <v>2705</v>
      </c>
      <c r="K668" s="152" t="s">
        <v>2675</v>
      </c>
      <c r="L668" s="152" t="s">
        <v>2398</v>
      </c>
      <c r="M668" s="152" t="s">
        <v>2675</v>
      </c>
      <c r="N668" s="152" t="s">
        <v>2398</v>
      </c>
      <c r="O668" s="152" t="s">
        <v>2705</v>
      </c>
      <c r="P668" s="152" t="s">
        <v>2705</v>
      </c>
      <c r="Q668" s="152" t="s">
        <v>2705</v>
      </c>
      <c r="R668" s="152" t="s">
        <v>2398</v>
      </c>
      <c r="S668" s="152" t="s">
        <v>2398</v>
      </c>
      <c r="T668" s="152" t="s">
        <v>2705</v>
      </c>
      <c r="U668" s="152" t="s">
        <v>2398</v>
      </c>
      <c r="V668" s="142" t="str" cm="1">
        <f t="array" ref="V668">IF(A668&lt;&gt;"",SUM(--(B668:U669 = "X")*$U$3,--(B668:U669 ="A")*$Q$3,--(B668:U669 ="B")*$R$3,--(B668:U669 ="C")*$S$3),"")</f>
        <v/>
      </c>
      <c r="X668" s="437" t="s">
        <v>7976</v>
      </c>
      <c r="Y668" s="437">
        <v>27</v>
      </c>
      <c r="Z668" s="436">
        <f>_xlfn.XLOOKUP(answers[[#This Row],[StudentID]],$A$7:$A$1418,$V$7:$V$1418)</f>
        <v>27</v>
      </c>
      <c r="AG668" s="142" t="s">
        <v>2705</v>
      </c>
      <c r="AH668" s="142" t="s">
        <v>2705</v>
      </c>
      <c r="AI668" s="142" t="s">
        <v>2675</v>
      </c>
      <c r="AJ668" s="142" t="s">
        <v>2398</v>
      </c>
      <c r="AK668" s="142" t="s">
        <v>2705</v>
      </c>
      <c r="AL668" s="142" t="s">
        <v>2675</v>
      </c>
      <c r="AM668" s="142" t="s">
        <v>2398</v>
      </c>
      <c r="AN668" s="142" t="s">
        <v>2705</v>
      </c>
      <c r="AO668" s="142" t="s">
        <v>2705</v>
      </c>
      <c r="AP668" s="142" t="s">
        <v>2675</v>
      </c>
      <c r="AQ668" s="142" t="s">
        <v>2398</v>
      </c>
      <c r="AR668" s="142" t="s">
        <v>2675</v>
      </c>
      <c r="AS668" s="142" t="s">
        <v>2398</v>
      </c>
      <c r="AT668" s="142" t="s">
        <v>2705</v>
      </c>
      <c r="AU668" s="142" t="s">
        <v>2705</v>
      </c>
      <c r="AV668" s="142" t="s">
        <v>2705</v>
      </c>
      <c r="AW668" s="142" t="s">
        <v>2398</v>
      </c>
      <c r="AX668" s="142" t="s">
        <v>2398</v>
      </c>
      <c r="AY668" s="142" t="s">
        <v>2705</v>
      </c>
      <c r="AZ668" s="142" t="s">
        <v>2398</v>
      </c>
    </row>
    <row r="669" spans="1:52" s="142" customFormat="1" ht="12.75" x14ac:dyDescent="0.2">
      <c r="A669" s="151" t="s">
        <v>7651</v>
      </c>
      <c r="B669" s="152" t="s">
        <v>2705</v>
      </c>
      <c r="C669" s="152" t="s">
        <v>2705</v>
      </c>
      <c r="D669" s="152" t="s">
        <v>2705</v>
      </c>
      <c r="E669" s="152" t="s">
        <v>2705</v>
      </c>
      <c r="F669" s="152" t="s">
        <v>2705</v>
      </c>
      <c r="G669" s="152" t="s">
        <v>2398</v>
      </c>
      <c r="H669" s="152" t="s">
        <v>2705</v>
      </c>
      <c r="I669" s="152" t="s">
        <v>2398</v>
      </c>
      <c r="J669" s="152" t="s">
        <v>2398</v>
      </c>
      <c r="K669" s="152" t="s">
        <v>2398</v>
      </c>
      <c r="L669" s="152" t="s">
        <v>2705</v>
      </c>
      <c r="M669" s="152" t="s">
        <v>2705</v>
      </c>
      <c r="N669" s="152" t="s">
        <v>2675</v>
      </c>
      <c r="O669" s="152" t="s">
        <v>1435</v>
      </c>
      <c r="P669" s="152" t="s">
        <v>2398</v>
      </c>
      <c r="Q669" s="152" t="s">
        <v>1435</v>
      </c>
      <c r="R669" s="152" t="s">
        <v>2397</v>
      </c>
      <c r="S669" s="152" t="s">
        <v>2675</v>
      </c>
      <c r="T669" s="152" t="s">
        <v>2705</v>
      </c>
      <c r="U669" s="152" t="s">
        <v>2675</v>
      </c>
      <c r="V669" s="142" cm="1">
        <f t="array" ref="V669">IF(A669&lt;&gt;"",SUM(--(B669:U670 = "X")*$U$3,--(B669:U670 ="A")*$Q$3,--(B669:U670 ="B")*$R$3,--(B669:U670 ="C")*$S$3),"")</f>
        <v>13.5</v>
      </c>
      <c r="X669" s="437" t="s">
        <v>7977</v>
      </c>
      <c r="Y669" s="437">
        <v>11.5</v>
      </c>
      <c r="Z669" s="436">
        <f>_xlfn.XLOOKUP(answers[[#This Row],[StudentID]],$A$7:$A$1418,$V$7:$V$1418)</f>
        <v>11.5</v>
      </c>
      <c r="AF669" s="142" t="s">
        <v>7651</v>
      </c>
      <c r="AG669" s="142" t="s">
        <v>2705</v>
      </c>
      <c r="AH669" s="142" t="s">
        <v>2705</v>
      </c>
      <c r="AI669" s="142" t="s">
        <v>2705</v>
      </c>
      <c r="AJ669" s="142" t="s">
        <v>2705</v>
      </c>
      <c r="AK669" s="142" t="s">
        <v>2705</v>
      </c>
      <c r="AL669" s="142" t="s">
        <v>2398</v>
      </c>
      <c r="AM669" s="142" t="s">
        <v>2705</v>
      </c>
      <c r="AN669" s="142" t="s">
        <v>2398</v>
      </c>
      <c r="AO669" s="142" t="s">
        <v>2398</v>
      </c>
      <c r="AP669" s="142" t="s">
        <v>2398</v>
      </c>
      <c r="AQ669" s="142" t="s">
        <v>2705</v>
      </c>
      <c r="AR669" s="142" t="s">
        <v>2705</v>
      </c>
      <c r="AS669" s="142" t="s">
        <v>2675</v>
      </c>
      <c r="AT669" s="142" t="s">
        <v>1435</v>
      </c>
      <c r="AU669" s="142" t="s">
        <v>2398</v>
      </c>
      <c r="AV669" s="142" t="s">
        <v>1435</v>
      </c>
      <c r="AW669" s="142" t="s">
        <v>2397</v>
      </c>
      <c r="AX669" s="142" t="s">
        <v>2675</v>
      </c>
      <c r="AY669" s="142" t="s">
        <v>2705</v>
      </c>
      <c r="AZ669" s="142" t="s">
        <v>2675</v>
      </c>
    </row>
    <row r="670" spans="1:52" s="142" customFormat="1" ht="12.75" x14ac:dyDescent="0.2">
      <c r="A670" s="151"/>
      <c r="B670" s="152" t="s">
        <v>2675</v>
      </c>
      <c r="C670" s="152" t="s">
        <v>2398</v>
      </c>
      <c r="D670" s="152" t="s">
        <v>2398</v>
      </c>
      <c r="E670" s="152" t="s">
        <v>1435</v>
      </c>
      <c r="F670" s="152" t="s">
        <v>2705</v>
      </c>
      <c r="G670" s="152" t="s">
        <v>1435</v>
      </c>
      <c r="H670" s="152" t="s">
        <v>2705</v>
      </c>
      <c r="I670" s="152" t="s">
        <v>2705</v>
      </c>
      <c r="J670" s="152" t="s">
        <v>2675</v>
      </c>
      <c r="K670" s="152" t="s">
        <v>2398</v>
      </c>
      <c r="L670" s="152" t="s">
        <v>2705</v>
      </c>
      <c r="M670" s="152" t="s">
        <v>2705</v>
      </c>
      <c r="N670" s="152" t="s">
        <v>2398</v>
      </c>
      <c r="O670" s="152" t="s">
        <v>2705</v>
      </c>
      <c r="P670" s="152" t="s">
        <v>2398</v>
      </c>
      <c r="Q670" s="152" t="s">
        <v>2705</v>
      </c>
      <c r="R670" s="152" t="s">
        <v>2705</v>
      </c>
      <c r="S670" s="152" t="s">
        <v>2705</v>
      </c>
      <c r="T670" s="152" t="s">
        <v>2398</v>
      </c>
      <c r="U670" s="152" t="s">
        <v>2398</v>
      </c>
      <c r="V670" s="142" t="str" cm="1">
        <f t="array" ref="V670">IF(A670&lt;&gt;"",SUM(--(B670:U671 = "X")*$U$3,--(B670:U671 ="A")*$Q$3,--(B670:U671 ="B")*$R$3,--(B670:U671 ="C")*$S$3),"")</f>
        <v/>
      </c>
      <c r="X670" s="437" t="s">
        <v>7978</v>
      </c>
      <c r="Y670" s="437">
        <v>20</v>
      </c>
      <c r="Z670" s="436">
        <f>_xlfn.XLOOKUP(answers[[#This Row],[StudentID]],$A$7:$A$1418,$V$7:$V$1418)</f>
        <v>20</v>
      </c>
      <c r="AG670" s="142" t="s">
        <v>2675</v>
      </c>
      <c r="AH670" s="142" t="s">
        <v>2398</v>
      </c>
      <c r="AI670" s="142" t="s">
        <v>2398</v>
      </c>
      <c r="AJ670" s="142" t="s">
        <v>1435</v>
      </c>
      <c r="AK670" s="142" t="s">
        <v>2705</v>
      </c>
      <c r="AL670" s="142" t="s">
        <v>1435</v>
      </c>
      <c r="AM670" s="142" t="s">
        <v>2705</v>
      </c>
      <c r="AN670" s="142" t="s">
        <v>2705</v>
      </c>
      <c r="AO670" s="142" t="s">
        <v>2675</v>
      </c>
      <c r="AP670" s="142" t="s">
        <v>2398</v>
      </c>
      <c r="AQ670" s="142" t="s">
        <v>2705</v>
      </c>
      <c r="AR670" s="142" t="s">
        <v>2705</v>
      </c>
      <c r="AS670" s="142" t="s">
        <v>2398</v>
      </c>
      <c r="AT670" s="142" t="s">
        <v>2705</v>
      </c>
      <c r="AU670" s="142" t="s">
        <v>2398</v>
      </c>
      <c r="AV670" s="142" t="s">
        <v>2705</v>
      </c>
      <c r="AW670" s="142" t="s">
        <v>2705</v>
      </c>
      <c r="AX670" s="142" t="s">
        <v>2705</v>
      </c>
      <c r="AY670" s="142" t="s">
        <v>2398</v>
      </c>
      <c r="AZ670" s="142" t="s">
        <v>2398</v>
      </c>
    </row>
    <row r="671" spans="1:52" s="142" customFormat="1" ht="12.75" x14ac:dyDescent="0.2">
      <c r="A671" s="151" t="s">
        <v>7652</v>
      </c>
      <c r="B671" s="152" t="s">
        <v>2398</v>
      </c>
      <c r="C671" s="152" t="s">
        <v>2705</v>
      </c>
      <c r="D671" s="152" t="s">
        <v>2705</v>
      </c>
      <c r="E671" s="152" t="s">
        <v>2398</v>
      </c>
      <c r="F671" s="152" t="s">
        <v>2705</v>
      </c>
      <c r="G671" s="152" t="s">
        <v>2705</v>
      </c>
      <c r="H671" s="152" t="s">
        <v>2398</v>
      </c>
      <c r="I671" s="152" t="s">
        <v>1435</v>
      </c>
      <c r="J671" s="152" t="s">
        <v>2705</v>
      </c>
      <c r="K671" s="152" t="s">
        <v>2705</v>
      </c>
      <c r="L671" s="152" t="s">
        <v>2398</v>
      </c>
      <c r="M671" s="152" t="s">
        <v>2398</v>
      </c>
      <c r="N671" s="152" t="s">
        <v>2705</v>
      </c>
      <c r="O671" s="152" t="s">
        <v>2398</v>
      </c>
      <c r="P671" s="152" t="s">
        <v>2705</v>
      </c>
      <c r="Q671" s="152" t="s">
        <v>2705</v>
      </c>
      <c r="R671" s="152" t="s">
        <v>2397</v>
      </c>
      <c r="S671" s="152" t="s">
        <v>2398</v>
      </c>
      <c r="T671" s="152" t="s">
        <v>2705</v>
      </c>
      <c r="U671" s="152" t="s">
        <v>2398</v>
      </c>
      <c r="V671" s="142" cm="1">
        <f t="array" ref="V671">IF(A671&lt;&gt;"",SUM(--(B671:U672 = "X")*$U$3,--(B671:U672 ="A")*$Q$3,--(B671:U672 ="B")*$R$3,--(B671:U672 ="C")*$S$3),"")</f>
        <v>20</v>
      </c>
      <c r="X671" s="437" t="s">
        <v>7979</v>
      </c>
      <c r="Y671" s="437">
        <v>22.5</v>
      </c>
      <c r="Z671" s="436">
        <f>_xlfn.XLOOKUP(answers[[#This Row],[StudentID]],$A$7:$A$1418,$V$7:$V$1418)</f>
        <v>22.5</v>
      </c>
      <c r="AF671" s="142" t="s">
        <v>7652</v>
      </c>
      <c r="AG671" s="142" t="s">
        <v>2398</v>
      </c>
      <c r="AH671" s="142" t="s">
        <v>2705</v>
      </c>
      <c r="AI671" s="142" t="s">
        <v>2705</v>
      </c>
      <c r="AJ671" s="142" t="s">
        <v>2398</v>
      </c>
      <c r="AK671" s="142" t="s">
        <v>2705</v>
      </c>
      <c r="AL671" s="142" t="s">
        <v>2705</v>
      </c>
      <c r="AM671" s="142" t="s">
        <v>2398</v>
      </c>
      <c r="AN671" s="142" t="s">
        <v>1435</v>
      </c>
      <c r="AO671" s="142" t="s">
        <v>2705</v>
      </c>
      <c r="AP671" s="142" t="s">
        <v>2705</v>
      </c>
      <c r="AQ671" s="142" t="s">
        <v>2398</v>
      </c>
      <c r="AR671" s="142" t="s">
        <v>2398</v>
      </c>
      <c r="AS671" s="142" t="s">
        <v>2705</v>
      </c>
      <c r="AT671" s="142" t="s">
        <v>2398</v>
      </c>
      <c r="AU671" s="142" t="s">
        <v>2705</v>
      </c>
      <c r="AV671" s="142" t="s">
        <v>2705</v>
      </c>
      <c r="AW671" s="142" t="s">
        <v>2397</v>
      </c>
      <c r="AX671" s="142" t="s">
        <v>2398</v>
      </c>
      <c r="AY671" s="142" t="s">
        <v>2705</v>
      </c>
      <c r="AZ671" s="142" t="s">
        <v>2398</v>
      </c>
    </row>
    <row r="672" spans="1:52" s="142" customFormat="1" ht="12.75" x14ac:dyDescent="0.2">
      <c r="A672" s="151"/>
      <c r="B672" s="152" t="s">
        <v>2397</v>
      </c>
      <c r="C672" s="152" t="s">
        <v>1435</v>
      </c>
      <c r="D672" s="152" t="s">
        <v>2705</v>
      </c>
      <c r="E672" s="152" t="s">
        <v>2398</v>
      </c>
      <c r="F672" s="152" t="s">
        <v>2675</v>
      </c>
      <c r="G672" s="152" t="s">
        <v>2398</v>
      </c>
      <c r="H672" s="152" t="s">
        <v>2705</v>
      </c>
      <c r="I672" s="152" t="s">
        <v>2705</v>
      </c>
      <c r="J672" s="152" t="s">
        <v>2705</v>
      </c>
      <c r="K672" s="152" t="s">
        <v>2705</v>
      </c>
      <c r="L672" s="152" t="s">
        <v>2705</v>
      </c>
      <c r="M672" s="152" t="s">
        <v>2398</v>
      </c>
      <c r="N672" s="152" t="s">
        <v>2705</v>
      </c>
      <c r="O672" s="152" t="s">
        <v>2705</v>
      </c>
      <c r="P672" s="152" t="s">
        <v>2705</v>
      </c>
      <c r="Q672" s="152" t="s">
        <v>2705</v>
      </c>
      <c r="R672" s="152" t="s">
        <v>2398</v>
      </c>
      <c r="S672" s="152" t="s">
        <v>2675</v>
      </c>
      <c r="T672" s="152" t="s">
        <v>2705</v>
      </c>
      <c r="U672" s="152" t="s">
        <v>2705</v>
      </c>
      <c r="V672" s="142" t="str" cm="1">
        <f t="array" ref="V672">IF(A672&lt;&gt;"",SUM(--(B672:U673 = "X")*$U$3,--(B672:U673 ="A")*$Q$3,--(B672:U673 ="B")*$R$3,--(B672:U673 ="C")*$S$3),"")</f>
        <v/>
      </c>
      <c r="X672" s="437" t="s">
        <v>7980</v>
      </c>
      <c r="Y672" s="437">
        <v>15.5</v>
      </c>
      <c r="Z672" s="436">
        <f>_xlfn.XLOOKUP(answers[[#This Row],[StudentID]],$A$7:$A$1418,$V$7:$V$1418)</f>
        <v>15.5</v>
      </c>
      <c r="AG672" s="142" t="s">
        <v>2397</v>
      </c>
      <c r="AH672" s="142" t="s">
        <v>1435</v>
      </c>
      <c r="AI672" s="142" t="s">
        <v>2705</v>
      </c>
      <c r="AJ672" s="142" t="s">
        <v>2398</v>
      </c>
      <c r="AK672" s="142" t="s">
        <v>2675</v>
      </c>
      <c r="AL672" s="142" t="s">
        <v>2398</v>
      </c>
      <c r="AM672" s="142" t="s">
        <v>2705</v>
      </c>
      <c r="AN672" s="142" t="s">
        <v>2705</v>
      </c>
      <c r="AO672" s="142" t="s">
        <v>2705</v>
      </c>
      <c r="AP672" s="142" t="s">
        <v>2705</v>
      </c>
      <c r="AQ672" s="142" t="s">
        <v>2705</v>
      </c>
      <c r="AR672" s="142" t="s">
        <v>2398</v>
      </c>
      <c r="AS672" s="142" t="s">
        <v>2705</v>
      </c>
      <c r="AT672" s="142" t="s">
        <v>2705</v>
      </c>
      <c r="AU672" s="142" t="s">
        <v>2705</v>
      </c>
      <c r="AV672" s="142" t="s">
        <v>2705</v>
      </c>
      <c r="AW672" s="142" t="s">
        <v>2398</v>
      </c>
      <c r="AX672" s="142" t="s">
        <v>2675</v>
      </c>
      <c r="AY672" s="142" t="s">
        <v>2705</v>
      </c>
      <c r="AZ672" s="142" t="s">
        <v>2705</v>
      </c>
    </row>
    <row r="673" spans="1:52" s="142" customFormat="1" ht="12.75" x14ac:dyDescent="0.2">
      <c r="A673" s="151" t="s">
        <v>7653</v>
      </c>
      <c r="B673" s="152" t="s">
        <v>2398</v>
      </c>
      <c r="C673" s="152" t="s">
        <v>1435</v>
      </c>
      <c r="D673" s="152" t="s">
        <v>2705</v>
      </c>
      <c r="E673" s="152" t="s">
        <v>2397</v>
      </c>
      <c r="F673" s="152" t="s">
        <v>1435</v>
      </c>
      <c r="G673" s="152" t="s">
        <v>2705</v>
      </c>
      <c r="H673" s="152" t="s">
        <v>2398</v>
      </c>
      <c r="I673" s="152" t="s">
        <v>2705</v>
      </c>
      <c r="J673" s="152" t="s">
        <v>2675</v>
      </c>
      <c r="K673" s="152" t="s">
        <v>2705</v>
      </c>
      <c r="L673" s="152" t="s">
        <v>2705</v>
      </c>
      <c r="M673" s="152" t="s">
        <v>2675</v>
      </c>
      <c r="N673" s="152" t="s">
        <v>1435</v>
      </c>
      <c r="O673" s="152" t="s">
        <v>2705</v>
      </c>
      <c r="P673" s="152" t="s">
        <v>2705</v>
      </c>
      <c r="Q673" s="152" t="s">
        <v>2675</v>
      </c>
      <c r="R673" s="152" t="s">
        <v>2398</v>
      </c>
      <c r="S673" s="152" t="s">
        <v>2398</v>
      </c>
      <c r="T673" s="152" t="s">
        <v>1435</v>
      </c>
      <c r="U673" s="152" t="s">
        <v>2397</v>
      </c>
      <c r="V673" s="142" cm="1">
        <f t="array" ref="V673">IF(A673&lt;&gt;"",SUM(--(B673:U674 = "X")*$U$3,--(B673:U674 ="A")*$Q$3,--(B673:U674 ="B")*$R$3,--(B673:U674 ="C")*$S$3),"")</f>
        <v>8.5</v>
      </c>
      <c r="X673" s="437" t="s">
        <v>7981</v>
      </c>
      <c r="Y673" s="437">
        <v>6.5</v>
      </c>
      <c r="Z673" s="436">
        <f>_xlfn.XLOOKUP(answers[[#This Row],[StudentID]],$A$7:$A$1418,$V$7:$V$1418)</f>
        <v>6.5</v>
      </c>
      <c r="AF673" s="142" t="s">
        <v>7653</v>
      </c>
      <c r="AG673" s="142" t="s">
        <v>2398</v>
      </c>
      <c r="AH673" s="142" t="s">
        <v>1435</v>
      </c>
      <c r="AI673" s="142" t="s">
        <v>2705</v>
      </c>
      <c r="AJ673" s="142" t="s">
        <v>2397</v>
      </c>
      <c r="AK673" s="142" t="s">
        <v>1435</v>
      </c>
      <c r="AL673" s="142" t="s">
        <v>2705</v>
      </c>
      <c r="AM673" s="142" t="s">
        <v>2398</v>
      </c>
      <c r="AN673" s="142" t="s">
        <v>2705</v>
      </c>
      <c r="AO673" s="142" t="s">
        <v>2675</v>
      </c>
      <c r="AP673" s="142" t="s">
        <v>2705</v>
      </c>
      <c r="AQ673" s="142" t="s">
        <v>2705</v>
      </c>
      <c r="AR673" s="142" t="s">
        <v>2675</v>
      </c>
      <c r="AS673" s="142" t="s">
        <v>1435</v>
      </c>
      <c r="AT673" s="142" t="s">
        <v>2705</v>
      </c>
      <c r="AU673" s="142" t="s">
        <v>2705</v>
      </c>
      <c r="AV673" s="142" t="s">
        <v>2675</v>
      </c>
      <c r="AW673" s="142" t="s">
        <v>2398</v>
      </c>
      <c r="AX673" s="142" t="s">
        <v>2398</v>
      </c>
      <c r="AY673" s="142" t="s">
        <v>1435</v>
      </c>
      <c r="AZ673" s="142" t="s">
        <v>2397</v>
      </c>
    </row>
    <row r="674" spans="1:52" s="142" customFormat="1" ht="12.75" x14ac:dyDescent="0.2">
      <c r="A674" s="151"/>
      <c r="B674" s="152" t="s">
        <v>2705</v>
      </c>
      <c r="C674" s="152" t="s">
        <v>2397</v>
      </c>
      <c r="D674" s="152" t="s">
        <v>2705</v>
      </c>
      <c r="E674" s="152" t="s">
        <v>2705</v>
      </c>
      <c r="F674" s="152" t="s">
        <v>2398</v>
      </c>
      <c r="G674" s="152" t="s">
        <v>1435</v>
      </c>
      <c r="H674" s="152" t="s">
        <v>2705</v>
      </c>
      <c r="I674" s="152" t="s">
        <v>1435</v>
      </c>
      <c r="J674" s="152" t="s">
        <v>2397</v>
      </c>
      <c r="K674" s="152" t="s">
        <v>1435</v>
      </c>
      <c r="L674" s="152" t="s">
        <v>2397</v>
      </c>
      <c r="M674" s="152" t="s">
        <v>2705</v>
      </c>
      <c r="N674" s="152" t="s">
        <v>2398</v>
      </c>
      <c r="O674" s="152" t="s">
        <v>2705</v>
      </c>
      <c r="P674" s="152" t="s">
        <v>1435</v>
      </c>
      <c r="Q674" s="152" t="s">
        <v>2705</v>
      </c>
      <c r="R674" s="152" t="s">
        <v>1435</v>
      </c>
      <c r="S674" s="152" t="s">
        <v>2705</v>
      </c>
      <c r="T674" s="152" t="s">
        <v>2675</v>
      </c>
      <c r="U674" s="152" t="s">
        <v>2397</v>
      </c>
      <c r="V674" s="142" t="str" cm="1">
        <f t="array" ref="V674">IF(A674&lt;&gt;"",SUM(--(B674:U675 = "X")*$U$3,--(B674:U675 ="A")*$Q$3,--(B674:U675 ="B")*$R$3,--(B674:U675 ="C")*$S$3),"")</f>
        <v/>
      </c>
      <c r="X674" s="437" t="s">
        <v>7982</v>
      </c>
      <c r="Y674" s="437">
        <v>16</v>
      </c>
      <c r="Z674" s="436">
        <f>_xlfn.XLOOKUP(answers[[#This Row],[StudentID]],$A$7:$A$1418,$V$7:$V$1418)</f>
        <v>16</v>
      </c>
      <c r="AG674" s="142" t="s">
        <v>2705</v>
      </c>
      <c r="AH674" s="142" t="s">
        <v>2397</v>
      </c>
      <c r="AI674" s="142" t="s">
        <v>2705</v>
      </c>
      <c r="AJ674" s="142" t="s">
        <v>2705</v>
      </c>
      <c r="AK674" s="142" t="s">
        <v>2398</v>
      </c>
      <c r="AL674" s="142" t="s">
        <v>1435</v>
      </c>
      <c r="AM674" s="142" t="s">
        <v>2705</v>
      </c>
      <c r="AN674" s="142" t="s">
        <v>1435</v>
      </c>
      <c r="AO674" s="142" t="s">
        <v>2397</v>
      </c>
      <c r="AP674" s="142" t="s">
        <v>1435</v>
      </c>
      <c r="AQ674" s="142" t="s">
        <v>2397</v>
      </c>
      <c r="AR674" s="142" t="s">
        <v>2705</v>
      </c>
      <c r="AS674" s="142" t="s">
        <v>2398</v>
      </c>
      <c r="AT674" s="142" t="s">
        <v>2705</v>
      </c>
      <c r="AU674" s="142" t="s">
        <v>1435</v>
      </c>
      <c r="AV674" s="142" t="s">
        <v>2705</v>
      </c>
      <c r="AW674" s="142" t="s">
        <v>1435</v>
      </c>
      <c r="AX674" s="142" t="s">
        <v>2705</v>
      </c>
      <c r="AY674" s="142" t="s">
        <v>2675</v>
      </c>
      <c r="AZ674" s="142" t="s">
        <v>2397</v>
      </c>
    </row>
    <row r="675" spans="1:52" s="142" customFormat="1" ht="12.75" x14ac:dyDescent="0.2">
      <c r="A675" s="151" t="s">
        <v>7654</v>
      </c>
      <c r="B675" s="152" t="s">
        <v>1435</v>
      </c>
      <c r="C675" s="152" t="s">
        <v>2398</v>
      </c>
      <c r="D675" s="152" t="s">
        <v>2705</v>
      </c>
      <c r="E675" s="152" t="s">
        <v>2705</v>
      </c>
      <c r="F675" s="152" t="s">
        <v>2705</v>
      </c>
      <c r="G675" s="152" t="s">
        <v>2705</v>
      </c>
      <c r="H675" s="152" t="s">
        <v>2398</v>
      </c>
      <c r="I675" s="152" t="s">
        <v>2705</v>
      </c>
      <c r="J675" s="152" t="s">
        <v>2398</v>
      </c>
      <c r="K675" s="152" t="s">
        <v>2705</v>
      </c>
      <c r="L675" s="152" t="s">
        <v>2705</v>
      </c>
      <c r="M675" s="152" t="s">
        <v>2705</v>
      </c>
      <c r="N675" s="152" t="s">
        <v>2705</v>
      </c>
      <c r="O675" s="152" t="s">
        <v>2705</v>
      </c>
      <c r="P675" s="152" t="s">
        <v>2398</v>
      </c>
      <c r="Q675" s="152" t="s">
        <v>2675</v>
      </c>
      <c r="R675" s="152" t="s">
        <v>2398</v>
      </c>
      <c r="S675" s="152" t="s">
        <v>2398</v>
      </c>
      <c r="T675" s="152" t="s">
        <v>2398</v>
      </c>
      <c r="U675" s="152" t="s">
        <v>2398</v>
      </c>
      <c r="V675" s="142" cm="1">
        <f t="array" ref="V675">IF(A675&lt;&gt;"",SUM(--(B675:U676 = "X")*$U$3,--(B675:U676 ="A")*$Q$3,--(B675:U676 ="B")*$R$3,--(B675:U676 ="C")*$S$3),"")</f>
        <v>21</v>
      </c>
      <c r="X675" s="437" t="s">
        <v>7983</v>
      </c>
      <c r="Y675" s="437">
        <v>19</v>
      </c>
      <c r="Z675" s="436">
        <f>_xlfn.XLOOKUP(answers[[#This Row],[StudentID]],$A$7:$A$1418,$V$7:$V$1418)</f>
        <v>19</v>
      </c>
      <c r="AF675" s="142" t="s">
        <v>7654</v>
      </c>
      <c r="AG675" s="142" t="s">
        <v>1435</v>
      </c>
      <c r="AH675" s="142" t="s">
        <v>2398</v>
      </c>
      <c r="AI675" s="142" t="s">
        <v>2705</v>
      </c>
      <c r="AJ675" s="142" t="s">
        <v>2705</v>
      </c>
      <c r="AK675" s="142" t="s">
        <v>2705</v>
      </c>
      <c r="AL675" s="142" t="s">
        <v>2705</v>
      </c>
      <c r="AM675" s="142" t="s">
        <v>2398</v>
      </c>
      <c r="AN675" s="142" t="s">
        <v>2705</v>
      </c>
      <c r="AO675" s="142" t="s">
        <v>2398</v>
      </c>
      <c r="AP675" s="142" t="s">
        <v>2705</v>
      </c>
      <c r="AQ675" s="142" t="s">
        <v>2705</v>
      </c>
      <c r="AR675" s="142" t="s">
        <v>2705</v>
      </c>
      <c r="AS675" s="142" t="s">
        <v>2705</v>
      </c>
      <c r="AT675" s="142" t="s">
        <v>2705</v>
      </c>
      <c r="AU675" s="142" t="s">
        <v>2398</v>
      </c>
      <c r="AV675" s="142" t="s">
        <v>2675</v>
      </c>
      <c r="AW675" s="142" t="s">
        <v>2398</v>
      </c>
      <c r="AX675" s="142" t="s">
        <v>2398</v>
      </c>
      <c r="AY675" s="142" t="s">
        <v>2398</v>
      </c>
      <c r="AZ675" s="142" t="s">
        <v>2398</v>
      </c>
    </row>
    <row r="676" spans="1:52" s="142" customFormat="1" ht="12.75" x14ac:dyDescent="0.2">
      <c r="A676" s="151"/>
      <c r="B676" s="152" t="s">
        <v>2398</v>
      </c>
      <c r="C676" s="152" t="s">
        <v>2705</v>
      </c>
      <c r="D676" s="152" t="s">
        <v>2705</v>
      </c>
      <c r="E676" s="152" t="s">
        <v>2398</v>
      </c>
      <c r="F676" s="152" t="s">
        <v>2705</v>
      </c>
      <c r="G676" s="152" t="s">
        <v>2398</v>
      </c>
      <c r="H676" s="152" t="s">
        <v>2398</v>
      </c>
      <c r="I676" s="152" t="s">
        <v>2705</v>
      </c>
      <c r="J676" s="152" t="s">
        <v>2705</v>
      </c>
      <c r="K676" s="152" t="s">
        <v>2705</v>
      </c>
      <c r="L676" s="152" t="s">
        <v>2398</v>
      </c>
      <c r="M676" s="152" t="s">
        <v>2705</v>
      </c>
      <c r="N676" s="152" t="s">
        <v>2398</v>
      </c>
      <c r="O676" s="152" t="s">
        <v>2705</v>
      </c>
      <c r="P676" s="152" t="s">
        <v>2705</v>
      </c>
      <c r="Q676" s="152" t="s">
        <v>2398</v>
      </c>
      <c r="R676" s="152" t="s">
        <v>2398</v>
      </c>
      <c r="S676" s="152" t="s">
        <v>2705</v>
      </c>
      <c r="T676" s="152" t="s">
        <v>2705</v>
      </c>
      <c r="U676" s="152" t="s">
        <v>2705</v>
      </c>
      <c r="V676" s="142" t="str" cm="1">
        <f t="array" ref="V676">IF(A676&lt;&gt;"",SUM(--(B676:U677 = "X")*$U$3,--(B676:U677 ="A")*$Q$3,--(B676:U677 ="B")*$R$3,--(B676:U677 ="C")*$S$3),"")</f>
        <v/>
      </c>
      <c r="X676" s="437" t="s">
        <v>7984</v>
      </c>
      <c r="Y676" s="437">
        <v>14.5</v>
      </c>
      <c r="Z676" s="436">
        <f>_xlfn.XLOOKUP(answers[[#This Row],[StudentID]],$A$7:$A$1418,$V$7:$V$1418)</f>
        <v>14.5</v>
      </c>
      <c r="AG676" s="142" t="s">
        <v>2398</v>
      </c>
      <c r="AH676" s="142" t="s">
        <v>2705</v>
      </c>
      <c r="AI676" s="142" t="s">
        <v>2705</v>
      </c>
      <c r="AJ676" s="142" t="s">
        <v>2398</v>
      </c>
      <c r="AK676" s="142" t="s">
        <v>2705</v>
      </c>
      <c r="AL676" s="142" t="s">
        <v>2398</v>
      </c>
      <c r="AM676" s="142" t="s">
        <v>2398</v>
      </c>
      <c r="AN676" s="142" t="s">
        <v>2705</v>
      </c>
      <c r="AO676" s="142" t="s">
        <v>2705</v>
      </c>
      <c r="AP676" s="142" t="s">
        <v>2705</v>
      </c>
      <c r="AQ676" s="142" t="s">
        <v>2398</v>
      </c>
      <c r="AR676" s="142" t="s">
        <v>2705</v>
      </c>
      <c r="AS676" s="142" t="s">
        <v>2398</v>
      </c>
      <c r="AT676" s="142" t="s">
        <v>2705</v>
      </c>
      <c r="AU676" s="142" t="s">
        <v>2705</v>
      </c>
      <c r="AV676" s="142" t="s">
        <v>2398</v>
      </c>
      <c r="AW676" s="142" t="s">
        <v>2398</v>
      </c>
      <c r="AX676" s="142" t="s">
        <v>2705</v>
      </c>
      <c r="AY676" s="142" t="s">
        <v>2705</v>
      </c>
      <c r="AZ676" s="142" t="s">
        <v>2705</v>
      </c>
    </row>
    <row r="677" spans="1:52" s="142" customFormat="1" ht="12.75" x14ac:dyDescent="0.2">
      <c r="A677" s="151" t="s">
        <v>7655</v>
      </c>
      <c r="B677" s="152" t="s">
        <v>2398</v>
      </c>
      <c r="C677" s="152" t="s">
        <v>2705</v>
      </c>
      <c r="D677" s="152" t="s">
        <v>2398</v>
      </c>
      <c r="E677" s="152" t="s">
        <v>2705</v>
      </c>
      <c r="F677" s="152" t="s">
        <v>1435</v>
      </c>
      <c r="G677" s="152" t="s">
        <v>2705</v>
      </c>
      <c r="H677" s="152" t="s">
        <v>2705</v>
      </c>
      <c r="I677" s="152" t="s">
        <v>2705</v>
      </c>
      <c r="J677" s="152" t="s">
        <v>2675</v>
      </c>
      <c r="K677" s="152" t="s">
        <v>2705</v>
      </c>
      <c r="L677" s="152" t="s">
        <v>2705</v>
      </c>
      <c r="M677" s="152" t="s">
        <v>2398</v>
      </c>
      <c r="N677" s="152" t="s">
        <v>2705</v>
      </c>
      <c r="O677" s="152" t="s">
        <v>1435</v>
      </c>
      <c r="P677" s="152" t="s">
        <v>2398</v>
      </c>
      <c r="Q677" s="152" t="s">
        <v>2398</v>
      </c>
      <c r="R677" s="152" t="s">
        <v>2705</v>
      </c>
      <c r="S677" s="152" t="s">
        <v>2398</v>
      </c>
      <c r="T677" s="152" t="s">
        <v>2398</v>
      </c>
      <c r="U677" s="152" t="s">
        <v>2398</v>
      </c>
      <c r="V677" s="142" cm="1">
        <f t="array" ref="V677">IF(A677&lt;&gt;"",SUM(--(B677:U678 = "X")*$U$3,--(B677:U678 ="A")*$Q$3,--(B677:U678 ="B")*$R$3,--(B677:U678 ="C")*$S$3),"")</f>
        <v>18.5</v>
      </c>
      <c r="X677" s="437" t="s">
        <v>7985</v>
      </c>
      <c r="Y677" s="437">
        <v>1</v>
      </c>
      <c r="Z677" s="436">
        <f>_xlfn.XLOOKUP(answers[[#This Row],[StudentID]],$A$7:$A$1418,$V$7:$V$1418)</f>
        <v>1</v>
      </c>
      <c r="AF677" s="142" t="s">
        <v>7655</v>
      </c>
      <c r="AG677" s="142" t="s">
        <v>2398</v>
      </c>
      <c r="AH677" s="142" t="s">
        <v>2705</v>
      </c>
      <c r="AI677" s="142" t="s">
        <v>2398</v>
      </c>
      <c r="AJ677" s="142" t="s">
        <v>2705</v>
      </c>
      <c r="AK677" s="142" t="s">
        <v>1435</v>
      </c>
      <c r="AL677" s="142" t="s">
        <v>2705</v>
      </c>
      <c r="AM677" s="142" t="s">
        <v>2705</v>
      </c>
      <c r="AN677" s="142" t="s">
        <v>2705</v>
      </c>
      <c r="AO677" s="142" t="s">
        <v>2675</v>
      </c>
      <c r="AP677" s="142" t="s">
        <v>2705</v>
      </c>
      <c r="AQ677" s="142" t="s">
        <v>2705</v>
      </c>
      <c r="AR677" s="142" t="s">
        <v>2398</v>
      </c>
      <c r="AS677" s="142" t="s">
        <v>2705</v>
      </c>
      <c r="AT677" s="142" t="s">
        <v>1435</v>
      </c>
      <c r="AU677" s="142" t="s">
        <v>2398</v>
      </c>
      <c r="AV677" s="142" t="s">
        <v>2398</v>
      </c>
      <c r="AW677" s="142" t="s">
        <v>2705</v>
      </c>
      <c r="AX677" s="142" t="s">
        <v>2398</v>
      </c>
      <c r="AY677" s="142" t="s">
        <v>2398</v>
      </c>
      <c r="AZ677" s="142" t="s">
        <v>2398</v>
      </c>
    </row>
    <row r="678" spans="1:52" s="142" customFormat="1" ht="12.75" x14ac:dyDescent="0.2">
      <c r="A678" s="151"/>
      <c r="B678" s="152" t="s">
        <v>2705</v>
      </c>
      <c r="C678" s="152" t="s">
        <v>2398</v>
      </c>
      <c r="D678" s="152" t="s">
        <v>2705</v>
      </c>
      <c r="E678" s="152" t="s">
        <v>2398</v>
      </c>
      <c r="F678" s="152" t="s">
        <v>2705</v>
      </c>
      <c r="G678" s="152" t="s">
        <v>2398</v>
      </c>
      <c r="H678" s="152" t="s">
        <v>2705</v>
      </c>
      <c r="I678" s="152" t="s">
        <v>2705</v>
      </c>
      <c r="J678" s="152" t="s">
        <v>2705</v>
      </c>
      <c r="K678" s="152" t="s">
        <v>2705</v>
      </c>
      <c r="L678" s="152" t="s">
        <v>2398</v>
      </c>
      <c r="M678" s="152" t="s">
        <v>2705</v>
      </c>
      <c r="N678" s="152" t="s">
        <v>2398</v>
      </c>
      <c r="O678" s="152" t="s">
        <v>2398</v>
      </c>
      <c r="P678" s="152" t="s">
        <v>2398</v>
      </c>
      <c r="Q678" s="152" t="s">
        <v>2705</v>
      </c>
      <c r="R678" s="152" t="s">
        <v>2398</v>
      </c>
      <c r="S678" s="152" t="s">
        <v>2397</v>
      </c>
      <c r="T678" s="152" t="s">
        <v>2705</v>
      </c>
      <c r="U678" s="152" t="s">
        <v>2705</v>
      </c>
      <c r="V678" s="142" t="str" cm="1">
        <f t="array" ref="V678">IF(A678&lt;&gt;"",SUM(--(B678:U679 = "X")*$U$3,--(B678:U679 ="A")*$Q$3,--(B678:U679 ="B")*$R$3,--(B678:U679 ="C")*$S$3),"")</f>
        <v/>
      </c>
      <c r="X678" s="437" t="s">
        <v>7986</v>
      </c>
      <c r="Y678" s="437">
        <v>13.5</v>
      </c>
      <c r="Z678" s="436">
        <f>_xlfn.XLOOKUP(answers[[#This Row],[StudentID]],$A$7:$A$1418,$V$7:$V$1418)</f>
        <v>13.5</v>
      </c>
      <c r="AG678" s="142" t="s">
        <v>2705</v>
      </c>
      <c r="AH678" s="142" t="s">
        <v>2398</v>
      </c>
      <c r="AI678" s="142" t="s">
        <v>2705</v>
      </c>
      <c r="AJ678" s="142" t="s">
        <v>2398</v>
      </c>
      <c r="AK678" s="142" t="s">
        <v>2705</v>
      </c>
      <c r="AL678" s="142" t="s">
        <v>2398</v>
      </c>
      <c r="AM678" s="142" t="s">
        <v>2705</v>
      </c>
      <c r="AN678" s="142" t="s">
        <v>2705</v>
      </c>
      <c r="AO678" s="142" t="s">
        <v>2705</v>
      </c>
      <c r="AP678" s="142" t="s">
        <v>2705</v>
      </c>
      <c r="AQ678" s="142" t="s">
        <v>2398</v>
      </c>
      <c r="AR678" s="142" t="s">
        <v>2705</v>
      </c>
      <c r="AS678" s="142" t="s">
        <v>2398</v>
      </c>
      <c r="AT678" s="142" t="s">
        <v>2398</v>
      </c>
      <c r="AU678" s="142" t="s">
        <v>2398</v>
      </c>
      <c r="AV678" s="142" t="s">
        <v>2705</v>
      </c>
      <c r="AW678" s="142" t="s">
        <v>2398</v>
      </c>
      <c r="AX678" s="142" t="s">
        <v>2397</v>
      </c>
      <c r="AY678" s="142" t="s">
        <v>2705</v>
      </c>
      <c r="AZ678" s="142" t="s">
        <v>2705</v>
      </c>
    </row>
    <row r="679" spans="1:52" s="142" customFormat="1" ht="12.75" x14ac:dyDescent="0.2">
      <c r="A679" s="151" t="s">
        <v>7656</v>
      </c>
      <c r="B679" s="152" t="s">
        <v>2705</v>
      </c>
      <c r="C679" s="152" t="s">
        <v>2705</v>
      </c>
      <c r="D679" s="152" t="s">
        <v>2705</v>
      </c>
      <c r="E679" s="152" t="s">
        <v>2675</v>
      </c>
      <c r="F679" s="152" t="s">
        <v>2705</v>
      </c>
      <c r="G679" s="152" t="s">
        <v>2705</v>
      </c>
      <c r="H679" s="152" t="s">
        <v>2705</v>
      </c>
      <c r="I679" s="152" t="s">
        <v>2705</v>
      </c>
      <c r="J679" s="152" t="s">
        <v>2705</v>
      </c>
      <c r="K679" s="152" t="s">
        <v>1435</v>
      </c>
      <c r="L679" s="152" t="s">
        <v>2705</v>
      </c>
      <c r="M679" s="152" t="s">
        <v>2705</v>
      </c>
      <c r="N679" s="152" t="s">
        <v>1435</v>
      </c>
      <c r="O679" s="152" t="s">
        <v>2398</v>
      </c>
      <c r="P679" s="152" t="s">
        <v>2705</v>
      </c>
      <c r="Q679" s="152" t="s">
        <v>2705</v>
      </c>
      <c r="R679" s="152" t="s">
        <v>2675</v>
      </c>
      <c r="S679" s="152" t="s">
        <v>2398</v>
      </c>
      <c r="T679" s="152" t="s">
        <v>2705</v>
      </c>
      <c r="U679" s="152" t="s">
        <v>2705</v>
      </c>
      <c r="V679" s="142" cm="1">
        <f t="array" ref="V679">IF(A679&lt;&gt;"",SUM(--(B679:U680 = "X")*$U$3,--(B679:U680 ="A")*$Q$3,--(B679:U680 ="B")*$R$3,--(B679:U680 ="C")*$S$3),"")</f>
        <v>20</v>
      </c>
      <c r="X679" s="437" t="s">
        <v>7987</v>
      </c>
      <c r="Y679" s="437">
        <v>14</v>
      </c>
      <c r="Z679" s="436">
        <f>_xlfn.XLOOKUP(answers[[#This Row],[StudentID]],$A$7:$A$1418,$V$7:$V$1418)</f>
        <v>14</v>
      </c>
      <c r="AF679" s="142" t="s">
        <v>7656</v>
      </c>
      <c r="AG679" s="142" t="s">
        <v>2705</v>
      </c>
      <c r="AH679" s="142" t="s">
        <v>2705</v>
      </c>
      <c r="AI679" s="142" t="s">
        <v>2705</v>
      </c>
      <c r="AJ679" s="142" t="s">
        <v>2675</v>
      </c>
      <c r="AK679" s="142" t="s">
        <v>2705</v>
      </c>
      <c r="AL679" s="142" t="s">
        <v>2705</v>
      </c>
      <c r="AM679" s="142" t="s">
        <v>2705</v>
      </c>
      <c r="AN679" s="142" t="s">
        <v>2705</v>
      </c>
      <c r="AO679" s="142" t="s">
        <v>2705</v>
      </c>
      <c r="AP679" s="142" t="s">
        <v>1435</v>
      </c>
      <c r="AQ679" s="142" t="s">
        <v>2705</v>
      </c>
      <c r="AR679" s="142" t="s">
        <v>2705</v>
      </c>
      <c r="AS679" s="142" t="s">
        <v>1435</v>
      </c>
      <c r="AT679" s="142" t="s">
        <v>2398</v>
      </c>
      <c r="AU679" s="142" t="s">
        <v>2705</v>
      </c>
      <c r="AV679" s="142" t="s">
        <v>2705</v>
      </c>
      <c r="AW679" s="142" t="s">
        <v>2675</v>
      </c>
      <c r="AX679" s="142" t="s">
        <v>2398</v>
      </c>
      <c r="AY679" s="142" t="s">
        <v>2705</v>
      </c>
      <c r="AZ679" s="142" t="s">
        <v>2705</v>
      </c>
    </row>
    <row r="680" spans="1:52" s="142" customFormat="1" ht="12.75" x14ac:dyDescent="0.2">
      <c r="A680" s="151"/>
      <c r="B680" s="152" t="s">
        <v>2705</v>
      </c>
      <c r="C680" s="152" t="s">
        <v>2398</v>
      </c>
      <c r="D680" s="152" t="s">
        <v>2705</v>
      </c>
      <c r="E680" s="152" t="s">
        <v>2675</v>
      </c>
      <c r="F680" s="152" t="s">
        <v>2398</v>
      </c>
      <c r="G680" s="152" t="s">
        <v>2675</v>
      </c>
      <c r="H680" s="152" t="s">
        <v>2705</v>
      </c>
      <c r="I680" s="152" t="s">
        <v>2705</v>
      </c>
      <c r="J680" s="152" t="s">
        <v>2705</v>
      </c>
      <c r="K680" s="152" t="s">
        <v>2705</v>
      </c>
      <c r="L680" s="152" t="s">
        <v>2398</v>
      </c>
      <c r="M680" s="152" t="s">
        <v>2398</v>
      </c>
      <c r="N680" s="152" t="s">
        <v>2398</v>
      </c>
      <c r="O680" s="152" t="s">
        <v>2705</v>
      </c>
      <c r="P680" s="152" t="s">
        <v>2705</v>
      </c>
      <c r="Q680" s="152" t="s">
        <v>2398</v>
      </c>
      <c r="R680" s="152" t="s">
        <v>2398</v>
      </c>
      <c r="S680" s="152" t="s">
        <v>2705</v>
      </c>
      <c r="T680" s="152" t="s">
        <v>2398</v>
      </c>
      <c r="U680" s="152" t="s">
        <v>2398</v>
      </c>
      <c r="V680" s="142" t="str" cm="1">
        <f t="array" ref="V680">IF(A680&lt;&gt;"",SUM(--(B680:U681 = "X")*$U$3,--(B680:U681 ="A")*$Q$3,--(B680:U681 ="B")*$R$3,--(B680:U681 ="C")*$S$3),"")</f>
        <v/>
      </c>
      <c r="X680" s="437" t="s">
        <v>7988</v>
      </c>
      <c r="Y680" s="437">
        <v>13</v>
      </c>
      <c r="Z680" s="436">
        <f>_xlfn.XLOOKUP(answers[[#This Row],[StudentID]],$A$7:$A$1418,$V$7:$V$1418)</f>
        <v>13</v>
      </c>
      <c r="AG680" s="142" t="s">
        <v>2705</v>
      </c>
      <c r="AH680" s="142" t="s">
        <v>2398</v>
      </c>
      <c r="AI680" s="142" t="s">
        <v>2705</v>
      </c>
      <c r="AJ680" s="142" t="s">
        <v>2675</v>
      </c>
      <c r="AK680" s="142" t="s">
        <v>2398</v>
      </c>
      <c r="AL680" s="142" t="s">
        <v>2675</v>
      </c>
      <c r="AM680" s="142" t="s">
        <v>2705</v>
      </c>
      <c r="AN680" s="142" t="s">
        <v>2705</v>
      </c>
      <c r="AO680" s="142" t="s">
        <v>2705</v>
      </c>
      <c r="AP680" s="142" t="s">
        <v>2705</v>
      </c>
      <c r="AQ680" s="142" t="s">
        <v>2398</v>
      </c>
      <c r="AR680" s="142" t="s">
        <v>2398</v>
      </c>
      <c r="AS680" s="142" t="s">
        <v>2398</v>
      </c>
      <c r="AT680" s="142" t="s">
        <v>2705</v>
      </c>
      <c r="AU680" s="142" t="s">
        <v>2705</v>
      </c>
      <c r="AV680" s="142" t="s">
        <v>2398</v>
      </c>
      <c r="AW680" s="142" t="s">
        <v>2398</v>
      </c>
      <c r="AX680" s="142" t="s">
        <v>2705</v>
      </c>
      <c r="AY680" s="142" t="s">
        <v>2398</v>
      </c>
      <c r="AZ680" s="142" t="s">
        <v>2398</v>
      </c>
    </row>
    <row r="681" spans="1:52" s="142" customFormat="1" ht="12.75" x14ac:dyDescent="0.2">
      <c r="A681" s="151" t="s">
        <v>7657</v>
      </c>
      <c r="B681" s="152" t="s">
        <v>2705</v>
      </c>
      <c r="C681" s="152" t="s">
        <v>2398</v>
      </c>
      <c r="D681" s="152" t="s">
        <v>2705</v>
      </c>
      <c r="E681" s="152" t="s">
        <v>2705</v>
      </c>
      <c r="F681" s="152" t="s">
        <v>2705</v>
      </c>
      <c r="G681" s="152" t="s">
        <v>1435</v>
      </c>
      <c r="H681" s="152" t="s">
        <v>2675</v>
      </c>
      <c r="I681" s="152" t="s">
        <v>2705</v>
      </c>
      <c r="J681" s="152" t="s">
        <v>2675</v>
      </c>
      <c r="K681" s="152" t="s">
        <v>2705</v>
      </c>
      <c r="L681" s="152" t="s">
        <v>2675</v>
      </c>
      <c r="M681" s="152" t="s">
        <v>2705</v>
      </c>
      <c r="N681" s="152" t="s">
        <v>2705</v>
      </c>
      <c r="O681" s="152" t="s">
        <v>2705</v>
      </c>
      <c r="P681" s="152" t="s">
        <v>2705</v>
      </c>
      <c r="Q681" s="152" t="s">
        <v>2705</v>
      </c>
      <c r="R681" s="152" t="s">
        <v>2705</v>
      </c>
      <c r="S681" s="152" t="s">
        <v>2705</v>
      </c>
      <c r="T681" s="152" t="s">
        <v>2398</v>
      </c>
      <c r="U681" s="152" t="s">
        <v>2705</v>
      </c>
      <c r="V681" s="142" cm="1">
        <f t="array" ref="V681">IF(A681&lt;&gt;"",SUM(--(B681:U682 = "X")*$U$3,--(B681:U682 ="A")*$Q$3,--(B681:U682 ="B")*$R$3,--(B681:U682 ="C")*$S$3),"")</f>
        <v>24.5</v>
      </c>
      <c r="X681" s="437" t="s">
        <v>7989</v>
      </c>
      <c r="Y681" s="437">
        <v>8.5</v>
      </c>
      <c r="Z681" s="436">
        <f>_xlfn.XLOOKUP(answers[[#This Row],[StudentID]],$A$7:$A$1418,$V$7:$V$1418)</f>
        <v>8.5</v>
      </c>
      <c r="AF681" s="142" t="s">
        <v>7657</v>
      </c>
      <c r="AG681" s="142" t="s">
        <v>2705</v>
      </c>
      <c r="AH681" s="142" t="s">
        <v>2398</v>
      </c>
      <c r="AI681" s="142" t="s">
        <v>2705</v>
      </c>
      <c r="AJ681" s="142" t="s">
        <v>2705</v>
      </c>
      <c r="AK681" s="142" t="s">
        <v>2705</v>
      </c>
      <c r="AL681" s="142" t="s">
        <v>1435</v>
      </c>
      <c r="AM681" s="142" t="s">
        <v>2675</v>
      </c>
      <c r="AN681" s="142" t="s">
        <v>2705</v>
      </c>
      <c r="AO681" s="142" t="s">
        <v>2675</v>
      </c>
      <c r="AP681" s="142" t="s">
        <v>2705</v>
      </c>
      <c r="AQ681" s="142" t="s">
        <v>2675</v>
      </c>
      <c r="AR681" s="142" t="s">
        <v>2705</v>
      </c>
      <c r="AS681" s="142" t="s">
        <v>2705</v>
      </c>
      <c r="AT681" s="142" t="s">
        <v>2705</v>
      </c>
      <c r="AU681" s="142" t="s">
        <v>2705</v>
      </c>
      <c r="AV681" s="142" t="s">
        <v>2705</v>
      </c>
      <c r="AW681" s="142" t="s">
        <v>2705</v>
      </c>
      <c r="AX681" s="142" t="s">
        <v>2705</v>
      </c>
      <c r="AY681" s="142" t="s">
        <v>2398</v>
      </c>
      <c r="AZ681" s="142" t="s">
        <v>2705</v>
      </c>
    </row>
    <row r="682" spans="1:52" s="142" customFormat="1" ht="12.75" x14ac:dyDescent="0.2">
      <c r="A682" s="151"/>
      <c r="B682" s="152" t="s">
        <v>2705</v>
      </c>
      <c r="C682" s="152" t="s">
        <v>2675</v>
      </c>
      <c r="D682" s="152" t="s">
        <v>1435</v>
      </c>
      <c r="E682" s="152" t="s">
        <v>1435</v>
      </c>
      <c r="F682" s="152" t="s">
        <v>2705</v>
      </c>
      <c r="G682" s="152" t="s">
        <v>2705</v>
      </c>
      <c r="H682" s="152" t="s">
        <v>2705</v>
      </c>
      <c r="I682" s="152" t="s">
        <v>2705</v>
      </c>
      <c r="J682" s="152" t="s">
        <v>2675</v>
      </c>
      <c r="K682" s="152" t="s">
        <v>2705</v>
      </c>
      <c r="L682" s="152" t="s">
        <v>2705</v>
      </c>
      <c r="M682" s="152" t="s">
        <v>2705</v>
      </c>
      <c r="N682" s="152" t="s">
        <v>2705</v>
      </c>
      <c r="O682" s="152" t="s">
        <v>2705</v>
      </c>
      <c r="P682" s="152" t="s">
        <v>2705</v>
      </c>
      <c r="Q682" s="152" t="s">
        <v>2705</v>
      </c>
      <c r="R682" s="152" t="s">
        <v>2705</v>
      </c>
      <c r="S682" s="152" t="s">
        <v>2705</v>
      </c>
      <c r="T682" s="152" t="s">
        <v>2705</v>
      </c>
      <c r="U682" s="152" t="s">
        <v>2675</v>
      </c>
      <c r="V682" s="142" t="str" cm="1">
        <f t="array" ref="V682">IF(A682&lt;&gt;"",SUM(--(B682:U683 = "X")*$U$3,--(B682:U683 ="A")*$Q$3,--(B682:U683 ="B")*$R$3,--(B682:U683 ="C")*$S$3),"")</f>
        <v/>
      </c>
      <c r="X682" s="437" t="s">
        <v>7990</v>
      </c>
      <c r="Y682" s="437">
        <v>20.5</v>
      </c>
      <c r="Z682" s="436">
        <f>_xlfn.XLOOKUP(answers[[#This Row],[StudentID]],$A$7:$A$1418,$V$7:$V$1418)</f>
        <v>20.5</v>
      </c>
      <c r="AG682" s="142" t="s">
        <v>2705</v>
      </c>
      <c r="AH682" s="142" t="s">
        <v>2675</v>
      </c>
      <c r="AI682" s="142" t="s">
        <v>1435</v>
      </c>
      <c r="AJ682" s="142" t="s">
        <v>1435</v>
      </c>
      <c r="AK682" s="142" t="s">
        <v>2705</v>
      </c>
      <c r="AL682" s="142" t="s">
        <v>2705</v>
      </c>
      <c r="AM682" s="142" t="s">
        <v>2705</v>
      </c>
      <c r="AN682" s="142" t="s">
        <v>2705</v>
      </c>
      <c r="AO682" s="142" t="s">
        <v>2675</v>
      </c>
      <c r="AP682" s="142" t="s">
        <v>2705</v>
      </c>
      <c r="AQ682" s="142" t="s">
        <v>2705</v>
      </c>
      <c r="AR682" s="142" t="s">
        <v>2705</v>
      </c>
      <c r="AS682" s="142" t="s">
        <v>2705</v>
      </c>
      <c r="AT682" s="142" t="s">
        <v>2705</v>
      </c>
      <c r="AU682" s="142" t="s">
        <v>2705</v>
      </c>
      <c r="AV682" s="142" t="s">
        <v>2705</v>
      </c>
      <c r="AW682" s="142" t="s">
        <v>2705</v>
      </c>
      <c r="AX682" s="142" t="s">
        <v>2705</v>
      </c>
      <c r="AY682" s="142" t="s">
        <v>2705</v>
      </c>
      <c r="AZ682" s="142" t="s">
        <v>2675</v>
      </c>
    </row>
    <row r="683" spans="1:52" s="142" customFormat="1" ht="12.75" x14ac:dyDescent="0.2">
      <c r="A683" s="151" t="s">
        <v>7658</v>
      </c>
      <c r="B683" s="152" t="s">
        <v>2705</v>
      </c>
      <c r="C683" s="152" t="s">
        <v>2398</v>
      </c>
      <c r="D683" s="152" t="s">
        <v>2398</v>
      </c>
      <c r="E683" s="152" t="s">
        <v>2397</v>
      </c>
      <c r="F683" s="152" t="s">
        <v>1435</v>
      </c>
      <c r="G683" s="152" t="s">
        <v>2398</v>
      </c>
      <c r="H683" s="152" t="s">
        <v>2675</v>
      </c>
      <c r="I683" s="152" t="s">
        <v>2398</v>
      </c>
      <c r="J683" s="152" t="s">
        <v>2705</v>
      </c>
      <c r="K683" s="152" t="s">
        <v>2398</v>
      </c>
      <c r="L683" s="152" t="s">
        <v>2675</v>
      </c>
      <c r="M683" s="152" t="s">
        <v>2675</v>
      </c>
      <c r="N683" s="152" t="s">
        <v>2705</v>
      </c>
      <c r="O683" s="152" t="s">
        <v>1435</v>
      </c>
      <c r="P683" s="152" t="s">
        <v>2398</v>
      </c>
      <c r="Q683" s="152" t="s">
        <v>2675</v>
      </c>
      <c r="R683" s="152" t="s">
        <v>2398</v>
      </c>
      <c r="S683" s="152" t="s">
        <v>2675</v>
      </c>
      <c r="T683" s="152" t="s">
        <v>2675</v>
      </c>
      <c r="U683" s="152" t="s">
        <v>2398</v>
      </c>
      <c r="V683" s="142" cm="1">
        <f t="array" ref="V683">IF(A683&lt;&gt;"",SUM(--(B683:U684 = "X")*$U$3,--(B683:U684 ="A")*$Q$3,--(B683:U684 ="B")*$R$3,--(B683:U684 ="C")*$S$3),"")</f>
        <v>5</v>
      </c>
      <c r="X683" s="437" t="s">
        <v>7991</v>
      </c>
      <c r="Y683" s="437">
        <v>8.5</v>
      </c>
      <c r="Z683" s="436">
        <f>_xlfn.XLOOKUP(answers[[#This Row],[StudentID]],$A$7:$A$1418,$V$7:$V$1418)</f>
        <v>8.5</v>
      </c>
      <c r="AF683" s="142" t="s">
        <v>7658</v>
      </c>
      <c r="AG683" s="142" t="s">
        <v>2705</v>
      </c>
      <c r="AH683" s="142" t="s">
        <v>2398</v>
      </c>
      <c r="AI683" s="142" t="s">
        <v>2398</v>
      </c>
      <c r="AJ683" s="142" t="s">
        <v>2397</v>
      </c>
      <c r="AK683" s="142" t="s">
        <v>1435</v>
      </c>
      <c r="AL683" s="142" t="s">
        <v>2398</v>
      </c>
      <c r="AM683" s="142" t="s">
        <v>2675</v>
      </c>
      <c r="AN683" s="142" t="s">
        <v>2398</v>
      </c>
      <c r="AO683" s="142" t="s">
        <v>2705</v>
      </c>
      <c r="AP683" s="142" t="s">
        <v>2398</v>
      </c>
      <c r="AQ683" s="142" t="s">
        <v>2675</v>
      </c>
      <c r="AR683" s="142" t="s">
        <v>2675</v>
      </c>
      <c r="AS683" s="142" t="s">
        <v>2705</v>
      </c>
      <c r="AT683" s="142" t="s">
        <v>1435</v>
      </c>
      <c r="AU683" s="142" t="s">
        <v>2398</v>
      </c>
      <c r="AV683" s="142" t="s">
        <v>2675</v>
      </c>
      <c r="AW683" s="142" t="s">
        <v>2398</v>
      </c>
      <c r="AX683" s="142" t="s">
        <v>2675</v>
      </c>
      <c r="AY683" s="142" t="s">
        <v>2675</v>
      </c>
      <c r="AZ683" s="142" t="s">
        <v>2398</v>
      </c>
    </row>
    <row r="684" spans="1:52" s="142" customFormat="1" ht="12.75" x14ac:dyDescent="0.2">
      <c r="A684" s="151"/>
      <c r="B684" s="152" t="s">
        <v>2398</v>
      </c>
      <c r="C684" s="152" t="s">
        <v>2705</v>
      </c>
      <c r="D684" s="152" t="s">
        <v>1435</v>
      </c>
      <c r="E684" s="152" t="s">
        <v>2675</v>
      </c>
      <c r="F684" s="152" t="s">
        <v>2398</v>
      </c>
      <c r="G684" s="152" t="s">
        <v>2398</v>
      </c>
      <c r="H684" s="152" t="s">
        <v>2675</v>
      </c>
      <c r="I684" s="152" t="s">
        <v>2705</v>
      </c>
      <c r="J684" s="152" t="s">
        <v>2398</v>
      </c>
      <c r="K684" s="152" t="s">
        <v>2398</v>
      </c>
      <c r="L684" s="152" t="s">
        <v>2705</v>
      </c>
      <c r="M684" s="152" t="s">
        <v>2398</v>
      </c>
      <c r="N684" s="152" t="s">
        <v>2705</v>
      </c>
      <c r="O684" s="152" t="s">
        <v>2705</v>
      </c>
      <c r="P684" s="152" t="s">
        <v>2705</v>
      </c>
      <c r="Q684" s="152" t="s">
        <v>2398</v>
      </c>
      <c r="R684" s="152" t="s">
        <v>1435</v>
      </c>
      <c r="S684" s="152" t="s">
        <v>2705</v>
      </c>
      <c r="T684" s="152" t="s">
        <v>2705</v>
      </c>
      <c r="U684" s="152" t="s">
        <v>2398</v>
      </c>
      <c r="V684" s="142" t="str" cm="1">
        <f t="array" ref="V684">IF(A684&lt;&gt;"",SUM(--(B684:U685 = "X")*$U$3,--(B684:U685 ="A")*$Q$3,--(B684:U685 ="B")*$R$3,--(B684:U685 ="C")*$S$3),"")</f>
        <v/>
      </c>
      <c r="X684" s="437" t="s">
        <v>7992</v>
      </c>
      <c r="Y684" s="437">
        <v>21.5</v>
      </c>
      <c r="Z684" s="436">
        <f>_xlfn.XLOOKUP(answers[[#This Row],[StudentID]],$A$7:$A$1418,$V$7:$V$1418)</f>
        <v>21.5</v>
      </c>
      <c r="AG684" s="142" t="s">
        <v>2398</v>
      </c>
      <c r="AH684" s="142" t="s">
        <v>2705</v>
      </c>
      <c r="AI684" s="142" t="s">
        <v>1435</v>
      </c>
      <c r="AJ684" s="142" t="s">
        <v>2675</v>
      </c>
      <c r="AK684" s="142" t="s">
        <v>2398</v>
      </c>
      <c r="AL684" s="142" t="s">
        <v>2398</v>
      </c>
      <c r="AM684" s="142" t="s">
        <v>2675</v>
      </c>
      <c r="AN684" s="142" t="s">
        <v>2705</v>
      </c>
      <c r="AO684" s="142" t="s">
        <v>2398</v>
      </c>
      <c r="AP684" s="142" t="s">
        <v>2398</v>
      </c>
      <c r="AQ684" s="142" t="s">
        <v>2705</v>
      </c>
      <c r="AR684" s="142" t="s">
        <v>2398</v>
      </c>
      <c r="AS684" s="142" t="s">
        <v>2705</v>
      </c>
      <c r="AT684" s="142" t="s">
        <v>2705</v>
      </c>
      <c r="AU684" s="142" t="s">
        <v>2705</v>
      </c>
      <c r="AV684" s="142" t="s">
        <v>2398</v>
      </c>
      <c r="AW684" s="142" t="s">
        <v>1435</v>
      </c>
      <c r="AX684" s="142" t="s">
        <v>2705</v>
      </c>
      <c r="AY684" s="142" t="s">
        <v>2705</v>
      </c>
      <c r="AZ684" s="142" t="s">
        <v>2398</v>
      </c>
    </row>
    <row r="685" spans="1:52" s="142" customFormat="1" ht="12.75" x14ac:dyDescent="0.2">
      <c r="A685" s="151" t="s">
        <v>7659</v>
      </c>
      <c r="B685" s="152" t="s">
        <v>2705</v>
      </c>
      <c r="C685" s="152" t="s">
        <v>2705</v>
      </c>
      <c r="D685" s="152" t="s">
        <v>2398</v>
      </c>
      <c r="E685" s="152" t="s">
        <v>2705</v>
      </c>
      <c r="F685" s="152" t="s">
        <v>2705</v>
      </c>
      <c r="G685" s="152" t="s">
        <v>2705</v>
      </c>
      <c r="H685" s="152" t="s">
        <v>2675</v>
      </c>
      <c r="I685" s="152" t="s">
        <v>2398</v>
      </c>
      <c r="J685" s="152" t="s">
        <v>2705</v>
      </c>
      <c r="K685" s="152" t="s">
        <v>2397</v>
      </c>
      <c r="L685" s="152" t="s">
        <v>2398</v>
      </c>
      <c r="M685" s="152" t="s">
        <v>1435</v>
      </c>
      <c r="N685" s="152" t="s">
        <v>2705</v>
      </c>
      <c r="O685" s="152" t="s">
        <v>2705</v>
      </c>
      <c r="P685" s="152" t="s">
        <v>2705</v>
      </c>
      <c r="Q685" s="152" t="s">
        <v>2705</v>
      </c>
      <c r="R685" s="152" t="s">
        <v>2705</v>
      </c>
      <c r="S685" s="152" t="s">
        <v>2705</v>
      </c>
      <c r="T685" s="152" t="s">
        <v>2675</v>
      </c>
      <c r="U685" s="152" t="s">
        <v>2675</v>
      </c>
      <c r="V685" s="142" cm="1">
        <f t="array" ref="V685">IF(A685&lt;&gt;"",SUM(--(B685:U686 = "X")*$U$3,--(B685:U686 ="A")*$Q$3,--(B685:U686 ="B")*$R$3,--(B685:U686 ="C")*$S$3),"")</f>
        <v>21.5</v>
      </c>
      <c r="X685" s="437" t="s">
        <v>7993</v>
      </c>
      <c r="Y685" s="437">
        <v>21</v>
      </c>
      <c r="Z685" s="436">
        <f>_xlfn.XLOOKUP(answers[[#This Row],[StudentID]],$A$7:$A$1418,$V$7:$V$1418)</f>
        <v>21</v>
      </c>
      <c r="AF685" s="142" t="s">
        <v>7659</v>
      </c>
      <c r="AG685" s="142" t="s">
        <v>2705</v>
      </c>
      <c r="AH685" s="142" t="s">
        <v>2705</v>
      </c>
      <c r="AI685" s="142" t="s">
        <v>2398</v>
      </c>
      <c r="AJ685" s="142" t="s">
        <v>2705</v>
      </c>
      <c r="AK685" s="142" t="s">
        <v>2705</v>
      </c>
      <c r="AL685" s="142" t="s">
        <v>2705</v>
      </c>
      <c r="AM685" s="142" t="s">
        <v>2675</v>
      </c>
      <c r="AN685" s="142" t="s">
        <v>2398</v>
      </c>
      <c r="AO685" s="142" t="s">
        <v>2705</v>
      </c>
      <c r="AP685" s="142" t="s">
        <v>2397</v>
      </c>
      <c r="AQ685" s="142" t="s">
        <v>2398</v>
      </c>
      <c r="AR685" s="142" t="s">
        <v>1435</v>
      </c>
      <c r="AS685" s="142" t="s">
        <v>2705</v>
      </c>
      <c r="AT685" s="142" t="s">
        <v>2705</v>
      </c>
      <c r="AU685" s="142" t="s">
        <v>2705</v>
      </c>
      <c r="AV685" s="142" t="s">
        <v>2705</v>
      </c>
      <c r="AW685" s="142" t="s">
        <v>2705</v>
      </c>
      <c r="AX685" s="142" t="s">
        <v>2705</v>
      </c>
      <c r="AY685" s="142" t="s">
        <v>2675</v>
      </c>
      <c r="AZ685" s="142" t="s">
        <v>2675</v>
      </c>
    </row>
    <row r="686" spans="1:52" s="142" customFormat="1" ht="12.75" x14ac:dyDescent="0.2">
      <c r="A686" s="151"/>
      <c r="B686" s="152" t="s">
        <v>1435</v>
      </c>
      <c r="C686" s="152" t="s">
        <v>2705</v>
      </c>
      <c r="D686" s="152" t="s">
        <v>2705</v>
      </c>
      <c r="E686" s="152" t="s">
        <v>2675</v>
      </c>
      <c r="F686" s="152" t="s">
        <v>2705</v>
      </c>
      <c r="G686" s="152" t="s">
        <v>2398</v>
      </c>
      <c r="H686" s="152" t="s">
        <v>2705</v>
      </c>
      <c r="I686" s="152" t="s">
        <v>2705</v>
      </c>
      <c r="J686" s="152" t="s">
        <v>2705</v>
      </c>
      <c r="K686" s="152" t="s">
        <v>2705</v>
      </c>
      <c r="L686" s="152" t="s">
        <v>2398</v>
      </c>
      <c r="M686" s="152" t="s">
        <v>1435</v>
      </c>
      <c r="N686" s="152" t="s">
        <v>2705</v>
      </c>
      <c r="O686" s="152" t="s">
        <v>2705</v>
      </c>
      <c r="P686" s="152" t="s">
        <v>2398</v>
      </c>
      <c r="Q686" s="152" t="s">
        <v>2705</v>
      </c>
      <c r="R686" s="152" t="s">
        <v>2398</v>
      </c>
      <c r="S686" s="152" t="s">
        <v>2705</v>
      </c>
      <c r="T686" s="152" t="s">
        <v>2705</v>
      </c>
      <c r="U686" s="152" t="s">
        <v>2705</v>
      </c>
      <c r="V686" s="142" t="str" cm="1">
        <f t="array" ref="V686">IF(A686&lt;&gt;"",SUM(--(B686:U687 = "X")*$U$3,--(B686:U687 ="A")*$Q$3,--(B686:U687 ="B")*$R$3,--(B686:U687 ="C")*$S$3),"")</f>
        <v/>
      </c>
      <c r="X686" s="437" t="s">
        <v>7994</v>
      </c>
      <c r="Y686" s="437">
        <v>14.5</v>
      </c>
      <c r="Z686" s="436">
        <f>_xlfn.XLOOKUP(answers[[#This Row],[StudentID]],$A$7:$A$1418,$V$7:$V$1418)</f>
        <v>14.5</v>
      </c>
      <c r="AG686" s="142" t="s">
        <v>1435</v>
      </c>
      <c r="AH686" s="142" t="s">
        <v>2705</v>
      </c>
      <c r="AI686" s="142" t="s">
        <v>2705</v>
      </c>
      <c r="AJ686" s="142" t="s">
        <v>2675</v>
      </c>
      <c r="AK686" s="142" t="s">
        <v>2705</v>
      </c>
      <c r="AL686" s="142" t="s">
        <v>2398</v>
      </c>
      <c r="AM686" s="142" t="s">
        <v>2705</v>
      </c>
      <c r="AN686" s="142" t="s">
        <v>2705</v>
      </c>
      <c r="AO686" s="142" t="s">
        <v>2705</v>
      </c>
      <c r="AP686" s="142" t="s">
        <v>2705</v>
      </c>
      <c r="AQ686" s="142" t="s">
        <v>2398</v>
      </c>
      <c r="AR686" s="142" t="s">
        <v>1435</v>
      </c>
      <c r="AS686" s="142" t="s">
        <v>2705</v>
      </c>
      <c r="AT686" s="142" t="s">
        <v>2705</v>
      </c>
      <c r="AU686" s="142" t="s">
        <v>2398</v>
      </c>
      <c r="AV686" s="142" t="s">
        <v>2705</v>
      </c>
      <c r="AW686" s="142" t="s">
        <v>2398</v>
      </c>
      <c r="AX686" s="142" t="s">
        <v>2705</v>
      </c>
      <c r="AY686" s="142" t="s">
        <v>2705</v>
      </c>
      <c r="AZ686" s="142" t="s">
        <v>2705</v>
      </c>
    </row>
    <row r="687" spans="1:52" s="142" customFormat="1" ht="12.75" x14ac:dyDescent="0.2">
      <c r="A687" s="151" t="s">
        <v>7660</v>
      </c>
      <c r="B687" s="152" t="s">
        <v>2675</v>
      </c>
      <c r="C687" s="152" t="s">
        <v>2398</v>
      </c>
      <c r="D687" s="152" t="s">
        <v>2398</v>
      </c>
      <c r="E687" s="152" t="s">
        <v>2705</v>
      </c>
      <c r="F687" s="152" t="s">
        <v>2397</v>
      </c>
      <c r="G687" s="152" t="s">
        <v>2705</v>
      </c>
      <c r="H687" s="152" t="s">
        <v>2398</v>
      </c>
      <c r="I687" s="152" t="s">
        <v>2398</v>
      </c>
      <c r="J687" s="152" t="s">
        <v>2705</v>
      </c>
      <c r="K687" s="152" t="s">
        <v>2398</v>
      </c>
      <c r="L687" s="152" t="s">
        <v>2705</v>
      </c>
      <c r="M687" s="152" t="s">
        <v>2398</v>
      </c>
      <c r="N687" s="152" t="s">
        <v>2398</v>
      </c>
      <c r="O687" s="152" t="s">
        <v>2398</v>
      </c>
      <c r="P687" s="152" t="s">
        <v>2675</v>
      </c>
      <c r="Q687" s="152" t="s">
        <v>2705</v>
      </c>
      <c r="R687" s="152" t="s">
        <v>2398</v>
      </c>
      <c r="S687" s="152" t="s">
        <v>2397</v>
      </c>
      <c r="T687" s="152" t="s">
        <v>2398</v>
      </c>
      <c r="U687" s="152" t="s">
        <v>2398</v>
      </c>
      <c r="V687" s="142" cm="1">
        <f t="array" ref="V687">IF(A687&lt;&gt;"",SUM(--(B687:U688 = "X")*$U$3,--(B687:U688 ="A")*$Q$3,--(B687:U688 ="B")*$R$3,--(B687:U688 ="C")*$S$3),"")</f>
        <v>8</v>
      </c>
      <c r="X687" s="437" t="s">
        <v>7995</v>
      </c>
      <c r="Y687" s="437">
        <v>10</v>
      </c>
      <c r="Z687" s="436">
        <f>_xlfn.XLOOKUP(answers[[#This Row],[StudentID]],$A$7:$A$1418,$V$7:$V$1418)</f>
        <v>10</v>
      </c>
      <c r="AF687" s="142" t="s">
        <v>7660</v>
      </c>
      <c r="AG687" s="142" t="s">
        <v>2675</v>
      </c>
      <c r="AH687" s="142" t="s">
        <v>2398</v>
      </c>
      <c r="AI687" s="142" t="s">
        <v>2398</v>
      </c>
      <c r="AJ687" s="142" t="s">
        <v>2705</v>
      </c>
      <c r="AK687" s="142" t="s">
        <v>2397</v>
      </c>
      <c r="AL687" s="142" t="s">
        <v>2705</v>
      </c>
      <c r="AM687" s="142" t="s">
        <v>2398</v>
      </c>
      <c r="AN687" s="142" t="s">
        <v>2398</v>
      </c>
      <c r="AO687" s="142" t="s">
        <v>2705</v>
      </c>
      <c r="AP687" s="142" t="s">
        <v>2398</v>
      </c>
      <c r="AQ687" s="142" t="s">
        <v>2705</v>
      </c>
      <c r="AR687" s="142" t="s">
        <v>2398</v>
      </c>
      <c r="AS687" s="142" t="s">
        <v>2398</v>
      </c>
      <c r="AT687" s="142" t="s">
        <v>2398</v>
      </c>
      <c r="AU687" s="142" t="s">
        <v>2675</v>
      </c>
      <c r="AV687" s="142" t="s">
        <v>2705</v>
      </c>
      <c r="AW687" s="142" t="s">
        <v>2398</v>
      </c>
      <c r="AX687" s="142" t="s">
        <v>2397</v>
      </c>
      <c r="AY687" s="142" t="s">
        <v>2398</v>
      </c>
      <c r="AZ687" s="142" t="s">
        <v>2398</v>
      </c>
    </row>
    <row r="688" spans="1:52" s="142" customFormat="1" ht="12.75" x14ac:dyDescent="0.2">
      <c r="A688" s="151"/>
      <c r="B688" s="152" t="s">
        <v>2397</v>
      </c>
      <c r="C688" s="152" t="s">
        <v>2675</v>
      </c>
      <c r="D688" s="152" t="s">
        <v>2705</v>
      </c>
      <c r="E688" s="152" t="s">
        <v>2398</v>
      </c>
      <c r="F688" s="152" t="s">
        <v>2675</v>
      </c>
      <c r="G688" s="152" t="s">
        <v>1435</v>
      </c>
      <c r="H688" s="152" t="s">
        <v>2398</v>
      </c>
      <c r="I688" s="152" t="s">
        <v>2705</v>
      </c>
      <c r="J688" s="152" t="s">
        <v>2705</v>
      </c>
      <c r="K688" s="152" t="s">
        <v>2398</v>
      </c>
      <c r="L688" s="152" t="s">
        <v>1435</v>
      </c>
      <c r="M688" s="152" t="s">
        <v>2675</v>
      </c>
      <c r="N688" s="152" t="s">
        <v>2398</v>
      </c>
      <c r="O688" s="152" t="s">
        <v>2398</v>
      </c>
      <c r="P688" s="152" t="s">
        <v>1435</v>
      </c>
      <c r="Q688" s="152" t="s">
        <v>2705</v>
      </c>
      <c r="R688" s="152" t="s">
        <v>2398</v>
      </c>
      <c r="S688" s="152" t="s">
        <v>2705</v>
      </c>
      <c r="T688" s="152" t="s">
        <v>2705</v>
      </c>
      <c r="U688" s="152" t="s">
        <v>2705</v>
      </c>
      <c r="V688" s="142" t="str" cm="1">
        <f t="array" ref="V688">IF(A688&lt;&gt;"",SUM(--(B688:U689 = "X")*$U$3,--(B688:U689 ="A")*$Q$3,--(B688:U689 ="B")*$R$3,--(B688:U689 ="C")*$S$3),"")</f>
        <v/>
      </c>
      <c r="X688" s="437" t="s">
        <v>7996</v>
      </c>
      <c r="Y688" s="437">
        <v>11</v>
      </c>
      <c r="Z688" s="436">
        <f>_xlfn.XLOOKUP(answers[[#This Row],[StudentID]],$A$7:$A$1418,$V$7:$V$1418)</f>
        <v>11</v>
      </c>
      <c r="AG688" s="142" t="s">
        <v>2397</v>
      </c>
      <c r="AH688" s="142" t="s">
        <v>2675</v>
      </c>
      <c r="AI688" s="142" t="s">
        <v>2705</v>
      </c>
      <c r="AJ688" s="142" t="s">
        <v>2398</v>
      </c>
      <c r="AK688" s="142" t="s">
        <v>2675</v>
      </c>
      <c r="AL688" s="142" t="s">
        <v>1435</v>
      </c>
      <c r="AM688" s="142" t="s">
        <v>2398</v>
      </c>
      <c r="AN688" s="142" t="s">
        <v>2705</v>
      </c>
      <c r="AO688" s="142" t="s">
        <v>2705</v>
      </c>
      <c r="AP688" s="142" t="s">
        <v>2398</v>
      </c>
      <c r="AQ688" s="142" t="s">
        <v>1435</v>
      </c>
      <c r="AR688" s="142" t="s">
        <v>2675</v>
      </c>
      <c r="AS688" s="142" t="s">
        <v>2398</v>
      </c>
      <c r="AT688" s="142" t="s">
        <v>2398</v>
      </c>
      <c r="AU688" s="142" t="s">
        <v>1435</v>
      </c>
      <c r="AV688" s="142" t="s">
        <v>2705</v>
      </c>
      <c r="AW688" s="142" t="s">
        <v>2398</v>
      </c>
      <c r="AX688" s="142" t="s">
        <v>2705</v>
      </c>
      <c r="AY688" s="142" t="s">
        <v>2705</v>
      </c>
      <c r="AZ688" s="142" t="s">
        <v>2705</v>
      </c>
    </row>
    <row r="689" spans="1:52" s="142" customFormat="1" ht="12.75" x14ac:dyDescent="0.2">
      <c r="A689" s="151" t="s">
        <v>7661</v>
      </c>
      <c r="B689" s="152" t="s">
        <v>2705</v>
      </c>
      <c r="C689" s="152" t="s">
        <v>2705</v>
      </c>
      <c r="D689" s="152" t="s">
        <v>2398</v>
      </c>
      <c r="E689" s="152" t="s">
        <v>2398</v>
      </c>
      <c r="F689" s="152" t="s">
        <v>2705</v>
      </c>
      <c r="G689" s="152" t="s">
        <v>2705</v>
      </c>
      <c r="H689" s="152" t="s">
        <v>2705</v>
      </c>
      <c r="I689" s="152" t="s">
        <v>2675</v>
      </c>
      <c r="J689" s="152" t="s">
        <v>2675</v>
      </c>
      <c r="K689" s="152" t="s">
        <v>1435</v>
      </c>
      <c r="L689" s="152" t="s">
        <v>1435</v>
      </c>
      <c r="M689" s="152" t="s">
        <v>2705</v>
      </c>
      <c r="N689" s="152" t="s">
        <v>2675</v>
      </c>
      <c r="O689" s="152" t="s">
        <v>2705</v>
      </c>
      <c r="P689" s="152" t="s">
        <v>2705</v>
      </c>
      <c r="Q689" s="152" t="s">
        <v>2705</v>
      </c>
      <c r="R689" s="152" t="s">
        <v>1435</v>
      </c>
      <c r="S689" s="152" t="s">
        <v>2397</v>
      </c>
      <c r="T689" s="152" t="s">
        <v>2705</v>
      </c>
      <c r="U689" s="152" t="s">
        <v>2705</v>
      </c>
      <c r="V689" s="142" cm="1">
        <f t="array" ref="V689">IF(A689&lt;&gt;"",SUM(--(B689:U690 = "X")*$U$3,--(B689:U690 ="A")*$Q$3,--(B689:U690 ="B")*$R$3,--(B689:U690 ="C")*$S$3),"")</f>
        <v>20</v>
      </c>
      <c r="X689" s="437" t="s">
        <v>7997</v>
      </c>
      <c r="Y689" s="437">
        <v>22.5</v>
      </c>
      <c r="Z689" s="436">
        <f>_xlfn.XLOOKUP(answers[[#This Row],[StudentID]],$A$7:$A$1418,$V$7:$V$1418)</f>
        <v>22.5</v>
      </c>
      <c r="AF689" s="142" t="s">
        <v>7661</v>
      </c>
      <c r="AG689" s="142" t="s">
        <v>2705</v>
      </c>
      <c r="AH689" s="142" t="s">
        <v>2705</v>
      </c>
      <c r="AI689" s="142" t="s">
        <v>2398</v>
      </c>
      <c r="AJ689" s="142" t="s">
        <v>2398</v>
      </c>
      <c r="AK689" s="142" t="s">
        <v>2705</v>
      </c>
      <c r="AL689" s="142" t="s">
        <v>2705</v>
      </c>
      <c r="AM689" s="142" t="s">
        <v>2705</v>
      </c>
      <c r="AN689" s="142" t="s">
        <v>2675</v>
      </c>
      <c r="AO689" s="142" t="s">
        <v>2675</v>
      </c>
      <c r="AP689" s="142" t="s">
        <v>1435</v>
      </c>
      <c r="AQ689" s="142" t="s">
        <v>1435</v>
      </c>
      <c r="AR689" s="142" t="s">
        <v>2705</v>
      </c>
      <c r="AS689" s="142" t="s">
        <v>2675</v>
      </c>
      <c r="AT689" s="142" t="s">
        <v>2705</v>
      </c>
      <c r="AU689" s="142" t="s">
        <v>2705</v>
      </c>
      <c r="AV689" s="142" t="s">
        <v>2705</v>
      </c>
      <c r="AW689" s="142" t="s">
        <v>1435</v>
      </c>
      <c r="AX689" s="142" t="s">
        <v>2397</v>
      </c>
      <c r="AY689" s="142" t="s">
        <v>2705</v>
      </c>
      <c r="AZ689" s="142" t="s">
        <v>2705</v>
      </c>
    </row>
    <row r="690" spans="1:52" s="142" customFormat="1" ht="12.75" x14ac:dyDescent="0.2">
      <c r="A690" s="151"/>
      <c r="B690" s="152" t="s">
        <v>2398</v>
      </c>
      <c r="C690" s="152" t="s">
        <v>2398</v>
      </c>
      <c r="D690" s="152" t="s">
        <v>2705</v>
      </c>
      <c r="E690" s="152" t="s">
        <v>2705</v>
      </c>
      <c r="F690" s="152" t="s">
        <v>2398</v>
      </c>
      <c r="G690" s="152" t="s">
        <v>2705</v>
      </c>
      <c r="H690" s="152" t="s">
        <v>2398</v>
      </c>
      <c r="I690" s="152" t="s">
        <v>2705</v>
      </c>
      <c r="J690" s="152" t="s">
        <v>2705</v>
      </c>
      <c r="K690" s="152" t="s">
        <v>2705</v>
      </c>
      <c r="L690" s="152" t="s">
        <v>2705</v>
      </c>
      <c r="M690" s="152" t="s">
        <v>2397</v>
      </c>
      <c r="N690" s="152" t="s">
        <v>2705</v>
      </c>
      <c r="O690" s="152" t="s">
        <v>2705</v>
      </c>
      <c r="P690" s="152" t="s">
        <v>2675</v>
      </c>
      <c r="Q690" s="152" t="s">
        <v>2705</v>
      </c>
      <c r="R690" s="152" t="s">
        <v>2705</v>
      </c>
      <c r="S690" s="152" t="s">
        <v>2705</v>
      </c>
      <c r="T690" s="152" t="s">
        <v>2705</v>
      </c>
      <c r="U690" s="152" t="s">
        <v>2675</v>
      </c>
      <c r="V690" s="142" t="str" cm="1">
        <f t="array" ref="V690">IF(A690&lt;&gt;"",SUM(--(B690:U691 = "X")*$U$3,--(B690:U691 ="A")*$Q$3,--(B690:U691 ="B")*$R$3,--(B690:U691 ="C")*$S$3),"")</f>
        <v/>
      </c>
      <c r="X690" s="437" t="s">
        <v>7998</v>
      </c>
      <c r="Y690" s="437">
        <v>9</v>
      </c>
      <c r="Z690" s="436">
        <f>_xlfn.XLOOKUP(answers[[#This Row],[StudentID]],$A$7:$A$1418,$V$7:$V$1418)</f>
        <v>9</v>
      </c>
      <c r="AG690" s="142" t="s">
        <v>2398</v>
      </c>
      <c r="AH690" s="142" t="s">
        <v>2398</v>
      </c>
      <c r="AI690" s="142" t="s">
        <v>2705</v>
      </c>
      <c r="AJ690" s="142" t="s">
        <v>2705</v>
      </c>
      <c r="AK690" s="142" t="s">
        <v>2398</v>
      </c>
      <c r="AL690" s="142" t="s">
        <v>2705</v>
      </c>
      <c r="AM690" s="142" t="s">
        <v>2398</v>
      </c>
      <c r="AN690" s="142" t="s">
        <v>2705</v>
      </c>
      <c r="AO690" s="142" t="s">
        <v>2705</v>
      </c>
      <c r="AP690" s="142" t="s">
        <v>2705</v>
      </c>
      <c r="AQ690" s="142" t="s">
        <v>2705</v>
      </c>
      <c r="AR690" s="142" t="s">
        <v>2397</v>
      </c>
      <c r="AS690" s="142" t="s">
        <v>2705</v>
      </c>
      <c r="AT690" s="142" t="s">
        <v>2705</v>
      </c>
      <c r="AU690" s="142" t="s">
        <v>2675</v>
      </c>
      <c r="AV690" s="142" t="s">
        <v>2705</v>
      </c>
      <c r="AW690" s="142" t="s">
        <v>2705</v>
      </c>
      <c r="AX690" s="142" t="s">
        <v>2705</v>
      </c>
      <c r="AY690" s="142" t="s">
        <v>2705</v>
      </c>
      <c r="AZ690" s="142" t="s">
        <v>2675</v>
      </c>
    </row>
    <row r="691" spans="1:52" s="142" customFormat="1" ht="12.75" x14ac:dyDescent="0.2">
      <c r="A691" s="151" t="s">
        <v>7662</v>
      </c>
      <c r="B691" s="152" t="s">
        <v>2398</v>
      </c>
      <c r="C691" s="152" t="s">
        <v>2675</v>
      </c>
      <c r="D691" s="152" t="s">
        <v>2705</v>
      </c>
      <c r="E691" s="152" t="s">
        <v>2705</v>
      </c>
      <c r="F691" s="152" t="s">
        <v>2398</v>
      </c>
      <c r="G691" s="152" t="s">
        <v>2705</v>
      </c>
      <c r="H691" s="152" t="s">
        <v>2705</v>
      </c>
      <c r="I691" s="152" t="s">
        <v>2397</v>
      </c>
      <c r="J691" s="152" t="s">
        <v>2675</v>
      </c>
      <c r="K691" s="152" t="s">
        <v>2705</v>
      </c>
      <c r="L691" s="152" t="s">
        <v>1435</v>
      </c>
      <c r="M691" s="152" t="s">
        <v>1435</v>
      </c>
      <c r="N691" s="152" t="s">
        <v>2675</v>
      </c>
      <c r="O691" s="152" t="s">
        <v>2397</v>
      </c>
      <c r="P691" s="152" t="s">
        <v>2705</v>
      </c>
      <c r="Q691" s="152" t="s">
        <v>2705</v>
      </c>
      <c r="R691" s="152" t="s">
        <v>1435</v>
      </c>
      <c r="S691" s="152" t="s">
        <v>2705</v>
      </c>
      <c r="T691" s="152" t="s">
        <v>2705</v>
      </c>
      <c r="U691" s="152" t="s">
        <v>2705</v>
      </c>
      <c r="V691" s="142" cm="1">
        <f t="array" ref="V691">IF(A691&lt;&gt;"",SUM(--(B691:U692 = "X")*$U$3,--(B691:U692 ="A")*$Q$3,--(B691:U692 ="B")*$R$3,--(B691:U692 ="C")*$S$3),"")</f>
        <v>15</v>
      </c>
      <c r="X691" s="437" t="s">
        <v>7999</v>
      </c>
      <c r="Y691" s="437">
        <v>11</v>
      </c>
      <c r="Z691" s="436">
        <f>_xlfn.XLOOKUP(answers[[#This Row],[StudentID]],$A$7:$A$1418,$V$7:$V$1418)</f>
        <v>11</v>
      </c>
      <c r="AF691" s="142" t="s">
        <v>7662</v>
      </c>
      <c r="AG691" s="142" t="s">
        <v>2398</v>
      </c>
      <c r="AH691" s="142" t="s">
        <v>2675</v>
      </c>
      <c r="AI691" s="142" t="s">
        <v>2705</v>
      </c>
      <c r="AJ691" s="142" t="s">
        <v>2705</v>
      </c>
      <c r="AK691" s="142" t="s">
        <v>2398</v>
      </c>
      <c r="AL691" s="142" t="s">
        <v>2705</v>
      </c>
      <c r="AM691" s="142" t="s">
        <v>2705</v>
      </c>
      <c r="AN691" s="142" t="s">
        <v>2397</v>
      </c>
      <c r="AO691" s="142" t="s">
        <v>2675</v>
      </c>
      <c r="AP691" s="142" t="s">
        <v>2705</v>
      </c>
      <c r="AQ691" s="142" t="s">
        <v>1435</v>
      </c>
      <c r="AR691" s="142" t="s">
        <v>1435</v>
      </c>
      <c r="AS691" s="142" t="s">
        <v>2675</v>
      </c>
      <c r="AT691" s="142" t="s">
        <v>2397</v>
      </c>
      <c r="AU691" s="142" t="s">
        <v>2705</v>
      </c>
      <c r="AV691" s="142" t="s">
        <v>2705</v>
      </c>
      <c r="AW691" s="142" t="s">
        <v>1435</v>
      </c>
      <c r="AX691" s="142" t="s">
        <v>2705</v>
      </c>
      <c r="AY691" s="142" t="s">
        <v>2705</v>
      </c>
      <c r="AZ691" s="142" t="s">
        <v>2705</v>
      </c>
    </row>
    <row r="692" spans="1:52" s="142" customFormat="1" ht="12.75" x14ac:dyDescent="0.2">
      <c r="A692" s="151"/>
      <c r="B692" s="152" t="s">
        <v>2705</v>
      </c>
      <c r="C692" s="152" t="s">
        <v>2398</v>
      </c>
      <c r="D692" s="152" t="s">
        <v>2398</v>
      </c>
      <c r="E692" s="152" t="s">
        <v>2705</v>
      </c>
      <c r="F692" s="152" t="s">
        <v>2398</v>
      </c>
      <c r="G692" s="152" t="s">
        <v>2705</v>
      </c>
      <c r="H692" s="152" t="s">
        <v>2397</v>
      </c>
      <c r="I692" s="152" t="s">
        <v>2705</v>
      </c>
      <c r="J692" s="152" t="s">
        <v>2398</v>
      </c>
      <c r="K692" s="152" t="s">
        <v>2705</v>
      </c>
      <c r="L692" s="152" t="s">
        <v>1435</v>
      </c>
      <c r="M692" s="152" t="s">
        <v>2398</v>
      </c>
      <c r="N692" s="152" t="s">
        <v>2705</v>
      </c>
      <c r="O692" s="152" t="s">
        <v>2398</v>
      </c>
      <c r="P692" s="152" t="s">
        <v>2705</v>
      </c>
      <c r="Q692" s="152" t="s">
        <v>2705</v>
      </c>
      <c r="R692" s="152" t="s">
        <v>2398</v>
      </c>
      <c r="S692" s="152" t="s">
        <v>2705</v>
      </c>
      <c r="T692" s="152" t="s">
        <v>2398</v>
      </c>
      <c r="U692" s="152" t="s">
        <v>2675</v>
      </c>
      <c r="V692" s="142" t="str" cm="1">
        <f t="array" ref="V692">IF(A692&lt;&gt;"",SUM(--(B692:U693 = "X")*$U$3,--(B692:U693 ="A")*$Q$3,--(B692:U693 ="B")*$R$3,--(B692:U693 ="C")*$S$3),"")</f>
        <v/>
      </c>
      <c r="X692" s="437" t="s">
        <v>8000</v>
      </c>
      <c r="Y692" s="437">
        <v>14.5</v>
      </c>
      <c r="Z692" s="436">
        <f>_xlfn.XLOOKUP(answers[[#This Row],[StudentID]],$A$7:$A$1418,$V$7:$V$1418)</f>
        <v>14.5</v>
      </c>
      <c r="AG692" s="142" t="s">
        <v>2705</v>
      </c>
      <c r="AH692" s="142" t="s">
        <v>2398</v>
      </c>
      <c r="AI692" s="142" t="s">
        <v>2398</v>
      </c>
      <c r="AJ692" s="142" t="s">
        <v>2705</v>
      </c>
      <c r="AK692" s="142" t="s">
        <v>2398</v>
      </c>
      <c r="AL692" s="142" t="s">
        <v>2705</v>
      </c>
      <c r="AM692" s="142" t="s">
        <v>2397</v>
      </c>
      <c r="AN692" s="142" t="s">
        <v>2705</v>
      </c>
      <c r="AO692" s="142" t="s">
        <v>2398</v>
      </c>
      <c r="AP692" s="142" t="s">
        <v>2705</v>
      </c>
      <c r="AQ692" s="142" t="s">
        <v>1435</v>
      </c>
      <c r="AR692" s="142" t="s">
        <v>2398</v>
      </c>
      <c r="AS692" s="142" t="s">
        <v>2705</v>
      </c>
      <c r="AT692" s="142" t="s">
        <v>2398</v>
      </c>
      <c r="AU692" s="142" t="s">
        <v>2705</v>
      </c>
      <c r="AV692" s="142" t="s">
        <v>2705</v>
      </c>
      <c r="AW692" s="142" t="s">
        <v>2398</v>
      </c>
      <c r="AX692" s="142" t="s">
        <v>2705</v>
      </c>
      <c r="AY692" s="142" t="s">
        <v>2398</v>
      </c>
      <c r="AZ692" s="142" t="s">
        <v>2675</v>
      </c>
    </row>
    <row r="693" spans="1:52" s="142" customFormat="1" ht="12.75" x14ac:dyDescent="0.2">
      <c r="A693" s="151" t="s">
        <v>7663</v>
      </c>
      <c r="B693" s="152" t="s">
        <v>2398</v>
      </c>
      <c r="C693" s="152" t="s">
        <v>1435</v>
      </c>
      <c r="D693" s="152" t="s">
        <v>1435</v>
      </c>
      <c r="E693" s="152" t="s">
        <v>2705</v>
      </c>
      <c r="F693" s="152" t="s">
        <v>2397</v>
      </c>
      <c r="G693" s="152" t="s">
        <v>2705</v>
      </c>
      <c r="H693" s="152" t="s">
        <v>1435</v>
      </c>
      <c r="I693" s="152" t="s">
        <v>2675</v>
      </c>
      <c r="J693" s="152" t="s">
        <v>2675</v>
      </c>
      <c r="K693" s="152" t="s">
        <v>2705</v>
      </c>
      <c r="L693" s="152" t="s">
        <v>2398</v>
      </c>
      <c r="M693" s="152" t="s">
        <v>1435</v>
      </c>
      <c r="N693" s="152" t="s">
        <v>2397</v>
      </c>
      <c r="O693" s="152" t="s">
        <v>2398</v>
      </c>
      <c r="P693" s="152" t="s">
        <v>2705</v>
      </c>
      <c r="Q693" s="152" t="s">
        <v>2398</v>
      </c>
      <c r="R693" s="152" t="s">
        <v>1435</v>
      </c>
      <c r="S693" s="152" t="s">
        <v>2675</v>
      </c>
      <c r="T693" s="152" t="s">
        <v>2398</v>
      </c>
      <c r="U693" s="152" t="s">
        <v>2675</v>
      </c>
      <c r="V693" s="142" cm="1">
        <f t="array" ref="V693">IF(A693&lt;&gt;"",SUM(--(B693:U694 = "X")*$U$3,--(B693:U694 ="A")*$Q$3,--(B693:U694 ="B")*$R$3,--(B693:U694 ="C")*$S$3),"")</f>
        <v>1.5</v>
      </c>
      <c r="X693" s="437" t="s">
        <v>8001</v>
      </c>
      <c r="Y693" s="437">
        <v>10</v>
      </c>
      <c r="Z693" s="436">
        <f>_xlfn.XLOOKUP(answers[[#This Row],[StudentID]],$A$7:$A$1418,$V$7:$V$1418)</f>
        <v>10</v>
      </c>
      <c r="AF693" s="142" t="s">
        <v>7663</v>
      </c>
      <c r="AG693" s="142" t="s">
        <v>2398</v>
      </c>
      <c r="AH693" s="142" t="s">
        <v>1435</v>
      </c>
      <c r="AI693" s="142" t="s">
        <v>1435</v>
      </c>
      <c r="AJ693" s="142" t="s">
        <v>2705</v>
      </c>
      <c r="AK693" s="142" t="s">
        <v>2397</v>
      </c>
      <c r="AL693" s="142" t="s">
        <v>2705</v>
      </c>
      <c r="AM693" s="142" t="s">
        <v>1435</v>
      </c>
      <c r="AN693" s="142" t="s">
        <v>2675</v>
      </c>
      <c r="AO693" s="142" t="s">
        <v>2675</v>
      </c>
      <c r="AP693" s="142" t="s">
        <v>2705</v>
      </c>
      <c r="AQ693" s="142" t="s">
        <v>2398</v>
      </c>
      <c r="AR693" s="142" t="s">
        <v>1435</v>
      </c>
      <c r="AS693" s="142" t="s">
        <v>2397</v>
      </c>
      <c r="AT693" s="142" t="s">
        <v>2398</v>
      </c>
      <c r="AU693" s="142" t="s">
        <v>2705</v>
      </c>
      <c r="AV693" s="142" t="s">
        <v>2398</v>
      </c>
      <c r="AW693" s="142" t="s">
        <v>1435</v>
      </c>
      <c r="AX693" s="142" t="s">
        <v>2675</v>
      </c>
      <c r="AY693" s="142" t="s">
        <v>2398</v>
      </c>
      <c r="AZ693" s="142" t="s">
        <v>2675</v>
      </c>
    </row>
    <row r="694" spans="1:52" s="142" customFormat="1" ht="12.75" x14ac:dyDescent="0.2">
      <c r="A694" s="151"/>
      <c r="B694" s="152" t="s">
        <v>2398</v>
      </c>
      <c r="C694" s="152" t="s">
        <v>2398</v>
      </c>
      <c r="D694" s="152" t="s">
        <v>2397</v>
      </c>
      <c r="E694" s="152" t="s">
        <v>1435</v>
      </c>
      <c r="F694" s="152" t="s">
        <v>2705</v>
      </c>
      <c r="G694" s="152" t="s">
        <v>1435</v>
      </c>
      <c r="H694" s="152" t="s">
        <v>2675</v>
      </c>
      <c r="I694" s="152" t="s">
        <v>2705</v>
      </c>
      <c r="J694" s="152" t="s">
        <v>2705</v>
      </c>
      <c r="K694" s="152" t="s">
        <v>2398</v>
      </c>
      <c r="L694" s="152" t="s">
        <v>2675</v>
      </c>
      <c r="M694" s="152" t="s">
        <v>2397</v>
      </c>
      <c r="N694" s="152" t="s">
        <v>2398</v>
      </c>
      <c r="O694" s="152" t="s">
        <v>2398</v>
      </c>
      <c r="P694" s="152" t="s">
        <v>2675</v>
      </c>
      <c r="Q694" s="152" t="s">
        <v>2398</v>
      </c>
      <c r="R694" s="152" t="s">
        <v>2397</v>
      </c>
      <c r="S694" s="152" t="s">
        <v>2705</v>
      </c>
      <c r="T694" s="152" t="s">
        <v>2705</v>
      </c>
      <c r="U694" s="152" t="s">
        <v>2675</v>
      </c>
      <c r="V694" s="142" t="str" cm="1">
        <f t="array" ref="V694">IF(A694&lt;&gt;"",SUM(--(B694:U695 = "X")*$U$3,--(B694:U695 ="A")*$Q$3,--(B694:U695 ="B")*$R$3,--(B694:U695 ="C")*$S$3),"")</f>
        <v/>
      </c>
      <c r="X694" s="437" t="s">
        <v>8002</v>
      </c>
      <c r="Y694" s="437">
        <v>4.5</v>
      </c>
      <c r="Z694" s="436">
        <f>_xlfn.XLOOKUP(answers[[#This Row],[StudentID]],$A$7:$A$1418,$V$7:$V$1418)</f>
        <v>4.5</v>
      </c>
      <c r="AG694" s="142" t="s">
        <v>2398</v>
      </c>
      <c r="AH694" s="142" t="s">
        <v>2398</v>
      </c>
      <c r="AI694" s="142" t="s">
        <v>2397</v>
      </c>
      <c r="AJ694" s="142" t="s">
        <v>1435</v>
      </c>
      <c r="AK694" s="142" t="s">
        <v>2705</v>
      </c>
      <c r="AL694" s="142" t="s">
        <v>1435</v>
      </c>
      <c r="AM694" s="142" t="s">
        <v>2675</v>
      </c>
      <c r="AN694" s="142" t="s">
        <v>2705</v>
      </c>
      <c r="AO694" s="142" t="s">
        <v>2705</v>
      </c>
      <c r="AP694" s="142" t="s">
        <v>2398</v>
      </c>
      <c r="AQ694" s="142" t="s">
        <v>2675</v>
      </c>
      <c r="AR694" s="142" t="s">
        <v>2397</v>
      </c>
      <c r="AS694" s="142" t="s">
        <v>2398</v>
      </c>
      <c r="AT694" s="142" t="s">
        <v>2398</v>
      </c>
      <c r="AU694" s="142" t="s">
        <v>2675</v>
      </c>
      <c r="AV694" s="142" t="s">
        <v>2398</v>
      </c>
      <c r="AW694" s="142" t="s">
        <v>2397</v>
      </c>
      <c r="AX694" s="142" t="s">
        <v>2705</v>
      </c>
      <c r="AY694" s="142" t="s">
        <v>2705</v>
      </c>
      <c r="AZ694" s="142" t="s">
        <v>2675</v>
      </c>
    </row>
    <row r="695" spans="1:52" s="142" customFormat="1" ht="12.75" x14ac:dyDescent="0.2">
      <c r="A695" s="151" t="s">
        <v>7664</v>
      </c>
      <c r="B695" s="152" t="s">
        <v>2705</v>
      </c>
      <c r="C695" s="152" t="s">
        <v>2705</v>
      </c>
      <c r="D695" s="152" t="s">
        <v>2397</v>
      </c>
      <c r="E695" s="152" t="s">
        <v>2397</v>
      </c>
      <c r="F695" s="152" t="s">
        <v>2705</v>
      </c>
      <c r="G695" s="152" t="s">
        <v>2705</v>
      </c>
      <c r="H695" s="152" t="s">
        <v>2705</v>
      </c>
      <c r="I695" s="152" t="s">
        <v>2675</v>
      </c>
      <c r="J695" s="152" t="s">
        <v>1435</v>
      </c>
      <c r="K695" s="152" t="s">
        <v>2705</v>
      </c>
      <c r="L695" s="152" t="s">
        <v>2705</v>
      </c>
      <c r="M695" s="152" t="s">
        <v>2705</v>
      </c>
      <c r="N695" s="152" t="s">
        <v>2705</v>
      </c>
      <c r="O695" s="152" t="s">
        <v>2705</v>
      </c>
      <c r="P695" s="152" t="s">
        <v>2705</v>
      </c>
      <c r="Q695" s="152" t="s">
        <v>2705</v>
      </c>
      <c r="R695" s="152" t="s">
        <v>2675</v>
      </c>
      <c r="S695" s="152" t="s">
        <v>2705</v>
      </c>
      <c r="T695" s="152" t="s">
        <v>2705</v>
      </c>
      <c r="U695" s="152" t="s">
        <v>2705</v>
      </c>
      <c r="V695" s="142" cm="1">
        <f t="array" ref="V695">IF(A695&lt;&gt;"",SUM(--(B695:U696 = "X")*$U$3,--(B695:U696 ="A")*$Q$3,--(B695:U696 ="B")*$R$3,--(B695:U696 ="C")*$S$3),"")</f>
        <v>28</v>
      </c>
      <c r="X695" s="437" t="s">
        <v>8003</v>
      </c>
      <c r="Y695" s="437">
        <v>3</v>
      </c>
      <c r="Z695" s="436">
        <f>_xlfn.XLOOKUP(answers[[#This Row],[StudentID]],$A$7:$A$1418,$V$7:$V$1418)</f>
        <v>3</v>
      </c>
      <c r="AF695" s="142" t="s">
        <v>7664</v>
      </c>
      <c r="AG695" s="142" t="s">
        <v>2705</v>
      </c>
      <c r="AH695" s="142" t="s">
        <v>2705</v>
      </c>
      <c r="AI695" s="142" t="s">
        <v>2397</v>
      </c>
      <c r="AJ695" s="142" t="s">
        <v>2397</v>
      </c>
      <c r="AK695" s="142" t="s">
        <v>2705</v>
      </c>
      <c r="AL695" s="142" t="s">
        <v>2705</v>
      </c>
      <c r="AM695" s="142" t="s">
        <v>2705</v>
      </c>
      <c r="AN695" s="142" t="s">
        <v>2675</v>
      </c>
      <c r="AO695" s="142" t="s">
        <v>1435</v>
      </c>
      <c r="AP695" s="142" t="s">
        <v>2705</v>
      </c>
      <c r="AQ695" s="142" t="s">
        <v>2705</v>
      </c>
      <c r="AR695" s="142" t="s">
        <v>2705</v>
      </c>
      <c r="AS695" s="142" t="s">
        <v>2705</v>
      </c>
      <c r="AT695" s="142" t="s">
        <v>2705</v>
      </c>
      <c r="AU695" s="142" t="s">
        <v>2705</v>
      </c>
      <c r="AV695" s="142" t="s">
        <v>2705</v>
      </c>
      <c r="AW695" s="142" t="s">
        <v>2675</v>
      </c>
      <c r="AX695" s="142" t="s">
        <v>2705</v>
      </c>
      <c r="AY695" s="142" t="s">
        <v>2705</v>
      </c>
      <c r="AZ695" s="142" t="s">
        <v>2705</v>
      </c>
    </row>
    <row r="696" spans="1:52" s="142" customFormat="1" ht="12.75" x14ac:dyDescent="0.2">
      <c r="A696" s="151"/>
      <c r="B696" s="152" t="s">
        <v>2398</v>
      </c>
      <c r="C696" s="152" t="s">
        <v>2398</v>
      </c>
      <c r="D696" s="152" t="s">
        <v>2705</v>
      </c>
      <c r="E696" s="152" t="s">
        <v>2705</v>
      </c>
      <c r="F696" s="152" t="s">
        <v>2705</v>
      </c>
      <c r="G696" s="152" t="s">
        <v>2705</v>
      </c>
      <c r="H696" s="152" t="s">
        <v>2705</v>
      </c>
      <c r="I696" s="152" t="s">
        <v>2675</v>
      </c>
      <c r="J696" s="152" t="s">
        <v>2705</v>
      </c>
      <c r="K696" s="152" t="s">
        <v>2705</v>
      </c>
      <c r="L696" s="152" t="s">
        <v>2398</v>
      </c>
      <c r="M696" s="152" t="s">
        <v>2705</v>
      </c>
      <c r="N696" s="152" t="s">
        <v>2705</v>
      </c>
      <c r="O696" s="152" t="s">
        <v>2705</v>
      </c>
      <c r="P696" s="152" t="s">
        <v>2705</v>
      </c>
      <c r="Q696" s="152" t="s">
        <v>2705</v>
      </c>
      <c r="R696" s="152" t="s">
        <v>2397</v>
      </c>
      <c r="S696" s="152" t="s">
        <v>2705</v>
      </c>
      <c r="T696" s="152" t="s">
        <v>2705</v>
      </c>
      <c r="U696" s="152" t="s">
        <v>2705</v>
      </c>
      <c r="V696" s="142" t="str" cm="1">
        <f t="array" ref="V696">IF(A696&lt;&gt;"",SUM(--(B696:U697 = "X")*$U$3,--(B696:U697 ="A")*$Q$3,--(B696:U697 ="B")*$R$3,--(B696:U697 ="C")*$S$3),"")</f>
        <v/>
      </c>
      <c r="X696" s="437" t="s">
        <v>8004</v>
      </c>
      <c r="Y696" s="437">
        <v>10.5</v>
      </c>
      <c r="Z696" s="436">
        <f>_xlfn.XLOOKUP(answers[[#This Row],[StudentID]],$A$7:$A$1418,$V$7:$V$1418)</f>
        <v>10.5</v>
      </c>
      <c r="AG696" s="142" t="s">
        <v>2398</v>
      </c>
      <c r="AH696" s="142" t="s">
        <v>2398</v>
      </c>
      <c r="AI696" s="142" t="s">
        <v>2705</v>
      </c>
      <c r="AJ696" s="142" t="s">
        <v>2705</v>
      </c>
      <c r="AK696" s="142" t="s">
        <v>2705</v>
      </c>
      <c r="AL696" s="142" t="s">
        <v>2705</v>
      </c>
      <c r="AM696" s="142" t="s">
        <v>2705</v>
      </c>
      <c r="AN696" s="142" t="s">
        <v>2675</v>
      </c>
      <c r="AO696" s="142" t="s">
        <v>2705</v>
      </c>
      <c r="AP696" s="142" t="s">
        <v>2705</v>
      </c>
      <c r="AQ696" s="142" t="s">
        <v>2398</v>
      </c>
      <c r="AR696" s="142" t="s">
        <v>2705</v>
      </c>
      <c r="AS696" s="142" t="s">
        <v>2705</v>
      </c>
      <c r="AT696" s="142" t="s">
        <v>2705</v>
      </c>
      <c r="AU696" s="142" t="s">
        <v>2705</v>
      </c>
      <c r="AV696" s="142" t="s">
        <v>2705</v>
      </c>
      <c r="AW696" s="142" t="s">
        <v>2397</v>
      </c>
      <c r="AX696" s="142" t="s">
        <v>2705</v>
      </c>
      <c r="AY696" s="142" t="s">
        <v>2705</v>
      </c>
      <c r="AZ696" s="142" t="s">
        <v>2705</v>
      </c>
    </row>
    <row r="697" spans="1:52" s="142" customFormat="1" ht="12.75" x14ac:dyDescent="0.2">
      <c r="A697" s="151" t="s">
        <v>7665</v>
      </c>
      <c r="B697" s="152" t="s">
        <v>2705</v>
      </c>
      <c r="C697" s="152" t="s">
        <v>2705</v>
      </c>
      <c r="D697" s="152" t="s">
        <v>2705</v>
      </c>
      <c r="E697" s="152" t="s">
        <v>1435</v>
      </c>
      <c r="F697" s="152" t="s">
        <v>2705</v>
      </c>
      <c r="G697" s="152" t="s">
        <v>2705</v>
      </c>
      <c r="H697" s="152" t="s">
        <v>2705</v>
      </c>
      <c r="I697" s="152" t="s">
        <v>2398</v>
      </c>
      <c r="J697" s="152" t="s">
        <v>2675</v>
      </c>
      <c r="K697" s="152" t="s">
        <v>2705</v>
      </c>
      <c r="L697" s="152" t="s">
        <v>1435</v>
      </c>
      <c r="M697" s="152" t="s">
        <v>2705</v>
      </c>
      <c r="N697" s="152" t="s">
        <v>2397</v>
      </c>
      <c r="O697" s="152" t="s">
        <v>2675</v>
      </c>
      <c r="P697" s="152" t="s">
        <v>2398</v>
      </c>
      <c r="Q697" s="152" t="s">
        <v>2705</v>
      </c>
      <c r="R697" s="152" t="s">
        <v>2705</v>
      </c>
      <c r="S697" s="152" t="s">
        <v>2705</v>
      </c>
      <c r="T697" s="152" t="s">
        <v>2398</v>
      </c>
      <c r="U697" s="152" t="s">
        <v>2705</v>
      </c>
      <c r="V697" s="142" cm="1">
        <f t="array" ref="V697">IF(A697&lt;&gt;"",SUM(--(B697:U698 = "X")*$U$3,--(B697:U698 ="A")*$Q$3,--(B697:U698 ="B")*$R$3,--(B697:U698 ="C")*$S$3),"")</f>
        <v>17.5</v>
      </c>
      <c r="X697" s="437" t="s">
        <v>8005</v>
      </c>
      <c r="Y697" s="437">
        <v>11</v>
      </c>
      <c r="Z697" s="436">
        <f>_xlfn.XLOOKUP(answers[[#This Row],[StudentID]],$A$7:$A$1418,$V$7:$V$1418)</f>
        <v>11</v>
      </c>
      <c r="AF697" s="142" t="s">
        <v>7665</v>
      </c>
      <c r="AG697" s="142" t="s">
        <v>2705</v>
      </c>
      <c r="AH697" s="142" t="s">
        <v>2705</v>
      </c>
      <c r="AI697" s="142" t="s">
        <v>2705</v>
      </c>
      <c r="AJ697" s="142" t="s">
        <v>1435</v>
      </c>
      <c r="AK697" s="142" t="s">
        <v>2705</v>
      </c>
      <c r="AL697" s="142" t="s">
        <v>2705</v>
      </c>
      <c r="AM697" s="142" t="s">
        <v>2705</v>
      </c>
      <c r="AN697" s="142" t="s">
        <v>2398</v>
      </c>
      <c r="AO697" s="142" t="s">
        <v>2675</v>
      </c>
      <c r="AP697" s="142" t="s">
        <v>2705</v>
      </c>
      <c r="AQ697" s="142" t="s">
        <v>1435</v>
      </c>
      <c r="AR697" s="142" t="s">
        <v>2705</v>
      </c>
      <c r="AS697" s="142" t="s">
        <v>2397</v>
      </c>
      <c r="AT697" s="142" t="s">
        <v>2675</v>
      </c>
      <c r="AU697" s="142" t="s">
        <v>2398</v>
      </c>
      <c r="AV697" s="142" t="s">
        <v>2705</v>
      </c>
      <c r="AW697" s="142" t="s">
        <v>2705</v>
      </c>
      <c r="AX697" s="142" t="s">
        <v>2705</v>
      </c>
      <c r="AY697" s="142" t="s">
        <v>2398</v>
      </c>
      <c r="AZ697" s="142" t="s">
        <v>2705</v>
      </c>
    </row>
    <row r="698" spans="1:52" s="142" customFormat="1" ht="12.75" x14ac:dyDescent="0.2">
      <c r="A698" s="151"/>
      <c r="B698" s="152" t="s">
        <v>2398</v>
      </c>
      <c r="C698" s="152" t="s">
        <v>2675</v>
      </c>
      <c r="D698" s="152" t="s">
        <v>2705</v>
      </c>
      <c r="E698" s="152" t="s">
        <v>2398</v>
      </c>
      <c r="F698" s="152" t="s">
        <v>2705</v>
      </c>
      <c r="G698" s="152" t="s">
        <v>2705</v>
      </c>
      <c r="H698" s="152" t="s">
        <v>2705</v>
      </c>
      <c r="I698" s="152" t="s">
        <v>2705</v>
      </c>
      <c r="J698" s="152" t="s">
        <v>2398</v>
      </c>
      <c r="K698" s="152" t="s">
        <v>2398</v>
      </c>
      <c r="L698" s="152" t="s">
        <v>2398</v>
      </c>
      <c r="M698" s="152" t="s">
        <v>2398</v>
      </c>
      <c r="N698" s="152" t="s">
        <v>2398</v>
      </c>
      <c r="O698" s="152" t="s">
        <v>2398</v>
      </c>
      <c r="P698" s="152" t="s">
        <v>2398</v>
      </c>
      <c r="Q698" s="152" t="s">
        <v>2705</v>
      </c>
      <c r="R698" s="152" t="s">
        <v>2705</v>
      </c>
      <c r="S698" s="152" t="s">
        <v>2398</v>
      </c>
      <c r="T698" s="152" t="s">
        <v>2398</v>
      </c>
      <c r="U698" s="152" t="s">
        <v>2705</v>
      </c>
      <c r="V698" s="142" t="str" cm="1">
        <f t="array" ref="V698">IF(A698&lt;&gt;"",SUM(--(B698:U699 = "X")*$U$3,--(B698:U699 ="A")*$Q$3,--(B698:U699 ="B")*$R$3,--(B698:U699 ="C")*$S$3),"")</f>
        <v/>
      </c>
      <c r="X698" s="437" t="s">
        <v>8006</v>
      </c>
      <c r="Y698" s="437">
        <v>19</v>
      </c>
      <c r="Z698" s="436">
        <f>_xlfn.XLOOKUP(answers[[#This Row],[StudentID]],$A$7:$A$1418,$V$7:$V$1418)</f>
        <v>19</v>
      </c>
      <c r="AG698" s="142" t="s">
        <v>2398</v>
      </c>
      <c r="AH698" s="142" t="s">
        <v>2675</v>
      </c>
      <c r="AI698" s="142" t="s">
        <v>2705</v>
      </c>
      <c r="AJ698" s="142" t="s">
        <v>2398</v>
      </c>
      <c r="AK698" s="142" t="s">
        <v>2705</v>
      </c>
      <c r="AL698" s="142" t="s">
        <v>2705</v>
      </c>
      <c r="AM698" s="142" t="s">
        <v>2705</v>
      </c>
      <c r="AN698" s="142" t="s">
        <v>2705</v>
      </c>
      <c r="AO698" s="142" t="s">
        <v>2398</v>
      </c>
      <c r="AP698" s="142" t="s">
        <v>2398</v>
      </c>
      <c r="AQ698" s="142" t="s">
        <v>2398</v>
      </c>
      <c r="AR698" s="142" t="s">
        <v>2398</v>
      </c>
      <c r="AS698" s="142" t="s">
        <v>2398</v>
      </c>
      <c r="AT698" s="142" t="s">
        <v>2398</v>
      </c>
      <c r="AU698" s="142" t="s">
        <v>2398</v>
      </c>
      <c r="AV698" s="142" t="s">
        <v>2705</v>
      </c>
      <c r="AW698" s="142" t="s">
        <v>2705</v>
      </c>
      <c r="AX698" s="142" t="s">
        <v>2398</v>
      </c>
      <c r="AY698" s="142" t="s">
        <v>2398</v>
      </c>
      <c r="AZ698" s="142" t="s">
        <v>2705</v>
      </c>
    </row>
    <row r="699" spans="1:52" s="142" customFormat="1" ht="12.75" x14ac:dyDescent="0.2">
      <c r="A699" s="151" t="s">
        <v>7666</v>
      </c>
      <c r="B699" s="152" t="s">
        <v>2705</v>
      </c>
      <c r="C699" s="152" t="s">
        <v>2705</v>
      </c>
      <c r="D699" s="152" t="s">
        <v>2705</v>
      </c>
      <c r="E699" s="152" t="s">
        <v>2705</v>
      </c>
      <c r="F699" s="152" t="s">
        <v>2705</v>
      </c>
      <c r="G699" s="152" t="s">
        <v>2705</v>
      </c>
      <c r="H699" s="152" t="s">
        <v>2705</v>
      </c>
      <c r="I699" s="152" t="s">
        <v>2398</v>
      </c>
      <c r="J699" s="152" t="s">
        <v>2705</v>
      </c>
      <c r="K699" s="152" t="s">
        <v>1435</v>
      </c>
      <c r="L699" s="152" t="s">
        <v>2705</v>
      </c>
      <c r="M699" s="152" t="s">
        <v>2705</v>
      </c>
      <c r="N699" s="152" t="s">
        <v>2675</v>
      </c>
      <c r="O699" s="152" t="s">
        <v>2398</v>
      </c>
      <c r="P699" s="152" t="s">
        <v>2397</v>
      </c>
      <c r="Q699" s="152" t="s">
        <v>2705</v>
      </c>
      <c r="R699" s="152" t="s">
        <v>2705</v>
      </c>
      <c r="S699" s="152" t="s">
        <v>2675</v>
      </c>
      <c r="T699" s="152" t="s">
        <v>2398</v>
      </c>
      <c r="U699" s="152" t="s">
        <v>2705</v>
      </c>
      <c r="V699" s="142" cm="1">
        <f t="array" ref="V699">IF(A699&lt;&gt;"",SUM(--(B699:U700 = "X")*$U$3,--(B699:U700 ="A")*$Q$3,--(B699:U700 ="B")*$R$3,--(B699:U700 ="C")*$S$3),"")</f>
        <v>21</v>
      </c>
      <c r="X699" s="437" t="s">
        <v>8007</v>
      </c>
      <c r="Y699" s="437">
        <v>5.5</v>
      </c>
      <c r="Z699" s="436">
        <f>_xlfn.XLOOKUP(answers[[#This Row],[StudentID]],$A$7:$A$1418,$V$7:$V$1418)</f>
        <v>5.5</v>
      </c>
      <c r="AF699" s="142" t="s">
        <v>7666</v>
      </c>
      <c r="AG699" s="142" t="s">
        <v>2705</v>
      </c>
      <c r="AH699" s="142" t="s">
        <v>2705</v>
      </c>
      <c r="AI699" s="142" t="s">
        <v>2705</v>
      </c>
      <c r="AJ699" s="142" t="s">
        <v>2705</v>
      </c>
      <c r="AK699" s="142" t="s">
        <v>2705</v>
      </c>
      <c r="AL699" s="142" t="s">
        <v>2705</v>
      </c>
      <c r="AM699" s="142" t="s">
        <v>2705</v>
      </c>
      <c r="AN699" s="142" t="s">
        <v>2398</v>
      </c>
      <c r="AO699" s="142" t="s">
        <v>2705</v>
      </c>
      <c r="AP699" s="142" t="s">
        <v>1435</v>
      </c>
      <c r="AQ699" s="142" t="s">
        <v>2705</v>
      </c>
      <c r="AR699" s="142" t="s">
        <v>2705</v>
      </c>
      <c r="AS699" s="142" t="s">
        <v>2675</v>
      </c>
      <c r="AT699" s="142" t="s">
        <v>2398</v>
      </c>
      <c r="AU699" s="142" t="s">
        <v>2397</v>
      </c>
      <c r="AV699" s="142" t="s">
        <v>2705</v>
      </c>
      <c r="AW699" s="142" t="s">
        <v>2705</v>
      </c>
      <c r="AX699" s="142" t="s">
        <v>2675</v>
      </c>
      <c r="AY699" s="142" t="s">
        <v>2398</v>
      </c>
      <c r="AZ699" s="142" t="s">
        <v>2705</v>
      </c>
    </row>
    <row r="700" spans="1:52" s="142" customFormat="1" ht="12.75" x14ac:dyDescent="0.2">
      <c r="A700" s="151"/>
      <c r="B700" s="152" t="s">
        <v>2705</v>
      </c>
      <c r="C700" s="152" t="s">
        <v>2705</v>
      </c>
      <c r="D700" s="152" t="s">
        <v>2705</v>
      </c>
      <c r="E700" s="152" t="s">
        <v>2398</v>
      </c>
      <c r="F700" s="152" t="s">
        <v>2398</v>
      </c>
      <c r="G700" s="152" t="s">
        <v>2705</v>
      </c>
      <c r="H700" s="152" t="s">
        <v>2398</v>
      </c>
      <c r="I700" s="152" t="s">
        <v>2705</v>
      </c>
      <c r="J700" s="152" t="s">
        <v>2705</v>
      </c>
      <c r="K700" s="152" t="s">
        <v>2398</v>
      </c>
      <c r="L700" s="152" t="s">
        <v>2398</v>
      </c>
      <c r="M700" s="152" t="s">
        <v>2398</v>
      </c>
      <c r="N700" s="152" t="s">
        <v>2398</v>
      </c>
      <c r="O700" s="152" t="s">
        <v>2705</v>
      </c>
      <c r="P700" s="152" t="s">
        <v>2705</v>
      </c>
      <c r="Q700" s="152" t="s">
        <v>2705</v>
      </c>
      <c r="R700" s="152" t="s">
        <v>2398</v>
      </c>
      <c r="S700" s="152" t="s">
        <v>2705</v>
      </c>
      <c r="T700" s="152" t="s">
        <v>1435</v>
      </c>
      <c r="U700" s="152" t="s">
        <v>2398</v>
      </c>
      <c r="V700" s="142" t="str" cm="1">
        <f t="array" ref="V700">IF(A700&lt;&gt;"",SUM(--(B700:U701 = "X")*$U$3,--(B700:U701 ="A")*$Q$3,--(B700:U701 ="B")*$R$3,--(B700:U701 ="C")*$S$3),"")</f>
        <v/>
      </c>
      <c r="X700" s="437" t="s">
        <v>8008</v>
      </c>
      <c r="Y700" s="437">
        <v>13.5</v>
      </c>
      <c r="Z700" s="436">
        <f>_xlfn.XLOOKUP(answers[[#This Row],[StudentID]],$A$7:$A$1418,$V$7:$V$1418)</f>
        <v>13.5</v>
      </c>
      <c r="AG700" s="142" t="s">
        <v>2705</v>
      </c>
      <c r="AH700" s="142" t="s">
        <v>2705</v>
      </c>
      <c r="AI700" s="142" t="s">
        <v>2705</v>
      </c>
      <c r="AJ700" s="142" t="s">
        <v>2398</v>
      </c>
      <c r="AK700" s="142" t="s">
        <v>2398</v>
      </c>
      <c r="AL700" s="142" t="s">
        <v>2705</v>
      </c>
      <c r="AM700" s="142" t="s">
        <v>2398</v>
      </c>
      <c r="AN700" s="142" t="s">
        <v>2705</v>
      </c>
      <c r="AO700" s="142" t="s">
        <v>2705</v>
      </c>
      <c r="AP700" s="142" t="s">
        <v>2398</v>
      </c>
      <c r="AQ700" s="142" t="s">
        <v>2398</v>
      </c>
      <c r="AR700" s="142" t="s">
        <v>2398</v>
      </c>
      <c r="AS700" s="142" t="s">
        <v>2398</v>
      </c>
      <c r="AT700" s="142" t="s">
        <v>2705</v>
      </c>
      <c r="AU700" s="142" t="s">
        <v>2705</v>
      </c>
      <c r="AV700" s="142" t="s">
        <v>2705</v>
      </c>
      <c r="AW700" s="142" t="s">
        <v>2398</v>
      </c>
      <c r="AX700" s="142" t="s">
        <v>2705</v>
      </c>
      <c r="AY700" s="142" t="s">
        <v>1435</v>
      </c>
      <c r="AZ700" s="142" t="s">
        <v>2398</v>
      </c>
    </row>
    <row r="701" spans="1:52" s="142" customFormat="1" ht="12.75" x14ac:dyDescent="0.2">
      <c r="A701" s="151" t="s">
        <v>7667</v>
      </c>
      <c r="B701" s="152" t="s">
        <v>2705</v>
      </c>
      <c r="C701" s="152" t="s">
        <v>2705</v>
      </c>
      <c r="D701" s="152" t="s">
        <v>2705</v>
      </c>
      <c r="E701" s="152" t="s">
        <v>1435</v>
      </c>
      <c r="F701" s="152" t="s">
        <v>2705</v>
      </c>
      <c r="G701" s="152" t="s">
        <v>2705</v>
      </c>
      <c r="H701" s="152" t="s">
        <v>2705</v>
      </c>
      <c r="I701" s="152" t="s">
        <v>2705</v>
      </c>
      <c r="J701" s="152" t="s">
        <v>2705</v>
      </c>
      <c r="K701" s="152" t="s">
        <v>2705</v>
      </c>
      <c r="L701" s="152" t="s">
        <v>1435</v>
      </c>
      <c r="M701" s="152" t="s">
        <v>2705</v>
      </c>
      <c r="N701" s="152" t="s">
        <v>2705</v>
      </c>
      <c r="O701" s="152" t="s">
        <v>2705</v>
      </c>
      <c r="P701" s="152" t="s">
        <v>2705</v>
      </c>
      <c r="Q701" s="152" t="s">
        <v>2705</v>
      </c>
      <c r="R701" s="152" t="s">
        <v>2705</v>
      </c>
      <c r="S701" s="152" t="s">
        <v>2675</v>
      </c>
      <c r="T701" s="152" t="s">
        <v>2705</v>
      </c>
      <c r="U701" s="152" t="s">
        <v>2705</v>
      </c>
      <c r="V701" s="142" cm="1">
        <f t="array" ref="V701">IF(A701&lt;&gt;"",SUM(--(B701:U702 = "X")*$U$3,--(B701:U702 ="A")*$Q$3,--(B701:U702 ="B")*$R$3,--(B701:U702 ="C")*$S$3),"")</f>
        <v>28.5</v>
      </c>
      <c r="X701" s="437" t="s">
        <v>8009</v>
      </c>
      <c r="Y701" s="437">
        <v>11</v>
      </c>
      <c r="Z701" s="436">
        <f>_xlfn.XLOOKUP(answers[[#This Row],[StudentID]],$A$7:$A$1418,$V$7:$V$1418)</f>
        <v>11</v>
      </c>
      <c r="AF701" s="142" t="s">
        <v>7667</v>
      </c>
      <c r="AG701" s="142" t="s">
        <v>2705</v>
      </c>
      <c r="AH701" s="142" t="s">
        <v>2705</v>
      </c>
      <c r="AI701" s="142" t="s">
        <v>2705</v>
      </c>
      <c r="AJ701" s="142" t="s">
        <v>1435</v>
      </c>
      <c r="AK701" s="142" t="s">
        <v>2705</v>
      </c>
      <c r="AL701" s="142" t="s">
        <v>2705</v>
      </c>
      <c r="AM701" s="142" t="s">
        <v>2705</v>
      </c>
      <c r="AN701" s="142" t="s">
        <v>2705</v>
      </c>
      <c r="AO701" s="142" t="s">
        <v>2705</v>
      </c>
      <c r="AP701" s="142" t="s">
        <v>2705</v>
      </c>
      <c r="AQ701" s="142" t="s">
        <v>1435</v>
      </c>
      <c r="AR701" s="142" t="s">
        <v>2705</v>
      </c>
      <c r="AS701" s="142" t="s">
        <v>2705</v>
      </c>
      <c r="AT701" s="142" t="s">
        <v>2705</v>
      </c>
      <c r="AU701" s="142" t="s">
        <v>2705</v>
      </c>
      <c r="AV701" s="142" t="s">
        <v>2705</v>
      </c>
      <c r="AW701" s="142" t="s">
        <v>2705</v>
      </c>
      <c r="AX701" s="142" t="s">
        <v>2675</v>
      </c>
      <c r="AY701" s="142" t="s">
        <v>2705</v>
      </c>
      <c r="AZ701" s="142" t="s">
        <v>2705</v>
      </c>
    </row>
    <row r="702" spans="1:52" s="142" customFormat="1" ht="12.75" x14ac:dyDescent="0.2">
      <c r="A702" s="151"/>
      <c r="B702" s="152" t="s">
        <v>2705</v>
      </c>
      <c r="C702" s="152" t="s">
        <v>2705</v>
      </c>
      <c r="D702" s="152" t="s">
        <v>2705</v>
      </c>
      <c r="E702" s="152" t="s">
        <v>2705</v>
      </c>
      <c r="F702" s="152" t="s">
        <v>2705</v>
      </c>
      <c r="G702" s="152" t="s">
        <v>2398</v>
      </c>
      <c r="H702" s="152" t="s">
        <v>2397</v>
      </c>
      <c r="I702" s="152" t="s">
        <v>2398</v>
      </c>
      <c r="J702" s="152" t="s">
        <v>2705</v>
      </c>
      <c r="K702" s="152" t="s">
        <v>2398</v>
      </c>
      <c r="L702" s="152" t="s">
        <v>2705</v>
      </c>
      <c r="M702" s="152" t="s">
        <v>2705</v>
      </c>
      <c r="N702" s="152" t="s">
        <v>2705</v>
      </c>
      <c r="O702" s="152" t="s">
        <v>2398</v>
      </c>
      <c r="P702" s="152" t="s">
        <v>2705</v>
      </c>
      <c r="Q702" s="152" t="s">
        <v>2398</v>
      </c>
      <c r="R702" s="152" t="s">
        <v>2397</v>
      </c>
      <c r="S702" s="152" t="s">
        <v>2705</v>
      </c>
      <c r="T702" s="152" t="s">
        <v>2705</v>
      </c>
      <c r="U702" s="152" t="s">
        <v>2705</v>
      </c>
      <c r="V702" s="142" t="str" cm="1">
        <f t="array" ref="V702">IF(A702&lt;&gt;"",SUM(--(B702:U703 = "X")*$U$3,--(B702:U703 ="A")*$Q$3,--(B702:U703 ="B")*$R$3,--(B702:U703 ="C")*$S$3),"")</f>
        <v/>
      </c>
      <c r="X702" s="437" t="s">
        <v>8010</v>
      </c>
      <c r="Y702" s="437">
        <v>10</v>
      </c>
      <c r="Z702" s="436">
        <f>_xlfn.XLOOKUP(answers[[#This Row],[StudentID]],$A$7:$A$1418,$V$7:$V$1418)</f>
        <v>10</v>
      </c>
      <c r="AG702" s="142" t="s">
        <v>2705</v>
      </c>
      <c r="AH702" s="142" t="s">
        <v>2705</v>
      </c>
      <c r="AI702" s="142" t="s">
        <v>2705</v>
      </c>
      <c r="AJ702" s="142" t="s">
        <v>2705</v>
      </c>
      <c r="AK702" s="142" t="s">
        <v>2705</v>
      </c>
      <c r="AL702" s="142" t="s">
        <v>2398</v>
      </c>
      <c r="AM702" s="142" t="s">
        <v>2397</v>
      </c>
      <c r="AN702" s="142" t="s">
        <v>2398</v>
      </c>
      <c r="AO702" s="142" t="s">
        <v>2705</v>
      </c>
      <c r="AP702" s="142" t="s">
        <v>2398</v>
      </c>
      <c r="AQ702" s="142" t="s">
        <v>2705</v>
      </c>
      <c r="AR702" s="142" t="s">
        <v>2705</v>
      </c>
      <c r="AS702" s="142" t="s">
        <v>2705</v>
      </c>
      <c r="AT702" s="142" t="s">
        <v>2398</v>
      </c>
      <c r="AU702" s="142" t="s">
        <v>2705</v>
      </c>
      <c r="AV702" s="142" t="s">
        <v>2398</v>
      </c>
      <c r="AW702" s="142" t="s">
        <v>2397</v>
      </c>
      <c r="AX702" s="142" t="s">
        <v>2705</v>
      </c>
      <c r="AY702" s="142" t="s">
        <v>2705</v>
      </c>
      <c r="AZ702" s="142" t="s">
        <v>2705</v>
      </c>
    </row>
    <row r="703" spans="1:52" s="142" customFormat="1" ht="12.75" x14ac:dyDescent="0.2">
      <c r="A703" s="151" t="s">
        <v>7668</v>
      </c>
      <c r="B703" s="152" t="s">
        <v>2705</v>
      </c>
      <c r="C703" s="152" t="s">
        <v>1435</v>
      </c>
      <c r="D703" s="152" t="s">
        <v>2705</v>
      </c>
      <c r="E703" s="152" t="s">
        <v>2705</v>
      </c>
      <c r="F703" s="152" t="s">
        <v>2705</v>
      </c>
      <c r="G703" s="152" t="s">
        <v>2705</v>
      </c>
      <c r="H703" s="152" t="s">
        <v>2705</v>
      </c>
      <c r="I703" s="152" t="s">
        <v>2705</v>
      </c>
      <c r="J703" s="152" t="s">
        <v>2705</v>
      </c>
      <c r="K703" s="152" t="s">
        <v>2705</v>
      </c>
      <c r="L703" s="152" t="s">
        <v>2705</v>
      </c>
      <c r="M703" s="152" t="s">
        <v>2705</v>
      </c>
      <c r="N703" s="152" t="s">
        <v>2675</v>
      </c>
      <c r="O703" s="152" t="s">
        <v>2398</v>
      </c>
      <c r="P703" s="152" t="s">
        <v>2398</v>
      </c>
      <c r="Q703" s="152" t="s">
        <v>1435</v>
      </c>
      <c r="R703" s="152" t="s">
        <v>2398</v>
      </c>
      <c r="S703" s="152" t="s">
        <v>2705</v>
      </c>
      <c r="T703" s="152" t="s">
        <v>2705</v>
      </c>
      <c r="U703" s="152" t="s">
        <v>2705</v>
      </c>
      <c r="V703" s="142" cm="1">
        <f t="array" ref="V703">IF(A703&lt;&gt;"",SUM(--(B703:U704 = "X")*$U$3,--(B703:U704 ="A")*$Q$3,--(B703:U704 ="B")*$R$3,--(B703:U704 ="C")*$S$3),"")</f>
        <v>21.5</v>
      </c>
      <c r="X703" s="437" t="s">
        <v>8011</v>
      </c>
      <c r="Y703" s="437">
        <v>8.5</v>
      </c>
      <c r="Z703" s="436">
        <f>_xlfn.XLOOKUP(answers[[#This Row],[StudentID]],$A$7:$A$1418,$V$7:$V$1418)</f>
        <v>8.5</v>
      </c>
      <c r="AF703" s="142" t="s">
        <v>7668</v>
      </c>
      <c r="AG703" s="142" t="s">
        <v>2705</v>
      </c>
      <c r="AH703" s="142" t="s">
        <v>1435</v>
      </c>
      <c r="AI703" s="142" t="s">
        <v>2705</v>
      </c>
      <c r="AJ703" s="142" t="s">
        <v>2705</v>
      </c>
      <c r="AK703" s="142" t="s">
        <v>2705</v>
      </c>
      <c r="AL703" s="142" t="s">
        <v>2705</v>
      </c>
      <c r="AM703" s="142" t="s">
        <v>2705</v>
      </c>
      <c r="AN703" s="142" t="s">
        <v>2705</v>
      </c>
      <c r="AO703" s="142" t="s">
        <v>2705</v>
      </c>
      <c r="AP703" s="142" t="s">
        <v>2705</v>
      </c>
      <c r="AQ703" s="142" t="s">
        <v>2705</v>
      </c>
      <c r="AR703" s="142" t="s">
        <v>2705</v>
      </c>
      <c r="AS703" s="142" t="s">
        <v>2675</v>
      </c>
      <c r="AT703" s="142" t="s">
        <v>2398</v>
      </c>
      <c r="AU703" s="142" t="s">
        <v>2398</v>
      </c>
      <c r="AV703" s="142" t="s">
        <v>1435</v>
      </c>
      <c r="AW703" s="142" t="s">
        <v>2398</v>
      </c>
      <c r="AX703" s="142" t="s">
        <v>2705</v>
      </c>
      <c r="AY703" s="142" t="s">
        <v>2705</v>
      </c>
      <c r="AZ703" s="142" t="s">
        <v>2705</v>
      </c>
    </row>
    <row r="704" spans="1:52" s="142" customFormat="1" ht="12.75" x14ac:dyDescent="0.2">
      <c r="A704" s="151"/>
      <c r="B704" s="152" t="s">
        <v>2397</v>
      </c>
      <c r="C704" s="152" t="s">
        <v>2705</v>
      </c>
      <c r="D704" s="152" t="s">
        <v>2675</v>
      </c>
      <c r="E704" s="152" t="s">
        <v>2705</v>
      </c>
      <c r="F704" s="152" t="s">
        <v>2397</v>
      </c>
      <c r="G704" s="152" t="s">
        <v>2675</v>
      </c>
      <c r="H704" s="152" t="s">
        <v>2398</v>
      </c>
      <c r="I704" s="152" t="s">
        <v>2705</v>
      </c>
      <c r="J704" s="152" t="s">
        <v>2705</v>
      </c>
      <c r="K704" s="152" t="s">
        <v>2398</v>
      </c>
      <c r="L704" s="152" t="s">
        <v>2705</v>
      </c>
      <c r="M704" s="152" t="s">
        <v>2398</v>
      </c>
      <c r="N704" s="152" t="s">
        <v>2705</v>
      </c>
      <c r="O704" s="152" t="s">
        <v>2705</v>
      </c>
      <c r="P704" s="152" t="s">
        <v>2398</v>
      </c>
      <c r="Q704" s="152" t="s">
        <v>2705</v>
      </c>
      <c r="R704" s="152" t="s">
        <v>2398</v>
      </c>
      <c r="S704" s="152" t="s">
        <v>2705</v>
      </c>
      <c r="T704" s="152" t="s">
        <v>2398</v>
      </c>
      <c r="U704" s="152" t="s">
        <v>2705</v>
      </c>
      <c r="V704" s="142" t="str" cm="1">
        <f t="array" ref="V704">IF(A704&lt;&gt;"",SUM(--(B704:U705 = "X")*$U$3,--(B704:U705 ="A")*$Q$3,--(B704:U705 ="B")*$R$3,--(B704:U705 ="C")*$S$3),"")</f>
        <v/>
      </c>
      <c r="X704" s="437" t="s">
        <v>8012</v>
      </c>
      <c r="Y704" s="437">
        <v>11.5</v>
      </c>
      <c r="Z704" s="436">
        <f>_xlfn.XLOOKUP(answers[[#This Row],[StudentID]],$A$7:$A$1418,$V$7:$V$1418)</f>
        <v>11.5</v>
      </c>
      <c r="AG704" s="142" t="s">
        <v>2397</v>
      </c>
      <c r="AH704" s="142" t="s">
        <v>2705</v>
      </c>
      <c r="AI704" s="142" t="s">
        <v>2675</v>
      </c>
      <c r="AJ704" s="142" t="s">
        <v>2705</v>
      </c>
      <c r="AK704" s="142" t="s">
        <v>2397</v>
      </c>
      <c r="AL704" s="142" t="s">
        <v>2675</v>
      </c>
      <c r="AM704" s="142" t="s">
        <v>2398</v>
      </c>
      <c r="AN704" s="142" t="s">
        <v>2705</v>
      </c>
      <c r="AO704" s="142" t="s">
        <v>2705</v>
      </c>
      <c r="AP704" s="142" t="s">
        <v>2398</v>
      </c>
      <c r="AQ704" s="142" t="s">
        <v>2705</v>
      </c>
      <c r="AR704" s="142" t="s">
        <v>2398</v>
      </c>
      <c r="AS704" s="142" t="s">
        <v>2705</v>
      </c>
      <c r="AT704" s="142" t="s">
        <v>2705</v>
      </c>
      <c r="AU704" s="142" t="s">
        <v>2398</v>
      </c>
      <c r="AV704" s="142" t="s">
        <v>2705</v>
      </c>
      <c r="AW704" s="142" t="s">
        <v>2398</v>
      </c>
      <c r="AX704" s="142" t="s">
        <v>2705</v>
      </c>
      <c r="AY704" s="142" t="s">
        <v>2398</v>
      </c>
      <c r="AZ704" s="142" t="s">
        <v>2705</v>
      </c>
    </row>
    <row r="705" spans="1:52" s="142" customFormat="1" ht="12.75" x14ac:dyDescent="0.2">
      <c r="A705" s="151" t="s">
        <v>7669</v>
      </c>
      <c r="B705" s="152" t="s">
        <v>2705</v>
      </c>
      <c r="C705" s="152" t="s">
        <v>2705</v>
      </c>
      <c r="D705" s="152" t="s">
        <v>2705</v>
      </c>
      <c r="E705" s="152" t="s">
        <v>1435</v>
      </c>
      <c r="F705" s="152" t="s">
        <v>2705</v>
      </c>
      <c r="G705" s="152" t="s">
        <v>2398</v>
      </c>
      <c r="H705" s="152" t="s">
        <v>2398</v>
      </c>
      <c r="I705" s="152" t="s">
        <v>2398</v>
      </c>
      <c r="J705" s="152" t="s">
        <v>2398</v>
      </c>
      <c r="K705" s="152" t="s">
        <v>2705</v>
      </c>
      <c r="L705" s="152" t="s">
        <v>2705</v>
      </c>
      <c r="M705" s="152" t="s">
        <v>2397</v>
      </c>
      <c r="N705" s="152" t="s">
        <v>2675</v>
      </c>
      <c r="O705" s="152" t="s">
        <v>2705</v>
      </c>
      <c r="P705" s="152" t="s">
        <v>2398</v>
      </c>
      <c r="Q705" s="152" t="s">
        <v>1435</v>
      </c>
      <c r="R705" s="152" t="s">
        <v>2397</v>
      </c>
      <c r="S705" s="152" t="s">
        <v>2675</v>
      </c>
      <c r="T705" s="152" t="s">
        <v>2397</v>
      </c>
      <c r="U705" s="152" t="s">
        <v>2398</v>
      </c>
      <c r="V705" s="142" cm="1">
        <f t="array" ref="V705">IF(A705&lt;&gt;"",SUM(--(B705:U706 = "X")*$U$3,--(B705:U706 ="A")*$Q$3,--(B705:U706 ="B")*$R$3,--(B705:U706 ="C")*$S$3),"")</f>
        <v>12.5</v>
      </c>
      <c r="X705" s="437" t="s">
        <v>8013</v>
      </c>
      <c r="Y705" s="437">
        <v>9</v>
      </c>
      <c r="Z705" s="436">
        <f>_xlfn.XLOOKUP(answers[[#This Row],[StudentID]],$A$7:$A$1418,$V$7:$V$1418)</f>
        <v>9</v>
      </c>
      <c r="AF705" s="142" t="s">
        <v>7669</v>
      </c>
      <c r="AG705" s="142" t="s">
        <v>2705</v>
      </c>
      <c r="AH705" s="142" t="s">
        <v>2705</v>
      </c>
      <c r="AI705" s="142" t="s">
        <v>2705</v>
      </c>
      <c r="AJ705" s="142" t="s">
        <v>1435</v>
      </c>
      <c r="AK705" s="142" t="s">
        <v>2705</v>
      </c>
      <c r="AL705" s="142" t="s">
        <v>2398</v>
      </c>
      <c r="AM705" s="142" t="s">
        <v>2398</v>
      </c>
      <c r="AN705" s="142" t="s">
        <v>2398</v>
      </c>
      <c r="AO705" s="142" t="s">
        <v>2398</v>
      </c>
      <c r="AP705" s="142" t="s">
        <v>2705</v>
      </c>
      <c r="AQ705" s="142" t="s">
        <v>2705</v>
      </c>
      <c r="AR705" s="142" t="s">
        <v>2397</v>
      </c>
      <c r="AS705" s="142" t="s">
        <v>2675</v>
      </c>
      <c r="AT705" s="142" t="s">
        <v>2705</v>
      </c>
      <c r="AU705" s="142" t="s">
        <v>2398</v>
      </c>
      <c r="AV705" s="142" t="s">
        <v>1435</v>
      </c>
      <c r="AW705" s="142" t="s">
        <v>2397</v>
      </c>
      <c r="AX705" s="142" t="s">
        <v>2675</v>
      </c>
      <c r="AY705" s="142" t="s">
        <v>2397</v>
      </c>
      <c r="AZ705" s="142" t="s">
        <v>2398</v>
      </c>
    </row>
    <row r="706" spans="1:52" s="142" customFormat="1" ht="12.75" x14ac:dyDescent="0.2">
      <c r="A706" s="151"/>
      <c r="B706" s="152" t="s">
        <v>2705</v>
      </c>
      <c r="C706" s="152" t="s">
        <v>1435</v>
      </c>
      <c r="D706" s="152" t="s">
        <v>2675</v>
      </c>
      <c r="E706" s="152" t="s">
        <v>2705</v>
      </c>
      <c r="F706" s="152" t="s">
        <v>2398</v>
      </c>
      <c r="G706" s="152" t="s">
        <v>2398</v>
      </c>
      <c r="H706" s="152" t="s">
        <v>2675</v>
      </c>
      <c r="I706" s="152" t="s">
        <v>2705</v>
      </c>
      <c r="J706" s="152" t="s">
        <v>2705</v>
      </c>
      <c r="K706" s="152" t="s">
        <v>2675</v>
      </c>
      <c r="L706" s="152" t="s">
        <v>2705</v>
      </c>
      <c r="M706" s="152" t="s">
        <v>2398</v>
      </c>
      <c r="N706" s="152" t="s">
        <v>2398</v>
      </c>
      <c r="O706" s="152" t="s">
        <v>2705</v>
      </c>
      <c r="P706" s="152" t="s">
        <v>2705</v>
      </c>
      <c r="Q706" s="152" t="s">
        <v>1435</v>
      </c>
      <c r="R706" s="152" t="s">
        <v>2705</v>
      </c>
      <c r="S706" s="152" t="s">
        <v>2705</v>
      </c>
      <c r="T706" s="152" t="s">
        <v>2398</v>
      </c>
      <c r="U706" s="152" t="s">
        <v>2705</v>
      </c>
      <c r="V706" s="142" t="str" cm="1">
        <f t="array" ref="V706">IF(A706&lt;&gt;"",SUM(--(B706:U707 = "X")*$U$3,--(B706:U707 ="A")*$Q$3,--(B706:U707 ="B")*$R$3,--(B706:U707 ="C")*$S$3),"")</f>
        <v/>
      </c>
      <c r="X706" s="437" t="s">
        <v>8014</v>
      </c>
      <c r="Y706" s="437">
        <v>4.5</v>
      </c>
      <c r="Z706" s="436">
        <f>_xlfn.XLOOKUP(answers[[#This Row],[StudentID]],$A$7:$A$1418,$V$7:$V$1418)</f>
        <v>4.5</v>
      </c>
      <c r="AG706" s="142" t="s">
        <v>2705</v>
      </c>
      <c r="AH706" s="142" t="s">
        <v>1435</v>
      </c>
      <c r="AI706" s="142" t="s">
        <v>2675</v>
      </c>
      <c r="AJ706" s="142" t="s">
        <v>2705</v>
      </c>
      <c r="AK706" s="142" t="s">
        <v>2398</v>
      </c>
      <c r="AL706" s="142" t="s">
        <v>2398</v>
      </c>
      <c r="AM706" s="142" t="s">
        <v>2675</v>
      </c>
      <c r="AN706" s="142" t="s">
        <v>2705</v>
      </c>
      <c r="AO706" s="142" t="s">
        <v>2705</v>
      </c>
      <c r="AP706" s="142" t="s">
        <v>2675</v>
      </c>
      <c r="AQ706" s="142" t="s">
        <v>2705</v>
      </c>
      <c r="AR706" s="142" t="s">
        <v>2398</v>
      </c>
      <c r="AS706" s="142" t="s">
        <v>2398</v>
      </c>
      <c r="AT706" s="142" t="s">
        <v>2705</v>
      </c>
      <c r="AU706" s="142" t="s">
        <v>2705</v>
      </c>
      <c r="AV706" s="142" t="s">
        <v>1435</v>
      </c>
      <c r="AW706" s="142" t="s">
        <v>2705</v>
      </c>
      <c r="AX706" s="142" t="s">
        <v>2705</v>
      </c>
      <c r="AY706" s="142" t="s">
        <v>2398</v>
      </c>
      <c r="AZ706" s="142" t="s">
        <v>2705</v>
      </c>
    </row>
    <row r="707" spans="1:52" s="142" customFormat="1" ht="12.75" x14ac:dyDescent="0.2">
      <c r="A707" s="151" t="s">
        <v>7670</v>
      </c>
      <c r="B707" s="152" t="s">
        <v>2705</v>
      </c>
      <c r="C707" s="152" t="s">
        <v>2705</v>
      </c>
      <c r="D707" s="152" t="s">
        <v>2398</v>
      </c>
      <c r="E707" s="152" t="s">
        <v>2705</v>
      </c>
      <c r="F707" s="152" t="s">
        <v>2705</v>
      </c>
      <c r="G707" s="152" t="s">
        <v>1435</v>
      </c>
      <c r="H707" s="152" t="s">
        <v>2705</v>
      </c>
      <c r="I707" s="152" t="s">
        <v>2705</v>
      </c>
      <c r="J707" s="152" t="s">
        <v>2675</v>
      </c>
      <c r="K707" s="152" t="s">
        <v>2398</v>
      </c>
      <c r="L707" s="152" t="s">
        <v>2398</v>
      </c>
      <c r="M707" s="152" t="s">
        <v>2705</v>
      </c>
      <c r="N707" s="152" t="s">
        <v>2398</v>
      </c>
      <c r="O707" s="152" t="s">
        <v>2398</v>
      </c>
      <c r="P707" s="152" t="s">
        <v>2705</v>
      </c>
      <c r="Q707" s="152" t="s">
        <v>2398</v>
      </c>
      <c r="R707" s="152" t="s">
        <v>2705</v>
      </c>
      <c r="S707" s="152" t="s">
        <v>2705</v>
      </c>
      <c r="T707" s="152" t="s">
        <v>2398</v>
      </c>
      <c r="U707" s="152" t="s">
        <v>2705</v>
      </c>
      <c r="V707" s="142" cm="1">
        <f t="array" ref="V707">IF(A707&lt;&gt;"",SUM(--(B707:U708 = "X")*$U$3,--(B707:U708 ="A")*$Q$3,--(B707:U708 ="B")*$R$3,--(B707:U708 ="C")*$S$3),"")</f>
        <v>22</v>
      </c>
      <c r="X707" s="437" t="s">
        <v>8015</v>
      </c>
      <c r="Y707" s="437">
        <v>3</v>
      </c>
      <c r="Z707" s="436">
        <f>_xlfn.XLOOKUP(answers[[#This Row],[StudentID]],$A$7:$A$1418,$V$7:$V$1418)</f>
        <v>3</v>
      </c>
      <c r="AF707" s="142" t="s">
        <v>7670</v>
      </c>
      <c r="AG707" s="142" t="s">
        <v>2705</v>
      </c>
      <c r="AH707" s="142" t="s">
        <v>2705</v>
      </c>
      <c r="AI707" s="142" t="s">
        <v>2398</v>
      </c>
      <c r="AJ707" s="142" t="s">
        <v>2705</v>
      </c>
      <c r="AK707" s="142" t="s">
        <v>2705</v>
      </c>
      <c r="AL707" s="142" t="s">
        <v>1435</v>
      </c>
      <c r="AM707" s="142" t="s">
        <v>2705</v>
      </c>
      <c r="AN707" s="142" t="s">
        <v>2705</v>
      </c>
      <c r="AO707" s="142" t="s">
        <v>2675</v>
      </c>
      <c r="AP707" s="142" t="s">
        <v>2398</v>
      </c>
      <c r="AQ707" s="142" t="s">
        <v>2398</v>
      </c>
      <c r="AR707" s="142" t="s">
        <v>2705</v>
      </c>
      <c r="AS707" s="142" t="s">
        <v>2398</v>
      </c>
      <c r="AT707" s="142" t="s">
        <v>2398</v>
      </c>
      <c r="AU707" s="142" t="s">
        <v>2705</v>
      </c>
      <c r="AV707" s="142" t="s">
        <v>2398</v>
      </c>
      <c r="AW707" s="142" t="s">
        <v>2705</v>
      </c>
      <c r="AX707" s="142" t="s">
        <v>2705</v>
      </c>
      <c r="AY707" s="142" t="s">
        <v>2398</v>
      </c>
      <c r="AZ707" s="142" t="s">
        <v>2705</v>
      </c>
    </row>
    <row r="708" spans="1:52" s="142" customFormat="1" ht="12.75" x14ac:dyDescent="0.2">
      <c r="A708" s="151"/>
      <c r="B708" s="152" t="s">
        <v>2398</v>
      </c>
      <c r="C708" s="152" t="s">
        <v>2398</v>
      </c>
      <c r="D708" s="152" t="s">
        <v>2398</v>
      </c>
      <c r="E708" s="152" t="s">
        <v>2675</v>
      </c>
      <c r="F708" s="152" t="s">
        <v>2398</v>
      </c>
      <c r="G708" s="152" t="s">
        <v>2398</v>
      </c>
      <c r="H708" s="152" t="s">
        <v>2705</v>
      </c>
      <c r="I708" s="152" t="s">
        <v>2705</v>
      </c>
      <c r="J708" s="152" t="s">
        <v>2705</v>
      </c>
      <c r="K708" s="152" t="s">
        <v>2705</v>
      </c>
      <c r="L708" s="152" t="s">
        <v>2705</v>
      </c>
      <c r="M708" s="152" t="s">
        <v>2705</v>
      </c>
      <c r="N708" s="152" t="s">
        <v>2705</v>
      </c>
      <c r="O708" s="152" t="s">
        <v>2705</v>
      </c>
      <c r="P708" s="152" t="s">
        <v>2705</v>
      </c>
      <c r="Q708" s="152" t="s">
        <v>2705</v>
      </c>
      <c r="R708" s="152" t="s">
        <v>1435</v>
      </c>
      <c r="S708" s="152" t="s">
        <v>2705</v>
      </c>
      <c r="T708" s="152" t="s">
        <v>2705</v>
      </c>
      <c r="U708" s="152" t="s">
        <v>2705</v>
      </c>
      <c r="V708" s="142" t="str" cm="1">
        <f t="array" ref="V708">IF(A708&lt;&gt;"",SUM(--(B708:U709 = "X")*$U$3,--(B708:U709 ="A")*$Q$3,--(B708:U709 ="B")*$R$3,--(B708:U709 ="C")*$S$3),"")</f>
        <v/>
      </c>
      <c r="X708" s="437" t="s">
        <v>8016</v>
      </c>
      <c r="Y708" s="437">
        <v>18.5</v>
      </c>
      <c r="Z708" s="436">
        <f>_xlfn.XLOOKUP(answers[[#This Row],[StudentID]],$A$7:$A$1418,$V$7:$V$1418)</f>
        <v>18.5</v>
      </c>
      <c r="AG708" s="142" t="s">
        <v>2398</v>
      </c>
      <c r="AH708" s="142" t="s">
        <v>2398</v>
      </c>
      <c r="AI708" s="142" t="s">
        <v>2398</v>
      </c>
      <c r="AJ708" s="142" t="s">
        <v>2675</v>
      </c>
      <c r="AK708" s="142" t="s">
        <v>2398</v>
      </c>
      <c r="AL708" s="142" t="s">
        <v>2398</v>
      </c>
      <c r="AM708" s="142" t="s">
        <v>2705</v>
      </c>
      <c r="AN708" s="142" t="s">
        <v>2705</v>
      </c>
      <c r="AO708" s="142" t="s">
        <v>2705</v>
      </c>
      <c r="AP708" s="142" t="s">
        <v>2705</v>
      </c>
      <c r="AQ708" s="142" t="s">
        <v>2705</v>
      </c>
      <c r="AR708" s="142" t="s">
        <v>2705</v>
      </c>
      <c r="AS708" s="142" t="s">
        <v>2705</v>
      </c>
      <c r="AT708" s="142" t="s">
        <v>2705</v>
      </c>
      <c r="AU708" s="142" t="s">
        <v>2705</v>
      </c>
      <c r="AV708" s="142" t="s">
        <v>2705</v>
      </c>
      <c r="AW708" s="142" t="s">
        <v>1435</v>
      </c>
      <c r="AX708" s="142" t="s">
        <v>2705</v>
      </c>
      <c r="AY708" s="142" t="s">
        <v>2705</v>
      </c>
      <c r="AZ708" s="142" t="s">
        <v>2705</v>
      </c>
    </row>
    <row r="709" spans="1:52" s="142" customFormat="1" ht="12.75" x14ac:dyDescent="0.2">
      <c r="A709" s="151" t="s">
        <v>7671</v>
      </c>
      <c r="B709" s="152" t="s">
        <v>2705</v>
      </c>
      <c r="C709" s="152" t="s">
        <v>2675</v>
      </c>
      <c r="D709" s="152" t="s">
        <v>2705</v>
      </c>
      <c r="E709" s="152" t="s">
        <v>2705</v>
      </c>
      <c r="F709" s="152" t="s">
        <v>2398</v>
      </c>
      <c r="G709" s="152" t="s">
        <v>2705</v>
      </c>
      <c r="H709" s="152" t="s">
        <v>2705</v>
      </c>
      <c r="I709" s="152" t="s">
        <v>2705</v>
      </c>
      <c r="J709" s="152" t="s">
        <v>2398</v>
      </c>
      <c r="K709" s="152" t="s">
        <v>2705</v>
      </c>
      <c r="L709" s="152" t="s">
        <v>2705</v>
      </c>
      <c r="M709" s="152" t="s">
        <v>2705</v>
      </c>
      <c r="N709" s="152" t="s">
        <v>2705</v>
      </c>
      <c r="O709" s="152" t="s">
        <v>2398</v>
      </c>
      <c r="P709" s="152" t="s">
        <v>2705</v>
      </c>
      <c r="Q709" s="152" t="s">
        <v>2705</v>
      </c>
      <c r="R709" s="152" t="s">
        <v>2398</v>
      </c>
      <c r="S709" s="152" t="s">
        <v>2398</v>
      </c>
      <c r="T709" s="152" t="s">
        <v>2398</v>
      </c>
      <c r="U709" s="152" t="s">
        <v>2705</v>
      </c>
      <c r="V709" s="142" cm="1">
        <f t="array" ref="V709">IF(A709&lt;&gt;"",SUM(--(B709:U710 = "X")*$U$3,--(B709:U710 ="A")*$Q$3,--(B709:U710 ="B")*$R$3,--(B709:U710 ="C")*$S$3),"")</f>
        <v>21.5</v>
      </c>
      <c r="X709" s="437" t="s">
        <v>8017</v>
      </c>
      <c r="Y709" s="437">
        <v>15</v>
      </c>
      <c r="Z709" s="436">
        <f>_xlfn.XLOOKUP(answers[[#This Row],[StudentID]],$A$7:$A$1418,$V$7:$V$1418)</f>
        <v>15</v>
      </c>
      <c r="AF709" s="142" t="s">
        <v>7671</v>
      </c>
      <c r="AG709" s="142" t="s">
        <v>2705</v>
      </c>
      <c r="AH709" s="142" t="s">
        <v>2675</v>
      </c>
      <c r="AI709" s="142" t="s">
        <v>2705</v>
      </c>
      <c r="AJ709" s="142" t="s">
        <v>2705</v>
      </c>
      <c r="AK709" s="142" t="s">
        <v>2398</v>
      </c>
      <c r="AL709" s="142" t="s">
        <v>2705</v>
      </c>
      <c r="AM709" s="142" t="s">
        <v>2705</v>
      </c>
      <c r="AN709" s="142" t="s">
        <v>2705</v>
      </c>
      <c r="AO709" s="142" t="s">
        <v>2398</v>
      </c>
      <c r="AP709" s="142" t="s">
        <v>2705</v>
      </c>
      <c r="AQ709" s="142" t="s">
        <v>2705</v>
      </c>
      <c r="AR709" s="142" t="s">
        <v>2705</v>
      </c>
      <c r="AS709" s="142" t="s">
        <v>2705</v>
      </c>
      <c r="AT709" s="142" t="s">
        <v>2398</v>
      </c>
      <c r="AU709" s="142" t="s">
        <v>2705</v>
      </c>
      <c r="AV709" s="142" t="s">
        <v>2705</v>
      </c>
      <c r="AW709" s="142" t="s">
        <v>2398</v>
      </c>
      <c r="AX709" s="142" t="s">
        <v>2398</v>
      </c>
      <c r="AY709" s="142" t="s">
        <v>2398</v>
      </c>
      <c r="AZ709" s="142" t="s">
        <v>2705</v>
      </c>
    </row>
    <row r="710" spans="1:52" s="142" customFormat="1" ht="12.75" x14ac:dyDescent="0.2">
      <c r="A710" s="151"/>
      <c r="B710" s="152" t="s">
        <v>2705</v>
      </c>
      <c r="C710" s="152" t="s">
        <v>2705</v>
      </c>
      <c r="D710" s="152" t="s">
        <v>2398</v>
      </c>
      <c r="E710" s="152" t="s">
        <v>2705</v>
      </c>
      <c r="F710" s="152" t="s">
        <v>2705</v>
      </c>
      <c r="G710" s="152" t="s">
        <v>2398</v>
      </c>
      <c r="H710" s="152" t="s">
        <v>2675</v>
      </c>
      <c r="I710" s="152" t="s">
        <v>2705</v>
      </c>
      <c r="J710" s="152" t="s">
        <v>2705</v>
      </c>
      <c r="K710" s="152" t="s">
        <v>2705</v>
      </c>
      <c r="L710" s="152" t="s">
        <v>2398</v>
      </c>
      <c r="M710" s="152" t="s">
        <v>1435</v>
      </c>
      <c r="N710" s="152" t="s">
        <v>2398</v>
      </c>
      <c r="O710" s="152" t="s">
        <v>2398</v>
      </c>
      <c r="P710" s="152" t="s">
        <v>2705</v>
      </c>
      <c r="Q710" s="152" t="s">
        <v>2705</v>
      </c>
      <c r="R710" s="152" t="s">
        <v>2398</v>
      </c>
      <c r="S710" s="152" t="s">
        <v>2398</v>
      </c>
      <c r="T710" s="152" t="s">
        <v>2705</v>
      </c>
      <c r="U710" s="152" t="s">
        <v>2398</v>
      </c>
      <c r="V710" s="142" t="str" cm="1">
        <f t="array" ref="V710">IF(A710&lt;&gt;"",SUM(--(B710:U711 = "X")*$U$3,--(B710:U711 ="A")*$Q$3,--(B710:U711 ="B")*$R$3,--(B710:U711 ="C")*$S$3),"")</f>
        <v/>
      </c>
      <c r="X710" s="437" t="s">
        <v>8018</v>
      </c>
      <c r="Y710" s="437">
        <v>6</v>
      </c>
      <c r="Z710" s="436">
        <f>_xlfn.XLOOKUP(answers[[#This Row],[StudentID]],$A$7:$A$1418,$V$7:$V$1418)</f>
        <v>6</v>
      </c>
      <c r="AG710" s="142" t="s">
        <v>2705</v>
      </c>
      <c r="AH710" s="142" t="s">
        <v>2705</v>
      </c>
      <c r="AI710" s="142" t="s">
        <v>2398</v>
      </c>
      <c r="AJ710" s="142" t="s">
        <v>2705</v>
      </c>
      <c r="AK710" s="142" t="s">
        <v>2705</v>
      </c>
      <c r="AL710" s="142" t="s">
        <v>2398</v>
      </c>
      <c r="AM710" s="142" t="s">
        <v>2675</v>
      </c>
      <c r="AN710" s="142" t="s">
        <v>2705</v>
      </c>
      <c r="AO710" s="142" t="s">
        <v>2705</v>
      </c>
      <c r="AP710" s="142" t="s">
        <v>2705</v>
      </c>
      <c r="AQ710" s="142" t="s">
        <v>2398</v>
      </c>
      <c r="AR710" s="142" t="s">
        <v>1435</v>
      </c>
      <c r="AS710" s="142" t="s">
        <v>2398</v>
      </c>
      <c r="AT710" s="142" t="s">
        <v>2398</v>
      </c>
      <c r="AU710" s="142" t="s">
        <v>2705</v>
      </c>
      <c r="AV710" s="142" t="s">
        <v>2705</v>
      </c>
      <c r="AW710" s="142" t="s">
        <v>2398</v>
      </c>
      <c r="AX710" s="142" t="s">
        <v>2398</v>
      </c>
      <c r="AY710" s="142" t="s">
        <v>2705</v>
      </c>
      <c r="AZ710" s="142" t="s">
        <v>2398</v>
      </c>
    </row>
    <row r="711" spans="1:52" s="142" customFormat="1" ht="12.75" x14ac:dyDescent="0.2">
      <c r="A711" s="151" t="s">
        <v>7672</v>
      </c>
      <c r="B711" s="152" t="s">
        <v>2705</v>
      </c>
      <c r="C711" s="152" t="s">
        <v>2705</v>
      </c>
      <c r="D711" s="152" t="s">
        <v>2398</v>
      </c>
      <c r="E711" s="152" t="s">
        <v>2398</v>
      </c>
      <c r="F711" s="152" t="s">
        <v>2398</v>
      </c>
      <c r="G711" s="152" t="s">
        <v>2705</v>
      </c>
      <c r="H711" s="152" t="s">
        <v>2705</v>
      </c>
      <c r="I711" s="152" t="s">
        <v>2705</v>
      </c>
      <c r="J711" s="152" t="s">
        <v>2705</v>
      </c>
      <c r="K711" s="152" t="s">
        <v>2705</v>
      </c>
      <c r="L711" s="152" t="s">
        <v>2705</v>
      </c>
      <c r="M711" s="152" t="s">
        <v>2398</v>
      </c>
      <c r="N711" s="152" t="s">
        <v>2705</v>
      </c>
      <c r="O711" s="152" t="s">
        <v>2705</v>
      </c>
      <c r="P711" s="152" t="s">
        <v>2398</v>
      </c>
      <c r="Q711" s="152" t="s">
        <v>2675</v>
      </c>
      <c r="R711" s="152" t="s">
        <v>2705</v>
      </c>
      <c r="S711" s="152" t="s">
        <v>2398</v>
      </c>
      <c r="T711" s="152" t="s">
        <v>2398</v>
      </c>
      <c r="U711" s="152" t="s">
        <v>2675</v>
      </c>
      <c r="V711" s="142" cm="1">
        <f t="array" ref="V711">IF(A711&lt;&gt;"",SUM(--(B711:U712 = "X")*$U$3,--(B711:U712 ="A")*$Q$3,--(B711:U712 ="B")*$R$3,--(B711:U712 ="C")*$S$3),"")</f>
        <v>23.5</v>
      </c>
      <c r="X711" s="437" t="s">
        <v>8019</v>
      </c>
      <c r="Y711" s="437">
        <v>-1</v>
      </c>
      <c r="Z711" s="436">
        <f>_xlfn.XLOOKUP(answers[[#This Row],[StudentID]],$A$7:$A$1418,$V$7:$V$1418)</f>
        <v>-1</v>
      </c>
      <c r="AF711" s="142" t="s">
        <v>7672</v>
      </c>
      <c r="AG711" s="142" t="s">
        <v>2705</v>
      </c>
      <c r="AH711" s="142" t="s">
        <v>2705</v>
      </c>
      <c r="AI711" s="142" t="s">
        <v>2398</v>
      </c>
      <c r="AJ711" s="142" t="s">
        <v>2398</v>
      </c>
      <c r="AK711" s="142" t="s">
        <v>2398</v>
      </c>
      <c r="AL711" s="142" t="s">
        <v>2705</v>
      </c>
      <c r="AM711" s="142" t="s">
        <v>2705</v>
      </c>
      <c r="AN711" s="142" t="s">
        <v>2705</v>
      </c>
      <c r="AO711" s="142" t="s">
        <v>2705</v>
      </c>
      <c r="AP711" s="142" t="s">
        <v>2705</v>
      </c>
      <c r="AQ711" s="142" t="s">
        <v>2705</v>
      </c>
      <c r="AR711" s="142" t="s">
        <v>2398</v>
      </c>
      <c r="AS711" s="142" t="s">
        <v>2705</v>
      </c>
      <c r="AT711" s="142" t="s">
        <v>2705</v>
      </c>
      <c r="AU711" s="142" t="s">
        <v>2398</v>
      </c>
      <c r="AV711" s="142" t="s">
        <v>2675</v>
      </c>
      <c r="AW711" s="142" t="s">
        <v>2705</v>
      </c>
      <c r="AX711" s="142" t="s">
        <v>2398</v>
      </c>
      <c r="AY711" s="142" t="s">
        <v>2398</v>
      </c>
      <c r="AZ711" s="142" t="s">
        <v>2675</v>
      </c>
    </row>
    <row r="712" spans="1:52" s="142" customFormat="1" ht="12.75" x14ac:dyDescent="0.2">
      <c r="A712" s="151"/>
      <c r="B712" s="152" t="s">
        <v>2398</v>
      </c>
      <c r="C712" s="152" t="s">
        <v>2398</v>
      </c>
      <c r="D712" s="152" t="s">
        <v>2705</v>
      </c>
      <c r="E712" s="152" t="s">
        <v>2705</v>
      </c>
      <c r="F712" s="152" t="s">
        <v>2705</v>
      </c>
      <c r="G712" s="152" t="s">
        <v>2705</v>
      </c>
      <c r="H712" s="152" t="s">
        <v>2398</v>
      </c>
      <c r="I712" s="152" t="s">
        <v>2705</v>
      </c>
      <c r="J712" s="152" t="s">
        <v>2705</v>
      </c>
      <c r="K712" s="152" t="s">
        <v>2705</v>
      </c>
      <c r="L712" s="152" t="s">
        <v>2398</v>
      </c>
      <c r="M712" s="152" t="s">
        <v>2675</v>
      </c>
      <c r="N712" s="152" t="s">
        <v>2705</v>
      </c>
      <c r="O712" s="152" t="s">
        <v>2705</v>
      </c>
      <c r="P712" s="152" t="s">
        <v>2705</v>
      </c>
      <c r="Q712" s="152" t="s">
        <v>2705</v>
      </c>
      <c r="R712" s="152" t="s">
        <v>2705</v>
      </c>
      <c r="S712" s="152" t="s">
        <v>2705</v>
      </c>
      <c r="T712" s="152" t="s">
        <v>2705</v>
      </c>
      <c r="U712" s="152" t="s">
        <v>2398</v>
      </c>
      <c r="V712" s="142" t="str" cm="1">
        <f t="array" ref="V712">IF(A712&lt;&gt;"",SUM(--(B712:U713 = "X")*$U$3,--(B712:U713 ="A")*$Q$3,--(B712:U713 ="B")*$R$3,--(B712:U713 ="C")*$S$3),"")</f>
        <v/>
      </c>
      <c r="X712" s="437" t="s">
        <v>8020</v>
      </c>
      <c r="Y712" s="437">
        <v>10.5</v>
      </c>
      <c r="Z712" s="436">
        <f>_xlfn.XLOOKUP(answers[[#This Row],[StudentID]],$A$7:$A$1418,$V$7:$V$1418)</f>
        <v>10.5</v>
      </c>
      <c r="AG712" s="142" t="s">
        <v>2398</v>
      </c>
      <c r="AH712" s="142" t="s">
        <v>2398</v>
      </c>
      <c r="AI712" s="142" t="s">
        <v>2705</v>
      </c>
      <c r="AJ712" s="142" t="s">
        <v>2705</v>
      </c>
      <c r="AK712" s="142" t="s">
        <v>2705</v>
      </c>
      <c r="AL712" s="142" t="s">
        <v>2705</v>
      </c>
      <c r="AM712" s="142" t="s">
        <v>2398</v>
      </c>
      <c r="AN712" s="142" t="s">
        <v>2705</v>
      </c>
      <c r="AO712" s="142" t="s">
        <v>2705</v>
      </c>
      <c r="AP712" s="142" t="s">
        <v>2705</v>
      </c>
      <c r="AQ712" s="142" t="s">
        <v>2398</v>
      </c>
      <c r="AR712" s="142" t="s">
        <v>2675</v>
      </c>
      <c r="AS712" s="142" t="s">
        <v>2705</v>
      </c>
      <c r="AT712" s="142" t="s">
        <v>2705</v>
      </c>
      <c r="AU712" s="142" t="s">
        <v>2705</v>
      </c>
      <c r="AV712" s="142" t="s">
        <v>2705</v>
      </c>
      <c r="AW712" s="142" t="s">
        <v>2705</v>
      </c>
      <c r="AX712" s="142" t="s">
        <v>2705</v>
      </c>
      <c r="AY712" s="142" t="s">
        <v>2705</v>
      </c>
      <c r="AZ712" s="142" t="s">
        <v>2398</v>
      </c>
    </row>
    <row r="713" spans="1:52" s="142" customFormat="1" ht="12.75" x14ac:dyDescent="0.2">
      <c r="A713" s="151" t="s">
        <v>7673</v>
      </c>
      <c r="B713" s="152" t="s">
        <v>2398</v>
      </c>
      <c r="C713" s="152" t="s">
        <v>2705</v>
      </c>
      <c r="D713" s="152" t="s">
        <v>2398</v>
      </c>
      <c r="E713" s="152" t="s">
        <v>2398</v>
      </c>
      <c r="F713" s="152" t="s">
        <v>2398</v>
      </c>
      <c r="G713" s="152" t="s">
        <v>2705</v>
      </c>
      <c r="H713" s="152" t="s">
        <v>2705</v>
      </c>
      <c r="I713" s="152" t="s">
        <v>2675</v>
      </c>
      <c r="J713" s="152" t="s">
        <v>2398</v>
      </c>
      <c r="K713" s="152" t="s">
        <v>2705</v>
      </c>
      <c r="L713" s="152" t="s">
        <v>2705</v>
      </c>
      <c r="M713" s="152" t="s">
        <v>2398</v>
      </c>
      <c r="N713" s="152" t="s">
        <v>2705</v>
      </c>
      <c r="O713" s="152" t="s">
        <v>2398</v>
      </c>
      <c r="P713" s="152" t="s">
        <v>2398</v>
      </c>
      <c r="Q713" s="152" t="s">
        <v>2705</v>
      </c>
      <c r="R713" s="152" t="s">
        <v>2705</v>
      </c>
      <c r="S713" s="152" t="s">
        <v>2398</v>
      </c>
      <c r="T713" s="152" t="s">
        <v>2705</v>
      </c>
      <c r="U713" s="152" t="s">
        <v>1435</v>
      </c>
      <c r="V713" s="142" cm="1">
        <f t="array" ref="V713">IF(A713&lt;&gt;"",SUM(--(B713:U714 = "X")*$U$3,--(B713:U714 ="A")*$Q$3,--(B713:U714 ="B")*$R$3,--(B713:U714 ="C")*$S$3),"")</f>
        <v>15</v>
      </c>
      <c r="X713" s="437" t="s">
        <v>8021</v>
      </c>
      <c r="Y713" s="437">
        <v>12</v>
      </c>
      <c r="Z713" s="436">
        <f>_xlfn.XLOOKUP(answers[[#This Row],[StudentID]],$A$7:$A$1418,$V$7:$V$1418)</f>
        <v>12</v>
      </c>
      <c r="AF713" s="142" t="s">
        <v>7673</v>
      </c>
      <c r="AG713" s="142" t="s">
        <v>2398</v>
      </c>
      <c r="AH713" s="142" t="s">
        <v>2705</v>
      </c>
      <c r="AI713" s="142" t="s">
        <v>2398</v>
      </c>
      <c r="AJ713" s="142" t="s">
        <v>2398</v>
      </c>
      <c r="AK713" s="142" t="s">
        <v>2398</v>
      </c>
      <c r="AL713" s="142" t="s">
        <v>2705</v>
      </c>
      <c r="AM713" s="142" t="s">
        <v>2705</v>
      </c>
      <c r="AN713" s="142" t="s">
        <v>2675</v>
      </c>
      <c r="AO713" s="142" t="s">
        <v>2398</v>
      </c>
      <c r="AP713" s="142" t="s">
        <v>2705</v>
      </c>
      <c r="AQ713" s="142" t="s">
        <v>2705</v>
      </c>
      <c r="AR713" s="142" t="s">
        <v>2398</v>
      </c>
      <c r="AS713" s="142" t="s">
        <v>2705</v>
      </c>
      <c r="AT713" s="142" t="s">
        <v>2398</v>
      </c>
      <c r="AU713" s="142" t="s">
        <v>2398</v>
      </c>
      <c r="AV713" s="142" t="s">
        <v>2705</v>
      </c>
      <c r="AW713" s="142" t="s">
        <v>2705</v>
      </c>
      <c r="AX713" s="142" t="s">
        <v>2398</v>
      </c>
      <c r="AY713" s="142" t="s">
        <v>2705</v>
      </c>
      <c r="AZ713" s="142" t="s">
        <v>1435</v>
      </c>
    </row>
    <row r="714" spans="1:52" s="142" customFormat="1" ht="12.75" x14ac:dyDescent="0.2">
      <c r="A714" s="151"/>
      <c r="B714" s="152" t="s">
        <v>2397</v>
      </c>
      <c r="C714" s="152" t="s">
        <v>2705</v>
      </c>
      <c r="D714" s="152" t="s">
        <v>2705</v>
      </c>
      <c r="E714" s="152" t="s">
        <v>2398</v>
      </c>
      <c r="F714" s="152" t="s">
        <v>2705</v>
      </c>
      <c r="G714" s="152" t="s">
        <v>2398</v>
      </c>
      <c r="H714" s="152" t="s">
        <v>2398</v>
      </c>
      <c r="I714" s="152" t="s">
        <v>2705</v>
      </c>
      <c r="J714" s="152" t="s">
        <v>2398</v>
      </c>
      <c r="K714" s="152" t="s">
        <v>1435</v>
      </c>
      <c r="L714" s="152" t="s">
        <v>2398</v>
      </c>
      <c r="M714" s="152" t="s">
        <v>2705</v>
      </c>
      <c r="N714" s="152" t="s">
        <v>2398</v>
      </c>
      <c r="O714" s="152" t="s">
        <v>2705</v>
      </c>
      <c r="P714" s="152" t="s">
        <v>2705</v>
      </c>
      <c r="Q714" s="152" t="s">
        <v>2705</v>
      </c>
      <c r="R714" s="152" t="s">
        <v>2398</v>
      </c>
      <c r="S714" s="152" t="s">
        <v>2675</v>
      </c>
      <c r="T714" s="152" t="s">
        <v>2397</v>
      </c>
      <c r="U714" s="152" t="s">
        <v>2397</v>
      </c>
      <c r="V714" s="142" t="str" cm="1">
        <f t="array" ref="V714">IF(A714&lt;&gt;"",SUM(--(B714:U715 = "X")*$U$3,--(B714:U715 ="A")*$Q$3,--(B714:U715 ="B")*$R$3,--(B714:U715 ="C")*$S$3),"")</f>
        <v/>
      </c>
      <c r="X714" s="437" t="s">
        <v>8022</v>
      </c>
      <c r="Y714" s="437">
        <v>10</v>
      </c>
      <c r="Z714" s="436">
        <f>_xlfn.XLOOKUP(answers[[#This Row],[StudentID]],$A$7:$A$1418,$V$7:$V$1418)</f>
        <v>10</v>
      </c>
      <c r="AG714" s="142" t="s">
        <v>2397</v>
      </c>
      <c r="AH714" s="142" t="s">
        <v>2705</v>
      </c>
      <c r="AI714" s="142" t="s">
        <v>2705</v>
      </c>
      <c r="AJ714" s="142" t="s">
        <v>2398</v>
      </c>
      <c r="AK714" s="142" t="s">
        <v>2705</v>
      </c>
      <c r="AL714" s="142" t="s">
        <v>2398</v>
      </c>
      <c r="AM714" s="142" t="s">
        <v>2398</v>
      </c>
      <c r="AN714" s="142" t="s">
        <v>2705</v>
      </c>
      <c r="AO714" s="142" t="s">
        <v>2398</v>
      </c>
      <c r="AP714" s="142" t="s">
        <v>1435</v>
      </c>
      <c r="AQ714" s="142" t="s">
        <v>2398</v>
      </c>
      <c r="AR714" s="142" t="s">
        <v>2705</v>
      </c>
      <c r="AS714" s="142" t="s">
        <v>2398</v>
      </c>
      <c r="AT714" s="142" t="s">
        <v>2705</v>
      </c>
      <c r="AU714" s="142" t="s">
        <v>2705</v>
      </c>
      <c r="AV714" s="142" t="s">
        <v>2705</v>
      </c>
      <c r="AW714" s="142" t="s">
        <v>2398</v>
      </c>
      <c r="AX714" s="142" t="s">
        <v>2675</v>
      </c>
      <c r="AY714" s="142" t="s">
        <v>2397</v>
      </c>
      <c r="AZ714" s="142" t="s">
        <v>2397</v>
      </c>
    </row>
    <row r="715" spans="1:52" s="142" customFormat="1" ht="12.75" x14ac:dyDescent="0.2">
      <c r="A715" s="151" t="s">
        <v>7674</v>
      </c>
      <c r="B715" s="152" t="s">
        <v>2398</v>
      </c>
      <c r="C715" s="152" t="s">
        <v>2705</v>
      </c>
      <c r="D715" s="152" t="s">
        <v>2398</v>
      </c>
      <c r="E715" s="152" t="s">
        <v>2398</v>
      </c>
      <c r="F715" s="152" t="s">
        <v>2705</v>
      </c>
      <c r="G715" s="152" t="s">
        <v>2705</v>
      </c>
      <c r="H715" s="152" t="s">
        <v>2705</v>
      </c>
      <c r="I715" s="152" t="s">
        <v>2705</v>
      </c>
      <c r="J715" s="152" t="s">
        <v>2398</v>
      </c>
      <c r="K715" s="152" t="s">
        <v>2705</v>
      </c>
      <c r="L715" s="152" t="s">
        <v>2705</v>
      </c>
      <c r="M715" s="152" t="s">
        <v>1435</v>
      </c>
      <c r="N715" s="152" t="s">
        <v>2398</v>
      </c>
      <c r="O715" s="152" t="s">
        <v>2675</v>
      </c>
      <c r="P715" s="152" t="s">
        <v>2705</v>
      </c>
      <c r="Q715" s="152" t="s">
        <v>2705</v>
      </c>
      <c r="R715" s="152" t="s">
        <v>2398</v>
      </c>
      <c r="S715" s="152" t="s">
        <v>2675</v>
      </c>
      <c r="T715" s="152" t="s">
        <v>2705</v>
      </c>
      <c r="U715" s="152" t="s">
        <v>2705</v>
      </c>
      <c r="V715" s="142" cm="1">
        <f t="array" ref="V715">IF(A715&lt;&gt;"",SUM(--(B715:U716 = "X")*$U$3,--(B715:U716 ="A")*$Q$3,--(B715:U716 ="B")*$R$3,--(B715:U716 ="C")*$S$3),"")</f>
        <v>16</v>
      </c>
      <c r="X715" s="437" t="s">
        <v>8023</v>
      </c>
      <c r="Y715" s="437">
        <v>6.5</v>
      </c>
      <c r="Z715" s="436">
        <f>_xlfn.XLOOKUP(answers[[#This Row],[StudentID]],$A$7:$A$1418,$V$7:$V$1418)</f>
        <v>6.5</v>
      </c>
      <c r="AF715" s="142" t="s">
        <v>7674</v>
      </c>
      <c r="AG715" s="142" t="s">
        <v>2398</v>
      </c>
      <c r="AH715" s="142" t="s">
        <v>2705</v>
      </c>
      <c r="AI715" s="142" t="s">
        <v>2398</v>
      </c>
      <c r="AJ715" s="142" t="s">
        <v>2398</v>
      </c>
      <c r="AK715" s="142" t="s">
        <v>2705</v>
      </c>
      <c r="AL715" s="142" t="s">
        <v>2705</v>
      </c>
      <c r="AM715" s="142" t="s">
        <v>2705</v>
      </c>
      <c r="AN715" s="142" t="s">
        <v>2705</v>
      </c>
      <c r="AO715" s="142" t="s">
        <v>2398</v>
      </c>
      <c r="AP715" s="142" t="s">
        <v>2705</v>
      </c>
      <c r="AQ715" s="142" t="s">
        <v>2705</v>
      </c>
      <c r="AR715" s="142" t="s">
        <v>1435</v>
      </c>
      <c r="AS715" s="142" t="s">
        <v>2398</v>
      </c>
      <c r="AT715" s="142" t="s">
        <v>2675</v>
      </c>
      <c r="AU715" s="142" t="s">
        <v>2705</v>
      </c>
      <c r="AV715" s="142" t="s">
        <v>2705</v>
      </c>
      <c r="AW715" s="142" t="s">
        <v>2398</v>
      </c>
      <c r="AX715" s="142" t="s">
        <v>2675</v>
      </c>
      <c r="AY715" s="142" t="s">
        <v>2705</v>
      </c>
      <c r="AZ715" s="142" t="s">
        <v>2705</v>
      </c>
    </row>
    <row r="716" spans="1:52" s="142" customFormat="1" ht="12.75" x14ac:dyDescent="0.2">
      <c r="A716" s="151"/>
      <c r="B716" s="152" t="s">
        <v>2675</v>
      </c>
      <c r="C716" s="152" t="s">
        <v>2675</v>
      </c>
      <c r="D716" s="152" t="s">
        <v>2705</v>
      </c>
      <c r="E716" s="152" t="s">
        <v>2675</v>
      </c>
      <c r="F716" s="152" t="s">
        <v>2705</v>
      </c>
      <c r="G716" s="152" t="s">
        <v>2398</v>
      </c>
      <c r="H716" s="152" t="s">
        <v>2398</v>
      </c>
      <c r="I716" s="152" t="s">
        <v>2705</v>
      </c>
      <c r="J716" s="152" t="s">
        <v>2705</v>
      </c>
      <c r="K716" s="152" t="s">
        <v>2398</v>
      </c>
      <c r="L716" s="152" t="s">
        <v>2398</v>
      </c>
      <c r="M716" s="152" t="s">
        <v>2705</v>
      </c>
      <c r="N716" s="152" t="s">
        <v>2705</v>
      </c>
      <c r="O716" s="152" t="s">
        <v>2398</v>
      </c>
      <c r="P716" s="152" t="s">
        <v>2398</v>
      </c>
      <c r="Q716" s="152" t="s">
        <v>2398</v>
      </c>
      <c r="R716" s="152" t="s">
        <v>2398</v>
      </c>
      <c r="S716" s="152" t="s">
        <v>2705</v>
      </c>
      <c r="T716" s="152" t="s">
        <v>2398</v>
      </c>
      <c r="U716" s="152" t="s">
        <v>2705</v>
      </c>
      <c r="V716" s="142" t="str" cm="1">
        <f t="array" ref="V716">IF(A716&lt;&gt;"",SUM(--(B716:U717 = "X")*$U$3,--(B716:U717 ="A")*$Q$3,--(B716:U717 ="B")*$R$3,--(B716:U717 ="C")*$S$3),"")</f>
        <v/>
      </c>
      <c r="X716" s="437" t="s">
        <v>8024</v>
      </c>
      <c r="Y716" s="437">
        <v>9.5</v>
      </c>
      <c r="Z716" s="436">
        <f>_xlfn.XLOOKUP(answers[[#This Row],[StudentID]],$A$7:$A$1418,$V$7:$V$1418)</f>
        <v>9.5</v>
      </c>
      <c r="AG716" s="142" t="s">
        <v>2675</v>
      </c>
      <c r="AH716" s="142" t="s">
        <v>2675</v>
      </c>
      <c r="AI716" s="142" t="s">
        <v>2705</v>
      </c>
      <c r="AJ716" s="142" t="s">
        <v>2675</v>
      </c>
      <c r="AK716" s="142" t="s">
        <v>2705</v>
      </c>
      <c r="AL716" s="142" t="s">
        <v>2398</v>
      </c>
      <c r="AM716" s="142" t="s">
        <v>2398</v>
      </c>
      <c r="AN716" s="142" t="s">
        <v>2705</v>
      </c>
      <c r="AO716" s="142" t="s">
        <v>2705</v>
      </c>
      <c r="AP716" s="142" t="s">
        <v>2398</v>
      </c>
      <c r="AQ716" s="142" t="s">
        <v>2398</v>
      </c>
      <c r="AR716" s="142" t="s">
        <v>2705</v>
      </c>
      <c r="AS716" s="142" t="s">
        <v>2705</v>
      </c>
      <c r="AT716" s="142" t="s">
        <v>2398</v>
      </c>
      <c r="AU716" s="142" t="s">
        <v>2398</v>
      </c>
      <c r="AV716" s="142" t="s">
        <v>2398</v>
      </c>
      <c r="AW716" s="142" t="s">
        <v>2398</v>
      </c>
      <c r="AX716" s="142" t="s">
        <v>2705</v>
      </c>
      <c r="AY716" s="142" t="s">
        <v>2398</v>
      </c>
      <c r="AZ716" s="142" t="s">
        <v>2705</v>
      </c>
    </row>
    <row r="717" spans="1:52" s="142" customFormat="1" ht="12.75" x14ac:dyDescent="0.2">
      <c r="A717" s="151" t="s">
        <v>7675</v>
      </c>
      <c r="B717" s="152" t="s">
        <v>2705</v>
      </c>
      <c r="C717" s="152" t="s">
        <v>2705</v>
      </c>
      <c r="D717" s="152" t="s">
        <v>2705</v>
      </c>
      <c r="E717" s="152" t="s">
        <v>2398</v>
      </c>
      <c r="F717" s="152" t="s">
        <v>2705</v>
      </c>
      <c r="G717" s="152" t="s">
        <v>2705</v>
      </c>
      <c r="H717" s="152" t="s">
        <v>2705</v>
      </c>
      <c r="I717" s="152" t="s">
        <v>2705</v>
      </c>
      <c r="J717" s="152" t="s">
        <v>2705</v>
      </c>
      <c r="K717" s="152" t="s">
        <v>1435</v>
      </c>
      <c r="L717" s="152" t="s">
        <v>2705</v>
      </c>
      <c r="M717" s="152" t="s">
        <v>2705</v>
      </c>
      <c r="N717" s="152" t="s">
        <v>2705</v>
      </c>
      <c r="O717" s="152" t="s">
        <v>2705</v>
      </c>
      <c r="P717" s="152" t="s">
        <v>2705</v>
      </c>
      <c r="Q717" s="152" t="s">
        <v>2398</v>
      </c>
      <c r="R717" s="152" t="s">
        <v>2398</v>
      </c>
      <c r="S717" s="152" t="s">
        <v>2398</v>
      </c>
      <c r="T717" s="152" t="s">
        <v>2705</v>
      </c>
      <c r="U717" s="152" t="s">
        <v>2398</v>
      </c>
      <c r="V717" s="142" cm="1">
        <f t="array" ref="V717">IF(A717&lt;&gt;"",SUM(--(B717:U718 = "X")*$U$3,--(B717:U718 ="A")*$Q$3,--(B717:U718 ="B")*$R$3,--(B717:U718 ="C")*$S$3),"")</f>
        <v>27</v>
      </c>
      <c r="X717" s="437" t="s">
        <v>8025</v>
      </c>
      <c r="Y717" s="437">
        <v>15.5</v>
      </c>
      <c r="Z717" s="436">
        <f>_xlfn.XLOOKUP(answers[[#This Row],[StudentID]],$A$7:$A$1418,$V$7:$V$1418)</f>
        <v>15.5</v>
      </c>
      <c r="AF717" s="142" t="s">
        <v>7675</v>
      </c>
      <c r="AG717" s="142" t="s">
        <v>2705</v>
      </c>
      <c r="AH717" s="142" t="s">
        <v>2705</v>
      </c>
      <c r="AI717" s="142" t="s">
        <v>2705</v>
      </c>
      <c r="AJ717" s="142" t="s">
        <v>2398</v>
      </c>
      <c r="AK717" s="142" t="s">
        <v>2705</v>
      </c>
      <c r="AL717" s="142" t="s">
        <v>2705</v>
      </c>
      <c r="AM717" s="142" t="s">
        <v>2705</v>
      </c>
      <c r="AN717" s="142" t="s">
        <v>2705</v>
      </c>
      <c r="AO717" s="142" t="s">
        <v>2705</v>
      </c>
      <c r="AP717" s="142" t="s">
        <v>1435</v>
      </c>
      <c r="AQ717" s="142" t="s">
        <v>2705</v>
      </c>
      <c r="AR717" s="142" t="s">
        <v>2705</v>
      </c>
      <c r="AS717" s="142" t="s">
        <v>2705</v>
      </c>
      <c r="AT717" s="142" t="s">
        <v>2705</v>
      </c>
      <c r="AU717" s="142" t="s">
        <v>2705</v>
      </c>
      <c r="AV717" s="142" t="s">
        <v>2398</v>
      </c>
      <c r="AW717" s="142" t="s">
        <v>2398</v>
      </c>
      <c r="AX717" s="142" t="s">
        <v>2398</v>
      </c>
      <c r="AY717" s="142" t="s">
        <v>2705</v>
      </c>
      <c r="AZ717" s="142" t="s">
        <v>2398</v>
      </c>
    </row>
    <row r="718" spans="1:52" s="142" customFormat="1" ht="12.75" x14ac:dyDescent="0.2">
      <c r="A718" s="151"/>
      <c r="B718" s="152" t="s">
        <v>2397</v>
      </c>
      <c r="C718" s="152" t="s">
        <v>2398</v>
      </c>
      <c r="D718" s="152" t="s">
        <v>2705</v>
      </c>
      <c r="E718" s="152" t="s">
        <v>2705</v>
      </c>
      <c r="F718" s="152" t="s">
        <v>2705</v>
      </c>
      <c r="G718" s="152" t="s">
        <v>2705</v>
      </c>
      <c r="H718" s="152" t="s">
        <v>2705</v>
      </c>
      <c r="I718" s="152" t="s">
        <v>2705</v>
      </c>
      <c r="J718" s="152" t="s">
        <v>2705</v>
      </c>
      <c r="K718" s="152" t="s">
        <v>2398</v>
      </c>
      <c r="L718" s="152" t="s">
        <v>2705</v>
      </c>
      <c r="M718" s="152" t="s">
        <v>2398</v>
      </c>
      <c r="N718" s="152" t="s">
        <v>2705</v>
      </c>
      <c r="O718" s="152" t="s">
        <v>2705</v>
      </c>
      <c r="P718" s="152" t="s">
        <v>2398</v>
      </c>
      <c r="Q718" s="152" t="s">
        <v>1435</v>
      </c>
      <c r="R718" s="152" t="s">
        <v>2705</v>
      </c>
      <c r="S718" s="152" t="s">
        <v>2705</v>
      </c>
      <c r="T718" s="152" t="s">
        <v>2705</v>
      </c>
      <c r="U718" s="152" t="s">
        <v>2705</v>
      </c>
      <c r="V718" s="142" t="str" cm="1">
        <f t="array" ref="V718">IF(A718&lt;&gt;"",SUM(--(B718:U719 = "X")*$U$3,--(B718:U719 ="A")*$Q$3,--(B718:U719 ="B")*$R$3,--(B718:U719 ="C")*$S$3),"")</f>
        <v/>
      </c>
      <c r="AG718" s="142" t="s">
        <v>2397</v>
      </c>
      <c r="AH718" s="142" t="s">
        <v>2398</v>
      </c>
      <c r="AI718" s="142" t="s">
        <v>2705</v>
      </c>
      <c r="AJ718" s="142" t="s">
        <v>2705</v>
      </c>
      <c r="AK718" s="142" t="s">
        <v>2705</v>
      </c>
      <c r="AL718" s="142" t="s">
        <v>2705</v>
      </c>
      <c r="AM718" s="142" t="s">
        <v>2705</v>
      </c>
      <c r="AN718" s="142" t="s">
        <v>2705</v>
      </c>
      <c r="AO718" s="142" t="s">
        <v>2705</v>
      </c>
      <c r="AP718" s="142" t="s">
        <v>2398</v>
      </c>
      <c r="AQ718" s="142" t="s">
        <v>2705</v>
      </c>
      <c r="AR718" s="142" t="s">
        <v>2398</v>
      </c>
      <c r="AS718" s="142" t="s">
        <v>2705</v>
      </c>
      <c r="AT718" s="142" t="s">
        <v>2705</v>
      </c>
      <c r="AU718" s="142" t="s">
        <v>2398</v>
      </c>
      <c r="AV718" s="142" t="s">
        <v>1435</v>
      </c>
      <c r="AW718" s="142" t="s">
        <v>2705</v>
      </c>
      <c r="AX718" s="142" t="s">
        <v>2705</v>
      </c>
      <c r="AY718" s="142" t="s">
        <v>2705</v>
      </c>
      <c r="AZ718" s="142" t="s">
        <v>2705</v>
      </c>
    </row>
    <row r="719" spans="1:52" s="142" customFormat="1" ht="12.75" x14ac:dyDescent="0.2">
      <c r="A719" s="151" t="s">
        <v>7676</v>
      </c>
      <c r="B719" s="152" t="s">
        <v>1435</v>
      </c>
      <c r="C719" s="152" t="s">
        <v>2398</v>
      </c>
      <c r="D719" s="152" t="s">
        <v>2675</v>
      </c>
      <c r="E719" s="152" t="s">
        <v>2398</v>
      </c>
      <c r="F719" s="152" t="s">
        <v>2397</v>
      </c>
      <c r="G719" s="152" t="s">
        <v>2705</v>
      </c>
      <c r="H719" s="152" t="s">
        <v>2398</v>
      </c>
      <c r="I719" s="152" t="s">
        <v>2398</v>
      </c>
      <c r="J719" s="152" t="s">
        <v>2705</v>
      </c>
      <c r="K719" s="152" t="s">
        <v>2397</v>
      </c>
      <c r="L719" s="152" t="s">
        <v>2398</v>
      </c>
      <c r="M719" s="152" t="s">
        <v>2705</v>
      </c>
      <c r="N719" s="152" t="s">
        <v>2675</v>
      </c>
      <c r="O719" s="152" t="s">
        <v>2705</v>
      </c>
      <c r="P719" s="152" t="s">
        <v>2705</v>
      </c>
      <c r="Q719" s="152" t="s">
        <v>2705</v>
      </c>
      <c r="R719" s="152" t="s">
        <v>2397</v>
      </c>
      <c r="S719" s="152" t="s">
        <v>2705</v>
      </c>
      <c r="T719" s="152" t="s">
        <v>2398</v>
      </c>
      <c r="U719" s="152" t="s">
        <v>2675</v>
      </c>
      <c r="V719" s="142" cm="1">
        <f t="array" ref="V719">IF(A719&lt;&gt;"",SUM(--(B719:U720 = "X")*$U$3,--(B719:U720 ="A")*$Q$3,--(B719:U720 ="B")*$R$3,--(B719:U720 ="C")*$S$3),"")</f>
        <v>7.5</v>
      </c>
      <c r="AF719" s="142" t="s">
        <v>7676</v>
      </c>
      <c r="AG719" s="142" t="s">
        <v>1435</v>
      </c>
      <c r="AH719" s="142" t="s">
        <v>2398</v>
      </c>
      <c r="AI719" s="142" t="s">
        <v>2675</v>
      </c>
      <c r="AJ719" s="142" t="s">
        <v>2398</v>
      </c>
      <c r="AK719" s="142" t="s">
        <v>2397</v>
      </c>
      <c r="AL719" s="142" t="s">
        <v>2705</v>
      </c>
      <c r="AM719" s="142" t="s">
        <v>2398</v>
      </c>
      <c r="AN719" s="142" t="s">
        <v>2398</v>
      </c>
      <c r="AO719" s="142" t="s">
        <v>2705</v>
      </c>
      <c r="AP719" s="142" t="s">
        <v>2397</v>
      </c>
      <c r="AQ719" s="142" t="s">
        <v>2398</v>
      </c>
      <c r="AR719" s="142" t="s">
        <v>2705</v>
      </c>
      <c r="AS719" s="142" t="s">
        <v>2675</v>
      </c>
      <c r="AT719" s="142" t="s">
        <v>2705</v>
      </c>
      <c r="AU719" s="142" t="s">
        <v>2705</v>
      </c>
      <c r="AV719" s="142" t="s">
        <v>2705</v>
      </c>
      <c r="AW719" s="142" t="s">
        <v>2397</v>
      </c>
      <c r="AX719" s="142" t="s">
        <v>2705</v>
      </c>
      <c r="AY719" s="142" t="s">
        <v>2398</v>
      </c>
      <c r="AZ719" s="142" t="s">
        <v>2675</v>
      </c>
    </row>
    <row r="720" spans="1:52" s="142" customFormat="1" ht="12.75" x14ac:dyDescent="0.2">
      <c r="A720" s="151"/>
      <c r="B720" s="152" t="s">
        <v>2705</v>
      </c>
      <c r="C720" s="152" t="s">
        <v>2397</v>
      </c>
      <c r="D720" s="152" t="s">
        <v>2397</v>
      </c>
      <c r="E720" s="152" t="s">
        <v>2398</v>
      </c>
      <c r="F720" s="152" t="s">
        <v>2675</v>
      </c>
      <c r="G720" s="152" t="s">
        <v>2397</v>
      </c>
      <c r="H720" s="152" t="s">
        <v>2705</v>
      </c>
      <c r="I720" s="152" t="s">
        <v>2705</v>
      </c>
      <c r="J720" s="152" t="s">
        <v>2398</v>
      </c>
      <c r="K720" s="152" t="s">
        <v>1435</v>
      </c>
      <c r="L720" s="152" t="s">
        <v>2398</v>
      </c>
      <c r="M720" s="152" t="s">
        <v>2398</v>
      </c>
      <c r="N720" s="152" t="s">
        <v>2675</v>
      </c>
      <c r="O720" s="152" t="s">
        <v>1435</v>
      </c>
      <c r="P720" s="152" t="s">
        <v>2705</v>
      </c>
      <c r="Q720" s="152" t="s">
        <v>1435</v>
      </c>
      <c r="R720" s="152" t="s">
        <v>2398</v>
      </c>
      <c r="S720" s="152" t="s">
        <v>2398</v>
      </c>
      <c r="T720" s="152" t="s">
        <v>2705</v>
      </c>
      <c r="U720" s="152" t="s">
        <v>2397</v>
      </c>
      <c r="V720" s="142" t="str" cm="1">
        <f t="array" ref="V720">IF(A720&lt;&gt;"",SUM(--(B720:U721 = "X")*$U$3,--(B720:U721 ="A")*$Q$3,--(B720:U721 ="B")*$R$3,--(B720:U721 ="C")*$S$3),"")</f>
        <v/>
      </c>
      <c r="AG720" s="142" t="s">
        <v>2705</v>
      </c>
      <c r="AH720" s="142" t="s">
        <v>2397</v>
      </c>
      <c r="AI720" s="142" t="s">
        <v>2397</v>
      </c>
      <c r="AJ720" s="142" t="s">
        <v>2398</v>
      </c>
      <c r="AK720" s="142" t="s">
        <v>2675</v>
      </c>
      <c r="AL720" s="142" t="s">
        <v>2397</v>
      </c>
      <c r="AM720" s="142" t="s">
        <v>2705</v>
      </c>
      <c r="AN720" s="142" t="s">
        <v>2705</v>
      </c>
      <c r="AO720" s="142" t="s">
        <v>2398</v>
      </c>
      <c r="AP720" s="142" t="s">
        <v>1435</v>
      </c>
      <c r="AQ720" s="142" t="s">
        <v>2398</v>
      </c>
      <c r="AR720" s="142" t="s">
        <v>2398</v>
      </c>
      <c r="AS720" s="142" t="s">
        <v>2675</v>
      </c>
      <c r="AT720" s="142" t="s">
        <v>1435</v>
      </c>
      <c r="AU720" s="142" t="s">
        <v>2705</v>
      </c>
      <c r="AV720" s="142" t="s">
        <v>1435</v>
      </c>
      <c r="AW720" s="142" t="s">
        <v>2398</v>
      </c>
      <c r="AX720" s="142" t="s">
        <v>2398</v>
      </c>
      <c r="AY720" s="142" t="s">
        <v>2705</v>
      </c>
      <c r="AZ720" s="142" t="s">
        <v>2397</v>
      </c>
    </row>
    <row r="721" spans="1:52" s="142" customFormat="1" ht="12.75" x14ac:dyDescent="0.2">
      <c r="A721" s="151" t="s">
        <v>7677</v>
      </c>
      <c r="B721" s="152" t="s">
        <v>2675</v>
      </c>
      <c r="C721" s="152" t="s">
        <v>2705</v>
      </c>
      <c r="D721" s="152" t="s">
        <v>1435</v>
      </c>
      <c r="E721" s="152" t="s">
        <v>2705</v>
      </c>
      <c r="F721" s="152" t="s">
        <v>2705</v>
      </c>
      <c r="G721" s="152" t="s">
        <v>2705</v>
      </c>
      <c r="H721" s="152" t="s">
        <v>2705</v>
      </c>
      <c r="I721" s="152" t="s">
        <v>2675</v>
      </c>
      <c r="J721" s="152" t="s">
        <v>2705</v>
      </c>
      <c r="K721" s="152" t="s">
        <v>2705</v>
      </c>
      <c r="L721" s="152" t="s">
        <v>2705</v>
      </c>
      <c r="M721" s="152" t="s">
        <v>2705</v>
      </c>
      <c r="N721" s="152" t="s">
        <v>2705</v>
      </c>
      <c r="O721" s="152" t="s">
        <v>2705</v>
      </c>
      <c r="P721" s="152" t="s">
        <v>2705</v>
      </c>
      <c r="Q721" s="152" t="s">
        <v>2705</v>
      </c>
      <c r="R721" s="152" t="s">
        <v>2398</v>
      </c>
      <c r="S721" s="152" t="s">
        <v>2675</v>
      </c>
      <c r="T721" s="152" t="s">
        <v>2397</v>
      </c>
      <c r="U721" s="152" t="s">
        <v>2705</v>
      </c>
      <c r="V721" s="142" cm="1">
        <f t="array" ref="V721">IF(A721&lt;&gt;"",SUM(--(B721:U722 = "X")*$U$3,--(B721:U722 ="A")*$Q$3,--(B721:U722 ="B")*$R$3,--(B721:U722 ="C")*$S$3),"")</f>
        <v>21</v>
      </c>
      <c r="AF721" s="142" t="s">
        <v>7677</v>
      </c>
      <c r="AG721" s="142" t="s">
        <v>2675</v>
      </c>
      <c r="AH721" s="142" t="s">
        <v>2705</v>
      </c>
      <c r="AI721" s="142" t="s">
        <v>1435</v>
      </c>
      <c r="AJ721" s="142" t="s">
        <v>2705</v>
      </c>
      <c r="AK721" s="142" t="s">
        <v>2705</v>
      </c>
      <c r="AL721" s="142" t="s">
        <v>2705</v>
      </c>
      <c r="AM721" s="142" t="s">
        <v>2705</v>
      </c>
      <c r="AN721" s="142" t="s">
        <v>2675</v>
      </c>
      <c r="AO721" s="142" t="s">
        <v>2705</v>
      </c>
      <c r="AP721" s="142" t="s">
        <v>2705</v>
      </c>
      <c r="AQ721" s="142" t="s">
        <v>2705</v>
      </c>
      <c r="AR721" s="142" t="s">
        <v>2705</v>
      </c>
      <c r="AS721" s="142" t="s">
        <v>2705</v>
      </c>
      <c r="AT721" s="142" t="s">
        <v>2705</v>
      </c>
      <c r="AU721" s="142" t="s">
        <v>2705</v>
      </c>
      <c r="AV721" s="142" t="s">
        <v>2705</v>
      </c>
      <c r="AW721" s="142" t="s">
        <v>2398</v>
      </c>
      <c r="AX721" s="142" t="s">
        <v>2675</v>
      </c>
      <c r="AY721" s="142" t="s">
        <v>2397</v>
      </c>
      <c r="AZ721" s="142" t="s">
        <v>2705</v>
      </c>
    </row>
    <row r="722" spans="1:52" s="142" customFormat="1" ht="12.75" x14ac:dyDescent="0.2">
      <c r="A722" s="151"/>
      <c r="B722" s="152" t="s">
        <v>2675</v>
      </c>
      <c r="C722" s="152" t="s">
        <v>2675</v>
      </c>
      <c r="D722" s="152" t="s">
        <v>2705</v>
      </c>
      <c r="E722" s="152" t="s">
        <v>2398</v>
      </c>
      <c r="F722" s="152" t="s">
        <v>2705</v>
      </c>
      <c r="G722" s="152" t="s">
        <v>2705</v>
      </c>
      <c r="H722" s="152" t="s">
        <v>2397</v>
      </c>
      <c r="I722" s="152" t="s">
        <v>2398</v>
      </c>
      <c r="J722" s="152" t="s">
        <v>2705</v>
      </c>
      <c r="K722" s="152" t="s">
        <v>2398</v>
      </c>
      <c r="L722" s="152" t="s">
        <v>2705</v>
      </c>
      <c r="M722" s="152" t="s">
        <v>2705</v>
      </c>
      <c r="N722" s="152" t="s">
        <v>2705</v>
      </c>
      <c r="O722" s="152" t="s">
        <v>2398</v>
      </c>
      <c r="P722" s="152" t="s">
        <v>2705</v>
      </c>
      <c r="Q722" s="152" t="s">
        <v>2398</v>
      </c>
      <c r="R722" s="152" t="s">
        <v>2705</v>
      </c>
      <c r="S722" s="152" t="s">
        <v>2705</v>
      </c>
      <c r="T722" s="152" t="s">
        <v>2398</v>
      </c>
      <c r="U722" s="152" t="s">
        <v>2398</v>
      </c>
      <c r="V722" s="142" t="str" cm="1">
        <f t="array" ref="V722">IF(A722&lt;&gt;"",SUM(--(B722:U723 = "X")*$U$3,--(B722:U723 ="A")*$Q$3,--(B722:U723 ="B")*$R$3,--(B722:U723 ="C")*$S$3),"")</f>
        <v/>
      </c>
      <c r="AG722" s="142" t="s">
        <v>2675</v>
      </c>
      <c r="AH722" s="142" t="s">
        <v>2675</v>
      </c>
      <c r="AI722" s="142" t="s">
        <v>2705</v>
      </c>
      <c r="AJ722" s="142" t="s">
        <v>2398</v>
      </c>
      <c r="AK722" s="142" t="s">
        <v>2705</v>
      </c>
      <c r="AL722" s="142" t="s">
        <v>2705</v>
      </c>
      <c r="AM722" s="142" t="s">
        <v>2397</v>
      </c>
      <c r="AN722" s="142" t="s">
        <v>2398</v>
      </c>
      <c r="AO722" s="142" t="s">
        <v>2705</v>
      </c>
      <c r="AP722" s="142" t="s">
        <v>2398</v>
      </c>
      <c r="AQ722" s="142" t="s">
        <v>2705</v>
      </c>
      <c r="AR722" s="142" t="s">
        <v>2705</v>
      </c>
      <c r="AS722" s="142" t="s">
        <v>2705</v>
      </c>
      <c r="AT722" s="142" t="s">
        <v>2398</v>
      </c>
      <c r="AU722" s="142" t="s">
        <v>2705</v>
      </c>
      <c r="AV722" s="142" t="s">
        <v>2398</v>
      </c>
      <c r="AW722" s="142" t="s">
        <v>2705</v>
      </c>
      <c r="AX722" s="142" t="s">
        <v>2705</v>
      </c>
      <c r="AY722" s="142" t="s">
        <v>2398</v>
      </c>
      <c r="AZ722" s="142" t="s">
        <v>2398</v>
      </c>
    </row>
    <row r="723" spans="1:52" s="142" customFormat="1" ht="12.75" x14ac:dyDescent="0.2">
      <c r="A723" s="151" t="s">
        <v>7678</v>
      </c>
      <c r="B723" s="152" t="s">
        <v>2705</v>
      </c>
      <c r="C723" s="152" t="s">
        <v>2705</v>
      </c>
      <c r="D723" s="152" t="s">
        <v>2705</v>
      </c>
      <c r="E723" s="152" t="s">
        <v>2705</v>
      </c>
      <c r="F723" s="152" t="s">
        <v>2705</v>
      </c>
      <c r="G723" s="152" t="s">
        <v>2705</v>
      </c>
      <c r="H723" s="152" t="s">
        <v>2705</v>
      </c>
      <c r="I723" s="152" t="s">
        <v>2397</v>
      </c>
      <c r="J723" s="152" t="s">
        <v>2705</v>
      </c>
      <c r="K723" s="152" t="s">
        <v>1435</v>
      </c>
      <c r="L723" s="152" t="s">
        <v>2705</v>
      </c>
      <c r="M723" s="152" t="s">
        <v>2705</v>
      </c>
      <c r="N723" s="152" t="s">
        <v>2705</v>
      </c>
      <c r="O723" s="152" t="s">
        <v>2705</v>
      </c>
      <c r="P723" s="152" t="s">
        <v>2705</v>
      </c>
      <c r="Q723" s="152" t="s">
        <v>1435</v>
      </c>
      <c r="R723" s="152" t="s">
        <v>2705</v>
      </c>
      <c r="S723" s="152" t="s">
        <v>2398</v>
      </c>
      <c r="T723" s="152" t="s">
        <v>2705</v>
      </c>
      <c r="U723" s="152" t="s">
        <v>2398</v>
      </c>
      <c r="V723" s="142" cm="1">
        <f t="array" ref="V723">IF(A723&lt;&gt;"",SUM(--(B723:U724 = "X")*$U$3,--(B723:U724 ="A")*$Q$3,--(B723:U724 ="B")*$R$3,--(B723:U724 ="C")*$S$3),"")</f>
        <v>26</v>
      </c>
      <c r="AF723" s="142" t="s">
        <v>7678</v>
      </c>
      <c r="AG723" s="142" t="s">
        <v>2705</v>
      </c>
      <c r="AH723" s="142" t="s">
        <v>2705</v>
      </c>
      <c r="AI723" s="142" t="s">
        <v>2705</v>
      </c>
      <c r="AJ723" s="142" t="s">
        <v>2705</v>
      </c>
      <c r="AK723" s="142" t="s">
        <v>2705</v>
      </c>
      <c r="AL723" s="142" t="s">
        <v>2705</v>
      </c>
      <c r="AM723" s="142" t="s">
        <v>2705</v>
      </c>
      <c r="AN723" s="142" t="s">
        <v>2397</v>
      </c>
      <c r="AO723" s="142" t="s">
        <v>2705</v>
      </c>
      <c r="AP723" s="142" t="s">
        <v>1435</v>
      </c>
      <c r="AQ723" s="142" t="s">
        <v>2705</v>
      </c>
      <c r="AR723" s="142" t="s">
        <v>2705</v>
      </c>
      <c r="AS723" s="142" t="s">
        <v>2705</v>
      </c>
      <c r="AT723" s="142" t="s">
        <v>2705</v>
      </c>
      <c r="AU723" s="142" t="s">
        <v>2705</v>
      </c>
      <c r="AV723" s="142" t="s">
        <v>1435</v>
      </c>
      <c r="AW723" s="142" t="s">
        <v>2705</v>
      </c>
      <c r="AX723" s="142" t="s">
        <v>2398</v>
      </c>
      <c r="AY723" s="142" t="s">
        <v>2705</v>
      </c>
      <c r="AZ723" s="142" t="s">
        <v>2398</v>
      </c>
    </row>
    <row r="724" spans="1:52" s="142" customFormat="1" ht="12.75" x14ac:dyDescent="0.2">
      <c r="A724" s="151"/>
      <c r="B724" s="152" t="s">
        <v>2705</v>
      </c>
      <c r="C724" s="152" t="s">
        <v>2398</v>
      </c>
      <c r="D724" s="152" t="s">
        <v>2705</v>
      </c>
      <c r="E724" s="152" t="s">
        <v>2705</v>
      </c>
      <c r="F724" s="152" t="s">
        <v>2398</v>
      </c>
      <c r="G724" s="152" t="s">
        <v>2675</v>
      </c>
      <c r="H724" s="152" t="s">
        <v>2398</v>
      </c>
      <c r="I724" s="152" t="s">
        <v>2705</v>
      </c>
      <c r="J724" s="152" t="s">
        <v>2705</v>
      </c>
      <c r="K724" s="152" t="s">
        <v>2398</v>
      </c>
      <c r="L724" s="152" t="s">
        <v>2705</v>
      </c>
      <c r="M724" s="152" t="s">
        <v>2398</v>
      </c>
      <c r="N724" s="152" t="s">
        <v>2705</v>
      </c>
      <c r="O724" s="152" t="s">
        <v>2705</v>
      </c>
      <c r="P724" s="152" t="s">
        <v>2705</v>
      </c>
      <c r="Q724" s="152" t="s">
        <v>2705</v>
      </c>
      <c r="R724" s="152" t="s">
        <v>2705</v>
      </c>
      <c r="S724" s="152" t="s">
        <v>2705</v>
      </c>
      <c r="T724" s="152" t="s">
        <v>1435</v>
      </c>
      <c r="U724" s="152" t="s">
        <v>2705</v>
      </c>
      <c r="V724" s="142" t="str" cm="1">
        <f t="array" ref="V724">IF(A724&lt;&gt;"",SUM(--(B724:U725 = "X")*$U$3,--(B724:U725 ="A")*$Q$3,--(B724:U725 ="B")*$R$3,--(B724:U725 ="C")*$S$3),"")</f>
        <v/>
      </c>
      <c r="AG724" s="142" t="s">
        <v>2705</v>
      </c>
      <c r="AH724" s="142" t="s">
        <v>2398</v>
      </c>
      <c r="AI724" s="142" t="s">
        <v>2705</v>
      </c>
      <c r="AJ724" s="142" t="s">
        <v>2705</v>
      </c>
      <c r="AK724" s="142" t="s">
        <v>2398</v>
      </c>
      <c r="AL724" s="142" t="s">
        <v>2675</v>
      </c>
      <c r="AM724" s="142" t="s">
        <v>2398</v>
      </c>
      <c r="AN724" s="142" t="s">
        <v>2705</v>
      </c>
      <c r="AO724" s="142" t="s">
        <v>2705</v>
      </c>
      <c r="AP724" s="142" t="s">
        <v>2398</v>
      </c>
      <c r="AQ724" s="142" t="s">
        <v>2705</v>
      </c>
      <c r="AR724" s="142" t="s">
        <v>2398</v>
      </c>
      <c r="AS724" s="142" t="s">
        <v>2705</v>
      </c>
      <c r="AT724" s="142" t="s">
        <v>2705</v>
      </c>
      <c r="AU724" s="142" t="s">
        <v>2705</v>
      </c>
      <c r="AV724" s="142" t="s">
        <v>2705</v>
      </c>
      <c r="AW724" s="142" t="s">
        <v>2705</v>
      </c>
      <c r="AX724" s="142" t="s">
        <v>2705</v>
      </c>
      <c r="AY724" s="142" t="s">
        <v>1435</v>
      </c>
      <c r="AZ724" s="142" t="s">
        <v>2705</v>
      </c>
    </row>
    <row r="725" spans="1:52" s="142" customFormat="1" ht="12.75" x14ac:dyDescent="0.2">
      <c r="A725" s="151" t="s">
        <v>7679</v>
      </c>
      <c r="B725" s="152" t="s">
        <v>2397</v>
      </c>
      <c r="C725" s="152" t="s">
        <v>2398</v>
      </c>
      <c r="D725" s="152" t="s">
        <v>2675</v>
      </c>
      <c r="E725" s="152" t="s">
        <v>2705</v>
      </c>
      <c r="F725" s="152" t="s">
        <v>2705</v>
      </c>
      <c r="G725" s="152" t="s">
        <v>1435</v>
      </c>
      <c r="H725" s="152" t="s">
        <v>2398</v>
      </c>
      <c r="I725" s="152" t="s">
        <v>2705</v>
      </c>
      <c r="J725" s="152" t="s">
        <v>2705</v>
      </c>
      <c r="K725" s="152" t="s">
        <v>2397</v>
      </c>
      <c r="L725" s="152" t="s">
        <v>2675</v>
      </c>
      <c r="M725" s="152" t="s">
        <v>2705</v>
      </c>
      <c r="N725" s="152" t="s">
        <v>1435</v>
      </c>
      <c r="O725" s="152" t="s">
        <v>1435</v>
      </c>
      <c r="P725" s="152" t="s">
        <v>2705</v>
      </c>
      <c r="Q725" s="152" t="s">
        <v>2705</v>
      </c>
      <c r="R725" s="152" t="s">
        <v>2705</v>
      </c>
      <c r="S725" s="152" t="s">
        <v>2705</v>
      </c>
      <c r="T725" s="152" t="s">
        <v>1435</v>
      </c>
      <c r="U725" s="152" t="s">
        <v>2398</v>
      </c>
      <c r="V725" s="142" cm="1">
        <f t="array" ref="V725">IF(A725&lt;&gt;"",SUM(--(B725:U726 = "X")*$U$3,--(B725:U726 ="A")*$Q$3,--(B725:U726 ="B")*$R$3,--(B725:U726 ="C")*$S$3),"")</f>
        <v>21</v>
      </c>
      <c r="AF725" s="142" t="s">
        <v>7679</v>
      </c>
      <c r="AG725" s="142" t="s">
        <v>2397</v>
      </c>
      <c r="AH725" s="142" t="s">
        <v>2398</v>
      </c>
      <c r="AI725" s="142" t="s">
        <v>2675</v>
      </c>
      <c r="AJ725" s="142" t="s">
        <v>2705</v>
      </c>
      <c r="AK725" s="142" t="s">
        <v>2705</v>
      </c>
      <c r="AL725" s="142" t="s">
        <v>1435</v>
      </c>
      <c r="AM725" s="142" t="s">
        <v>2398</v>
      </c>
      <c r="AN725" s="142" t="s">
        <v>2705</v>
      </c>
      <c r="AO725" s="142" t="s">
        <v>2705</v>
      </c>
      <c r="AP725" s="142" t="s">
        <v>2397</v>
      </c>
      <c r="AQ725" s="142" t="s">
        <v>2675</v>
      </c>
      <c r="AR725" s="142" t="s">
        <v>2705</v>
      </c>
      <c r="AS725" s="142" t="s">
        <v>1435</v>
      </c>
      <c r="AT725" s="142" t="s">
        <v>1435</v>
      </c>
      <c r="AU725" s="142" t="s">
        <v>2705</v>
      </c>
      <c r="AV725" s="142" t="s">
        <v>2705</v>
      </c>
      <c r="AW725" s="142" t="s">
        <v>2705</v>
      </c>
      <c r="AX725" s="142" t="s">
        <v>2705</v>
      </c>
      <c r="AY725" s="142" t="s">
        <v>1435</v>
      </c>
      <c r="AZ725" s="142" t="s">
        <v>2398</v>
      </c>
    </row>
    <row r="726" spans="1:52" s="142" customFormat="1" ht="12.75" x14ac:dyDescent="0.2">
      <c r="A726" s="151"/>
      <c r="B726" s="152" t="s">
        <v>2705</v>
      </c>
      <c r="C726" s="152" t="s">
        <v>2705</v>
      </c>
      <c r="D726" s="152" t="s">
        <v>2705</v>
      </c>
      <c r="E726" s="152" t="s">
        <v>2705</v>
      </c>
      <c r="F726" s="152" t="s">
        <v>2705</v>
      </c>
      <c r="G726" s="152" t="s">
        <v>2705</v>
      </c>
      <c r="H726" s="152" t="s">
        <v>2705</v>
      </c>
      <c r="I726" s="152" t="s">
        <v>2705</v>
      </c>
      <c r="J726" s="152" t="s">
        <v>2397</v>
      </c>
      <c r="K726" s="152" t="s">
        <v>2705</v>
      </c>
      <c r="L726" s="152" t="s">
        <v>2705</v>
      </c>
      <c r="M726" s="152" t="s">
        <v>2705</v>
      </c>
      <c r="N726" s="152" t="s">
        <v>2397</v>
      </c>
      <c r="O726" s="152" t="s">
        <v>2705</v>
      </c>
      <c r="P726" s="152" t="s">
        <v>1435</v>
      </c>
      <c r="Q726" s="152" t="s">
        <v>2705</v>
      </c>
      <c r="R726" s="152" t="s">
        <v>1435</v>
      </c>
      <c r="S726" s="152" t="s">
        <v>2705</v>
      </c>
      <c r="T726" s="152" t="s">
        <v>2705</v>
      </c>
      <c r="U726" s="152" t="s">
        <v>2705</v>
      </c>
      <c r="V726" s="142" t="str" cm="1">
        <f t="array" ref="V726">IF(A726&lt;&gt;"",SUM(--(B726:U727 = "X")*$U$3,--(B726:U727 ="A")*$Q$3,--(B726:U727 ="B")*$R$3,--(B726:U727 ="C")*$S$3),"")</f>
        <v/>
      </c>
      <c r="AG726" s="142" t="s">
        <v>2705</v>
      </c>
      <c r="AH726" s="142" t="s">
        <v>2705</v>
      </c>
      <c r="AI726" s="142" t="s">
        <v>2705</v>
      </c>
      <c r="AJ726" s="142" t="s">
        <v>2705</v>
      </c>
      <c r="AK726" s="142" t="s">
        <v>2705</v>
      </c>
      <c r="AL726" s="142" t="s">
        <v>2705</v>
      </c>
      <c r="AM726" s="142" t="s">
        <v>2705</v>
      </c>
      <c r="AN726" s="142" t="s">
        <v>2705</v>
      </c>
      <c r="AO726" s="142" t="s">
        <v>2397</v>
      </c>
      <c r="AP726" s="142" t="s">
        <v>2705</v>
      </c>
      <c r="AQ726" s="142" t="s">
        <v>2705</v>
      </c>
      <c r="AR726" s="142" t="s">
        <v>2705</v>
      </c>
      <c r="AS726" s="142" t="s">
        <v>2397</v>
      </c>
      <c r="AT726" s="142" t="s">
        <v>2705</v>
      </c>
      <c r="AU726" s="142" t="s">
        <v>1435</v>
      </c>
      <c r="AV726" s="142" t="s">
        <v>2705</v>
      </c>
      <c r="AW726" s="142" t="s">
        <v>1435</v>
      </c>
      <c r="AX726" s="142" t="s">
        <v>2705</v>
      </c>
      <c r="AY726" s="142" t="s">
        <v>2705</v>
      </c>
      <c r="AZ726" s="142" t="s">
        <v>2705</v>
      </c>
    </row>
    <row r="727" spans="1:52" s="142" customFormat="1" ht="12.75" x14ac:dyDescent="0.2">
      <c r="A727" s="151" t="s">
        <v>7680</v>
      </c>
      <c r="B727" s="152" t="s">
        <v>2398</v>
      </c>
      <c r="C727" s="152" t="s">
        <v>2705</v>
      </c>
      <c r="D727" s="152" t="s">
        <v>2705</v>
      </c>
      <c r="E727" s="152" t="s">
        <v>1435</v>
      </c>
      <c r="F727" s="152" t="s">
        <v>2705</v>
      </c>
      <c r="G727" s="152" t="s">
        <v>2705</v>
      </c>
      <c r="H727" s="152" t="s">
        <v>2705</v>
      </c>
      <c r="I727" s="152" t="s">
        <v>2398</v>
      </c>
      <c r="J727" s="152" t="s">
        <v>2705</v>
      </c>
      <c r="K727" s="152" t="s">
        <v>2398</v>
      </c>
      <c r="L727" s="152" t="s">
        <v>1435</v>
      </c>
      <c r="M727" s="152" t="s">
        <v>2705</v>
      </c>
      <c r="N727" s="152" t="s">
        <v>2705</v>
      </c>
      <c r="O727" s="152" t="s">
        <v>2398</v>
      </c>
      <c r="P727" s="152" t="s">
        <v>2705</v>
      </c>
      <c r="Q727" s="152" t="s">
        <v>2705</v>
      </c>
      <c r="R727" s="152" t="s">
        <v>2705</v>
      </c>
      <c r="S727" s="152" t="s">
        <v>2705</v>
      </c>
      <c r="T727" s="152" t="s">
        <v>2705</v>
      </c>
      <c r="U727" s="152" t="s">
        <v>2705</v>
      </c>
      <c r="V727" s="142" cm="1">
        <f t="array" ref="V727">IF(A727&lt;&gt;"",SUM(--(B727:U728 = "X")*$U$3,--(B727:U728 ="A")*$Q$3,--(B727:U728 ="B")*$R$3,--(B727:U728 ="C")*$S$3),"")</f>
        <v>28.5</v>
      </c>
      <c r="AF727" s="142" t="s">
        <v>7680</v>
      </c>
      <c r="AG727" s="142" t="s">
        <v>2398</v>
      </c>
      <c r="AH727" s="142" t="s">
        <v>2705</v>
      </c>
      <c r="AI727" s="142" t="s">
        <v>2705</v>
      </c>
      <c r="AJ727" s="142" t="s">
        <v>1435</v>
      </c>
      <c r="AK727" s="142" t="s">
        <v>2705</v>
      </c>
      <c r="AL727" s="142" t="s">
        <v>2705</v>
      </c>
      <c r="AM727" s="142" t="s">
        <v>2705</v>
      </c>
      <c r="AN727" s="142" t="s">
        <v>2398</v>
      </c>
      <c r="AO727" s="142" t="s">
        <v>2705</v>
      </c>
      <c r="AP727" s="142" t="s">
        <v>2398</v>
      </c>
      <c r="AQ727" s="142" t="s">
        <v>1435</v>
      </c>
      <c r="AR727" s="142" t="s">
        <v>2705</v>
      </c>
      <c r="AS727" s="142" t="s">
        <v>2705</v>
      </c>
      <c r="AT727" s="142" t="s">
        <v>2398</v>
      </c>
      <c r="AU727" s="142" t="s">
        <v>2705</v>
      </c>
      <c r="AV727" s="142" t="s">
        <v>2705</v>
      </c>
      <c r="AW727" s="142" t="s">
        <v>2705</v>
      </c>
      <c r="AX727" s="142" t="s">
        <v>2705</v>
      </c>
      <c r="AY727" s="142" t="s">
        <v>2705</v>
      </c>
      <c r="AZ727" s="142" t="s">
        <v>2705</v>
      </c>
    </row>
    <row r="728" spans="1:52" s="142" customFormat="1" ht="12.75" x14ac:dyDescent="0.2">
      <c r="A728" s="151"/>
      <c r="B728" s="152" t="s">
        <v>2705</v>
      </c>
      <c r="C728" s="152" t="s">
        <v>2705</v>
      </c>
      <c r="D728" s="152" t="s">
        <v>2705</v>
      </c>
      <c r="E728" s="152" t="s">
        <v>2705</v>
      </c>
      <c r="F728" s="152" t="s">
        <v>2705</v>
      </c>
      <c r="G728" s="152" t="s">
        <v>2705</v>
      </c>
      <c r="H728" s="152" t="s">
        <v>2705</v>
      </c>
      <c r="I728" s="152" t="s">
        <v>1435</v>
      </c>
      <c r="J728" s="152" t="s">
        <v>2705</v>
      </c>
      <c r="K728" s="152" t="s">
        <v>2705</v>
      </c>
      <c r="L728" s="152" t="s">
        <v>2398</v>
      </c>
      <c r="M728" s="152" t="s">
        <v>2705</v>
      </c>
      <c r="N728" s="152" t="s">
        <v>2705</v>
      </c>
      <c r="O728" s="152" t="s">
        <v>2705</v>
      </c>
      <c r="P728" s="152" t="s">
        <v>2398</v>
      </c>
      <c r="Q728" s="152" t="s">
        <v>2705</v>
      </c>
      <c r="R728" s="152" t="s">
        <v>2705</v>
      </c>
      <c r="S728" s="152" t="s">
        <v>2705</v>
      </c>
      <c r="T728" s="152" t="s">
        <v>2705</v>
      </c>
      <c r="U728" s="152" t="s">
        <v>2398</v>
      </c>
      <c r="V728" s="142" t="str" cm="1">
        <f t="array" ref="V728">IF(A728&lt;&gt;"",SUM(--(B728:U729 = "X")*$U$3,--(B728:U729 ="A")*$Q$3,--(B728:U729 ="B")*$R$3,--(B728:U729 ="C")*$S$3),"")</f>
        <v/>
      </c>
      <c r="AG728" s="142" t="s">
        <v>2705</v>
      </c>
      <c r="AH728" s="142" t="s">
        <v>2705</v>
      </c>
      <c r="AI728" s="142" t="s">
        <v>2705</v>
      </c>
      <c r="AJ728" s="142" t="s">
        <v>2705</v>
      </c>
      <c r="AK728" s="142" t="s">
        <v>2705</v>
      </c>
      <c r="AL728" s="142" t="s">
        <v>2705</v>
      </c>
      <c r="AM728" s="142" t="s">
        <v>2705</v>
      </c>
      <c r="AN728" s="142" t="s">
        <v>1435</v>
      </c>
      <c r="AO728" s="142" t="s">
        <v>2705</v>
      </c>
      <c r="AP728" s="142" t="s">
        <v>2705</v>
      </c>
      <c r="AQ728" s="142" t="s">
        <v>2398</v>
      </c>
      <c r="AR728" s="142" t="s">
        <v>2705</v>
      </c>
      <c r="AS728" s="142" t="s">
        <v>2705</v>
      </c>
      <c r="AT728" s="142" t="s">
        <v>2705</v>
      </c>
      <c r="AU728" s="142" t="s">
        <v>2398</v>
      </c>
      <c r="AV728" s="142" t="s">
        <v>2705</v>
      </c>
      <c r="AW728" s="142" t="s">
        <v>2705</v>
      </c>
      <c r="AX728" s="142" t="s">
        <v>2705</v>
      </c>
      <c r="AY728" s="142" t="s">
        <v>2705</v>
      </c>
      <c r="AZ728" s="142" t="s">
        <v>2398</v>
      </c>
    </row>
    <row r="729" spans="1:52" s="142" customFormat="1" ht="12.75" x14ac:dyDescent="0.2">
      <c r="A729" s="151" t="s">
        <v>7681</v>
      </c>
      <c r="B729" s="152" t="s">
        <v>2398</v>
      </c>
      <c r="C729" s="152" t="s">
        <v>2705</v>
      </c>
      <c r="D729" s="152" t="s">
        <v>2398</v>
      </c>
      <c r="E729" s="152" t="s">
        <v>2398</v>
      </c>
      <c r="F729" s="152" t="s">
        <v>2398</v>
      </c>
      <c r="G729" s="152" t="s">
        <v>2705</v>
      </c>
      <c r="H729" s="152" t="s">
        <v>2705</v>
      </c>
      <c r="I729" s="152" t="s">
        <v>2675</v>
      </c>
      <c r="J729" s="152" t="s">
        <v>2675</v>
      </c>
      <c r="K729" s="152" t="s">
        <v>2398</v>
      </c>
      <c r="L729" s="152" t="s">
        <v>1435</v>
      </c>
      <c r="M729" s="152" t="s">
        <v>2398</v>
      </c>
      <c r="N729" s="152" t="s">
        <v>2705</v>
      </c>
      <c r="O729" s="152" t="s">
        <v>2705</v>
      </c>
      <c r="P729" s="152" t="s">
        <v>2705</v>
      </c>
      <c r="Q729" s="152" t="s">
        <v>2705</v>
      </c>
      <c r="R729" s="152" t="s">
        <v>2705</v>
      </c>
      <c r="S729" s="152" t="s">
        <v>2397</v>
      </c>
      <c r="T729" s="152" t="s">
        <v>2705</v>
      </c>
      <c r="U729" s="152" t="s">
        <v>2705</v>
      </c>
      <c r="V729" s="142" cm="1">
        <f t="array" ref="V729">IF(A729&lt;&gt;"",SUM(--(B729:U730 = "X")*$U$3,--(B729:U730 ="A")*$Q$3,--(B729:U730 ="B")*$R$3,--(B729:U730 ="C")*$S$3),"")</f>
        <v>16.5</v>
      </c>
      <c r="AF729" s="142" t="s">
        <v>7681</v>
      </c>
      <c r="AG729" s="142" t="s">
        <v>2398</v>
      </c>
      <c r="AH729" s="142" t="s">
        <v>2705</v>
      </c>
      <c r="AI729" s="142" t="s">
        <v>2398</v>
      </c>
      <c r="AJ729" s="142" t="s">
        <v>2398</v>
      </c>
      <c r="AK729" s="142" t="s">
        <v>2398</v>
      </c>
      <c r="AL729" s="142" t="s">
        <v>2705</v>
      </c>
      <c r="AM729" s="142" t="s">
        <v>2705</v>
      </c>
      <c r="AN729" s="142" t="s">
        <v>2675</v>
      </c>
      <c r="AO729" s="142" t="s">
        <v>2675</v>
      </c>
      <c r="AP729" s="142" t="s">
        <v>2398</v>
      </c>
      <c r="AQ729" s="142" t="s">
        <v>1435</v>
      </c>
      <c r="AR729" s="142" t="s">
        <v>2398</v>
      </c>
      <c r="AS729" s="142" t="s">
        <v>2705</v>
      </c>
      <c r="AT729" s="142" t="s">
        <v>2705</v>
      </c>
      <c r="AU729" s="142" t="s">
        <v>2705</v>
      </c>
      <c r="AV729" s="142" t="s">
        <v>2705</v>
      </c>
      <c r="AW729" s="142" t="s">
        <v>2705</v>
      </c>
      <c r="AX729" s="142" t="s">
        <v>2397</v>
      </c>
      <c r="AY729" s="142" t="s">
        <v>2705</v>
      </c>
      <c r="AZ729" s="142" t="s">
        <v>2705</v>
      </c>
    </row>
    <row r="730" spans="1:52" s="142" customFormat="1" ht="12.75" x14ac:dyDescent="0.2">
      <c r="A730" s="151"/>
      <c r="B730" s="152" t="s">
        <v>2397</v>
      </c>
      <c r="C730" s="152" t="s">
        <v>2398</v>
      </c>
      <c r="D730" s="152" t="s">
        <v>2705</v>
      </c>
      <c r="E730" s="152" t="s">
        <v>2705</v>
      </c>
      <c r="F730" s="152" t="s">
        <v>2705</v>
      </c>
      <c r="G730" s="152" t="s">
        <v>2705</v>
      </c>
      <c r="H730" s="152" t="s">
        <v>2705</v>
      </c>
      <c r="I730" s="152" t="s">
        <v>2398</v>
      </c>
      <c r="J730" s="152" t="s">
        <v>2398</v>
      </c>
      <c r="K730" s="152" t="s">
        <v>2705</v>
      </c>
      <c r="L730" s="152" t="s">
        <v>2398</v>
      </c>
      <c r="M730" s="152" t="s">
        <v>2398</v>
      </c>
      <c r="N730" s="152" t="s">
        <v>2705</v>
      </c>
      <c r="O730" s="152" t="s">
        <v>2398</v>
      </c>
      <c r="P730" s="152" t="s">
        <v>2675</v>
      </c>
      <c r="Q730" s="152" t="s">
        <v>2705</v>
      </c>
      <c r="R730" s="152" t="s">
        <v>2705</v>
      </c>
      <c r="S730" s="152" t="s">
        <v>2398</v>
      </c>
      <c r="T730" s="152" t="s">
        <v>2398</v>
      </c>
      <c r="U730" s="152" t="s">
        <v>2675</v>
      </c>
      <c r="V730" s="142" t="str" cm="1">
        <f t="array" ref="V730">IF(A730&lt;&gt;"",SUM(--(B730:U731 = "X")*$U$3,--(B730:U731 ="A")*$Q$3,--(B730:U731 ="B")*$R$3,--(B730:U731 ="C")*$S$3),"")</f>
        <v/>
      </c>
      <c r="AG730" s="142" t="s">
        <v>2397</v>
      </c>
      <c r="AH730" s="142" t="s">
        <v>2398</v>
      </c>
      <c r="AI730" s="142" t="s">
        <v>2705</v>
      </c>
      <c r="AJ730" s="142" t="s">
        <v>2705</v>
      </c>
      <c r="AK730" s="142" t="s">
        <v>2705</v>
      </c>
      <c r="AL730" s="142" t="s">
        <v>2705</v>
      </c>
      <c r="AM730" s="142" t="s">
        <v>2705</v>
      </c>
      <c r="AN730" s="142" t="s">
        <v>2398</v>
      </c>
      <c r="AO730" s="142" t="s">
        <v>2398</v>
      </c>
      <c r="AP730" s="142" t="s">
        <v>2705</v>
      </c>
      <c r="AQ730" s="142" t="s">
        <v>2398</v>
      </c>
      <c r="AR730" s="142" t="s">
        <v>2398</v>
      </c>
      <c r="AS730" s="142" t="s">
        <v>2705</v>
      </c>
      <c r="AT730" s="142" t="s">
        <v>2398</v>
      </c>
      <c r="AU730" s="142" t="s">
        <v>2675</v>
      </c>
      <c r="AV730" s="142" t="s">
        <v>2705</v>
      </c>
      <c r="AW730" s="142" t="s">
        <v>2705</v>
      </c>
      <c r="AX730" s="142" t="s">
        <v>2398</v>
      </c>
      <c r="AY730" s="142" t="s">
        <v>2398</v>
      </c>
      <c r="AZ730" s="142" t="s">
        <v>2675</v>
      </c>
    </row>
    <row r="731" spans="1:52" s="142" customFormat="1" ht="12.75" x14ac:dyDescent="0.2">
      <c r="A731" s="151" t="s">
        <v>7682</v>
      </c>
      <c r="B731" s="152" t="s">
        <v>2398</v>
      </c>
      <c r="C731" s="152" t="s">
        <v>2705</v>
      </c>
      <c r="D731" s="152" t="s">
        <v>2705</v>
      </c>
      <c r="E731" s="152" t="s">
        <v>2397</v>
      </c>
      <c r="F731" s="152" t="s">
        <v>2705</v>
      </c>
      <c r="G731" s="152" t="s">
        <v>2705</v>
      </c>
      <c r="H731" s="152" t="s">
        <v>2398</v>
      </c>
      <c r="I731" s="152" t="s">
        <v>2398</v>
      </c>
      <c r="J731" s="152" t="s">
        <v>2705</v>
      </c>
      <c r="K731" s="152" t="s">
        <v>2705</v>
      </c>
      <c r="L731" s="152" t="s">
        <v>2705</v>
      </c>
      <c r="M731" s="152" t="s">
        <v>2705</v>
      </c>
      <c r="N731" s="152" t="s">
        <v>2705</v>
      </c>
      <c r="O731" s="152" t="s">
        <v>2398</v>
      </c>
      <c r="P731" s="152" t="s">
        <v>2675</v>
      </c>
      <c r="Q731" s="152" t="s">
        <v>2398</v>
      </c>
      <c r="R731" s="152" t="s">
        <v>2398</v>
      </c>
      <c r="S731" s="152" t="s">
        <v>2705</v>
      </c>
      <c r="T731" s="152" t="s">
        <v>2398</v>
      </c>
      <c r="U731" s="152" t="s">
        <v>2705</v>
      </c>
      <c r="V731" s="142" cm="1">
        <f t="array" ref="V731">IF(A731&lt;&gt;"",SUM(--(B731:U732 = "X")*$U$3,--(B731:U732 ="A")*$Q$3,--(B731:U732 ="B")*$R$3,--(B731:U732 ="C")*$S$3),"")</f>
        <v>26.5</v>
      </c>
      <c r="AF731" s="142" t="s">
        <v>7682</v>
      </c>
      <c r="AG731" s="142" t="s">
        <v>2398</v>
      </c>
      <c r="AH731" s="142" t="s">
        <v>2705</v>
      </c>
      <c r="AI731" s="142" t="s">
        <v>2705</v>
      </c>
      <c r="AJ731" s="142" t="s">
        <v>2397</v>
      </c>
      <c r="AK731" s="142" t="s">
        <v>2705</v>
      </c>
      <c r="AL731" s="142" t="s">
        <v>2705</v>
      </c>
      <c r="AM731" s="142" t="s">
        <v>2398</v>
      </c>
      <c r="AN731" s="142" t="s">
        <v>2398</v>
      </c>
      <c r="AO731" s="142" t="s">
        <v>2705</v>
      </c>
      <c r="AP731" s="142" t="s">
        <v>2705</v>
      </c>
      <c r="AQ731" s="142" t="s">
        <v>2705</v>
      </c>
      <c r="AR731" s="142" t="s">
        <v>2705</v>
      </c>
      <c r="AS731" s="142" t="s">
        <v>2705</v>
      </c>
      <c r="AT731" s="142" t="s">
        <v>2398</v>
      </c>
      <c r="AU731" s="142" t="s">
        <v>2675</v>
      </c>
      <c r="AV731" s="142" t="s">
        <v>2398</v>
      </c>
      <c r="AW731" s="142" t="s">
        <v>2398</v>
      </c>
      <c r="AX731" s="142" t="s">
        <v>2705</v>
      </c>
      <c r="AY731" s="142" t="s">
        <v>2398</v>
      </c>
      <c r="AZ731" s="142" t="s">
        <v>2705</v>
      </c>
    </row>
    <row r="732" spans="1:52" s="142" customFormat="1" ht="12.75" x14ac:dyDescent="0.2">
      <c r="A732" s="151"/>
      <c r="B732" s="152" t="s">
        <v>2398</v>
      </c>
      <c r="C732" s="152" t="s">
        <v>2705</v>
      </c>
      <c r="D732" s="152" t="s">
        <v>2705</v>
      </c>
      <c r="E732" s="152" t="s">
        <v>2705</v>
      </c>
      <c r="F732" s="152" t="s">
        <v>2705</v>
      </c>
      <c r="G732" s="152" t="s">
        <v>2705</v>
      </c>
      <c r="H732" s="152" t="s">
        <v>2705</v>
      </c>
      <c r="I732" s="152" t="s">
        <v>2705</v>
      </c>
      <c r="J732" s="152" t="s">
        <v>2705</v>
      </c>
      <c r="K732" s="152" t="s">
        <v>2398</v>
      </c>
      <c r="L732" s="152" t="s">
        <v>2398</v>
      </c>
      <c r="M732" s="152" t="s">
        <v>2705</v>
      </c>
      <c r="N732" s="152" t="s">
        <v>2705</v>
      </c>
      <c r="O732" s="152" t="s">
        <v>2705</v>
      </c>
      <c r="P732" s="152" t="s">
        <v>2705</v>
      </c>
      <c r="Q732" s="152" t="s">
        <v>2705</v>
      </c>
      <c r="R732" s="152" t="s">
        <v>2705</v>
      </c>
      <c r="S732" s="152" t="s">
        <v>2398</v>
      </c>
      <c r="T732" s="152" t="s">
        <v>2705</v>
      </c>
      <c r="U732" s="152" t="s">
        <v>2705</v>
      </c>
      <c r="V732" s="142" t="str" cm="1">
        <f t="array" ref="V732">IF(A732&lt;&gt;"",SUM(--(B732:U733 = "X")*$U$3,--(B732:U733 ="A")*$Q$3,--(B732:U733 ="B")*$R$3,--(B732:U733 ="C")*$S$3),"")</f>
        <v/>
      </c>
      <c r="AG732" s="142" t="s">
        <v>2398</v>
      </c>
      <c r="AH732" s="142" t="s">
        <v>2705</v>
      </c>
      <c r="AI732" s="142" t="s">
        <v>2705</v>
      </c>
      <c r="AJ732" s="142" t="s">
        <v>2705</v>
      </c>
      <c r="AK732" s="142" t="s">
        <v>2705</v>
      </c>
      <c r="AL732" s="142" t="s">
        <v>2705</v>
      </c>
      <c r="AM732" s="142" t="s">
        <v>2705</v>
      </c>
      <c r="AN732" s="142" t="s">
        <v>2705</v>
      </c>
      <c r="AO732" s="142" t="s">
        <v>2705</v>
      </c>
      <c r="AP732" s="142" t="s">
        <v>2398</v>
      </c>
      <c r="AQ732" s="142" t="s">
        <v>2398</v>
      </c>
      <c r="AR732" s="142" t="s">
        <v>2705</v>
      </c>
      <c r="AS732" s="142" t="s">
        <v>2705</v>
      </c>
      <c r="AT732" s="142" t="s">
        <v>2705</v>
      </c>
      <c r="AU732" s="142" t="s">
        <v>2705</v>
      </c>
      <c r="AV732" s="142" t="s">
        <v>2705</v>
      </c>
      <c r="AW732" s="142" t="s">
        <v>2705</v>
      </c>
      <c r="AX732" s="142" t="s">
        <v>2398</v>
      </c>
      <c r="AY732" s="142" t="s">
        <v>2705</v>
      </c>
      <c r="AZ732" s="142" t="s">
        <v>2705</v>
      </c>
    </row>
    <row r="733" spans="1:52" s="142" customFormat="1" ht="12.75" x14ac:dyDescent="0.2">
      <c r="A733" s="151" t="s">
        <v>7683</v>
      </c>
      <c r="B733" s="152" t="s">
        <v>2705</v>
      </c>
      <c r="C733" s="152" t="s">
        <v>2398</v>
      </c>
      <c r="D733" s="152" t="s">
        <v>2705</v>
      </c>
      <c r="E733" s="152" t="s">
        <v>1435</v>
      </c>
      <c r="F733" s="152" t="s">
        <v>1435</v>
      </c>
      <c r="G733" s="152" t="s">
        <v>1435</v>
      </c>
      <c r="H733" s="152" t="s">
        <v>1435</v>
      </c>
      <c r="I733" s="152" t="s">
        <v>2675</v>
      </c>
      <c r="J733" s="152" t="s">
        <v>2705</v>
      </c>
      <c r="K733" s="152" t="s">
        <v>2398</v>
      </c>
      <c r="L733" s="152" t="s">
        <v>2397</v>
      </c>
      <c r="M733" s="152" t="s">
        <v>2705</v>
      </c>
      <c r="N733" s="152" t="s">
        <v>2398</v>
      </c>
      <c r="O733" s="152" t="s">
        <v>2398</v>
      </c>
      <c r="P733" s="152" t="s">
        <v>2675</v>
      </c>
      <c r="Q733" s="152" t="s">
        <v>2398</v>
      </c>
      <c r="R733" s="152" t="s">
        <v>2398</v>
      </c>
      <c r="S733" s="152" t="s">
        <v>2705</v>
      </c>
      <c r="T733" s="152" t="s">
        <v>2705</v>
      </c>
      <c r="U733" s="152" t="s">
        <v>2675</v>
      </c>
      <c r="V733" s="142" cm="1">
        <f t="array" ref="V733">IF(A733&lt;&gt;"",SUM(--(B733:U734 = "X")*$U$3,--(B733:U734 ="A")*$Q$3,--(B733:U734 ="B")*$R$3,--(B733:U734 ="C")*$S$3),"")</f>
        <v>7.5</v>
      </c>
      <c r="AF733" s="142" t="s">
        <v>7683</v>
      </c>
      <c r="AG733" s="142" t="s">
        <v>2705</v>
      </c>
      <c r="AH733" s="142" t="s">
        <v>2398</v>
      </c>
      <c r="AI733" s="142" t="s">
        <v>2705</v>
      </c>
      <c r="AJ733" s="142" t="s">
        <v>1435</v>
      </c>
      <c r="AK733" s="142" t="s">
        <v>1435</v>
      </c>
      <c r="AL733" s="142" t="s">
        <v>1435</v>
      </c>
      <c r="AM733" s="142" t="s">
        <v>1435</v>
      </c>
      <c r="AN733" s="142" t="s">
        <v>2675</v>
      </c>
      <c r="AO733" s="142" t="s">
        <v>2705</v>
      </c>
      <c r="AP733" s="142" t="s">
        <v>2398</v>
      </c>
      <c r="AQ733" s="142" t="s">
        <v>2397</v>
      </c>
      <c r="AR733" s="142" t="s">
        <v>2705</v>
      </c>
      <c r="AS733" s="142" t="s">
        <v>2398</v>
      </c>
      <c r="AT733" s="142" t="s">
        <v>2398</v>
      </c>
      <c r="AU733" s="142" t="s">
        <v>2675</v>
      </c>
      <c r="AV733" s="142" t="s">
        <v>2398</v>
      </c>
      <c r="AW733" s="142" t="s">
        <v>2398</v>
      </c>
      <c r="AX733" s="142" t="s">
        <v>2705</v>
      </c>
      <c r="AY733" s="142" t="s">
        <v>2705</v>
      </c>
      <c r="AZ733" s="142" t="s">
        <v>2675</v>
      </c>
    </row>
    <row r="734" spans="1:52" s="142" customFormat="1" ht="12.75" x14ac:dyDescent="0.2">
      <c r="A734" s="151"/>
      <c r="B734" s="152" t="s">
        <v>2397</v>
      </c>
      <c r="C734" s="152" t="s">
        <v>1435</v>
      </c>
      <c r="D734" s="152" t="s">
        <v>2705</v>
      </c>
      <c r="E734" s="152" t="s">
        <v>2398</v>
      </c>
      <c r="F734" s="152" t="s">
        <v>2397</v>
      </c>
      <c r="G734" s="152" t="s">
        <v>1435</v>
      </c>
      <c r="H734" s="152" t="s">
        <v>2675</v>
      </c>
      <c r="I734" s="152" t="s">
        <v>2397</v>
      </c>
      <c r="J734" s="152" t="s">
        <v>2705</v>
      </c>
      <c r="K734" s="152" t="s">
        <v>2705</v>
      </c>
      <c r="L734" s="152" t="s">
        <v>1435</v>
      </c>
      <c r="M734" s="152" t="s">
        <v>2705</v>
      </c>
      <c r="N734" s="152" t="s">
        <v>2398</v>
      </c>
      <c r="O734" s="152" t="s">
        <v>2398</v>
      </c>
      <c r="P734" s="152" t="s">
        <v>2398</v>
      </c>
      <c r="Q734" s="152" t="s">
        <v>2705</v>
      </c>
      <c r="R734" s="152" t="s">
        <v>2705</v>
      </c>
      <c r="S734" s="152" t="s">
        <v>2705</v>
      </c>
      <c r="T734" s="152" t="s">
        <v>2397</v>
      </c>
      <c r="U734" s="152" t="s">
        <v>2398</v>
      </c>
      <c r="V734" s="142" t="str" cm="1">
        <f t="array" ref="V734">IF(A734&lt;&gt;"",SUM(--(B734:U735 = "X")*$U$3,--(B734:U735 ="A")*$Q$3,--(B734:U735 ="B")*$R$3,--(B734:U735 ="C")*$S$3),"")</f>
        <v/>
      </c>
      <c r="AG734" s="142" t="s">
        <v>2397</v>
      </c>
      <c r="AH734" s="142" t="s">
        <v>1435</v>
      </c>
      <c r="AI734" s="142" t="s">
        <v>2705</v>
      </c>
      <c r="AJ734" s="142" t="s">
        <v>2398</v>
      </c>
      <c r="AK734" s="142" t="s">
        <v>2397</v>
      </c>
      <c r="AL734" s="142" t="s">
        <v>1435</v>
      </c>
      <c r="AM734" s="142" t="s">
        <v>2675</v>
      </c>
      <c r="AN734" s="142" t="s">
        <v>2397</v>
      </c>
      <c r="AO734" s="142" t="s">
        <v>2705</v>
      </c>
      <c r="AP734" s="142" t="s">
        <v>2705</v>
      </c>
      <c r="AQ734" s="142" t="s">
        <v>1435</v>
      </c>
      <c r="AR734" s="142" t="s">
        <v>2705</v>
      </c>
      <c r="AS734" s="142" t="s">
        <v>2398</v>
      </c>
      <c r="AT734" s="142" t="s">
        <v>2398</v>
      </c>
      <c r="AU734" s="142" t="s">
        <v>2398</v>
      </c>
      <c r="AV734" s="142" t="s">
        <v>2705</v>
      </c>
      <c r="AW734" s="142" t="s">
        <v>2705</v>
      </c>
      <c r="AX734" s="142" t="s">
        <v>2705</v>
      </c>
      <c r="AY734" s="142" t="s">
        <v>2397</v>
      </c>
      <c r="AZ734" s="142" t="s">
        <v>2398</v>
      </c>
    </row>
    <row r="735" spans="1:52" s="142" customFormat="1" ht="12.75" x14ac:dyDescent="0.2">
      <c r="A735" s="151" t="s">
        <v>7684</v>
      </c>
      <c r="B735" s="152" t="s">
        <v>2675</v>
      </c>
      <c r="C735" s="152" t="s">
        <v>2675</v>
      </c>
      <c r="D735" s="152" t="s">
        <v>1435</v>
      </c>
      <c r="E735" s="152" t="s">
        <v>2398</v>
      </c>
      <c r="F735" s="152" t="s">
        <v>2397</v>
      </c>
      <c r="G735" s="152" t="s">
        <v>2398</v>
      </c>
      <c r="H735" s="152" t="s">
        <v>2705</v>
      </c>
      <c r="I735" s="152" t="s">
        <v>2675</v>
      </c>
      <c r="J735" s="152" t="s">
        <v>2705</v>
      </c>
      <c r="K735" s="152" t="s">
        <v>2397</v>
      </c>
      <c r="L735" s="152" t="s">
        <v>1435</v>
      </c>
      <c r="M735" s="152" t="s">
        <v>2705</v>
      </c>
      <c r="N735" s="152" t="s">
        <v>2397</v>
      </c>
      <c r="O735" s="152" t="s">
        <v>2398</v>
      </c>
      <c r="P735" s="152" t="s">
        <v>1435</v>
      </c>
      <c r="Q735" s="152" t="s">
        <v>2397</v>
      </c>
      <c r="R735" s="152" t="s">
        <v>2705</v>
      </c>
      <c r="S735" s="152" t="s">
        <v>2705</v>
      </c>
      <c r="T735" s="152" t="s">
        <v>2397</v>
      </c>
      <c r="U735" s="152" t="s">
        <v>2675</v>
      </c>
      <c r="V735" s="142" cm="1">
        <f t="array" ref="V735">IF(A735&lt;&gt;"",SUM(--(B735:U736 = "X")*$U$3,--(B735:U736 ="A")*$Q$3,--(B735:U736 ="B")*$R$3,--(B735:U736 ="C")*$S$3),"")</f>
        <v>4</v>
      </c>
      <c r="AF735" s="142" t="s">
        <v>7684</v>
      </c>
      <c r="AG735" s="142" t="s">
        <v>2675</v>
      </c>
      <c r="AH735" s="142" t="s">
        <v>2675</v>
      </c>
      <c r="AI735" s="142" t="s">
        <v>1435</v>
      </c>
      <c r="AJ735" s="142" t="s">
        <v>2398</v>
      </c>
      <c r="AK735" s="142" t="s">
        <v>2397</v>
      </c>
      <c r="AL735" s="142" t="s">
        <v>2398</v>
      </c>
      <c r="AM735" s="142" t="s">
        <v>2705</v>
      </c>
      <c r="AN735" s="142" t="s">
        <v>2675</v>
      </c>
      <c r="AO735" s="142" t="s">
        <v>2705</v>
      </c>
      <c r="AP735" s="142" t="s">
        <v>2397</v>
      </c>
      <c r="AQ735" s="142" t="s">
        <v>1435</v>
      </c>
      <c r="AR735" s="142" t="s">
        <v>2705</v>
      </c>
      <c r="AS735" s="142" t="s">
        <v>2397</v>
      </c>
      <c r="AT735" s="142" t="s">
        <v>2398</v>
      </c>
      <c r="AU735" s="142" t="s">
        <v>1435</v>
      </c>
      <c r="AV735" s="142" t="s">
        <v>2397</v>
      </c>
      <c r="AW735" s="142" t="s">
        <v>2705</v>
      </c>
      <c r="AX735" s="142" t="s">
        <v>2705</v>
      </c>
      <c r="AY735" s="142" t="s">
        <v>2397</v>
      </c>
      <c r="AZ735" s="142" t="s">
        <v>2675</v>
      </c>
    </row>
    <row r="736" spans="1:52" s="142" customFormat="1" ht="12.75" x14ac:dyDescent="0.2">
      <c r="A736" s="151"/>
      <c r="B736" s="152" t="s">
        <v>2398</v>
      </c>
      <c r="C736" s="152" t="s">
        <v>2398</v>
      </c>
      <c r="D736" s="152" t="s">
        <v>2398</v>
      </c>
      <c r="E736" s="152" t="s">
        <v>2398</v>
      </c>
      <c r="F736" s="152" t="s">
        <v>2675</v>
      </c>
      <c r="G736" s="152" t="s">
        <v>2398</v>
      </c>
      <c r="H736" s="152" t="s">
        <v>2397</v>
      </c>
      <c r="I736" s="152" t="s">
        <v>2705</v>
      </c>
      <c r="J736" s="152" t="s">
        <v>2705</v>
      </c>
      <c r="K736" s="152" t="s">
        <v>2398</v>
      </c>
      <c r="L736" s="152" t="s">
        <v>1435</v>
      </c>
      <c r="M736" s="152" t="s">
        <v>2398</v>
      </c>
      <c r="N736" s="152" t="s">
        <v>2705</v>
      </c>
      <c r="O736" s="152" t="s">
        <v>2675</v>
      </c>
      <c r="P736" s="152" t="s">
        <v>2398</v>
      </c>
      <c r="Q736" s="152" t="s">
        <v>2398</v>
      </c>
      <c r="R736" s="152" t="s">
        <v>2398</v>
      </c>
      <c r="S736" s="152" t="s">
        <v>2397</v>
      </c>
      <c r="T736" s="152" t="s">
        <v>2705</v>
      </c>
      <c r="U736" s="152" t="s">
        <v>2398</v>
      </c>
      <c r="V736" s="142" t="str" cm="1">
        <f t="array" ref="V736">IF(A736&lt;&gt;"",SUM(--(B736:U737 = "X")*$U$3,--(B736:U737 ="A")*$Q$3,--(B736:U737 ="B")*$R$3,--(B736:U737 ="C")*$S$3),"")</f>
        <v/>
      </c>
      <c r="AG736" s="142" t="s">
        <v>2398</v>
      </c>
      <c r="AH736" s="142" t="s">
        <v>2398</v>
      </c>
      <c r="AI736" s="142" t="s">
        <v>2398</v>
      </c>
      <c r="AJ736" s="142" t="s">
        <v>2398</v>
      </c>
      <c r="AK736" s="142" t="s">
        <v>2675</v>
      </c>
      <c r="AL736" s="142" t="s">
        <v>2398</v>
      </c>
      <c r="AM736" s="142" t="s">
        <v>2397</v>
      </c>
      <c r="AN736" s="142" t="s">
        <v>2705</v>
      </c>
      <c r="AO736" s="142" t="s">
        <v>2705</v>
      </c>
      <c r="AP736" s="142" t="s">
        <v>2398</v>
      </c>
      <c r="AQ736" s="142" t="s">
        <v>1435</v>
      </c>
      <c r="AR736" s="142" t="s">
        <v>2398</v>
      </c>
      <c r="AS736" s="142" t="s">
        <v>2705</v>
      </c>
      <c r="AT736" s="142" t="s">
        <v>2675</v>
      </c>
      <c r="AU736" s="142" t="s">
        <v>2398</v>
      </c>
      <c r="AV736" s="142" t="s">
        <v>2398</v>
      </c>
      <c r="AW736" s="142" t="s">
        <v>2398</v>
      </c>
      <c r="AX736" s="142" t="s">
        <v>2397</v>
      </c>
      <c r="AY736" s="142" t="s">
        <v>2705</v>
      </c>
      <c r="AZ736" s="142" t="s">
        <v>2398</v>
      </c>
    </row>
    <row r="737" spans="1:52" s="142" customFormat="1" ht="12.75" x14ac:dyDescent="0.2">
      <c r="A737" s="151" t="s">
        <v>7685</v>
      </c>
      <c r="B737" s="152" t="s">
        <v>2705</v>
      </c>
      <c r="C737" s="152" t="s">
        <v>2397</v>
      </c>
      <c r="D737" s="152" t="s">
        <v>2675</v>
      </c>
      <c r="E737" s="152" t="s">
        <v>2705</v>
      </c>
      <c r="F737" s="152" t="s">
        <v>2397</v>
      </c>
      <c r="G737" s="152" t="s">
        <v>2705</v>
      </c>
      <c r="H737" s="152" t="s">
        <v>2398</v>
      </c>
      <c r="I737" s="152" t="s">
        <v>2705</v>
      </c>
      <c r="J737" s="152" t="s">
        <v>2675</v>
      </c>
      <c r="K737" s="152" t="s">
        <v>1435</v>
      </c>
      <c r="L737" s="152" t="s">
        <v>2705</v>
      </c>
      <c r="M737" s="152" t="s">
        <v>2397</v>
      </c>
      <c r="N737" s="152" t="s">
        <v>2705</v>
      </c>
      <c r="O737" s="152" t="s">
        <v>2398</v>
      </c>
      <c r="P737" s="152" t="s">
        <v>2397</v>
      </c>
      <c r="Q737" s="152" t="s">
        <v>2705</v>
      </c>
      <c r="R737" s="152" t="s">
        <v>2397</v>
      </c>
      <c r="S737" s="152" t="s">
        <v>2675</v>
      </c>
      <c r="T737" s="152" t="s">
        <v>2397</v>
      </c>
      <c r="U737" s="152" t="s">
        <v>2705</v>
      </c>
      <c r="V737" s="142" cm="1">
        <f t="array" ref="V737">IF(A737&lt;&gt;"",SUM(--(B737:U738 = "X")*$U$3,--(B737:U738 ="A")*$Q$3,--(B737:U738 ="B")*$R$3,--(B737:U738 ="C")*$S$3),"")</f>
        <v>13.5</v>
      </c>
      <c r="AF737" s="142" t="s">
        <v>7685</v>
      </c>
      <c r="AG737" s="142" t="s">
        <v>2705</v>
      </c>
      <c r="AH737" s="142" t="s">
        <v>2397</v>
      </c>
      <c r="AI737" s="142" t="s">
        <v>2675</v>
      </c>
      <c r="AJ737" s="142" t="s">
        <v>2705</v>
      </c>
      <c r="AK737" s="142" t="s">
        <v>2397</v>
      </c>
      <c r="AL737" s="142" t="s">
        <v>2705</v>
      </c>
      <c r="AM737" s="142" t="s">
        <v>2398</v>
      </c>
      <c r="AN737" s="142" t="s">
        <v>2705</v>
      </c>
      <c r="AO737" s="142" t="s">
        <v>2675</v>
      </c>
      <c r="AP737" s="142" t="s">
        <v>1435</v>
      </c>
      <c r="AQ737" s="142" t="s">
        <v>2705</v>
      </c>
      <c r="AR737" s="142" t="s">
        <v>2397</v>
      </c>
      <c r="AS737" s="142" t="s">
        <v>2705</v>
      </c>
      <c r="AT737" s="142" t="s">
        <v>2398</v>
      </c>
      <c r="AU737" s="142" t="s">
        <v>2397</v>
      </c>
      <c r="AV737" s="142" t="s">
        <v>2705</v>
      </c>
      <c r="AW737" s="142" t="s">
        <v>2397</v>
      </c>
      <c r="AX737" s="142" t="s">
        <v>2675</v>
      </c>
      <c r="AY737" s="142" t="s">
        <v>2397</v>
      </c>
      <c r="AZ737" s="142" t="s">
        <v>2705</v>
      </c>
    </row>
    <row r="738" spans="1:52" s="142" customFormat="1" ht="12.75" x14ac:dyDescent="0.2">
      <c r="A738" s="151"/>
      <c r="B738" s="152" t="s">
        <v>2705</v>
      </c>
      <c r="C738" s="152" t="s">
        <v>1435</v>
      </c>
      <c r="D738" s="152" t="s">
        <v>2705</v>
      </c>
      <c r="E738" s="152" t="s">
        <v>1435</v>
      </c>
      <c r="F738" s="152" t="s">
        <v>2675</v>
      </c>
      <c r="G738" s="152" t="s">
        <v>2705</v>
      </c>
      <c r="H738" s="152" t="s">
        <v>2705</v>
      </c>
      <c r="I738" s="152" t="s">
        <v>2705</v>
      </c>
      <c r="J738" s="152" t="s">
        <v>2705</v>
      </c>
      <c r="K738" s="152" t="s">
        <v>2675</v>
      </c>
      <c r="L738" s="152" t="s">
        <v>2705</v>
      </c>
      <c r="M738" s="152" t="s">
        <v>2705</v>
      </c>
      <c r="N738" s="152" t="s">
        <v>2398</v>
      </c>
      <c r="O738" s="152" t="s">
        <v>2705</v>
      </c>
      <c r="P738" s="152" t="s">
        <v>2397</v>
      </c>
      <c r="Q738" s="152" t="s">
        <v>2705</v>
      </c>
      <c r="R738" s="152" t="s">
        <v>2398</v>
      </c>
      <c r="S738" s="152" t="s">
        <v>2397</v>
      </c>
      <c r="T738" s="152" t="s">
        <v>1435</v>
      </c>
      <c r="U738" s="152" t="s">
        <v>2398</v>
      </c>
      <c r="V738" s="142" t="str" cm="1">
        <f t="array" ref="V738">IF(A738&lt;&gt;"",SUM(--(B738:U739 = "X")*$U$3,--(B738:U739 ="A")*$Q$3,--(B738:U739 ="B")*$R$3,--(B738:U739 ="C")*$S$3),"")</f>
        <v/>
      </c>
      <c r="AG738" s="142" t="s">
        <v>2705</v>
      </c>
      <c r="AH738" s="142" t="s">
        <v>1435</v>
      </c>
      <c r="AI738" s="142" t="s">
        <v>2705</v>
      </c>
      <c r="AJ738" s="142" t="s">
        <v>1435</v>
      </c>
      <c r="AK738" s="142" t="s">
        <v>2675</v>
      </c>
      <c r="AL738" s="142" t="s">
        <v>2705</v>
      </c>
      <c r="AM738" s="142" t="s">
        <v>2705</v>
      </c>
      <c r="AN738" s="142" t="s">
        <v>2705</v>
      </c>
      <c r="AO738" s="142" t="s">
        <v>2705</v>
      </c>
      <c r="AP738" s="142" t="s">
        <v>2675</v>
      </c>
      <c r="AQ738" s="142" t="s">
        <v>2705</v>
      </c>
      <c r="AR738" s="142" t="s">
        <v>2705</v>
      </c>
      <c r="AS738" s="142" t="s">
        <v>2398</v>
      </c>
      <c r="AT738" s="142" t="s">
        <v>2705</v>
      </c>
      <c r="AU738" s="142" t="s">
        <v>2397</v>
      </c>
      <c r="AV738" s="142" t="s">
        <v>2705</v>
      </c>
      <c r="AW738" s="142" t="s">
        <v>2398</v>
      </c>
      <c r="AX738" s="142" t="s">
        <v>2397</v>
      </c>
      <c r="AY738" s="142" t="s">
        <v>1435</v>
      </c>
      <c r="AZ738" s="142" t="s">
        <v>2398</v>
      </c>
    </row>
    <row r="739" spans="1:52" s="142" customFormat="1" ht="12.75" x14ac:dyDescent="0.2">
      <c r="A739" s="151" t="s">
        <v>7686</v>
      </c>
      <c r="B739" s="152" t="s">
        <v>2705</v>
      </c>
      <c r="C739" s="152" t="s">
        <v>2705</v>
      </c>
      <c r="D739" s="152" t="s">
        <v>2705</v>
      </c>
      <c r="E739" s="152" t="s">
        <v>1435</v>
      </c>
      <c r="F739" s="152" t="s">
        <v>2398</v>
      </c>
      <c r="G739" s="152" t="s">
        <v>2705</v>
      </c>
      <c r="H739" s="152" t="s">
        <v>2705</v>
      </c>
      <c r="I739" s="152" t="s">
        <v>2675</v>
      </c>
      <c r="J739" s="152" t="s">
        <v>2397</v>
      </c>
      <c r="K739" s="152" t="s">
        <v>2398</v>
      </c>
      <c r="L739" s="152" t="s">
        <v>2705</v>
      </c>
      <c r="M739" s="152" t="s">
        <v>2398</v>
      </c>
      <c r="N739" s="152" t="s">
        <v>2675</v>
      </c>
      <c r="O739" s="152" t="s">
        <v>2397</v>
      </c>
      <c r="P739" s="152" t="s">
        <v>2705</v>
      </c>
      <c r="Q739" s="152" t="s">
        <v>1435</v>
      </c>
      <c r="R739" s="152" t="s">
        <v>2675</v>
      </c>
      <c r="S739" s="152" t="s">
        <v>2675</v>
      </c>
      <c r="T739" s="152" t="s">
        <v>2705</v>
      </c>
      <c r="U739" s="152" t="s">
        <v>2705</v>
      </c>
      <c r="V739" s="142" cm="1">
        <f t="array" ref="V739">IF(A739&lt;&gt;"",SUM(--(B739:U740 = "X")*$U$3,--(B739:U740 ="A")*$Q$3,--(B739:U740 ="B")*$R$3,--(B739:U740 ="C")*$S$3),"")</f>
        <v>8.5</v>
      </c>
      <c r="AF739" s="142" t="s">
        <v>7686</v>
      </c>
      <c r="AG739" s="142" t="s">
        <v>2705</v>
      </c>
      <c r="AH739" s="142" t="s">
        <v>2705</v>
      </c>
      <c r="AI739" s="142" t="s">
        <v>2705</v>
      </c>
      <c r="AJ739" s="142" t="s">
        <v>1435</v>
      </c>
      <c r="AK739" s="142" t="s">
        <v>2398</v>
      </c>
      <c r="AL739" s="142" t="s">
        <v>2705</v>
      </c>
      <c r="AM739" s="142" t="s">
        <v>2705</v>
      </c>
      <c r="AN739" s="142" t="s">
        <v>2675</v>
      </c>
      <c r="AO739" s="142" t="s">
        <v>2397</v>
      </c>
      <c r="AP739" s="142" t="s">
        <v>2398</v>
      </c>
      <c r="AQ739" s="142" t="s">
        <v>2705</v>
      </c>
      <c r="AR739" s="142" t="s">
        <v>2398</v>
      </c>
      <c r="AS739" s="142" t="s">
        <v>2675</v>
      </c>
      <c r="AT739" s="142" t="s">
        <v>2397</v>
      </c>
      <c r="AU739" s="142" t="s">
        <v>2705</v>
      </c>
      <c r="AV739" s="142" t="s">
        <v>1435</v>
      </c>
      <c r="AW739" s="142" t="s">
        <v>2675</v>
      </c>
      <c r="AX739" s="142" t="s">
        <v>2675</v>
      </c>
      <c r="AY739" s="142" t="s">
        <v>2705</v>
      </c>
      <c r="AZ739" s="142" t="s">
        <v>2705</v>
      </c>
    </row>
    <row r="740" spans="1:52" s="142" customFormat="1" ht="12.75" x14ac:dyDescent="0.2">
      <c r="A740" s="151"/>
      <c r="B740" s="152" t="s">
        <v>2397</v>
      </c>
      <c r="C740" s="152" t="s">
        <v>2398</v>
      </c>
      <c r="D740" s="152" t="s">
        <v>2705</v>
      </c>
      <c r="E740" s="152" t="s">
        <v>2675</v>
      </c>
      <c r="F740" s="152" t="s">
        <v>2675</v>
      </c>
      <c r="G740" s="152" t="s">
        <v>2398</v>
      </c>
      <c r="H740" s="152" t="s">
        <v>2398</v>
      </c>
      <c r="I740" s="152" t="s">
        <v>2398</v>
      </c>
      <c r="J740" s="152" t="s">
        <v>2398</v>
      </c>
      <c r="K740" s="152" t="s">
        <v>2675</v>
      </c>
      <c r="L740" s="152" t="s">
        <v>2398</v>
      </c>
      <c r="M740" s="152" t="s">
        <v>2398</v>
      </c>
      <c r="N740" s="152" t="s">
        <v>2398</v>
      </c>
      <c r="O740" s="152" t="s">
        <v>2705</v>
      </c>
      <c r="P740" s="152" t="s">
        <v>2398</v>
      </c>
      <c r="Q740" s="152" t="s">
        <v>2705</v>
      </c>
      <c r="R740" s="152" t="s">
        <v>2398</v>
      </c>
      <c r="S740" s="152" t="s">
        <v>2705</v>
      </c>
      <c r="T740" s="152" t="s">
        <v>2398</v>
      </c>
      <c r="U740" s="152" t="s">
        <v>2398</v>
      </c>
      <c r="V740" s="142" t="str" cm="1">
        <f t="array" ref="V740">IF(A740&lt;&gt;"",SUM(--(B740:U741 = "X")*$U$3,--(B740:U741 ="A")*$Q$3,--(B740:U741 ="B")*$R$3,--(B740:U741 ="C")*$S$3),"")</f>
        <v/>
      </c>
      <c r="AG740" s="142" t="s">
        <v>2397</v>
      </c>
      <c r="AH740" s="142" t="s">
        <v>2398</v>
      </c>
      <c r="AI740" s="142" t="s">
        <v>2705</v>
      </c>
      <c r="AJ740" s="142" t="s">
        <v>2675</v>
      </c>
      <c r="AK740" s="142" t="s">
        <v>2675</v>
      </c>
      <c r="AL740" s="142" t="s">
        <v>2398</v>
      </c>
      <c r="AM740" s="142" t="s">
        <v>2398</v>
      </c>
      <c r="AN740" s="142" t="s">
        <v>2398</v>
      </c>
      <c r="AO740" s="142" t="s">
        <v>2398</v>
      </c>
      <c r="AP740" s="142" t="s">
        <v>2675</v>
      </c>
      <c r="AQ740" s="142" t="s">
        <v>2398</v>
      </c>
      <c r="AR740" s="142" t="s">
        <v>2398</v>
      </c>
      <c r="AS740" s="142" t="s">
        <v>2398</v>
      </c>
      <c r="AT740" s="142" t="s">
        <v>2705</v>
      </c>
      <c r="AU740" s="142" t="s">
        <v>2398</v>
      </c>
      <c r="AV740" s="142" t="s">
        <v>2705</v>
      </c>
      <c r="AW740" s="142" t="s">
        <v>2398</v>
      </c>
      <c r="AX740" s="142" t="s">
        <v>2705</v>
      </c>
      <c r="AY740" s="142" t="s">
        <v>2398</v>
      </c>
      <c r="AZ740" s="142" t="s">
        <v>2398</v>
      </c>
    </row>
    <row r="741" spans="1:52" s="142" customFormat="1" ht="12.75" x14ac:dyDescent="0.2">
      <c r="A741" s="151" t="s">
        <v>7687</v>
      </c>
      <c r="B741" s="152" t="s">
        <v>2705</v>
      </c>
      <c r="C741" s="152" t="s">
        <v>2705</v>
      </c>
      <c r="D741" s="152" t="s">
        <v>2675</v>
      </c>
      <c r="E741" s="152" t="s">
        <v>2705</v>
      </c>
      <c r="F741" s="152" t="s">
        <v>2705</v>
      </c>
      <c r="G741" s="152" t="s">
        <v>2705</v>
      </c>
      <c r="H741" s="152" t="s">
        <v>2705</v>
      </c>
      <c r="I741" s="152" t="s">
        <v>2398</v>
      </c>
      <c r="J741" s="152" t="s">
        <v>2705</v>
      </c>
      <c r="K741" s="152" t="s">
        <v>2705</v>
      </c>
      <c r="L741" s="152" t="s">
        <v>2705</v>
      </c>
      <c r="M741" s="152" t="s">
        <v>2705</v>
      </c>
      <c r="N741" s="152" t="s">
        <v>2705</v>
      </c>
      <c r="O741" s="152" t="s">
        <v>2398</v>
      </c>
      <c r="P741" s="152" t="s">
        <v>2705</v>
      </c>
      <c r="Q741" s="152" t="s">
        <v>2398</v>
      </c>
      <c r="R741" s="152" t="s">
        <v>2675</v>
      </c>
      <c r="S741" s="152" t="s">
        <v>2398</v>
      </c>
      <c r="T741" s="152" t="s">
        <v>2705</v>
      </c>
      <c r="U741" s="152" t="s">
        <v>2705</v>
      </c>
      <c r="V741" s="142" cm="1">
        <f t="array" ref="V741">IF(A741&lt;&gt;"",SUM(--(B741:U742 = "X")*$U$3,--(B741:U742 ="A")*$Q$3,--(B741:U742 ="B")*$R$3,--(B741:U742 ="C")*$S$3),"")</f>
        <v>26.5</v>
      </c>
      <c r="AF741" s="142" t="s">
        <v>7687</v>
      </c>
      <c r="AG741" s="142" t="s">
        <v>2705</v>
      </c>
      <c r="AH741" s="142" t="s">
        <v>2705</v>
      </c>
      <c r="AI741" s="142" t="s">
        <v>2675</v>
      </c>
      <c r="AJ741" s="142" t="s">
        <v>2705</v>
      </c>
      <c r="AK741" s="142" t="s">
        <v>2705</v>
      </c>
      <c r="AL741" s="142" t="s">
        <v>2705</v>
      </c>
      <c r="AM741" s="142" t="s">
        <v>2705</v>
      </c>
      <c r="AN741" s="142" t="s">
        <v>2398</v>
      </c>
      <c r="AO741" s="142" t="s">
        <v>2705</v>
      </c>
      <c r="AP741" s="142" t="s">
        <v>2705</v>
      </c>
      <c r="AQ741" s="142" t="s">
        <v>2705</v>
      </c>
      <c r="AR741" s="142" t="s">
        <v>2705</v>
      </c>
      <c r="AS741" s="142" t="s">
        <v>2705</v>
      </c>
      <c r="AT741" s="142" t="s">
        <v>2398</v>
      </c>
      <c r="AU741" s="142" t="s">
        <v>2705</v>
      </c>
      <c r="AV741" s="142" t="s">
        <v>2398</v>
      </c>
      <c r="AW741" s="142" t="s">
        <v>2675</v>
      </c>
      <c r="AX741" s="142" t="s">
        <v>2398</v>
      </c>
      <c r="AY741" s="142" t="s">
        <v>2705</v>
      </c>
      <c r="AZ741" s="142" t="s">
        <v>2705</v>
      </c>
    </row>
    <row r="742" spans="1:52" s="142" customFormat="1" ht="12.75" x14ac:dyDescent="0.2">
      <c r="A742" s="151"/>
      <c r="B742" s="152" t="s">
        <v>2398</v>
      </c>
      <c r="C742" s="152" t="s">
        <v>2705</v>
      </c>
      <c r="D742" s="152" t="s">
        <v>2705</v>
      </c>
      <c r="E742" s="152" t="s">
        <v>2705</v>
      </c>
      <c r="F742" s="152" t="s">
        <v>2705</v>
      </c>
      <c r="G742" s="152" t="s">
        <v>2675</v>
      </c>
      <c r="H742" s="152" t="s">
        <v>2398</v>
      </c>
      <c r="I742" s="152" t="s">
        <v>2705</v>
      </c>
      <c r="J742" s="152" t="s">
        <v>2705</v>
      </c>
      <c r="K742" s="152" t="s">
        <v>2705</v>
      </c>
      <c r="L742" s="152" t="s">
        <v>2705</v>
      </c>
      <c r="M742" s="152" t="s">
        <v>2398</v>
      </c>
      <c r="N742" s="152" t="s">
        <v>2398</v>
      </c>
      <c r="O742" s="152" t="s">
        <v>2705</v>
      </c>
      <c r="P742" s="152" t="s">
        <v>2705</v>
      </c>
      <c r="Q742" s="152" t="s">
        <v>2398</v>
      </c>
      <c r="R742" s="152" t="s">
        <v>2705</v>
      </c>
      <c r="S742" s="152" t="s">
        <v>2705</v>
      </c>
      <c r="T742" s="152" t="s">
        <v>2705</v>
      </c>
      <c r="U742" s="152" t="s">
        <v>2705</v>
      </c>
      <c r="V742" s="142" t="str" cm="1">
        <f t="array" ref="V742">IF(A742&lt;&gt;"",SUM(--(B742:U743 = "X")*$U$3,--(B742:U743 ="A")*$Q$3,--(B742:U743 ="B")*$R$3,--(B742:U743 ="C")*$S$3),"")</f>
        <v/>
      </c>
      <c r="AG742" s="142" t="s">
        <v>2398</v>
      </c>
      <c r="AH742" s="142" t="s">
        <v>2705</v>
      </c>
      <c r="AI742" s="142" t="s">
        <v>2705</v>
      </c>
      <c r="AJ742" s="142" t="s">
        <v>2705</v>
      </c>
      <c r="AK742" s="142" t="s">
        <v>2705</v>
      </c>
      <c r="AL742" s="142" t="s">
        <v>2675</v>
      </c>
      <c r="AM742" s="142" t="s">
        <v>2398</v>
      </c>
      <c r="AN742" s="142" t="s">
        <v>2705</v>
      </c>
      <c r="AO742" s="142" t="s">
        <v>2705</v>
      </c>
      <c r="AP742" s="142" t="s">
        <v>2705</v>
      </c>
      <c r="AQ742" s="142" t="s">
        <v>2705</v>
      </c>
      <c r="AR742" s="142" t="s">
        <v>2398</v>
      </c>
      <c r="AS742" s="142" t="s">
        <v>2398</v>
      </c>
      <c r="AT742" s="142" t="s">
        <v>2705</v>
      </c>
      <c r="AU742" s="142" t="s">
        <v>2705</v>
      </c>
      <c r="AV742" s="142" t="s">
        <v>2398</v>
      </c>
      <c r="AW742" s="142" t="s">
        <v>2705</v>
      </c>
      <c r="AX742" s="142" t="s">
        <v>2705</v>
      </c>
      <c r="AY742" s="142" t="s">
        <v>2705</v>
      </c>
      <c r="AZ742" s="142" t="s">
        <v>2705</v>
      </c>
    </row>
    <row r="743" spans="1:52" s="142" customFormat="1" ht="12.75" x14ac:dyDescent="0.2">
      <c r="A743" s="151" t="s">
        <v>7688</v>
      </c>
      <c r="B743" s="152" t="s">
        <v>2398</v>
      </c>
      <c r="C743" s="152" t="s">
        <v>2705</v>
      </c>
      <c r="D743" s="152" t="s">
        <v>2398</v>
      </c>
      <c r="E743" s="152" t="s">
        <v>2397</v>
      </c>
      <c r="F743" s="152" t="s">
        <v>2397</v>
      </c>
      <c r="G743" s="152" t="s">
        <v>2705</v>
      </c>
      <c r="H743" s="152" t="s">
        <v>2398</v>
      </c>
      <c r="I743" s="152" t="s">
        <v>2398</v>
      </c>
      <c r="J743" s="152" t="s">
        <v>2398</v>
      </c>
      <c r="K743" s="152" t="s">
        <v>2705</v>
      </c>
      <c r="L743" s="152" t="s">
        <v>1435</v>
      </c>
      <c r="M743" s="152" t="s">
        <v>2705</v>
      </c>
      <c r="N743" s="152" t="s">
        <v>2675</v>
      </c>
      <c r="O743" s="152" t="s">
        <v>2397</v>
      </c>
      <c r="P743" s="152" t="s">
        <v>2705</v>
      </c>
      <c r="Q743" s="152" t="s">
        <v>2398</v>
      </c>
      <c r="R743" s="152" t="s">
        <v>2705</v>
      </c>
      <c r="S743" s="152" t="s">
        <v>2675</v>
      </c>
      <c r="T743" s="152" t="s">
        <v>2398</v>
      </c>
      <c r="U743" s="152" t="s">
        <v>2675</v>
      </c>
      <c r="V743" s="142" cm="1">
        <f t="array" ref="V743">IF(A743&lt;&gt;"",SUM(--(B743:U744 = "X")*$U$3,--(B743:U744 ="A")*$Q$3,--(B743:U744 ="B")*$R$3,--(B743:U744 ="C")*$S$3),"")</f>
        <v>9.5</v>
      </c>
      <c r="AF743" s="142" t="s">
        <v>7688</v>
      </c>
      <c r="AG743" s="142" t="s">
        <v>2398</v>
      </c>
      <c r="AH743" s="142" t="s">
        <v>2705</v>
      </c>
      <c r="AI743" s="142" t="s">
        <v>2398</v>
      </c>
      <c r="AJ743" s="142" t="s">
        <v>2397</v>
      </c>
      <c r="AK743" s="142" t="s">
        <v>2397</v>
      </c>
      <c r="AL743" s="142" t="s">
        <v>2705</v>
      </c>
      <c r="AM743" s="142" t="s">
        <v>2398</v>
      </c>
      <c r="AN743" s="142" t="s">
        <v>2398</v>
      </c>
      <c r="AO743" s="142" t="s">
        <v>2398</v>
      </c>
      <c r="AP743" s="142" t="s">
        <v>2705</v>
      </c>
      <c r="AQ743" s="142" t="s">
        <v>1435</v>
      </c>
      <c r="AR743" s="142" t="s">
        <v>2705</v>
      </c>
      <c r="AS743" s="142" t="s">
        <v>2675</v>
      </c>
      <c r="AT743" s="142" t="s">
        <v>2397</v>
      </c>
      <c r="AU743" s="142" t="s">
        <v>2705</v>
      </c>
      <c r="AV743" s="142" t="s">
        <v>2398</v>
      </c>
      <c r="AW743" s="142" t="s">
        <v>2705</v>
      </c>
      <c r="AX743" s="142" t="s">
        <v>2675</v>
      </c>
      <c r="AY743" s="142" t="s">
        <v>2398</v>
      </c>
      <c r="AZ743" s="142" t="s">
        <v>2675</v>
      </c>
    </row>
    <row r="744" spans="1:52" s="142" customFormat="1" ht="12.75" x14ac:dyDescent="0.2">
      <c r="A744" s="151"/>
      <c r="B744" s="152" t="s">
        <v>2398</v>
      </c>
      <c r="C744" s="152" t="s">
        <v>2675</v>
      </c>
      <c r="D744" s="152" t="s">
        <v>2705</v>
      </c>
      <c r="E744" s="152" t="s">
        <v>2675</v>
      </c>
      <c r="F744" s="152" t="s">
        <v>2705</v>
      </c>
      <c r="G744" s="152" t="s">
        <v>2398</v>
      </c>
      <c r="H744" s="152" t="s">
        <v>2705</v>
      </c>
      <c r="I744" s="152" t="s">
        <v>1435</v>
      </c>
      <c r="J744" s="152" t="s">
        <v>2398</v>
      </c>
      <c r="K744" s="152" t="s">
        <v>2705</v>
      </c>
      <c r="L744" s="152" t="s">
        <v>2705</v>
      </c>
      <c r="M744" s="152" t="s">
        <v>1435</v>
      </c>
      <c r="N744" s="152" t="s">
        <v>2397</v>
      </c>
      <c r="O744" s="152" t="s">
        <v>2675</v>
      </c>
      <c r="P744" s="152" t="s">
        <v>2675</v>
      </c>
      <c r="Q744" s="152" t="s">
        <v>2705</v>
      </c>
      <c r="R744" s="152" t="s">
        <v>2705</v>
      </c>
      <c r="S744" s="152" t="s">
        <v>2705</v>
      </c>
      <c r="T744" s="152" t="s">
        <v>2705</v>
      </c>
      <c r="U744" s="152" t="s">
        <v>2675</v>
      </c>
      <c r="V744" s="142" t="str" cm="1">
        <f t="array" ref="V744">IF(A744&lt;&gt;"",SUM(--(B744:U745 = "X")*$U$3,--(B744:U745 ="A")*$Q$3,--(B744:U745 ="B")*$R$3,--(B744:U745 ="C")*$S$3),"")</f>
        <v/>
      </c>
      <c r="AG744" s="142" t="s">
        <v>2398</v>
      </c>
      <c r="AH744" s="142" t="s">
        <v>2675</v>
      </c>
      <c r="AI744" s="142" t="s">
        <v>2705</v>
      </c>
      <c r="AJ744" s="142" t="s">
        <v>2675</v>
      </c>
      <c r="AK744" s="142" t="s">
        <v>2705</v>
      </c>
      <c r="AL744" s="142" t="s">
        <v>2398</v>
      </c>
      <c r="AM744" s="142" t="s">
        <v>2705</v>
      </c>
      <c r="AN744" s="142" t="s">
        <v>1435</v>
      </c>
      <c r="AO744" s="142" t="s">
        <v>2398</v>
      </c>
      <c r="AP744" s="142" t="s">
        <v>2705</v>
      </c>
      <c r="AQ744" s="142" t="s">
        <v>2705</v>
      </c>
      <c r="AR744" s="142" t="s">
        <v>1435</v>
      </c>
      <c r="AS744" s="142" t="s">
        <v>2397</v>
      </c>
      <c r="AT744" s="142" t="s">
        <v>2675</v>
      </c>
      <c r="AU744" s="142" t="s">
        <v>2675</v>
      </c>
      <c r="AV744" s="142" t="s">
        <v>2705</v>
      </c>
      <c r="AW744" s="142" t="s">
        <v>2705</v>
      </c>
      <c r="AX744" s="142" t="s">
        <v>2705</v>
      </c>
      <c r="AY744" s="142" t="s">
        <v>2705</v>
      </c>
      <c r="AZ744" s="142" t="s">
        <v>2675</v>
      </c>
    </row>
    <row r="745" spans="1:52" s="142" customFormat="1" ht="12.75" x14ac:dyDescent="0.2">
      <c r="A745" s="151" t="s">
        <v>7689</v>
      </c>
      <c r="B745" s="152" t="s">
        <v>2398</v>
      </c>
      <c r="C745" s="152" t="s">
        <v>2705</v>
      </c>
      <c r="D745" s="152" t="s">
        <v>2398</v>
      </c>
      <c r="E745" s="152" t="s">
        <v>1435</v>
      </c>
      <c r="F745" s="152" t="s">
        <v>2397</v>
      </c>
      <c r="G745" s="152" t="s">
        <v>2705</v>
      </c>
      <c r="H745" s="152" t="s">
        <v>2705</v>
      </c>
      <c r="I745" s="152" t="s">
        <v>2675</v>
      </c>
      <c r="J745" s="152" t="s">
        <v>2675</v>
      </c>
      <c r="K745" s="152" t="s">
        <v>2397</v>
      </c>
      <c r="L745" s="152" t="s">
        <v>1435</v>
      </c>
      <c r="M745" s="152" t="s">
        <v>2705</v>
      </c>
      <c r="N745" s="152" t="s">
        <v>2705</v>
      </c>
      <c r="O745" s="152" t="s">
        <v>2705</v>
      </c>
      <c r="P745" s="152" t="s">
        <v>2705</v>
      </c>
      <c r="Q745" s="152" t="s">
        <v>2705</v>
      </c>
      <c r="R745" s="152" t="s">
        <v>2705</v>
      </c>
      <c r="S745" s="152" t="s">
        <v>2705</v>
      </c>
      <c r="T745" s="152" t="s">
        <v>1435</v>
      </c>
      <c r="U745" s="152" t="s">
        <v>2705</v>
      </c>
      <c r="V745" s="142" cm="1">
        <f t="array" ref="V745">IF(A745&lt;&gt;"",SUM(--(B745:U746 = "X")*$U$3,--(B745:U746 ="A")*$Q$3,--(B745:U746 ="B")*$R$3,--(B745:U746 ="C")*$S$3),"")</f>
        <v>20</v>
      </c>
      <c r="AF745" s="142" t="s">
        <v>7689</v>
      </c>
      <c r="AG745" s="142" t="s">
        <v>2398</v>
      </c>
      <c r="AH745" s="142" t="s">
        <v>2705</v>
      </c>
      <c r="AI745" s="142" t="s">
        <v>2398</v>
      </c>
      <c r="AJ745" s="142" t="s">
        <v>1435</v>
      </c>
      <c r="AK745" s="142" t="s">
        <v>2397</v>
      </c>
      <c r="AL745" s="142" t="s">
        <v>2705</v>
      </c>
      <c r="AM745" s="142" t="s">
        <v>2705</v>
      </c>
      <c r="AN745" s="142" t="s">
        <v>2675</v>
      </c>
      <c r="AO745" s="142" t="s">
        <v>2675</v>
      </c>
      <c r="AP745" s="142" t="s">
        <v>2397</v>
      </c>
      <c r="AQ745" s="142" t="s">
        <v>1435</v>
      </c>
      <c r="AR745" s="142" t="s">
        <v>2705</v>
      </c>
      <c r="AS745" s="142" t="s">
        <v>2705</v>
      </c>
      <c r="AT745" s="142" t="s">
        <v>2705</v>
      </c>
      <c r="AU745" s="142" t="s">
        <v>2705</v>
      </c>
      <c r="AV745" s="142" t="s">
        <v>2705</v>
      </c>
      <c r="AW745" s="142" t="s">
        <v>2705</v>
      </c>
      <c r="AX745" s="142" t="s">
        <v>2705</v>
      </c>
      <c r="AY745" s="142" t="s">
        <v>1435</v>
      </c>
      <c r="AZ745" s="142" t="s">
        <v>2705</v>
      </c>
    </row>
    <row r="746" spans="1:52" s="142" customFormat="1" ht="12.75" x14ac:dyDescent="0.2">
      <c r="A746" s="151"/>
      <c r="B746" s="152" t="s">
        <v>2705</v>
      </c>
      <c r="C746" s="152" t="s">
        <v>2675</v>
      </c>
      <c r="D746" s="152" t="s">
        <v>2705</v>
      </c>
      <c r="E746" s="152" t="s">
        <v>2675</v>
      </c>
      <c r="F746" s="152" t="s">
        <v>2705</v>
      </c>
      <c r="G746" s="152" t="s">
        <v>2705</v>
      </c>
      <c r="H746" s="152" t="s">
        <v>2397</v>
      </c>
      <c r="I746" s="152" t="s">
        <v>2705</v>
      </c>
      <c r="J746" s="152" t="s">
        <v>2398</v>
      </c>
      <c r="K746" s="152" t="s">
        <v>2705</v>
      </c>
      <c r="L746" s="152" t="s">
        <v>2398</v>
      </c>
      <c r="M746" s="152" t="s">
        <v>2705</v>
      </c>
      <c r="N746" s="152" t="s">
        <v>2705</v>
      </c>
      <c r="O746" s="152" t="s">
        <v>2705</v>
      </c>
      <c r="P746" s="152" t="s">
        <v>2675</v>
      </c>
      <c r="Q746" s="152" t="s">
        <v>2705</v>
      </c>
      <c r="R746" s="152" t="s">
        <v>2705</v>
      </c>
      <c r="S746" s="152" t="s">
        <v>2705</v>
      </c>
      <c r="T746" s="152" t="s">
        <v>2397</v>
      </c>
      <c r="U746" s="152" t="s">
        <v>2705</v>
      </c>
      <c r="V746" s="142" t="str" cm="1">
        <f t="array" ref="V746">IF(A746&lt;&gt;"",SUM(--(B746:U747 = "X")*$U$3,--(B746:U747 ="A")*$Q$3,--(B746:U747 ="B")*$R$3,--(B746:U747 ="C")*$S$3),"")</f>
        <v/>
      </c>
      <c r="AG746" s="142" t="s">
        <v>2705</v>
      </c>
      <c r="AH746" s="142" t="s">
        <v>2675</v>
      </c>
      <c r="AI746" s="142" t="s">
        <v>2705</v>
      </c>
      <c r="AJ746" s="142" t="s">
        <v>2675</v>
      </c>
      <c r="AK746" s="142" t="s">
        <v>2705</v>
      </c>
      <c r="AL746" s="142" t="s">
        <v>2705</v>
      </c>
      <c r="AM746" s="142" t="s">
        <v>2397</v>
      </c>
      <c r="AN746" s="142" t="s">
        <v>2705</v>
      </c>
      <c r="AO746" s="142" t="s">
        <v>2398</v>
      </c>
      <c r="AP746" s="142" t="s">
        <v>2705</v>
      </c>
      <c r="AQ746" s="142" t="s">
        <v>2398</v>
      </c>
      <c r="AR746" s="142" t="s">
        <v>2705</v>
      </c>
      <c r="AS746" s="142" t="s">
        <v>2705</v>
      </c>
      <c r="AT746" s="142" t="s">
        <v>2705</v>
      </c>
      <c r="AU746" s="142" t="s">
        <v>2675</v>
      </c>
      <c r="AV746" s="142" t="s">
        <v>2705</v>
      </c>
      <c r="AW746" s="142" t="s">
        <v>2705</v>
      </c>
      <c r="AX746" s="142" t="s">
        <v>2705</v>
      </c>
      <c r="AY746" s="142" t="s">
        <v>2397</v>
      </c>
      <c r="AZ746" s="142" t="s">
        <v>2705</v>
      </c>
    </row>
    <row r="747" spans="1:52" s="142" customFormat="1" ht="12.75" x14ac:dyDescent="0.2">
      <c r="A747" s="151" t="s">
        <v>7690</v>
      </c>
      <c r="B747" s="152" t="s">
        <v>2705</v>
      </c>
      <c r="C747" s="152" t="s">
        <v>2398</v>
      </c>
      <c r="D747" s="152" t="s">
        <v>2675</v>
      </c>
      <c r="E747" s="152" t="s">
        <v>2705</v>
      </c>
      <c r="F747" s="152" t="s">
        <v>2705</v>
      </c>
      <c r="G747" s="152" t="s">
        <v>2705</v>
      </c>
      <c r="H747" s="152" t="s">
        <v>2705</v>
      </c>
      <c r="I747" s="152" t="s">
        <v>2705</v>
      </c>
      <c r="J747" s="152" t="s">
        <v>2705</v>
      </c>
      <c r="K747" s="152" t="s">
        <v>2705</v>
      </c>
      <c r="L747" s="152" t="s">
        <v>2705</v>
      </c>
      <c r="M747" s="152" t="s">
        <v>2398</v>
      </c>
      <c r="N747" s="152" t="s">
        <v>2705</v>
      </c>
      <c r="O747" s="152" t="s">
        <v>2705</v>
      </c>
      <c r="P747" s="152" t="s">
        <v>2705</v>
      </c>
      <c r="Q747" s="152" t="s">
        <v>2705</v>
      </c>
      <c r="R747" s="152" t="s">
        <v>2705</v>
      </c>
      <c r="S747" s="152" t="s">
        <v>2705</v>
      </c>
      <c r="T747" s="152" t="s">
        <v>2398</v>
      </c>
      <c r="U747" s="152" t="s">
        <v>2675</v>
      </c>
      <c r="V747" s="142" cm="1">
        <f t="array" ref="V747">IF(A747&lt;&gt;"",SUM(--(B747:U748 = "X")*$U$3,--(B747:U748 ="A")*$Q$3,--(B747:U748 ="B")*$R$3,--(B747:U748 ="C")*$S$3),"")</f>
        <v>29</v>
      </c>
      <c r="AF747" s="142" t="s">
        <v>7690</v>
      </c>
      <c r="AG747" s="142" t="s">
        <v>2705</v>
      </c>
      <c r="AH747" s="142" t="s">
        <v>2398</v>
      </c>
      <c r="AI747" s="142" t="s">
        <v>2675</v>
      </c>
      <c r="AJ747" s="142" t="s">
        <v>2705</v>
      </c>
      <c r="AK747" s="142" t="s">
        <v>2705</v>
      </c>
      <c r="AL747" s="142" t="s">
        <v>2705</v>
      </c>
      <c r="AM747" s="142" t="s">
        <v>2705</v>
      </c>
      <c r="AN747" s="142" t="s">
        <v>2705</v>
      </c>
      <c r="AO747" s="142" t="s">
        <v>2705</v>
      </c>
      <c r="AP747" s="142" t="s">
        <v>2705</v>
      </c>
      <c r="AQ747" s="142" t="s">
        <v>2705</v>
      </c>
      <c r="AR747" s="142" t="s">
        <v>2398</v>
      </c>
      <c r="AS747" s="142" t="s">
        <v>2705</v>
      </c>
      <c r="AT747" s="142" t="s">
        <v>2705</v>
      </c>
      <c r="AU747" s="142" t="s">
        <v>2705</v>
      </c>
      <c r="AV747" s="142" t="s">
        <v>2705</v>
      </c>
      <c r="AW747" s="142" t="s">
        <v>2705</v>
      </c>
      <c r="AX747" s="142" t="s">
        <v>2705</v>
      </c>
      <c r="AY747" s="142" t="s">
        <v>2398</v>
      </c>
      <c r="AZ747" s="142" t="s">
        <v>2675</v>
      </c>
    </row>
    <row r="748" spans="1:52" s="142" customFormat="1" ht="12.75" x14ac:dyDescent="0.2">
      <c r="A748" s="151"/>
      <c r="B748" s="152" t="s">
        <v>2705</v>
      </c>
      <c r="C748" s="152" t="s">
        <v>2397</v>
      </c>
      <c r="D748" s="152" t="s">
        <v>2705</v>
      </c>
      <c r="E748" s="152" t="s">
        <v>2675</v>
      </c>
      <c r="F748" s="152" t="s">
        <v>2705</v>
      </c>
      <c r="G748" s="152" t="s">
        <v>2705</v>
      </c>
      <c r="H748" s="152" t="s">
        <v>2705</v>
      </c>
      <c r="I748" s="152" t="s">
        <v>2705</v>
      </c>
      <c r="J748" s="152" t="s">
        <v>2705</v>
      </c>
      <c r="K748" s="152" t="s">
        <v>2705</v>
      </c>
      <c r="L748" s="152" t="s">
        <v>2705</v>
      </c>
      <c r="M748" s="152" t="s">
        <v>2705</v>
      </c>
      <c r="N748" s="152" t="s">
        <v>2705</v>
      </c>
      <c r="O748" s="152" t="s">
        <v>2398</v>
      </c>
      <c r="P748" s="152" t="s">
        <v>2705</v>
      </c>
      <c r="Q748" s="152" t="s">
        <v>2705</v>
      </c>
      <c r="R748" s="152" t="s">
        <v>1435</v>
      </c>
      <c r="S748" s="152" t="s">
        <v>2705</v>
      </c>
      <c r="T748" s="152" t="s">
        <v>2705</v>
      </c>
      <c r="U748" s="152" t="s">
        <v>2705</v>
      </c>
      <c r="V748" s="142" t="str" cm="1">
        <f t="array" ref="V748">IF(A748&lt;&gt;"",SUM(--(B748:U749 = "X")*$U$3,--(B748:U749 ="A")*$Q$3,--(B748:U749 ="B")*$R$3,--(B748:U749 ="C")*$S$3),"")</f>
        <v/>
      </c>
      <c r="AG748" s="142" t="s">
        <v>2705</v>
      </c>
      <c r="AH748" s="142" t="s">
        <v>2397</v>
      </c>
      <c r="AI748" s="142" t="s">
        <v>2705</v>
      </c>
      <c r="AJ748" s="142" t="s">
        <v>2675</v>
      </c>
      <c r="AK748" s="142" t="s">
        <v>2705</v>
      </c>
      <c r="AL748" s="142" t="s">
        <v>2705</v>
      </c>
      <c r="AM748" s="142" t="s">
        <v>2705</v>
      </c>
      <c r="AN748" s="142" t="s">
        <v>2705</v>
      </c>
      <c r="AO748" s="142" t="s">
        <v>2705</v>
      </c>
      <c r="AP748" s="142" t="s">
        <v>2705</v>
      </c>
      <c r="AQ748" s="142" t="s">
        <v>2705</v>
      </c>
      <c r="AR748" s="142" t="s">
        <v>2705</v>
      </c>
      <c r="AS748" s="142" t="s">
        <v>2705</v>
      </c>
      <c r="AT748" s="142" t="s">
        <v>2398</v>
      </c>
      <c r="AU748" s="142" t="s">
        <v>2705</v>
      </c>
      <c r="AV748" s="142" t="s">
        <v>2705</v>
      </c>
      <c r="AW748" s="142" t="s">
        <v>1435</v>
      </c>
      <c r="AX748" s="142" t="s">
        <v>2705</v>
      </c>
      <c r="AY748" s="142" t="s">
        <v>2705</v>
      </c>
      <c r="AZ748" s="142" t="s">
        <v>2705</v>
      </c>
    </row>
    <row r="749" spans="1:52" s="142" customFormat="1" ht="12.75" x14ac:dyDescent="0.2">
      <c r="A749" s="151" t="s">
        <v>7691</v>
      </c>
      <c r="B749" s="152" t="s">
        <v>2705</v>
      </c>
      <c r="C749" s="152" t="s">
        <v>2705</v>
      </c>
      <c r="D749" s="152" t="s">
        <v>2398</v>
      </c>
      <c r="E749" s="152" t="s">
        <v>2705</v>
      </c>
      <c r="F749" s="152" t="s">
        <v>2705</v>
      </c>
      <c r="G749" s="152" t="s">
        <v>2705</v>
      </c>
      <c r="H749" s="152" t="s">
        <v>1435</v>
      </c>
      <c r="I749" s="152" t="s">
        <v>1435</v>
      </c>
      <c r="J749" s="152" t="s">
        <v>2705</v>
      </c>
      <c r="K749" s="152" t="s">
        <v>2705</v>
      </c>
      <c r="L749" s="152" t="s">
        <v>2705</v>
      </c>
      <c r="M749" s="152" t="s">
        <v>2705</v>
      </c>
      <c r="N749" s="152" t="s">
        <v>2705</v>
      </c>
      <c r="O749" s="152" t="s">
        <v>2398</v>
      </c>
      <c r="P749" s="152" t="s">
        <v>2675</v>
      </c>
      <c r="Q749" s="152" t="s">
        <v>2705</v>
      </c>
      <c r="R749" s="152" t="s">
        <v>2398</v>
      </c>
      <c r="S749" s="152" t="s">
        <v>2398</v>
      </c>
      <c r="T749" s="152" t="s">
        <v>2705</v>
      </c>
      <c r="U749" s="152" t="s">
        <v>2705</v>
      </c>
      <c r="V749" s="142" cm="1">
        <f t="array" ref="V749">IF(A749&lt;&gt;"",SUM(--(B749:U750 = "X")*$U$3,--(B749:U750 ="A")*$Q$3,--(B749:U750 ="B")*$R$3,--(B749:U750 ="C")*$S$3),"")</f>
        <v>20</v>
      </c>
      <c r="AF749" s="142" t="s">
        <v>7691</v>
      </c>
      <c r="AG749" s="142" t="s">
        <v>2705</v>
      </c>
      <c r="AH749" s="142" t="s">
        <v>2705</v>
      </c>
      <c r="AI749" s="142" t="s">
        <v>2398</v>
      </c>
      <c r="AJ749" s="142" t="s">
        <v>2705</v>
      </c>
      <c r="AK749" s="142" t="s">
        <v>2705</v>
      </c>
      <c r="AL749" s="142" t="s">
        <v>2705</v>
      </c>
      <c r="AM749" s="142" t="s">
        <v>1435</v>
      </c>
      <c r="AN749" s="142" t="s">
        <v>1435</v>
      </c>
      <c r="AO749" s="142" t="s">
        <v>2705</v>
      </c>
      <c r="AP749" s="142" t="s">
        <v>2705</v>
      </c>
      <c r="AQ749" s="142" t="s">
        <v>2705</v>
      </c>
      <c r="AR749" s="142" t="s">
        <v>2705</v>
      </c>
      <c r="AS749" s="142" t="s">
        <v>2705</v>
      </c>
      <c r="AT749" s="142" t="s">
        <v>2398</v>
      </c>
      <c r="AU749" s="142" t="s">
        <v>2675</v>
      </c>
      <c r="AV749" s="142" t="s">
        <v>2705</v>
      </c>
      <c r="AW749" s="142" t="s">
        <v>2398</v>
      </c>
      <c r="AX749" s="142" t="s">
        <v>2398</v>
      </c>
      <c r="AY749" s="142" t="s">
        <v>2705</v>
      </c>
      <c r="AZ749" s="142" t="s">
        <v>2705</v>
      </c>
    </row>
    <row r="750" spans="1:52" s="142" customFormat="1" ht="12.75" x14ac:dyDescent="0.2">
      <c r="A750" s="151"/>
      <c r="B750" s="152" t="s">
        <v>2705</v>
      </c>
      <c r="C750" s="152" t="s">
        <v>2398</v>
      </c>
      <c r="D750" s="152" t="s">
        <v>2705</v>
      </c>
      <c r="E750" s="152" t="s">
        <v>2398</v>
      </c>
      <c r="F750" s="152" t="s">
        <v>2705</v>
      </c>
      <c r="G750" s="152" t="s">
        <v>1435</v>
      </c>
      <c r="H750" s="152" t="s">
        <v>2705</v>
      </c>
      <c r="I750" s="152" t="s">
        <v>2705</v>
      </c>
      <c r="J750" s="152" t="s">
        <v>2398</v>
      </c>
      <c r="K750" s="152" t="s">
        <v>2705</v>
      </c>
      <c r="L750" s="152" t="s">
        <v>2398</v>
      </c>
      <c r="M750" s="152" t="s">
        <v>1435</v>
      </c>
      <c r="N750" s="152" t="s">
        <v>2705</v>
      </c>
      <c r="O750" s="152" t="s">
        <v>2398</v>
      </c>
      <c r="P750" s="152" t="s">
        <v>2705</v>
      </c>
      <c r="Q750" s="152" t="s">
        <v>2705</v>
      </c>
      <c r="R750" s="152" t="s">
        <v>2398</v>
      </c>
      <c r="S750" s="152" t="s">
        <v>2398</v>
      </c>
      <c r="T750" s="152" t="s">
        <v>2705</v>
      </c>
      <c r="U750" s="152" t="s">
        <v>2675</v>
      </c>
      <c r="V750" s="142" t="str" cm="1">
        <f t="array" ref="V750">IF(A750&lt;&gt;"",SUM(--(B750:U751 = "X")*$U$3,--(B750:U751 ="A")*$Q$3,--(B750:U751 ="B")*$R$3,--(B750:U751 ="C")*$S$3),"")</f>
        <v/>
      </c>
      <c r="AG750" s="142" t="s">
        <v>2705</v>
      </c>
      <c r="AH750" s="142" t="s">
        <v>2398</v>
      </c>
      <c r="AI750" s="142" t="s">
        <v>2705</v>
      </c>
      <c r="AJ750" s="142" t="s">
        <v>2398</v>
      </c>
      <c r="AK750" s="142" t="s">
        <v>2705</v>
      </c>
      <c r="AL750" s="142" t="s">
        <v>1435</v>
      </c>
      <c r="AM750" s="142" t="s">
        <v>2705</v>
      </c>
      <c r="AN750" s="142" t="s">
        <v>2705</v>
      </c>
      <c r="AO750" s="142" t="s">
        <v>2398</v>
      </c>
      <c r="AP750" s="142" t="s">
        <v>2705</v>
      </c>
      <c r="AQ750" s="142" t="s">
        <v>2398</v>
      </c>
      <c r="AR750" s="142" t="s">
        <v>1435</v>
      </c>
      <c r="AS750" s="142" t="s">
        <v>2705</v>
      </c>
      <c r="AT750" s="142" t="s">
        <v>2398</v>
      </c>
      <c r="AU750" s="142" t="s">
        <v>2705</v>
      </c>
      <c r="AV750" s="142" t="s">
        <v>2705</v>
      </c>
      <c r="AW750" s="142" t="s">
        <v>2398</v>
      </c>
      <c r="AX750" s="142" t="s">
        <v>2398</v>
      </c>
      <c r="AY750" s="142" t="s">
        <v>2705</v>
      </c>
      <c r="AZ750" s="142" t="s">
        <v>2675</v>
      </c>
    </row>
    <row r="751" spans="1:52" s="142" customFormat="1" ht="12.75" x14ac:dyDescent="0.2">
      <c r="A751" s="151" t="s">
        <v>7692</v>
      </c>
      <c r="B751" s="152" t="s">
        <v>2705</v>
      </c>
      <c r="C751" s="152" t="s">
        <v>2705</v>
      </c>
      <c r="D751" s="152" t="s">
        <v>2675</v>
      </c>
      <c r="E751" s="152" t="s">
        <v>2398</v>
      </c>
      <c r="F751" s="152" t="s">
        <v>1435</v>
      </c>
      <c r="G751" s="152" t="s">
        <v>2705</v>
      </c>
      <c r="H751" s="152" t="s">
        <v>2705</v>
      </c>
      <c r="I751" s="152" t="s">
        <v>2705</v>
      </c>
      <c r="J751" s="152" t="s">
        <v>2705</v>
      </c>
      <c r="K751" s="152" t="s">
        <v>2398</v>
      </c>
      <c r="L751" s="152" t="s">
        <v>2705</v>
      </c>
      <c r="M751" s="152" t="s">
        <v>2705</v>
      </c>
      <c r="N751" s="152" t="s">
        <v>1435</v>
      </c>
      <c r="O751" s="152" t="s">
        <v>2705</v>
      </c>
      <c r="P751" s="152" t="s">
        <v>2705</v>
      </c>
      <c r="Q751" s="152" t="s">
        <v>1435</v>
      </c>
      <c r="R751" s="152" t="s">
        <v>2398</v>
      </c>
      <c r="S751" s="152" t="s">
        <v>2398</v>
      </c>
      <c r="T751" s="152" t="s">
        <v>2705</v>
      </c>
      <c r="U751" s="152" t="s">
        <v>2675</v>
      </c>
      <c r="V751" s="142" cm="1">
        <f t="array" ref="V751">IF(A751&lt;&gt;"",SUM(--(B751:U752 = "X")*$U$3,--(B751:U752 ="A")*$Q$3,--(B751:U752 ="B")*$R$3,--(B751:U752 ="C")*$S$3),"")</f>
        <v>19.5</v>
      </c>
      <c r="AF751" s="142" t="s">
        <v>7692</v>
      </c>
      <c r="AG751" s="142" t="s">
        <v>2705</v>
      </c>
      <c r="AH751" s="142" t="s">
        <v>2705</v>
      </c>
      <c r="AI751" s="142" t="s">
        <v>2675</v>
      </c>
      <c r="AJ751" s="142" t="s">
        <v>2398</v>
      </c>
      <c r="AK751" s="142" t="s">
        <v>1435</v>
      </c>
      <c r="AL751" s="142" t="s">
        <v>2705</v>
      </c>
      <c r="AM751" s="142" t="s">
        <v>2705</v>
      </c>
      <c r="AN751" s="142" t="s">
        <v>2705</v>
      </c>
      <c r="AO751" s="142" t="s">
        <v>2705</v>
      </c>
      <c r="AP751" s="142" t="s">
        <v>2398</v>
      </c>
      <c r="AQ751" s="142" t="s">
        <v>2705</v>
      </c>
      <c r="AR751" s="142" t="s">
        <v>2705</v>
      </c>
      <c r="AS751" s="142" t="s">
        <v>1435</v>
      </c>
      <c r="AT751" s="142" t="s">
        <v>2705</v>
      </c>
      <c r="AU751" s="142" t="s">
        <v>2705</v>
      </c>
      <c r="AV751" s="142" t="s">
        <v>1435</v>
      </c>
      <c r="AW751" s="142" t="s">
        <v>2398</v>
      </c>
      <c r="AX751" s="142" t="s">
        <v>2398</v>
      </c>
      <c r="AY751" s="142" t="s">
        <v>2705</v>
      </c>
      <c r="AZ751" s="142" t="s">
        <v>2675</v>
      </c>
    </row>
    <row r="752" spans="1:52" s="142" customFormat="1" ht="12.75" x14ac:dyDescent="0.2">
      <c r="A752" s="151"/>
      <c r="B752" s="152" t="s">
        <v>2397</v>
      </c>
      <c r="C752" s="152" t="s">
        <v>2705</v>
      </c>
      <c r="D752" s="152" t="s">
        <v>2705</v>
      </c>
      <c r="E752" s="152" t="s">
        <v>2705</v>
      </c>
      <c r="F752" s="152" t="s">
        <v>2705</v>
      </c>
      <c r="G752" s="152" t="s">
        <v>2675</v>
      </c>
      <c r="H752" s="152" t="s">
        <v>2398</v>
      </c>
      <c r="I752" s="152" t="s">
        <v>2705</v>
      </c>
      <c r="J752" s="152" t="s">
        <v>2705</v>
      </c>
      <c r="K752" s="152" t="s">
        <v>2398</v>
      </c>
      <c r="L752" s="152" t="s">
        <v>2397</v>
      </c>
      <c r="M752" s="152" t="s">
        <v>2705</v>
      </c>
      <c r="N752" s="152" t="s">
        <v>2705</v>
      </c>
      <c r="O752" s="152" t="s">
        <v>2705</v>
      </c>
      <c r="P752" s="152" t="s">
        <v>2398</v>
      </c>
      <c r="Q752" s="152" t="s">
        <v>1435</v>
      </c>
      <c r="R752" s="152" t="s">
        <v>2705</v>
      </c>
      <c r="S752" s="152" t="s">
        <v>2705</v>
      </c>
      <c r="T752" s="152" t="s">
        <v>2398</v>
      </c>
      <c r="U752" s="152" t="s">
        <v>2705</v>
      </c>
      <c r="V752" s="142" t="str" cm="1">
        <f t="array" ref="V752">IF(A752&lt;&gt;"",SUM(--(B752:U753 = "X")*$U$3,--(B752:U753 ="A")*$Q$3,--(B752:U753 ="B")*$R$3,--(B752:U753 ="C")*$S$3),"")</f>
        <v/>
      </c>
      <c r="AG752" s="142" t="s">
        <v>2397</v>
      </c>
      <c r="AH752" s="142" t="s">
        <v>2705</v>
      </c>
      <c r="AI752" s="142" t="s">
        <v>2705</v>
      </c>
      <c r="AJ752" s="142" t="s">
        <v>2705</v>
      </c>
      <c r="AK752" s="142" t="s">
        <v>2705</v>
      </c>
      <c r="AL752" s="142" t="s">
        <v>2675</v>
      </c>
      <c r="AM752" s="142" t="s">
        <v>2398</v>
      </c>
      <c r="AN752" s="142" t="s">
        <v>2705</v>
      </c>
      <c r="AO752" s="142" t="s">
        <v>2705</v>
      </c>
      <c r="AP752" s="142" t="s">
        <v>2398</v>
      </c>
      <c r="AQ752" s="142" t="s">
        <v>2397</v>
      </c>
      <c r="AR752" s="142" t="s">
        <v>2705</v>
      </c>
      <c r="AS752" s="142" t="s">
        <v>2705</v>
      </c>
      <c r="AT752" s="142" t="s">
        <v>2705</v>
      </c>
      <c r="AU752" s="142" t="s">
        <v>2398</v>
      </c>
      <c r="AV752" s="142" t="s">
        <v>1435</v>
      </c>
      <c r="AW752" s="142" t="s">
        <v>2705</v>
      </c>
      <c r="AX752" s="142" t="s">
        <v>2705</v>
      </c>
      <c r="AY752" s="142" t="s">
        <v>2398</v>
      </c>
      <c r="AZ752" s="142" t="s">
        <v>2705</v>
      </c>
    </row>
    <row r="753" spans="1:52" s="142" customFormat="1" ht="12.75" x14ac:dyDescent="0.2">
      <c r="A753" s="151" t="s">
        <v>7693</v>
      </c>
      <c r="B753" s="152" t="s">
        <v>2705</v>
      </c>
      <c r="C753" s="152" t="s">
        <v>2398</v>
      </c>
      <c r="D753" s="152" t="s">
        <v>2705</v>
      </c>
      <c r="E753" s="152" t="s">
        <v>1435</v>
      </c>
      <c r="F753" s="152" t="s">
        <v>2705</v>
      </c>
      <c r="G753" s="152" t="s">
        <v>1435</v>
      </c>
      <c r="H753" s="152" t="s">
        <v>2705</v>
      </c>
      <c r="I753" s="152" t="s">
        <v>2705</v>
      </c>
      <c r="J753" s="152" t="s">
        <v>2705</v>
      </c>
      <c r="K753" s="152" t="s">
        <v>2705</v>
      </c>
      <c r="L753" s="152" t="s">
        <v>2705</v>
      </c>
      <c r="M753" s="152" t="s">
        <v>2398</v>
      </c>
      <c r="N753" s="152" t="s">
        <v>2398</v>
      </c>
      <c r="O753" s="152" t="s">
        <v>2398</v>
      </c>
      <c r="P753" s="152" t="s">
        <v>2675</v>
      </c>
      <c r="Q753" s="152" t="s">
        <v>2398</v>
      </c>
      <c r="R753" s="152" t="s">
        <v>2398</v>
      </c>
      <c r="S753" s="152" t="s">
        <v>2398</v>
      </c>
      <c r="T753" s="152" t="s">
        <v>2705</v>
      </c>
      <c r="U753" s="152" t="s">
        <v>2398</v>
      </c>
      <c r="V753" s="142" cm="1">
        <f t="array" ref="V753">IF(A753&lt;&gt;"",SUM(--(B753:U754 = "X")*$U$3,--(B753:U754 ="A")*$Q$3,--(B753:U754 ="B")*$R$3,--(B753:U754 ="C")*$S$3),"")</f>
        <v>17.5</v>
      </c>
      <c r="AF753" s="142" t="s">
        <v>7693</v>
      </c>
      <c r="AG753" s="142" t="s">
        <v>2705</v>
      </c>
      <c r="AH753" s="142" t="s">
        <v>2398</v>
      </c>
      <c r="AI753" s="142" t="s">
        <v>2705</v>
      </c>
      <c r="AJ753" s="142" t="s">
        <v>1435</v>
      </c>
      <c r="AK753" s="142" t="s">
        <v>2705</v>
      </c>
      <c r="AL753" s="142" t="s">
        <v>1435</v>
      </c>
      <c r="AM753" s="142" t="s">
        <v>2705</v>
      </c>
      <c r="AN753" s="142" t="s">
        <v>2705</v>
      </c>
      <c r="AO753" s="142" t="s">
        <v>2705</v>
      </c>
      <c r="AP753" s="142" t="s">
        <v>2705</v>
      </c>
      <c r="AQ753" s="142" t="s">
        <v>2705</v>
      </c>
      <c r="AR753" s="142" t="s">
        <v>2398</v>
      </c>
      <c r="AS753" s="142" t="s">
        <v>2398</v>
      </c>
      <c r="AT753" s="142" t="s">
        <v>2398</v>
      </c>
      <c r="AU753" s="142" t="s">
        <v>2675</v>
      </c>
      <c r="AV753" s="142" t="s">
        <v>2398</v>
      </c>
      <c r="AW753" s="142" t="s">
        <v>2398</v>
      </c>
      <c r="AX753" s="142" t="s">
        <v>2398</v>
      </c>
      <c r="AY753" s="142" t="s">
        <v>2705</v>
      </c>
      <c r="AZ753" s="142" t="s">
        <v>2398</v>
      </c>
    </row>
    <row r="754" spans="1:52" s="142" customFormat="1" ht="12.75" x14ac:dyDescent="0.2">
      <c r="A754" s="151"/>
      <c r="B754" s="152" t="s">
        <v>2398</v>
      </c>
      <c r="C754" s="152" t="s">
        <v>2705</v>
      </c>
      <c r="D754" s="152" t="s">
        <v>2398</v>
      </c>
      <c r="E754" s="152" t="s">
        <v>2705</v>
      </c>
      <c r="F754" s="152" t="s">
        <v>2705</v>
      </c>
      <c r="G754" s="152" t="s">
        <v>2398</v>
      </c>
      <c r="H754" s="152" t="s">
        <v>2398</v>
      </c>
      <c r="I754" s="152" t="s">
        <v>2705</v>
      </c>
      <c r="J754" s="152" t="s">
        <v>2705</v>
      </c>
      <c r="K754" s="152" t="s">
        <v>2705</v>
      </c>
      <c r="L754" s="152" t="s">
        <v>2397</v>
      </c>
      <c r="M754" s="152" t="s">
        <v>2675</v>
      </c>
      <c r="N754" s="152" t="s">
        <v>2705</v>
      </c>
      <c r="O754" s="152" t="s">
        <v>2705</v>
      </c>
      <c r="P754" s="152" t="s">
        <v>2398</v>
      </c>
      <c r="Q754" s="152" t="s">
        <v>1435</v>
      </c>
      <c r="R754" s="152" t="s">
        <v>2705</v>
      </c>
      <c r="S754" s="152" t="s">
        <v>2705</v>
      </c>
      <c r="T754" s="152" t="s">
        <v>2398</v>
      </c>
      <c r="U754" s="152" t="s">
        <v>2705</v>
      </c>
      <c r="V754" s="142" t="str" cm="1">
        <f t="array" ref="V754">IF(A754&lt;&gt;"",SUM(--(B754:U755 = "X")*$U$3,--(B754:U755 ="A")*$Q$3,--(B754:U755 ="B")*$R$3,--(B754:U755 ="C")*$S$3),"")</f>
        <v/>
      </c>
      <c r="AG754" s="142" t="s">
        <v>2398</v>
      </c>
      <c r="AH754" s="142" t="s">
        <v>2705</v>
      </c>
      <c r="AI754" s="142" t="s">
        <v>2398</v>
      </c>
      <c r="AJ754" s="142" t="s">
        <v>2705</v>
      </c>
      <c r="AK754" s="142" t="s">
        <v>2705</v>
      </c>
      <c r="AL754" s="142" t="s">
        <v>2398</v>
      </c>
      <c r="AM754" s="142" t="s">
        <v>2398</v>
      </c>
      <c r="AN754" s="142" t="s">
        <v>2705</v>
      </c>
      <c r="AO754" s="142" t="s">
        <v>2705</v>
      </c>
      <c r="AP754" s="142" t="s">
        <v>2705</v>
      </c>
      <c r="AQ754" s="142" t="s">
        <v>2397</v>
      </c>
      <c r="AR754" s="142" t="s">
        <v>2675</v>
      </c>
      <c r="AS754" s="142" t="s">
        <v>2705</v>
      </c>
      <c r="AT754" s="142" t="s">
        <v>2705</v>
      </c>
      <c r="AU754" s="142" t="s">
        <v>2398</v>
      </c>
      <c r="AV754" s="142" t="s">
        <v>1435</v>
      </c>
      <c r="AW754" s="142" t="s">
        <v>2705</v>
      </c>
      <c r="AX754" s="142" t="s">
        <v>2705</v>
      </c>
      <c r="AY754" s="142" t="s">
        <v>2398</v>
      </c>
      <c r="AZ754" s="142" t="s">
        <v>2705</v>
      </c>
    </row>
    <row r="755" spans="1:52" s="142" customFormat="1" ht="12.75" x14ac:dyDescent="0.2">
      <c r="A755" s="151" t="s">
        <v>7694</v>
      </c>
      <c r="B755" s="152" t="s">
        <v>2398</v>
      </c>
      <c r="C755" s="152" t="s">
        <v>2705</v>
      </c>
      <c r="D755" s="152" t="s">
        <v>2705</v>
      </c>
      <c r="E755" s="152" t="s">
        <v>2398</v>
      </c>
      <c r="F755" s="152" t="s">
        <v>2398</v>
      </c>
      <c r="G755" s="152" t="s">
        <v>2705</v>
      </c>
      <c r="H755" s="152" t="s">
        <v>2705</v>
      </c>
      <c r="I755" s="152" t="s">
        <v>2705</v>
      </c>
      <c r="J755" s="152" t="s">
        <v>2705</v>
      </c>
      <c r="K755" s="152" t="s">
        <v>2398</v>
      </c>
      <c r="L755" s="152" t="s">
        <v>2705</v>
      </c>
      <c r="M755" s="152" t="s">
        <v>2398</v>
      </c>
      <c r="N755" s="152" t="s">
        <v>2705</v>
      </c>
      <c r="O755" s="152" t="s">
        <v>2705</v>
      </c>
      <c r="P755" s="152" t="s">
        <v>2705</v>
      </c>
      <c r="Q755" s="152" t="s">
        <v>2398</v>
      </c>
      <c r="R755" s="152" t="s">
        <v>2705</v>
      </c>
      <c r="S755" s="152" t="s">
        <v>2705</v>
      </c>
      <c r="T755" s="152" t="s">
        <v>2705</v>
      </c>
      <c r="U755" s="152" t="s">
        <v>2398</v>
      </c>
      <c r="V755" s="142" cm="1">
        <f t="array" ref="V755">IF(A755&lt;&gt;"",SUM(--(B755:U756 = "X")*$U$3,--(B755:U756 ="A")*$Q$3,--(B755:U756 ="B")*$R$3,--(B755:U756 ="C")*$S$3),"")</f>
        <v>20</v>
      </c>
      <c r="AF755" s="142" t="s">
        <v>7694</v>
      </c>
      <c r="AG755" s="142" t="s">
        <v>2398</v>
      </c>
      <c r="AH755" s="142" t="s">
        <v>2705</v>
      </c>
      <c r="AI755" s="142" t="s">
        <v>2705</v>
      </c>
      <c r="AJ755" s="142" t="s">
        <v>2398</v>
      </c>
      <c r="AK755" s="142" t="s">
        <v>2398</v>
      </c>
      <c r="AL755" s="142" t="s">
        <v>2705</v>
      </c>
      <c r="AM755" s="142" t="s">
        <v>2705</v>
      </c>
      <c r="AN755" s="142" t="s">
        <v>2705</v>
      </c>
      <c r="AO755" s="142" t="s">
        <v>2705</v>
      </c>
      <c r="AP755" s="142" t="s">
        <v>2398</v>
      </c>
      <c r="AQ755" s="142" t="s">
        <v>2705</v>
      </c>
      <c r="AR755" s="142" t="s">
        <v>2398</v>
      </c>
      <c r="AS755" s="142" t="s">
        <v>2705</v>
      </c>
      <c r="AT755" s="142" t="s">
        <v>2705</v>
      </c>
      <c r="AU755" s="142" t="s">
        <v>2705</v>
      </c>
      <c r="AV755" s="142" t="s">
        <v>2398</v>
      </c>
      <c r="AW755" s="142" t="s">
        <v>2705</v>
      </c>
      <c r="AX755" s="142" t="s">
        <v>2705</v>
      </c>
      <c r="AY755" s="142" t="s">
        <v>2705</v>
      </c>
      <c r="AZ755" s="142" t="s">
        <v>2398</v>
      </c>
    </row>
    <row r="756" spans="1:52" s="142" customFormat="1" ht="12.75" x14ac:dyDescent="0.2">
      <c r="A756" s="151"/>
      <c r="B756" s="152" t="s">
        <v>2398</v>
      </c>
      <c r="C756" s="152" t="s">
        <v>2398</v>
      </c>
      <c r="D756" s="152" t="s">
        <v>2398</v>
      </c>
      <c r="E756" s="152" t="s">
        <v>2705</v>
      </c>
      <c r="F756" s="152" t="s">
        <v>2398</v>
      </c>
      <c r="G756" s="152" t="s">
        <v>1435</v>
      </c>
      <c r="H756" s="152" t="s">
        <v>2398</v>
      </c>
      <c r="I756" s="152" t="s">
        <v>2705</v>
      </c>
      <c r="J756" s="152" t="s">
        <v>2398</v>
      </c>
      <c r="K756" s="152" t="s">
        <v>2705</v>
      </c>
      <c r="L756" s="152" t="s">
        <v>2398</v>
      </c>
      <c r="M756" s="152" t="s">
        <v>2675</v>
      </c>
      <c r="N756" s="152" t="s">
        <v>2398</v>
      </c>
      <c r="O756" s="152" t="s">
        <v>2705</v>
      </c>
      <c r="P756" s="152" t="s">
        <v>2705</v>
      </c>
      <c r="Q756" s="152" t="s">
        <v>2705</v>
      </c>
      <c r="R756" s="152" t="s">
        <v>2398</v>
      </c>
      <c r="S756" s="152" t="s">
        <v>2398</v>
      </c>
      <c r="T756" s="152" t="s">
        <v>2705</v>
      </c>
      <c r="U756" s="152" t="s">
        <v>2705</v>
      </c>
      <c r="V756" s="142" t="str" cm="1">
        <f t="array" ref="V756">IF(A756&lt;&gt;"",SUM(--(B756:U757 = "X")*$U$3,--(B756:U757 ="A")*$Q$3,--(B756:U757 ="B")*$R$3,--(B756:U757 ="C")*$S$3),"")</f>
        <v/>
      </c>
      <c r="AG756" s="142" t="s">
        <v>2398</v>
      </c>
      <c r="AH756" s="142" t="s">
        <v>2398</v>
      </c>
      <c r="AI756" s="142" t="s">
        <v>2398</v>
      </c>
      <c r="AJ756" s="142" t="s">
        <v>2705</v>
      </c>
      <c r="AK756" s="142" t="s">
        <v>2398</v>
      </c>
      <c r="AL756" s="142" t="s">
        <v>1435</v>
      </c>
      <c r="AM756" s="142" t="s">
        <v>2398</v>
      </c>
      <c r="AN756" s="142" t="s">
        <v>2705</v>
      </c>
      <c r="AO756" s="142" t="s">
        <v>2398</v>
      </c>
      <c r="AP756" s="142" t="s">
        <v>2705</v>
      </c>
      <c r="AQ756" s="142" t="s">
        <v>2398</v>
      </c>
      <c r="AR756" s="142" t="s">
        <v>2675</v>
      </c>
      <c r="AS756" s="142" t="s">
        <v>2398</v>
      </c>
      <c r="AT756" s="142" t="s">
        <v>2705</v>
      </c>
      <c r="AU756" s="142" t="s">
        <v>2705</v>
      </c>
      <c r="AV756" s="142" t="s">
        <v>2705</v>
      </c>
      <c r="AW756" s="142" t="s">
        <v>2398</v>
      </c>
      <c r="AX756" s="142" t="s">
        <v>2398</v>
      </c>
      <c r="AY756" s="142" t="s">
        <v>2705</v>
      </c>
      <c r="AZ756" s="142" t="s">
        <v>2705</v>
      </c>
    </row>
    <row r="757" spans="1:52" s="142" customFormat="1" ht="12.75" x14ac:dyDescent="0.2">
      <c r="A757" s="151" t="s">
        <v>7695</v>
      </c>
      <c r="B757" s="152" t="s">
        <v>2705</v>
      </c>
      <c r="C757" s="152" t="s">
        <v>2705</v>
      </c>
      <c r="D757" s="152" t="s">
        <v>2705</v>
      </c>
      <c r="E757" s="152" t="s">
        <v>2705</v>
      </c>
      <c r="F757" s="152" t="s">
        <v>2705</v>
      </c>
      <c r="G757" s="152" t="s">
        <v>2398</v>
      </c>
      <c r="H757" s="152" t="s">
        <v>2398</v>
      </c>
      <c r="I757" s="152" t="s">
        <v>2675</v>
      </c>
      <c r="J757" s="152" t="s">
        <v>2705</v>
      </c>
      <c r="K757" s="152" t="s">
        <v>2398</v>
      </c>
      <c r="L757" s="152" t="s">
        <v>2705</v>
      </c>
      <c r="M757" s="152" t="s">
        <v>2705</v>
      </c>
      <c r="N757" s="152" t="s">
        <v>2675</v>
      </c>
      <c r="O757" s="152" t="s">
        <v>2397</v>
      </c>
      <c r="P757" s="152" t="s">
        <v>2675</v>
      </c>
      <c r="Q757" s="152" t="s">
        <v>1435</v>
      </c>
      <c r="R757" s="152" t="s">
        <v>2675</v>
      </c>
      <c r="S757" s="152" t="s">
        <v>2398</v>
      </c>
      <c r="T757" s="152" t="s">
        <v>2705</v>
      </c>
      <c r="U757" s="152" t="s">
        <v>2675</v>
      </c>
      <c r="V757" s="142" cm="1">
        <f t="array" ref="V757">IF(A757&lt;&gt;"",SUM(--(B757:U758 = "X")*$U$3,--(B757:U758 ="A")*$Q$3,--(B757:U758 ="B")*$R$3,--(B757:U758 ="C")*$S$3),"")</f>
        <v>15</v>
      </c>
      <c r="AF757" s="142" t="s">
        <v>7695</v>
      </c>
      <c r="AG757" s="142" t="s">
        <v>2705</v>
      </c>
      <c r="AH757" s="142" t="s">
        <v>2705</v>
      </c>
      <c r="AI757" s="142" t="s">
        <v>2705</v>
      </c>
      <c r="AJ757" s="142" t="s">
        <v>2705</v>
      </c>
      <c r="AK757" s="142" t="s">
        <v>2705</v>
      </c>
      <c r="AL757" s="142" t="s">
        <v>2398</v>
      </c>
      <c r="AM757" s="142" t="s">
        <v>2398</v>
      </c>
      <c r="AN757" s="142" t="s">
        <v>2675</v>
      </c>
      <c r="AO757" s="142" t="s">
        <v>2705</v>
      </c>
      <c r="AP757" s="142" t="s">
        <v>2398</v>
      </c>
      <c r="AQ757" s="142" t="s">
        <v>2705</v>
      </c>
      <c r="AR757" s="142" t="s">
        <v>2705</v>
      </c>
      <c r="AS757" s="142" t="s">
        <v>2675</v>
      </c>
      <c r="AT757" s="142" t="s">
        <v>2397</v>
      </c>
      <c r="AU757" s="142" t="s">
        <v>2675</v>
      </c>
      <c r="AV757" s="142" t="s">
        <v>1435</v>
      </c>
      <c r="AW757" s="142" t="s">
        <v>2675</v>
      </c>
      <c r="AX757" s="142" t="s">
        <v>2398</v>
      </c>
      <c r="AY757" s="142" t="s">
        <v>2705</v>
      </c>
      <c r="AZ757" s="142" t="s">
        <v>2675</v>
      </c>
    </row>
    <row r="758" spans="1:52" s="142" customFormat="1" ht="12.75" x14ac:dyDescent="0.2">
      <c r="A758" s="151"/>
      <c r="B758" s="152" t="s">
        <v>2398</v>
      </c>
      <c r="C758" s="152" t="s">
        <v>2398</v>
      </c>
      <c r="D758" s="152" t="s">
        <v>2675</v>
      </c>
      <c r="E758" s="152" t="s">
        <v>2705</v>
      </c>
      <c r="F758" s="152" t="s">
        <v>2705</v>
      </c>
      <c r="G758" s="152" t="s">
        <v>2675</v>
      </c>
      <c r="H758" s="152" t="s">
        <v>2398</v>
      </c>
      <c r="I758" s="152" t="s">
        <v>2705</v>
      </c>
      <c r="J758" s="152" t="s">
        <v>2398</v>
      </c>
      <c r="K758" s="152" t="s">
        <v>2398</v>
      </c>
      <c r="L758" s="152" t="s">
        <v>2397</v>
      </c>
      <c r="M758" s="152" t="s">
        <v>2705</v>
      </c>
      <c r="N758" s="152" t="s">
        <v>2705</v>
      </c>
      <c r="O758" s="152" t="s">
        <v>2705</v>
      </c>
      <c r="P758" s="152" t="s">
        <v>2398</v>
      </c>
      <c r="Q758" s="152" t="s">
        <v>2705</v>
      </c>
      <c r="R758" s="152" t="s">
        <v>2398</v>
      </c>
      <c r="S758" s="152" t="s">
        <v>2705</v>
      </c>
      <c r="T758" s="152" t="s">
        <v>2705</v>
      </c>
      <c r="U758" s="152" t="s">
        <v>2705</v>
      </c>
      <c r="V758" s="142" t="str" cm="1">
        <f t="array" ref="V758">IF(A758&lt;&gt;"",SUM(--(B758:U759 = "X")*$U$3,--(B758:U759 ="A")*$Q$3,--(B758:U759 ="B")*$R$3,--(B758:U759 ="C")*$S$3),"")</f>
        <v/>
      </c>
      <c r="AG758" s="142" t="s">
        <v>2398</v>
      </c>
      <c r="AH758" s="142" t="s">
        <v>2398</v>
      </c>
      <c r="AI758" s="142" t="s">
        <v>2675</v>
      </c>
      <c r="AJ758" s="142" t="s">
        <v>2705</v>
      </c>
      <c r="AK758" s="142" t="s">
        <v>2705</v>
      </c>
      <c r="AL758" s="142" t="s">
        <v>2675</v>
      </c>
      <c r="AM758" s="142" t="s">
        <v>2398</v>
      </c>
      <c r="AN758" s="142" t="s">
        <v>2705</v>
      </c>
      <c r="AO758" s="142" t="s">
        <v>2398</v>
      </c>
      <c r="AP758" s="142" t="s">
        <v>2398</v>
      </c>
      <c r="AQ758" s="142" t="s">
        <v>2397</v>
      </c>
      <c r="AR758" s="142" t="s">
        <v>2705</v>
      </c>
      <c r="AS758" s="142" t="s">
        <v>2705</v>
      </c>
      <c r="AT758" s="142" t="s">
        <v>2705</v>
      </c>
      <c r="AU758" s="142" t="s">
        <v>2398</v>
      </c>
      <c r="AV758" s="142" t="s">
        <v>2705</v>
      </c>
      <c r="AW758" s="142" t="s">
        <v>2398</v>
      </c>
      <c r="AX758" s="142" t="s">
        <v>2705</v>
      </c>
      <c r="AY758" s="142" t="s">
        <v>2705</v>
      </c>
      <c r="AZ758" s="142" t="s">
        <v>2705</v>
      </c>
    </row>
    <row r="759" spans="1:52" s="142" customFormat="1" ht="12.75" x14ac:dyDescent="0.2">
      <c r="A759" s="151" t="s">
        <v>7696</v>
      </c>
      <c r="B759" s="152" t="s">
        <v>2705</v>
      </c>
      <c r="C759" s="152" t="s">
        <v>2705</v>
      </c>
      <c r="D759" s="152" t="s">
        <v>2705</v>
      </c>
      <c r="E759" s="152" t="s">
        <v>2705</v>
      </c>
      <c r="F759" s="152" t="s">
        <v>2705</v>
      </c>
      <c r="G759" s="152" t="s">
        <v>2705</v>
      </c>
      <c r="H759" s="152" t="s">
        <v>2398</v>
      </c>
      <c r="I759" s="152" t="s">
        <v>2705</v>
      </c>
      <c r="J759" s="152" t="s">
        <v>2705</v>
      </c>
      <c r="K759" s="152" t="s">
        <v>2705</v>
      </c>
      <c r="L759" s="152" t="s">
        <v>2705</v>
      </c>
      <c r="M759" s="152" t="s">
        <v>2705</v>
      </c>
      <c r="N759" s="152" t="s">
        <v>2705</v>
      </c>
      <c r="O759" s="152" t="s">
        <v>2398</v>
      </c>
      <c r="P759" s="152" t="s">
        <v>2398</v>
      </c>
      <c r="Q759" s="152" t="s">
        <v>2398</v>
      </c>
      <c r="R759" s="152" t="s">
        <v>2398</v>
      </c>
      <c r="S759" s="152" t="s">
        <v>2398</v>
      </c>
      <c r="T759" s="152" t="s">
        <v>2398</v>
      </c>
      <c r="U759" s="152" t="s">
        <v>2705</v>
      </c>
      <c r="V759" s="142" cm="1">
        <f t="array" ref="V759">IF(A759&lt;&gt;"",SUM(--(B759:U760 = "X")*$U$3,--(B759:U760 ="A")*$Q$3,--(B759:U760 ="B")*$R$3,--(B759:U760 ="C")*$S$3),"")</f>
        <v>27</v>
      </c>
      <c r="AF759" s="142" t="s">
        <v>7696</v>
      </c>
      <c r="AG759" s="142" t="s">
        <v>2705</v>
      </c>
      <c r="AH759" s="142" t="s">
        <v>2705</v>
      </c>
      <c r="AI759" s="142" t="s">
        <v>2705</v>
      </c>
      <c r="AJ759" s="142" t="s">
        <v>2705</v>
      </c>
      <c r="AK759" s="142" t="s">
        <v>2705</v>
      </c>
      <c r="AL759" s="142" t="s">
        <v>2705</v>
      </c>
      <c r="AM759" s="142" t="s">
        <v>2398</v>
      </c>
      <c r="AN759" s="142" t="s">
        <v>2705</v>
      </c>
      <c r="AO759" s="142" t="s">
        <v>2705</v>
      </c>
      <c r="AP759" s="142" t="s">
        <v>2705</v>
      </c>
      <c r="AQ759" s="142" t="s">
        <v>2705</v>
      </c>
      <c r="AR759" s="142" t="s">
        <v>2705</v>
      </c>
      <c r="AS759" s="142" t="s">
        <v>2705</v>
      </c>
      <c r="AT759" s="142" t="s">
        <v>2398</v>
      </c>
      <c r="AU759" s="142" t="s">
        <v>2398</v>
      </c>
      <c r="AV759" s="142" t="s">
        <v>2398</v>
      </c>
      <c r="AW759" s="142" t="s">
        <v>2398</v>
      </c>
      <c r="AX759" s="142" t="s">
        <v>2398</v>
      </c>
      <c r="AY759" s="142" t="s">
        <v>2398</v>
      </c>
      <c r="AZ759" s="142" t="s">
        <v>2705</v>
      </c>
    </row>
    <row r="760" spans="1:52" s="142" customFormat="1" ht="12.75" x14ac:dyDescent="0.2">
      <c r="A760" s="151"/>
      <c r="B760" s="152" t="s">
        <v>2705</v>
      </c>
      <c r="C760" s="152" t="s">
        <v>2705</v>
      </c>
      <c r="D760" s="152" t="s">
        <v>2705</v>
      </c>
      <c r="E760" s="152" t="s">
        <v>2705</v>
      </c>
      <c r="F760" s="152" t="s">
        <v>2705</v>
      </c>
      <c r="G760" s="152" t="s">
        <v>1435</v>
      </c>
      <c r="H760" s="152" t="s">
        <v>2398</v>
      </c>
      <c r="I760" s="152" t="s">
        <v>2705</v>
      </c>
      <c r="J760" s="152" t="s">
        <v>2705</v>
      </c>
      <c r="K760" s="152" t="s">
        <v>2705</v>
      </c>
      <c r="L760" s="152" t="s">
        <v>2398</v>
      </c>
      <c r="M760" s="152" t="s">
        <v>2705</v>
      </c>
      <c r="N760" s="152" t="s">
        <v>2705</v>
      </c>
      <c r="O760" s="152" t="s">
        <v>2705</v>
      </c>
      <c r="P760" s="152" t="s">
        <v>2705</v>
      </c>
      <c r="Q760" s="152" t="s">
        <v>2705</v>
      </c>
      <c r="R760" s="152" t="s">
        <v>2398</v>
      </c>
      <c r="S760" s="152" t="s">
        <v>2675</v>
      </c>
      <c r="T760" s="152" t="s">
        <v>2705</v>
      </c>
      <c r="U760" s="152" t="s">
        <v>2705</v>
      </c>
      <c r="V760" s="142" t="str" cm="1">
        <f t="array" ref="V760">IF(A760&lt;&gt;"",SUM(--(B760:U761 = "X")*$U$3,--(B760:U761 ="A")*$Q$3,--(B760:U761 ="B")*$R$3,--(B760:U761 ="C")*$S$3),"")</f>
        <v/>
      </c>
      <c r="AG760" s="142" t="s">
        <v>2705</v>
      </c>
      <c r="AH760" s="142" t="s">
        <v>2705</v>
      </c>
      <c r="AI760" s="142" t="s">
        <v>2705</v>
      </c>
      <c r="AJ760" s="142" t="s">
        <v>2705</v>
      </c>
      <c r="AK760" s="142" t="s">
        <v>2705</v>
      </c>
      <c r="AL760" s="142" t="s">
        <v>1435</v>
      </c>
      <c r="AM760" s="142" t="s">
        <v>2398</v>
      </c>
      <c r="AN760" s="142" t="s">
        <v>2705</v>
      </c>
      <c r="AO760" s="142" t="s">
        <v>2705</v>
      </c>
      <c r="AP760" s="142" t="s">
        <v>2705</v>
      </c>
      <c r="AQ760" s="142" t="s">
        <v>2398</v>
      </c>
      <c r="AR760" s="142" t="s">
        <v>2705</v>
      </c>
      <c r="AS760" s="142" t="s">
        <v>2705</v>
      </c>
      <c r="AT760" s="142" t="s">
        <v>2705</v>
      </c>
      <c r="AU760" s="142" t="s">
        <v>2705</v>
      </c>
      <c r="AV760" s="142" t="s">
        <v>2705</v>
      </c>
      <c r="AW760" s="142" t="s">
        <v>2398</v>
      </c>
      <c r="AX760" s="142" t="s">
        <v>2675</v>
      </c>
      <c r="AY760" s="142" t="s">
        <v>2705</v>
      </c>
      <c r="AZ760" s="142" t="s">
        <v>2705</v>
      </c>
    </row>
    <row r="761" spans="1:52" s="142" customFormat="1" ht="12.75" x14ac:dyDescent="0.2">
      <c r="A761" s="151" t="s">
        <v>7697</v>
      </c>
      <c r="B761" s="152" t="s">
        <v>2705</v>
      </c>
      <c r="C761" s="152" t="s">
        <v>2705</v>
      </c>
      <c r="D761" s="152" t="s">
        <v>2705</v>
      </c>
      <c r="E761" s="152" t="s">
        <v>2398</v>
      </c>
      <c r="F761" s="152" t="s">
        <v>2397</v>
      </c>
      <c r="G761" s="152" t="s">
        <v>2705</v>
      </c>
      <c r="H761" s="152" t="s">
        <v>2398</v>
      </c>
      <c r="I761" s="152" t="s">
        <v>2705</v>
      </c>
      <c r="J761" s="152" t="s">
        <v>2705</v>
      </c>
      <c r="K761" s="152" t="s">
        <v>2705</v>
      </c>
      <c r="L761" s="152" t="s">
        <v>2705</v>
      </c>
      <c r="M761" s="152" t="s">
        <v>2705</v>
      </c>
      <c r="N761" s="152" t="s">
        <v>2705</v>
      </c>
      <c r="O761" s="152" t="s">
        <v>2705</v>
      </c>
      <c r="P761" s="152" t="s">
        <v>2675</v>
      </c>
      <c r="Q761" s="152" t="s">
        <v>2398</v>
      </c>
      <c r="R761" s="152" t="s">
        <v>2398</v>
      </c>
      <c r="S761" s="152" t="s">
        <v>2398</v>
      </c>
      <c r="T761" s="152" t="s">
        <v>2398</v>
      </c>
      <c r="U761" s="152" t="s">
        <v>2398</v>
      </c>
      <c r="V761" s="142" cm="1">
        <f t="array" ref="V761">IF(A761&lt;&gt;"",SUM(--(B761:U762 = "X")*$U$3,--(B761:U762 ="A")*$Q$3,--(B761:U762 ="B")*$R$3,--(B761:U762 ="C")*$S$3),"")</f>
        <v>22</v>
      </c>
      <c r="AF761" s="142" t="s">
        <v>7697</v>
      </c>
      <c r="AG761" s="142" t="s">
        <v>2705</v>
      </c>
      <c r="AH761" s="142" t="s">
        <v>2705</v>
      </c>
      <c r="AI761" s="142" t="s">
        <v>2705</v>
      </c>
      <c r="AJ761" s="142" t="s">
        <v>2398</v>
      </c>
      <c r="AK761" s="142" t="s">
        <v>2397</v>
      </c>
      <c r="AL761" s="142" t="s">
        <v>2705</v>
      </c>
      <c r="AM761" s="142" t="s">
        <v>2398</v>
      </c>
      <c r="AN761" s="142" t="s">
        <v>2705</v>
      </c>
      <c r="AO761" s="142" t="s">
        <v>2705</v>
      </c>
      <c r="AP761" s="142" t="s">
        <v>2705</v>
      </c>
      <c r="AQ761" s="142" t="s">
        <v>2705</v>
      </c>
      <c r="AR761" s="142" t="s">
        <v>2705</v>
      </c>
      <c r="AS761" s="142" t="s">
        <v>2705</v>
      </c>
      <c r="AT761" s="142" t="s">
        <v>2705</v>
      </c>
      <c r="AU761" s="142" t="s">
        <v>2675</v>
      </c>
      <c r="AV761" s="142" t="s">
        <v>2398</v>
      </c>
      <c r="AW761" s="142" t="s">
        <v>2398</v>
      </c>
      <c r="AX761" s="142" t="s">
        <v>2398</v>
      </c>
      <c r="AY761" s="142" t="s">
        <v>2398</v>
      </c>
      <c r="AZ761" s="142" t="s">
        <v>2398</v>
      </c>
    </row>
    <row r="762" spans="1:52" s="142" customFormat="1" ht="12.75" x14ac:dyDescent="0.2">
      <c r="A762" s="151"/>
      <c r="B762" s="152" t="s">
        <v>2398</v>
      </c>
      <c r="C762" s="152" t="s">
        <v>1435</v>
      </c>
      <c r="D762" s="152" t="s">
        <v>2705</v>
      </c>
      <c r="E762" s="152" t="s">
        <v>2675</v>
      </c>
      <c r="F762" s="152" t="s">
        <v>2705</v>
      </c>
      <c r="G762" s="152" t="s">
        <v>2705</v>
      </c>
      <c r="H762" s="152" t="s">
        <v>2705</v>
      </c>
      <c r="I762" s="152" t="s">
        <v>2705</v>
      </c>
      <c r="J762" s="152" t="s">
        <v>2398</v>
      </c>
      <c r="K762" s="152" t="s">
        <v>2705</v>
      </c>
      <c r="L762" s="152" t="s">
        <v>2705</v>
      </c>
      <c r="M762" s="152" t="s">
        <v>2675</v>
      </c>
      <c r="N762" s="152" t="s">
        <v>2705</v>
      </c>
      <c r="O762" s="152" t="s">
        <v>2705</v>
      </c>
      <c r="P762" s="152" t="s">
        <v>2705</v>
      </c>
      <c r="Q762" s="152" t="s">
        <v>2705</v>
      </c>
      <c r="R762" s="152" t="s">
        <v>2705</v>
      </c>
      <c r="S762" s="152" t="s">
        <v>2398</v>
      </c>
      <c r="T762" s="152" t="s">
        <v>2705</v>
      </c>
      <c r="U762" s="152" t="s">
        <v>2398</v>
      </c>
      <c r="V762" s="142" t="str" cm="1">
        <f t="array" ref="V762">IF(A762&lt;&gt;"",SUM(--(B762:U763 = "X")*$U$3,--(B762:U763 ="A")*$Q$3,--(B762:U763 ="B")*$R$3,--(B762:U763 ="C")*$S$3),"")</f>
        <v/>
      </c>
      <c r="AG762" s="142" t="s">
        <v>2398</v>
      </c>
      <c r="AH762" s="142" t="s">
        <v>1435</v>
      </c>
      <c r="AI762" s="142" t="s">
        <v>2705</v>
      </c>
      <c r="AJ762" s="142" t="s">
        <v>2675</v>
      </c>
      <c r="AK762" s="142" t="s">
        <v>2705</v>
      </c>
      <c r="AL762" s="142" t="s">
        <v>2705</v>
      </c>
      <c r="AM762" s="142" t="s">
        <v>2705</v>
      </c>
      <c r="AN762" s="142" t="s">
        <v>2705</v>
      </c>
      <c r="AO762" s="142" t="s">
        <v>2398</v>
      </c>
      <c r="AP762" s="142" t="s">
        <v>2705</v>
      </c>
      <c r="AQ762" s="142" t="s">
        <v>2705</v>
      </c>
      <c r="AR762" s="142" t="s">
        <v>2675</v>
      </c>
      <c r="AS762" s="142" t="s">
        <v>2705</v>
      </c>
      <c r="AT762" s="142" t="s">
        <v>2705</v>
      </c>
      <c r="AU762" s="142" t="s">
        <v>2705</v>
      </c>
      <c r="AV762" s="142" t="s">
        <v>2705</v>
      </c>
      <c r="AW762" s="142" t="s">
        <v>2705</v>
      </c>
      <c r="AX762" s="142" t="s">
        <v>2398</v>
      </c>
      <c r="AY762" s="142" t="s">
        <v>2705</v>
      </c>
      <c r="AZ762" s="142" t="s">
        <v>2398</v>
      </c>
    </row>
    <row r="763" spans="1:52" s="142" customFormat="1" ht="12.75" x14ac:dyDescent="0.2">
      <c r="A763" s="151" t="s">
        <v>7698</v>
      </c>
      <c r="B763" s="152" t="s">
        <v>2398</v>
      </c>
      <c r="C763" s="152" t="s">
        <v>2398</v>
      </c>
      <c r="D763" s="152" t="s">
        <v>2705</v>
      </c>
      <c r="E763" s="152" t="s">
        <v>2398</v>
      </c>
      <c r="F763" s="152" t="s">
        <v>2398</v>
      </c>
      <c r="G763" s="152" t="s">
        <v>2398</v>
      </c>
      <c r="H763" s="152" t="s">
        <v>2705</v>
      </c>
      <c r="I763" s="152" t="s">
        <v>2398</v>
      </c>
      <c r="J763" s="152" t="s">
        <v>2705</v>
      </c>
      <c r="K763" s="152" t="s">
        <v>2705</v>
      </c>
      <c r="L763" s="152" t="s">
        <v>2705</v>
      </c>
      <c r="M763" s="152" t="s">
        <v>2398</v>
      </c>
      <c r="N763" s="152" t="s">
        <v>2705</v>
      </c>
      <c r="O763" s="152" t="s">
        <v>2397</v>
      </c>
      <c r="P763" s="152" t="s">
        <v>2398</v>
      </c>
      <c r="Q763" s="152" t="s">
        <v>2705</v>
      </c>
      <c r="R763" s="152" t="s">
        <v>2705</v>
      </c>
      <c r="S763" s="152" t="s">
        <v>2398</v>
      </c>
      <c r="T763" s="152" t="s">
        <v>2398</v>
      </c>
      <c r="U763" s="152" t="s">
        <v>2705</v>
      </c>
      <c r="V763" s="142" cm="1">
        <f t="array" ref="V763">IF(A763&lt;&gt;"",SUM(--(B763:U764 = "X")*$U$3,--(B763:U764 ="A")*$Q$3,--(B763:U764 ="B")*$R$3,--(B763:U764 ="C")*$S$3),"")</f>
        <v>15.5</v>
      </c>
      <c r="AF763" s="142" t="s">
        <v>7698</v>
      </c>
      <c r="AG763" s="142" t="s">
        <v>2398</v>
      </c>
      <c r="AH763" s="142" t="s">
        <v>2398</v>
      </c>
      <c r="AI763" s="142" t="s">
        <v>2705</v>
      </c>
      <c r="AJ763" s="142" t="s">
        <v>2398</v>
      </c>
      <c r="AK763" s="142" t="s">
        <v>2398</v>
      </c>
      <c r="AL763" s="142" t="s">
        <v>2398</v>
      </c>
      <c r="AM763" s="142" t="s">
        <v>2705</v>
      </c>
      <c r="AN763" s="142" t="s">
        <v>2398</v>
      </c>
      <c r="AO763" s="142" t="s">
        <v>2705</v>
      </c>
      <c r="AP763" s="142" t="s">
        <v>2705</v>
      </c>
      <c r="AQ763" s="142" t="s">
        <v>2705</v>
      </c>
      <c r="AR763" s="142" t="s">
        <v>2398</v>
      </c>
      <c r="AS763" s="142" t="s">
        <v>2705</v>
      </c>
      <c r="AT763" s="142" t="s">
        <v>2397</v>
      </c>
      <c r="AU763" s="142" t="s">
        <v>2398</v>
      </c>
      <c r="AV763" s="142" t="s">
        <v>2705</v>
      </c>
      <c r="AW763" s="142" t="s">
        <v>2705</v>
      </c>
      <c r="AX763" s="142" t="s">
        <v>2398</v>
      </c>
      <c r="AY763" s="142" t="s">
        <v>2398</v>
      </c>
      <c r="AZ763" s="142" t="s">
        <v>2705</v>
      </c>
    </row>
    <row r="764" spans="1:52" s="142" customFormat="1" ht="12.75" x14ac:dyDescent="0.2">
      <c r="A764" s="151"/>
      <c r="B764" s="152" t="s">
        <v>2397</v>
      </c>
      <c r="C764" s="152" t="s">
        <v>2398</v>
      </c>
      <c r="D764" s="152" t="s">
        <v>2705</v>
      </c>
      <c r="E764" s="152" t="s">
        <v>2675</v>
      </c>
      <c r="F764" s="152" t="s">
        <v>2705</v>
      </c>
      <c r="G764" s="152" t="s">
        <v>2705</v>
      </c>
      <c r="H764" s="152" t="s">
        <v>2397</v>
      </c>
      <c r="I764" s="152" t="s">
        <v>2705</v>
      </c>
      <c r="J764" s="152" t="s">
        <v>2705</v>
      </c>
      <c r="K764" s="152" t="s">
        <v>1435</v>
      </c>
      <c r="L764" s="152" t="s">
        <v>2398</v>
      </c>
      <c r="M764" s="152" t="s">
        <v>2675</v>
      </c>
      <c r="N764" s="152" t="s">
        <v>2705</v>
      </c>
      <c r="O764" s="152" t="s">
        <v>2705</v>
      </c>
      <c r="P764" s="152" t="s">
        <v>2675</v>
      </c>
      <c r="Q764" s="152" t="s">
        <v>2398</v>
      </c>
      <c r="R764" s="152" t="s">
        <v>2705</v>
      </c>
      <c r="S764" s="152" t="s">
        <v>2675</v>
      </c>
      <c r="T764" s="152" t="s">
        <v>2705</v>
      </c>
      <c r="U764" s="152" t="s">
        <v>2398</v>
      </c>
      <c r="V764" s="142" t="str" cm="1">
        <f t="array" ref="V764">IF(A764&lt;&gt;"",SUM(--(B764:U765 = "X")*$U$3,--(B764:U765 ="A")*$Q$3,--(B764:U765 ="B")*$R$3,--(B764:U765 ="C")*$S$3),"")</f>
        <v/>
      </c>
      <c r="AG764" s="142" t="s">
        <v>2397</v>
      </c>
      <c r="AH764" s="142" t="s">
        <v>2398</v>
      </c>
      <c r="AI764" s="142" t="s">
        <v>2705</v>
      </c>
      <c r="AJ764" s="142" t="s">
        <v>2675</v>
      </c>
      <c r="AK764" s="142" t="s">
        <v>2705</v>
      </c>
      <c r="AL764" s="142" t="s">
        <v>2705</v>
      </c>
      <c r="AM764" s="142" t="s">
        <v>2397</v>
      </c>
      <c r="AN764" s="142" t="s">
        <v>2705</v>
      </c>
      <c r="AO764" s="142" t="s">
        <v>2705</v>
      </c>
      <c r="AP764" s="142" t="s">
        <v>1435</v>
      </c>
      <c r="AQ764" s="142" t="s">
        <v>2398</v>
      </c>
      <c r="AR764" s="142" t="s">
        <v>2675</v>
      </c>
      <c r="AS764" s="142" t="s">
        <v>2705</v>
      </c>
      <c r="AT764" s="142" t="s">
        <v>2705</v>
      </c>
      <c r="AU764" s="142" t="s">
        <v>2675</v>
      </c>
      <c r="AV764" s="142" t="s">
        <v>2398</v>
      </c>
      <c r="AW764" s="142" t="s">
        <v>2705</v>
      </c>
      <c r="AX764" s="142" t="s">
        <v>2675</v>
      </c>
      <c r="AY764" s="142" t="s">
        <v>2705</v>
      </c>
      <c r="AZ764" s="142" t="s">
        <v>2398</v>
      </c>
    </row>
    <row r="765" spans="1:52" s="142" customFormat="1" ht="12.75" x14ac:dyDescent="0.2">
      <c r="A765" s="151" t="s">
        <v>7699</v>
      </c>
      <c r="B765" s="152" t="s">
        <v>1435</v>
      </c>
      <c r="C765" s="152" t="s">
        <v>2398</v>
      </c>
      <c r="D765" s="152" t="s">
        <v>2675</v>
      </c>
      <c r="E765" s="152" t="s">
        <v>2705</v>
      </c>
      <c r="F765" s="152" t="s">
        <v>2398</v>
      </c>
      <c r="G765" s="152" t="s">
        <v>2705</v>
      </c>
      <c r="H765" s="152" t="s">
        <v>2675</v>
      </c>
      <c r="I765" s="152" t="s">
        <v>2705</v>
      </c>
      <c r="J765" s="152" t="s">
        <v>2705</v>
      </c>
      <c r="K765" s="152" t="s">
        <v>2705</v>
      </c>
      <c r="L765" s="152" t="s">
        <v>2398</v>
      </c>
      <c r="M765" s="152" t="s">
        <v>2705</v>
      </c>
      <c r="N765" s="152" t="s">
        <v>2705</v>
      </c>
      <c r="O765" s="152" t="s">
        <v>1435</v>
      </c>
      <c r="P765" s="152" t="s">
        <v>2705</v>
      </c>
      <c r="Q765" s="152" t="s">
        <v>2675</v>
      </c>
      <c r="R765" s="152" t="s">
        <v>2705</v>
      </c>
      <c r="S765" s="152" t="s">
        <v>2705</v>
      </c>
      <c r="T765" s="152" t="s">
        <v>2398</v>
      </c>
      <c r="U765" s="152" t="s">
        <v>2705</v>
      </c>
      <c r="V765" s="142" cm="1">
        <f t="array" ref="V765">IF(A765&lt;&gt;"",SUM(--(B765:U766 = "X")*$U$3,--(B765:U766 ="A")*$Q$3,--(B765:U766 ="B")*$R$3,--(B765:U766 ="C")*$S$3),"")</f>
        <v>18.5</v>
      </c>
      <c r="AF765" s="142" t="s">
        <v>7699</v>
      </c>
      <c r="AG765" s="142" t="s">
        <v>1435</v>
      </c>
      <c r="AH765" s="142" t="s">
        <v>2398</v>
      </c>
      <c r="AI765" s="142" t="s">
        <v>2675</v>
      </c>
      <c r="AJ765" s="142" t="s">
        <v>2705</v>
      </c>
      <c r="AK765" s="142" t="s">
        <v>2398</v>
      </c>
      <c r="AL765" s="142" t="s">
        <v>2705</v>
      </c>
      <c r="AM765" s="142" t="s">
        <v>2675</v>
      </c>
      <c r="AN765" s="142" t="s">
        <v>2705</v>
      </c>
      <c r="AO765" s="142" t="s">
        <v>2705</v>
      </c>
      <c r="AP765" s="142" t="s">
        <v>2705</v>
      </c>
      <c r="AQ765" s="142" t="s">
        <v>2398</v>
      </c>
      <c r="AR765" s="142" t="s">
        <v>2705</v>
      </c>
      <c r="AS765" s="142" t="s">
        <v>2705</v>
      </c>
      <c r="AT765" s="142" t="s">
        <v>1435</v>
      </c>
      <c r="AU765" s="142" t="s">
        <v>2705</v>
      </c>
      <c r="AV765" s="142" t="s">
        <v>2675</v>
      </c>
      <c r="AW765" s="142" t="s">
        <v>2705</v>
      </c>
      <c r="AX765" s="142" t="s">
        <v>2705</v>
      </c>
      <c r="AY765" s="142" t="s">
        <v>2398</v>
      </c>
      <c r="AZ765" s="142" t="s">
        <v>2705</v>
      </c>
    </row>
    <row r="766" spans="1:52" s="142" customFormat="1" ht="12.75" x14ac:dyDescent="0.2">
      <c r="A766" s="151"/>
      <c r="B766" s="152" t="s">
        <v>2705</v>
      </c>
      <c r="C766" s="152" t="s">
        <v>2675</v>
      </c>
      <c r="D766" s="152" t="s">
        <v>1435</v>
      </c>
      <c r="E766" s="152" t="s">
        <v>2705</v>
      </c>
      <c r="F766" s="152" t="s">
        <v>2705</v>
      </c>
      <c r="G766" s="152" t="s">
        <v>2398</v>
      </c>
      <c r="H766" s="152" t="s">
        <v>2398</v>
      </c>
      <c r="I766" s="152" t="s">
        <v>2705</v>
      </c>
      <c r="J766" s="152" t="s">
        <v>2397</v>
      </c>
      <c r="K766" s="152" t="s">
        <v>2705</v>
      </c>
      <c r="L766" s="152" t="s">
        <v>2705</v>
      </c>
      <c r="M766" s="152" t="s">
        <v>2705</v>
      </c>
      <c r="N766" s="152" t="s">
        <v>2705</v>
      </c>
      <c r="O766" s="152" t="s">
        <v>2705</v>
      </c>
      <c r="P766" s="152" t="s">
        <v>2675</v>
      </c>
      <c r="Q766" s="152" t="s">
        <v>1435</v>
      </c>
      <c r="R766" s="152" t="s">
        <v>2705</v>
      </c>
      <c r="S766" s="152" t="s">
        <v>2705</v>
      </c>
      <c r="T766" s="152" t="s">
        <v>2705</v>
      </c>
      <c r="U766" s="152" t="s">
        <v>2398</v>
      </c>
      <c r="V766" s="142" t="str" cm="1">
        <f t="array" ref="V766">IF(A766&lt;&gt;"",SUM(--(B766:U767 = "X")*$U$3,--(B766:U767 ="A")*$Q$3,--(B766:U767 ="B")*$R$3,--(B766:U767 ="C")*$S$3),"")</f>
        <v/>
      </c>
      <c r="AG766" s="142" t="s">
        <v>2705</v>
      </c>
      <c r="AH766" s="142" t="s">
        <v>2675</v>
      </c>
      <c r="AI766" s="142" t="s">
        <v>1435</v>
      </c>
      <c r="AJ766" s="142" t="s">
        <v>2705</v>
      </c>
      <c r="AK766" s="142" t="s">
        <v>2705</v>
      </c>
      <c r="AL766" s="142" t="s">
        <v>2398</v>
      </c>
      <c r="AM766" s="142" t="s">
        <v>2398</v>
      </c>
      <c r="AN766" s="142" t="s">
        <v>2705</v>
      </c>
      <c r="AO766" s="142" t="s">
        <v>2397</v>
      </c>
      <c r="AP766" s="142" t="s">
        <v>2705</v>
      </c>
      <c r="AQ766" s="142" t="s">
        <v>2705</v>
      </c>
      <c r="AR766" s="142" t="s">
        <v>2705</v>
      </c>
      <c r="AS766" s="142" t="s">
        <v>2705</v>
      </c>
      <c r="AT766" s="142" t="s">
        <v>2705</v>
      </c>
      <c r="AU766" s="142" t="s">
        <v>2675</v>
      </c>
      <c r="AV766" s="142" t="s">
        <v>1435</v>
      </c>
      <c r="AW766" s="142" t="s">
        <v>2705</v>
      </c>
      <c r="AX766" s="142" t="s">
        <v>2705</v>
      </c>
      <c r="AY766" s="142" t="s">
        <v>2705</v>
      </c>
      <c r="AZ766" s="142" t="s">
        <v>2398</v>
      </c>
    </row>
    <row r="767" spans="1:52" s="142" customFormat="1" ht="12.75" x14ac:dyDescent="0.2">
      <c r="A767" s="151" t="s">
        <v>7700</v>
      </c>
      <c r="B767" s="152" t="s">
        <v>2705</v>
      </c>
      <c r="C767" s="152" t="s">
        <v>2398</v>
      </c>
      <c r="D767" s="152" t="s">
        <v>2705</v>
      </c>
      <c r="E767" s="152" t="s">
        <v>2398</v>
      </c>
      <c r="F767" s="152" t="s">
        <v>2705</v>
      </c>
      <c r="G767" s="152" t="s">
        <v>2397</v>
      </c>
      <c r="H767" s="152" t="s">
        <v>2398</v>
      </c>
      <c r="I767" s="152" t="s">
        <v>2398</v>
      </c>
      <c r="J767" s="152" t="s">
        <v>2398</v>
      </c>
      <c r="K767" s="152" t="s">
        <v>1435</v>
      </c>
      <c r="L767" s="152" t="s">
        <v>2705</v>
      </c>
      <c r="M767" s="152" t="s">
        <v>2705</v>
      </c>
      <c r="N767" s="152" t="s">
        <v>1435</v>
      </c>
      <c r="O767" s="152" t="s">
        <v>1435</v>
      </c>
      <c r="P767" s="152" t="s">
        <v>2398</v>
      </c>
      <c r="Q767" s="152" t="s">
        <v>2398</v>
      </c>
      <c r="R767" s="152" t="s">
        <v>2398</v>
      </c>
      <c r="S767" s="152" t="s">
        <v>2398</v>
      </c>
      <c r="T767" s="152" t="s">
        <v>2705</v>
      </c>
      <c r="U767" s="152" t="s">
        <v>2398</v>
      </c>
      <c r="V767" s="142" cm="1">
        <f t="array" ref="V767">IF(A767&lt;&gt;"",SUM(--(B767:U768 = "X")*$U$3,--(B767:U768 ="A")*$Q$3,--(B767:U768 ="B")*$R$3,--(B767:U768 ="C")*$S$3),"")</f>
        <v>10.5</v>
      </c>
      <c r="AF767" s="142" t="s">
        <v>7700</v>
      </c>
      <c r="AG767" s="142" t="s">
        <v>2705</v>
      </c>
      <c r="AH767" s="142" t="s">
        <v>2398</v>
      </c>
      <c r="AI767" s="142" t="s">
        <v>2705</v>
      </c>
      <c r="AJ767" s="142" t="s">
        <v>2398</v>
      </c>
      <c r="AK767" s="142" t="s">
        <v>2705</v>
      </c>
      <c r="AL767" s="142" t="s">
        <v>2397</v>
      </c>
      <c r="AM767" s="142" t="s">
        <v>2398</v>
      </c>
      <c r="AN767" s="142" t="s">
        <v>2398</v>
      </c>
      <c r="AO767" s="142" t="s">
        <v>2398</v>
      </c>
      <c r="AP767" s="142" t="s">
        <v>1435</v>
      </c>
      <c r="AQ767" s="142" t="s">
        <v>2705</v>
      </c>
      <c r="AR767" s="142" t="s">
        <v>2705</v>
      </c>
      <c r="AS767" s="142" t="s">
        <v>1435</v>
      </c>
      <c r="AT767" s="142" t="s">
        <v>1435</v>
      </c>
      <c r="AU767" s="142" t="s">
        <v>2398</v>
      </c>
      <c r="AV767" s="142" t="s">
        <v>2398</v>
      </c>
      <c r="AW767" s="142" t="s">
        <v>2398</v>
      </c>
      <c r="AX767" s="142" t="s">
        <v>2398</v>
      </c>
      <c r="AY767" s="142" t="s">
        <v>2705</v>
      </c>
      <c r="AZ767" s="142" t="s">
        <v>2398</v>
      </c>
    </row>
    <row r="768" spans="1:52" s="142" customFormat="1" ht="12.75" x14ac:dyDescent="0.2">
      <c r="A768" s="151"/>
      <c r="B768" s="152" t="s">
        <v>2398</v>
      </c>
      <c r="C768" s="152" t="s">
        <v>2705</v>
      </c>
      <c r="D768" s="152" t="s">
        <v>2705</v>
      </c>
      <c r="E768" s="152" t="s">
        <v>1435</v>
      </c>
      <c r="F768" s="152" t="s">
        <v>2398</v>
      </c>
      <c r="G768" s="152" t="s">
        <v>2675</v>
      </c>
      <c r="H768" s="152" t="s">
        <v>2705</v>
      </c>
      <c r="I768" s="152" t="s">
        <v>2705</v>
      </c>
      <c r="J768" s="152" t="s">
        <v>2705</v>
      </c>
      <c r="K768" s="152" t="s">
        <v>2675</v>
      </c>
      <c r="L768" s="152" t="s">
        <v>2397</v>
      </c>
      <c r="M768" s="152" t="s">
        <v>2398</v>
      </c>
      <c r="N768" s="152" t="s">
        <v>2398</v>
      </c>
      <c r="O768" s="152" t="s">
        <v>2705</v>
      </c>
      <c r="P768" s="152" t="s">
        <v>2398</v>
      </c>
      <c r="Q768" s="152" t="s">
        <v>1435</v>
      </c>
      <c r="R768" s="152" t="s">
        <v>2398</v>
      </c>
      <c r="S768" s="152" t="s">
        <v>2705</v>
      </c>
      <c r="T768" s="152" t="s">
        <v>2705</v>
      </c>
      <c r="U768" s="152" t="s">
        <v>2398</v>
      </c>
      <c r="V768" s="142" t="str" cm="1">
        <f t="array" ref="V768">IF(A768&lt;&gt;"",SUM(--(B768:U769 = "X")*$U$3,--(B768:U769 ="A")*$Q$3,--(B768:U769 ="B")*$R$3,--(B768:U769 ="C")*$S$3),"")</f>
        <v/>
      </c>
      <c r="AG768" s="142" t="s">
        <v>2398</v>
      </c>
      <c r="AH768" s="142" t="s">
        <v>2705</v>
      </c>
      <c r="AI768" s="142" t="s">
        <v>2705</v>
      </c>
      <c r="AJ768" s="142" t="s">
        <v>1435</v>
      </c>
      <c r="AK768" s="142" t="s">
        <v>2398</v>
      </c>
      <c r="AL768" s="142" t="s">
        <v>2675</v>
      </c>
      <c r="AM768" s="142" t="s">
        <v>2705</v>
      </c>
      <c r="AN768" s="142" t="s">
        <v>2705</v>
      </c>
      <c r="AO768" s="142" t="s">
        <v>2705</v>
      </c>
      <c r="AP768" s="142" t="s">
        <v>2675</v>
      </c>
      <c r="AQ768" s="142" t="s">
        <v>2397</v>
      </c>
      <c r="AR768" s="142" t="s">
        <v>2398</v>
      </c>
      <c r="AS768" s="142" t="s">
        <v>2398</v>
      </c>
      <c r="AT768" s="142" t="s">
        <v>2705</v>
      </c>
      <c r="AU768" s="142" t="s">
        <v>2398</v>
      </c>
      <c r="AV768" s="142" t="s">
        <v>1435</v>
      </c>
      <c r="AW768" s="142" t="s">
        <v>2398</v>
      </c>
      <c r="AX768" s="142" t="s">
        <v>2705</v>
      </c>
      <c r="AY768" s="142" t="s">
        <v>2705</v>
      </c>
      <c r="AZ768" s="142" t="s">
        <v>2398</v>
      </c>
    </row>
    <row r="769" spans="1:52" s="142" customFormat="1" ht="12.75" x14ac:dyDescent="0.2">
      <c r="A769" s="151" t="s">
        <v>7701</v>
      </c>
      <c r="B769" s="152" t="s">
        <v>2397</v>
      </c>
      <c r="C769" s="152" t="s">
        <v>2398</v>
      </c>
      <c r="D769" s="152" t="s">
        <v>2705</v>
      </c>
      <c r="E769" s="152" t="s">
        <v>1435</v>
      </c>
      <c r="F769" s="152" t="s">
        <v>2397</v>
      </c>
      <c r="G769" s="152" t="s">
        <v>2705</v>
      </c>
      <c r="H769" s="152" t="s">
        <v>2705</v>
      </c>
      <c r="I769" s="152" t="s">
        <v>2675</v>
      </c>
      <c r="J769" s="152" t="s">
        <v>2675</v>
      </c>
      <c r="K769" s="152" t="s">
        <v>2705</v>
      </c>
      <c r="L769" s="152" t="s">
        <v>1435</v>
      </c>
      <c r="M769" s="152" t="s">
        <v>2705</v>
      </c>
      <c r="N769" s="152" t="s">
        <v>2705</v>
      </c>
      <c r="O769" s="152" t="s">
        <v>2675</v>
      </c>
      <c r="P769" s="152" t="s">
        <v>2705</v>
      </c>
      <c r="Q769" s="152" t="s">
        <v>2705</v>
      </c>
      <c r="R769" s="152" t="s">
        <v>2675</v>
      </c>
      <c r="S769" s="152" t="s">
        <v>2705</v>
      </c>
      <c r="T769" s="152" t="s">
        <v>2397</v>
      </c>
      <c r="U769" s="152" t="s">
        <v>2705</v>
      </c>
      <c r="V769" s="142" cm="1">
        <f t="array" ref="V769">IF(A769&lt;&gt;"",SUM(--(B769:U770 = "X")*$U$3,--(B769:U770 ="A")*$Q$3,--(B769:U770 ="B")*$R$3,--(B769:U770 ="C")*$S$3),"")</f>
        <v>15.5</v>
      </c>
      <c r="AF769" s="142" t="s">
        <v>7701</v>
      </c>
      <c r="AG769" s="142" t="s">
        <v>2397</v>
      </c>
      <c r="AH769" s="142" t="s">
        <v>2398</v>
      </c>
      <c r="AI769" s="142" t="s">
        <v>2705</v>
      </c>
      <c r="AJ769" s="142" t="s">
        <v>1435</v>
      </c>
      <c r="AK769" s="142" t="s">
        <v>2397</v>
      </c>
      <c r="AL769" s="142" t="s">
        <v>2705</v>
      </c>
      <c r="AM769" s="142" t="s">
        <v>2705</v>
      </c>
      <c r="AN769" s="142" t="s">
        <v>2675</v>
      </c>
      <c r="AO769" s="142" t="s">
        <v>2675</v>
      </c>
      <c r="AP769" s="142" t="s">
        <v>2705</v>
      </c>
      <c r="AQ769" s="142" t="s">
        <v>1435</v>
      </c>
      <c r="AR769" s="142" t="s">
        <v>2705</v>
      </c>
      <c r="AS769" s="142" t="s">
        <v>2705</v>
      </c>
      <c r="AT769" s="142" t="s">
        <v>2675</v>
      </c>
      <c r="AU769" s="142" t="s">
        <v>2705</v>
      </c>
      <c r="AV769" s="142" t="s">
        <v>2705</v>
      </c>
      <c r="AW769" s="142" t="s">
        <v>2675</v>
      </c>
      <c r="AX769" s="142" t="s">
        <v>2705</v>
      </c>
      <c r="AY769" s="142" t="s">
        <v>2397</v>
      </c>
      <c r="AZ769" s="142" t="s">
        <v>2705</v>
      </c>
    </row>
    <row r="770" spans="1:52" s="142" customFormat="1" ht="12.75" x14ac:dyDescent="0.2">
      <c r="A770" s="151"/>
      <c r="B770" s="152" t="s">
        <v>2398</v>
      </c>
      <c r="C770" s="152" t="s">
        <v>2675</v>
      </c>
      <c r="D770" s="152" t="s">
        <v>2705</v>
      </c>
      <c r="E770" s="152" t="s">
        <v>2705</v>
      </c>
      <c r="F770" s="152" t="s">
        <v>2398</v>
      </c>
      <c r="G770" s="152" t="s">
        <v>2705</v>
      </c>
      <c r="H770" s="152" t="s">
        <v>2397</v>
      </c>
      <c r="I770" s="152" t="s">
        <v>2705</v>
      </c>
      <c r="J770" s="152" t="s">
        <v>2398</v>
      </c>
      <c r="K770" s="152" t="s">
        <v>2705</v>
      </c>
      <c r="L770" s="152" t="s">
        <v>2705</v>
      </c>
      <c r="M770" s="152" t="s">
        <v>2705</v>
      </c>
      <c r="N770" s="152" t="s">
        <v>2398</v>
      </c>
      <c r="O770" s="152" t="s">
        <v>2398</v>
      </c>
      <c r="P770" s="152" t="s">
        <v>1435</v>
      </c>
      <c r="Q770" s="152" t="s">
        <v>1435</v>
      </c>
      <c r="R770" s="152" t="s">
        <v>2398</v>
      </c>
      <c r="S770" s="152" t="s">
        <v>2705</v>
      </c>
      <c r="T770" s="152" t="s">
        <v>2705</v>
      </c>
      <c r="U770" s="152" t="s">
        <v>2705</v>
      </c>
      <c r="V770" s="142" t="str" cm="1">
        <f t="array" ref="V770">IF(A770&lt;&gt;"",SUM(--(B770:U771 = "X")*$U$3,--(B770:U771 ="A")*$Q$3,--(B770:U771 ="B")*$R$3,--(B770:U771 ="C")*$S$3),"")</f>
        <v/>
      </c>
      <c r="AG770" s="142" t="s">
        <v>2398</v>
      </c>
      <c r="AH770" s="142" t="s">
        <v>2675</v>
      </c>
      <c r="AI770" s="142" t="s">
        <v>2705</v>
      </c>
      <c r="AJ770" s="142" t="s">
        <v>2705</v>
      </c>
      <c r="AK770" s="142" t="s">
        <v>2398</v>
      </c>
      <c r="AL770" s="142" t="s">
        <v>2705</v>
      </c>
      <c r="AM770" s="142" t="s">
        <v>2397</v>
      </c>
      <c r="AN770" s="142" t="s">
        <v>2705</v>
      </c>
      <c r="AO770" s="142" t="s">
        <v>2398</v>
      </c>
      <c r="AP770" s="142" t="s">
        <v>2705</v>
      </c>
      <c r="AQ770" s="142" t="s">
        <v>2705</v>
      </c>
      <c r="AR770" s="142" t="s">
        <v>2705</v>
      </c>
      <c r="AS770" s="142" t="s">
        <v>2398</v>
      </c>
      <c r="AT770" s="142" t="s">
        <v>2398</v>
      </c>
      <c r="AU770" s="142" t="s">
        <v>1435</v>
      </c>
      <c r="AV770" s="142" t="s">
        <v>1435</v>
      </c>
      <c r="AW770" s="142" t="s">
        <v>2398</v>
      </c>
      <c r="AX770" s="142" t="s">
        <v>2705</v>
      </c>
      <c r="AY770" s="142" t="s">
        <v>2705</v>
      </c>
      <c r="AZ770" s="142" t="s">
        <v>2705</v>
      </c>
    </row>
    <row r="771" spans="1:52" s="142" customFormat="1" ht="12.75" x14ac:dyDescent="0.2">
      <c r="A771" s="151" t="s">
        <v>7702</v>
      </c>
      <c r="B771" s="152" t="s">
        <v>2398</v>
      </c>
      <c r="C771" s="152" t="s">
        <v>2705</v>
      </c>
      <c r="D771" s="152" t="s">
        <v>1435</v>
      </c>
      <c r="E771" s="152" t="s">
        <v>1435</v>
      </c>
      <c r="F771" s="152" t="s">
        <v>2398</v>
      </c>
      <c r="G771" s="152" t="s">
        <v>2705</v>
      </c>
      <c r="H771" s="152" t="s">
        <v>2705</v>
      </c>
      <c r="I771" s="152" t="s">
        <v>2705</v>
      </c>
      <c r="J771" s="152" t="s">
        <v>2705</v>
      </c>
      <c r="K771" s="152" t="s">
        <v>2397</v>
      </c>
      <c r="L771" s="152" t="s">
        <v>2705</v>
      </c>
      <c r="M771" s="152" t="s">
        <v>2705</v>
      </c>
      <c r="N771" s="152" t="s">
        <v>2675</v>
      </c>
      <c r="O771" s="152" t="s">
        <v>2705</v>
      </c>
      <c r="P771" s="152" t="s">
        <v>2705</v>
      </c>
      <c r="Q771" s="152" t="s">
        <v>1435</v>
      </c>
      <c r="R771" s="152" t="s">
        <v>1435</v>
      </c>
      <c r="S771" s="152" t="s">
        <v>2675</v>
      </c>
      <c r="T771" s="152" t="s">
        <v>2398</v>
      </c>
      <c r="U771" s="152" t="s">
        <v>2705</v>
      </c>
      <c r="V771" s="142" cm="1">
        <f t="array" ref="V771">IF(A771&lt;&gt;"",SUM(--(B771:U772 = "X")*$U$3,--(B771:U772 ="A")*$Q$3,--(B771:U772 ="B")*$R$3,--(B771:U772 ="C")*$S$3),"")</f>
        <v>18.5</v>
      </c>
      <c r="AF771" s="142" t="s">
        <v>7702</v>
      </c>
      <c r="AG771" s="142" t="s">
        <v>2398</v>
      </c>
      <c r="AH771" s="142" t="s">
        <v>2705</v>
      </c>
      <c r="AI771" s="142" t="s">
        <v>1435</v>
      </c>
      <c r="AJ771" s="142" t="s">
        <v>1435</v>
      </c>
      <c r="AK771" s="142" t="s">
        <v>2398</v>
      </c>
      <c r="AL771" s="142" t="s">
        <v>2705</v>
      </c>
      <c r="AM771" s="142" t="s">
        <v>2705</v>
      </c>
      <c r="AN771" s="142" t="s">
        <v>2705</v>
      </c>
      <c r="AO771" s="142" t="s">
        <v>2705</v>
      </c>
      <c r="AP771" s="142" t="s">
        <v>2397</v>
      </c>
      <c r="AQ771" s="142" t="s">
        <v>2705</v>
      </c>
      <c r="AR771" s="142" t="s">
        <v>2705</v>
      </c>
      <c r="AS771" s="142" t="s">
        <v>2675</v>
      </c>
      <c r="AT771" s="142" t="s">
        <v>2705</v>
      </c>
      <c r="AU771" s="142" t="s">
        <v>2705</v>
      </c>
      <c r="AV771" s="142" t="s">
        <v>1435</v>
      </c>
      <c r="AW771" s="142" t="s">
        <v>1435</v>
      </c>
      <c r="AX771" s="142" t="s">
        <v>2675</v>
      </c>
      <c r="AY771" s="142" t="s">
        <v>2398</v>
      </c>
      <c r="AZ771" s="142" t="s">
        <v>2705</v>
      </c>
    </row>
    <row r="772" spans="1:52" s="142" customFormat="1" ht="12.75" x14ac:dyDescent="0.2">
      <c r="A772" s="151"/>
      <c r="B772" s="152" t="s">
        <v>2705</v>
      </c>
      <c r="C772" s="152" t="s">
        <v>2675</v>
      </c>
      <c r="D772" s="152" t="s">
        <v>2705</v>
      </c>
      <c r="E772" s="152" t="s">
        <v>2675</v>
      </c>
      <c r="F772" s="152" t="s">
        <v>2705</v>
      </c>
      <c r="G772" s="152" t="s">
        <v>2705</v>
      </c>
      <c r="H772" s="152" t="s">
        <v>2397</v>
      </c>
      <c r="I772" s="152" t="s">
        <v>2705</v>
      </c>
      <c r="J772" s="152" t="s">
        <v>1435</v>
      </c>
      <c r="K772" s="152" t="s">
        <v>2398</v>
      </c>
      <c r="L772" s="152" t="s">
        <v>2705</v>
      </c>
      <c r="M772" s="152" t="s">
        <v>2398</v>
      </c>
      <c r="N772" s="152" t="s">
        <v>2705</v>
      </c>
      <c r="O772" s="152" t="s">
        <v>2705</v>
      </c>
      <c r="P772" s="152" t="s">
        <v>2705</v>
      </c>
      <c r="Q772" s="152" t="s">
        <v>2705</v>
      </c>
      <c r="R772" s="152" t="s">
        <v>2397</v>
      </c>
      <c r="S772" s="152" t="s">
        <v>2705</v>
      </c>
      <c r="T772" s="152" t="s">
        <v>2705</v>
      </c>
      <c r="U772" s="152" t="s">
        <v>2705</v>
      </c>
      <c r="V772" s="142" t="str" cm="1">
        <f t="array" ref="V772">IF(A772&lt;&gt;"",SUM(--(B772:U773 = "X")*$U$3,--(B772:U773 ="A")*$Q$3,--(B772:U773 ="B")*$R$3,--(B772:U773 ="C")*$S$3),"")</f>
        <v/>
      </c>
      <c r="AG772" s="142" t="s">
        <v>2705</v>
      </c>
      <c r="AH772" s="142" t="s">
        <v>2675</v>
      </c>
      <c r="AI772" s="142" t="s">
        <v>2705</v>
      </c>
      <c r="AJ772" s="142" t="s">
        <v>2675</v>
      </c>
      <c r="AK772" s="142" t="s">
        <v>2705</v>
      </c>
      <c r="AL772" s="142" t="s">
        <v>2705</v>
      </c>
      <c r="AM772" s="142" t="s">
        <v>2397</v>
      </c>
      <c r="AN772" s="142" t="s">
        <v>2705</v>
      </c>
      <c r="AO772" s="142" t="s">
        <v>1435</v>
      </c>
      <c r="AP772" s="142" t="s">
        <v>2398</v>
      </c>
      <c r="AQ772" s="142" t="s">
        <v>2705</v>
      </c>
      <c r="AR772" s="142" t="s">
        <v>2398</v>
      </c>
      <c r="AS772" s="142" t="s">
        <v>2705</v>
      </c>
      <c r="AT772" s="142" t="s">
        <v>2705</v>
      </c>
      <c r="AU772" s="142" t="s">
        <v>2705</v>
      </c>
      <c r="AV772" s="142" t="s">
        <v>2705</v>
      </c>
      <c r="AW772" s="142" t="s">
        <v>2397</v>
      </c>
      <c r="AX772" s="142" t="s">
        <v>2705</v>
      </c>
      <c r="AY772" s="142" t="s">
        <v>2705</v>
      </c>
      <c r="AZ772" s="142" t="s">
        <v>2705</v>
      </c>
    </row>
    <row r="773" spans="1:52" s="142" customFormat="1" ht="12.75" x14ac:dyDescent="0.2">
      <c r="A773" s="151" t="s">
        <v>7703</v>
      </c>
      <c r="B773" s="152" t="s">
        <v>2398</v>
      </c>
      <c r="C773" s="152" t="s">
        <v>2398</v>
      </c>
      <c r="D773" s="152" t="s">
        <v>2705</v>
      </c>
      <c r="E773" s="152" t="s">
        <v>2705</v>
      </c>
      <c r="F773" s="152" t="s">
        <v>2705</v>
      </c>
      <c r="G773" s="152" t="s">
        <v>2705</v>
      </c>
      <c r="H773" s="152" t="s">
        <v>2398</v>
      </c>
      <c r="I773" s="152" t="s">
        <v>2705</v>
      </c>
      <c r="J773" s="152" t="s">
        <v>2705</v>
      </c>
      <c r="K773" s="152" t="s">
        <v>2398</v>
      </c>
      <c r="L773" s="152" t="s">
        <v>2675</v>
      </c>
      <c r="M773" s="152" t="s">
        <v>2705</v>
      </c>
      <c r="N773" s="152" t="s">
        <v>2398</v>
      </c>
      <c r="O773" s="152" t="s">
        <v>2705</v>
      </c>
      <c r="P773" s="152" t="s">
        <v>2705</v>
      </c>
      <c r="Q773" s="152" t="s">
        <v>2705</v>
      </c>
      <c r="R773" s="152" t="s">
        <v>2705</v>
      </c>
      <c r="S773" s="152" t="s">
        <v>2705</v>
      </c>
      <c r="T773" s="152" t="s">
        <v>2398</v>
      </c>
      <c r="U773" s="152" t="s">
        <v>2397</v>
      </c>
      <c r="V773" s="142" cm="1">
        <f t="array" ref="V773">IF(A773&lt;&gt;"",SUM(--(B773:U774 = "X")*$U$3,--(B773:U774 ="A")*$Q$3,--(B773:U774 ="B")*$R$3,--(B773:U774 ="C")*$S$3),"")</f>
        <v>23.5</v>
      </c>
      <c r="AF773" s="142" t="s">
        <v>7703</v>
      </c>
      <c r="AG773" s="142" t="s">
        <v>2398</v>
      </c>
      <c r="AH773" s="142" t="s">
        <v>2398</v>
      </c>
      <c r="AI773" s="142" t="s">
        <v>2705</v>
      </c>
      <c r="AJ773" s="142" t="s">
        <v>2705</v>
      </c>
      <c r="AK773" s="142" t="s">
        <v>2705</v>
      </c>
      <c r="AL773" s="142" t="s">
        <v>2705</v>
      </c>
      <c r="AM773" s="142" t="s">
        <v>2398</v>
      </c>
      <c r="AN773" s="142" t="s">
        <v>2705</v>
      </c>
      <c r="AO773" s="142" t="s">
        <v>2705</v>
      </c>
      <c r="AP773" s="142" t="s">
        <v>2398</v>
      </c>
      <c r="AQ773" s="142" t="s">
        <v>2675</v>
      </c>
      <c r="AR773" s="142" t="s">
        <v>2705</v>
      </c>
      <c r="AS773" s="142" t="s">
        <v>2398</v>
      </c>
      <c r="AT773" s="142" t="s">
        <v>2705</v>
      </c>
      <c r="AU773" s="142" t="s">
        <v>2705</v>
      </c>
      <c r="AV773" s="142" t="s">
        <v>2705</v>
      </c>
      <c r="AW773" s="142" t="s">
        <v>2705</v>
      </c>
      <c r="AX773" s="142" t="s">
        <v>2705</v>
      </c>
      <c r="AY773" s="142" t="s">
        <v>2398</v>
      </c>
      <c r="AZ773" s="142" t="s">
        <v>2397</v>
      </c>
    </row>
    <row r="774" spans="1:52" s="142" customFormat="1" ht="12.75" x14ac:dyDescent="0.2">
      <c r="A774" s="151"/>
      <c r="B774" s="152" t="s">
        <v>2398</v>
      </c>
      <c r="C774" s="152" t="s">
        <v>2675</v>
      </c>
      <c r="D774" s="152" t="s">
        <v>1435</v>
      </c>
      <c r="E774" s="152" t="s">
        <v>2705</v>
      </c>
      <c r="F774" s="152" t="s">
        <v>2398</v>
      </c>
      <c r="G774" s="152" t="s">
        <v>2705</v>
      </c>
      <c r="H774" s="152" t="s">
        <v>2705</v>
      </c>
      <c r="I774" s="152" t="s">
        <v>2705</v>
      </c>
      <c r="J774" s="152" t="s">
        <v>2397</v>
      </c>
      <c r="K774" s="152" t="s">
        <v>2705</v>
      </c>
      <c r="L774" s="152" t="s">
        <v>2705</v>
      </c>
      <c r="M774" s="152" t="s">
        <v>2705</v>
      </c>
      <c r="N774" s="152" t="s">
        <v>2705</v>
      </c>
      <c r="O774" s="152" t="s">
        <v>2705</v>
      </c>
      <c r="P774" s="152" t="s">
        <v>2398</v>
      </c>
      <c r="Q774" s="152" t="s">
        <v>2705</v>
      </c>
      <c r="R774" s="152" t="s">
        <v>2398</v>
      </c>
      <c r="S774" s="152" t="s">
        <v>2705</v>
      </c>
      <c r="T774" s="152" t="s">
        <v>2705</v>
      </c>
      <c r="U774" s="152" t="s">
        <v>2705</v>
      </c>
      <c r="V774" s="142" t="str" cm="1">
        <f t="array" ref="V774">IF(A774&lt;&gt;"",SUM(--(B774:U775 = "X")*$U$3,--(B774:U775 ="A")*$Q$3,--(B774:U775 ="B")*$R$3,--(B774:U775 ="C")*$S$3),"")</f>
        <v/>
      </c>
      <c r="AG774" s="142" t="s">
        <v>2398</v>
      </c>
      <c r="AH774" s="142" t="s">
        <v>2675</v>
      </c>
      <c r="AI774" s="142" t="s">
        <v>1435</v>
      </c>
      <c r="AJ774" s="142" t="s">
        <v>2705</v>
      </c>
      <c r="AK774" s="142" t="s">
        <v>2398</v>
      </c>
      <c r="AL774" s="142" t="s">
        <v>2705</v>
      </c>
      <c r="AM774" s="142" t="s">
        <v>2705</v>
      </c>
      <c r="AN774" s="142" t="s">
        <v>2705</v>
      </c>
      <c r="AO774" s="142" t="s">
        <v>2397</v>
      </c>
      <c r="AP774" s="142" t="s">
        <v>2705</v>
      </c>
      <c r="AQ774" s="142" t="s">
        <v>2705</v>
      </c>
      <c r="AR774" s="142" t="s">
        <v>2705</v>
      </c>
      <c r="AS774" s="142" t="s">
        <v>2705</v>
      </c>
      <c r="AT774" s="142" t="s">
        <v>2705</v>
      </c>
      <c r="AU774" s="142" t="s">
        <v>2398</v>
      </c>
      <c r="AV774" s="142" t="s">
        <v>2705</v>
      </c>
      <c r="AW774" s="142" t="s">
        <v>2398</v>
      </c>
      <c r="AX774" s="142" t="s">
        <v>2705</v>
      </c>
      <c r="AY774" s="142" t="s">
        <v>2705</v>
      </c>
      <c r="AZ774" s="142" t="s">
        <v>2705</v>
      </c>
    </row>
    <row r="775" spans="1:52" s="142" customFormat="1" ht="12.75" x14ac:dyDescent="0.2">
      <c r="A775" s="151" t="s">
        <v>7704</v>
      </c>
      <c r="B775" s="152" t="s">
        <v>2705</v>
      </c>
      <c r="C775" s="152" t="s">
        <v>2397</v>
      </c>
      <c r="D775" s="152" t="s">
        <v>2397</v>
      </c>
      <c r="E775" s="152" t="s">
        <v>2705</v>
      </c>
      <c r="F775" s="152" t="s">
        <v>1435</v>
      </c>
      <c r="G775" s="152" t="s">
        <v>2705</v>
      </c>
      <c r="H775" s="152" t="s">
        <v>2705</v>
      </c>
      <c r="I775" s="152" t="s">
        <v>2397</v>
      </c>
      <c r="J775" s="152" t="s">
        <v>2675</v>
      </c>
      <c r="K775" s="152" t="s">
        <v>1435</v>
      </c>
      <c r="L775" s="152" t="s">
        <v>2675</v>
      </c>
      <c r="M775" s="152" t="s">
        <v>2397</v>
      </c>
      <c r="N775" s="152" t="s">
        <v>2675</v>
      </c>
      <c r="O775" s="152" t="s">
        <v>1435</v>
      </c>
      <c r="P775" s="152" t="s">
        <v>2397</v>
      </c>
      <c r="Q775" s="152" t="s">
        <v>1435</v>
      </c>
      <c r="R775" s="152" t="s">
        <v>2397</v>
      </c>
      <c r="S775" s="152" t="s">
        <v>2397</v>
      </c>
      <c r="T775" s="152" t="s">
        <v>2397</v>
      </c>
      <c r="U775" s="152" t="s">
        <v>2705</v>
      </c>
      <c r="V775" s="142" cm="1">
        <f t="array" ref="V775">IF(A775&lt;&gt;"",SUM(--(B775:U776 = "X")*$U$3,--(B775:U776 ="A")*$Q$3,--(B775:U776 ="B")*$R$3,--(B775:U776 ="C")*$S$3),"")</f>
        <v>6</v>
      </c>
      <c r="AF775" s="142" t="s">
        <v>7704</v>
      </c>
      <c r="AG775" s="142" t="s">
        <v>2705</v>
      </c>
      <c r="AH775" s="142" t="s">
        <v>2397</v>
      </c>
      <c r="AI775" s="142" t="s">
        <v>2397</v>
      </c>
      <c r="AJ775" s="142" t="s">
        <v>2705</v>
      </c>
      <c r="AK775" s="142" t="s">
        <v>1435</v>
      </c>
      <c r="AL775" s="142" t="s">
        <v>2705</v>
      </c>
      <c r="AM775" s="142" t="s">
        <v>2705</v>
      </c>
      <c r="AN775" s="142" t="s">
        <v>2397</v>
      </c>
      <c r="AO775" s="142" t="s">
        <v>2675</v>
      </c>
      <c r="AP775" s="142" t="s">
        <v>1435</v>
      </c>
      <c r="AQ775" s="142" t="s">
        <v>2675</v>
      </c>
      <c r="AR775" s="142" t="s">
        <v>2397</v>
      </c>
      <c r="AS775" s="142" t="s">
        <v>2675</v>
      </c>
      <c r="AT775" s="142" t="s">
        <v>1435</v>
      </c>
      <c r="AU775" s="142" t="s">
        <v>2397</v>
      </c>
      <c r="AV775" s="142" t="s">
        <v>1435</v>
      </c>
      <c r="AW775" s="142" t="s">
        <v>2397</v>
      </c>
      <c r="AX775" s="142" t="s">
        <v>2397</v>
      </c>
      <c r="AY775" s="142" t="s">
        <v>2397</v>
      </c>
      <c r="AZ775" s="142" t="s">
        <v>2705</v>
      </c>
    </row>
    <row r="776" spans="1:52" s="142" customFormat="1" ht="12.75" x14ac:dyDescent="0.2">
      <c r="A776" s="151"/>
      <c r="B776" s="152" t="s">
        <v>2675</v>
      </c>
      <c r="C776" s="152" t="s">
        <v>2705</v>
      </c>
      <c r="D776" s="152" t="s">
        <v>2705</v>
      </c>
      <c r="E776" s="152" t="s">
        <v>1435</v>
      </c>
      <c r="F776" s="152" t="s">
        <v>2675</v>
      </c>
      <c r="G776" s="152" t="s">
        <v>2705</v>
      </c>
      <c r="H776" s="152" t="s">
        <v>1435</v>
      </c>
      <c r="I776" s="152" t="s">
        <v>2397</v>
      </c>
      <c r="J776" s="152" t="s">
        <v>2675</v>
      </c>
      <c r="K776" s="152" t="s">
        <v>2675</v>
      </c>
      <c r="L776" s="152" t="s">
        <v>2397</v>
      </c>
      <c r="M776" s="152" t="s">
        <v>2705</v>
      </c>
      <c r="N776" s="152" t="s">
        <v>2705</v>
      </c>
      <c r="O776" s="152" t="s">
        <v>2705</v>
      </c>
      <c r="P776" s="152" t="s">
        <v>2705</v>
      </c>
      <c r="Q776" s="152" t="s">
        <v>2705</v>
      </c>
      <c r="R776" s="152" t="s">
        <v>2675</v>
      </c>
      <c r="S776" s="152" t="s">
        <v>1435</v>
      </c>
      <c r="T776" s="152" t="s">
        <v>2705</v>
      </c>
      <c r="U776" s="152" t="s">
        <v>2675</v>
      </c>
      <c r="V776" s="142" t="str" cm="1">
        <f t="array" ref="V776">IF(A776&lt;&gt;"",SUM(--(B776:U777 = "X")*$U$3,--(B776:U777 ="A")*$Q$3,--(B776:U777 ="B")*$R$3,--(B776:U777 ="C")*$S$3),"")</f>
        <v/>
      </c>
      <c r="AG776" s="142" t="s">
        <v>2675</v>
      </c>
      <c r="AH776" s="142" t="s">
        <v>2705</v>
      </c>
      <c r="AI776" s="142" t="s">
        <v>2705</v>
      </c>
      <c r="AJ776" s="142" t="s">
        <v>1435</v>
      </c>
      <c r="AK776" s="142" t="s">
        <v>2675</v>
      </c>
      <c r="AL776" s="142" t="s">
        <v>2705</v>
      </c>
      <c r="AM776" s="142" t="s">
        <v>1435</v>
      </c>
      <c r="AN776" s="142" t="s">
        <v>2397</v>
      </c>
      <c r="AO776" s="142" t="s">
        <v>2675</v>
      </c>
      <c r="AP776" s="142" t="s">
        <v>2675</v>
      </c>
      <c r="AQ776" s="142" t="s">
        <v>2397</v>
      </c>
      <c r="AR776" s="142" t="s">
        <v>2705</v>
      </c>
      <c r="AS776" s="142" t="s">
        <v>2705</v>
      </c>
      <c r="AT776" s="142" t="s">
        <v>2705</v>
      </c>
      <c r="AU776" s="142" t="s">
        <v>2705</v>
      </c>
      <c r="AV776" s="142" t="s">
        <v>2705</v>
      </c>
      <c r="AW776" s="142" t="s">
        <v>2675</v>
      </c>
      <c r="AX776" s="142" t="s">
        <v>1435</v>
      </c>
      <c r="AY776" s="142" t="s">
        <v>2705</v>
      </c>
      <c r="AZ776" s="142" t="s">
        <v>2675</v>
      </c>
    </row>
    <row r="777" spans="1:52" s="142" customFormat="1" ht="12.75" x14ac:dyDescent="0.2">
      <c r="A777" s="151" t="s">
        <v>7705</v>
      </c>
      <c r="B777" s="152" t="s">
        <v>2705</v>
      </c>
      <c r="C777" s="152" t="s">
        <v>2675</v>
      </c>
      <c r="D777" s="152" t="s">
        <v>2398</v>
      </c>
      <c r="E777" s="152" t="s">
        <v>2398</v>
      </c>
      <c r="F777" s="152" t="s">
        <v>2705</v>
      </c>
      <c r="G777" s="152" t="s">
        <v>2705</v>
      </c>
      <c r="H777" s="152" t="s">
        <v>2705</v>
      </c>
      <c r="I777" s="152" t="s">
        <v>2398</v>
      </c>
      <c r="J777" s="152" t="s">
        <v>1435</v>
      </c>
      <c r="K777" s="152" t="s">
        <v>2705</v>
      </c>
      <c r="L777" s="152" t="s">
        <v>1435</v>
      </c>
      <c r="M777" s="152" t="s">
        <v>2398</v>
      </c>
      <c r="N777" s="152" t="s">
        <v>2398</v>
      </c>
      <c r="O777" s="152" t="s">
        <v>2705</v>
      </c>
      <c r="P777" s="152" t="s">
        <v>2398</v>
      </c>
      <c r="Q777" s="152" t="s">
        <v>2705</v>
      </c>
      <c r="R777" s="152" t="s">
        <v>2398</v>
      </c>
      <c r="S777" s="152" t="s">
        <v>2705</v>
      </c>
      <c r="T777" s="152" t="s">
        <v>2705</v>
      </c>
      <c r="U777" s="152" t="s">
        <v>2705</v>
      </c>
      <c r="V777" s="142" cm="1">
        <f t="array" ref="V777">IF(A777&lt;&gt;"",SUM(--(B777:U778 = "X")*$U$3,--(B777:U778 ="A")*$Q$3,--(B777:U778 ="B")*$R$3,--(B777:U778 ="C")*$S$3),"")</f>
        <v>22</v>
      </c>
      <c r="AF777" s="142" t="s">
        <v>7705</v>
      </c>
      <c r="AG777" s="142" t="s">
        <v>2705</v>
      </c>
      <c r="AH777" s="142" t="s">
        <v>2675</v>
      </c>
      <c r="AI777" s="142" t="s">
        <v>2398</v>
      </c>
      <c r="AJ777" s="142" t="s">
        <v>2398</v>
      </c>
      <c r="AK777" s="142" t="s">
        <v>2705</v>
      </c>
      <c r="AL777" s="142" t="s">
        <v>2705</v>
      </c>
      <c r="AM777" s="142" t="s">
        <v>2705</v>
      </c>
      <c r="AN777" s="142" t="s">
        <v>2398</v>
      </c>
      <c r="AO777" s="142" t="s">
        <v>1435</v>
      </c>
      <c r="AP777" s="142" t="s">
        <v>2705</v>
      </c>
      <c r="AQ777" s="142" t="s">
        <v>1435</v>
      </c>
      <c r="AR777" s="142" t="s">
        <v>2398</v>
      </c>
      <c r="AS777" s="142" t="s">
        <v>2398</v>
      </c>
      <c r="AT777" s="142" t="s">
        <v>2705</v>
      </c>
      <c r="AU777" s="142" t="s">
        <v>2398</v>
      </c>
      <c r="AV777" s="142" t="s">
        <v>2705</v>
      </c>
      <c r="AW777" s="142" t="s">
        <v>2398</v>
      </c>
      <c r="AX777" s="142" t="s">
        <v>2705</v>
      </c>
      <c r="AY777" s="142" t="s">
        <v>2705</v>
      </c>
      <c r="AZ777" s="142" t="s">
        <v>2705</v>
      </c>
    </row>
    <row r="778" spans="1:52" s="142" customFormat="1" ht="12.75" x14ac:dyDescent="0.2">
      <c r="A778" s="151"/>
      <c r="B778" s="152" t="s">
        <v>2705</v>
      </c>
      <c r="C778" s="152" t="s">
        <v>2398</v>
      </c>
      <c r="D778" s="152" t="s">
        <v>2705</v>
      </c>
      <c r="E778" s="152" t="s">
        <v>2705</v>
      </c>
      <c r="F778" s="152" t="s">
        <v>2705</v>
      </c>
      <c r="G778" s="152" t="s">
        <v>2398</v>
      </c>
      <c r="H778" s="152" t="s">
        <v>2398</v>
      </c>
      <c r="I778" s="152" t="s">
        <v>2705</v>
      </c>
      <c r="J778" s="152" t="s">
        <v>2705</v>
      </c>
      <c r="K778" s="152" t="s">
        <v>2705</v>
      </c>
      <c r="L778" s="152" t="s">
        <v>2398</v>
      </c>
      <c r="M778" s="152" t="s">
        <v>2398</v>
      </c>
      <c r="N778" s="152" t="s">
        <v>2705</v>
      </c>
      <c r="O778" s="152" t="s">
        <v>2705</v>
      </c>
      <c r="P778" s="152" t="s">
        <v>2675</v>
      </c>
      <c r="Q778" s="152" t="s">
        <v>2705</v>
      </c>
      <c r="R778" s="152" t="s">
        <v>2705</v>
      </c>
      <c r="S778" s="152" t="s">
        <v>2705</v>
      </c>
      <c r="T778" s="152" t="s">
        <v>2705</v>
      </c>
      <c r="U778" s="152" t="s">
        <v>2705</v>
      </c>
      <c r="V778" s="142" t="str" cm="1">
        <f t="array" ref="V778">IF(A778&lt;&gt;"",SUM(--(B778:U779 = "X")*$U$3,--(B778:U779 ="A")*$Q$3,--(B778:U779 ="B")*$R$3,--(B778:U779 ="C")*$S$3),"")</f>
        <v/>
      </c>
      <c r="AG778" s="142" t="s">
        <v>2705</v>
      </c>
      <c r="AH778" s="142" t="s">
        <v>2398</v>
      </c>
      <c r="AI778" s="142" t="s">
        <v>2705</v>
      </c>
      <c r="AJ778" s="142" t="s">
        <v>2705</v>
      </c>
      <c r="AK778" s="142" t="s">
        <v>2705</v>
      </c>
      <c r="AL778" s="142" t="s">
        <v>2398</v>
      </c>
      <c r="AM778" s="142" t="s">
        <v>2398</v>
      </c>
      <c r="AN778" s="142" t="s">
        <v>2705</v>
      </c>
      <c r="AO778" s="142" t="s">
        <v>2705</v>
      </c>
      <c r="AP778" s="142" t="s">
        <v>2705</v>
      </c>
      <c r="AQ778" s="142" t="s">
        <v>2398</v>
      </c>
      <c r="AR778" s="142" t="s">
        <v>2398</v>
      </c>
      <c r="AS778" s="142" t="s">
        <v>2705</v>
      </c>
      <c r="AT778" s="142" t="s">
        <v>2705</v>
      </c>
      <c r="AU778" s="142" t="s">
        <v>2675</v>
      </c>
      <c r="AV778" s="142" t="s">
        <v>2705</v>
      </c>
      <c r="AW778" s="142" t="s">
        <v>2705</v>
      </c>
      <c r="AX778" s="142" t="s">
        <v>2705</v>
      </c>
      <c r="AY778" s="142" t="s">
        <v>2705</v>
      </c>
      <c r="AZ778" s="142" t="s">
        <v>2705</v>
      </c>
    </row>
    <row r="779" spans="1:52" s="142" customFormat="1" ht="12.75" x14ac:dyDescent="0.2">
      <c r="A779" s="151" t="s">
        <v>7706</v>
      </c>
      <c r="B779" s="152" t="s">
        <v>2398</v>
      </c>
      <c r="C779" s="152" t="s">
        <v>2398</v>
      </c>
      <c r="D779" s="152" t="s">
        <v>2398</v>
      </c>
      <c r="E779" s="152" t="s">
        <v>2705</v>
      </c>
      <c r="F779" s="152" t="s">
        <v>2398</v>
      </c>
      <c r="G779" s="152" t="s">
        <v>2398</v>
      </c>
      <c r="H779" s="152" t="s">
        <v>2705</v>
      </c>
      <c r="I779" s="152" t="s">
        <v>2398</v>
      </c>
      <c r="J779" s="152" t="s">
        <v>2705</v>
      </c>
      <c r="K779" s="152" t="s">
        <v>2705</v>
      </c>
      <c r="L779" s="152" t="s">
        <v>2705</v>
      </c>
      <c r="M779" s="152" t="s">
        <v>2705</v>
      </c>
      <c r="N779" s="152" t="s">
        <v>2705</v>
      </c>
      <c r="O779" s="152" t="s">
        <v>2675</v>
      </c>
      <c r="P779" s="152" t="s">
        <v>2398</v>
      </c>
      <c r="Q779" s="152" t="s">
        <v>1435</v>
      </c>
      <c r="R779" s="152" t="s">
        <v>2705</v>
      </c>
      <c r="S779" s="152" t="s">
        <v>2705</v>
      </c>
      <c r="T779" s="152" t="s">
        <v>2705</v>
      </c>
      <c r="U779" s="152" t="s">
        <v>2705</v>
      </c>
      <c r="V779" s="142" cm="1">
        <f t="array" ref="V779">IF(A779&lt;&gt;"",SUM(--(B779:U780 = "X")*$U$3,--(B779:U780 ="A")*$Q$3,--(B779:U780 ="B")*$R$3,--(B779:U780 ="C")*$S$3),"")</f>
        <v>17.5</v>
      </c>
      <c r="AF779" s="142" t="s">
        <v>7706</v>
      </c>
      <c r="AG779" s="142" t="s">
        <v>2398</v>
      </c>
      <c r="AH779" s="142" t="s">
        <v>2398</v>
      </c>
      <c r="AI779" s="142" t="s">
        <v>2398</v>
      </c>
      <c r="AJ779" s="142" t="s">
        <v>2705</v>
      </c>
      <c r="AK779" s="142" t="s">
        <v>2398</v>
      </c>
      <c r="AL779" s="142" t="s">
        <v>2398</v>
      </c>
      <c r="AM779" s="142" t="s">
        <v>2705</v>
      </c>
      <c r="AN779" s="142" t="s">
        <v>2398</v>
      </c>
      <c r="AO779" s="142" t="s">
        <v>2705</v>
      </c>
      <c r="AP779" s="142" t="s">
        <v>2705</v>
      </c>
      <c r="AQ779" s="142" t="s">
        <v>2705</v>
      </c>
      <c r="AR779" s="142" t="s">
        <v>2705</v>
      </c>
      <c r="AS779" s="142" t="s">
        <v>2705</v>
      </c>
      <c r="AT779" s="142" t="s">
        <v>2675</v>
      </c>
      <c r="AU779" s="142" t="s">
        <v>2398</v>
      </c>
      <c r="AV779" s="142" t="s">
        <v>1435</v>
      </c>
      <c r="AW779" s="142" t="s">
        <v>2705</v>
      </c>
      <c r="AX779" s="142" t="s">
        <v>2705</v>
      </c>
      <c r="AY779" s="142" t="s">
        <v>2705</v>
      </c>
      <c r="AZ779" s="142" t="s">
        <v>2705</v>
      </c>
    </row>
    <row r="780" spans="1:52" s="142" customFormat="1" ht="12.75" x14ac:dyDescent="0.2">
      <c r="A780" s="151"/>
      <c r="B780" s="152" t="s">
        <v>2705</v>
      </c>
      <c r="C780" s="152" t="s">
        <v>2397</v>
      </c>
      <c r="D780" s="152" t="s">
        <v>2398</v>
      </c>
      <c r="E780" s="152" t="s">
        <v>2705</v>
      </c>
      <c r="F780" s="152" t="s">
        <v>2398</v>
      </c>
      <c r="G780" s="152" t="s">
        <v>2705</v>
      </c>
      <c r="H780" s="152" t="s">
        <v>2705</v>
      </c>
      <c r="I780" s="152" t="s">
        <v>2398</v>
      </c>
      <c r="J780" s="152" t="s">
        <v>2705</v>
      </c>
      <c r="K780" s="152" t="s">
        <v>2398</v>
      </c>
      <c r="L780" s="152" t="s">
        <v>2398</v>
      </c>
      <c r="M780" s="152" t="s">
        <v>2705</v>
      </c>
      <c r="N780" s="152" t="s">
        <v>2705</v>
      </c>
      <c r="O780" s="152" t="s">
        <v>2398</v>
      </c>
      <c r="P780" s="152" t="s">
        <v>2398</v>
      </c>
      <c r="Q780" s="152" t="s">
        <v>2398</v>
      </c>
      <c r="R780" s="152" t="s">
        <v>2398</v>
      </c>
      <c r="S780" s="152" t="s">
        <v>2705</v>
      </c>
      <c r="T780" s="152" t="s">
        <v>2675</v>
      </c>
      <c r="U780" s="152" t="s">
        <v>2398</v>
      </c>
      <c r="V780" s="142" t="str" cm="1">
        <f t="array" ref="V780">IF(A780&lt;&gt;"",SUM(--(B780:U781 = "X")*$U$3,--(B780:U781 ="A")*$Q$3,--(B780:U781 ="B")*$R$3,--(B780:U781 ="C")*$S$3),"")</f>
        <v/>
      </c>
      <c r="AG780" s="142" t="s">
        <v>2705</v>
      </c>
      <c r="AH780" s="142" t="s">
        <v>2397</v>
      </c>
      <c r="AI780" s="142" t="s">
        <v>2398</v>
      </c>
      <c r="AJ780" s="142" t="s">
        <v>2705</v>
      </c>
      <c r="AK780" s="142" t="s">
        <v>2398</v>
      </c>
      <c r="AL780" s="142" t="s">
        <v>2705</v>
      </c>
      <c r="AM780" s="142" t="s">
        <v>2705</v>
      </c>
      <c r="AN780" s="142" t="s">
        <v>2398</v>
      </c>
      <c r="AO780" s="142" t="s">
        <v>2705</v>
      </c>
      <c r="AP780" s="142" t="s">
        <v>2398</v>
      </c>
      <c r="AQ780" s="142" t="s">
        <v>2398</v>
      </c>
      <c r="AR780" s="142" t="s">
        <v>2705</v>
      </c>
      <c r="AS780" s="142" t="s">
        <v>2705</v>
      </c>
      <c r="AT780" s="142" t="s">
        <v>2398</v>
      </c>
      <c r="AU780" s="142" t="s">
        <v>2398</v>
      </c>
      <c r="AV780" s="142" t="s">
        <v>2398</v>
      </c>
      <c r="AW780" s="142" t="s">
        <v>2398</v>
      </c>
      <c r="AX780" s="142" t="s">
        <v>2705</v>
      </c>
      <c r="AY780" s="142" t="s">
        <v>2675</v>
      </c>
      <c r="AZ780" s="142" t="s">
        <v>2398</v>
      </c>
    </row>
    <row r="781" spans="1:52" s="142" customFormat="1" ht="12.75" x14ac:dyDescent="0.2">
      <c r="A781" s="151" t="s">
        <v>7707</v>
      </c>
      <c r="B781" s="152" t="s">
        <v>2398</v>
      </c>
      <c r="C781" s="152" t="s">
        <v>2398</v>
      </c>
      <c r="D781" s="152" t="s">
        <v>2705</v>
      </c>
      <c r="E781" s="152" t="s">
        <v>1435</v>
      </c>
      <c r="F781" s="152" t="s">
        <v>2397</v>
      </c>
      <c r="G781" s="152" t="s">
        <v>2705</v>
      </c>
      <c r="H781" s="152" t="s">
        <v>1435</v>
      </c>
      <c r="I781" s="152" t="s">
        <v>2397</v>
      </c>
      <c r="J781" s="152" t="s">
        <v>2705</v>
      </c>
      <c r="K781" s="152" t="s">
        <v>2398</v>
      </c>
      <c r="L781" s="152" t="s">
        <v>2398</v>
      </c>
      <c r="M781" s="152" t="s">
        <v>2705</v>
      </c>
      <c r="N781" s="152" t="s">
        <v>2705</v>
      </c>
      <c r="O781" s="152" t="s">
        <v>2705</v>
      </c>
      <c r="P781" s="152" t="s">
        <v>2398</v>
      </c>
      <c r="Q781" s="152" t="s">
        <v>2705</v>
      </c>
      <c r="R781" s="152" t="s">
        <v>2398</v>
      </c>
      <c r="S781" s="152" t="s">
        <v>2675</v>
      </c>
      <c r="T781" s="152" t="s">
        <v>2705</v>
      </c>
      <c r="U781" s="152" t="s">
        <v>2705</v>
      </c>
      <c r="V781" s="142" cm="1">
        <f t="array" ref="V781">IF(A781&lt;&gt;"",SUM(--(B781:U782 = "X")*$U$3,--(B781:U782 ="A")*$Q$3,--(B781:U782 ="B")*$R$3,--(B781:U782 ="C")*$S$3),"")</f>
        <v>14</v>
      </c>
      <c r="AF781" s="142" t="s">
        <v>7707</v>
      </c>
      <c r="AG781" s="142" t="s">
        <v>2398</v>
      </c>
      <c r="AH781" s="142" t="s">
        <v>2398</v>
      </c>
      <c r="AI781" s="142" t="s">
        <v>2705</v>
      </c>
      <c r="AJ781" s="142" t="s">
        <v>1435</v>
      </c>
      <c r="AK781" s="142" t="s">
        <v>2397</v>
      </c>
      <c r="AL781" s="142" t="s">
        <v>2705</v>
      </c>
      <c r="AM781" s="142" t="s">
        <v>1435</v>
      </c>
      <c r="AN781" s="142" t="s">
        <v>2397</v>
      </c>
      <c r="AO781" s="142" t="s">
        <v>2705</v>
      </c>
      <c r="AP781" s="142" t="s">
        <v>2398</v>
      </c>
      <c r="AQ781" s="142" t="s">
        <v>2398</v>
      </c>
      <c r="AR781" s="142" t="s">
        <v>2705</v>
      </c>
      <c r="AS781" s="142" t="s">
        <v>2705</v>
      </c>
      <c r="AT781" s="142" t="s">
        <v>2705</v>
      </c>
      <c r="AU781" s="142" t="s">
        <v>2398</v>
      </c>
      <c r="AV781" s="142" t="s">
        <v>2705</v>
      </c>
      <c r="AW781" s="142" t="s">
        <v>2398</v>
      </c>
      <c r="AX781" s="142" t="s">
        <v>2675</v>
      </c>
      <c r="AY781" s="142" t="s">
        <v>2705</v>
      </c>
      <c r="AZ781" s="142" t="s">
        <v>2705</v>
      </c>
    </row>
    <row r="782" spans="1:52" s="142" customFormat="1" ht="12.75" x14ac:dyDescent="0.2">
      <c r="A782" s="151"/>
      <c r="B782" s="152" t="s">
        <v>2398</v>
      </c>
      <c r="C782" s="152" t="s">
        <v>2675</v>
      </c>
      <c r="D782" s="152" t="s">
        <v>2398</v>
      </c>
      <c r="E782" s="152" t="s">
        <v>2675</v>
      </c>
      <c r="F782" s="152" t="s">
        <v>2705</v>
      </c>
      <c r="G782" s="152" t="s">
        <v>2705</v>
      </c>
      <c r="H782" s="152" t="s">
        <v>2705</v>
      </c>
      <c r="I782" s="152" t="s">
        <v>1435</v>
      </c>
      <c r="J782" s="152" t="s">
        <v>2397</v>
      </c>
      <c r="K782" s="152" t="s">
        <v>2398</v>
      </c>
      <c r="L782" s="152" t="s">
        <v>2398</v>
      </c>
      <c r="M782" s="152" t="s">
        <v>2705</v>
      </c>
      <c r="N782" s="152" t="s">
        <v>2705</v>
      </c>
      <c r="O782" s="152" t="s">
        <v>2398</v>
      </c>
      <c r="P782" s="152" t="s">
        <v>2398</v>
      </c>
      <c r="Q782" s="152" t="s">
        <v>2705</v>
      </c>
      <c r="R782" s="152" t="s">
        <v>2705</v>
      </c>
      <c r="S782" s="152" t="s">
        <v>2705</v>
      </c>
      <c r="T782" s="152" t="s">
        <v>2398</v>
      </c>
      <c r="U782" s="152" t="s">
        <v>2398</v>
      </c>
      <c r="V782" s="142" t="str" cm="1">
        <f t="array" ref="V782">IF(A782&lt;&gt;"",SUM(--(B782:U783 = "X")*$U$3,--(B782:U783 ="A")*$Q$3,--(B782:U783 ="B")*$R$3,--(B782:U783 ="C")*$S$3),"")</f>
        <v/>
      </c>
      <c r="AG782" s="142" t="s">
        <v>2398</v>
      </c>
      <c r="AH782" s="142" t="s">
        <v>2675</v>
      </c>
      <c r="AI782" s="142" t="s">
        <v>2398</v>
      </c>
      <c r="AJ782" s="142" t="s">
        <v>2675</v>
      </c>
      <c r="AK782" s="142" t="s">
        <v>2705</v>
      </c>
      <c r="AL782" s="142" t="s">
        <v>2705</v>
      </c>
      <c r="AM782" s="142" t="s">
        <v>2705</v>
      </c>
      <c r="AN782" s="142" t="s">
        <v>1435</v>
      </c>
      <c r="AO782" s="142" t="s">
        <v>2397</v>
      </c>
      <c r="AP782" s="142" t="s">
        <v>2398</v>
      </c>
      <c r="AQ782" s="142" t="s">
        <v>2398</v>
      </c>
      <c r="AR782" s="142" t="s">
        <v>2705</v>
      </c>
      <c r="AS782" s="142" t="s">
        <v>2705</v>
      </c>
      <c r="AT782" s="142" t="s">
        <v>2398</v>
      </c>
      <c r="AU782" s="142" t="s">
        <v>2398</v>
      </c>
      <c r="AV782" s="142" t="s">
        <v>2705</v>
      </c>
      <c r="AW782" s="142" t="s">
        <v>2705</v>
      </c>
      <c r="AX782" s="142" t="s">
        <v>2705</v>
      </c>
      <c r="AY782" s="142" t="s">
        <v>2398</v>
      </c>
      <c r="AZ782" s="142" t="s">
        <v>2398</v>
      </c>
    </row>
    <row r="783" spans="1:52" s="142" customFormat="1" ht="12.75" x14ac:dyDescent="0.2">
      <c r="A783" s="151" t="s">
        <v>7708</v>
      </c>
      <c r="B783" s="152" t="s">
        <v>2705</v>
      </c>
      <c r="C783" s="152" t="s">
        <v>2397</v>
      </c>
      <c r="D783" s="152" t="s">
        <v>2705</v>
      </c>
      <c r="E783" s="152" t="s">
        <v>2705</v>
      </c>
      <c r="F783" s="152" t="s">
        <v>2705</v>
      </c>
      <c r="G783" s="152" t="s">
        <v>2705</v>
      </c>
      <c r="H783" s="152" t="s">
        <v>2705</v>
      </c>
      <c r="I783" s="152" t="s">
        <v>2398</v>
      </c>
      <c r="J783" s="152" t="s">
        <v>2397</v>
      </c>
      <c r="K783" s="152" t="s">
        <v>1435</v>
      </c>
      <c r="L783" s="152" t="s">
        <v>2705</v>
      </c>
      <c r="M783" s="152" t="s">
        <v>2705</v>
      </c>
      <c r="N783" s="152" t="s">
        <v>2398</v>
      </c>
      <c r="O783" s="152" t="s">
        <v>2705</v>
      </c>
      <c r="P783" s="152" t="s">
        <v>2398</v>
      </c>
      <c r="Q783" s="152" t="s">
        <v>1435</v>
      </c>
      <c r="R783" s="152" t="s">
        <v>2675</v>
      </c>
      <c r="S783" s="152" t="s">
        <v>2398</v>
      </c>
      <c r="T783" s="152" t="s">
        <v>2398</v>
      </c>
      <c r="U783" s="152" t="s">
        <v>2398</v>
      </c>
      <c r="V783" s="142" cm="1">
        <f t="array" ref="V783">IF(A783&lt;&gt;"",SUM(--(B783:U784 = "X")*$U$3,--(B783:U784 ="A")*$Q$3,--(B783:U784 ="B")*$R$3,--(B783:U784 ="C")*$S$3),"")</f>
        <v>12</v>
      </c>
      <c r="AF783" s="142" t="s">
        <v>7708</v>
      </c>
      <c r="AG783" s="142" t="s">
        <v>2705</v>
      </c>
      <c r="AH783" s="142" t="s">
        <v>2397</v>
      </c>
      <c r="AI783" s="142" t="s">
        <v>2705</v>
      </c>
      <c r="AJ783" s="142" t="s">
        <v>2705</v>
      </c>
      <c r="AK783" s="142" t="s">
        <v>2705</v>
      </c>
      <c r="AL783" s="142" t="s">
        <v>2705</v>
      </c>
      <c r="AM783" s="142" t="s">
        <v>2705</v>
      </c>
      <c r="AN783" s="142" t="s">
        <v>2398</v>
      </c>
      <c r="AO783" s="142" t="s">
        <v>2397</v>
      </c>
      <c r="AP783" s="142" t="s">
        <v>1435</v>
      </c>
      <c r="AQ783" s="142" t="s">
        <v>2705</v>
      </c>
      <c r="AR783" s="142" t="s">
        <v>2705</v>
      </c>
      <c r="AS783" s="142" t="s">
        <v>2398</v>
      </c>
      <c r="AT783" s="142" t="s">
        <v>2705</v>
      </c>
      <c r="AU783" s="142" t="s">
        <v>2398</v>
      </c>
      <c r="AV783" s="142" t="s">
        <v>1435</v>
      </c>
      <c r="AW783" s="142" t="s">
        <v>2675</v>
      </c>
      <c r="AX783" s="142" t="s">
        <v>2398</v>
      </c>
      <c r="AY783" s="142" t="s">
        <v>2398</v>
      </c>
      <c r="AZ783" s="142" t="s">
        <v>2398</v>
      </c>
    </row>
    <row r="784" spans="1:52" s="142" customFormat="1" ht="12.75" x14ac:dyDescent="0.2">
      <c r="A784" s="151"/>
      <c r="B784" s="152" t="s">
        <v>2398</v>
      </c>
      <c r="C784" s="152" t="s">
        <v>1435</v>
      </c>
      <c r="D784" s="152" t="s">
        <v>2705</v>
      </c>
      <c r="E784" s="152" t="s">
        <v>1435</v>
      </c>
      <c r="F784" s="152" t="s">
        <v>2398</v>
      </c>
      <c r="G784" s="152" t="s">
        <v>2705</v>
      </c>
      <c r="H784" s="152" t="s">
        <v>2675</v>
      </c>
      <c r="I784" s="152" t="s">
        <v>2398</v>
      </c>
      <c r="J784" s="152" t="s">
        <v>2705</v>
      </c>
      <c r="K784" s="152" t="s">
        <v>2398</v>
      </c>
      <c r="L784" s="152" t="s">
        <v>2398</v>
      </c>
      <c r="M784" s="152" t="s">
        <v>2398</v>
      </c>
      <c r="N784" s="152" t="s">
        <v>1435</v>
      </c>
      <c r="O784" s="152" t="s">
        <v>2705</v>
      </c>
      <c r="P784" s="152" t="s">
        <v>2398</v>
      </c>
      <c r="Q784" s="152" t="s">
        <v>1435</v>
      </c>
      <c r="R784" s="152" t="s">
        <v>2705</v>
      </c>
      <c r="S784" s="152" t="s">
        <v>2705</v>
      </c>
      <c r="T784" s="152" t="s">
        <v>2705</v>
      </c>
      <c r="U784" s="152" t="s">
        <v>2398</v>
      </c>
      <c r="V784" s="142" t="str" cm="1">
        <f t="array" ref="V784">IF(A784&lt;&gt;"",SUM(--(B784:U785 = "X")*$U$3,--(B784:U785 ="A")*$Q$3,--(B784:U785 ="B")*$R$3,--(B784:U785 ="C")*$S$3),"")</f>
        <v/>
      </c>
      <c r="AG784" s="142" t="s">
        <v>2398</v>
      </c>
      <c r="AH784" s="142" t="s">
        <v>1435</v>
      </c>
      <c r="AI784" s="142" t="s">
        <v>2705</v>
      </c>
      <c r="AJ784" s="142" t="s">
        <v>1435</v>
      </c>
      <c r="AK784" s="142" t="s">
        <v>2398</v>
      </c>
      <c r="AL784" s="142" t="s">
        <v>2705</v>
      </c>
      <c r="AM784" s="142" t="s">
        <v>2675</v>
      </c>
      <c r="AN784" s="142" t="s">
        <v>2398</v>
      </c>
      <c r="AO784" s="142" t="s">
        <v>2705</v>
      </c>
      <c r="AP784" s="142" t="s">
        <v>2398</v>
      </c>
      <c r="AQ784" s="142" t="s">
        <v>2398</v>
      </c>
      <c r="AR784" s="142" t="s">
        <v>2398</v>
      </c>
      <c r="AS784" s="142" t="s">
        <v>1435</v>
      </c>
      <c r="AT784" s="142" t="s">
        <v>2705</v>
      </c>
      <c r="AU784" s="142" t="s">
        <v>2398</v>
      </c>
      <c r="AV784" s="142" t="s">
        <v>1435</v>
      </c>
      <c r="AW784" s="142" t="s">
        <v>2705</v>
      </c>
      <c r="AX784" s="142" t="s">
        <v>2705</v>
      </c>
      <c r="AY784" s="142" t="s">
        <v>2705</v>
      </c>
      <c r="AZ784" s="142" t="s">
        <v>2398</v>
      </c>
    </row>
    <row r="785" spans="1:52" s="142" customFormat="1" ht="12.75" x14ac:dyDescent="0.2">
      <c r="A785" s="151" t="s">
        <v>7709</v>
      </c>
      <c r="B785" s="152" t="s">
        <v>2397</v>
      </c>
      <c r="C785" s="152" t="s">
        <v>2705</v>
      </c>
      <c r="D785" s="152" t="s">
        <v>2675</v>
      </c>
      <c r="E785" s="152" t="s">
        <v>2705</v>
      </c>
      <c r="F785" s="152" t="s">
        <v>1435</v>
      </c>
      <c r="G785" s="152" t="s">
        <v>2705</v>
      </c>
      <c r="H785" s="152" t="s">
        <v>2398</v>
      </c>
      <c r="I785" s="152" t="s">
        <v>2397</v>
      </c>
      <c r="J785" s="152" t="s">
        <v>2705</v>
      </c>
      <c r="K785" s="152" t="s">
        <v>2705</v>
      </c>
      <c r="L785" s="152" t="s">
        <v>2398</v>
      </c>
      <c r="M785" s="152" t="s">
        <v>2705</v>
      </c>
      <c r="N785" s="152" t="s">
        <v>2398</v>
      </c>
      <c r="O785" s="152" t="s">
        <v>2705</v>
      </c>
      <c r="P785" s="152" t="s">
        <v>2705</v>
      </c>
      <c r="Q785" s="152" t="s">
        <v>2675</v>
      </c>
      <c r="R785" s="152" t="s">
        <v>1435</v>
      </c>
      <c r="S785" s="152" t="s">
        <v>2705</v>
      </c>
      <c r="T785" s="152" t="s">
        <v>1435</v>
      </c>
      <c r="U785" s="152" t="s">
        <v>2705</v>
      </c>
      <c r="V785" s="142" cm="1">
        <f t="array" ref="V785">IF(A785&lt;&gt;"",SUM(--(B785:U786 = "X")*$U$3,--(B785:U786 ="A")*$Q$3,--(B785:U786 ="B")*$R$3,--(B785:U786 ="C")*$S$3),"")</f>
        <v>11</v>
      </c>
      <c r="AF785" s="142" t="s">
        <v>7709</v>
      </c>
      <c r="AG785" s="142" t="s">
        <v>2397</v>
      </c>
      <c r="AH785" s="142" t="s">
        <v>2705</v>
      </c>
      <c r="AI785" s="142" t="s">
        <v>2675</v>
      </c>
      <c r="AJ785" s="142" t="s">
        <v>2705</v>
      </c>
      <c r="AK785" s="142" t="s">
        <v>1435</v>
      </c>
      <c r="AL785" s="142" t="s">
        <v>2705</v>
      </c>
      <c r="AM785" s="142" t="s">
        <v>2398</v>
      </c>
      <c r="AN785" s="142" t="s">
        <v>2397</v>
      </c>
      <c r="AO785" s="142" t="s">
        <v>2705</v>
      </c>
      <c r="AP785" s="142" t="s">
        <v>2705</v>
      </c>
      <c r="AQ785" s="142" t="s">
        <v>2398</v>
      </c>
      <c r="AR785" s="142" t="s">
        <v>2705</v>
      </c>
      <c r="AS785" s="142" t="s">
        <v>2398</v>
      </c>
      <c r="AT785" s="142" t="s">
        <v>2705</v>
      </c>
      <c r="AU785" s="142" t="s">
        <v>2705</v>
      </c>
      <c r="AV785" s="142" t="s">
        <v>2675</v>
      </c>
      <c r="AW785" s="142" t="s">
        <v>1435</v>
      </c>
      <c r="AX785" s="142" t="s">
        <v>2705</v>
      </c>
      <c r="AY785" s="142" t="s">
        <v>1435</v>
      </c>
      <c r="AZ785" s="142" t="s">
        <v>2705</v>
      </c>
    </row>
    <row r="786" spans="1:52" s="142" customFormat="1" ht="12.75" x14ac:dyDescent="0.2">
      <c r="A786" s="151"/>
      <c r="B786" s="152" t="s">
        <v>2705</v>
      </c>
      <c r="C786" s="152" t="s">
        <v>2675</v>
      </c>
      <c r="D786" s="152" t="s">
        <v>1435</v>
      </c>
      <c r="E786" s="152" t="s">
        <v>2675</v>
      </c>
      <c r="F786" s="152" t="s">
        <v>2398</v>
      </c>
      <c r="G786" s="152" t="s">
        <v>2705</v>
      </c>
      <c r="H786" s="152" t="s">
        <v>2705</v>
      </c>
      <c r="I786" s="152" t="s">
        <v>1435</v>
      </c>
      <c r="J786" s="152" t="s">
        <v>2397</v>
      </c>
      <c r="K786" s="152" t="s">
        <v>1435</v>
      </c>
      <c r="L786" s="152" t="s">
        <v>2398</v>
      </c>
      <c r="M786" s="152" t="s">
        <v>1435</v>
      </c>
      <c r="N786" s="152" t="s">
        <v>2705</v>
      </c>
      <c r="O786" s="152" t="s">
        <v>2705</v>
      </c>
      <c r="P786" s="152" t="s">
        <v>2705</v>
      </c>
      <c r="Q786" s="152" t="s">
        <v>2397</v>
      </c>
      <c r="R786" s="152" t="s">
        <v>2705</v>
      </c>
      <c r="S786" s="152" t="s">
        <v>2397</v>
      </c>
      <c r="T786" s="152" t="s">
        <v>2397</v>
      </c>
      <c r="U786" s="152" t="s">
        <v>2675</v>
      </c>
      <c r="V786" s="142" t="str" cm="1">
        <f t="array" ref="V786">IF(A786&lt;&gt;"",SUM(--(B786:U787 = "X")*$U$3,--(B786:U787 ="A")*$Q$3,--(B786:U787 ="B")*$R$3,--(B786:U787 ="C")*$S$3),"")</f>
        <v/>
      </c>
      <c r="AG786" s="142" t="s">
        <v>2705</v>
      </c>
      <c r="AH786" s="142" t="s">
        <v>2675</v>
      </c>
      <c r="AI786" s="142" t="s">
        <v>1435</v>
      </c>
      <c r="AJ786" s="142" t="s">
        <v>2675</v>
      </c>
      <c r="AK786" s="142" t="s">
        <v>2398</v>
      </c>
      <c r="AL786" s="142" t="s">
        <v>2705</v>
      </c>
      <c r="AM786" s="142" t="s">
        <v>2705</v>
      </c>
      <c r="AN786" s="142" t="s">
        <v>1435</v>
      </c>
      <c r="AO786" s="142" t="s">
        <v>2397</v>
      </c>
      <c r="AP786" s="142" t="s">
        <v>1435</v>
      </c>
      <c r="AQ786" s="142" t="s">
        <v>2398</v>
      </c>
      <c r="AR786" s="142" t="s">
        <v>1435</v>
      </c>
      <c r="AS786" s="142" t="s">
        <v>2705</v>
      </c>
      <c r="AT786" s="142" t="s">
        <v>2705</v>
      </c>
      <c r="AU786" s="142" t="s">
        <v>2705</v>
      </c>
      <c r="AV786" s="142" t="s">
        <v>2397</v>
      </c>
      <c r="AW786" s="142" t="s">
        <v>2705</v>
      </c>
      <c r="AX786" s="142" t="s">
        <v>2397</v>
      </c>
      <c r="AY786" s="142" t="s">
        <v>2397</v>
      </c>
      <c r="AZ786" s="142" t="s">
        <v>2675</v>
      </c>
    </row>
    <row r="787" spans="1:52" s="142" customFormat="1" ht="12.75" x14ac:dyDescent="0.2">
      <c r="A787" s="151" t="s">
        <v>7710</v>
      </c>
      <c r="B787" s="152" t="s">
        <v>2397</v>
      </c>
      <c r="C787" s="152" t="s">
        <v>2397</v>
      </c>
      <c r="D787" s="152" t="s">
        <v>2675</v>
      </c>
      <c r="E787" s="152" t="s">
        <v>2398</v>
      </c>
      <c r="F787" s="152" t="s">
        <v>2398</v>
      </c>
      <c r="G787" s="152" t="s">
        <v>2705</v>
      </c>
      <c r="H787" s="152" t="s">
        <v>2398</v>
      </c>
      <c r="I787" s="152" t="s">
        <v>2397</v>
      </c>
      <c r="J787" s="152" t="s">
        <v>2705</v>
      </c>
      <c r="K787" s="152" t="s">
        <v>1435</v>
      </c>
      <c r="L787" s="152" t="s">
        <v>2705</v>
      </c>
      <c r="M787" s="152" t="s">
        <v>1435</v>
      </c>
      <c r="N787" s="152" t="s">
        <v>2398</v>
      </c>
      <c r="O787" s="152" t="s">
        <v>2705</v>
      </c>
      <c r="P787" s="152" t="s">
        <v>2397</v>
      </c>
      <c r="Q787" s="152" t="s">
        <v>2705</v>
      </c>
      <c r="R787" s="152" t="s">
        <v>2675</v>
      </c>
      <c r="S787" s="152" t="s">
        <v>2705</v>
      </c>
      <c r="T787" s="152" t="s">
        <v>2705</v>
      </c>
      <c r="U787" s="152" t="s">
        <v>2705</v>
      </c>
      <c r="V787" s="142" cm="1">
        <f t="array" ref="V787">IF(A787&lt;&gt;"",SUM(--(B787:U788 = "X")*$U$3,--(B787:U788 ="A")*$Q$3,--(B787:U788 ="B")*$R$3,--(B787:U788 ="C")*$S$3),"")</f>
        <v>13.5</v>
      </c>
      <c r="AF787" s="142" t="s">
        <v>7710</v>
      </c>
      <c r="AG787" s="142" t="s">
        <v>2397</v>
      </c>
      <c r="AH787" s="142" t="s">
        <v>2397</v>
      </c>
      <c r="AI787" s="142" t="s">
        <v>2675</v>
      </c>
      <c r="AJ787" s="142" t="s">
        <v>2398</v>
      </c>
      <c r="AK787" s="142" t="s">
        <v>2398</v>
      </c>
      <c r="AL787" s="142" t="s">
        <v>2705</v>
      </c>
      <c r="AM787" s="142" t="s">
        <v>2398</v>
      </c>
      <c r="AN787" s="142" t="s">
        <v>2397</v>
      </c>
      <c r="AO787" s="142" t="s">
        <v>2705</v>
      </c>
      <c r="AP787" s="142" t="s">
        <v>1435</v>
      </c>
      <c r="AQ787" s="142" t="s">
        <v>2705</v>
      </c>
      <c r="AR787" s="142" t="s">
        <v>1435</v>
      </c>
      <c r="AS787" s="142" t="s">
        <v>2398</v>
      </c>
      <c r="AT787" s="142" t="s">
        <v>2705</v>
      </c>
      <c r="AU787" s="142" t="s">
        <v>2397</v>
      </c>
      <c r="AV787" s="142" t="s">
        <v>2705</v>
      </c>
      <c r="AW787" s="142" t="s">
        <v>2675</v>
      </c>
      <c r="AX787" s="142" t="s">
        <v>2705</v>
      </c>
      <c r="AY787" s="142" t="s">
        <v>2705</v>
      </c>
      <c r="AZ787" s="142" t="s">
        <v>2705</v>
      </c>
    </row>
    <row r="788" spans="1:52" s="142" customFormat="1" ht="12.75" x14ac:dyDescent="0.2">
      <c r="A788" s="151"/>
      <c r="B788" s="152" t="s">
        <v>2398</v>
      </c>
      <c r="C788" s="152" t="s">
        <v>2398</v>
      </c>
      <c r="D788" s="152" t="s">
        <v>1435</v>
      </c>
      <c r="E788" s="152" t="s">
        <v>2705</v>
      </c>
      <c r="F788" s="152" t="s">
        <v>2398</v>
      </c>
      <c r="G788" s="152" t="s">
        <v>2675</v>
      </c>
      <c r="H788" s="152" t="s">
        <v>2705</v>
      </c>
      <c r="I788" s="152" t="s">
        <v>2398</v>
      </c>
      <c r="J788" s="152" t="s">
        <v>2398</v>
      </c>
      <c r="K788" s="152" t="s">
        <v>2705</v>
      </c>
      <c r="L788" s="152" t="s">
        <v>2705</v>
      </c>
      <c r="M788" s="152" t="s">
        <v>2398</v>
      </c>
      <c r="N788" s="152" t="s">
        <v>2705</v>
      </c>
      <c r="O788" s="152" t="s">
        <v>2705</v>
      </c>
      <c r="P788" s="152" t="s">
        <v>2705</v>
      </c>
      <c r="Q788" s="152" t="s">
        <v>2705</v>
      </c>
      <c r="R788" s="152" t="s">
        <v>2398</v>
      </c>
      <c r="S788" s="152" t="s">
        <v>1435</v>
      </c>
      <c r="T788" s="152" t="s">
        <v>2398</v>
      </c>
      <c r="U788" s="152" t="s">
        <v>2705</v>
      </c>
      <c r="V788" s="142" t="str" cm="1">
        <f t="array" ref="V788">IF(A788&lt;&gt;"",SUM(--(B788:U789 = "X")*$U$3,--(B788:U789 ="A")*$Q$3,--(B788:U789 ="B")*$R$3,--(B788:U789 ="C")*$S$3),"")</f>
        <v/>
      </c>
      <c r="AG788" s="142" t="s">
        <v>2398</v>
      </c>
      <c r="AH788" s="142" t="s">
        <v>2398</v>
      </c>
      <c r="AI788" s="142" t="s">
        <v>1435</v>
      </c>
      <c r="AJ788" s="142" t="s">
        <v>2705</v>
      </c>
      <c r="AK788" s="142" t="s">
        <v>2398</v>
      </c>
      <c r="AL788" s="142" t="s">
        <v>2675</v>
      </c>
      <c r="AM788" s="142" t="s">
        <v>2705</v>
      </c>
      <c r="AN788" s="142" t="s">
        <v>2398</v>
      </c>
      <c r="AO788" s="142" t="s">
        <v>2398</v>
      </c>
      <c r="AP788" s="142" t="s">
        <v>2705</v>
      </c>
      <c r="AQ788" s="142" t="s">
        <v>2705</v>
      </c>
      <c r="AR788" s="142" t="s">
        <v>2398</v>
      </c>
      <c r="AS788" s="142" t="s">
        <v>2705</v>
      </c>
      <c r="AT788" s="142" t="s">
        <v>2705</v>
      </c>
      <c r="AU788" s="142" t="s">
        <v>2705</v>
      </c>
      <c r="AV788" s="142" t="s">
        <v>2705</v>
      </c>
      <c r="AW788" s="142" t="s">
        <v>2398</v>
      </c>
      <c r="AX788" s="142" t="s">
        <v>1435</v>
      </c>
      <c r="AY788" s="142" t="s">
        <v>2398</v>
      </c>
      <c r="AZ788" s="142" t="s">
        <v>2705</v>
      </c>
    </row>
    <row r="789" spans="1:52" s="142" customFormat="1" ht="12.75" x14ac:dyDescent="0.2">
      <c r="A789" s="151" t="s">
        <v>7711</v>
      </c>
      <c r="B789" s="152" t="s">
        <v>2705</v>
      </c>
      <c r="C789" s="152" t="s">
        <v>2397</v>
      </c>
      <c r="D789" s="152" t="s">
        <v>2705</v>
      </c>
      <c r="E789" s="152" t="s">
        <v>2675</v>
      </c>
      <c r="F789" s="152" t="s">
        <v>2705</v>
      </c>
      <c r="G789" s="152" t="s">
        <v>2705</v>
      </c>
      <c r="H789" s="152" t="s">
        <v>2705</v>
      </c>
      <c r="I789" s="152" t="s">
        <v>2398</v>
      </c>
      <c r="J789" s="152" t="s">
        <v>2705</v>
      </c>
      <c r="K789" s="152" t="s">
        <v>2397</v>
      </c>
      <c r="L789" s="152" t="s">
        <v>2705</v>
      </c>
      <c r="M789" s="152" t="s">
        <v>2705</v>
      </c>
      <c r="N789" s="152" t="s">
        <v>2398</v>
      </c>
      <c r="O789" s="152" t="s">
        <v>2705</v>
      </c>
      <c r="P789" s="152" t="s">
        <v>2705</v>
      </c>
      <c r="Q789" s="152" t="s">
        <v>2398</v>
      </c>
      <c r="R789" s="152" t="s">
        <v>2397</v>
      </c>
      <c r="S789" s="152" t="s">
        <v>2705</v>
      </c>
      <c r="T789" s="152" t="s">
        <v>2398</v>
      </c>
      <c r="U789" s="152" t="s">
        <v>2675</v>
      </c>
      <c r="V789" s="142" cm="1">
        <f t="array" ref="V789">IF(A789&lt;&gt;"",SUM(--(B789:U790 = "X")*$U$3,--(B789:U790 ="A")*$Q$3,--(B789:U790 ="B")*$R$3,--(B789:U790 ="C")*$S$3),"")</f>
        <v>17</v>
      </c>
      <c r="AF789" s="142" t="s">
        <v>7711</v>
      </c>
      <c r="AG789" s="142" t="s">
        <v>2705</v>
      </c>
      <c r="AH789" s="142" t="s">
        <v>2397</v>
      </c>
      <c r="AI789" s="142" t="s">
        <v>2705</v>
      </c>
      <c r="AJ789" s="142" t="s">
        <v>2675</v>
      </c>
      <c r="AK789" s="142" t="s">
        <v>2705</v>
      </c>
      <c r="AL789" s="142" t="s">
        <v>2705</v>
      </c>
      <c r="AM789" s="142" t="s">
        <v>2705</v>
      </c>
      <c r="AN789" s="142" t="s">
        <v>2398</v>
      </c>
      <c r="AO789" s="142" t="s">
        <v>2705</v>
      </c>
      <c r="AP789" s="142" t="s">
        <v>2397</v>
      </c>
      <c r="AQ789" s="142" t="s">
        <v>2705</v>
      </c>
      <c r="AR789" s="142" t="s">
        <v>2705</v>
      </c>
      <c r="AS789" s="142" t="s">
        <v>2398</v>
      </c>
      <c r="AT789" s="142" t="s">
        <v>2705</v>
      </c>
      <c r="AU789" s="142" t="s">
        <v>2705</v>
      </c>
      <c r="AV789" s="142" t="s">
        <v>2398</v>
      </c>
      <c r="AW789" s="142" t="s">
        <v>2397</v>
      </c>
      <c r="AX789" s="142" t="s">
        <v>2705</v>
      </c>
      <c r="AY789" s="142" t="s">
        <v>2398</v>
      </c>
      <c r="AZ789" s="142" t="s">
        <v>2675</v>
      </c>
    </row>
    <row r="790" spans="1:52" s="142" customFormat="1" ht="12.75" x14ac:dyDescent="0.2">
      <c r="A790" s="151"/>
      <c r="B790" s="152" t="s">
        <v>2705</v>
      </c>
      <c r="C790" s="152" t="s">
        <v>2398</v>
      </c>
      <c r="D790" s="152" t="s">
        <v>2705</v>
      </c>
      <c r="E790" s="152" t="s">
        <v>1435</v>
      </c>
      <c r="F790" s="152" t="s">
        <v>2398</v>
      </c>
      <c r="G790" s="152" t="s">
        <v>2675</v>
      </c>
      <c r="H790" s="152" t="s">
        <v>2398</v>
      </c>
      <c r="I790" s="152" t="s">
        <v>2705</v>
      </c>
      <c r="J790" s="152" t="s">
        <v>2675</v>
      </c>
      <c r="K790" s="152" t="s">
        <v>2398</v>
      </c>
      <c r="L790" s="152" t="s">
        <v>2705</v>
      </c>
      <c r="M790" s="152" t="s">
        <v>2398</v>
      </c>
      <c r="N790" s="152" t="s">
        <v>1435</v>
      </c>
      <c r="O790" s="152" t="s">
        <v>2705</v>
      </c>
      <c r="P790" s="152" t="s">
        <v>2398</v>
      </c>
      <c r="Q790" s="152" t="s">
        <v>2705</v>
      </c>
      <c r="R790" s="152" t="s">
        <v>2705</v>
      </c>
      <c r="S790" s="152" t="s">
        <v>2398</v>
      </c>
      <c r="T790" s="152" t="s">
        <v>2705</v>
      </c>
      <c r="U790" s="152" t="s">
        <v>2705</v>
      </c>
      <c r="V790" s="142" t="str" cm="1">
        <f t="array" ref="V790">IF(A790&lt;&gt;"",SUM(--(B790:U791 = "X")*$U$3,--(B790:U791 ="A")*$Q$3,--(B790:U791 ="B")*$R$3,--(B790:U791 ="C")*$S$3),"")</f>
        <v/>
      </c>
      <c r="AG790" s="142" t="s">
        <v>2705</v>
      </c>
      <c r="AH790" s="142" t="s">
        <v>2398</v>
      </c>
      <c r="AI790" s="142" t="s">
        <v>2705</v>
      </c>
      <c r="AJ790" s="142" t="s">
        <v>1435</v>
      </c>
      <c r="AK790" s="142" t="s">
        <v>2398</v>
      </c>
      <c r="AL790" s="142" t="s">
        <v>2675</v>
      </c>
      <c r="AM790" s="142" t="s">
        <v>2398</v>
      </c>
      <c r="AN790" s="142" t="s">
        <v>2705</v>
      </c>
      <c r="AO790" s="142" t="s">
        <v>2675</v>
      </c>
      <c r="AP790" s="142" t="s">
        <v>2398</v>
      </c>
      <c r="AQ790" s="142" t="s">
        <v>2705</v>
      </c>
      <c r="AR790" s="142" t="s">
        <v>2398</v>
      </c>
      <c r="AS790" s="142" t="s">
        <v>1435</v>
      </c>
      <c r="AT790" s="142" t="s">
        <v>2705</v>
      </c>
      <c r="AU790" s="142" t="s">
        <v>2398</v>
      </c>
      <c r="AV790" s="142" t="s">
        <v>2705</v>
      </c>
      <c r="AW790" s="142" t="s">
        <v>2705</v>
      </c>
      <c r="AX790" s="142" t="s">
        <v>2398</v>
      </c>
      <c r="AY790" s="142" t="s">
        <v>2705</v>
      </c>
      <c r="AZ790" s="142" t="s">
        <v>2705</v>
      </c>
    </row>
    <row r="791" spans="1:52" s="142" customFormat="1" ht="12.75" x14ac:dyDescent="0.2">
      <c r="A791" s="151" t="s">
        <v>7712</v>
      </c>
      <c r="B791" s="152" t="s">
        <v>2398</v>
      </c>
      <c r="C791" s="152" t="s">
        <v>2705</v>
      </c>
      <c r="D791" s="152" t="s">
        <v>1435</v>
      </c>
      <c r="E791" s="152" t="s">
        <v>2705</v>
      </c>
      <c r="F791" s="152" t="s">
        <v>2675</v>
      </c>
      <c r="G791" s="152" t="s">
        <v>2705</v>
      </c>
      <c r="H791" s="152" t="s">
        <v>2705</v>
      </c>
      <c r="I791" s="152" t="s">
        <v>2705</v>
      </c>
      <c r="J791" s="152" t="s">
        <v>2398</v>
      </c>
      <c r="K791" s="152" t="s">
        <v>2705</v>
      </c>
      <c r="L791" s="152" t="s">
        <v>1435</v>
      </c>
      <c r="M791" s="152" t="s">
        <v>1435</v>
      </c>
      <c r="N791" s="152" t="s">
        <v>2675</v>
      </c>
      <c r="O791" s="152" t="s">
        <v>2705</v>
      </c>
      <c r="P791" s="152" t="s">
        <v>2705</v>
      </c>
      <c r="Q791" s="152" t="s">
        <v>2705</v>
      </c>
      <c r="R791" s="152" t="s">
        <v>2398</v>
      </c>
      <c r="S791" s="152" t="s">
        <v>2675</v>
      </c>
      <c r="T791" s="152" t="s">
        <v>2705</v>
      </c>
      <c r="U791" s="152" t="s">
        <v>2705</v>
      </c>
      <c r="V791" s="142" cm="1">
        <f t="array" ref="V791">IF(A791&lt;&gt;"",SUM(--(B791:U792 = "X")*$U$3,--(B791:U792 ="A")*$Q$3,--(B791:U792 ="B")*$R$3,--(B791:U792 ="C")*$S$3),"")</f>
        <v>17</v>
      </c>
      <c r="AF791" s="142" t="s">
        <v>7712</v>
      </c>
      <c r="AG791" s="142" t="s">
        <v>2398</v>
      </c>
      <c r="AH791" s="142" t="s">
        <v>2705</v>
      </c>
      <c r="AI791" s="142" t="s">
        <v>1435</v>
      </c>
      <c r="AJ791" s="142" t="s">
        <v>2705</v>
      </c>
      <c r="AK791" s="142" t="s">
        <v>2675</v>
      </c>
      <c r="AL791" s="142" t="s">
        <v>2705</v>
      </c>
      <c r="AM791" s="142" t="s">
        <v>2705</v>
      </c>
      <c r="AN791" s="142" t="s">
        <v>2705</v>
      </c>
      <c r="AO791" s="142" t="s">
        <v>2398</v>
      </c>
      <c r="AP791" s="142" t="s">
        <v>2705</v>
      </c>
      <c r="AQ791" s="142" t="s">
        <v>1435</v>
      </c>
      <c r="AR791" s="142" t="s">
        <v>1435</v>
      </c>
      <c r="AS791" s="142" t="s">
        <v>2675</v>
      </c>
      <c r="AT791" s="142" t="s">
        <v>2705</v>
      </c>
      <c r="AU791" s="142" t="s">
        <v>2705</v>
      </c>
      <c r="AV791" s="142" t="s">
        <v>2705</v>
      </c>
      <c r="AW791" s="142" t="s">
        <v>2398</v>
      </c>
      <c r="AX791" s="142" t="s">
        <v>2675</v>
      </c>
      <c r="AY791" s="142" t="s">
        <v>2705</v>
      </c>
      <c r="AZ791" s="142" t="s">
        <v>2705</v>
      </c>
    </row>
    <row r="792" spans="1:52" s="142" customFormat="1" ht="12.75" x14ac:dyDescent="0.2">
      <c r="A792" s="151"/>
      <c r="B792" s="152" t="s">
        <v>2398</v>
      </c>
      <c r="C792" s="152" t="s">
        <v>2398</v>
      </c>
      <c r="D792" s="152" t="s">
        <v>2705</v>
      </c>
      <c r="E792" s="152" t="s">
        <v>2705</v>
      </c>
      <c r="F792" s="152" t="s">
        <v>2705</v>
      </c>
      <c r="G792" s="152" t="s">
        <v>2705</v>
      </c>
      <c r="H792" s="152" t="s">
        <v>2705</v>
      </c>
      <c r="I792" s="152" t="s">
        <v>1435</v>
      </c>
      <c r="J792" s="152" t="s">
        <v>2398</v>
      </c>
      <c r="K792" s="152" t="s">
        <v>2705</v>
      </c>
      <c r="L792" s="152" t="s">
        <v>2705</v>
      </c>
      <c r="M792" s="152" t="s">
        <v>1435</v>
      </c>
      <c r="N792" s="152" t="s">
        <v>2705</v>
      </c>
      <c r="O792" s="152" t="s">
        <v>2398</v>
      </c>
      <c r="P792" s="152" t="s">
        <v>2675</v>
      </c>
      <c r="Q792" s="152" t="s">
        <v>2705</v>
      </c>
      <c r="R792" s="152" t="s">
        <v>2398</v>
      </c>
      <c r="S792" s="152" t="s">
        <v>2705</v>
      </c>
      <c r="T792" s="152" t="s">
        <v>2705</v>
      </c>
      <c r="U792" s="152" t="s">
        <v>2675</v>
      </c>
      <c r="V792" s="142" t="str" cm="1">
        <f t="array" ref="V792">IF(A792&lt;&gt;"",SUM(--(B792:U793 = "X")*$U$3,--(B792:U793 ="A")*$Q$3,--(B792:U793 ="B")*$R$3,--(B792:U793 ="C")*$S$3),"")</f>
        <v/>
      </c>
      <c r="AG792" s="142" t="s">
        <v>2398</v>
      </c>
      <c r="AH792" s="142" t="s">
        <v>2398</v>
      </c>
      <c r="AI792" s="142" t="s">
        <v>2705</v>
      </c>
      <c r="AJ792" s="142" t="s">
        <v>2705</v>
      </c>
      <c r="AK792" s="142" t="s">
        <v>2705</v>
      </c>
      <c r="AL792" s="142" t="s">
        <v>2705</v>
      </c>
      <c r="AM792" s="142" t="s">
        <v>2705</v>
      </c>
      <c r="AN792" s="142" t="s">
        <v>1435</v>
      </c>
      <c r="AO792" s="142" t="s">
        <v>2398</v>
      </c>
      <c r="AP792" s="142" t="s">
        <v>2705</v>
      </c>
      <c r="AQ792" s="142" t="s">
        <v>2705</v>
      </c>
      <c r="AR792" s="142" t="s">
        <v>1435</v>
      </c>
      <c r="AS792" s="142" t="s">
        <v>2705</v>
      </c>
      <c r="AT792" s="142" t="s">
        <v>2398</v>
      </c>
      <c r="AU792" s="142" t="s">
        <v>2675</v>
      </c>
      <c r="AV792" s="142" t="s">
        <v>2705</v>
      </c>
      <c r="AW792" s="142" t="s">
        <v>2398</v>
      </c>
      <c r="AX792" s="142" t="s">
        <v>2705</v>
      </c>
      <c r="AY792" s="142" t="s">
        <v>2705</v>
      </c>
      <c r="AZ792" s="142" t="s">
        <v>2675</v>
      </c>
    </row>
    <row r="793" spans="1:52" s="142" customFormat="1" ht="12.75" x14ac:dyDescent="0.2">
      <c r="A793" s="151" t="s">
        <v>7713</v>
      </c>
      <c r="B793" s="152" t="s">
        <v>2705</v>
      </c>
      <c r="C793" s="152" t="s">
        <v>2397</v>
      </c>
      <c r="D793" s="152" t="s">
        <v>2705</v>
      </c>
      <c r="E793" s="152" t="s">
        <v>2398</v>
      </c>
      <c r="F793" s="152" t="s">
        <v>2398</v>
      </c>
      <c r="G793" s="152" t="s">
        <v>2705</v>
      </c>
      <c r="H793" s="152" t="s">
        <v>2705</v>
      </c>
      <c r="I793" s="152" t="s">
        <v>2705</v>
      </c>
      <c r="J793" s="152" t="s">
        <v>2398</v>
      </c>
      <c r="K793" s="152" t="s">
        <v>1435</v>
      </c>
      <c r="L793" s="152" t="s">
        <v>2705</v>
      </c>
      <c r="M793" s="152" t="s">
        <v>2705</v>
      </c>
      <c r="N793" s="152" t="s">
        <v>1435</v>
      </c>
      <c r="O793" s="152" t="s">
        <v>2398</v>
      </c>
      <c r="P793" s="152" t="s">
        <v>2398</v>
      </c>
      <c r="Q793" s="152" t="s">
        <v>2398</v>
      </c>
      <c r="R793" s="152" t="s">
        <v>2398</v>
      </c>
      <c r="S793" s="152" t="s">
        <v>2675</v>
      </c>
      <c r="T793" s="152" t="s">
        <v>2705</v>
      </c>
      <c r="U793" s="152" t="s">
        <v>2705</v>
      </c>
      <c r="V793" s="142" cm="1">
        <f t="array" ref="V793">IF(A793&lt;&gt;"",SUM(--(B793:U794 = "X")*$U$3,--(B793:U794 ="A")*$Q$3,--(B793:U794 ="B")*$R$3,--(B793:U794 ="C")*$S$3),"")</f>
        <v>15</v>
      </c>
      <c r="AF793" s="142" t="s">
        <v>7713</v>
      </c>
      <c r="AG793" s="142" t="s">
        <v>2705</v>
      </c>
      <c r="AH793" s="142" t="s">
        <v>2397</v>
      </c>
      <c r="AI793" s="142" t="s">
        <v>2705</v>
      </c>
      <c r="AJ793" s="142" t="s">
        <v>2398</v>
      </c>
      <c r="AK793" s="142" t="s">
        <v>2398</v>
      </c>
      <c r="AL793" s="142" t="s">
        <v>2705</v>
      </c>
      <c r="AM793" s="142" t="s">
        <v>2705</v>
      </c>
      <c r="AN793" s="142" t="s">
        <v>2705</v>
      </c>
      <c r="AO793" s="142" t="s">
        <v>2398</v>
      </c>
      <c r="AP793" s="142" t="s">
        <v>1435</v>
      </c>
      <c r="AQ793" s="142" t="s">
        <v>2705</v>
      </c>
      <c r="AR793" s="142" t="s">
        <v>2705</v>
      </c>
      <c r="AS793" s="142" t="s">
        <v>1435</v>
      </c>
      <c r="AT793" s="142" t="s">
        <v>2398</v>
      </c>
      <c r="AU793" s="142" t="s">
        <v>2398</v>
      </c>
      <c r="AV793" s="142" t="s">
        <v>2398</v>
      </c>
      <c r="AW793" s="142" t="s">
        <v>2398</v>
      </c>
      <c r="AX793" s="142" t="s">
        <v>2675</v>
      </c>
      <c r="AY793" s="142" t="s">
        <v>2705</v>
      </c>
      <c r="AZ793" s="142" t="s">
        <v>2705</v>
      </c>
    </row>
    <row r="794" spans="1:52" s="142" customFormat="1" ht="12.75" x14ac:dyDescent="0.2">
      <c r="A794" s="151"/>
      <c r="B794" s="152" t="s">
        <v>2398</v>
      </c>
      <c r="C794" s="152" t="s">
        <v>2398</v>
      </c>
      <c r="D794" s="152" t="s">
        <v>2705</v>
      </c>
      <c r="E794" s="152" t="s">
        <v>1435</v>
      </c>
      <c r="F794" s="152" t="s">
        <v>2705</v>
      </c>
      <c r="G794" s="152" t="s">
        <v>2675</v>
      </c>
      <c r="H794" s="152" t="s">
        <v>2705</v>
      </c>
      <c r="I794" s="152" t="s">
        <v>2705</v>
      </c>
      <c r="J794" s="152" t="s">
        <v>2705</v>
      </c>
      <c r="K794" s="152" t="s">
        <v>2398</v>
      </c>
      <c r="L794" s="152" t="s">
        <v>2397</v>
      </c>
      <c r="M794" s="152" t="s">
        <v>2398</v>
      </c>
      <c r="N794" s="152" t="s">
        <v>2398</v>
      </c>
      <c r="O794" s="152" t="s">
        <v>2705</v>
      </c>
      <c r="P794" s="152" t="s">
        <v>2705</v>
      </c>
      <c r="Q794" s="152" t="s">
        <v>2398</v>
      </c>
      <c r="R794" s="152" t="s">
        <v>2705</v>
      </c>
      <c r="S794" s="152" t="s">
        <v>2398</v>
      </c>
      <c r="T794" s="152" t="s">
        <v>2675</v>
      </c>
      <c r="U794" s="152" t="s">
        <v>2705</v>
      </c>
      <c r="V794" s="142" t="str" cm="1">
        <f t="array" ref="V794">IF(A794&lt;&gt;"",SUM(--(B794:U795 = "X")*$U$3,--(B794:U795 ="A")*$Q$3,--(B794:U795 ="B")*$R$3,--(B794:U795 ="C")*$S$3),"")</f>
        <v/>
      </c>
      <c r="AG794" s="142" t="s">
        <v>2398</v>
      </c>
      <c r="AH794" s="142" t="s">
        <v>2398</v>
      </c>
      <c r="AI794" s="142" t="s">
        <v>2705</v>
      </c>
      <c r="AJ794" s="142" t="s">
        <v>1435</v>
      </c>
      <c r="AK794" s="142" t="s">
        <v>2705</v>
      </c>
      <c r="AL794" s="142" t="s">
        <v>2675</v>
      </c>
      <c r="AM794" s="142" t="s">
        <v>2705</v>
      </c>
      <c r="AN794" s="142" t="s">
        <v>2705</v>
      </c>
      <c r="AO794" s="142" t="s">
        <v>2705</v>
      </c>
      <c r="AP794" s="142" t="s">
        <v>2398</v>
      </c>
      <c r="AQ794" s="142" t="s">
        <v>2397</v>
      </c>
      <c r="AR794" s="142" t="s">
        <v>2398</v>
      </c>
      <c r="AS794" s="142" t="s">
        <v>2398</v>
      </c>
      <c r="AT794" s="142" t="s">
        <v>2705</v>
      </c>
      <c r="AU794" s="142" t="s">
        <v>2705</v>
      </c>
      <c r="AV794" s="142" t="s">
        <v>2398</v>
      </c>
      <c r="AW794" s="142" t="s">
        <v>2705</v>
      </c>
      <c r="AX794" s="142" t="s">
        <v>2398</v>
      </c>
      <c r="AY794" s="142" t="s">
        <v>2675</v>
      </c>
      <c r="AZ794" s="142" t="s">
        <v>2705</v>
      </c>
    </row>
    <row r="795" spans="1:52" s="142" customFormat="1" ht="12.75" x14ac:dyDescent="0.2">
      <c r="A795" s="151" t="s">
        <v>7714</v>
      </c>
      <c r="B795" s="152" t="s">
        <v>2398</v>
      </c>
      <c r="C795" s="152" t="s">
        <v>2705</v>
      </c>
      <c r="D795" s="152" t="s">
        <v>2397</v>
      </c>
      <c r="E795" s="152" t="s">
        <v>2705</v>
      </c>
      <c r="F795" s="152" t="s">
        <v>2398</v>
      </c>
      <c r="G795" s="152" t="s">
        <v>2705</v>
      </c>
      <c r="H795" s="152" t="s">
        <v>1435</v>
      </c>
      <c r="I795" s="152" t="s">
        <v>2398</v>
      </c>
      <c r="J795" s="152" t="s">
        <v>2705</v>
      </c>
      <c r="K795" s="152" t="s">
        <v>2705</v>
      </c>
      <c r="L795" s="152" t="s">
        <v>2398</v>
      </c>
      <c r="M795" s="152" t="s">
        <v>2398</v>
      </c>
      <c r="N795" s="152" t="s">
        <v>2705</v>
      </c>
      <c r="O795" s="152" t="s">
        <v>2398</v>
      </c>
      <c r="P795" s="152" t="s">
        <v>2398</v>
      </c>
      <c r="Q795" s="152" t="s">
        <v>2398</v>
      </c>
      <c r="R795" s="152" t="s">
        <v>2705</v>
      </c>
      <c r="S795" s="152" t="s">
        <v>2398</v>
      </c>
      <c r="T795" s="152" t="s">
        <v>2398</v>
      </c>
      <c r="U795" s="152" t="s">
        <v>2705</v>
      </c>
      <c r="V795" s="142" cm="1">
        <f t="array" ref="V795">IF(A795&lt;&gt;"",SUM(--(B795:U796 = "X")*$U$3,--(B795:U796 ="A")*$Q$3,--(B795:U796 ="B")*$R$3,--(B795:U796 ="C")*$S$3),"")</f>
        <v>14</v>
      </c>
      <c r="AF795" s="142" t="s">
        <v>7714</v>
      </c>
      <c r="AG795" s="142" t="s">
        <v>2398</v>
      </c>
      <c r="AH795" s="142" t="s">
        <v>2705</v>
      </c>
      <c r="AI795" s="142" t="s">
        <v>2397</v>
      </c>
      <c r="AJ795" s="142" t="s">
        <v>2705</v>
      </c>
      <c r="AK795" s="142" t="s">
        <v>2398</v>
      </c>
      <c r="AL795" s="142" t="s">
        <v>2705</v>
      </c>
      <c r="AM795" s="142" t="s">
        <v>1435</v>
      </c>
      <c r="AN795" s="142" t="s">
        <v>2398</v>
      </c>
      <c r="AO795" s="142" t="s">
        <v>2705</v>
      </c>
      <c r="AP795" s="142" t="s">
        <v>2705</v>
      </c>
      <c r="AQ795" s="142" t="s">
        <v>2398</v>
      </c>
      <c r="AR795" s="142" t="s">
        <v>2398</v>
      </c>
      <c r="AS795" s="142" t="s">
        <v>2705</v>
      </c>
      <c r="AT795" s="142" t="s">
        <v>2398</v>
      </c>
      <c r="AU795" s="142" t="s">
        <v>2398</v>
      </c>
      <c r="AV795" s="142" t="s">
        <v>2398</v>
      </c>
      <c r="AW795" s="142" t="s">
        <v>2705</v>
      </c>
      <c r="AX795" s="142" t="s">
        <v>2398</v>
      </c>
      <c r="AY795" s="142" t="s">
        <v>2398</v>
      </c>
      <c r="AZ795" s="142" t="s">
        <v>2705</v>
      </c>
    </row>
    <row r="796" spans="1:52" s="142" customFormat="1" ht="12.75" x14ac:dyDescent="0.2">
      <c r="A796" s="151"/>
      <c r="B796" s="152" t="s">
        <v>2398</v>
      </c>
      <c r="C796" s="152" t="s">
        <v>2705</v>
      </c>
      <c r="D796" s="152" t="s">
        <v>2398</v>
      </c>
      <c r="E796" s="152" t="s">
        <v>2705</v>
      </c>
      <c r="F796" s="152" t="s">
        <v>2675</v>
      </c>
      <c r="G796" s="152" t="s">
        <v>1435</v>
      </c>
      <c r="H796" s="152" t="s">
        <v>2705</v>
      </c>
      <c r="I796" s="152" t="s">
        <v>2705</v>
      </c>
      <c r="J796" s="152" t="s">
        <v>2398</v>
      </c>
      <c r="K796" s="152" t="s">
        <v>2705</v>
      </c>
      <c r="L796" s="152" t="s">
        <v>2397</v>
      </c>
      <c r="M796" s="152" t="s">
        <v>2398</v>
      </c>
      <c r="N796" s="152" t="s">
        <v>2398</v>
      </c>
      <c r="O796" s="152" t="s">
        <v>2398</v>
      </c>
      <c r="P796" s="152" t="s">
        <v>2398</v>
      </c>
      <c r="Q796" s="152" t="s">
        <v>2705</v>
      </c>
      <c r="R796" s="152" t="s">
        <v>1435</v>
      </c>
      <c r="S796" s="152" t="s">
        <v>2705</v>
      </c>
      <c r="T796" s="152" t="s">
        <v>2705</v>
      </c>
      <c r="U796" s="152" t="s">
        <v>2398</v>
      </c>
      <c r="V796" s="142" t="str" cm="1">
        <f t="array" ref="V796">IF(A796&lt;&gt;"",SUM(--(B796:U797 = "X")*$U$3,--(B796:U797 ="A")*$Q$3,--(B796:U797 ="B")*$R$3,--(B796:U797 ="C")*$S$3),"")</f>
        <v/>
      </c>
      <c r="AG796" s="142" t="s">
        <v>2398</v>
      </c>
      <c r="AH796" s="142" t="s">
        <v>2705</v>
      </c>
      <c r="AI796" s="142" t="s">
        <v>2398</v>
      </c>
      <c r="AJ796" s="142" t="s">
        <v>2705</v>
      </c>
      <c r="AK796" s="142" t="s">
        <v>2675</v>
      </c>
      <c r="AL796" s="142" t="s">
        <v>1435</v>
      </c>
      <c r="AM796" s="142" t="s">
        <v>2705</v>
      </c>
      <c r="AN796" s="142" t="s">
        <v>2705</v>
      </c>
      <c r="AO796" s="142" t="s">
        <v>2398</v>
      </c>
      <c r="AP796" s="142" t="s">
        <v>2705</v>
      </c>
      <c r="AQ796" s="142" t="s">
        <v>2397</v>
      </c>
      <c r="AR796" s="142" t="s">
        <v>2398</v>
      </c>
      <c r="AS796" s="142" t="s">
        <v>2398</v>
      </c>
      <c r="AT796" s="142" t="s">
        <v>2398</v>
      </c>
      <c r="AU796" s="142" t="s">
        <v>2398</v>
      </c>
      <c r="AV796" s="142" t="s">
        <v>2705</v>
      </c>
      <c r="AW796" s="142" t="s">
        <v>1435</v>
      </c>
      <c r="AX796" s="142" t="s">
        <v>2705</v>
      </c>
      <c r="AY796" s="142" t="s">
        <v>2705</v>
      </c>
      <c r="AZ796" s="142" t="s">
        <v>2398</v>
      </c>
    </row>
    <row r="797" spans="1:52" s="142" customFormat="1" ht="12.75" x14ac:dyDescent="0.2">
      <c r="A797" s="151" t="s">
        <v>7715</v>
      </c>
      <c r="B797" s="152" t="s">
        <v>2398</v>
      </c>
      <c r="C797" s="152" t="s">
        <v>2705</v>
      </c>
      <c r="D797" s="152" t="s">
        <v>2705</v>
      </c>
      <c r="E797" s="152" t="s">
        <v>2705</v>
      </c>
      <c r="F797" s="152" t="s">
        <v>2705</v>
      </c>
      <c r="G797" s="152" t="s">
        <v>2705</v>
      </c>
      <c r="H797" s="152" t="s">
        <v>2705</v>
      </c>
      <c r="I797" s="152" t="s">
        <v>2398</v>
      </c>
      <c r="J797" s="152" t="s">
        <v>2705</v>
      </c>
      <c r="K797" s="152" t="s">
        <v>2705</v>
      </c>
      <c r="L797" s="152" t="s">
        <v>2705</v>
      </c>
      <c r="M797" s="152" t="s">
        <v>2398</v>
      </c>
      <c r="N797" s="152" t="s">
        <v>2705</v>
      </c>
      <c r="O797" s="152" t="s">
        <v>1435</v>
      </c>
      <c r="P797" s="152" t="s">
        <v>2398</v>
      </c>
      <c r="Q797" s="152" t="s">
        <v>2398</v>
      </c>
      <c r="R797" s="152" t="s">
        <v>2705</v>
      </c>
      <c r="S797" s="152" t="s">
        <v>2398</v>
      </c>
      <c r="T797" s="152" t="s">
        <v>2705</v>
      </c>
      <c r="U797" s="152" t="s">
        <v>2705</v>
      </c>
      <c r="V797" s="142" cm="1">
        <f t="array" ref="V797">IF(A797&lt;&gt;"",SUM(--(B797:U798 = "X")*$U$3,--(B797:U798 ="A")*$Q$3,--(B797:U798 ="B")*$R$3,--(B797:U798 ="C")*$S$3),"")</f>
        <v>25.5</v>
      </c>
      <c r="AF797" s="142" t="s">
        <v>7715</v>
      </c>
      <c r="AG797" s="142" t="s">
        <v>2398</v>
      </c>
      <c r="AH797" s="142" t="s">
        <v>2705</v>
      </c>
      <c r="AI797" s="142" t="s">
        <v>2705</v>
      </c>
      <c r="AJ797" s="142" t="s">
        <v>2705</v>
      </c>
      <c r="AK797" s="142" t="s">
        <v>2705</v>
      </c>
      <c r="AL797" s="142" t="s">
        <v>2705</v>
      </c>
      <c r="AM797" s="142" t="s">
        <v>2705</v>
      </c>
      <c r="AN797" s="142" t="s">
        <v>2398</v>
      </c>
      <c r="AO797" s="142" t="s">
        <v>2705</v>
      </c>
      <c r="AP797" s="142" t="s">
        <v>2705</v>
      </c>
      <c r="AQ797" s="142" t="s">
        <v>2705</v>
      </c>
      <c r="AR797" s="142" t="s">
        <v>2398</v>
      </c>
      <c r="AS797" s="142" t="s">
        <v>2705</v>
      </c>
      <c r="AT797" s="142" t="s">
        <v>1435</v>
      </c>
      <c r="AU797" s="142" t="s">
        <v>2398</v>
      </c>
      <c r="AV797" s="142" t="s">
        <v>2398</v>
      </c>
      <c r="AW797" s="142" t="s">
        <v>2705</v>
      </c>
      <c r="AX797" s="142" t="s">
        <v>2398</v>
      </c>
      <c r="AY797" s="142" t="s">
        <v>2705</v>
      </c>
      <c r="AZ797" s="142" t="s">
        <v>2705</v>
      </c>
    </row>
    <row r="798" spans="1:52" s="142" customFormat="1" ht="12.75" x14ac:dyDescent="0.2">
      <c r="A798" s="151"/>
      <c r="B798" s="152" t="s">
        <v>2705</v>
      </c>
      <c r="C798" s="152" t="s">
        <v>2398</v>
      </c>
      <c r="D798" s="152" t="s">
        <v>2705</v>
      </c>
      <c r="E798" s="152" t="s">
        <v>2705</v>
      </c>
      <c r="F798" s="152" t="s">
        <v>2705</v>
      </c>
      <c r="G798" s="152" t="s">
        <v>2398</v>
      </c>
      <c r="H798" s="152" t="s">
        <v>2398</v>
      </c>
      <c r="I798" s="152" t="s">
        <v>2705</v>
      </c>
      <c r="J798" s="152" t="s">
        <v>2398</v>
      </c>
      <c r="K798" s="152" t="s">
        <v>2705</v>
      </c>
      <c r="L798" s="152" t="s">
        <v>2705</v>
      </c>
      <c r="M798" s="152" t="s">
        <v>2705</v>
      </c>
      <c r="N798" s="152" t="s">
        <v>2398</v>
      </c>
      <c r="O798" s="152" t="s">
        <v>2398</v>
      </c>
      <c r="P798" s="152" t="s">
        <v>2705</v>
      </c>
      <c r="Q798" s="152" t="s">
        <v>2705</v>
      </c>
      <c r="R798" s="152" t="s">
        <v>2398</v>
      </c>
      <c r="S798" s="152" t="s">
        <v>2705</v>
      </c>
      <c r="T798" s="152" t="s">
        <v>2705</v>
      </c>
      <c r="U798" s="152" t="s">
        <v>2705</v>
      </c>
      <c r="V798" s="142" t="str" cm="1">
        <f t="array" ref="V798">IF(A798&lt;&gt;"",SUM(--(B798:U799 = "X")*$U$3,--(B798:U799 ="A")*$Q$3,--(B798:U799 ="B")*$R$3,--(B798:U799 ="C")*$S$3),"")</f>
        <v/>
      </c>
      <c r="AG798" s="142" t="s">
        <v>2705</v>
      </c>
      <c r="AH798" s="142" t="s">
        <v>2398</v>
      </c>
      <c r="AI798" s="142" t="s">
        <v>2705</v>
      </c>
      <c r="AJ798" s="142" t="s">
        <v>2705</v>
      </c>
      <c r="AK798" s="142" t="s">
        <v>2705</v>
      </c>
      <c r="AL798" s="142" t="s">
        <v>2398</v>
      </c>
      <c r="AM798" s="142" t="s">
        <v>2398</v>
      </c>
      <c r="AN798" s="142" t="s">
        <v>2705</v>
      </c>
      <c r="AO798" s="142" t="s">
        <v>2398</v>
      </c>
      <c r="AP798" s="142" t="s">
        <v>2705</v>
      </c>
      <c r="AQ798" s="142" t="s">
        <v>2705</v>
      </c>
      <c r="AR798" s="142" t="s">
        <v>2705</v>
      </c>
      <c r="AS798" s="142" t="s">
        <v>2398</v>
      </c>
      <c r="AT798" s="142" t="s">
        <v>2398</v>
      </c>
      <c r="AU798" s="142" t="s">
        <v>2705</v>
      </c>
      <c r="AV798" s="142" t="s">
        <v>2705</v>
      </c>
      <c r="AW798" s="142" t="s">
        <v>2398</v>
      </c>
      <c r="AX798" s="142" t="s">
        <v>2705</v>
      </c>
      <c r="AY798" s="142" t="s">
        <v>2705</v>
      </c>
      <c r="AZ798" s="142" t="s">
        <v>2705</v>
      </c>
    </row>
    <row r="799" spans="1:52" s="142" customFormat="1" ht="12.75" x14ac:dyDescent="0.2">
      <c r="A799" s="151" t="s">
        <v>7716</v>
      </c>
      <c r="B799" s="152" t="s">
        <v>2398</v>
      </c>
      <c r="C799" s="152" t="s">
        <v>2675</v>
      </c>
      <c r="D799" s="152" t="s">
        <v>1435</v>
      </c>
      <c r="E799" s="152" t="s">
        <v>1435</v>
      </c>
      <c r="F799" s="152" t="s">
        <v>2398</v>
      </c>
      <c r="G799" s="152" t="s">
        <v>2705</v>
      </c>
      <c r="H799" s="152" t="s">
        <v>1435</v>
      </c>
      <c r="I799" s="152" t="s">
        <v>2398</v>
      </c>
      <c r="J799" s="152" t="s">
        <v>2705</v>
      </c>
      <c r="K799" s="152" t="s">
        <v>2705</v>
      </c>
      <c r="L799" s="152" t="s">
        <v>1435</v>
      </c>
      <c r="M799" s="152" t="s">
        <v>2705</v>
      </c>
      <c r="N799" s="152" t="s">
        <v>2675</v>
      </c>
      <c r="O799" s="152" t="s">
        <v>2705</v>
      </c>
      <c r="P799" s="152" t="s">
        <v>2705</v>
      </c>
      <c r="Q799" s="152" t="s">
        <v>2705</v>
      </c>
      <c r="R799" s="152" t="s">
        <v>1435</v>
      </c>
      <c r="S799" s="152" t="s">
        <v>2705</v>
      </c>
      <c r="T799" s="152" t="s">
        <v>2705</v>
      </c>
      <c r="U799" s="152" t="s">
        <v>2705</v>
      </c>
      <c r="V799" s="142" cm="1">
        <f t="array" ref="V799">IF(A799&lt;&gt;"",SUM(--(B799:U800 = "X")*$U$3,--(B799:U800 ="A")*$Q$3,--(B799:U800 ="B")*$R$3,--(B799:U800 ="C")*$S$3),"")</f>
        <v>15</v>
      </c>
      <c r="AF799" s="142" t="s">
        <v>7716</v>
      </c>
      <c r="AG799" s="142" t="s">
        <v>2398</v>
      </c>
      <c r="AH799" s="142" t="s">
        <v>2675</v>
      </c>
      <c r="AI799" s="142" t="s">
        <v>1435</v>
      </c>
      <c r="AJ799" s="142" t="s">
        <v>1435</v>
      </c>
      <c r="AK799" s="142" t="s">
        <v>2398</v>
      </c>
      <c r="AL799" s="142" t="s">
        <v>2705</v>
      </c>
      <c r="AM799" s="142" t="s">
        <v>1435</v>
      </c>
      <c r="AN799" s="142" t="s">
        <v>2398</v>
      </c>
      <c r="AO799" s="142" t="s">
        <v>2705</v>
      </c>
      <c r="AP799" s="142" t="s">
        <v>2705</v>
      </c>
      <c r="AQ799" s="142" t="s">
        <v>1435</v>
      </c>
      <c r="AR799" s="142" t="s">
        <v>2705</v>
      </c>
      <c r="AS799" s="142" t="s">
        <v>2675</v>
      </c>
      <c r="AT799" s="142" t="s">
        <v>2705</v>
      </c>
      <c r="AU799" s="142" t="s">
        <v>2705</v>
      </c>
      <c r="AV799" s="142" t="s">
        <v>2705</v>
      </c>
      <c r="AW799" s="142" t="s">
        <v>1435</v>
      </c>
      <c r="AX799" s="142" t="s">
        <v>2705</v>
      </c>
      <c r="AY799" s="142" t="s">
        <v>2705</v>
      </c>
      <c r="AZ799" s="142" t="s">
        <v>2705</v>
      </c>
    </row>
    <row r="800" spans="1:52" s="142" customFormat="1" ht="12.75" x14ac:dyDescent="0.2">
      <c r="A800" s="151"/>
      <c r="B800" s="152" t="s">
        <v>2705</v>
      </c>
      <c r="C800" s="152" t="s">
        <v>2675</v>
      </c>
      <c r="D800" s="152" t="s">
        <v>2705</v>
      </c>
      <c r="E800" s="152" t="s">
        <v>2398</v>
      </c>
      <c r="F800" s="152" t="s">
        <v>2705</v>
      </c>
      <c r="G800" s="152" t="s">
        <v>2705</v>
      </c>
      <c r="H800" s="152" t="s">
        <v>2705</v>
      </c>
      <c r="I800" s="152" t="s">
        <v>2705</v>
      </c>
      <c r="J800" s="152" t="s">
        <v>2398</v>
      </c>
      <c r="K800" s="152" t="s">
        <v>2398</v>
      </c>
      <c r="L800" s="152" t="s">
        <v>2398</v>
      </c>
      <c r="M800" s="152" t="s">
        <v>2705</v>
      </c>
      <c r="N800" s="152" t="s">
        <v>2397</v>
      </c>
      <c r="O800" s="152" t="s">
        <v>2398</v>
      </c>
      <c r="P800" s="152" t="s">
        <v>2398</v>
      </c>
      <c r="Q800" s="152" t="s">
        <v>2398</v>
      </c>
      <c r="R800" s="152" t="s">
        <v>2705</v>
      </c>
      <c r="S800" s="152" t="s">
        <v>2705</v>
      </c>
      <c r="T800" s="152" t="s">
        <v>2398</v>
      </c>
      <c r="U800" s="152" t="s">
        <v>2398</v>
      </c>
      <c r="V800" s="142" t="str" cm="1">
        <f t="array" ref="V800">IF(A800&lt;&gt;"",SUM(--(B800:U801 = "X")*$U$3,--(B800:U801 ="A")*$Q$3,--(B800:U801 ="B")*$R$3,--(B800:U801 ="C")*$S$3),"")</f>
        <v/>
      </c>
      <c r="AG800" s="142" t="s">
        <v>2705</v>
      </c>
      <c r="AH800" s="142" t="s">
        <v>2675</v>
      </c>
      <c r="AI800" s="142" t="s">
        <v>2705</v>
      </c>
      <c r="AJ800" s="142" t="s">
        <v>2398</v>
      </c>
      <c r="AK800" s="142" t="s">
        <v>2705</v>
      </c>
      <c r="AL800" s="142" t="s">
        <v>2705</v>
      </c>
      <c r="AM800" s="142" t="s">
        <v>2705</v>
      </c>
      <c r="AN800" s="142" t="s">
        <v>2705</v>
      </c>
      <c r="AO800" s="142" t="s">
        <v>2398</v>
      </c>
      <c r="AP800" s="142" t="s">
        <v>2398</v>
      </c>
      <c r="AQ800" s="142" t="s">
        <v>2398</v>
      </c>
      <c r="AR800" s="142" t="s">
        <v>2705</v>
      </c>
      <c r="AS800" s="142" t="s">
        <v>2397</v>
      </c>
      <c r="AT800" s="142" t="s">
        <v>2398</v>
      </c>
      <c r="AU800" s="142" t="s">
        <v>2398</v>
      </c>
      <c r="AV800" s="142" t="s">
        <v>2398</v>
      </c>
      <c r="AW800" s="142" t="s">
        <v>2705</v>
      </c>
      <c r="AX800" s="142" t="s">
        <v>2705</v>
      </c>
      <c r="AY800" s="142" t="s">
        <v>2398</v>
      </c>
      <c r="AZ800" s="142" t="s">
        <v>2398</v>
      </c>
    </row>
    <row r="801" spans="1:52" s="142" customFormat="1" ht="12.75" x14ac:dyDescent="0.2">
      <c r="A801" s="151" t="s">
        <v>7717</v>
      </c>
      <c r="B801" s="152" t="s">
        <v>2705</v>
      </c>
      <c r="C801" s="152" t="s">
        <v>2398</v>
      </c>
      <c r="D801" s="152" t="s">
        <v>2705</v>
      </c>
      <c r="E801" s="152" t="s">
        <v>2705</v>
      </c>
      <c r="F801" s="152" t="s">
        <v>2705</v>
      </c>
      <c r="G801" s="152" t="s">
        <v>2705</v>
      </c>
      <c r="H801" s="152" t="s">
        <v>2398</v>
      </c>
      <c r="I801" s="152" t="s">
        <v>2705</v>
      </c>
      <c r="J801" s="152" t="s">
        <v>2705</v>
      </c>
      <c r="K801" s="152" t="s">
        <v>2705</v>
      </c>
      <c r="L801" s="152" t="s">
        <v>2705</v>
      </c>
      <c r="M801" s="152" t="s">
        <v>2705</v>
      </c>
      <c r="N801" s="152" t="s">
        <v>2705</v>
      </c>
      <c r="O801" s="152" t="s">
        <v>2705</v>
      </c>
      <c r="P801" s="152" t="s">
        <v>2675</v>
      </c>
      <c r="Q801" s="152" t="s">
        <v>2675</v>
      </c>
      <c r="R801" s="152" t="s">
        <v>2398</v>
      </c>
      <c r="S801" s="152" t="s">
        <v>2397</v>
      </c>
      <c r="T801" s="152" t="s">
        <v>2398</v>
      </c>
      <c r="U801" s="152" t="s">
        <v>2398</v>
      </c>
      <c r="V801" s="142" cm="1">
        <f t="array" ref="V801">IF(A801&lt;&gt;"",SUM(--(B801:U802 = "X")*$U$3,--(B801:U802 ="A")*$Q$3,--(B801:U802 ="B")*$R$3,--(B801:U802 ="C")*$S$3),"")</f>
        <v>20.5</v>
      </c>
      <c r="AF801" s="142" t="s">
        <v>7717</v>
      </c>
      <c r="AG801" s="142" t="s">
        <v>2705</v>
      </c>
      <c r="AH801" s="142" t="s">
        <v>2398</v>
      </c>
      <c r="AI801" s="142" t="s">
        <v>2705</v>
      </c>
      <c r="AJ801" s="142" t="s">
        <v>2705</v>
      </c>
      <c r="AK801" s="142" t="s">
        <v>2705</v>
      </c>
      <c r="AL801" s="142" t="s">
        <v>2705</v>
      </c>
      <c r="AM801" s="142" t="s">
        <v>2398</v>
      </c>
      <c r="AN801" s="142" t="s">
        <v>2705</v>
      </c>
      <c r="AO801" s="142" t="s">
        <v>2705</v>
      </c>
      <c r="AP801" s="142" t="s">
        <v>2705</v>
      </c>
      <c r="AQ801" s="142" t="s">
        <v>2705</v>
      </c>
      <c r="AR801" s="142" t="s">
        <v>2705</v>
      </c>
      <c r="AS801" s="142" t="s">
        <v>2705</v>
      </c>
      <c r="AT801" s="142" t="s">
        <v>2705</v>
      </c>
      <c r="AU801" s="142" t="s">
        <v>2675</v>
      </c>
      <c r="AV801" s="142" t="s">
        <v>2675</v>
      </c>
      <c r="AW801" s="142" t="s">
        <v>2398</v>
      </c>
      <c r="AX801" s="142" t="s">
        <v>2397</v>
      </c>
      <c r="AY801" s="142" t="s">
        <v>2398</v>
      </c>
      <c r="AZ801" s="142" t="s">
        <v>2398</v>
      </c>
    </row>
    <row r="802" spans="1:52" s="142" customFormat="1" ht="12.75" x14ac:dyDescent="0.2">
      <c r="A802" s="151"/>
      <c r="B802" s="152" t="s">
        <v>2398</v>
      </c>
      <c r="C802" s="152" t="s">
        <v>2398</v>
      </c>
      <c r="D802" s="152" t="s">
        <v>2705</v>
      </c>
      <c r="E802" s="152" t="s">
        <v>2705</v>
      </c>
      <c r="F802" s="152" t="s">
        <v>2705</v>
      </c>
      <c r="G802" s="152" t="s">
        <v>2398</v>
      </c>
      <c r="H802" s="152" t="s">
        <v>2705</v>
      </c>
      <c r="I802" s="152" t="s">
        <v>2705</v>
      </c>
      <c r="J802" s="152" t="s">
        <v>2705</v>
      </c>
      <c r="K802" s="152" t="s">
        <v>2705</v>
      </c>
      <c r="L802" s="152" t="s">
        <v>2398</v>
      </c>
      <c r="M802" s="152" t="s">
        <v>1435</v>
      </c>
      <c r="N802" s="152" t="s">
        <v>2398</v>
      </c>
      <c r="O802" s="152" t="s">
        <v>2398</v>
      </c>
      <c r="P802" s="152" t="s">
        <v>2398</v>
      </c>
      <c r="Q802" s="152" t="s">
        <v>2705</v>
      </c>
      <c r="R802" s="152" t="s">
        <v>2398</v>
      </c>
      <c r="S802" s="152" t="s">
        <v>2398</v>
      </c>
      <c r="T802" s="152" t="s">
        <v>2705</v>
      </c>
      <c r="U802" s="152" t="s">
        <v>2705</v>
      </c>
      <c r="V802" s="142" t="str" cm="1">
        <f t="array" ref="V802">IF(A802&lt;&gt;"",SUM(--(B802:U803 = "X")*$U$3,--(B802:U803 ="A")*$Q$3,--(B802:U803 ="B")*$R$3,--(B802:U803 ="C")*$S$3),"")</f>
        <v/>
      </c>
      <c r="AG802" s="142" t="s">
        <v>2398</v>
      </c>
      <c r="AH802" s="142" t="s">
        <v>2398</v>
      </c>
      <c r="AI802" s="142" t="s">
        <v>2705</v>
      </c>
      <c r="AJ802" s="142" t="s">
        <v>2705</v>
      </c>
      <c r="AK802" s="142" t="s">
        <v>2705</v>
      </c>
      <c r="AL802" s="142" t="s">
        <v>2398</v>
      </c>
      <c r="AM802" s="142" t="s">
        <v>2705</v>
      </c>
      <c r="AN802" s="142" t="s">
        <v>2705</v>
      </c>
      <c r="AO802" s="142" t="s">
        <v>2705</v>
      </c>
      <c r="AP802" s="142" t="s">
        <v>2705</v>
      </c>
      <c r="AQ802" s="142" t="s">
        <v>2398</v>
      </c>
      <c r="AR802" s="142" t="s">
        <v>1435</v>
      </c>
      <c r="AS802" s="142" t="s">
        <v>2398</v>
      </c>
      <c r="AT802" s="142" t="s">
        <v>2398</v>
      </c>
      <c r="AU802" s="142" t="s">
        <v>2398</v>
      </c>
      <c r="AV802" s="142" t="s">
        <v>2705</v>
      </c>
      <c r="AW802" s="142" t="s">
        <v>2398</v>
      </c>
      <c r="AX802" s="142" t="s">
        <v>2398</v>
      </c>
      <c r="AY802" s="142" t="s">
        <v>2705</v>
      </c>
      <c r="AZ802" s="142" t="s">
        <v>2705</v>
      </c>
    </row>
    <row r="803" spans="1:52" s="142" customFormat="1" ht="12.75" x14ac:dyDescent="0.2">
      <c r="A803" s="151" t="s">
        <v>7718</v>
      </c>
      <c r="B803" s="152" t="s">
        <v>2705</v>
      </c>
      <c r="C803" s="152" t="s">
        <v>2398</v>
      </c>
      <c r="D803" s="152" t="s">
        <v>2398</v>
      </c>
      <c r="E803" s="152" t="s">
        <v>2398</v>
      </c>
      <c r="F803" s="152" t="s">
        <v>2398</v>
      </c>
      <c r="G803" s="152" t="s">
        <v>2705</v>
      </c>
      <c r="H803" s="152" t="s">
        <v>2705</v>
      </c>
      <c r="I803" s="152" t="s">
        <v>2705</v>
      </c>
      <c r="J803" s="152" t="s">
        <v>2398</v>
      </c>
      <c r="K803" s="152" t="s">
        <v>1435</v>
      </c>
      <c r="L803" s="152" t="s">
        <v>2705</v>
      </c>
      <c r="M803" s="152" t="s">
        <v>2705</v>
      </c>
      <c r="N803" s="152" t="s">
        <v>2398</v>
      </c>
      <c r="O803" s="152" t="s">
        <v>2398</v>
      </c>
      <c r="P803" s="152" t="s">
        <v>2705</v>
      </c>
      <c r="Q803" s="152" t="s">
        <v>2398</v>
      </c>
      <c r="R803" s="152" t="s">
        <v>2705</v>
      </c>
      <c r="S803" s="152" t="s">
        <v>2398</v>
      </c>
      <c r="T803" s="152" t="s">
        <v>2398</v>
      </c>
      <c r="U803" s="152" t="s">
        <v>2675</v>
      </c>
      <c r="V803" s="142" cm="1">
        <f t="array" ref="V803">IF(A803&lt;&gt;"",SUM(--(B803:U804 = "X")*$U$3,--(B803:U804 ="A")*$Q$3,--(B803:U804 ="B")*$R$3,--(B803:U804 ="C")*$S$3),"")</f>
        <v>19</v>
      </c>
      <c r="AF803" s="142" t="s">
        <v>7718</v>
      </c>
      <c r="AG803" s="142" t="s">
        <v>2705</v>
      </c>
      <c r="AH803" s="142" t="s">
        <v>2398</v>
      </c>
      <c r="AI803" s="142" t="s">
        <v>2398</v>
      </c>
      <c r="AJ803" s="142" t="s">
        <v>2398</v>
      </c>
      <c r="AK803" s="142" t="s">
        <v>2398</v>
      </c>
      <c r="AL803" s="142" t="s">
        <v>2705</v>
      </c>
      <c r="AM803" s="142" t="s">
        <v>2705</v>
      </c>
      <c r="AN803" s="142" t="s">
        <v>2705</v>
      </c>
      <c r="AO803" s="142" t="s">
        <v>2398</v>
      </c>
      <c r="AP803" s="142" t="s">
        <v>1435</v>
      </c>
      <c r="AQ803" s="142" t="s">
        <v>2705</v>
      </c>
      <c r="AR803" s="142" t="s">
        <v>2705</v>
      </c>
      <c r="AS803" s="142" t="s">
        <v>2398</v>
      </c>
      <c r="AT803" s="142" t="s">
        <v>2398</v>
      </c>
      <c r="AU803" s="142" t="s">
        <v>2705</v>
      </c>
      <c r="AV803" s="142" t="s">
        <v>2398</v>
      </c>
      <c r="AW803" s="142" t="s">
        <v>2705</v>
      </c>
      <c r="AX803" s="142" t="s">
        <v>2398</v>
      </c>
      <c r="AY803" s="142" t="s">
        <v>2398</v>
      </c>
      <c r="AZ803" s="142" t="s">
        <v>2675</v>
      </c>
    </row>
    <row r="804" spans="1:52" s="142" customFormat="1" ht="12.75" x14ac:dyDescent="0.2">
      <c r="A804" s="151"/>
      <c r="B804" s="152" t="s">
        <v>2397</v>
      </c>
      <c r="C804" s="152" t="s">
        <v>2398</v>
      </c>
      <c r="D804" s="152" t="s">
        <v>2398</v>
      </c>
      <c r="E804" s="152" t="s">
        <v>2705</v>
      </c>
      <c r="F804" s="152" t="s">
        <v>2705</v>
      </c>
      <c r="G804" s="152" t="s">
        <v>2705</v>
      </c>
      <c r="H804" s="152" t="s">
        <v>2705</v>
      </c>
      <c r="I804" s="152" t="s">
        <v>2705</v>
      </c>
      <c r="J804" s="152" t="s">
        <v>2398</v>
      </c>
      <c r="K804" s="152" t="s">
        <v>2398</v>
      </c>
      <c r="L804" s="152" t="s">
        <v>2705</v>
      </c>
      <c r="M804" s="152" t="s">
        <v>2398</v>
      </c>
      <c r="N804" s="152" t="s">
        <v>2705</v>
      </c>
      <c r="O804" s="152" t="s">
        <v>2705</v>
      </c>
      <c r="P804" s="152" t="s">
        <v>2705</v>
      </c>
      <c r="Q804" s="152" t="s">
        <v>2398</v>
      </c>
      <c r="R804" s="152" t="s">
        <v>2705</v>
      </c>
      <c r="S804" s="152" t="s">
        <v>2705</v>
      </c>
      <c r="T804" s="152" t="s">
        <v>2398</v>
      </c>
      <c r="U804" s="152" t="s">
        <v>2705</v>
      </c>
      <c r="V804" s="142" t="str" cm="1">
        <f t="array" ref="V804">IF(A804&lt;&gt;"",SUM(--(B804:U805 = "X")*$U$3,--(B804:U805 ="A")*$Q$3,--(B804:U805 ="B")*$R$3,--(B804:U805 ="C")*$S$3),"")</f>
        <v/>
      </c>
      <c r="AG804" s="142" t="s">
        <v>2397</v>
      </c>
      <c r="AH804" s="142" t="s">
        <v>2398</v>
      </c>
      <c r="AI804" s="142" t="s">
        <v>2398</v>
      </c>
      <c r="AJ804" s="142" t="s">
        <v>2705</v>
      </c>
      <c r="AK804" s="142" t="s">
        <v>2705</v>
      </c>
      <c r="AL804" s="142" t="s">
        <v>2705</v>
      </c>
      <c r="AM804" s="142" t="s">
        <v>2705</v>
      </c>
      <c r="AN804" s="142" t="s">
        <v>2705</v>
      </c>
      <c r="AO804" s="142" t="s">
        <v>2398</v>
      </c>
      <c r="AP804" s="142" t="s">
        <v>2398</v>
      </c>
      <c r="AQ804" s="142" t="s">
        <v>2705</v>
      </c>
      <c r="AR804" s="142" t="s">
        <v>2398</v>
      </c>
      <c r="AS804" s="142" t="s">
        <v>2705</v>
      </c>
      <c r="AT804" s="142" t="s">
        <v>2705</v>
      </c>
      <c r="AU804" s="142" t="s">
        <v>2705</v>
      </c>
      <c r="AV804" s="142" t="s">
        <v>2398</v>
      </c>
      <c r="AW804" s="142" t="s">
        <v>2705</v>
      </c>
      <c r="AX804" s="142" t="s">
        <v>2705</v>
      </c>
      <c r="AY804" s="142" t="s">
        <v>2398</v>
      </c>
      <c r="AZ804" s="142" t="s">
        <v>2705</v>
      </c>
    </row>
    <row r="805" spans="1:52" s="142" customFormat="1" ht="12.75" x14ac:dyDescent="0.2">
      <c r="A805" s="151" t="s">
        <v>7719</v>
      </c>
      <c r="B805" s="152" t="s">
        <v>2705</v>
      </c>
      <c r="C805" s="152" t="s">
        <v>2398</v>
      </c>
      <c r="D805" s="152" t="s">
        <v>2675</v>
      </c>
      <c r="E805" s="152" t="s">
        <v>2705</v>
      </c>
      <c r="F805" s="152" t="s">
        <v>2398</v>
      </c>
      <c r="G805" s="152" t="s">
        <v>2705</v>
      </c>
      <c r="H805" s="152" t="s">
        <v>2398</v>
      </c>
      <c r="I805" s="152" t="s">
        <v>2705</v>
      </c>
      <c r="J805" s="152" t="s">
        <v>2705</v>
      </c>
      <c r="K805" s="152" t="s">
        <v>2705</v>
      </c>
      <c r="L805" s="152" t="s">
        <v>2398</v>
      </c>
      <c r="M805" s="152" t="s">
        <v>2705</v>
      </c>
      <c r="N805" s="152" t="s">
        <v>2705</v>
      </c>
      <c r="O805" s="152" t="s">
        <v>2398</v>
      </c>
      <c r="P805" s="152" t="s">
        <v>2705</v>
      </c>
      <c r="Q805" s="152" t="s">
        <v>2705</v>
      </c>
      <c r="R805" s="152" t="s">
        <v>2705</v>
      </c>
      <c r="S805" s="152" t="s">
        <v>2398</v>
      </c>
      <c r="T805" s="152" t="s">
        <v>2398</v>
      </c>
      <c r="U805" s="152" t="s">
        <v>2705</v>
      </c>
      <c r="V805" s="142" cm="1">
        <f t="array" ref="V805">IF(A805&lt;&gt;"",SUM(--(B805:U806 = "X")*$U$3,--(B805:U806 ="A")*$Q$3,--(B805:U806 ="B")*$R$3,--(B805:U806 ="C")*$S$3),"")</f>
        <v>17</v>
      </c>
      <c r="AF805" s="142" t="s">
        <v>7719</v>
      </c>
      <c r="AG805" s="142" t="s">
        <v>2705</v>
      </c>
      <c r="AH805" s="142" t="s">
        <v>2398</v>
      </c>
      <c r="AI805" s="142" t="s">
        <v>2675</v>
      </c>
      <c r="AJ805" s="142" t="s">
        <v>2705</v>
      </c>
      <c r="AK805" s="142" t="s">
        <v>2398</v>
      </c>
      <c r="AL805" s="142" t="s">
        <v>2705</v>
      </c>
      <c r="AM805" s="142" t="s">
        <v>2398</v>
      </c>
      <c r="AN805" s="142" t="s">
        <v>2705</v>
      </c>
      <c r="AO805" s="142" t="s">
        <v>2705</v>
      </c>
      <c r="AP805" s="142" t="s">
        <v>2705</v>
      </c>
      <c r="AQ805" s="142" t="s">
        <v>2398</v>
      </c>
      <c r="AR805" s="142" t="s">
        <v>2705</v>
      </c>
      <c r="AS805" s="142" t="s">
        <v>2705</v>
      </c>
      <c r="AT805" s="142" t="s">
        <v>2398</v>
      </c>
      <c r="AU805" s="142" t="s">
        <v>2705</v>
      </c>
      <c r="AV805" s="142" t="s">
        <v>2705</v>
      </c>
      <c r="AW805" s="142" t="s">
        <v>2705</v>
      </c>
      <c r="AX805" s="142" t="s">
        <v>2398</v>
      </c>
      <c r="AY805" s="142" t="s">
        <v>2398</v>
      </c>
      <c r="AZ805" s="142" t="s">
        <v>2705</v>
      </c>
    </row>
    <row r="806" spans="1:52" s="142" customFormat="1" ht="12.75" x14ac:dyDescent="0.2">
      <c r="A806" s="151"/>
      <c r="B806" s="152" t="s">
        <v>1435</v>
      </c>
      <c r="C806" s="152" t="s">
        <v>2398</v>
      </c>
      <c r="D806" s="152" t="s">
        <v>1435</v>
      </c>
      <c r="E806" s="152" t="s">
        <v>2675</v>
      </c>
      <c r="F806" s="152" t="s">
        <v>2398</v>
      </c>
      <c r="G806" s="152" t="s">
        <v>2398</v>
      </c>
      <c r="H806" s="152" t="s">
        <v>2398</v>
      </c>
      <c r="I806" s="152" t="s">
        <v>2398</v>
      </c>
      <c r="J806" s="152" t="s">
        <v>2398</v>
      </c>
      <c r="K806" s="152" t="s">
        <v>2398</v>
      </c>
      <c r="L806" s="152" t="s">
        <v>2705</v>
      </c>
      <c r="M806" s="152" t="s">
        <v>2705</v>
      </c>
      <c r="N806" s="152" t="s">
        <v>2705</v>
      </c>
      <c r="O806" s="152" t="s">
        <v>2705</v>
      </c>
      <c r="P806" s="152" t="s">
        <v>2675</v>
      </c>
      <c r="Q806" s="152" t="s">
        <v>2705</v>
      </c>
      <c r="R806" s="152" t="s">
        <v>1435</v>
      </c>
      <c r="S806" s="152" t="s">
        <v>2705</v>
      </c>
      <c r="T806" s="152" t="s">
        <v>2705</v>
      </c>
      <c r="U806" s="152" t="s">
        <v>2705</v>
      </c>
      <c r="V806" s="142" t="str" cm="1">
        <f t="array" ref="V806">IF(A806&lt;&gt;"",SUM(--(B806:U807 = "X")*$U$3,--(B806:U807 ="A")*$Q$3,--(B806:U807 ="B")*$R$3,--(B806:U807 ="C")*$S$3),"")</f>
        <v/>
      </c>
      <c r="AG806" s="142" t="s">
        <v>1435</v>
      </c>
      <c r="AH806" s="142" t="s">
        <v>2398</v>
      </c>
      <c r="AI806" s="142" t="s">
        <v>1435</v>
      </c>
      <c r="AJ806" s="142" t="s">
        <v>2675</v>
      </c>
      <c r="AK806" s="142" t="s">
        <v>2398</v>
      </c>
      <c r="AL806" s="142" t="s">
        <v>2398</v>
      </c>
      <c r="AM806" s="142" t="s">
        <v>2398</v>
      </c>
      <c r="AN806" s="142" t="s">
        <v>2398</v>
      </c>
      <c r="AO806" s="142" t="s">
        <v>2398</v>
      </c>
      <c r="AP806" s="142" t="s">
        <v>2398</v>
      </c>
      <c r="AQ806" s="142" t="s">
        <v>2705</v>
      </c>
      <c r="AR806" s="142" t="s">
        <v>2705</v>
      </c>
      <c r="AS806" s="142" t="s">
        <v>2705</v>
      </c>
      <c r="AT806" s="142" t="s">
        <v>2705</v>
      </c>
      <c r="AU806" s="142" t="s">
        <v>2675</v>
      </c>
      <c r="AV806" s="142" t="s">
        <v>2705</v>
      </c>
      <c r="AW806" s="142" t="s">
        <v>1435</v>
      </c>
      <c r="AX806" s="142" t="s">
        <v>2705</v>
      </c>
      <c r="AY806" s="142" t="s">
        <v>2705</v>
      </c>
      <c r="AZ806" s="142" t="s">
        <v>2705</v>
      </c>
    </row>
    <row r="807" spans="1:52" s="142" customFormat="1" ht="12.75" x14ac:dyDescent="0.2">
      <c r="A807" s="151" t="s">
        <v>7720</v>
      </c>
      <c r="B807" s="152" t="s">
        <v>2397</v>
      </c>
      <c r="C807" s="152" t="s">
        <v>2398</v>
      </c>
      <c r="D807" s="152" t="s">
        <v>2675</v>
      </c>
      <c r="E807" s="152" t="s">
        <v>1435</v>
      </c>
      <c r="F807" s="152" t="s">
        <v>2705</v>
      </c>
      <c r="G807" s="152" t="s">
        <v>2705</v>
      </c>
      <c r="H807" s="152" t="s">
        <v>2705</v>
      </c>
      <c r="I807" s="152" t="s">
        <v>2705</v>
      </c>
      <c r="J807" s="152" t="s">
        <v>2705</v>
      </c>
      <c r="K807" s="152" t="s">
        <v>2397</v>
      </c>
      <c r="L807" s="152" t="s">
        <v>2705</v>
      </c>
      <c r="M807" s="152" t="s">
        <v>2705</v>
      </c>
      <c r="N807" s="152" t="s">
        <v>2705</v>
      </c>
      <c r="O807" s="152" t="s">
        <v>1435</v>
      </c>
      <c r="P807" s="152" t="s">
        <v>2397</v>
      </c>
      <c r="Q807" s="152" t="s">
        <v>2398</v>
      </c>
      <c r="R807" s="152" t="s">
        <v>2675</v>
      </c>
      <c r="S807" s="152" t="s">
        <v>2398</v>
      </c>
      <c r="T807" s="152" t="s">
        <v>2398</v>
      </c>
      <c r="U807" s="152" t="s">
        <v>2398</v>
      </c>
      <c r="V807" s="142" cm="1">
        <f t="array" ref="V807">IF(A807&lt;&gt;"",SUM(--(B807:U808 = "X")*$U$3,--(B807:U808 ="A")*$Q$3,--(B807:U808 ="B")*$R$3,--(B807:U808 ="C")*$S$3),"")</f>
        <v>15.5</v>
      </c>
      <c r="AF807" s="142" t="s">
        <v>7720</v>
      </c>
      <c r="AG807" s="142" t="s">
        <v>2397</v>
      </c>
      <c r="AH807" s="142" t="s">
        <v>2398</v>
      </c>
      <c r="AI807" s="142" t="s">
        <v>2675</v>
      </c>
      <c r="AJ807" s="142" t="s">
        <v>1435</v>
      </c>
      <c r="AK807" s="142" t="s">
        <v>2705</v>
      </c>
      <c r="AL807" s="142" t="s">
        <v>2705</v>
      </c>
      <c r="AM807" s="142" t="s">
        <v>2705</v>
      </c>
      <c r="AN807" s="142" t="s">
        <v>2705</v>
      </c>
      <c r="AO807" s="142" t="s">
        <v>2705</v>
      </c>
      <c r="AP807" s="142" t="s">
        <v>2397</v>
      </c>
      <c r="AQ807" s="142" t="s">
        <v>2705</v>
      </c>
      <c r="AR807" s="142" t="s">
        <v>2705</v>
      </c>
      <c r="AS807" s="142" t="s">
        <v>2705</v>
      </c>
      <c r="AT807" s="142" t="s">
        <v>1435</v>
      </c>
      <c r="AU807" s="142" t="s">
        <v>2397</v>
      </c>
      <c r="AV807" s="142" t="s">
        <v>2398</v>
      </c>
      <c r="AW807" s="142" t="s">
        <v>2675</v>
      </c>
      <c r="AX807" s="142" t="s">
        <v>2398</v>
      </c>
      <c r="AY807" s="142" t="s">
        <v>2398</v>
      </c>
      <c r="AZ807" s="142" t="s">
        <v>2398</v>
      </c>
    </row>
    <row r="808" spans="1:52" s="142" customFormat="1" ht="12.75" x14ac:dyDescent="0.2">
      <c r="A808" s="151"/>
      <c r="B808" s="152" t="s">
        <v>2398</v>
      </c>
      <c r="C808" s="152" t="s">
        <v>2398</v>
      </c>
      <c r="D808" s="152" t="s">
        <v>2705</v>
      </c>
      <c r="E808" s="152" t="s">
        <v>2398</v>
      </c>
      <c r="F808" s="152" t="s">
        <v>2398</v>
      </c>
      <c r="G808" s="152" t="s">
        <v>2675</v>
      </c>
      <c r="H808" s="152" t="s">
        <v>2705</v>
      </c>
      <c r="I808" s="152" t="s">
        <v>2705</v>
      </c>
      <c r="J808" s="152" t="s">
        <v>2705</v>
      </c>
      <c r="K808" s="152" t="s">
        <v>2705</v>
      </c>
      <c r="L808" s="152" t="s">
        <v>2705</v>
      </c>
      <c r="M808" s="152" t="s">
        <v>2705</v>
      </c>
      <c r="N808" s="152" t="s">
        <v>2705</v>
      </c>
      <c r="O808" s="152" t="s">
        <v>2398</v>
      </c>
      <c r="P808" s="152" t="s">
        <v>2705</v>
      </c>
      <c r="Q808" s="152" t="s">
        <v>2398</v>
      </c>
      <c r="R808" s="152" t="s">
        <v>2705</v>
      </c>
      <c r="S808" s="152" t="s">
        <v>2398</v>
      </c>
      <c r="T808" s="152" t="s">
        <v>2398</v>
      </c>
      <c r="U808" s="152" t="s">
        <v>2398</v>
      </c>
      <c r="V808" s="142" t="str" cm="1">
        <f t="array" ref="V808">IF(A808&lt;&gt;"",SUM(--(B808:U809 = "X")*$U$3,--(B808:U809 ="A")*$Q$3,--(B808:U809 ="B")*$R$3,--(B808:U809 ="C")*$S$3),"")</f>
        <v/>
      </c>
      <c r="AG808" s="142" t="s">
        <v>2398</v>
      </c>
      <c r="AH808" s="142" t="s">
        <v>2398</v>
      </c>
      <c r="AI808" s="142" t="s">
        <v>2705</v>
      </c>
      <c r="AJ808" s="142" t="s">
        <v>2398</v>
      </c>
      <c r="AK808" s="142" t="s">
        <v>2398</v>
      </c>
      <c r="AL808" s="142" t="s">
        <v>2675</v>
      </c>
      <c r="AM808" s="142" t="s">
        <v>2705</v>
      </c>
      <c r="AN808" s="142" t="s">
        <v>2705</v>
      </c>
      <c r="AO808" s="142" t="s">
        <v>2705</v>
      </c>
      <c r="AP808" s="142" t="s">
        <v>2705</v>
      </c>
      <c r="AQ808" s="142" t="s">
        <v>2705</v>
      </c>
      <c r="AR808" s="142" t="s">
        <v>2705</v>
      </c>
      <c r="AS808" s="142" t="s">
        <v>2705</v>
      </c>
      <c r="AT808" s="142" t="s">
        <v>2398</v>
      </c>
      <c r="AU808" s="142" t="s">
        <v>2705</v>
      </c>
      <c r="AV808" s="142" t="s">
        <v>2398</v>
      </c>
      <c r="AW808" s="142" t="s">
        <v>2705</v>
      </c>
      <c r="AX808" s="142" t="s">
        <v>2398</v>
      </c>
      <c r="AY808" s="142" t="s">
        <v>2398</v>
      </c>
      <c r="AZ808" s="142" t="s">
        <v>2398</v>
      </c>
    </row>
    <row r="809" spans="1:52" s="142" customFormat="1" ht="12.75" x14ac:dyDescent="0.2">
      <c r="A809" s="151" t="s">
        <v>7721</v>
      </c>
      <c r="B809" s="152" t="s">
        <v>2705</v>
      </c>
      <c r="C809" s="152" t="s">
        <v>2398</v>
      </c>
      <c r="D809" s="152" t="s">
        <v>2705</v>
      </c>
      <c r="E809" s="152" t="s">
        <v>2705</v>
      </c>
      <c r="F809" s="152" t="s">
        <v>2398</v>
      </c>
      <c r="G809" s="152" t="s">
        <v>2705</v>
      </c>
      <c r="H809" s="152" t="s">
        <v>2705</v>
      </c>
      <c r="I809" s="152" t="s">
        <v>2705</v>
      </c>
      <c r="J809" s="152" t="s">
        <v>2675</v>
      </c>
      <c r="K809" s="152" t="s">
        <v>2398</v>
      </c>
      <c r="L809" s="152" t="s">
        <v>2675</v>
      </c>
      <c r="M809" s="152" t="s">
        <v>2398</v>
      </c>
      <c r="N809" s="152" t="s">
        <v>2705</v>
      </c>
      <c r="O809" s="152" t="s">
        <v>2398</v>
      </c>
      <c r="P809" s="152" t="s">
        <v>2705</v>
      </c>
      <c r="Q809" s="152" t="s">
        <v>2705</v>
      </c>
      <c r="R809" s="152" t="s">
        <v>2705</v>
      </c>
      <c r="S809" s="152" t="s">
        <v>2705</v>
      </c>
      <c r="T809" s="152" t="s">
        <v>2398</v>
      </c>
      <c r="U809" s="152" t="s">
        <v>2705</v>
      </c>
      <c r="V809" s="142" cm="1">
        <f t="array" ref="V809">IF(A809&lt;&gt;"",SUM(--(B809:U810 = "X")*$U$3,--(B809:U810 ="A")*$Q$3,--(B809:U810 ="B")*$R$3,--(B809:U810 ="C")*$S$3),"")</f>
        <v>24</v>
      </c>
      <c r="AF809" s="142" t="s">
        <v>7721</v>
      </c>
      <c r="AG809" s="142" t="s">
        <v>2705</v>
      </c>
      <c r="AH809" s="142" t="s">
        <v>2398</v>
      </c>
      <c r="AI809" s="142" t="s">
        <v>2705</v>
      </c>
      <c r="AJ809" s="142" t="s">
        <v>2705</v>
      </c>
      <c r="AK809" s="142" t="s">
        <v>2398</v>
      </c>
      <c r="AL809" s="142" t="s">
        <v>2705</v>
      </c>
      <c r="AM809" s="142" t="s">
        <v>2705</v>
      </c>
      <c r="AN809" s="142" t="s">
        <v>2705</v>
      </c>
      <c r="AO809" s="142" t="s">
        <v>2675</v>
      </c>
      <c r="AP809" s="142" t="s">
        <v>2398</v>
      </c>
      <c r="AQ809" s="142" t="s">
        <v>2675</v>
      </c>
      <c r="AR809" s="142" t="s">
        <v>2398</v>
      </c>
      <c r="AS809" s="142" t="s">
        <v>2705</v>
      </c>
      <c r="AT809" s="142" t="s">
        <v>2398</v>
      </c>
      <c r="AU809" s="142" t="s">
        <v>2705</v>
      </c>
      <c r="AV809" s="142" t="s">
        <v>2705</v>
      </c>
      <c r="AW809" s="142" t="s">
        <v>2705</v>
      </c>
      <c r="AX809" s="142" t="s">
        <v>2705</v>
      </c>
      <c r="AY809" s="142" t="s">
        <v>2398</v>
      </c>
      <c r="AZ809" s="142" t="s">
        <v>2705</v>
      </c>
    </row>
    <row r="810" spans="1:52" s="142" customFormat="1" ht="12.75" x14ac:dyDescent="0.2">
      <c r="A810" s="151"/>
      <c r="B810" s="152" t="s">
        <v>2705</v>
      </c>
      <c r="C810" s="152" t="s">
        <v>2675</v>
      </c>
      <c r="D810" s="152" t="s">
        <v>2398</v>
      </c>
      <c r="E810" s="152" t="s">
        <v>2705</v>
      </c>
      <c r="F810" s="152" t="s">
        <v>2705</v>
      </c>
      <c r="G810" s="152" t="s">
        <v>2705</v>
      </c>
      <c r="H810" s="152" t="s">
        <v>2705</v>
      </c>
      <c r="I810" s="152" t="s">
        <v>2398</v>
      </c>
      <c r="J810" s="152" t="s">
        <v>2705</v>
      </c>
      <c r="K810" s="152" t="s">
        <v>2705</v>
      </c>
      <c r="L810" s="152" t="s">
        <v>2398</v>
      </c>
      <c r="M810" s="152" t="s">
        <v>2705</v>
      </c>
      <c r="N810" s="152" t="s">
        <v>2705</v>
      </c>
      <c r="O810" s="152" t="s">
        <v>1435</v>
      </c>
      <c r="P810" s="152" t="s">
        <v>2705</v>
      </c>
      <c r="Q810" s="152" t="s">
        <v>2705</v>
      </c>
      <c r="R810" s="152" t="s">
        <v>2398</v>
      </c>
      <c r="S810" s="152" t="s">
        <v>2705</v>
      </c>
      <c r="T810" s="152" t="s">
        <v>2705</v>
      </c>
      <c r="U810" s="152" t="s">
        <v>2705</v>
      </c>
      <c r="V810" s="142" t="str" cm="1">
        <f t="array" ref="V810">IF(A810&lt;&gt;"",SUM(--(B810:U811 = "X")*$U$3,--(B810:U811 ="A")*$Q$3,--(B810:U811 ="B")*$R$3,--(B810:U811 ="C")*$S$3),"")</f>
        <v/>
      </c>
      <c r="AG810" s="142" t="s">
        <v>2705</v>
      </c>
      <c r="AH810" s="142" t="s">
        <v>2675</v>
      </c>
      <c r="AI810" s="142" t="s">
        <v>2398</v>
      </c>
      <c r="AJ810" s="142" t="s">
        <v>2705</v>
      </c>
      <c r="AK810" s="142" t="s">
        <v>2705</v>
      </c>
      <c r="AL810" s="142" t="s">
        <v>2705</v>
      </c>
      <c r="AM810" s="142" t="s">
        <v>2705</v>
      </c>
      <c r="AN810" s="142" t="s">
        <v>2398</v>
      </c>
      <c r="AO810" s="142" t="s">
        <v>2705</v>
      </c>
      <c r="AP810" s="142" t="s">
        <v>2705</v>
      </c>
      <c r="AQ810" s="142" t="s">
        <v>2398</v>
      </c>
      <c r="AR810" s="142" t="s">
        <v>2705</v>
      </c>
      <c r="AS810" s="142" t="s">
        <v>2705</v>
      </c>
      <c r="AT810" s="142" t="s">
        <v>1435</v>
      </c>
      <c r="AU810" s="142" t="s">
        <v>2705</v>
      </c>
      <c r="AV810" s="142" t="s">
        <v>2705</v>
      </c>
      <c r="AW810" s="142" t="s">
        <v>2398</v>
      </c>
      <c r="AX810" s="142" t="s">
        <v>2705</v>
      </c>
      <c r="AY810" s="142" t="s">
        <v>2705</v>
      </c>
      <c r="AZ810" s="142" t="s">
        <v>2705</v>
      </c>
    </row>
    <row r="811" spans="1:52" s="142" customFormat="1" ht="12.75" x14ac:dyDescent="0.2">
      <c r="A811" s="151" t="s">
        <v>7722</v>
      </c>
      <c r="B811" s="152" t="s">
        <v>2705</v>
      </c>
      <c r="C811" s="152" t="s">
        <v>2398</v>
      </c>
      <c r="D811" s="152" t="s">
        <v>2705</v>
      </c>
      <c r="E811" s="152" t="s">
        <v>2705</v>
      </c>
      <c r="F811" s="152" t="s">
        <v>2398</v>
      </c>
      <c r="G811" s="152" t="s">
        <v>2705</v>
      </c>
      <c r="H811" s="152" t="s">
        <v>2705</v>
      </c>
      <c r="I811" s="152" t="s">
        <v>2705</v>
      </c>
      <c r="J811" s="152" t="s">
        <v>2398</v>
      </c>
      <c r="K811" s="152" t="s">
        <v>2705</v>
      </c>
      <c r="L811" s="152" t="s">
        <v>2398</v>
      </c>
      <c r="M811" s="152" t="s">
        <v>2398</v>
      </c>
      <c r="N811" s="152" t="s">
        <v>2398</v>
      </c>
      <c r="O811" s="152" t="s">
        <v>2705</v>
      </c>
      <c r="P811" s="152" t="s">
        <v>2705</v>
      </c>
      <c r="Q811" s="152" t="s">
        <v>2398</v>
      </c>
      <c r="R811" s="152" t="s">
        <v>2705</v>
      </c>
      <c r="S811" s="152" t="s">
        <v>2705</v>
      </c>
      <c r="T811" s="152" t="s">
        <v>2705</v>
      </c>
      <c r="U811" s="152" t="s">
        <v>2705</v>
      </c>
      <c r="V811" s="142" cm="1">
        <f t="array" ref="V811">IF(A811&lt;&gt;"",SUM(--(B811:U812 = "X")*$U$3,--(B811:U812 ="A")*$Q$3,--(B811:U812 ="B")*$R$3,--(B811:U812 ="C")*$S$3),"")</f>
        <v>22.5</v>
      </c>
      <c r="AF811" s="142" t="s">
        <v>7722</v>
      </c>
      <c r="AG811" s="142" t="s">
        <v>2705</v>
      </c>
      <c r="AH811" s="142" t="s">
        <v>2398</v>
      </c>
      <c r="AI811" s="142" t="s">
        <v>2705</v>
      </c>
      <c r="AJ811" s="142" t="s">
        <v>2705</v>
      </c>
      <c r="AK811" s="142" t="s">
        <v>2398</v>
      </c>
      <c r="AL811" s="142" t="s">
        <v>2705</v>
      </c>
      <c r="AM811" s="142" t="s">
        <v>2705</v>
      </c>
      <c r="AN811" s="142" t="s">
        <v>2705</v>
      </c>
      <c r="AO811" s="142" t="s">
        <v>2398</v>
      </c>
      <c r="AP811" s="142" t="s">
        <v>2705</v>
      </c>
      <c r="AQ811" s="142" t="s">
        <v>2398</v>
      </c>
      <c r="AR811" s="142" t="s">
        <v>2398</v>
      </c>
      <c r="AS811" s="142" t="s">
        <v>2398</v>
      </c>
      <c r="AT811" s="142" t="s">
        <v>2705</v>
      </c>
      <c r="AU811" s="142" t="s">
        <v>2705</v>
      </c>
      <c r="AV811" s="142" t="s">
        <v>2398</v>
      </c>
      <c r="AW811" s="142" t="s">
        <v>2705</v>
      </c>
      <c r="AX811" s="142" t="s">
        <v>2705</v>
      </c>
      <c r="AY811" s="142" t="s">
        <v>2705</v>
      </c>
      <c r="AZ811" s="142" t="s">
        <v>2705</v>
      </c>
    </row>
    <row r="812" spans="1:52" s="142" customFormat="1" ht="12.75" x14ac:dyDescent="0.2">
      <c r="A812" s="151"/>
      <c r="B812" s="152" t="s">
        <v>2398</v>
      </c>
      <c r="C812" s="152" t="s">
        <v>2675</v>
      </c>
      <c r="D812" s="152" t="s">
        <v>2397</v>
      </c>
      <c r="E812" s="152" t="s">
        <v>1435</v>
      </c>
      <c r="F812" s="152" t="s">
        <v>2398</v>
      </c>
      <c r="G812" s="152" t="s">
        <v>2398</v>
      </c>
      <c r="H812" s="152" t="s">
        <v>2705</v>
      </c>
      <c r="I812" s="152" t="s">
        <v>2705</v>
      </c>
      <c r="J812" s="152" t="s">
        <v>2705</v>
      </c>
      <c r="K812" s="152" t="s">
        <v>2705</v>
      </c>
      <c r="L812" s="152" t="s">
        <v>2398</v>
      </c>
      <c r="M812" s="152" t="s">
        <v>2705</v>
      </c>
      <c r="N812" s="152" t="s">
        <v>2705</v>
      </c>
      <c r="O812" s="152" t="s">
        <v>2705</v>
      </c>
      <c r="P812" s="152" t="s">
        <v>1435</v>
      </c>
      <c r="Q812" s="152" t="s">
        <v>2705</v>
      </c>
      <c r="R812" s="152" t="s">
        <v>2398</v>
      </c>
      <c r="S812" s="152" t="s">
        <v>2705</v>
      </c>
      <c r="T812" s="152" t="s">
        <v>2705</v>
      </c>
      <c r="U812" s="152" t="s">
        <v>2705</v>
      </c>
      <c r="V812" s="142" t="str" cm="1">
        <f t="array" ref="V812">IF(A812&lt;&gt;"",SUM(--(B812:U813 = "X")*$U$3,--(B812:U813 ="A")*$Q$3,--(B812:U813 ="B")*$R$3,--(B812:U813 ="C")*$S$3),"")</f>
        <v/>
      </c>
      <c r="AG812" s="142" t="s">
        <v>2398</v>
      </c>
      <c r="AH812" s="142" t="s">
        <v>2675</v>
      </c>
      <c r="AI812" s="142" t="s">
        <v>2397</v>
      </c>
      <c r="AJ812" s="142" t="s">
        <v>1435</v>
      </c>
      <c r="AK812" s="142" t="s">
        <v>2398</v>
      </c>
      <c r="AL812" s="142" t="s">
        <v>2398</v>
      </c>
      <c r="AM812" s="142" t="s">
        <v>2705</v>
      </c>
      <c r="AN812" s="142" t="s">
        <v>2705</v>
      </c>
      <c r="AO812" s="142" t="s">
        <v>2705</v>
      </c>
      <c r="AP812" s="142" t="s">
        <v>2705</v>
      </c>
      <c r="AQ812" s="142" t="s">
        <v>2398</v>
      </c>
      <c r="AR812" s="142" t="s">
        <v>2705</v>
      </c>
      <c r="AS812" s="142" t="s">
        <v>2705</v>
      </c>
      <c r="AT812" s="142" t="s">
        <v>2705</v>
      </c>
      <c r="AU812" s="142" t="s">
        <v>1435</v>
      </c>
      <c r="AV812" s="142" t="s">
        <v>2705</v>
      </c>
      <c r="AW812" s="142" t="s">
        <v>2398</v>
      </c>
      <c r="AX812" s="142" t="s">
        <v>2705</v>
      </c>
      <c r="AY812" s="142" t="s">
        <v>2705</v>
      </c>
      <c r="AZ812" s="142" t="s">
        <v>2705</v>
      </c>
    </row>
    <row r="813" spans="1:52" s="142" customFormat="1" ht="12.75" x14ac:dyDescent="0.2">
      <c r="A813" s="151" t="s">
        <v>7723</v>
      </c>
      <c r="B813" s="152" t="s">
        <v>2705</v>
      </c>
      <c r="C813" s="152" t="s">
        <v>2398</v>
      </c>
      <c r="D813" s="152" t="s">
        <v>2705</v>
      </c>
      <c r="E813" s="152" t="s">
        <v>2398</v>
      </c>
      <c r="F813" s="152" t="s">
        <v>2705</v>
      </c>
      <c r="G813" s="152" t="s">
        <v>2705</v>
      </c>
      <c r="H813" s="152" t="s">
        <v>2705</v>
      </c>
      <c r="I813" s="152" t="s">
        <v>2705</v>
      </c>
      <c r="J813" s="152" t="s">
        <v>2705</v>
      </c>
      <c r="K813" s="152" t="s">
        <v>2398</v>
      </c>
      <c r="L813" s="152" t="s">
        <v>2705</v>
      </c>
      <c r="M813" s="152" t="s">
        <v>2398</v>
      </c>
      <c r="N813" s="152" t="s">
        <v>1435</v>
      </c>
      <c r="O813" s="152" t="s">
        <v>2398</v>
      </c>
      <c r="P813" s="152" t="s">
        <v>2705</v>
      </c>
      <c r="Q813" s="152" t="s">
        <v>1435</v>
      </c>
      <c r="R813" s="152" t="s">
        <v>2705</v>
      </c>
      <c r="S813" s="152" t="s">
        <v>2398</v>
      </c>
      <c r="T813" s="152" t="s">
        <v>2705</v>
      </c>
      <c r="U813" s="152" t="s">
        <v>2398</v>
      </c>
      <c r="V813" s="142" cm="1">
        <f t="array" ref="V813">IF(A813&lt;&gt;"",SUM(--(B813:U814 = "X")*$U$3,--(B813:U814 ="A")*$Q$3,--(B813:U814 ="B")*$R$3,--(B813:U814 ="C")*$S$3),"")</f>
        <v>14.5</v>
      </c>
      <c r="AF813" s="142" t="s">
        <v>7723</v>
      </c>
      <c r="AG813" s="142" t="s">
        <v>2705</v>
      </c>
      <c r="AH813" s="142" t="s">
        <v>2398</v>
      </c>
      <c r="AI813" s="142" t="s">
        <v>2705</v>
      </c>
      <c r="AJ813" s="142" t="s">
        <v>2398</v>
      </c>
      <c r="AK813" s="142" t="s">
        <v>2705</v>
      </c>
      <c r="AL813" s="142" t="s">
        <v>2705</v>
      </c>
      <c r="AM813" s="142" t="s">
        <v>2705</v>
      </c>
      <c r="AN813" s="142" t="s">
        <v>2705</v>
      </c>
      <c r="AO813" s="142" t="s">
        <v>2705</v>
      </c>
      <c r="AP813" s="142" t="s">
        <v>2398</v>
      </c>
      <c r="AQ813" s="142" t="s">
        <v>2705</v>
      </c>
      <c r="AR813" s="142" t="s">
        <v>2398</v>
      </c>
      <c r="AS813" s="142" t="s">
        <v>1435</v>
      </c>
      <c r="AT813" s="142" t="s">
        <v>2398</v>
      </c>
      <c r="AU813" s="142" t="s">
        <v>2705</v>
      </c>
      <c r="AV813" s="142" t="s">
        <v>1435</v>
      </c>
      <c r="AW813" s="142" t="s">
        <v>2705</v>
      </c>
      <c r="AX813" s="142" t="s">
        <v>2398</v>
      </c>
      <c r="AY813" s="142" t="s">
        <v>2705</v>
      </c>
      <c r="AZ813" s="142" t="s">
        <v>2398</v>
      </c>
    </row>
    <row r="814" spans="1:52" s="142" customFormat="1" ht="12.75" x14ac:dyDescent="0.2">
      <c r="A814" s="151"/>
      <c r="B814" s="152" t="s">
        <v>2398</v>
      </c>
      <c r="C814" s="152" t="s">
        <v>2397</v>
      </c>
      <c r="D814" s="152" t="s">
        <v>2705</v>
      </c>
      <c r="E814" s="152" t="s">
        <v>2398</v>
      </c>
      <c r="F814" s="152" t="s">
        <v>2705</v>
      </c>
      <c r="G814" s="152" t="s">
        <v>2398</v>
      </c>
      <c r="H814" s="152" t="s">
        <v>2705</v>
      </c>
      <c r="I814" s="152" t="s">
        <v>2398</v>
      </c>
      <c r="J814" s="152" t="s">
        <v>2398</v>
      </c>
      <c r="K814" s="152" t="s">
        <v>2398</v>
      </c>
      <c r="L814" s="152" t="s">
        <v>2398</v>
      </c>
      <c r="M814" s="152" t="s">
        <v>2705</v>
      </c>
      <c r="N814" s="152" t="s">
        <v>1435</v>
      </c>
      <c r="O814" s="152" t="s">
        <v>2705</v>
      </c>
      <c r="P814" s="152" t="s">
        <v>2398</v>
      </c>
      <c r="Q814" s="152" t="s">
        <v>2398</v>
      </c>
      <c r="R814" s="152" t="s">
        <v>2705</v>
      </c>
      <c r="S814" s="152" t="s">
        <v>2398</v>
      </c>
      <c r="T814" s="152" t="s">
        <v>1435</v>
      </c>
      <c r="U814" s="152" t="s">
        <v>1435</v>
      </c>
      <c r="V814" s="142" t="str" cm="1">
        <f t="array" ref="V814">IF(A814&lt;&gt;"",SUM(--(B814:U815 = "X")*$U$3,--(B814:U815 ="A")*$Q$3,--(B814:U815 ="B")*$R$3,--(B814:U815 ="C")*$S$3),"")</f>
        <v/>
      </c>
      <c r="AG814" s="142" t="s">
        <v>2398</v>
      </c>
      <c r="AH814" s="142" t="s">
        <v>2397</v>
      </c>
      <c r="AI814" s="142" t="s">
        <v>2705</v>
      </c>
      <c r="AJ814" s="142" t="s">
        <v>2398</v>
      </c>
      <c r="AK814" s="142" t="s">
        <v>2705</v>
      </c>
      <c r="AL814" s="142" t="s">
        <v>2398</v>
      </c>
      <c r="AM814" s="142" t="s">
        <v>2705</v>
      </c>
      <c r="AN814" s="142" t="s">
        <v>2398</v>
      </c>
      <c r="AO814" s="142" t="s">
        <v>2398</v>
      </c>
      <c r="AP814" s="142" t="s">
        <v>2398</v>
      </c>
      <c r="AQ814" s="142" t="s">
        <v>2398</v>
      </c>
      <c r="AR814" s="142" t="s">
        <v>2705</v>
      </c>
      <c r="AS814" s="142" t="s">
        <v>1435</v>
      </c>
      <c r="AT814" s="142" t="s">
        <v>2705</v>
      </c>
      <c r="AU814" s="142" t="s">
        <v>2398</v>
      </c>
      <c r="AV814" s="142" t="s">
        <v>2398</v>
      </c>
      <c r="AW814" s="142" t="s">
        <v>2705</v>
      </c>
      <c r="AX814" s="142" t="s">
        <v>2398</v>
      </c>
      <c r="AY814" s="142" t="s">
        <v>1435</v>
      </c>
      <c r="AZ814" s="142" t="s">
        <v>1435</v>
      </c>
    </row>
    <row r="815" spans="1:52" s="142" customFormat="1" ht="12.75" x14ac:dyDescent="0.2">
      <c r="A815" s="151" t="s">
        <v>7724</v>
      </c>
      <c r="B815" s="152" t="s">
        <v>2397</v>
      </c>
      <c r="C815" s="152" t="s">
        <v>2705</v>
      </c>
      <c r="D815" s="152" t="s">
        <v>2675</v>
      </c>
      <c r="E815" s="152" t="s">
        <v>1435</v>
      </c>
      <c r="F815" s="152" t="s">
        <v>2705</v>
      </c>
      <c r="G815" s="152" t="s">
        <v>2398</v>
      </c>
      <c r="H815" s="152" t="s">
        <v>2705</v>
      </c>
      <c r="I815" s="152" t="s">
        <v>2398</v>
      </c>
      <c r="J815" s="152" t="s">
        <v>2398</v>
      </c>
      <c r="K815" s="152" t="s">
        <v>2398</v>
      </c>
      <c r="L815" s="152" t="s">
        <v>2705</v>
      </c>
      <c r="M815" s="152" t="s">
        <v>2705</v>
      </c>
      <c r="N815" s="152" t="s">
        <v>2705</v>
      </c>
      <c r="O815" s="152" t="s">
        <v>2398</v>
      </c>
      <c r="P815" s="152" t="s">
        <v>2705</v>
      </c>
      <c r="Q815" s="152" t="s">
        <v>2397</v>
      </c>
      <c r="R815" s="152" t="s">
        <v>2398</v>
      </c>
      <c r="S815" s="152" t="s">
        <v>2398</v>
      </c>
      <c r="T815" s="152" t="s">
        <v>2705</v>
      </c>
      <c r="U815" s="152" t="s">
        <v>2398</v>
      </c>
      <c r="V815" s="142" cm="1">
        <f t="array" ref="V815">IF(A815&lt;&gt;"",SUM(--(B815:U816 = "X")*$U$3,--(B815:U816 ="A")*$Q$3,--(B815:U816 ="B")*$R$3,--(B815:U816 ="C")*$S$3),"")</f>
        <v>12.5</v>
      </c>
      <c r="AF815" s="142" t="s">
        <v>7724</v>
      </c>
      <c r="AG815" s="142" t="s">
        <v>2397</v>
      </c>
      <c r="AH815" s="142" t="s">
        <v>2705</v>
      </c>
      <c r="AI815" s="142" t="s">
        <v>2675</v>
      </c>
      <c r="AJ815" s="142" t="s">
        <v>1435</v>
      </c>
      <c r="AK815" s="142" t="s">
        <v>2705</v>
      </c>
      <c r="AL815" s="142" t="s">
        <v>2398</v>
      </c>
      <c r="AM815" s="142" t="s">
        <v>2705</v>
      </c>
      <c r="AN815" s="142" t="s">
        <v>2398</v>
      </c>
      <c r="AO815" s="142" t="s">
        <v>2398</v>
      </c>
      <c r="AP815" s="142" t="s">
        <v>2398</v>
      </c>
      <c r="AQ815" s="142" t="s">
        <v>2705</v>
      </c>
      <c r="AR815" s="142" t="s">
        <v>2705</v>
      </c>
      <c r="AS815" s="142" t="s">
        <v>2705</v>
      </c>
      <c r="AT815" s="142" t="s">
        <v>2398</v>
      </c>
      <c r="AU815" s="142" t="s">
        <v>2705</v>
      </c>
      <c r="AV815" s="142" t="s">
        <v>2397</v>
      </c>
      <c r="AW815" s="142" t="s">
        <v>2398</v>
      </c>
      <c r="AX815" s="142" t="s">
        <v>2398</v>
      </c>
      <c r="AY815" s="142" t="s">
        <v>2705</v>
      </c>
      <c r="AZ815" s="142" t="s">
        <v>2398</v>
      </c>
    </row>
    <row r="816" spans="1:52" s="142" customFormat="1" ht="12.75" x14ac:dyDescent="0.2">
      <c r="A816" s="151"/>
      <c r="B816" s="152" t="s">
        <v>2398</v>
      </c>
      <c r="C816" s="152" t="s">
        <v>2398</v>
      </c>
      <c r="D816" s="152" t="s">
        <v>1435</v>
      </c>
      <c r="E816" s="152" t="s">
        <v>2705</v>
      </c>
      <c r="F816" s="152" t="s">
        <v>2675</v>
      </c>
      <c r="G816" s="152" t="s">
        <v>2675</v>
      </c>
      <c r="H816" s="152" t="s">
        <v>2398</v>
      </c>
      <c r="I816" s="152" t="s">
        <v>2398</v>
      </c>
      <c r="J816" s="152" t="s">
        <v>2705</v>
      </c>
      <c r="K816" s="152" t="s">
        <v>2398</v>
      </c>
      <c r="L816" s="152" t="s">
        <v>2398</v>
      </c>
      <c r="M816" s="152" t="s">
        <v>2398</v>
      </c>
      <c r="N816" s="152" t="s">
        <v>2398</v>
      </c>
      <c r="O816" s="152" t="s">
        <v>2705</v>
      </c>
      <c r="P816" s="152" t="s">
        <v>2398</v>
      </c>
      <c r="Q816" s="152" t="s">
        <v>2705</v>
      </c>
      <c r="R816" s="152" t="s">
        <v>2398</v>
      </c>
      <c r="S816" s="152" t="s">
        <v>2705</v>
      </c>
      <c r="T816" s="152" t="s">
        <v>2705</v>
      </c>
      <c r="U816" s="152" t="s">
        <v>2705</v>
      </c>
      <c r="V816" s="142" t="str" cm="1">
        <f t="array" ref="V816">IF(A816&lt;&gt;"",SUM(--(B816:U817 = "X")*$U$3,--(B816:U817 ="A")*$Q$3,--(B816:U817 ="B")*$R$3,--(B816:U817 ="C")*$S$3),"")</f>
        <v/>
      </c>
      <c r="AG816" s="142" t="s">
        <v>2398</v>
      </c>
      <c r="AH816" s="142" t="s">
        <v>2398</v>
      </c>
      <c r="AI816" s="142" t="s">
        <v>1435</v>
      </c>
      <c r="AJ816" s="142" t="s">
        <v>2705</v>
      </c>
      <c r="AK816" s="142" t="s">
        <v>2675</v>
      </c>
      <c r="AL816" s="142" t="s">
        <v>2675</v>
      </c>
      <c r="AM816" s="142" t="s">
        <v>2398</v>
      </c>
      <c r="AN816" s="142" t="s">
        <v>2398</v>
      </c>
      <c r="AO816" s="142" t="s">
        <v>2705</v>
      </c>
      <c r="AP816" s="142" t="s">
        <v>2398</v>
      </c>
      <c r="AQ816" s="142" t="s">
        <v>2398</v>
      </c>
      <c r="AR816" s="142" t="s">
        <v>2398</v>
      </c>
      <c r="AS816" s="142" t="s">
        <v>2398</v>
      </c>
      <c r="AT816" s="142" t="s">
        <v>2705</v>
      </c>
      <c r="AU816" s="142" t="s">
        <v>2398</v>
      </c>
      <c r="AV816" s="142" t="s">
        <v>2705</v>
      </c>
      <c r="AW816" s="142" t="s">
        <v>2398</v>
      </c>
      <c r="AX816" s="142" t="s">
        <v>2705</v>
      </c>
      <c r="AY816" s="142" t="s">
        <v>2705</v>
      </c>
      <c r="AZ816" s="142" t="s">
        <v>2705</v>
      </c>
    </row>
    <row r="817" spans="1:52" s="142" customFormat="1" ht="12.75" x14ac:dyDescent="0.2">
      <c r="A817" s="151" t="s">
        <v>7725</v>
      </c>
      <c r="B817" s="152" t="s">
        <v>2705</v>
      </c>
      <c r="C817" s="152" t="s">
        <v>2675</v>
      </c>
      <c r="D817" s="152" t="s">
        <v>2705</v>
      </c>
      <c r="E817" s="152" t="s">
        <v>2705</v>
      </c>
      <c r="F817" s="152" t="s">
        <v>2397</v>
      </c>
      <c r="G817" s="152" t="s">
        <v>1435</v>
      </c>
      <c r="H817" s="152" t="s">
        <v>2705</v>
      </c>
      <c r="I817" s="152" t="s">
        <v>2705</v>
      </c>
      <c r="J817" s="152" t="s">
        <v>2705</v>
      </c>
      <c r="K817" s="152" t="s">
        <v>2705</v>
      </c>
      <c r="L817" s="152" t="s">
        <v>2675</v>
      </c>
      <c r="M817" s="152" t="s">
        <v>2705</v>
      </c>
      <c r="N817" s="152" t="s">
        <v>2675</v>
      </c>
      <c r="O817" s="152" t="s">
        <v>2675</v>
      </c>
      <c r="P817" s="152" t="s">
        <v>2398</v>
      </c>
      <c r="Q817" s="152" t="s">
        <v>2705</v>
      </c>
      <c r="R817" s="152" t="s">
        <v>2705</v>
      </c>
      <c r="S817" s="152" t="s">
        <v>2705</v>
      </c>
      <c r="T817" s="152" t="s">
        <v>2398</v>
      </c>
      <c r="U817" s="152" t="s">
        <v>2705</v>
      </c>
      <c r="V817" s="142" cm="1">
        <f t="array" ref="V817">IF(A817&lt;&gt;"",SUM(--(B817:U818 = "X")*$U$3,--(B817:U818 ="A")*$Q$3,--(B817:U818 ="B")*$R$3,--(B817:U818 ="C")*$S$3),"")</f>
        <v>18.5</v>
      </c>
      <c r="AF817" s="142" t="s">
        <v>7725</v>
      </c>
      <c r="AG817" s="142" t="s">
        <v>2705</v>
      </c>
      <c r="AH817" s="142" t="s">
        <v>2675</v>
      </c>
      <c r="AI817" s="142" t="s">
        <v>2705</v>
      </c>
      <c r="AJ817" s="142" t="s">
        <v>2705</v>
      </c>
      <c r="AK817" s="142" t="s">
        <v>2397</v>
      </c>
      <c r="AL817" s="142" t="s">
        <v>1435</v>
      </c>
      <c r="AM817" s="142" t="s">
        <v>2705</v>
      </c>
      <c r="AN817" s="142" t="s">
        <v>2705</v>
      </c>
      <c r="AO817" s="142" t="s">
        <v>2705</v>
      </c>
      <c r="AP817" s="142" t="s">
        <v>2705</v>
      </c>
      <c r="AQ817" s="142" t="s">
        <v>2675</v>
      </c>
      <c r="AR817" s="142" t="s">
        <v>2705</v>
      </c>
      <c r="AS817" s="142" t="s">
        <v>2675</v>
      </c>
      <c r="AT817" s="142" t="s">
        <v>2675</v>
      </c>
      <c r="AU817" s="142" t="s">
        <v>2398</v>
      </c>
      <c r="AV817" s="142" t="s">
        <v>2705</v>
      </c>
      <c r="AW817" s="142" t="s">
        <v>2705</v>
      </c>
      <c r="AX817" s="142" t="s">
        <v>2705</v>
      </c>
      <c r="AY817" s="142" t="s">
        <v>2398</v>
      </c>
      <c r="AZ817" s="142" t="s">
        <v>2705</v>
      </c>
    </row>
    <row r="818" spans="1:52" s="142" customFormat="1" ht="12.75" x14ac:dyDescent="0.2">
      <c r="A818" s="151"/>
      <c r="B818" s="152" t="s">
        <v>1435</v>
      </c>
      <c r="C818" s="152" t="s">
        <v>2675</v>
      </c>
      <c r="D818" s="152" t="s">
        <v>2705</v>
      </c>
      <c r="E818" s="152" t="s">
        <v>2675</v>
      </c>
      <c r="F818" s="152" t="s">
        <v>2705</v>
      </c>
      <c r="G818" s="152" t="s">
        <v>1435</v>
      </c>
      <c r="H818" s="152" t="s">
        <v>2705</v>
      </c>
      <c r="I818" s="152" t="s">
        <v>2675</v>
      </c>
      <c r="J818" s="152" t="s">
        <v>2675</v>
      </c>
      <c r="K818" s="152" t="s">
        <v>2705</v>
      </c>
      <c r="L818" s="152" t="s">
        <v>2397</v>
      </c>
      <c r="M818" s="152" t="s">
        <v>2705</v>
      </c>
      <c r="N818" s="152" t="s">
        <v>2705</v>
      </c>
      <c r="O818" s="152" t="s">
        <v>2705</v>
      </c>
      <c r="P818" s="152" t="s">
        <v>2705</v>
      </c>
      <c r="Q818" s="152" t="s">
        <v>2705</v>
      </c>
      <c r="R818" s="152" t="s">
        <v>2398</v>
      </c>
      <c r="S818" s="152" t="s">
        <v>2705</v>
      </c>
      <c r="T818" s="152" t="s">
        <v>2705</v>
      </c>
      <c r="U818" s="152" t="s">
        <v>2705</v>
      </c>
      <c r="V818" s="142" t="str" cm="1">
        <f t="array" ref="V818">IF(A818&lt;&gt;"",SUM(--(B818:U819 = "X")*$U$3,--(B818:U819 ="A")*$Q$3,--(B818:U819 ="B")*$R$3,--(B818:U819 ="C")*$S$3),"")</f>
        <v/>
      </c>
      <c r="AG818" s="142" t="s">
        <v>1435</v>
      </c>
      <c r="AH818" s="142" t="s">
        <v>2675</v>
      </c>
      <c r="AI818" s="142" t="s">
        <v>2705</v>
      </c>
      <c r="AJ818" s="142" t="s">
        <v>2675</v>
      </c>
      <c r="AK818" s="142" t="s">
        <v>2705</v>
      </c>
      <c r="AL818" s="142" t="s">
        <v>1435</v>
      </c>
      <c r="AM818" s="142" t="s">
        <v>2705</v>
      </c>
      <c r="AN818" s="142" t="s">
        <v>2675</v>
      </c>
      <c r="AO818" s="142" t="s">
        <v>2675</v>
      </c>
      <c r="AP818" s="142" t="s">
        <v>2705</v>
      </c>
      <c r="AQ818" s="142" t="s">
        <v>2397</v>
      </c>
      <c r="AR818" s="142" t="s">
        <v>2705</v>
      </c>
      <c r="AS818" s="142" t="s">
        <v>2705</v>
      </c>
      <c r="AT818" s="142" t="s">
        <v>2705</v>
      </c>
      <c r="AU818" s="142" t="s">
        <v>2705</v>
      </c>
      <c r="AV818" s="142" t="s">
        <v>2705</v>
      </c>
      <c r="AW818" s="142" t="s">
        <v>2398</v>
      </c>
      <c r="AX818" s="142" t="s">
        <v>2705</v>
      </c>
      <c r="AY818" s="142" t="s">
        <v>2705</v>
      </c>
      <c r="AZ818" s="142" t="s">
        <v>2705</v>
      </c>
    </row>
    <row r="819" spans="1:52" s="142" customFormat="1" ht="12.75" x14ac:dyDescent="0.2">
      <c r="A819" s="151" t="s">
        <v>7726</v>
      </c>
      <c r="B819" s="152" t="s">
        <v>2705</v>
      </c>
      <c r="C819" s="152" t="s">
        <v>2705</v>
      </c>
      <c r="D819" s="152" t="s">
        <v>2705</v>
      </c>
      <c r="E819" s="152" t="s">
        <v>1435</v>
      </c>
      <c r="F819" s="152" t="s">
        <v>2705</v>
      </c>
      <c r="G819" s="152" t="s">
        <v>2705</v>
      </c>
      <c r="H819" s="152" t="s">
        <v>2705</v>
      </c>
      <c r="I819" s="152" t="s">
        <v>2398</v>
      </c>
      <c r="J819" s="152" t="s">
        <v>2398</v>
      </c>
      <c r="K819" s="152" t="s">
        <v>2398</v>
      </c>
      <c r="L819" s="152" t="s">
        <v>2705</v>
      </c>
      <c r="M819" s="152" t="s">
        <v>2705</v>
      </c>
      <c r="N819" s="152" t="s">
        <v>1435</v>
      </c>
      <c r="O819" s="152" t="s">
        <v>2398</v>
      </c>
      <c r="P819" s="152" t="s">
        <v>2705</v>
      </c>
      <c r="Q819" s="152" t="s">
        <v>1435</v>
      </c>
      <c r="R819" s="152" t="s">
        <v>2398</v>
      </c>
      <c r="S819" s="152" t="s">
        <v>2398</v>
      </c>
      <c r="T819" s="152" t="s">
        <v>2705</v>
      </c>
      <c r="U819" s="152" t="s">
        <v>2398</v>
      </c>
      <c r="V819" s="142" cm="1">
        <f t="array" ref="V819">IF(A819&lt;&gt;"",SUM(--(B819:U820 = "X")*$U$3,--(B819:U820 ="A")*$Q$3,--(B819:U820 ="B")*$R$3,--(B819:U820 ="C")*$S$3),"")</f>
        <v>19</v>
      </c>
      <c r="AF819" s="142" t="s">
        <v>7726</v>
      </c>
      <c r="AG819" s="142" t="s">
        <v>2705</v>
      </c>
      <c r="AH819" s="142" t="s">
        <v>2705</v>
      </c>
      <c r="AI819" s="142" t="s">
        <v>2705</v>
      </c>
      <c r="AJ819" s="142" t="s">
        <v>1435</v>
      </c>
      <c r="AK819" s="142" t="s">
        <v>2705</v>
      </c>
      <c r="AL819" s="142" t="s">
        <v>2705</v>
      </c>
      <c r="AM819" s="142" t="s">
        <v>2705</v>
      </c>
      <c r="AN819" s="142" t="s">
        <v>2398</v>
      </c>
      <c r="AO819" s="142" t="s">
        <v>2398</v>
      </c>
      <c r="AP819" s="142" t="s">
        <v>2398</v>
      </c>
      <c r="AQ819" s="142" t="s">
        <v>2705</v>
      </c>
      <c r="AR819" s="142" t="s">
        <v>2705</v>
      </c>
      <c r="AS819" s="142" t="s">
        <v>1435</v>
      </c>
      <c r="AT819" s="142" t="s">
        <v>2398</v>
      </c>
      <c r="AU819" s="142" t="s">
        <v>2705</v>
      </c>
      <c r="AV819" s="142" t="s">
        <v>1435</v>
      </c>
      <c r="AW819" s="142" t="s">
        <v>2398</v>
      </c>
      <c r="AX819" s="142" t="s">
        <v>2398</v>
      </c>
      <c r="AY819" s="142" t="s">
        <v>2705</v>
      </c>
      <c r="AZ819" s="142" t="s">
        <v>2398</v>
      </c>
    </row>
    <row r="820" spans="1:52" s="142" customFormat="1" ht="12.75" x14ac:dyDescent="0.2">
      <c r="A820" s="151"/>
      <c r="B820" s="152" t="s">
        <v>2398</v>
      </c>
      <c r="C820" s="152" t="s">
        <v>2705</v>
      </c>
      <c r="D820" s="152" t="s">
        <v>2705</v>
      </c>
      <c r="E820" s="152" t="s">
        <v>2705</v>
      </c>
      <c r="F820" s="152" t="s">
        <v>2398</v>
      </c>
      <c r="G820" s="152" t="s">
        <v>2675</v>
      </c>
      <c r="H820" s="152" t="s">
        <v>2705</v>
      </c>
      <c r="I820" s="152" t="s">
        <v>2705</v>
      </c>
      <c r="J820" s="152" t="s">
        <v>2675</v>
      </c>
      <c r="K820" s="152" t="s">
        <v>2675</v>
      </c>
      <c r="L820" s="152" t="s">
        <v>2397</v>
      </c>
      <c r="M820" s="152" t="s">
        <v>2398</v>
      </c>
      <c r="N820" s="152" t="s">
        <v>2705</v>
      </c>
      <c r="O820" s="152" t="s">
        <v>2705</v>
      </c>
      <c r="P820" s="152" t="s">
        <v>2398</v>
      </c>
      <c r="Q820" s="152" t="s">
        <v>2705</v>
      </c>
      <c r="R820" s="152" t="s">
        <v>2705</v>
      </c>
      <c r="S820" s="152" t="s">
        <v>2705</v>
      </c>
      <c r="T820" s="152" t="s">
        <v>2705</v>
      </c>
      <c r="U820" s="152" t="s">
        <v>2705</v>
      </c>
      <c r="V820" s="142" t="str" cm="1">
        <f t="array" ref="V820">IF(A820&lt;&gt;"",SUM(--(B820:U821 = "X")*$U$3,--(B820:U821 ="A")*$Q$3,--(B820:U821 ="B")*$R$3,--(B820:U821 ="C")*$S$3),"")</f>
        <v/>
      </c>
      <c r="AG820" s="142" t="s">
        <v>2398</v>
      </c>
      <c r="AH820" s="142" t="s">
        <v>2705</v>
      </c>
      <c r="AI820" s="142" t="s">
        <v>2705</v>
      </c>
      <c r="AJ820" s="142" t="s">
        <v>2705</v>
      </c>
      <c r="AK820" s="142" t="s">
        <v>2398</v>
      </c>
      <c r="AL820" s="142" t="s">
        <v>2675</v>
      </c>
      <c r="AM820" s="142" t="s">
        <v>2705</v>
      </c>
      <c r="AN820" s="142" t="s">
        <v>2705</v>
      </c>
      <c r="AO820" s="142" t="s">
        <v>2675</v>
      </c>
      <c r="AP820" s="142" t="s">
        <v>2675</v>
      </c>
      <c r="AQ820" s="142" t="s">
        <v>2397</v>
      </c>
      <c r="AR820" s="142" t="s">
        <v>2398</v>
      </c>
      <c r="AS820" s="142" t="s">
        <v>2705</v>
      </c>
      <c r="AT820" s="142" t="s">
        <v>2705</v>
      </c>
      <c r="AU820" s="142" t="s">
        <v>2398</v>
      </c>
      <c r="AV820" s="142" t="s">
        <v>2705</v>
      </c>
      <c r="AW820" s="142" t="s">
        <v>2705</v>
      </c>
      <c r="AX820" s="142" t="s">
        <v>2705</v>
      </c>
      <c r="AY820" s="142" t="s">
        <v>2705</v>
      </c>
      <c r="AZ820" s="142" t="s">
        <v>2705</v>
      </c>
    </row>
    <row r="821" spans="1:52" s="142" customFormat="1" ht="12.75" x14ac:dyDescent="0.2">
      <c r="A821" s="151" t="s">
        <v>7727</v>
      </c>
      <c r="B821" s="152" t="s">
        <v>2398</v>
      </c>
      <c r="C821" s="152" t="s">
        <v>2705</v>
      </c>
      <c r="D821" s="152" t="s">
        <v>2705</v>
      </c>
      <c r="E821" s="152" t="s">
        <v>2705</v>
      </c>
      <c r="F821" s="152" t="s">
        <v>2705</v>
      </c>
      <c r="G821" s="152" t="s">
        <v>2398</v>
      </c>
      <c r="H821" s="152" t="s">
        <v>2705</v>
      </c>
      <c r="I821" s="152" t="s">
        <v>2705</v>
      </c>
      <c r="J821" s="152" t="s">
        <v>2705</v>
      </c>
      <c r="K821" s="152" t="s">
        <v>2398</v>
      </c>
      <c r="L821" s="152" t="s">
        <v>2705</v>
      </c>
      <c r="M821" s="152" t="s">
        <v>2705</v>
      </c>
      <c r="N821" s="152" t="s">
        <v>2705</v>
      </c>
      <c r="O821" s="152" t="s">
        <v>2705</v>
      </c>
      <c r="P821" s="152" t="s">
        <v>2398</v>
      </c>
      <c r="Q821" s="152" t="s">
        <v>2675</v>
      </c>
      <c r="R821" s="152" t="s">
        <v>2398</v>
      </c>
      <c r="S821" s="152" t="s">
        <v>2398</v>
      </c>
      <c r="T821" s="152" t="s">
        <v>2398</v>
      </c>
      <c r="U821" s="152" t="s">
        <v>2398</v>
      </c>
      <c r="V821" s="142" cm="1">
        <f t="array" ref="V821">IF(A821&lt;&gt;"",SUM(--(B821:U822 = "X")*$U$3,--(B821:U822 ="A")*$Q$3,--(B821:U822 ="B")*$R$3,--(B821:U822 ="C")*$S$3),"")</f>
        <v>23.5</v>
      </c>
      <c r="AF821" s="142" t="s">
        <v>7727</v>
      </c>
      <c r="AG821" s="142" t="s">
        <v>2398</v>
      </c>
      <c r="AH821" s="142" t="s">
        <v>2705</v>
      </c>
      <c r="AI821" s="142" t="s">
        <v>2705</v>
      </c>
      <c r="AJ821" s="142" t="s">
        <v>2705</v>
      </c>
      <c r="AK821" s="142" t="s">
        <v>2705</v>
      </c>
      <c r="AL821" s="142" t="s">
        <v>2398</v>
      </c>
      <c r="AM821" s="142" t="s">
        <v>2705</v>
      </c>
      <c r="AN821" s="142" t="s">
        <v>2705</v>
      </c>
      <c r="AO821" s="142" t="s">
        <v>2705</v>
      </c>
      <c r="AP821" s="142" t="s">
        <v>2398</v>
      </c>
      <c r="AQ821" s="142" t="s">
        <v>2705</v>
      </c>
      <c r="AR821" s="142" t="s">
        <v>2705</v>
      </c>
      <c r="AS821" s="142" t="s">
        <v>2705</v>
      </c>
      <c r="AT821" s="142" t="s">
        <v>2705</v>
      </c>
      <c r="AU821" s="142" t="s">
        <v>2398</v>
      </c>
      <c r="AV821" s="142" t="s">
        <v>2675</v>
      </c>
      <c r="AW821" s="142" t="s">
        <v>2398</v>
      </c>
      <c r="AX821" s="142" t="s">
        <v>2398</v>
      </c>
      <c r="AY821" s="142" t="s">
        <v>2398</v>
      </c>
      <c r="AZ821" s="142" t="s">
        <v>2398</v>
      </c>
    </row>
    <row r="822" spans="1:52" s="142" customFormat="1" ht="12.75" x14ac:dyDescent="0.2">
      <c r="A822" s="151"/>
      <c r="B822" s="152" t="s">
        <v>2705</v>
      </c>
      <c r="C822" s="152" t="s">
        <v>2705</v>
      </c>
      <c r="D822" s="152" t="s">
        <v>2675</v>
      </c>
      <c r="E822" s="152" t="s">
        <v>2398</v>
      </c>
      <c r="F822" s="152" t="s">
        <v>2705</v>
      </c>
      <c r="G822" s="152" t="s">
        <v>1435</v>
      </c>
      <c r="H822" s="152" t="s">
        <v>2705</v>
      </c>
      <c r="I822" s="152" t="s">
        <v>2705</v>
      </c>
      <c r="J822" s="152" t="s">
        <v>2705</v>
      </c>
      <c r="K822" s="152" t="s">
        <v>2705</v>
      </c>
      <c r="L822" s="152" t="s">
        <v>2705</v>
      </c>
      <c r="M822" s="152" t="s">
        <v>2398</v>
      </c>
      <c r="N822" s="152" t="s">
        <v>2705</v>
      </c>
      <c r="O822" s="152" t="s">
        <v>2705</v>
      </c>
      <c r="P822" s="152" t="s">
        <v>2398</v>
      </c>
      <c r="Q822" s="152" t="s">
        <v>2705</v>
      </c>
      <c r="R822" s="152" t="s">
        <v>2705</v>
      </c>
      <c r="S822" s="152" t="s">
        <v>2398</v>
      </c>
      <c r="T822" s="152" t="s">
        <v>2705</v>
      </c>
      <c r="U822" s="152" t="s">
        <v>2705</v>
      </c>
      <c r="V822" s="142" t="str" cm="1">
        <f t="array" ref="V822">IF(A822&lt;&gt;"",SUM(--(B822:U823 = "X")*$U$3,--(B822:U823 ="A")*$Q$3,--(B822:U823 ="B")*$R$3,--(B822:U823 ="C")*$S$3),"")</f>
        <v/>
      </c>
      <c r="AG822" s="142" t="s">
        <v>2705</v>
      </c>
      <c r="AH822" s="142" t="s">
        <v>2705</v>
      </c>
      <c r="AI822" s="142" t="s">
        <v>2675</v>
      </c>
      <c r="AJ822" s="142" t="s">
        <v>2398</v>
      </c>
      <c r="AK822" s="142" t="s">
        <v>2705</v>
      </c>
      <c r="AL822" s="142" t="s">
        <v>1435</v>
      </c>
      <c r="AM822" s="142" t="s">
        <v>2705</v>
      </c>
      <c r="AN822" s="142" t="s">
        <v>2705</v>
      </c>
      <c r="AO822" s="142" t="s">
        <v>2705</v>
      </c>
      <c r="AP822" s="142" t="s">
        <v>2705</v>
      </c>
      <c r="AQ822" s="142" t="s">
        <v>2705</v>
      </c>
      <c r="AR822" s="142" t="s">
        <v>2398</v>
      </c>
      <c r="AS822" s="142" t="s">
        <v>2705</v>
      </c>
      <c r="AT822" s="142" t="s">
        <v>2705</v>
      </c>
      <c r="AU822" s="142" t="s">
        <v>2398</v>
      </c>
      <c r="AV822" s="142" t="s">
        <v>2705</v>
      </c>
      <c r="AW822" s="142" t="s">
        <v>2705</v>
      </c>
      <c r="AX822" s="142" t="s">
        <v>2398</v>
      </c>
      <c r="AY822" s="142" t="s">
        <v>2705</v>
      </c>
      <c r="AZ822" s="142" t="s">
        <v>2705</v>
      </c>
    </row>
    <row r="823" spans="1:52" s="142" customFormat="1" ht="12.75" x14ac:dyDescent="0.2">
      <c r="A823" s="151" t="s">
        <v>7728</v>
      </c>
      <c r="B823" s="152" t="s">
        <v>2705</v>
      </c>
      <c r="C823" s="152" t="s">
        <v>2398</v>
      </c>
      <c r="D823" s="152" t="s">
        <v>2398</v>
      </c>
      <c r="E823" s="152" t="s">
        <v>2705</v>
      </c>
      <c r="F823" s="152" t="s">
        <v>2705</v>
      </c>
      <c r="G823" s="152" t="s">
        <v>2398</v>
      </c>
      <c r="H823" s="152" t="s">
        <v>2705</v>
      </c>
      <c r="I823" s="152" t="s">
        <v>2705</v>
      </c>
      <c r="J823" s="152" t="s">
        <v>2705</v>
      </c>
      <c r="K823" s="152" t="s">
        <v>2705</v>
      </c>
      <c r="L823" s="152" t="s">
        <v>2675</v>
      </c>
      <c r="M823" s="152" t="s">
        <v>2398</v>
      </c>
      <c r="N823" s="152" t="s">
        <v>2398</v>
      </c>
      <c r="O823" s="152" t="s">
        <v>2705</v>
      </c>
      <c r="P823" s="152" t="s">
        <v>2705</v>
      </c>
      <c r="Q823" s="152" t="s">
        <v>2705</v>
      </c>
      <c r="R823" s="152" t="s">
        <v>1435</v>
      </c>
      <c r="S823" s="152" t="s">
        <v>2705</v>
      </c>
      <c r="T823" s="152" t="s">
        <v>2705</v>
      </c>
      <c r="U823" s="152" t="s">
        <v>2705</v>
      </c>
      <c r="V823" s="142" cm="1">
        <f t="array" ref="V823">IF(A823&lt;&gt;"",SUM(--(B823:U824 = "X")*$U$3,--(B823:U824 ="A")*$Q$3,--(B823:U824 ="B")*$R$3,--(B823:U824 ="C")*$S$3),"")</f>
        <v>24.5</v>
      </c>
      <c r="AF823" s="142" t="s">
        <v>7728</v>
      </c>
      <c r="AG823" s="142" t="s">
        <v>2705</v>
      </c>
      <c r="AH823" s="142" t="s">
        <v>2398</v>
      </c>
      <c r="AI823" s="142" t="s">
        <v>2398</v>
      </c>
      <c r="AJ823" s="142" t="s">
        <v>2705</v>
      </c>
      <c r="AK823" s="142" t="s">
        <v>2705</v>
      </c>
      <c r="AL823" s="142" t="s">
        <v>2398</v>
      </c>
      <c r="AM823" s="142" t="s">
        <v>2705</v>
      </c>
      <c r="AN823" s="142" t="s">
        <v>2705</v>
      </c>
      <c r="AO823" s="142" t="s">
        <v>2705</v>
      </c>
      <c r="AP823" s="142" t="s">
        <v>2705</v>
      </c>
      <c r="AQ823" s="142" t="s">
        <v>2675</v>
      </c>
      <c r="AR823" s="142" t="s">
        <v>2398</v>
      </c>
      <c r="AS823" s="142" t="s">
        <v>2398</v>
      </c>
      <c r="AT823" s="142" t="s">
        <v>2705</v>
      </c>
      <c r="AU823" s="142" t="s">
        <v>2705</v>
      </c>
      <c r="AV823" s="142" t="s">
        <v>2705</v>
      </c>
      <c r="AW823" s="142" t="s">
        <v>1435</v>
      </c>
      <c r="AX823" s="142" t="s">
        <v>2705</v>
      </c>
      <c r="AY823" s="142" t="s">
        <v>2705</v>
      </c>
      <c r="AZ823" s="142" t="s">
        <v>2705</v>
      </c>
    </row>
    <row r="824" spans="1:52" s="142" customFormat="1" ht="12.75" x14ac:dyDescent="0.2">
      <c r="A824" s="151"/>
      <c r="B824" s="152" t="s">
        <v>2705</v>
      </c>
      <c r="C824" s="152" t="s">
        <v>2397</v>
      </c>
      <c r="D824" s="152" t="s">
        <v>1435</v>
      </c>
      <c r="E824" s="152" t="s">
        <v>2705</v>
      </c>
      <c r="F824" s="152" t="s">
        <v>2705</v>
      </c>
      <c r="G824" s="152" t="s">
        <v>2705</v>
      </c>
      <c r="H824" s="152" t="s">
        <v>2705</v>
      </c>
      <c r="I824" s="152" t="s">
        <v>2705</v>
      </c>
      <c r="J824" s="152" t="s">
        <v>2705</v>
      </c>
      <c r="K824" s="152" t="s">
        <v>2705</v>
      </c>
      <c r="L824" s="152" t="s">
        <v>2398</v>
      </c>
      <c r="M824" s="152" t="s">
        <v>2398</v>
      </c>
      <c r="N824" s="152" t="s">
        <v>2398</v>
      </c>
      <c r="O824" s="152" t="s">
        <v>2398</v>
      </c>
      <c r="P824" s="152" t="s">
        <v>2705</v>
      </c>
      <c r="Q824" s="152" t="s">
        <v>2398</v>
      </c>
      <c r="R824" s="152" t="s">
        <v>2705</v>
      </c>
      <c r="S824" s="152" t="s">
        <v>2705</v>
      </c>
      <c r="T824" s="152" t="s">
        <v>2705</v>
      </c>
      <c r="U824" s="152" t="s">
        <v>2705</v>
      </c>
      <c r="V824" s="142" t="str" cm="1">
        <f t="array" ref="V824">IF(A824&lt;&gt;"",SUM(--(B824:U825 = "X")*$U$3,--(B824:U825 ="A")*$Q$3,--(B824:U825 ="B")*$R$3,--(B824:U825 ="C")*$S$3),"")</f>
        <v/>
      </c>
      <c r="AG824" s="142" t="s">
        <v>2705</v>
      </c>
      <c r="AH824" s="142" t="s">
        <v>2397</v>
      </c>
      <c r="AI824" s="142" t="s">
        <v>1435</v>
      </c>
      <c r="AJ824" s="142" t="s">
        <v>2705</v>
      </c>
      <c r="AK824" s="142" t="s">
        <v>2705</v>
      </c>
      <c r="AL824" s="142" t="s">
        <v>2705</v>
      </c>
      <c r="AM824" s="142" t="s">
        <v>2705</v>
      </c>
      <c r="AN824" s="142" t="s">
        <v>2705</v>
      </c>
      <c r="AO824" s="142" t="s">
        <v>2705</v>
      </c>
      <c r="AP824" s="142" t="s">
        <v>2705</v>
      </c>
      <c r="AQ824" s="142" t="s">
        <v>2398</v>
      </c>
      <c r="AR824" s="142" t="s">
        <v>2398</v>
      </c>
      <c r="AS824" s="142" t="s">
        <v>2398</v>
      </c>
      <c r="AT824" s="142" t="s">
        <v>2398</v>
      </c>
      <c r="AU824" s="142" t="s">
        <v>2705</v>
      </c>
      <c r="AV824" s="142" t="s">
        <v>2398</v>
      </c>
      <c r="AW824" s="142" t="s">
        <v>2705</v>
      </c>
      <c r="AX824" s="142" t="s">
        <v>2705</v>
      </c>
      <c r="AY824" s="142" t="s">
        <v>2705</v>
      </c>
      <c r="AZ824" s="142" t="s">
        <v>2705</v>
      </c>
    </row>
    <row r="825" spans="1:52" s="142" customFormat="1" ht="12.75" x14ac:dyDescent="0.2">
      <c r="A825" s="151" t="s">
        <v>7729</v>
      </c>
      <c r="B825" s="152" t="s">
        <v>2398</v>
      </c>
      <c r="C825" s="152" t="s">
        <v>2705</v>
      </c>
      <c r="D825" s="152" t="s">
        <v>2398</v>
      </c>
      <c r="E825" s="152" t="s">
        <v>2398</v>
      </c>
      <c r="F825" s="152" t="s">
        <v>2675</v>
      </c>
      <c r="G825" s="152" t="s">
        <v>2705</v>
      </c>
      <c r="H825" s="152" t="s">
        <v>2705</v>
      </c>
      <c r="I825" s="152" t="s">
        <v>2705</v>
      </c>
      <c r="J825" s="152" t="s">
        <v>2675</v>
      </c>
      <c r="K825" s="152" t="s">
        <v>2705</v>
      </c>
      <c r="L825" s="152" t="s">
        <v>2705</v>
      </c>
      <c r="M825" s="152" t="s">
        <v>1435</v>
      </c>
      <c r="N825" s="152" t="s">
        <v>2398</v>
      </c>
      <c r="O825" s="152" t="s">
        <v>2705</v>
      </c>
      <c r="P825" s="152" t="s">
        <v>2705</v>
      </c>
      <c r="Q825" s="152" t="s">
        <v>2705</v>
      </c>
      <c r="R825" s="152" t="s">
        <v>2675</v>
      </c>
      <c r="S825" s="152" t="s">
        <v>2705</v>
      </c>
      <c r="T825" s="152" t="s">
        <v>2705</v>
      </c>
      <c r="U825" s="152" t="s">
        <v>2398</v>
      </c>
      <c r="V825" s="142" cm="1">
        <f t="array" ref="V825">IF(A825&lt;&gt;"",SUM(--(B825:U826 = "X")*$U$3,--(B825:U826 ="A")*$Q$3,--(B825:U826 ="B")*$R$3,--(B825:U826 ="C")*$S$3),"")</f>
        <v>18</v>
      </c>
      <c r="AF825" s="142" t="s">
        <v>7729</v>
      </c>
      <c r="AG825" s="142" t="s">
        <v>2398</v>
      </c>
      <c r="AH825" s="142" t="s">
        <v>2705</v>
      </c>
      <c r="AI825" s="142" t="s">
        <v>2398</v>
      </c>
      <c r="AJ825" s="142" t="s">
        <v>2398</v>
      </c>
      <c r="AK825" s="142" t="s">
        <v>2675</v>
      </c>
      <c r="AL825" s="142" t="s">
        <v>2705</v>
      </c>
      <c r="AM825" s="142" t="s">
        <v>2705</v>
      </c>
      <c r="AN825" s="142" t="s">
        <v>2705</v>
      </c>
      <c r="AO825" s="142" t="s">
        <v>2675</v>
      </c>
      <c r="AP825" s="142" t="s">
        <v>2705</v>
      </c>
      <c r="AQ825" s="142" t="s">
        <v>2705</v>
      </c>
      <c r="AR825" s="142" t="s">
        <v>1435</v>
      </c>
      <c r="AS825" s="142" t="s">
        <v>2398</v>
      </c>
      <c r="AT825" s="142" t="s">
        <v>2705</v>
      </c>
      <c r="AU825" s="142" t="s">
        <v>2705</v>
      </c>
      <c r="AV825" s="142" t="s">
        <v>2705</v>
      </c>
      <c r="AW825" s="142" t="s">
        <v>2675</v>
      </c>
      <c r="AX825" s="142" t="s">
        <v>2705</v>
      </c>
      <c r="AY825" s="142" t="s">
        <v>2705</v>
      </c>
      <c r="AZ825" s="142" t="s">
        <v>2398</v>
      </c>
    </row>
    <row r="826" spans="1:52" s="142" customFormat="1" ht="12.75" x14ac:dyDescent="0.2">
      <c r="A826" s="151"/>
      <c r="B826" s="152" t="s">
        <v>2675</v>
      </c>
      <c r="C826" s="152" t="s">
        <v>2675</v>
      </c>
      <c r="D826" s="152" t="s">
        <v>2397</v>
      </c>
      <c r="E826" s="152" t="s">
        <v>2705</v>
      </c>
      <c r="F826" s="152" t="s">
        <v>2705</v>
      </c>
      <c r="G826" s="152" t="s">
        <v>2705</v>
      </c>
      <c r="H826" s="152" t="s">
        <v>2398</v>
      </c>
      <c r="I826" s="152" t="s">
        <v>2705</v>
      </c>
      <c r="J826" s="152" t="s">
        <v>2705</v>
      </c>
      <c r="K826" s="152" t="s">
        <v>2398</v>
      </c>
      <c r="L826" s="152" t="s">
        <v>2398</v>
      </c>
      <c r="M826" s="152" t="s">
        <v>2398</v>
      </c>
      <c r="N826" s="152" t="s">
        <v>2705</v>
      </c>
      <c r="O826" s="152" t="s">
        <v>2398</v>
      </c>
      <c r="P826" s="152" t="s">
        <v>2705</v>
      </c>
      <c r="Q826" s="152" t="s">
        <v>2705</v>
      </c>
      <c r="R826" s="152" t="s">
        <v>2705</v>
      </c>
      <c r="S826" s="152" t="s">
        <v>2705</v>
      </c>
      <c r="T826" s="152" t="s">
        <v>2398</v>
      </c>
      <c r="U826" s="152" t="s">
        <v>2398</v>
      </c>
      <c r="V826" s="142" t="str" cm="1">
        <f t="array" ref="V826">IF(A826&lt;&gt;"",SUM(--(B826:U827 = "X")*$U$3,--(B826:U827 ="A")*$Q$3,--(B826:U827 ="B")*$R$3,--(B826:U827 ="C")*$S$3),"")</f>
        <v/>
      </c>
      <c r="AG826" s="142" t="s">
        <v>2675</v>
      </c>
      <c r="AH826" s="142" t="s">
        <v>2675</v>
      </c>
      <c r="AI826" s="142" t="s">
        <v>2397</v>
      </c>
      <c r="AJ826" s="142" t="s">
        <v>2705</v>
      </c>
      <c r="AK826" s="142" t="s">
        <v>2705</v>
      </c>
      <c r="AL826" s="142" t="s">
        <v>2705</v>
      </c>
      <c r="AM826" s="142" t="s">
        <v>2398</v>
      </c>
      <c r="AN826" s="142" t="s">
        <v>2705</v>
      </c>
      <c r="AO826" s="142" t="s">
        <v>2705</v>
      </c>
      <c r="AP826" s="142" t="s">
        <v>2398</v>
      </c>
      <c r="AQ826" s="142" t="s">
        <v>2398</v>
      </c>
      <c r="AR826" s="142" t="s">
        <v>2398</v>
      </c>
      <c r="AS826" s="142" t="s">
        <v>2705</v>
      </c>
      <c r="AT826" s="142" t="s">
        <v>2398</v>
      </c>
      <c r="AU826" s="142" t="s">
        <v>2705</v>
      </c>
      <c r="AV826" s="142" t="s">
        <v>2705</v>
      </c>
      <c r="AW826" s="142" t="s">
        <v>2705</v>
      </c>
      <c r="AX826" s="142" t="s">
        <v>2705</v>
      </c>
      <c r="AY826" s="142" t="s">
        <v>2398</v>
      </c>
      <c r="AZ826" s="142" t="s">
        <v>2398</v>
      </c>
    </row>
    <row r="827" spans="1:52" s="142" customFormat="1" ht="12.75" x14ac:dyDescent="0.2">
      <c r="A827" s="151" t="s">
        <v>7730</v>
      </c>
      <c r="B827" s="152" t="s">
        <v>2705</v>
      </c>
      <c r="C827" s="152" t="s">
        <v>2398</v>
      </c>
      <c r="D827" s="152" t="s">
        <v>2705</v>
      </c>
      <c r="E827" s="152" t="s">
        <v>2705</v>
      </c>
      <c r="F827" s="152" t="s">
        <v>2705</v>
      </c>
      <c r="G827" s="152" t="s">
        <v>2705</v>
      </c>
      <c r="H827" s="152" t="s">
        <v>2705</v>
      </c>
      <c r="I827" s="152" t="s">
        <v>2398</v>
      </c>
      <c r="J827" s="152" t="s">
        <v>2705</v>
      </c>
      <c r="K827" s="152" t="s">
        <v>2705</v>
      </c>
      <c r="L827" s="152" t="s">
        <v>2705</v>
      </c>
      <c r="M827" s="152" t="s">
        <v>2705</v>
      </c>
      <c r="N827" s="152" t="s">
        <v>2705</v>
      </c>
      <c r="O827" s="152" t="s">
        <v>2398</v>
      </c>
      <c r="P827" s="152" t="s">
        <v>2398</v>
      </c>
      <c r="Q827" s="152" t="s">
        <v>2705</v>
      </c>
      <c r="R827" s="152" t="s">
        <v>2705</v>
      </c>
      <c r="S827" s="152" t="s">
        <v>2398</v>
      </c>
      <c r="T827" s="152" t="s">
        <v>2705</v>
      </c>
      <c r="U827" s="152" t="s">
        <v>2705</v>
      </c>
      <c r="V827" s="142" cm="1">
        <f t="array" ref="V827">IF(A827&lt;&gt;"",SUM(--(B827:U828 = "X")*$U$3,--(B827:U828 ="A")*$Q$3,--(B827:U828 ="B")*$R$3,--(B827:U828 ="C")*$S$3),"")</f>
        <v>29</v>
      </c>
      <c r="AF827" s="142" t="s">
        <v>7730</v>
      </c>
      <c r="AG827" s="142" t="s">
        <v>2705</v>
      </c>
      <c r="AH827" s="142" t="s">
        <v>2398</v>
      </c>
      <c r="AI827" s="142" t="s">
        <v>2705</v>
      </c>
      <c r="AJ827" s="142" t="s">
        <v>2705</v>
      </c>
      <c r="AK827" s="142" t="s">
        <v>2705</v>
      </c>
      <c r="AL827" s="142" t="s">
        <v>2705</v>
      </c>
      <c r="AM827" s="142" t="s">
        <v>2705</v>
      </c>
      <c r="AN827" s="142" t="s">
        <v>2398</v>
      </c>
      <c r="AO827" s="142" t="s">
        <v>2705</v>
      </c>
      <c r="AP827" s="142" t="s">
        <v>2705</v>
      </c>
      <c r="AQ827" s="142" t="s">
        <v>2705</v>
      </c>
      <c r="AR827" s="142" t="s">
        <v>2705</v>
      </c>
      <c r="AS827" s="142" t="s">
        <v>2705</v>
      </c>
      <c r="AT827" s="142" t="s">
        <v>2398</v>
      </c>
      <c r="AU827" s="142" t="s">
        <v>2398</v>
      </c>
      <c r="AV827" s="142" t="s">
        <v>2705</v>
      </c>
      <c r="AW827" s="142" t="s">
        <v>2705</v>
      </c>
      <c r="AX827" s="142" t="s">
        <v>2398</v>
      </c>
      <c r="AY827" s="142" t="s">
        <v>2705</v>
      </c>
      <c r="AZ827" s="142" t="s">
        <v>2705</v>
      </c>
    </row>
    <row r="828" spans="1:52" s="142" customFormat="1" ht="12.75" x14ac:dyDescent="0.2">
      <c r="A828" s="151"/>
      <c r="B828" s="152" t="s">
        <v>2705</v>
      </c>
      <c r="C828" s="152" t="s">
        <v>2398</v>
      </c>
      <c r="D828" s="152" t="s">
        <v>2705</v>
      </c>
      <c r="E828" s="152" t="s">
        <v>2705</v>
      </c>
      <c r="F828" s="152" t="s">
        <v>2705</v>
      </c>
      <c r="G828" s="152" t="s">
        <v>2705</v>
      </c>
      <c r="H828" s="152" t="s">
        <v>2398</v>
      </c>
      <c r="I828" s="152" t="s">
        <v>2705</v>
      </c>
      <c r="J828" s="152" t="s">
        <v>2705</v>
      </c>
      <c r="K828" s="152" t="s">
        <v>2705</v>
      </c>
      <c r="L828" s="152" t="s">
        <v>2398</v>
      </c>
      <c r="M828" s="152" t="s">
        <v>2398</v>
      </c>
      <c r="N828" s="152" t="s">
        <v>2398</v>
      </c>
      <c r="O828" s="152" t="s">
        <v>2705</v>
      </c>
      <c r="P828" s="152" t="s">
        <v>2705</v>
      </c>
      <c r="Q828" s="152" t="s">
        <v>2705</v>
      </c>
      <c r="R828" s="152" t="s">
        <v>2705</v>
      </c>
      <c r="S828" s="152" t="s">
        <v>2398</v>
      </c>
      <c r="T828" s="152" t="s">
        <v>2705</v>
      </c>
      <c r="U828" s="152" t="s">
        <v>2705</v>
      </c>
      <c r="V828" s="142" t="str" cm="1">
        <f t="array" ref="V828">IF(A828&lt;&gt;"",SUM(--(B828:U829 = "X")*$U$3,--(B828:U829 ="A")*$Q$3,--(B828:U829 ="B")*$R$3,--(B828:U829 ="C")*$S$3),"")</f>
        <v/>
      </c>
      <c r="AG828" s="142" t="s">
        <v>2705</v>
      </c>
      <c r="AH828" s="142" t="s">
        <v>2398</v>
      </c>
      <c r="AI828" s="142" t="s">
        <v>2705</v>
      </c>
      <c r="AJ828" s="142" t="s">
        <v>2705</v>
      </c>
      <c r="AK828" s="142" t="s">
        <v>2705</v>
      </c>
      <c r="AL828" s="142" t="s">
        <v>2705</v>
      </c>
      <c r="AM828" s="142" t="s">
        <v>2398</v>
      </c>
      <c r="AN828" s="142" t="s">
        <v>2705</v>
      </c>
      <c r="AO828" s="142" t="s">
        <v>2705</v>
      </c>
      <c r="AP828" s="142" t="s">
        <v>2705</v>
      </c>
      <c r="AQ828" s="142" t="s">
        <v>2398</v>
      </c>
      <c r="AR828" s="142" t="s">
        <v>2398</v>
      </c>
      <c r="AS828" s="142" t="s">
        <v>2398</v>
      </c>
      <c r="AT828" s="142" t="s">
        <v>2705</v>
      </c>
      <c r="AU828" s="142" t="s">
        <v>2705</v>
      </c>
      <c r="AV828" s="142" t="s">
        <v>2705</v>
      </c>
      <c r="AW828" s="142" t="s">
        <v>2705</v>
      </c>
      <c r="AX828" s="142" t="s">
        <v>2398</v>
      </c>
      <c r="AY828" s="142" t="s">
        <v>2705</v>
      </c>
      <c r="AZ828" s="142" t="s">
        <v>2705</v>
      </c>
    </row>
    <row r="829" spans="1:52" s="142" customFormat="1" ht="12.75" x14ac:dyDescent="0.2">
      <c r="A829" s="151" t="s">
        <v>7731</v>
      </c>
      <c r="B829" s="152" t="s">
        <v>2398</v>
      </c>
      <c r="C829" s="152" t="s">
        <v>2398</v>
      </c>
      <c r="D829" s="152" t="s">
        <v>2705</v>
      </c>
      <c r="E829" s="152" t="s">
        <v>2398</v>
      </c>
      <c r="F829" s="152" t="s">
        <v>2705</v>
      </c>
      <c r="G829" s="152" t="s">
        <v>2705</v>
      </c>
      <c r="H829" s="152" t="s">
        <v>2705</v>
      </c>
      <c r="I829" s="152" t="s">
        <v>2398</v>
      </c>
      <c r="J829" s="152" t="s">
        <v>2705</v>
      </c>
      <c r="K829" s="152" t="s">
        <v>2705</v>
      </c>
      <c r="L829" s="152" t="s">
        <v>2705</v>
      </c>
      <c r="M829" s="152" t="s">
        <v>2705</v>
      </c>
      <c r="N829" s="152" t="s">
        <v>2398</v>
      </c>
      <c r="O829" s="152" t="s">
        <v>2398</v>
      </c>
      <c r="P829" s="152" t="s">
        <v>2705</v>
      </c>
      <c r="Q829" s="152" t="s">
        <v>2705</v>
      </c>
      <c r="R829" s="152" t="s">
        <v>2675</v>
      </c>
      <c r="S829" s="152" t="s">
        <v>2705</v>
      </c>
      <c r="T829" s="152" t="s">
        <v>2398</v>
      </c>
      <c r="U829" s="152" t="s">
        <v>2398</v>
      </c>
      <c r="V829" s="142" cm="1">
        <f t="array" ref="V829">IF(A829&lt;&gt;"",SUM(--(B829:U830 = "X")*$U$3,--(B829:U830 ="A")*$Q$3,--(B829:U830 ="B")*$R$3,--(B829:U830 ="C")*$S$3),"")</f>
        <v>17</v>
      </c>
      <c r="AF829" s="142" t="s">
        <v>7731</v>
      </c>
      <c r="AG829" s="142" t="s">
        <v>2398</v>
      </c>
      <c r="AH829" s="142" t="s">
        <v>2398</v>
      </c>
      <c r="AI829" s="142" t="s">
        <v>2705</v>
      </c>
      <c r="AJ829" s="142" t="s">
        <v>2398</v>
      </c>
      <c r="AK829" s="142" t="s">
        <v>2705</v>
      </c>
      <c r="AL829" s="142" t="s">
        <v>2705</v>
      </c>
      <c r="AM829" s="142" t="s">
        <v>2705</v>
      </c>
      <c r="AN829" s="142" t="s">
        <v>2398</v>
      </c>
      <c r="AO829" s="142" t="s">
        <v>2705</v>
      </c>
      <c r="AP829" s="142" t="s">
        <v>2705</v>
      </c>
      <c r="AQ829" s="142" t="s">
        <v>2705</v>
      </c>
      <c r="AR829" s="142" t="s">
        <v>2705</v>
      </c>
      <c r="AS829" s="142" t="s">
        <v>2398</v>
      </c>
      <c r="AT829" s="142" t="s">
        <v>2398</v>
      </c>
      <c r="AU829" s="142" t="s">
        <v>2705</v>
      </c>
      <c r="AV829" s="142" t="s">
        <v>2705</v>
      </c>
      <c r="AW829" s="142" t="s">
        <v>2675</v>
      </c>
      <c r="AX829" s="142" t="s">
        <v>2705</v>
      </c>
      <c r="AY829" s="142" t="s">
        <v>2398</v>
      </c>
      <c r="AZ829" s="142" t="s">
        <v>2398</v>
      </c>
    </row>
    <row r="830" spans="1:52" s="142" customFormat="1" ht="12.75" x14ac:dyDescent="0.2">
      <c r="A830" s="151"/>
      <c r="B830" s="152" t="s">
        <v>2705</v>
      </c>
      <c r="C830" s="152" t="s">
        <v>2675</v>
      </c>
      <c r="D830" s="152" t="s">
        <v>2705</v>
      </c>
      <c r="E830" s="152" t="s">
        <v>2398</v>
      </c>
      <c r="F830" s="152" t="s">
        <v>2705</v>
      </c>
      <c r="G830" s="152" t="s">
        <v>2705</v>
      </c>
      <c r="H830" s="152" t="s">
        <v>2398</v>
      </c>
      <c r="I830" s="152" t="s">
        <v>1435</v>
      </c>
      <c r="J830" s="152" t="s">
        <v>2398</v>
      </c>
      <c r="K830" s="152" t="s">
        <v>2398</v>
      </c>
      <c r="L830" s="152" t="s">
        <v>2398</v>
      </c>
      <c r="M830" s="152" t="s">
        <v>2705</v>
      </c>
      <c r="N830" s="152" t="s">
        <v>2398</v>
      </c>
      <c r="O830" s="152" t="s">
        <v>2398</v>
      </c>
      <c r="P830" s="152" t="s">
        <v>2675</v>
      </c>
      <c r="Q830" s="152" t="s">
        <v>2705</v>
      </c>
      <c r="R830" s="152" t="s">
        <v>2398</v>
      </c>
      <c r="S830" s="152" t="s">
        <v>2705</v>
      </c>
      <c r="T830" s="152" t="s">
        <v>2705</v>
      </c>
      <c r="U830" s="152" t="s">
        <v>2398</v>
      </c>
      <c r="V830" s="142" t="str" cm="1">
        <f t="array" ref="V830">IF(A830&lt;&gt;"",SUM(--(B830:U831 = "X")*$U$3,--(B830:U831 ="A")*$Q$3,--(B830:U831 ="B")*$R$3,--(B830:U831 ="C")*$S$3),"")</f>
        <v/>
      </c>
      <c r="AG830" s="142" t="s">
        <v>2705</v>
      </c>
      <c r="AH830" s="142" t="s">
        <v>2675</v>
      </c>
      <c r="AI830" s="142" t="s">
        <v>2705</v>
      </c>
      <c r="AJ830" s="142" t="s">
        <v>2398</v>
      </c>
      <c r="AK830" s="142" t="s">
        <v>2705</v>
      </c>
      <c r="AL830" s="142" t="s">
        <v>2705</v>
      </c>
      <c r="AM830" s="142" t="s">
        <v>2398</v>
      </c>
      <c r="AN830" s="142" t="s">
        <v>1435</v>
      </c>
      <c r="AO830" s="142" t="s">
        <v>2398</v>
      </c>
      <c r="AP830" s="142" t="s">
        <v>2398</v>
      </c>
      <c r="AQ830" s="142" t="s">
        <v>2398</v>
      </c>
      <c r="AR830" s="142" t="s">
        <v>2705</v>
      </c>
      <c r="AS830" s="142" t="s">
        <v>2398</v>
      </c>
      <c r="AT830" s="142" t="s">
        <v>2398</v>
      </c>
      <c r="AU830" s="142" t="s">
        <v>2675</v>
      </c>
      <c r="AV830" s="142" t="s">
        <v>2705</v>
      </c>
      <c r="AW830" s="142" t="s">
        <v>2398</v>
      </c>
      <c r="AX830" s="142" t="s">
        <v>2705</v>
      </c>
      <c r="AY830" s="142" t="s">
        <v>2705</v>
      </c>
      <c r="AZ830" s="142" t="s">
        <v>2398</v>
      </c>
    </row>
    <row r="831" spans="1:52" s="142" customFormat="1" ht="12.75" x14ac:dyDescent="0.2">
      <c r="A831" s="151" t="s">
        <v>7732</v>
      </c>
      <c r="B831" s="152" t="s">
        <v>2398</v>
      </c>
      <c r="C831" s="152" t="s">
        <v>2705</v>
      </c>
      <c r="D831" s="152" t="s">
        <v>2705</v>
      </c>
      <c r="E831" s="152" t="s">
        <v>2398</v>
      </c>
      <c r="F831" s="152" t="s">
        <v>2705</v>
      </c>
      <c r="G831" s="152" t="s">
        <v>2705</v>
      </c>
      <c r="H831" s="152" t="s">
        <v>2705</v>
      </c>
      <c r="I831" s="152" t="s">
        <v>2675</v>
      </c>
      <c r="J831" s="152" t="s">
        <v>2705</v>
      </c>
      <c r="K831" s="152" t="s">
        <v>2705</v>
      </c>
      <c r="L831" s="152" t="s">
        <v>1435</v>
      </c>
      <c r="M831" s="152" t="s">
        <v>2705</v>
      </c>
      <c r="N831" s="152" t="s">
        <v>2705</v>
      </c>
      <c r="O831" s="152" t="s">
        <v>2675</v>
      </c>
      <c r="P831" s="152" t="s">
        <v>2705</v>
      </c>
      <c r="Q831" s="152" t="s">
        <v>2705</v>
      </c>
      <c r="R831" s="152" t="s">
        <v>2705</v>
      </c>
      <c r="S831" s="152" t="s">
        <v>2705</v>
      </c>
      <c r="T831" s="152" t="s">
        <v>2705</v>
      </c>
      <c r="U831" s="152" t="s">
        <v>2705</v>
      </c>
      <c r="V831" s="142" cm="1">
        <f t="array" ref="V831">IF(A831&lt;&gt;"",SUM(--(B831:U832 = "X")*$U$3,--(B831:U832 ="A")*$Q$3,--(B831:U832 ="B")*$R$3,--(B831:U832 ="C")*$S$3),"")</f>
        <v>32.5</v>
      </c>
      <c r="AF831" s="142" t="s">
        <v>7732</v>
      </c>
      <c r="AG831" s="142" t="s">
        <v>2398</v>
      </c>
      <c r="AH831" s="142" t="s">
        <v>2705</v>
      </c>
      <c r="AI831" s="142" t="s">
        <v>2705</v>
      </c>
      <c r="AJ831" s="142" t="s">
        <v>2398</v>
      </c>
      <c r="AK831" s="142" t="s">
        <v>2705</v>
      </c>
      <c r="AL831" s="142" t="s">
        <v>2705</v>
      </c>
      <c r="AM831" s="142" t="s">
        <v>2705</v>
      </c>
      <c r="AN831" s="142" t="s">
        <v>2675</v>
      </c>
      <c r="AO831" s="142" t="s">
        <v>2705</v>
      </c>
      <c r="AP831" s="142" t="s">
        <v>2705</v>
      </c>
      <c r="AQ831" s="142" t="s">
        <v>1435</v>
      </c>
      <c r="AR831" s="142" t="s">
        <v>2705</v>
      </c>
      <c r="AS831" s="142" t="s">
        <v>2705</v>
      </c>
      <c r="AT831" s="142" t="s">
        <v>2675</v>
      </c>
      <c r="AU831" s="142" t="s">
        <v>2705</v>
      </c>
      <c r="AV831" s="142" t="s">
        <v>2705</v>
      </c>
      <c r="AW831" s="142" t="s">
        <v>2705</v>
      </c>
      <c r="AX831" s="142" t="s">
        <v>2705</v>
      </c>
      <c r="AY831" s="142" t="s">
        <v>2705</v>
      </c>
      <c r="AZ831" s="142" t="s">
        <v>2705</v>
      </c>
    </row>
    <row r="832" spans="1:52" s="142" customFormat="1" ht="12.75" x14ac:dyDescent="0.2">
      <c r="A832" s="151"/>
      <c r="B832" s="152" t="s">
        <v>2705</v>
      </c>
      <c r="C832" s="152" t="s">
        <v>2705</v>
      </c>
      <c r="D832" s="152" t="s">
        <v>2705</v>
      </c>
      <c r="E832" s="152" t="s">
        <v>2705</v>
      </c>
      <c r="F832" s="152" t="s">
        <v>2705</v>
      </c>
      <c r="G832" s="152" t="s">
        <v>2705</v>
      </c>
      <c r="H832" s="152" t="s">
        <v>2705</v>
      </c>
      <c r="I832" s="152" t="s">
        <v>2705</v>
      </c>
      <c r="J832" s="152" t="s">
        <v>2705</v>
      </c>
      <c r="K832" s="152" t="s">
        <v>2398</v>
      </c>
      <c r="L832" s="152" t="s">
        <v>2705</v>
      </c>
      <c r="M832" s="152" t="s">
        <v>2705</v>
      </c>
      <c r="N832" s="152" t="s">
        <v>2705</v>
      </c>
      <c r="O832" s="152" t="s">
        <v>2705</v>
      </c>
      <c r="P832" s="152" t="s">
        <v>2705</v>
      </c>
      <c r="Q832" s="152" t="s">
        <v>2705</v>
      </c>
      <c r="R832" s="152" t="s">
        <v>2705</v>
      </c>
      <c r="S832" s="152" t="s">
        <v>2705</v>
      </c>
      <c r="T832" s="152" t="s">
        <v>2705</v>
      </c>
      <c r="U832" s="152" t="s">
        <v>2705</v>
      </c>
      <c r="V832" s="142" t="str" cm="1">
        <f t="array" ref="V832">IF(A832&lt;&gt;"",SUM(--(B832:U833 = "X")*$U$3,--(B832:U833 ="A")*$Q$3,--(B832:U833 ="B")*$R$3,--(B832:U833 ="C")*$S$3),"")</f>
        <v/>
      </c>
      <c r="AG832" s="142" t="s">
        <v>2705</v>
      </c>
      <c r="AH832" s="142" t="s">
        <v>2705</v>
      </c>
      <c r="AI832" s="142" t="s">
        <v>2705</v>
      </c>
      <c r="AJ832" s="142" t="s">
        <v>2705</v>
      </c>
      <c r="AK832" s="142" t="s">
        <v>2705</v>
      </c>
      <c r="AL832" s="142" t="s">
        <v>2705</v>
      </c>
      <c r="AM832" s="142" t="s">
        <v>2705</v>
      </c>
      <c r="AN832" s="142" t="s">
        <v>2705</v>
      </c>
      <c r="AO832" s="142" t="s">
        <v>2705</v>
      </c>
      <c r="AP832" s="142" t="s">
        <v>2398</v>
      </c>
      <c r="AQ832" s="142" t="s">
        <v>2705</v>
      </c>
      <c r="AR832" s="142" t="s">
        <v>2705</v>
      </c>
      <c r="AS832" s="142" t="s">
        <v>2705</v>
      </c>
      <c r="AT832" s="142" t="s">
        <v>2705</v>
      </c>
      <c r="AU832" s="142" t="s">
        <v>2705</v>
      </c>
      <c r="AV832" s="142" t="s">
        <v>2705</v>
      </c>
      <c r="AW832" s="142" t="s">
        <v>2705</v>
      </c>
      <c r="AX832" s="142" t="s">
        <v>2705</v>
      </c>
      <c r="AY832" s="142" t="s">
        <v>2705</v>
      </c>
      <c r="AZ832" s="142" t="s">
        <v>2705</v>
      </c>
    </row>
    <row r="833" spans="1:52" s="142" customFormat="1" ht="12.75" x14ac:dyDescent="0.2">
      <c r="A833" s="151" t="s">
        <v>7733</v>
      </c>
      <c r="B833" s="152" t="s">
        <v>2398</v>
      </c>
      <c r="C833" s="152" t="s">
        <v>2398</v>
      </c>
      <c r="D833" s="152" t="s">
        <v>2398</v>
      </c>
      <c r="E833" s="152" t="s">
        <v>2705</v>
      </c>
      <c r="F833" s="152" t="s">
        <v>2675</v>
      </c>
      <c r="G833" s="152" t="s">
        <v>1435</v>
      </c>
      <c r="H833" s="152" t="s">
        <v>2397</v>
      </c>
      <c r="I833" s="152" t="s">
        <v>2675</v>
      </c>
      <c r="J833" s="152" t="s">
        <v>2675</v>
      </c>
      <c r="K833" s="152" t="s">
        <v>2705</v>
      </c>
      <c r="L833" s="152" t="s">
        <v>1435</v>
      </c>
      <c r="M833" s="152" t="s">
        <v>2398</v>
      </c>
      <c r="N833" s="152" t="s">
        <v>2675</v>
      </c>
      <c r="O833" s="152" t="s">
        <v>2705</v>
      </c>
      <c r="P833" s="152" t="s">
        <v>2705</v>
      </c>
      <c r="Q833" s="152" t="s">
        <v>2397</v>
      </c>
      <c r="R833" s="152" t="s">
        <v>1435</v>
      </c>
      <c r="S833" s="152" t="s">
        <v>2675</v>
      </c>
      <c r="T833" s="152" t="s">
        <v>2397</v>
      </c>
      <c r="U833" s="152" t="s">
        <v>2675</v>
      </c>
      <c r="V833" s="142" cm="1">
        <f t="array" ref="V833">IF(A833&lt;&gt;"",SUM(--(B833:U834 = "X")*$U$3,--(B833:U834 ="A")*$Q$3,--(B833:U834 ="B")*$R$3,--(B833:U834 ="C")*$S$3),"")</f>
        <v>6</v>
      </c>
      <c r="AF833" s="142" t="s">
        <v>7733</v>
      </c>
      <c r="AG833" s="142" t="s">
        <v>2398</v>
      </c>
      <c r="AH833" s="142" t="s">
        <v>2398</v>
      </c>
      <c r="AI833" s="142" t="s">
        <v>2398</v>
      </c>
      <c r="AJ833" s="142" t="s">
        <v>2705</v>
      </c>
      <c r="AK833" s="142" t="s">
        <v>2675</v>
      </c>
      <c r="AL833" s="142" t="s">
        <v>1435</v>
      </c>
      <c r="AM833" s="142" t="s">
        <v>2397</v>
      </c>
      <c r="AN833" s="142" t="s">
        <v>2675</v>
      </c>
      <c r="AO833" s="142" t="s">
        <v>2675</v>
      </c>
      <c r="AP833" s="142" t="s">
        <v>2705</v>
      </c>
      <c r="AQ833" s="142" t="s">
        <v>1435</v>
      </c>
      <c r="AR833" s="142" t="s">
        <v>2398</v>
      </c>
      <c r="AS833" s="142" t="s">
        <v>2675</v>
      </c>
      <c r="AT833" s="142" t="s">
        <v>2705</v>
      </c>
      <c r="AU833" s="142" t="s">
        <v>2705</v>
      </c>
      <c r="AV833" s="142" t="s">
        <v>2397</v>
      </c>
      <c r="AW833" s="142" t="s">
        <v>1435</v>
      </c>
      <c r="AX833" s="142" t="s">
        <v>2675</v>
      </c>
      <c r="AY833" s="142" t="s">
        <v>2397</v>
      </c>
      <c r="AZ833" s="142" t="s">
        <v>2675</v>
      </c>
    </row>
    <row r="834" spans="1:52" s="142" customFormat="1" ht="12.75" x14ac:dyDescent="0.2">
      <c r="A834" s="151"/>
      <c r="B834" s="152" t="s">
        <v>2398</v>
      </c>
      <c r="C834" s="152" t="s">
        <v>2675</v>
      </c>
      <c r="D834" s="152" t="s">
        <v>2705</v>
      </c>
      <c r="E834" s="152" t="s">
        <v>2675</v>
      </c>
      <c r="F834" s="152" t="s">
        <v>2397</v>
      </c>
      <c r="G834" s="152" t="s">
        <v>2675</v>
      </c>
      <c r="H834" s="152" t="s">
        <v>2398</v>
      </c>
      <c r="I834" s="152" t="s">
        <v>2705</v>
      </c>
      <c r="J834" s="152" t="s">
        <v>2398</v>
      </c>
      <c r="K834" s="152" t="s">
        <v>2398</v>
      </c>
      <c r="L834" s="152" t="s">
        <v>2398</v>
      </c>
      <c r="M834" s="152" t="s">
        <v>2705</v>
      </c>
      <c r="N834" s="152" t="s">
        <v>2705</v>
      </c>
      <c r="O834" s="152" t="s">
        <v>2398</v>
      </c>
      <c r="P834" s="152" t="s">
        <v>2705</v>
      </c>
      <c r="Q834" s="152" t="s">
        <v>2705</v>
      </c>
      <c r="R834" s="152" t="s">
        <v>2705</v>
      </c>
      <c r="S834" s="152" t="s">
        <v>2705</v>
      </c>
      <c r="T834" s="152" t="s">
        <v>2398</v>
      </c>
      <c r="U834" s="152" t="s">
        <v>2398</v>
      </c>
      <c r="V834" s="142" t="str" cm="1">
        <f t="array" ref="V834">IF(A834&lt;&gt;"",SUM(--(B834:U835 = "X")*$U$3,--(B834:U835 ="A")*$Q$3,--(B834:U835 ="B")*$R$3,--(B834:U835 ="C")*$S$3),"")</f>
        <v/>
      </c>
      <c r="AG834" s="142" t="s">
        <v>2398</v>
      </c>
      <c r="AH834" s="142" t="s">
        <v>2675</v>
      </c>
      <c r="AI834" s="142" t="s">
        <v>2705</v>
      </c>
      <c r="AJ834" s="142" t="s">
        <v>2675</v>
      </c>
      <c r="AK834" s="142" t="s">
        <v>2397</v>
      </c>
      <c r="AL834" s="142" t="s">
        <v>2675</v>
      </c>
      <c r="AM834" s="142" t="s">
        <v>2398</v>
      </c>
      <c r="AN834" s="142" t="s">
        <v>2705</v>
      </c>
      <c r="AO834" s="142" t="s">
        <v>2398</v>
      </c>
      <c r="AP834" s="142" t="s">
        <v>2398</v>
      </c>
      <c r="AQ834" s="142" t="s">
        <v>2398</v>
      </c>
      <c r="AR834" s="142" t="s">
        <v>2705</v>
      </c>
      <c r="AS834" s="142" t="s">
        <v>2705</v>
      </c>
      <c r="AT834" s="142" t="s">
        <v>2398</v>
      </c>
      <c r="AU834" s="142" t="s">
        <v>2705</v>
      </c>
      <c r="AV834" s="142" t="s">
        <v>2705</v>
      </c>
      <c r="AW834" s="142" t="s">
        <v>2705</v>
      </c>
      <c r="AX834" s="142" t="s">
        <v>2705</v>
      </c>
      <c r="AY834" s="142" t="s">
        <v>2398</v>
      </c>
      <c r="AZ834" s="142" t="s">
        <v>2398</v>
      </c>
    </row>
    <row r="835" spans="1:52" s="142" customFormat="1" ht="12.75" x14ac:dyDescent="0.2">
      <c r="A835" s="151" t="s">
        <v>7734</v>
      </c>
      <c r="B835" s="152" t="s">
        <v>2705</v>
      </c>
      <c r="C835" s="152" t="s">
        <v>2398</v>
      </c>
      <c r="D835" s="152" t="s">
        <v>2705</v>
      </c>
      <c r="E835" s="152" t="s">
        <v>2398</v>
      </c>
      <c r="F835" s="152" t="s">
        <v>1435</v>
      </c>
      <c r="G835" s="152" t="s">
        <v>2705</v>
      </c>
      <c r="H835" s="152" t="s">
        <v>2705</v>
      </c>
      <c r="I835" s="152" t="s">
        <v>2398</v>
      </c>
      <c r="J835" s="152" t="s">
        <v>2705</v>
      </c>
      <c r="K835" s="152" t="s">
        <v>1435</v>
      </c>
      <c r="L835" s="152" t="s">
        <v>2705</v>
      </c>
      <c r="M835" s="152" t="s">
        <v>2398</v>
      </c>
      <c r="N835" s="152" t="s">
        <v>2675</v>
      </c>
      <c r="O835" s="152" t="s">
        <v>2398</v>
      </c>
      <c r="P835" s="152" t="s">
        <v>2705</v>
      </c>
      <c r="Q835" s="152" t="s">
        <v>2398</v>
      </c>
      <c r="R835" s="152" t="s">
        <v>2398</v>
      </c>
      <c r="S835" s="152" t="s">
        <v>2398</v>
      </c>
      <c r="T835" s="152" t="s">
        <v>2705</v>
      </c>
      <c r="U835" s="152" t="s">
        <v>2675</v>
      </c>
      <c r="V835" s="142" cm="1">
        <f t="array" ref="V835">IF(A835&lt;&gt;"",SUM(--(B835:U836 = "X")*$U$3,--(B835:U836 ="A")*$Q$3,--(B835:U836 ="B")*$R$3,--(B835:U836 ="C")*$S$3),"")</f>
        <v>16.5</v>
      </c>
      <c r="AF835" s="142" t="s">
        <v>7734</v>
      </c>
      <c r="AG835" s="142" t="s">
        <v>2705</v>
      </c>
      <c r="AH835" s="142" t="s">
        <v>2398</v>
      </c>
      <c r="AI835" s="142" t="s">
        <v>2705</v>
      </c>
      <c r="AJ835" s="142" t="s">
        <v>2398</v>
      </c>
      <c r="AK835" s="142" t="s">
        <v>1435</v>
      </c>
      <c r="AL835" s="142" t="s">
        <v>2705</v>
      </c>
      <c r="AM835" s="142" t="s">
        <v>2705</v>
      </c>
      <c r="AN835" s="142" t="s">
        <v>2398</v>
      </c>
      <c r="AO835" s="142" t="s">
        <v>2705</v>
      </c>
      <c r="AP835" s="142" t="s">
        <v>1435</v>
      </c>
      <c r="AQ835" s="142" t="s">
        <v>2705</v>
      </c>
      <c r="AR835" s="142" t="s">
        <v>2398</v>
      </c>
      <c r="AS835" s="142" t="s">
        <v>2675</v>
      </c>
      <c r="AT835" s="142" t="s">
        <v>2398</v>
      </c>
      <c r="AU835" s="142" t="s">
        <v>2705</v>
      </c>
      <c r="AV835" s="142" t="s">
        <v>2398</v>
      </c>
      <c r="AW835" s="142" t="s">
        <v>2398</v>
      </c>
      <c r="AX835" s="142" t="s">
        <v>2398</v>
      </c>
      <c r="AY835" s="142" t="s">
        <v>2705</v>
      </c>
      <c r="AZ835" s="142" t="s">
        <v>2675</v>
      </c>
    </row>
    <row r="836" spans="1:52" s="142" customFormat="1" ht="12.75" x14ac:dyDescent="0.2">
      <c r="A836" s="151"/>
      <c r="B836" s="152" t="s">
        <v>2398</v>
      </c>
      <c r="C836" s="152" t="s">
        <v>2705</v>
      </c>
      <c r="D836" s="152" t="s">
        <v>2705</v>
      </c>
      <c r="E836" s="152" t="s">
        <v>2705</v>
      </c>
      <c r="F836" s="152" t="s">
        <v>2398</v>
      </c>
      <c r="G836" s="152" t="s">
        <v>2705</v>
      </c>
      <c r="H836" s="152" t="s">
        <v>2398</v>
      </c>
      <c r="I836" s="152" t="s">
        <v>2705</v>
      </c>
      <c r="J836" s="152" t="s">
        <v>2705</v>
      </c>
      <c r="K836" s="152" t="s">
        <v>2675</v>
      </c>
      <c r="L836" s="152" t="s">
        <v>2398</v>
      </c>
      <c r="M836" s="152" t="s">
        <v>2398</v>
      </c>
      <c r="N836" s="152" t="s">
        <v>2398</v>
      </c>
      <c r="O836" s="152" t="s">
        <v>2705</v>
      </c>
      <c r="P836" s="152" t="s">
        <v>2705</v>
      </c>
      <c r="Q836" s="152" t="s">
        <v>2398</v>
      </c>
      <c r="R836" s="152" t="s">
        <v>2705</v>
      </c>
      <c r="S836" s="152" t="s">
        <v>2705</v>
      </c>
      <c r="T836" s="152" t="s">
        <v>2398</v>
      </c>
      <c r="U836" s="152" t="s">
        <v>2705</v>
      </c>
      <c r="V836" s="142" t="str" cm="1">
        <f t="array" ref="V836">IF(A836&lt;&gt;"",SUM(--(B836:U837 = "X")*$U$3,--(B836:U837 ="A")*$Q$3,--(B836:U837 ="B")*$R$3,--(B836:U837 ="C")*$S$3),"")</f>
        <v/>
      </c>
      <c r="AG836" s="142" t="s">
        <v>2398</v>
      </c>
      <c r="AH836" s="142" t="s">
        <v>2705</v>
      </c>
      <c r="AI836" s="142" t="s">
        <v>2705</v>
      </c>
      <c r="AJ836" s="142" t="s">
        <v>2705</v>
      </c>
      <c r="AK836" s="142" t="s">
        <v>2398</v>
      </c>
      <c r="AL836" s="142" t="s">
        <v>2705</v>
      </c>
      <c r="AM836" s="142" t="s">
        <v>2398</v>
      </c>
      <c r="AN836" s="142" t="s">
        <v>2705</v>
      </c>
      <c r="AO836" s="142" t="s">
        <v>2705</v>
      </c>
      <c r="AP836" s="142" t="s">
        <v>2675</v>
      </c>
      <c r="AQ836" s="142" t="s">
        <v>2398</v>
      </c>
      <c r="AR836" s="142" t="s">
        <v>2398</v>
      </c>
      <c r="AS836" s="142" t="s">
        <v>2398</v>
      </c>
      <c r="AT836" s="142" t="s">
        <v>2705</v>
      </c>
      <c r="AU836" s="142" t="s">
        <v>2705</v>
      </c>
      <c r="AV836" s="142" t="s">
        <v>2398</v>
      </c>
      <c r="AW836" s="142" t="s">
        <v>2705</v>
      </c>
      <c r="AX836" s="142" t="s">
        <v>2705</v>
      </c>
      <c r="AY836" s="142" t="s">
        <v>2398</v>
      </c>
      <c r="AZ836" s="142" t="s">
        <v>2705</v>
      </c>
    </row>
    <row r="837" spans="1:52" s="142" customFormat="1" ht="12.75" x14ac:dyDescent="0.2">
      <c r="A837" s="151" t="s">
        <v>7735</v>
      </c>
      <c r="B837" s="152" t="s">
        <v>2705</v>
      </c>
      <c r="C837" s="152" t="s">
        <v>2705</v>
      </c>
      <c r="D837" s="152" t="s">
        <v>2675</v>
      </c>
      <c r="E837" s="152" t="s">
        <v>2705</v>
      </c>
      <c r="F837" s="152" t="s">
        <v>2705</v>
      </c>
      <c r="G837" s="152" t="s">
        <v>2705</v>
      </c>
      <c r="H837" s="152" t="s">
        <v>2705</v>
      </c>
      <c r="I837" s="152" t="s">
        <v>2705</v>
      </c>
      <c r="J837" s="152" t="s">
        <v>2705</v>
      </c>
      <c r="K837" s="152" t="s">
        <v>1435</v>
      </c>
      <c r="L837" s="152" t="s">
        <v>2705</v>
      </c>
      <c r="M837" s="152" t="s">
        <v>2705</v>
      </c>
      <c r="N837" s="152" t="s">
        <v>2398</v>
      </c>
      <c r="O837" s="152" t="s">
        <v>2705</v>
      </c>
      <c r="P837" s="152" t="s">
        <v>2705</v>
      </c>
      <c r="Q837" s="152" t="s">
        <v>2705</v>
      </c>
      <c r="R837" s="152" t="s">
        <v>2675</v>
      </c>
      <c r="S837" s="152" t="s">
        <v>2398</v>
      </c>
      <c r="T837" s="152" t="s">
        <v>2705</v>
      </c>
      <c r="U837" s="152" t="s">
        <v>2705</v>
      </c>
      <c r="V837" s="142" cm="1">
        <f t="array" ref="V837">IF(A837&lt;&gt;"",SUM(--(B837:U838 = "X")*$U$3,--(B837:U838 ="A")*$Q$3,--(B837:U838 ="B")*$R$3,--(B837:U838 ="C")*$S$3),"")</f>
        <v>25</v>
      </c>
      <c r="AF837" s="142" t="s">
        <v>7735</v>
      </c>
      <c r="AG837" s="142" t="s">
        <v>2705</v>
      </c>
      <c r="AH837" s="142" t="s">
        <v>2705</v>
      </c>
      <c r="AI837" s="142" t="s">
        <v>2675</v>
      </c>
      <c r="AJ837" s="142" t="s">
        <v>2705</v>
      </c>
      <c r="AK837" s="142" t="s">
        <v>2705</v>
      </c>
      <c r="AL837" s="142" t="s">
        <v>2705</v>
      </c>
      <c r="AM837" s="142" t="s">
        <v>2705</v>
      </c>
      <c r="AN837" s="142" t="s">
        <v>2705</v>
      </c>
      <c r="AO837" s="142" t="s">
        <v>2705</v>
      </c>
      <c r="AP837" s="142" t="s">
        <v>1435</v>
      </c>
      <c r="AQ837" s="142" t="s">
        <v>2705</v>
      </c>
      <c r="AR837" s="142" t="s">
        <v>2705</v>
      </c>
      <c r="AS837" s="142" t="s">
        <v>2398</v>
      </c>
      <c r="AT837" s="142" t="s">
        <v>2705</v>
      </c>
      <c r="AU837" s="142" t="s">
        <v>2705</v>
      </c>
      <c r="AV837" s="142" t="s">
        <v>2705</v>
      </c>
      <c r="AW837" s="142" t="s">
        <v>2675</v>
      </c>
      <c r="AX837" s="142" t="s">
        <v>2398</v>
      </c>
      <c r="AY837" s="142" t="s">
        <v>2705</v>
      </c>
      <c r="AZ837" s="142" t="s">
        <v>2705</v>
      </c>
    </row>
    <row r="838" spans="1:52" s="142" customFormat="1" ht="12.75" x14ac:dyDescent="0.2">
      <c r="A838" s="151"/>
      <c r="B838" s="152" t="s">
        <v>2398</v>
      </c>
      <c r="C838" s="152" t="s">
        <v>2398</v>
      </c>
      <c r="D838" s="152" t="s">
        <v>2705</v>
      </c>
      <c r="E838" s="152" t="s">
        <v>2705</v>
      </c>
      <c r="F838" s="152" t="s">
        <v>2398</v>
      </c>
      <c r="G838" s="152" t="s">
        <v>2675</v>
      </c>
      <c r="H838" s="152" t="s">
        <v>2705</v>
      </c>
      <c r="I838" s="152" t="s">
        <v>2705</v>
      </c>
      <c r="J838" s="152" t="s">
        <v>2705</v>
      </c>
      <c r="K838" s="152" t="s">
        <v>2398</v>
      </c>
      <c r="L838" s="152" t="s">
        <v>2705</v>
      </c>
      <c r="M838" s="152" t="s">
        <v>2705</v>
      </c>
      <c r="N838" s="152" t="s">
        <v>2705</v>
      </c>
      <c r="O838" s="152" t="s">
        <v>2705</v>
      </c>
      <c r="P838" s="152" t="s">
        <v>2705</v>
      </c>
      <c r="Q838" s="152" t="s">
        <v>2398</v>
      </c>
      <c r="R838" s="152" t="s">
        <v>2705</v>
      </c>
      <c r="S838" s="152" t="s">
        <v>2705</v>
      </c>
      <c r="T838" s="152" t="s">
        <v>2398</v>
      </c>
      <c r="U838" s="152" t="s">
        <v>2398</v>
      </c>
      <c r="V838" s="142" t="str" cm="1">
        <f t="array" ref="V838">IF(A838&lt;&gt;"",SUM(--(B838:U839 = "X")*$U$3,--(B838:U839 ="A")*$Q$3,--(B838:U839 ="B")*$R$3,--(B838:U839 ="C")*$S$3),"")</f>
        <v/>
      </c>
      <c r="AG838" s="142" t="s">
        <v>2398</v>
      </c>
      <c r="AH838" s="142" t="s">
        <v>2398</v>
      </c>
      <c r="AI838" s="142" t="s">
        <v>2705</v>
      </c>
      <c r="AJ838" s="142" t="s">
        <v>2705</v>
      </c>
      <c r="AK838" s="142" t="s">
        <v>2398</v>
      </c>
      <c r="AL838" s="142" t="s">
        <v>2675</v>
      </c>
      <c r="AM838" s="142" t="s">
        <v>2705</v>
      </c>
      <c r="AN838" s="142" t="s">
        <v>2705</v>
      </c>
      <c r="AO838" s="142" t="s">
        <v>2705</v>
      </c>
      <c r="AP838" s="142" t="s">
        <v>2398</v>
      </c>
      <c r="AQ838" s="142" t="s">
        <v>2705</v>
      </c>
      <c r="AR838" s="142" t="s">
        <v>2705</v>
      </c>
      <c r="AS838" s="142" t="s">
        <v>2705</v>
      </c>
      <c r="AT838" s="142" t="s">
        <v>2705</v>
      </c>
      <c r="AU838" s="142" t="s">
        <v>2705</v>
      </c>
      <c r="AV838" s="142" t="s">
        <v>2398</v>
      </c>
      <c r="AW838" s="142" t="s">
        <v>2705</v>
      </c>
      <c r="AX838" s="142" t="s">
        <v>2705</v>
      </c>
      <c r="AY838" s="142" t="s">
        <v>2398</v>
      </c>
      <c r="AZ838" s="142" t="s">
        <v>2398</v>
      </c>
    </row>
    <row r="839" spans="1:52" s="142" customFormat="1" ht="12.75" x14ac:dyDescent="0.2">
      <c r="A839" s="151" t="s">
        <v>7736</v>
      </c>
      <c r="B839" s="152" t="s">
        <v>2705</v>
      </c>
      <c r="C839" s="152" t="s">
        <v>2705</v>
      </c>
      <c r="D839" s="152" t="s">
        <v>2398</v>
      </c>
      <c r="E839" s="152" t="s">
        <v>2705</v>
      </c>
      <c r="F839" s="152" t="s">
        <v>2705</v>
      </c>
      <c r="G839" s="152" t="s">
        <v>2705</v>
      </c>
      <c r="H839" s="152" t="s">
        <v>2398</v>
      </c>
      <c r="I839" s="152" t="s">
        <v>2398</v>
      </c>
      <c r="J839" s="152" t="s">
        <v>2398</v>
      </c>
      <c r="K839" s="152" t="s">
        <v>2705</v>
      </c>
      <c r="L839" s="152" t="s">
        <v>2398</v>
      </c>
      <c r="M839" s="152" t="s">
        <v>2705</v>
      </c>
      <c r="N839" s="152" t="s">
        <v>2705</v>
      </c>
      <c r="O839" s="152" t="s">
        <v>2398</v>
      </c>
      <c r="P839" s="152" t="s">
        <v>2398</v>
      </c>
      <c r="Q839" s="152" t="s">
        <v>2675</v>
      </c>
      <c r="R839" s="152" t="s">
        <v>2398</v>
      </c>
      <c r="S839" s="152" t="s">
        <v>2398</v>
      </c>
      <c r="T839" s="152" t="s">
        <v>2705</v>
      </c>
      <c r="U839" s="152" t="s">
        <v>2398</v>
      </c>
      <c r="V839" s="142" cm="1">
        <f t="array" ref="V839">IF(A839&lt;&gt;"",SUM(--(B839:U840 = "X")*$U$3,--(B839:U840 ="A")*$Q$3,--(B839:U840 ="B")*$R$3,--(B839:U840 ="C")*$S$3),"")</f>
        <v>21.5</v>
      </c>
      <c r="AF839" s="142" t="s">
        <v>7736</v>
      </c>
      <c r="AG839" s="142" t="s">
        <v>2705</v>
      </c>
      <c r="AH839" s="142" t="s">
        <v>2705</v>
      </c>
      <c r="AI839" s="142" t="s">
        <v>2398</v>
      </c>
      <c r="AJ839" s="142" t="s">
        <v>2705</v>
      </c>
      <c r="AK839" s="142" t="s">
        <v>2705</v>
      </c>
      <c r="AL839" s="142" t="s">
        <v>2705</v>
      </c>
      <c r="AM839" s="142" t="s">
        <v>2398</v>
      </c>
      <c r="AN839" s="142" t="s">
        <v>2398</v>
      </c>
      <c r="AO839" s="142" t="s">
        <v>2398</v>
      </c>
      <c r="AP839" s="142" t="s">
        <v>2705</v>
      </c>
      <c r="AQ839" s="142" t="s">
        <v>2398</v>
      </c>
      <c r="AR839" s="142" t="s">
        <v>2705</v>
      </c>
      <c r="AS839" s="142" t="s">
        <v>2705</v>
      </c>
      <c r="AT839" s="142" t="s">
        <v>2398</v>
      </c>
      <c r="AU839" s="142" t="s">
        <v>2398</v>
      </c>
      <c r="AV839" s="142" t="s">
        <v>2675</v>
      </c>
      <c r="AW839" s="142" t="s">
        <v>2398</v>
      </c>
      <c r="AX839" s="142" t="s">
        <v>2398</v>
      </c>
      <c r="AY839" s="142" t="s">
        <v>2705</v>
      </c>
      <c r="AZ839" s="142" t="s">
        <v>2398</v>
      </c>
    </row>
    <row r="840" spans="1:52" s="142" customFormat="1" ht="12.75" x14ac:dyDescent="0.2">
      <c r="A840" s="151"/>
      <c r="B840" s="152" t="s">
        <v>2705</v>
      </c>
      <c r="C840" s="152" t="s">
        <v>2705</v>
      </c>
      <c r="D840" s="152" t="s">
        <v>2397</v>
      </c>
      <c r="E840" s="152" t="s">
        <v>2675</v>
      </c>
      <c r="F840" s="152" t="s">
        <v>2705</v>
      </c>
      <c r="G840" s="152" t="s">
        <v>2398</v>
      </c>
      <c r="H840" s="152" t="s">
        <v>2705</v>
      </c>
      <c r="I840" s="152" t="s">
        <v>2705</v>
      </c>
      <c r="J840" s="152" t="s">
        <v>2705</v>
      </c>
      <c r="K840" s="152" t="s">
        <v>2705</v>
      </c>
      <c r="L840" s="152" t="s">
        <v>2398</v>
      </c>
      <c r="M840" s="152" t="s">
        <v>2705</v>
      </c>
      <c r="N840" s="152" t="s">
        <v>2705</v>
      </c>
      <c r="O840" s="152" t="s">
        <v>2705</v>
      </c>
      <c r="P840" s="152" t="s">
        <v>2705</v>
      </c>
      <c r="Q840" s="152" t="s">
        <v>2705</v>
      </c>
      <c r="R840" s="152" t="s">
        <v>2398</v>
      </c>
      <c r="S840" s="152" t="s">
        <v>2675</v>
      </c>
      <c r="T840" s="152" t="s">
        <v>2705</v>
      </c>
      <c r="U840" s="152" t="s">
        <v>2705</v>
      </c>
      <c r="V840" s="142" t="str" cm="1">
        <f t="array" ref="V840">IF(A840&lt;&gt;"",SUM(--(B840:U841 = "X")*$U$3,--(B840:U841 ="A")*$Q$3,--(B840:U841 ="B")*$R$3,--(B840:U841 ="C")*$S$3),"")</f>
        <v/>
      </c>
      <c r="AG840" s="142" t="s">
        <v>2705</v>
      </c>
      <c r="AH840" s="142" t="s">
        <v>2705</v>
      </c>
      <c r="AI840" s="142" t="s">
        <v>2397</v>
      </c>
      <c r="AJ840" s="142" t="s">
        <v>2675</v>
      </c>
      <c r="AK840" s="142" t="s">
        <v>2705</v>
      </c>
      <c r="AL840" s="142" t="s">
        <v>2398</v>
      </c>
      <c r="AM840" s="142" t="s">
        <v>2705</v>
      </c>
      <c r="AN840" s="142" t="s">
        <v>2705</v>
      </c>
      <c r="AO840" s="142" t="s">
        <v>2705</v>
      </c>
      <c r="AP840" s="142" t="s">
        <v>2705</v>
      </c>
      <c r="AQ840" s="142" t="s">
        <v>2398</v>
      </c>
      <c r="AR840" s="142" t="s">
        <v>2705</v>
      </c>
      <c r="AS840" s="142" t="s">
        <v>2705</v>
      </c>
      <c r="AT840" s="142" t="s">
        <v>2705</v>
      </c>
      <c r="AU840" s="142" t="s">
        <v>2705</v>
      </c>
      <c r="AV840" s="142" t="s">
        <v>2705</v>
      </c>
      <c r="AW840" s="142" t="s">
        <v>2398</v>
      </c>
      <c r="AX840" s="142" t="s">
        <v>2675</v>
      </c>
      <c r="AY840" s="142" t="s">
        <v>2705</v>
      </c>
      <c r="AZ840" s="142" t="s">
        <v>2705</v>
      </c>
    </row>
    <row r="841" spans="1:52" s="142" customFormat="1" ht="12.75" x14ac:dyDescent="0.2">
      <c r="A841" s="151" t="s">
        <v>7737</v>
      </c>
      <c r="B841" s="152" t="s">
        <v>2705</v>
      </c>
      <c r="C841" s="152" t="s">
        <v>2398</v>
      </c>
      <c r="D841" s="152" t="s">
        <v>2705</v>
      </c>
      <c r="E841" s="152" t="s">
        <v>2705</v>
      </c>
      <c r="F841" s="152" t="s">
        <v>2705</v>
      </c>
      <c r="G841" s="152" t="s">
        <v>2705</v>
      </c>
      <c r="H841" s="152" t="s">
        <v>2705</v>
      </c>
      <c r="I841" s="152" t="s">
        <v>2705</v>
      </c>
      <c r="J841" s="152" t="s">
        <v>2398</v>
      </c>
      <c r="K841" s="152" t="s">
        <v>2705</v>
      </c>
      <c r="L841" s="152" t="s">
        <v>2705</v>
      </c>
      <c r="M841" s="152" t="s">
        <v>2705</v>
      </c>
      <c r="N841" s="152" t="s">
        <v>2705</v>
      </c>
      <c r="O841" s="152" t="s">
        <v>2705</v>
      </c>
      <c r="P841" s="152" t="s">
        <v>2705</v>
      </c>
      <c r="Q841" s="152" t="s">
        <v>1435</v>
      </c>
      <c r="R841" s="152" t="s">
        <v>2398</v>
      </c>
      <c r="S841" s="152" t="s">
        <v>2398</v>
      </c>
      <c r="T841" s="152" t="s">
        <v>2705</v>
      </c>
      <c r="U841" s="152" t="s">
        <v>2705</v>
      </c>
      <c r="V841" s="142" cm="1">
        <f t="array" ref="V841">IF(A841&lt;&gt;"",SUM(--(B841:U842 = "X")*$U$3,--(B841:U842 ="A")*$Q$3,--(B841:U842 ="B")*$R$3,--(B841:U842 ="C")*$S$3),"")</f>
        <v>23</v>
      </c>
      <c r="AF841" s="142" t="s">
        <v>7737</v>
      </c>
      <c r="AG841" s="142" t="s">
        <v>2705</v>
      </c>
      <c r="AH841" s="142" t="s">
        <v>2398</v>
      </c>
      <c r="AI841" s="142" t="s">
        <v>2705</v>
      </c>
      <c r="AJ841" s="142" t="s">
        <v>2705</v>
      </c>
      <c r="AK841" s="142" t="s">
        <v>2705</v>
      </c>
      <c r="AL841" s="142" t="s">
        <v>2705</v>
      </c>
      <c r="AM841" s="142" t="s">
        <v>2705</v>
      </c>
      <c r="AN841" s="142" t="s">
        <v>2705</v>
      </c>
      <c r="AO841" s="142" t="s">
        <v>2398</v>
      </c>
      <c r="AP841" s="142" t="s">
        <v>2705</v>
      </c>
      <c r="AQ841" s="142" t="s">
        <v>2705</v>
      </c>
      <c r="AR841" s="142" t="s">
        <v>2705</v>
      </c>
      <c r="AS841" s="142" t="s">
        <v>2705</v>
      </c>
      <c r="AT841" s="142" t="s">
        <v>2705</v>
      </c>
      <c r="AU841" s="142" t="s">
        <v>2705</v>
      </c>
      <c r="AV841" s="142" t="s">
        <v>1435</v>
      </c>
      <c r="AW841" s="142" t="s">
        <v>2398</v>
      </c>
      <c r="AX841" s="142" t="s">
        <v>2398</v>
      </c>
      <c r="AY841" s="142" t="s">
        <v>2705</v>
      </c>
      <c r="AZ841" s="142" t="s">
        <v>2705</v>
      </c>
    </row>
    <row r="842" spans="1:52" s="142" customFormat="1" ht="12.75" x14ac:dyDescent="0.2">
      <c r="A842" s="151"/>
      <c r="B842" s="152" t="s">
        <v>2398</v>
      </c>
      <c r="C842" s="152" t="s">
        <v>2705</v>
      </c>
      <c r="D842" s="152" t="s">
        <v>2705</v>
      </c>
      <c r="E842" s="152" t="s">
        <v>2398</v>
      </c>
      <c r="F842" s="152" t="s">
        <v>2705</v>
      </c>
      <c r="G842" s="152" t="s">
        <v>2398</v>
      </c>
      <c r="H842" s="152" t="s">
        <v>2675</v>
      </c>
      <c r="I842" s="152" t="s">
        <v>2705</v>
      </c>
      <c r="J842" s="152" t="s">
        <v>2675</v>
      </c>
      <c r="K842" s="152" t="s">
        <v>2675</v>
      </c>
      <c r="L842" s="152" t="s">
        <v>2705</v>
      </c>
      <c r="M842" s="152" t="s">
        <v>2398</v>
      </c>
      <c r="N842" s="152" t="s">
        <v>2705</v>
      </c>
      <c r="O842" s="152" t="s">
        <v>2705</v>
      </c>
      <c r="P842" s="152" t="s">
        <v>2398</v>
      </c>
      <c r="Q842" s="152" t="s">
        <v>2398</v>
      </c>
      <c r="R842" s="152" t="s">
        <v>2705</v>
      </c>
      <c r="S842" s="152" t="s">
        <v>2705</v>
      </c>
      <c r="T842" s="152" t="s">
        <v>2398</v>
      </c>
      <c r="U842" s="152" t="s">
        <v>2705</v>
      </c>
      <c r="V842" s="142" t="str" cm="1">
        <f t="array" ref="V842">IF(A842&lt;&gt;"",SUM(--(B842:U843 = "X")*$U$3,--(B842:U843 ="A")*$Q$3,--(B842:U843 ="B")*$R$3,--(B842:U843 ="C")*$S$3),"")</f>
        <v/>
      </c>
      <c r="AG842" s="142" t="s">
        <v>2398</v>
      </c>
      <c r="AH842" s="142" t="s">
        <v>2705</v>
      </c>
      <c r="AI842" s="142" t="s">
        <v>2705</v>
      </c>
      <c r="AJ842" s="142" t="s">
        <v>2398</v>
      </c>
      <c r="AK842" s="142" t="s">
        <v>2705</v>
      </c>
      <c r="AL842" s="142" t="s">
        <v>2398</v>
      </c>
      <c r="AM842" s="142" t="s">
        <v>2675</v>
      </c>
      <c r="AN842" s="142" t="s">
        <v>2705</v>
      </c>
      <c r="AO842" s="142" t="s">
        <v>2675</v>
      </c>
      <c r="AP842" s="142" t="s">
        <v>2675</v>
      </c>
      <c r="AQ842" s="142" t="s">
        <v>2705</v>
      </c>
      <c r="AR842" s="142" t="s">
        <v>2398</v>
      </c>
      <c r="AS842" s="142" t="s">
        <v>2705</v>
      </c>
      <c r="AT842" s="142" t="s">
        <v>2705</v>
      </c>
      <c r="AU842" s="142" t="s">
        <v>2398</v>
      </c>
      <c r="AV842" s="142" t="s">
        <v>2398</v>
      </c>
      <c r="AW842" s="142" t="s">
        <v>2705</v>
      </c>
      <c r="AX842" s="142" t="s">
        <v>2705</v>
      </c>
      <c r="AY842" s="142" t="s">
        <v>2398</v>
      </c>
      <c r="AZ842" s="142" t="s">
        <v>2705</v>
      </c>
    </row>
    <row r="843" spans="1:52" s="142" customFormat="1" ht="12.75" x14ac:dyDescent="0.2">
      <c r="A843" s="151" t="s">
        <v>7738</v>
      </c>
      <c r="B843" s="152" t="s">
        <v>2705</v>
      </c>
      <c r="C843" s="152" t="s">
        <v>2398</v>
      </c>
      <c r="D843" s="152" t="s">
        <v>2705</v>
      </c>
      <c r="E843" s="152" t="s">
        <v>2398</v>
      </c>
      <c r="F843" s="152" t="s">
        <v>2705</v>
      </c>
      <c r="G843" s="152" t="s">
        <v>2705</v>
      </c>
      <c r="H843" s="152" t="s">
        <v>1435</v>
      </c>
      <c r="I843" s="152" t="s">
        <v>2705</v>
      </c>
      <c r="J843" s="152" t="s">
        <v>2705</v>
      </c>
      <c r="K843" s="152" t="s">
        <v>1435</v>
      </c>
      <c r="L843" s="152" t="s">
        <v>2705</v>
      </c>
      <c r="M843" s="152" t="s">
        <v>2398</v>
      </c>
      <c r="N843" s="152" t="s">
        <v>2705</v>
      </c>
      <c r="O843" s="152" t="s">
        <v>2398</v>
      </c>
      <c r="P843" s="152" t="s">
        <v>2398</v>
      </c>
      <c r="Q843" s="152" t="s">
        <v>2675</v>
      </c>
      <c r="R843" s="152" t="s">
        <v>2398</v>
      </c>
      <c r="S843" s="152" t="s">
        <v>2398</v>
      </c>
      <c r="T843" s="152" t="s">
        <v>2398</v>
      </c>
      <c r="U843" s="152" t="s">
        <v>2705</v>
      </c>
      <c r="V843" s="142" cm="1">
        <f t="array" ref="V843">IF(A843&lt;&gt;"",SUM(--(B843:U844 = "X")*$U$3,--(B843:U844 ="A")*$Q$3,--(B843:U844 ="B")*$R$3,--(B843:U844 ="C")*$S$3),"")</f>
        <v>21.5</v>
      </c>
      <c r="AF843" s="142" t="s">
        <v>7738</v>
      </c>
      <c r="AG843" s="142" t="s">
        <v>2705</v>
      </c>
      <c r="AH843" s="142" t="s">
        <v>2398</v>
      </c>
      <c r="AI843" s="142" t="s">
        <v>2705</v>
      </c>
      <c r="AJ843" s="142" t="s">
        <v>2398</v>
      </c>
      <c r="AK843" s="142" t="s">
        <v>2705</v>
      </c>
      <c r="AL843" s="142" t="s">
        <v>2705</v>
      </c>
      <c r="AM843" s="142" t="s">
        <v>1435</v>
      </c>
      <c r="AN843" s="142" t="s">
        <v>2705</v>
      </c>
      <c r="AO843" s="142" t="s">
        <v>2705</v>
      </c>
      <c r="AP843" s="142" t="s">
        <v>1435</v>
      </c>
      <c r="AQ843" s="142" t="s">
        <v>2705</v>
      </c>
      <c r="AR843" s="142" t="s">
        <v>2398</v>
      </c>
      <c r="AS843" s="142" t="s">
        <v>2705</v>
      </c>
      <c r="AT843" s="142" t="s">
        <v>2398</v>
      </c>
      <c r="AU843" s="142" t="s">
        <v>2398</v>
      </c>
      <c r="AV843" s="142" t="s">
        <v>2675</v>
      </c>
      <c r="AW843" s="142" t="s">
        <v>2398</v>
      </c>
      <c r="AX843" s="142" t="s">
        <v>2398</v>
      </c>
      <c r="AY843" s="142" t="s">
        <v>2398</v>
      </c>
      <c r="AZ843" s="142" t="s">
        <v>2705</v>
      </c>
    </row>
    <row r="844" spans="1:52" s="142" customFormat="1" ht="12.75" x14ac:dyDescent="0.2">
      <c r="A844" s="151"/>
      <c r="B844" s="152" t="s">
        <v>2398</v>
      </c>
      <c r="C844" s="152" t="s">
        <v>2705</v>
      </c>
      <c r="D844" s="152" t="s">
        <v>2705</v>
      </c>
      <c r="E844" s="152" t="s">
        <v>2705</v>
      </c>
      <c r="F844" s="152" t="s">
        <v>2705</v>
      </c>
      <c r="G844" s="152" t="s">
        <v>2705</v>
      </c>
      <c r="H844" s="152" t="s">
        <v>2705</v>
      </c>
      <c r="I844" s="152" t="s">
        <v>2705</v>
      </c>
      <c r="J844" s="152" t="s">
        <v>2705</v>
      </c>
      <c r="K844" s="152" t="s">
        <v>2705</v>
      </c>
      <c r="L844" s="152" t="s">
        <v>2398</v>
      </c>
      <c r="M844" s="152" t="s">
        <v>2398</v>
      </c>
      <c r="N844" s="152" t="s">
        <v>2705</v>
      </c>
      <c r="O844" s="152" t="s">
        <v>2705</v>
      </c>
      <c r="P844" s="152" t="s">
        <v>2705</v>
      </c>
      <c r="Q844" s="152" t="s">
        <v>2705</v>
      </c>
      <c r="R844" s="152" t="s">
        <v>1435</v>
      </c>
      <c r="S844" s="152" t="s">
        <v>2675</v>
      </c>
      <c r="T844" s="152" t="s">
        <v>2705</v>
      </c>
      <c r="U844" s="152" t="s">
        <v>2705</v>
      </c>
      <c r="V844" s="142" t="str" cm="1">
        <f t="array" ref="V844">IF(A844&lt;&gt;"",SUM(--(B844:U845 = "X")*$U$3,--(B844:U845 ="A")*$Q$3,--(B844:U845 ="B")*$R$3,--(B844:U845 ="C")*$S$3),"")</f>
        <v/>
      </c>
      <c r="AG844" s="142" t="s">
        <v>2398</v>
      </c>
      <c r="AH844" s="142" t="s">
        <v>2705</v>
      </c>
      <c r="AI844" s="142" t="s">
        <v>2705</v>
      </c>
      <c r="AJ844" s="142" t="s">
        <v>2705</v>
      </c>
      <c r="AK844" s="142" t="s">
        <v>2705</v>
      </c>
      <c r="AL844" s="142" t="s">
        <v>2705</v>
      </c>
      <c r="AM844" s="142" t="s">
        <v>2705</v>
      </c>
      <c r="AN844" s="142" t="s">
        <v>2705</v>
      </c>
      <c r="AO844" s="142" t="s">
        <v>2705</v>
      </c>
      <c r="AP844" s="142" t="s">
        <v>2705</v>
      </c>
      <c r="AQ844" s="142" t="s">
        <v>2398</v>
      </c>
      <c r="AR844" s="142" t="s">
        <v>2398</v>
      </c>
      <c r="AS844" s="142" t="s">
        <v>2705</v>
      </c>
      <c r="AT844" s="142" t="s">
        <v>2705</v>
      </c>
      <c r="AU844" s="142" t="s">
        <v>2705</v>
      </c>
      <c r="AV844" s="142" t="s">
        <v>2705</v>
      </c>
      <c r="AW844" s="142" t="s">
        <v>1435</v>
      </c>
      <c r="AX844" s="142" t="s">
        <v>2675</v>
      </c>
      <c r="AY844" s="142" t="s">
        <v>2705</v>
      </c>
      <c r="AZ844" s="142" t="s">
        <v>2705</v>
      </c>
    </row>
    <row r="845" spans="1:52" s="142" customFormat="1" ht="12.75" x14ac:dyDescent="0.2">
      <c r="A845" s="151" t="s">
        <v>7739</v>
      </c>
      <c r="B845" s="152" t="s">
        <v>2705</v>
      </c>
      <c r="C845" s="152" t="s">
        <v>2705</v>
      </c>
      <c r="D845" s="152" t="s">
        <v>2398</v>
      </c>
      <c r="E845" s="152" t="s">
        <v>2705</v>
      </c>
      <c r="F845" s="152" t="s">
        <v>2705</v>
      </c>
      <c r="G845" s="152" t="s">
        <v>2705</v>
      </c>
      <c r="H845" s="152" t="s">
        <v>2705</v>
      </c>
      <c r="I845" s="152" t="s">
        <v>2398</v>
      </c>
      <c r="J845" s="152" t="s">
        <v>2705</v>
      </c>
      <c r="K845" s="152" t="s">
        <v>2398</v>
      </c>
      <c r="L845" s="152" t="s">
        <v>2705</v>
      </c>
      <c r="M845" s="152" t="s">
        <v>2705</v>
      </c>
      <c r="N845" s="152" t="s">
        <v>2705</v>
      </c>
      <c r="O845" s="152" t="s">
        <v>2398</v>
      </c>
      <c r="P845" s="152" t="s">
        <v>2705</v>
      </c>
      <c r="Q845" s="152" t="s">
        <v>2705</v>
      </c>
      <c r="R845" s="152" t="s">
        <v>2398</v>
      </c>
      <c r="S845" s="152" t="s">
        <v>2705</v>
      </c>
      <c r="T845" s="152" t="s">
        <v>2705</v>
      </c>
      <c r="U845" s="152" t="s">
        <v>2398</v>
      </c>
      <c r="V845" s="142" cm="1">
        <f t="array" ref="V845">IF(A845&lt;&gt;"",SUM(--(B845:U846 = "X")*$U$3,--(B845:U846 ="A")*$Q$3,--(B845:U846 ="B")*$R$3,--(B845:U846 ="C")*$S$3),"")</f>
        <v>25</v>
      </c>
      <c r="AF845" s="142" t="s">
        <v>7739</v>
      </c>
      <c r="AG845" s="142" t="s">
        <v>2705</v>
      </c>
      <c r="AH845" s="142" t="s">
        <v>2705</v>
      </c>
      <c r="AI845" s="142" t="s">
        <v>2398</v>
      </c>
      <c r="AJ845" s="142" t="s">
        <v>2705</v>
      </c>
      <c r="AK845" s="142" t="s">
        <v>2705</v>
      </c>
      <c r="AL845" s="142" t="s">
        <v>2705</v>
      </c>
      <c r="AM845" s="142" t="s">
        <v>2705</v>
      </c>
      <c r="AN845" s="142" t="s">
        <v>2398</v>
      </c>
      <c r="AO845" s="142" t="s">
        <v>2705</v>
      </c>
      <c r="AP845" s="142" t="s">
        <v>2398</v>
      </c>
      <c r="AQ845" s="142" t="s">
        <v>2705</v>
      </c>
      <c r="AR845" s="142" t="s">
        <v>2705</v>
      </c>
      <c r="AS845" s="142" t="s">
        <v>2705</v>
      </c>
      <c r="AT845" s="142" t="s">
        <v>2398</v>
      </c>
      <c r="AU845" s="142" t="s">
        <v>2705</v>
      </c>
      <c r="AV845" s="142" t="s">
        <v>2705</v>
      </c>
      <c r="AW845" s="142" t="s">
        <v>2398</v>
      </c>
      <c r="AX845" s="142" t="s">
        <v>2705</v>
      </c>
      <c r="AY845" s="142" t="s">
        <v>2705</v>
      </c>
      <c r="AZ845" s="142" t="s">
        <v>2398</v>
      </c>
    </row>
    <row r="846" spans="1:52" s="142" customFormat="1" ht="12.75" x14ac:dyDescent="0.2">
      <c r="A846" s="151"/>
      <c r="B846" s="152" t="s">
        <v>2705</v>
      </c>
      <c r="C846" s="152" t="s">
        <v>2705</v>
      </c>
      <c r="D846" s="152" t="s">
        <v>2398</v>
      </c>
      <c r="E846" s="152" t="s">
        <v>2705</v>
      </c>
      <c r="F846" s="152" t="s">
        <v>2705</v>
      </c>
      <c r="G846" s="152" t="s">
        <v>2398</v>
      </c>
      <c r="H846" s="152" t="s">
        <v>2398</v>
      </c>
      <c r="I846" s="152" t="s">
        <v>2705</v>
      </c>
      <c r="J846" s="152" t="s">
        <v>2398</v>
      </c>
      <c r="K846" s="152" t="s">
        <v>2398</v>
      </c>
      <c r="L846" s="152" t="s">
        <v>2705</v>
      </c>
      <c r="M846" s="152" t="s">
        <v>2398</v>
      </c>
      <c r="N846" s="152" t="s">
        <v>2705</v>
      </c>
      <c r="O846" s="152" t="s">
        <v>2705</v>
      </c>
      <c r="P846" s="152" t="s">
        <v>2705</v>
      </c>
      <c r="Q846" s="152" t="s">
        <v>2705</v>
      </c>
      <c r="R846" s="152" t="s">
        <v>2398</v>
      </c>
      <c r="S846" s="152" t="s">
        <v>2398</v>
      </c>
      <c r="T846" s="152" t="s">
        <v>2398</v>
      </c>
      <c r="U846" s="152" t="s">
        <v>2705</v>
      </c>
      <c r="V846" s="142" t="str" cm="1">
        <f t="array" ref="V846">IF(A846&lt;&gt;"",SUM(--(B846:U847 = "X")*$U$3,--(B846:U847 ="A")*$Q$3,--(B846:U847 ="B")*$R$3,--(B846:U847 ="C")*$S$3),"")</f>
        <v/>
      </c>
      <c r="AG846" s="142" t="s">
        <v>2705</v>
      </c>
      <c r="AH846" s="142" t="s">
        <v>2705</v>
      </c>
      <c r="AI846" s="142" t="s">
        <v>2398</v>
      </c>
      <c r="AJ846" s="142" t="s">
        <v>2705</v>
      </c>
      <c r="AK846" s="142" t="s">
        <v>2705</v>
      </c>
      <c r="AL846" s="142" t="s">
        <v>2398</v>
      </c>
      <c r="AM846" s="142" t="s">
        <v>2398</v>
      </c>
      <c r="AN846" s="142" t="s">
        <v>2705</v>
      </c>
      <c r="AO846" s="142" t="s">
        <v>2398</v>
      </c>
      <c r="AP846" s="142" t="s">
        <v>2398</v>
      </c>
      <c r="AQ846" s="142" t="s">
        <v>2705</v>
      </c>
      <c r="AR846" s="142" t="s">
        <v>2398</v>
      </c>
      <c r="AS846" s="142" t="s">
        <v>2705</v>
      </c>
      <c r="AT846" s="142" t="s">
        <v>2705</v>
      </c>
      <c r="AU846" s="142" t="s">
        <v>2705</v>
      </c>
      <c r="AV846" s="142" t="s">
        <v>2705</v>
      </c>
      <c r="AW846" s="142" t="s">
        <v>2398</v>
      </c>
      <c r="AX846" s="142" t="s">
        <v>2398</v>
      </c>
      <c r="AY846" s="142" t="s">
        <v>2398</v>
      </c>
      <c r="AZ846" s="142" t="s">
        <v>2705</v>
      </c>
    </row>
    <row r="847" spans="1:52" s="142" customFormat="1" ht="12.75" x14ac:dyDescent="0.2">
      <c r="A847" s="151" t="s">
        <v>7740</v>
      </c>
      <c r="B847" s="152" t="s">
        <v>2705</v>
      </c>
      <c r="C847" s="152" t="s">
        <v>2705</v>
      </c>
      <c r="D847" s="152" t="s">
        <v>2398</v>
      </c>
      <c r="E847" s="152" t="s">
        <v>2705</v>
      </c>
      <c r="F847" s="152" t="s">
        <v>2398</v>
      </c>
      <c r="G847" s="152" t="s">
        <v>2705</v>
      </c>
      <c r="H847" s="152" t="s">
        <v>1435</v>
      </c>
      <c r="I847" s="152" t="s">
        <v>2398</v>
      </c>
      <c r="J847" s="152" t="s">
        <v>2705</v>
      </c>
      <c r="K847" s="152" t="s">
        <v>2705</v>
      </c>
      <c r="L847" s="152" t="s">
        <v>2705</v>
      </c>
      <c r="M847" s="152" t="s">
        <v>2398</v>
      </c>
      <c r="N847" s="152" t="s">
        <v>2705</v>
      </c>
      <c r="O847" s="152" t="s">
        <v>2705</v>
      </c>
      <c r="P847" s="152" t="s">
        <v>2705</v>
      </c>
      <c r="Q847" s="152" t="s">
        <v>2705</v>
      </c>
      <c r="R847" s="152" t="s">
        <v>2705</v>
      </c>
      <c r="S847" s="152" t="s">
        <v>2705</v>
      </c>
      <c r="T847" s="152" t="s">
        <v>2398</v>
      </c>
      <c r="U847" s="152" t="s">
        <v>2398</v>
      </c>
      <c r="V847" s="142" cm="1">
        <f t="array" ref="V847">IF(A847&lt;&gt;"",SUM(--(B847:U848 = "X")*$U$3,--(B847:U848 ="A")*$Q$3,--(B847:U848 ="B")*$R$3,--(B847:U848 ="C")*$S$3),"")</f>
        <v>22</v>
      </c>
      <c r="AF847" s="142" t="s">
        <v>7740</v>
      </c>
      <c r="AG847" s="142" t="s">
        <v>2705</v>
      </c>
      <c r="AH847" s="142" t="s">
        <v>2705</v>
      </c>
      <c r="AI847" s="142" t="s">
        <v>2398</v>
      </c>
      <c r="AJ847" s="142" t="s">
        <v>2705</v>
      </c>
      <c r="AK847" s="142" t="s">
        <v>2398</v>
      </c>
      <c r="AL847" s="142" t="s">
        <v>2705</v>
      </c>
      <c r="AM847" s="142" t="s">
        <v>1435</v>
      </c>
      <c r="AN847" s="142" t="s">
        <v>2398</v>
      </c>
      <c r="AO847" s="142" t="s">
        <v>2705</v>
      </c>
      <c r="AP847" s="142" t="s">
        <v>2705</v>
      </c>
      <c r="AQ847" s="142" t="s">
        <v>2705</v>
      </c>
      <c r="AR847" s="142" t="s">
        <v>2398</v>
      </c>
      <c r="AS847" s="142" t="s">
        <v>2705</v>
      </c>
      <c r="AT847" s="142" t="s">
        <v>2705</v>
      </c>
      <c r="AU847" s="142" t="s">
        <v>2705</v>
      </c>
      <c r="AV847" s="142" t="s">
        <v>2705</v>
      </c>
      <c r="AW847" s="142" t="s">
        <v>2705</v>
      </c>
      <c r="AX847" s="142" t="s">
        <v>2705</v>
      </c>
      <c r="AY847" s="142" t="s">
        <v>2398</v>
      </c>
      <c r="AZ847" s="142" t="s">
        <v>2398</v>
      </c>
    </row>
    <row r="848" spans="1:52" s="142" customFormat="1" ht="12.75" x14ac:dyDescent="0.2">
      <c r="A848" s="151"/>
      <c r="B848" s="152" t="s">
        <v>2705</v>
      </c>
      <c r="C848" s="152" t="s">
        <v>2675</v>
      </c>
      <c r="D848" s="152" t="s">
        <v>1435</v>
      </c>
      <c r="E848" s="152" t="s">
        <v>1435</v>
      </c>
      <c r="F848" s="152" t="s">
        <v>2705</v>
      </c>
      <c r="G848" s="152" t="s">
        <v>2705</v>
      </c>
      <c r="H848" s="152" t="s">
        <v>2705</v>
      </c>
      <c r="I848" s="152" t="s">
        <v>2705</v>
      </c>
      <c r="J848" s="152" t="s">
        <v>2675</v>
      </c>
      <c r="K848" s="152" t="s">
        <v>2705</v>
      </c>
      <c r="L848" s="152" t="s">
        <v>2705</v>
      </c>
      <c r="M848" s="152" t="s">
        <v>2705</v>
      </c>
      <c r="N848" s="152" t="s">
        <v>2705</v>
      </c>
      <c r="O848" s="152" t="s">
        <v>1435</v>
      </c>
      <c r="P848" s="152" t="s">
        <v>2705</v>
      </c>
      <c r="Q848" s="152" t="s">
        <v>1435</v>
      </c>
      <c r="R848" s="152" t="s">
        <v>1435</v>
      </c>
      <c r="S848" s="152" t="s">
        <v>2705</v>
      </c>
      <c r="T848" s="152" t="s">
        <v>2705</v>
      </c>
      <c r="U848" s="152" t="s">
        <v>2705</v>
      </c>
      <c r="V848" s="142" t="str" cm="1">
        <f t="array" ref="V848">IF(A848&lt;&gt;"",SUM(--(B848:U849 = "X")*$U$3,--(B848:U849 ="A")*$Q$3,--(B848:U849 ="B")*$R$3,--(B848:U849 ="C")*$S$3),"")</f>
        <v/>
      </c>
      <c r="AG848" s="142" t="s">
        <v>2705</v>
      </c>
      <c r="AH848" s="142" t="s">
        <v>2675</v>
      </c>
      <c r="AI848" s="142" t="s">
        <v>1435</v>
      </c>
      <c r="AJ848" s="142" t="s">
        <v>1435</v>
      </c>
      <c r="AK848" s="142" t="s">
        <v>2705</v>
      </c>
      <c r="AL848" s="142" t="s">
        <v>2705</v>
      </c>
      <c r="AM848" s="142" t="s">
        <v>2705</v>
      </c>
      <c r="AN848" s="142" t="s">
        <v>2705</v>
      </c>
      <c r="AO848" s="142" t="s">
        <v>2675</v>
      </c>
      <c r="AP848" s="142" t="s">
        <v>2705</v>
      </c>
      <c r="AQ848" s="142" t="s">
        <v>2705</v>
      </c>
      <c r="AR848" s="142" t="s">
        <v>2705</v>
      </c>
      <c r="AS848" s="142" t="s">
        <v>2705</v>
      </c>
      <c r="AT848" s="142" t="s">
        <v>1435</v>
      </c>
      <c r="AU848" s="142" t="s">
        <v>2705</v>
      </c>
      <c r="AV848" s="142" t="s">
        <v>1435</v>
      </c>
      <c r="AW848" s="142" t="s">
        <v>1435</v>
      </c>
      <c r="AX848" s="142" t="s">
        <v>2705</v>
      </c>
      <c r="AY848" s="142" t="s">
        <v>2705</v>
      </c>
      <c r="AZ848" s="142" t="s">
        <v>2705</v>
      </c>
    </row>
    <row r="849" spans="1:52" s="142" customFormat="1" ht="12.75" x14ac:dyDescent="0.2">
      <c r="A849" s="151" t="s">
        <v>7741</v>
      </c>
      <c r="B849" s="152" t="s">
        <v>2398</v>
      </c>
      <c r="C849" s="152" t="s">
        <v>2398</v>
      </c>
      <c r="D849" s="152" t="s">
        <v>2705</v>
      </c>
      <c r="E849" s="152" t="s">
        <v>2398</v>
      </c>
      <c r="F849" s="152" t="s">
        <v>2398</v>
      </c>
      <c r="G849" s="152" t="s">
        <v>2705</v>
      </c>
      <c r="H849" s="152" t="s">
        <v>2705</v>
      </c>
      <c r="I849" s="152" t="s">
        <v>2398</v>
      </c>
      <c r="J849" s="152" t="s">
        <v>2705</v>
      </c>
      <c r="K849" s="152" t="s">
        <v>2705</v>
      </c>
      <c r="L849" s="152" t="s">
        <v>2705</v>
      </c>
      <c r="M849" s="152" t="s">
        <v>2398</v>
      </c>
      <c r="N849" s="152" t="s">
        <v>2705</v>
      </c>
      <c r="O849" s="152" t="s">
        <v>2705</v>
      </c>
      <c r="P849" s="152" t="s">
        <v>2705</v>
      </c>
      <c r="Q849" s="152" t="s">
        <v>2398</v>
      </c>
      <c r="R849" s="152" t="s">
        <v>2398</v>
      </c>
      <c r="S849" s="152" t="s">
        <v>2705</v>
      </c>
      <c r="T849" s="152" t="s">
        <v>2398</v>
      </c>
      <c r="U849" s="152" t="s">
        <v>2398</v>
      </c>
      <c r="V849" s="142" cm="1">
        <f t="array" ref="V849">IF(A849&lt;&gt;"",SUM(--(B849:U850 = "X")*$U$3,--(B849:U850 ="A")*$Q$3,--(B849:U850 ="B")*$R$3,--(B849:U850 ="C")*$S$3),"")</f>
        <v>22</v>
      </c>
      <c r="AF849" s="142" t="s">
        <v>7741</v>
      </c>
      <c r="AG849" s="142" t="s">
        <v>2398</v>
      </c>
      <c r="AH849" s="142" t="s">
        <v>2398</v>
      </c>
      <c r="AI849" s="142" t="s">
        <v>2705</v>
      </c>
      <c r="AJ849" s="142" t="s">
        <v>2398</v>
      </c>
      <c r="AK849" s="142" t="s">
        <v>2398</v>
      </c>
      <c r="AL849" s="142" t="s">
        <v>2705</v>
      </c>
      <c r="AM849" s="142" t="s">
        <v>2705</v>
      </c>
      <c r="AN849" s="142" t="s">
        <v>2398</v>
      </c>
      <c r="AO849" s="142" t="s">
        <v>2705</v>
      </c>
      <c r="AP849" s="142" t="s">
        <v>2705</v>
      </c>
      <c r="AQ849" s="142" t="s">
        <v>2705</v>
      </c>
      <c r="AR849" s="142" t="s">
        <v>2398</v>
      </c>
      <c r="AS849" s="142" t="s">
        <v>2705</v>
      </c>
      <c r="AT849" s="142" t="s">
        <v>2705</v>
      </c>
      <c r="AU849" s="142" t="s">
        <v>2705</v>
      </c>
      <c r="AV849" s="142" t="s">
        <v>2398</v>
      </c>
      <c r="AW849" s="142" t="s">
        <v>2398</v>
      </c>
      <c r="AX849" s="142" t="s">
        <v>2705</v>
      </c>
      <c r="AY849" s="142" t="s">
        <v>2398</v>
      </c>
      <c r="AZ849" s="142" t="s">
        <v>2398</v>
      </c>
    </row>
    <row r="850" spans="1:52" s="142" customFormat="1" ht="12.75" x14ac:dyDescent="0.2">
      <c r="A850" s="151"/>
      <c r="B850" s="152" t="s">
        <v>2705</v>
      </c>
      <c r="C850" s="152" t="s">
        <v>1435</v>
      </c>
      <c r="D850" s="152" t="s">
        <v>2705</v>
      </c>
      <c r="E850" s="152" t="s">
        <v>2705</v>
      </c>
      <c r="F850" s="152" t="s">
        <v>2705</v>
      </c>
      <c r="G850" s="152" t="s">
        <v>2398</v>
      </c>
      <c r="H850" s="152" t="s">
        <v>2675</v>
      </c>
      <c r="I850" s="152" t="s">
        <v>2705</v>
      </c>
      <c r="J850" s="152" t="s">
        <v>2705</v>
      </c>
      <c r="K850" s="152" t="s">
        <v>2398</v>
      </c>
      <c r="L850" s="152" t="s">
        <v>2398</v>
      </c>
      <c r="M850" s="152" t="s">
        <v>2705</v>
      </c>
      <c r="N850" s="152" t="s">
        <v>2705</v>
      </c>
      <c r="O850" s="152" t="s">
        <v>2705</v>
      </c>
      <c r="P850" s="152" t="s">
        <v>2705</v>
      </c>
      <c r="Q850" s="152" t="s">
        <v>2705</v>
      </c>
      <c r="R850" s="152" t="s">
        <v>2398</v>
      </c>
      <c r="S850" s="152" t="s">
        <v>2705</v>
      </c>
      <c r="T850" s="152" t="s">
        <v>2705</v>
      </c>
      <c r="U850" s="152" t="s">
        <v>2398</v>
      </c>
      <c r="V850" s="142" t="str" cm="1">
        <f t="array" ref="V850">IF(A850&lt;&gt;"",SUM(--(B850:U851 = "X")*$U$3,--(B850:U851 ="A")*$Q$3,--(B850:U851 ="B")*$R$3,--(B850:U851 ="C")*$S$3),"")</f>
        <v/>
      </c>
      <c r="AG850" s="142" t="s">
        <v>2705</v>
      </c>
      <c r="AH850" s="142" t="s">
        <v>1435</v>
      </c>
      <c r="AI850" s="142" t="s">
        <v>2705</v>
      </c>
      <c r="AJ850" s="142" t="s">
        <v>2705</v>
      </c>
      <c r="AK850" s="142" t="s">
        <v>2705</v>
      </c>
      <c r="AL850" s="142" t="s">
        <v>2398</v>
      </c>
      <c r="AM850" s="142" t="s">
        <v>2675</v>
      </c>
      <c r="AN850" s="142" t="s">
        <v>2705</v>
      </c>
      <c r="AO850" s="142" t="s">
        <v>2705</v>
      </c>
      <c r="AP850" s="142" t="s">
        <v>2398</v>
      </c>
      <c r="AQ850" s="142" t="s">
        <v>2398</v>
      </c>
      <c r="AR850" s="142" t="s">
        <v>2705</v>
      </c>
      <c r="AS850" s="142" t="s">
        <v>2705</v>
      </c>
      <c r="AT850" s="142" t="s">
        <v>2705</v>
      </c>
      <c r="AU850" s="142" t="s">
        <v>2705</v>
      </c>
      <c r="AV850" s="142" t="s">
        <v>2705</v>
      </c>
      <c r="AW850" s="142" t="s">
        <v>2398</v>
      </c>
      <c r="AX850" s="142" t="s">
        <v>2705</v>
      </c>
      <c r="AY850" s="142" t="s">
        <v>2705</v>
      </c>
      <c r="AZ850" s="142" t="s">
        <v>2398</v>
      </c>
    </row>
    <row r="851" spans="1:52" s="142" customFormat="1" ht="12.75" x14ac:dyDescent="0.2">
      <c r="A851" s="151" t="s">
        <v>7742</v>
      </c>
      <c r="B851" s="152" t="s">
        <v>2397</v>
      </c>
      <c r="C851" s="152" t="s">
        <v>2398</v>
      </c>
      <c r="D851" s="152" t="s">
        <v>2675</v>
      </c>
      <c r="E851" s="152" t="s">
        <v>2398</v>
      </c>
      <c r="F851" s="152" t="s">
        <v>2705</v>
      </c>
      <c r="G851" s="152" t="s">
        <v>2398</v>
      </c>
      <c r="H851" s="152" t="s">
        <v>2675</v>
      </c>
      <c r="I851" s="152" t="s">
        <v>2398</v>
      </c>
      <c r="J851" s="152" t="s">
        <v>2705</v>
      </c>
      <c r="K851" s="152" t="s">
        <v>2398</v>
      </c>
      <c r="L851" s="152" t="s">
        <v>2705</v>
      </c>
      <c r="M851" s="152" t="s">
        <v>1435</v>
      </c>
      <c r="N851" s="152" t="s">
        <v>2705</v>
      </c>
      <c r="O851" s="152" t="s">
        <v>2705</v>
      </c>
      <c r="P851" s="152" t="s">
        <v>2705</v>
      </c>
      <c r="Q851" s="152" t="s">
        <v>2705</v>
      </c>
      <c r="R851" s="152" t="s">
        <v>2705</v>
      </c>
      <c r="S851" s="152" t="s">
        <v>2705</v>
      </c>
      <c r="T851" s="152" t="s">
        <v>2398</v>
      </c>
      <c r="U851" s="152" t="s">
        <v>2705</v>
      </c>
      <c r="V851" s="142" cm="1">
        <f t="array" ref="V851">IF(A851&lt;&gt;"",SUM(--(B851:U852 = "X")*$U$3,--(B851:U852 ="A")*$Q$3,--(B851:U852 ="B")*$R$3,--(B851:U852 ="C")*$S$3),"")</f>
        <v>11</v>
      </c>
      <c r="AF851" s="142" t="s">
        <v>7742</v>
      </c>
      <c r="AG851" s="142" t="s">
        <v>2397</v>
      </c>
      <c r="AH851" s="142" t="s">
        <v>2398</v>
      </c>
      <c r="AI851" s="142" t="s">
        <v>2675</v>
      </c>
      <c r="AJ851" s="142" t="s">
        <v>2398</v>
      </c>
      <c r="AK851" s="142" t="s">
        <v>2705</v>
      </c>
      <c r="AL851" s="142" t="s">
        <v>2398</v>
      </c>
      <c r="AM851" s="142" t="s">
        <v>2675</v>
      </c>
      <c r="AN851" s="142" t="s">
        <v>2398</v>
      </c>
      <c r="AO851" s="142" t="s">
        <v>2705</v>
      </c>
      <c r="AP851" s="142" t="s">
        <v>2398</v>
      </c>
      <c r="AQ851" s="142" t="s">
        <v>2705</v>
      </c>
      <c r="AR851" s="142" t="s">
        <v>1435</v>
      </c>
      <c r="AS851" s="142" t="s">
        <v>2705</v>
      </c>
      <c r="AT851" s="142" t="s">
        <v>2705</v>
      </c>
      <c r="AU851" s="142" t="s">
        <v>2705</v>
      </c>
      <c r="AV851" s="142" t="s">
        <v>2705</v>
      </c>
      <c r="AW851" s="142" t="s">
        <v>2705</v>
      </c>
      <c r="AX851" s="142" t="s">
        <v>2705</v>
      </c>
      <c r="AY851" s="142" t="s">
        <v>2398</v>
      </c>
      <c r="AZ851" s="142" t="s">
        <v>2705</v>
      </c>
    </row>
    <row r="852" spans="1:52" s="142" customFormat="1" ht="12.75" x14ac:dyDescent="0.2">
      <c r="A852" s="151"/>
      <c r="B852" s="152" t="s">
        <v>2398</v>
      </c>
      <c r="C852" s="152" t="s">
        <v>2398</v>
      </c>
      <c r="D852" s="152" t="s">
        <v>2398</v>
      </c>
      <c r="E852" s="152" t="s">
        <v>2675</v>
      </c>
      <c r="F852" s="152" t="s">
        <v>2398</v>
      </c>
      <c r="G852" s="152" t="s">
        <v>2397</v>
      </c>
      <c r="H852" s="152" t="s">
        <v>1435</v>
      </c>
      <c r="I852" s="152" t="s">
        <v>2398</v>
      </c>
      <c r="J852" s="152" t="s">
        <v>2397</v>
      </c>
      <c r="K852" s="152" t="s">
        <v>2705</v>
      </c>
      <c r="L852" s="152" t="s">
        <v>2675</v>
      </c>
      <c r="M852" s="152" t="s">
        <v>2398</v>
      </c>
      <c r="N852" s="152" t="s">
        <v>2675</v>
      </c>
      <c r="O852" s="152" t="s">
        <v>2398</v>
      </c>
      <c r="P852" s="152" t="s">
        <v>2705</v>
      </c>
      <c r="Q852" s="152" t="s">
        <v>2705</v>
      </c>
      <c r="R852" s="152" t="s">
        <v>1435</v>
      </c>
      <c r="S852" s="152" t="s">
        <v>2398</v>
      </c>
      <c r="T852" s="152" t="s">
        <v>2705</v>
      </c>
      <c r="U852" s="152" t="s">
        <v>2705</v>
      </c>
      <c r="V852" s="142" t="str" cm="1">
        <f t="array" ref="V852">IF(A852&lt;&gt;"",SUM(--(B852:U853 = "X")*$U$3,--(B852:U853 ="A")*$Q$3,--(B852:U853 ="B")*$R$3,--(B852:U853 ="C")*$S$3),"")</f>
        <v/>
      </c>
      <c r="AG852" s="142" t="s">
        <v>2398</v>
      </c>
      <c r="AH852" s="142" t="s">
        <v>2398</v>
      </c>
      <c r="AI852" s="142" t="s">
        <v>2398</v>
      </c>
      <c r="AJ852" s="142" t="s">
        <v>2675</v>
      </c>
      <c r="AK852" s="142" t="s">
        <v>2398</v>
      </c>
      <c r="AL852" s="142" t="s">
        <v>2397</v>
      </c>
      <c r="AM852" s="142" t="s">
        <v>1435</v>
      </c>
      <c r="AN852" s="142" t="s">
        <v>2398</v>
      </c>
      <c r="AO852" s="142" t="s">
        <v>2397</v>
      </c>
      <c r="AP852" s="142" t="s">
        <v>2705</v>
      </c>
      <c r="AQ852" s="142" t="s">
        <v>2675</v>
      </c>
      <c r="AR852" s="142" t="s">
        <v>2398</v>
      </c>
      <c r="AS852" s="142" t="s">
        <v>2675</v>
      </c>
      <c r="AT852" s="142" t="s">
        <v>2398</v>
      </c>
      <c r="AU852" s="142" t="s">
        <v>2705</v>
      </c>
      <c r="AV852" s="142" t="s">
        <v>2705</v>
      </c>
      <c r="AW852" s="142" t="s">
        <v>1435</v>
      </c>
      <c r="AX852" s="142" t="s">
        <v>2398</v>
      </c>
      <c r="AY852" s="142" t="s">
        <v>2705</v>
      </c>
      <c r="AZ852" s="142" t="s">
        <v>2705</v>
      </c>
    </row>
    <row r="853" spans="1:52" s="142" customFormat="1" ht="12.75" x14ac:dyDescent="0.2">
      <c r="A853" s="151" t="s">
        <v>7743</v>
      </c>
      <c r="B853" s="152" t="s">
        <v>2398</v>
      </c>
      <c r="C853" s="152" t="s">
        <v>2398</v>
      </c>
      <c r="D853" s="152" t="s">
        <v>2398</v>
      </c>
      <c r="E853" s="152" t="s">
        <v>2705</v>
      </c>
      <c r="F853" s="152" t="s">
        <v>2398</v>
      </c>
      <c r="G853" s="152" t="s">
        <v>2705</v>
      </c>
      <c r="H853" s="152" t="s">
        <v>2398</v>
      </c>
      <c r="I853" s="152" t="s">
        <v>2397</v>
      </c>
      <c r="J853" s="152" t="s">
        <v>2705</v>
      </c>
      <c r="K853" s="152" t="s">
        <v>2705</v>
      </c>
      <c r="L853" s="152" t="s">
        <v>2705</v>
      </c>
      <c r="M853" s="152" t="s">
        <v>2705</v>
      </c>
      <c r="N853" s="152" t="s">
        <v>2398</v>
      </c>
      <c r="O853" s="152" t="s">
        <v>2705</v>
      </c>
      <c r="P853" s="152" t="s">
        <v>2705</v>
      </c>
      <c r="Q853" s="152" t="s">
        <v>2705</v>
      </c>
      <c r="R853" s="152" t="s">
        <v>2705</v>
      </c>
      <c r="S853" s="152" t="s">
        <v>2398</v>
      </c>
      <c r="T853" s="152" t="s">
        <v>2398</v>
      </c>
      <c r="U853" s="152" t="s">
        <v>2398</v>
      </c>
      <c r="V853" s="142" cm="1">
        <f t="array" ref="V853">IF(A853&lt;&gt;"",SUM(--(B853:U854 = "X")*$U$3,--(B853:U854 ="A")*$Q$3,--(B853:U854 ="B")*$R$3,--(B853:U854 ="C")*$S$3),"")</f>
        <v>20.5</v>
      </c>
      <c r="AF853" s="142" t="s">
        <v>7743</v>
      </c>
      <c r="AG853" s="142" t="s">
        <v>2398</v>
      </c>
      <c r="AH853" s="142" t="s">
        <v>2398</v>
      </c>
      <c r="AI853" s="142" t="s">
        <v>2398</v>
      </c>
      <c r="AJ853" s="142" t="s">
        <v>2705</v>
      </c>
      <c r="AK853" s="142" t="s">
        <v>2398</v>
      </c>
      <c r="AL853" s="142" t="s">
        <v>2705</v>
      </c>
      <c r="AM853" s="142" t="s">
        <v>2398</v>
      </c>
      <c r="AN853" s="142" t="s">
        <v>2397</v>
      </c>
      <c r="AO853" s="142" t="s">
        <v>2705</v>
      </c>
      <c r="AP853" s="142" t="s">
        <v>2705</v>
      </c>
      <c r="AQ853" s="142" t="s">
        <v>2705</v>
      </c>
      <c r="AR853" s="142" t="s">
        <v>2705</v>
      </c>
      <c r="AS853" s="142" t="s">
        <v>2398</v>
      </c>
      <c r="AT853" s="142" t="s">
        <v>2705</v>
      </c>
      <c r="AU853" s="142" t="s">
        <v>2705</v>
      </c>
      <c r="AV853" s="142" t="s">
        <v>2705</v>
      </c>
      <c r="AW853" s="142" t="s">
        <v>2705</v>
      </c>
      <c r="AX853" s="142" t="s">
        <v>2398</v>
      </c>
      <c r="AY853" s="142" t="s">
        <v>2398</v>
      </c>
      <c r="AZ853" s="142" t="s">
        <v>2398</v>
      </c>
    </row>
    <row r="854" spans="1:52" s="142" customFormat="1" ht="12.75" x14ac:dyDescent="0.2">
      <c r="A854" s="151"/>
      <c r="B854" s="152" t="s">
        <v>2398</v>
      </c>
      <c r="C854" s="152" t="s">
        <v>2705</v>
      </c>
      <c r="D854" s="152" t="s">
        <v>2398</v>
      </c>
      <c r="E854" s="152" t="s">
        <v>2398</v>
      </c>
      <c r="F854" s="152" t="s">
        <v>2705</v>
      </c>
      <c r="G854" s="152" t="s">
        <v>2398</v>
      </c>
      <c r="H854" s="152" t="s">
        <v>2705</v>
      </c>
      <c r="I854" s="152" t="s">
        <v>2705</v>
      </c>
      <c r="J854" s="152" t="s">
        <v>2675</v>
      </c>
      <c r="K854" s="152" t="s">
        <v>2705</v>
      </c>
      <c r="L854" s="152" t="s">
        <v>2397</v>
      </c>
      <c r="M854" s="152" t="s">
        <v>2705</v>
      </c>
      <c r="N854" s="152" t="s">
        <v>2705</v>
      </c>
      <c r="O854" s="152" t="s">
        <v>2398</v>
      </c>
      <c r="P854" s="152" t="s">
        <v>2398</v>
      </c>
      <c r="Q854" s="152" t="s">
        <v>2398</v>
      </c>
      <c r="R854" s="152" t="s">
        <v>2705</v>
      </c>
      <c r="S854" s="152" t="s">
        <v>2705</v>
      </c>
      <c r="T854" s="152" t="s">
        <v>2705</v>
      </c>
      <c r="U854" s="152" t="s">
        <v>2705</v>
      </c>
      <c r="V854" s="142" t="str" cm="1">
        <f t="array" ref="V854">IF(A854&lt;&gt;"",SUM(--(B854:U855 = "X")*$U$3,--(B854:U855 ="A")*$Q$3,--(B854:U855 ="B")*$R$3,--(B854:U855 ="C")*$S$3),"")</f>
        <v/>
      </c>
      <c r="AG854" s="142" t="s">
        <v>2398</v>
      </c>
      <c r="AH854" s="142" t="s">
        <v>2705</v>
      </c>
      <c r="AI854" s="142" t="s">
        <v>2398</v>
      </c>
      <c r="AJ854" s="142" t="s">
        <v>2398</v>
      </c>
      <c r="AK854" s="142" t="s">
        <v>2705</v>
      </c>
      <c r="AL854" s="142" t="s">
        <v>2398</v>
      </c>
      <c r="AM854" s="142" t="s">
        <v>2705</v>
      </c>
      <c r="AN854" s="142" t="s">
        <v>2705</v>
      </c>
      <c r="AO854" s="142" t="s">
        <v>2675</v>
      </c>
      <c r="AP854" s="142" t="s">
        <v>2705</v>
      </c>
      <c r="AQ854" s="142" t="s">
        <v>2397</v>
      </c>
      <c r="AR854" s="142" t="s">
        <v>2705</v>
      </c>
      <c r="AS854" s="142" t="s">
        <v>2705</v>
      </c>
      <c r="AT854" s="142" t="s">
        <v>2398</v>
      </c>
      <c r="AU854" s="142" t="s">
        <v>2398</v>
      </c>
      <c r="AV854" s="142" t="s">
        <v>2398</v>
      </c>
      <c r="AW854" s="142" t="s">
        <v>2705</v>
      </c>
      <c r="AX854" s="142" t="s">
        <v>2705</v>
      </c>
      <c r="AY854" s="142" t="s">
        <v>2705</v>
      </c>
      <c r="AZ854" s="142" t="s">
        <v>2705</v>
      </c>
    </row>
    <row r="855" spans="1:52" s="142" customFormat="1" ht="12.75" x14ac:dyDescent="0.2">
      <c r="A855" s="151" t="s">
        <v>7744</v>
      </c>
      <c r="B855" s="152" t="s">
        <v>2675</v>
      </c>
      <c r="C855" s="152" t="s">
        <v>2398</v>
      </c>
      <c r="D855" s="152" t="s">
        <v>2397</v>
      </c>
      <c r="E855" s="152" t="s">
        <v>2398</v>
      </c>
      <c r="F855" s="152" t="s">
        <v>2705</v>
      </c>
      <c r="G855" s="152" t="s">
        <v>2705</v>
      </c>
      <c r="H855" s="152" t="s">
        <v>2705</v>
      </c>
      <c r="I855" s="152" t="s">
        <v>2397</v>
      </c>
      <c r="J855" s="152" t="s">
        <v>2675</v>
      </c>
      <c r="K855" s="152" t="s">
        <v>2705</v>
      </c>
      <c r="L855" s="152" t="s">
        <v>1435</v>
      </c>
      <c r="M855" s="152" t="s">
        <v>2705</v>
      </c>
      <c r="N855" s="152" t="s">
        <v>2675</v>
      </c>
      <c r="O855" s="152" t="s">
        <v>2705</v>
      </c>
      <c r="P855" s="152" t="s">
        <v>2705</v>
      </c>
      <c r="Q855" s="152" t="s">
        <v>2705</v>
      </c>
      <c r="R855" s="152" t="s">
        <v>2705</v>
      </c>
      <c r="S855" s="152" t="s">
        <v>2705</v>
      </c>
      <c r="T855" s="152" t="s">
        <v>2705</v>
      </c>
      <c r="U855" s="152" t="s">
        <v>2705</v>
      </c>
      <c r="V855" s="142" cm="1">
        <f t="array" ref="V855">IF(A855&lt;&gt;"",SUM(--(B855:U856 = "X")*$U$3,--(B855:U856 ="A")*$Q$3,--(B855:U856 ="B")*$R$3,--(B855:U856 ="C")*$S$3),"")</f>
        <v>24.5</v>
      </c>
      <c r="AF855" s="142" t="s">
        <v>7744</v>
      </c>
      <c r="AG855" s="142" t="s">
        <v>2675</v>
      </c>
      <c r="AH855" s="142" t="s">
        <v>2398</v>
      </c>
      <c r="AI855" s="142" t="s">
        <v>2397</v>
      </c>
      <c r="AJ855" s="142" t="s">
        <v>2398</v>
      </c>
      <c r="AK855" s="142" t="s">
        <v>2705</v>
      </c>
      <c r="AL855" s="142" t="s">
        <v>2705</v>
      </c>
      <c r="AM855" s="142" t="s">
        <v>2705</v>
      </c>
      <c r="AN855" s="142" t="s">
        <v>2397</v>
      </c>
      <c r="AO855" s="142" t="s">
        <v>2675</v>
      </c>
      <c r="AP855" s="142" t="s">
        <v>2705</v>
      </c>
      <c r="AQ855" s="142" t="s">
        <v>1435</v>
      </c>
      <c r="AR855" s="142" t="s">
        <v>2705</v>
      </c>
      <c r="AS855" s="142" t="s">
        <v>2675</v>
      </c>
      <c r="AT855" s="142" t="s">
        <v>2705</v>
      </c>
      <c r="AU855" s="142" t="s">
        <v>2705</v>
      </c>
      <c r="AV855" s="142" t="s">
        <v>2705</v>
      </c>
      <c r="AW855" s="142" t="s">
        <v>2705</v>
      </c>
      <c r="AX855" s="142" t="s">
        <v>2705</v>
      </c>
      <c r="AY855" s="142" t="s">
        <v>2705</v>
      </c>
      <c r="AZ855" s="142" t="s">
        <v>2705</v>
      </c>
    </row>
    <row r="856" spans="1:52" s="142" customFormat="1" ht="12.75" x14ac:dyDescent="0.2">
      <c r="A856" s="151"/>
      <c r="B856" s="152" t="s">
        <v>2705</v>
      </c>
      <c r="C856" s="152" t="s">
        <v>2398</v>
      </c>
      <c r="D856" s="152" t="s">
        <v>2705</v>
      </c>
      <c r="E856" s="152" t="s">
        <v>2398</v>
      </c>
      <c r="F856" s="152" t="s">
        <v>2705</v>
      </c>
      <c r="G856" s="152" t="s">
        <v>2705</v>
      </c>
      <c r="H856" s="152" t="s">
        <v>2705</v>
      </c>
      <c r="I856" s="152" t="s">
        <v>2705</v>
      </c>
      <c r="J856" s="152" t="s">
        <v>2705</v>
      </c>
      <c r="K856" s="152" t="s">
        <v>2398</v>
      </c>
      <c r="L856" s="152" t="s">
        <v>2705</v>
      </c>
      <c r="M856" s="152" t="s">
        <v>2705</v>
      </c>
      <c r="N856" s="152" t="s">
        <v>2705</v>
      </c>
      <c r="O856" s="152" t="s">
        <v>2398</v>
      </c>
      <c r="P856" s="152" t="s">
        <v>1435</v>
      </c>
      <c r="Q856" s="152" t="s">
        <v>2705</v>
      </c>
      <c r="R856" s="152" t="s">
        <v>2705</v>
      </c>
      <c r="S856" s="152" t="s">
        <v>2705</v>
      </c>
      <c r="T856" s="152" t="s">
        <v>2705</v>
      </c>
      <c r="U856" s="152" t="s">
        <v>2705</v>
      </c>
      <c r="V856" s="142" t="str" cm="1">
        <f t="array" ref="V856">IF(A856&lt;&gt;"",SUM(--(B856:U857 = "X")*$U$3,--(B856:U857 ="A")*$Q$3,--(B856:U857 ="B")*$R$3,--(B856:U857 ="C")*$S$3),"")</f>
        <v/>
      </c>
      <c r="AG856" s="142" t="s">
        <v>2705</v>
      </c>
      <c r="AH856" s="142" t="s">
        <v>2398</v>
      </c>
      <c r="AI856" s="142" t="s">
        <v>2705</v>
      </c>
      <c r="AJ856" s="142" t="s">
        <v>2398</v>
      </c>
      <c r="AK856" s="142" t="s">
        <v>2705</v>
      </c>
      <c r="AL856" s="142" t="s">
        <v>2705</v>
      </c>
      <c r="AM856" s="142" t="s">
        <v>2705</v>
      </c>
      <c r="AN856" s="142" t="s">
        <v>2705</v>
      </c>
      <c r="AO856" s="142" t="s">
        <v>2705</v>
      </c>
      <c r="AP856" s="142" t="s">
        <v>2398</v>
      </c>
      <c r="AQ856" s="142" t="s">
        <v>2705</v>
      </c>
      <c r="AR856" s="142" t="s">
        <v>2705</v>
      </c>
      <c r="AS856" s="142" t="s">
        <v>2705</v>
      </c>
      <c r="AT856" s="142" t="s">
        <v>2398</v>
      </c>
      <c r="AU856" s="142" t="s">
        <v>1435</v>
      </c>
      <c r="AV856" s="142" t="s">
        <v>2705</v>
      </c>
      <c r="AW856" s="142" t="s">
        <v>2705</v>
      </c>
      <c r="AX856" s="142" t="s">
        <v>2705</v>
      </c>
      <c r="AY856" s="142" t="s">
        <v>2705</v>
      </c>
      <c r="AZ856" s="142" t="s">
        <v>2705</v>
      </c>
    </row>
    <row r="857" spans="1:52" s="142" customFormat="1" ht="12.75" x14ac:dyDescent="0.2">
      <c r="A857" s="151" t="s">
        <v>7745</v>
      </c>
      <c r="B857" s="152" t="s">
        <v>2398</v>
      </c>
      <c r="C857" s="152" t="s">
        <v>2398</v>
      </c>
      <c r="D857" s="152" t="s">
        <v>2705</v>
      </c>
      <c r="E857" s="152" t="s">
        <v>2398</v>
      </c>
      <c r="F857" s="152" t="s">
        <v>2397</v>
      </c>
      <c r="G857" s="152" t="s">
        <v>1435</v>
      </c>
      <c r="H857" s="152" t="s">
        <v>2398</v>
      </c>
      <c r="I857" s="152" t="s">
        <v>2398</v>
      </c>
      <c r="J857" s="152" t="s">
        <v>2675</v>
      </c>
      <c r="K857" s="152" t="s">
        <v>2705</v>
      </c>
      <c r="L857" s="152" t="s">
        <v>2398</v>
      </c>
      <c r="M857" s="152" t="s">
        <v>2705</v>
      </c>
      <c r="N857" s="152" t="s">
        <v>2398</v>
      </c>
      <c r="O857" s="152" t="s">
        <v>2398</v>
      </c>
      <c r="P857" s="152" t="s">
        <v>1435</v>
      </c>
      <c r="Q857" s="152" t="s">
        <v>2705</v>
      </c>
      <c r="R857" s="152" t="s">
        <v>2398</v>
      </c>
      <c r="S857" s="152" t="s">
        <v>2705</v>
      </c>
      <c r="T857" s="152" t="s">
        <v>2397</v>
      </c>
      <c r="U857" s="152" t="s">
        <v>2705</v>
      </c>
      <c r="V857" s="142" cm="1">
        <f t="array" ref="V857">IF(A857&lt;&gt;"",SUM(--(B857:U858 = "X")*$U$3,--(B857:U858 ="A")*$Q$3,--(B857:U858 ="B")*$R$3,--(B857:U858 ="C")*$S$3),"")</f>
        <v>9.5</v>
      </c>
      <c r="AF857" s="142" t="s">
        <v>7745</v>
      </c>
      <c r="AG857" s="142" t="s">
        <v>2398</v>
      </c>
      <c r="AH857" s="142" t="s">
        <v>2398</v>
      </c>
      <c r="AI857" s="142" t="s">
        <v>2705</v>
      </c>
      <c r="AJ857" s="142" t="s">
        <v>2398</v>
      </c>
      <c r="AK857" s="142" t="s">
        <v>2397</v>
      </c>
      <c r="AL857" s="142" t="s">
        <v>1435</v>
      </c>
      <c r="AM857" s="142" t="s">
        <v>2398</v>
      </c>
      <c r="AN857" s="142" t="s">
        <v>2398</v>
      </c>
      <c r="AO857" s="142" t="s">
        <v>2675</v>
      </c>
      <c r="AP857" s="142" t="s">
        <v>2705</v>
      </c>
      <c r="AQ857" s="142" t="s">
        <v>2398</v>
      </c>
      <c r="AR857" s="142" t="s">
        <v>2705</v>
      </c>
      <c r="AS857" s="142" t="s">
        <v>2398</v>
      </c>
      <c r="AT857" s="142" t="s">
        <v>2398</v>
      </c>
      <c r="AU857" s="142" t="s">
        <v>1435</v>
      </c>
      <c r="AV857" s="142" t="s">
        <v>2705</v>
      </c>
      <c r="AW857" s="142" t="s">
        <v>2398</v>
      </c>
      <c r="AX857" s="142" t="s">
        <v>2705</v>
      </c>
      <c r="AY857" s="142" t="s">
        <v>2397</v>
      </c>
      <c r="AZ857" s="142" t="s">
        <v>2705</v>
      </c>
    </row>
    <row r="858" spans="1:52" s="142" customFormat="1" ht="12.75" x14ac:dyDescent="0.2">
      <c r="A858" s="151"/>
      <c r="B858" s="152" t="s">
        <v>2398</v>
      </c>
      <c r="C858" s="152" t="s">
        <v>2398</v>
      </c>
      <c r="D858" s="152" t="s">
        <v>2398</v>
      </c>
      <c r="E858" s="152" t="s">
        <v>2675</v>
      </c>
      <c r="F858" s="152" t="s">
        <v>2705</v>
      </c>
      <c r="G858" s="152" t="s">
        <v>2705</v>
      </c>
      <c r="H858" s="152" t="s">
        <v>2398</v>
      </c>
      <c r="I858" s="152" t="s">
        <v>1435</v>
      </c>
      <c r="J858" s="152" t="s">
        <v>2398</v>
      </c>
      <c r="K858" s="152" t="s">
        <v>2705</v>
      </c>
      <c r="L858" s="152" t="s">
        <v>2398</v>
      </c>
      <c r="M858" s="152" t="s">
        <v>2705</v>
      </c>
      <c r="N858" s="152" t="s">
        <v>2705</v>
      </c>
      <c r="O858" s="152" t="s">
        <v>2398</v>
      </c>
      <c r="P858" s="152" t="s">
        <v>2675</v>
      </c>
      <c r="Q858" s="152" t="s">
        <v>2675</v>
      </c>
      <c r="R858" s="152" t="s">
        <v>2398</v>
      </c>
      <c r="S858" s="152" t="s">
        <v>2705</v>
      </c>
      <c r="T858" s="152" t="s">
        <v>2705</v>
      </c>
      <c r="U858" s="152" t="s">
        <v>2398</v>
      </c>
      <c r="V858" s="142" t="str" cm="1">
        <f t="array" ref="V858">IF(A858&lt;&gt;"",SUM(--(B858:U859 = "X")*$U$3,--(B858:U859 ="A")*$Q$3,--(B858:U859 ="B")*$R$3,--(B858:U859 ="C")*$S$3),"")</f>
        <v/>
      </c>
      <c r="AG858" s="142" t="s">
        <v>2398</v>
      </c>
      <c r="AH858" s="142" t="s">
        <v>2398</v>
      </c>
      <c r="AI858" s="142" t="s">
        <v>2398</v>
      </c>
      <c r="AJ858" s="142" t="s">
        <v>2675</v>
      </c>
      <c r="AK858" s="142" t="s">
        <v>2705</v>
      </c>
      <c r="AL858" s="142" t="s">
        <v>2705</v>
      </c>
      <c r="AM858" s="142" t="s">
        <v>2398</v>
      </c>
      <c r="AN858" s="142" t="s">
        <v>1435</v>
      </c>
      <c r="AO858" s="142" t="s">
        <v>2398</v>
      </c>
      <c r="AP858" s="142" t="s">
        <v>2705</v>
      </c>
      <c r="AQ858" s="142" t="s">
        <v>2398</v>
      </c>
      <c r="AR858" s="142" t="s">
        <v>2705</v>
      </c>
      <c r="AS858" s="142" t="s">
        <v>2705</v>
      </c>
      <c r="AT858" s="142" t="s">
        <v>2398</v>
      </c>
      <c r="AU858" s="142" t="s">
        <v>2675</v>
      </c>
      <c r="AV858" s="142" t="s">
        <v>2675</v>
      </c>
      <c r="AW858" s="142" t="s">
        <v>2398</v>
      </c>
      <c r="AX858" s="142" t="s">
        <v>2705</v>
      </c>
      <c r="AY858" s="142" t="s">
        <v>2705</v>
      </c>
      <c r="AZ858" s="142" t="s">
        <v>2398</v>
      </c>
    </row>
    <row r="859" spans="1:52" s="142" customFormat="1" ht="12.75" x14ac:dyDescent="0.2">
      <c r="A859" s="151" t="s">
        <v>7746</v>
      </c>
      <c r="B859" s="152" t="s">
        <v>2705</v>
      </c>
      <c r="C859" s="152" t="s">
        <v>2705</v>
      </c>
      <c r="D859" s="152" t="s">
        <v>2398</v>
      </c>
      <c r="E859" s="152" t="s">
        <v>1435</v>
      </c>
      <c r="F859" s="152" t="s">
        <v>2675</v>
      </c>
      <c r="G859" s="152" t="s">
        <v>2705</v>
      </c>
      <c r="H859" s="152" t="s">
        <v>2705</v>
      </c>
      <c r="I859" s="152" t="s">
        <v>2397</v>
      </c>
      <c r="J859" s="152" t="s">
        <v>2705</v>
      </c>
      <c r="K859" s="152" t="s">
        <v>2705</v>
      </c>
      <c r="L859" s="152" t="s">
        <v>2705</v>
      </c>
      <c r="M859" s="152" t="s">
        <v>2705</v>
      </c>
      <c r="N859" s="152" t="s">
        <v>2705</v>
      </c>
      <c r="O859" s="152" t="s">
        <v>2705</v>
      </c>
      <c r="P859" s="152" t="s">
        <v>2398</v>
      </c>
      <c r="Q859" s="152" t="s">
        <v>2705</v>
      </c>
      <c r="R859" s="152" t="s">
        <v>1435</v>
      </c>
      <c r="S859" s="152" t="s">
        <v>2705</v>
      </c>
      <c r="T859" s="152" t="s">
        <v>2705</v>
      </c>
      <c r="U859" s="152" t="s">
        <v>2705</v>
      </c>
      <c r="V859" s="142" cm="1">
        <f t="array" ref="V859">IF(A859&lt;&gt;"",SUM(--(B859:U860 = "X")*$U$3,--(B859:U860 ="A")*$Q$3,--(B859:U860 ="B")*$R$3,--(B859:U860 ="C")*$S$3),"")</f>
        <v>22</v>
      </c>
      <c r="AF859" s="142" t="s">
        <v>7746</v>
      </c>
      <c r="AG859" s="142" t="s">
        <v>2705</v>
      </c>
      <c r="AH859" s="142" t="s">
        <v>2705</v>
      </c>
      <c r="AI859" s="142" t="s">
        <v>2398</v>
      </c>
      <c r="AJ859" s="142" t="s">
        <v>1435</v>
      </c>
      <c r="AK859" s="142" t="s">
        <v>2675</v>
      </c>
      <c r="AL859" s="142" t="s">
        <v>2705</v>
      </c>
      <c r="AM859" s="142" t="s">
        <v>2705</v>
      </c>
      <c r="AN859" s="142" t="s">
        <v>2397</v>
      </c>
      <c r="AO859" s="142" t="s">
        <v>2705</v>
      </c>
      <c r="AP859" s="142" t="s">
        <v>2705</v>
      </c>
      <c r="AQ859" s="142" t="s">
        <v>2705</v>
      </c>
      <c r="AR859" s="142" t="s">
        <v>2705</v>
      </c>
      <c r="AS859" s="142" t="s">
        <v>2705</v>
      </c>
      <c r="AT859" s="142" t="s">
        <v>2705</v>
      </c>
      <c r="AU859" s="142" t="s">
        <v>2398</v>
      </c>
      <c r="AV859" s="142" t="s">
        <v>2705</v>
      </c>
      <c r="AW859" s="142" t="s">
        <v>1435</v>
      </c>
      <c r="AX859" s="142" t="s">
        <v>2705</v>
      </c>
      <c r="AY859" s="142" t="s">
        <v>2705</v>
      </c>
      <c r="AZ859" s="142" t="s">
        <v>2705</v>
      </c>
    </row>
    <row r="860" spans="1:52" s="142" customFormat="1" ht="12.75" x14ac:dyDescent="0.2">
      <c r="A860" s="151"/>
      <c r="B860" s="152" t="s">
        <v>2398</v>
      </c>
      <c r="C860" s="152" t="s">
        <v>2705</v>
      </c>
      <c r="D860" s="152" t="s">
        <v>2398</v>
      </c>
      <c r="E860" s="152" t="s">
        <v>2398</v>
      </c>
      <c r="F860" s="152" t="s">
        <v>2705</v>
      </c>
      <c r="G860" s="152" t="s">
        <v>2675</v>
      </c>
      <c r="H860" s="152" t="s">
        <v>2397</v>
      </c>
      <c r="I860" s="152" t="s">
        <v>2705</v>
      </c>
      <c r="J860" s="152" t="s">
        <v>2705</v>
      </c>
      <c r="K860" s="152" t="s">
        <v>2705</v>
      </c>
      <c r="L860" s="152" t="s">
        <v>2705</v>
      </c>
      <c r="M860" s="152" t="s">
        <v>2398</v>
      </c>
      <c r="N860" s="152" t="s">
        <v>2705</v>
      </c>
      <c r="O860" s="152" t="s">
        <v>1435</v>
      </c>
      <c r="P860" s="152" t="s">
        <v>2675</v>
      </c>
      <c r="Q860" s="152" t="s">
        <v>2705</v>
      </c>
      <c r="R860" s="152" t="s">
        <v>2705</v>
      </c>
      <c r="S860" s="152" t="s">
        <v>2705</v>
      </c>
      <c r="T860" s="152" t="s">
        <v>2398</v>
      </c>
      <c r="U860" s="152" t="s">
        <v>2705</v>
      </c>
      <c r="V860" s="142" t="str" cm="1">
        <f t="array" ref="V860">IF(A860&lt;&gt;"",SUM(--(B860:U861 = "X")*$U$3,--(B860:U861 ="A")*$Q$3,--(B860:U861 ="B")*$R$3,--(B860:U861 ="C")*$S$3),"")</f>
        <v/>
      </c>
      <c r="AG860" s="142" t="s">
        <v>2398</v>
      </c>
      <c r="AH860" s="142" t="s">
        <v>2705</v>
      </c>
      <c r="AI860" s="142" t="s">
        <v>2398</v>
      </c>
      <c r="AJ860" s="142" t="s">
        <v>2398</v>
      </c>
      <c r="AK860" s="142" t="s">
        <v>2705</v>
      </c>
      <c r="AL860" s="142" t="s">
        <v>2675</v>
      </c>
      <c r="AM860" s="142" t="s">
        <v>2397</v>
      </c>
      <c r="AN860" s="142" t="s">
        <v>2705</v>
      </c>
      <c r="AO860" s="142" t="s">
        <v>2705</v>
      </c>
      <c r="AP860" s="142" t="s">
        <v>2705</v>
      </c>
      <c r="AQ860" s="142" t="s">
        <v>2705</v>
      </c>
      <c r="AR860" s="142" t="s">
        <v>2398</v>
      </c>
      <c r="AS860" s="142" t="s">
        <v>2705</v>
      </c>
      <c r="AT860" s="142" t="s">
        <v>1435</v>
      </c>
      <c r="AU860" s="142" t="s">
        <v>2675</v>
      </c>
      <c r="AV860" s="142" t="s">
        <v>2705</v>
      </c>
      <c r="AW860" s="142" t="s">
        <v>2705</v>
      </c>
      <c r="AX860" s="142" t="s">
        <v>2705</v>
      </c>
      <c r="AY860" s="142" t="s">
        <v>2398</v>
      </c>
      <c r="AZ860" s="142" t="s">
        <v>2705</v>
      </c>
    </row>
    <row r="861" spans="1:52" s="142" customFormat="1" ht="12.75" x14ac:dyDescent="0.2">
      <c r="A861" s="151" t="s">
        <v>7747</v>
      </c>
      <c r="B861" s="152" t="s">
        <v>2705</v>
      </c>
      <c r="C861" s="152" t="s">
        <v>2705</v>
      </c>
      <c r="D861" s="152" t="s">
        <v>2705</v>
      </c>
      <c r="E861" s="152" t="s">
        <v>2705</v>
      </c>
      <c r="F861" s="152" t="s">
        <v>2398</v>
      </c>
      <c r="G861" s="152" t="s">
        <v>2705</v>
      </c>
      <c r="H861" s="152" t="s">
        <v>2398</v>
      </c>
      <c r="I861" s="152" t="s">
        <v>2705</v>
      </c>
      <c r="J861" s="152" t="s">
        <v>2705</v>
      </c>
      <c r="K861" s="152" t="s">
        <v>2705</v>
      </c>
      <c r="L861" s="152" t="s">
        <v>2705</v>
      </c>
      <c r="M861" s="152" t="s">
        <v>2705</v>
      </c>
      <c r="N861" s="152" t="s">
        <v>2705</v>
      </c>
      <c r="O861" s="152" t="s">
        <v>2398</v>
      </c>
      <c r="P861" s="152" t="s">
        <v>2398</v>
      </c>
      <c r="Q861" s="152" t="s">
        <v>2705</v>
      </c>
      <c r="R861" s="152" t="s">
        <v>2398</v>
      </c>
      <c r="S861" s="152" t="s">
        <v>2397</v>
      </c>
      <c r="T861" s="152" t="s">
        <v>2705</v>
      </c>
      <c r="U861" s="152" t="s">
        <v>2705</v>
      </c>
      <c r="V861" s="142" cm="1">
        <f t="array" ref="V861">IF(A861&lt;&gt;"",SUM(--(B861:U862 = "X")*$U$3,--(B861:U862 ="A")*$Q$3,--(B861:U862 ="B")*$R$3,--(B861:U862 ="C")*$S$3),"")</f>
        <v>27</v>
      </c>
      <c r="AF861" s="142" t="s">
        <v>7747</v>
      </c>
      <c r="AG861" s="142" t="s">
        <v>2705</v>
      </c>
      <c r="AH861" s="142" t="s">
        <v>2705</v>
      </c>
      <c r="AI861" s="142" t="s">
        <v>2705</v>
      </c>
      <c r="AJ861" s="142" t="s">
        <v>2705</v>
      </c>
      <c r="AK861" s="142" t="s">
        <v>2398</v>
      </c>
      <c r="AL861" s="142" t="s">
        <v>2705</v>
      </c>
      <c r="AM861" s="142" t="s">
        <v>2398</v>
      </c>
      <c r="AN861" s="142" t="s">
        <v>2705</v>
      </c>
      <c r="AO861" s="142" t="s">
        <v>2705</v>
      </c>
      <c r="AP861" s="142" t="s">
        <v>2705</v>
      </c>
      <c r="AQ861" s="142" t="s">
        <v>2705</v>
      </c>
      <c r="AR861" s="142" t="s">
        <v>2705</v>
      </c>
      <c r="AS861" s="142" t="s">
        <v>2705</v>
      </c>
      <c r="AT861" s="142" t="s">
        <v>2398</v>
      </c>
      <c r="AU861" s="142" t="s">
        <v>2398</v>
      </c>
      <c r="AV861" s="142" t="s">
        <v>2705</v>
      </c>
      <c r="AW861" s="142" t="s">
        <v>2398</v>
      </c>
      <c r="AX861" s="142" t="s">
        <v>2397</v>
      </c>
      <c r="AY861" s="142" t="s">
        <v>2705</v>
      </c>
      <c r="AZ861" s="142" t="s">
        <v>2705</v>
      </c>
    </row>
    <row r="862" spans="1:52" s="142" customFormat="1" ht="12.75" x14ac:dyDescent="0.2">
      <c r="A862" s="151"/>
      <c r="B862" s="152" t="s">
        <v>2705</v>
      </c>
      <c r="C862" s="152" t="s">
        <v>2398</v>
      </c>
      <c r="D862" s="152" t="s">
        <v>2397</v>
      </c>
      <c r="E862" s="152" t="s">
        <v>2705</v>
      </c>
      <c r="F862" s="152" t="s">
        <v>2705</v>
      </c>
      <c r="G862" s="152" t="s">
        <v>2705</v>
      </c>
      <c r="H862" s="152" t="s">
        <v>2705</v>
      </c>
      <c r="I862" s="152" t="s">
        <v>2705</v>
      </c>
      <c r="J862" s="152" t="s">
        <v>2705</v>
      </c>
      <c r="K862" s="152" t="s">
        <v>2705</v>
      </c>
      <c r="L862" s="152" t="s">
        <v>2398</v>
      </c>
      <c r="M862" s="152" t="s">
        <v>2398</v>
      </c>
      <c r="N862" s="152" t="s">
        <v>2705</v>
      </c>
      <c r="O862" s="152" t="s">
        <v>2398</v>
      </c>
      <c r="P862" s="152" t="s">
        <v>2398</v>
      </c>
      <c r="Q862" s="152" t="s">
        <v>2705</v>
      </c>
      <c r="R862" s="152" t="s">
        <v>2705</v>
      </c>
      <c r="S862" s="152" t="s">
        <v>2397</v>
      </c>
      <c r="T862" s="152" t="s">
        <v>2705</v>
      </c>
      <c r="U862" s="152" t="s">
        <v>2705</v>
      </c>
      <c r="V862" s="142" t="str" cm="1">
        <f t="array" ref="V862">IF(A862&lt;&gt;"",SUM(--(B862:U863 = "X")*$U$3,--(B862:U863 ="A")*$Q$3,--(B862:U863 ="B")*$R$3,--(B862:U863 ="C")*$S$3),"")</f>
        <v/>
      </c>
      <c r="AG862" s="142" t="s">
        <v>2705</v>
      </c>
      <c r="AH862" s="142" t="s">
        <v>2398</v>
      </c>
      <c r="AI862" s="142" t="s">
        <v>2397</v>
      </c>
      <c r="AJ862" s="142" t="s">
        <v>2705</v>
      </c>
      <c r="AK862" s="142" t="s">
        <v>2705</v>
      </c>
      <c r="AL862" s="142" t="s">
        <v>2705</v>
      </c>
      <c r="AM862" s="142" t="s">
        <v>2705</v>
      </c>
      <c r="AN862" s="142" t="s">
        <v>2705</v>
      </c>
      <c r="AO862" s="142" t="s">
        <v>2705</v>
      </c>
      <c r="AP862" s="142" t="s">
        <v>2705</v>
      </c>
      <c r="AQ862" s="142" t="s">
        <v>2398</v>
      </c>
      <c r="AR862" s="142" t="s">
        <v>2398</v>
      </c>
      <c r="AS862" s="142" t="s">
        <v>2705</v>
      </c>
      <c r="AT862" s="142" t="s">
        <v>2398</v>
      </c>
      <c r="AU862" s="142" t="s">
        <v>2398</v>
      </c>
      <c r="AV862" s="142" t="s">
        <v>2705</v>
      </c>
      <c r="AW862" s="142" t="s">
        <v>2705</v>
      </c>
      <c r="AX862" s="142" t="s">
        <v>2397</v>
      </c>
      <c r="AY862" s="142" t="s">
        <v>2705</v>
      </c>
      <c r="AZ862" s="142" t="s">
        <v>2705</v>
      </c>
    </row>
    <row r="863" spans="1:52" s="142" customFormat="1" ht="12.75" x14ac:dyDescent="0.2">
      <c r="A863" s="151" t="s">
        <v>7748</v>
      </c>
      <c r="B863" s="152" t="s">
        <v>2397</v>
      </c>
      <c r="C863" s="152" t="s">
        <v>2398</v>
      </c>
      <c r="D863" s="152" t="s">
        <v>2398</v>
      </c>
      <c r="E863" s="152" t="s">
        <v>2705</v>
      </c>
      <c r="F863" s="152" t="s">
        <v>2705</v>
      </c>
      <c r="G863" s="152" t="s">
        <v>2398</v>
      </c>
      <c r="H863" s="152" t="s">
        <v>2705</v>
      </c>
      <c r="I863" s="152" t="s">
        <v>2675</v>
      </c>
      <c r="J863" s="152" t="s">
        <v>2705</v>
      </c>
      <c r="K863" s="152" t="s">
        <v>2675</v>
      </c>
      <c r="L863" s="152" t="s">
        <v>2398</v>
      </c>
      <c r="M863" s="152" t="s">
        <v>2705</v>
      </c>
      <c r="N863" s="152" t="s">
        <v>2705</v>
      </c>
      <c r="O863" s="152" t="s">
        <v>2705</v>
      </c>
      <c r="P863" s="152" t="s">
        <v>2705</v>
      </c>
      <c r="Q863" s="152" t="s">
        <v>2705</v>
      </c>
      <c r="R863" s="152" t="s">
        <v>2398</v>
      </c>
      <c r="S863" s="152" t="s">
        <v>2705</v>
      </c>
      <c r="T863" s="152" t="s">
        <v>2398</v>
      </c>
      <c r="U863" s="152" t="s">
        <v>2705</v>
      </c>
      <c r="V863" s="142" cm="1">
        <f t="array" ref="V863">IF(A863&lt;&gt;"",SUM(--(B863:U864 = "X")*$U$3,--(B863:U864 ="A")*$Q$3,--(B863:U864 ="B")*$R$3,--(B863:U864 ="C")*$S$3),"")</f>
        <v>21</v>
      </c>
      <c r="AF863" s="142" t="s">
        <v>7748</v>
      </c>
      <c r="AG863" s="142" t="s">
        <v>2397</v>
      </c>
      <c r="AH863" s="142" t="s">
        <v>2398</v>
      </c>
      <c r="AI863" s="142" t="s">
        <v>2398</v>
      </c>
      <c r="AJ863" s="142" t="s">
        <v>2705</v>
      </c>
      <c r="AK863" s="142" t="s">
        <v>2705</v>
      </c>
      <c r="AL863" s="142" t="s">
        <v>2398</v>
      </c>
      <c r="AM863" s="142" t="s">
        <v>2705</v>
      </c>
      <c r="AN863" s="142" t="s">
        <v>2675</v>
      </c>
      <c r="AO863" s="142" t="s">
        <v>2705</v>
      </c>
      <c r="AP863" s="142" t="s">
        <v>2675</v>
      </c>
      <c r="AQ863" s="142" t="s">
        <v>2398</v>
      </c>
      <c r="AR863" s="142" t="s">
        <v>2705</v>
      </c>
      <c r="AS863" s="142" t="s">
        <v>2705</v>
      </c>
      <c r="AT863" s="142" t="s">
        <v>2705</v>
      </c>
      <c r="AU863" s="142" t="s">
        <v>2705</v>
      </c>
      <c r="AV863" s="142" t="s">
        <v>2705</v>
      </c>
      <c r="AW863" s="142" t="s">
        <v>2398</v>
      </c>
      <c r="AX863" s="142" t="s">
        <v>2705</v>
      </c>
      <c r="AY863" s="142" t="s">
        <v>2398</v>
      </c>
      <c r="AZ863" s="142" t="s">
        <v>2705</v>
      </c>
    </row>
    <row r="864" spans="1:52" s="142" customFormat="1" ht="12.75" x14ac:dyDescent="0.2">
      <c r="A864" s="151"/>
      <c r="B864" s="152" t="s">
        <v>1435</v>
      </c>
      <c r="C864" s="152" t="s">
        <v>2675</v>
      </c>
      <c r="D864" s="152" t="s">
        <v>1435</v>
      </c>
      <c r="E864" s="152" t="s">
        <v>2705</v>
      </c>
      <c r="F864" s="152" t="s">
        <v>2705</v>
      </c>
      <c r="G864" s="152" t="s">
        <v>2705</v>
      </c>
      <c r="H864" s="152" t="s">
        <v>2705</v>
      </c>
      <c r="I864" s="152" t="s">
        <v>2398</v>
      </c>
      <c r="J864" s="152" t="s">
        <v>2675</v>
      </c>
      <c r="K864" s="152" t="s">
        <v>2705</v>
      </c>
      <c r="L864" s="152" t="s">
        <v>2397</v>
      </c>
      <c r="M864" s="152" t="s">
        <v>2705</v>
      </c>
      <c r="N864" s="152" t="s">
        <v>2705</v>
      </c>
      <c r="O864" s="152" t="s">
        <v>2705</v>
      </c>
      <c r="P864" s="152" t="s">
        <v>2705</v>
      </c>
      <c r="Q864" s="152" t="s">
        <v>2705</v>
      </c>
      <c r="R864" s="152" t="s">
        <v>2705</v>
      </c>
      <c r="S864" s="152" t="s">
        <v>2705</v>
      </c>
      <c r="T864" s="152" t="s">
        <v>2705</v>
      </c>
      <c r="U864" s="152" t="s">
        <v>2398</v>
      </c>
      <c r="V864" s="142" t="str" cm="1">
        <f t="array" ref="V864">IF(A864&lt;&gt;"",SUM(--(B864:U865 = "X")*$U$3,--(B864:U865 ="A")*$Q$3,--(B864:U865 ="B")*$R$3,--(B864:U865 ="C")*$S$3),"")</f>
        <v/>
      </c>
      <c r="AG864" s="142" t="s">
        <v>1435</v>
      </c>
      <c r="AH864" s="142" t="s">
        <v>2675</v>
      </c>
      <c r="AI864" s="142" t="s">
        <v>1435</v>
      </c>
      <c r="AJ864" s="142" t="s">
        <v>2705</v>
      </c>
      <c r="AK864" s="142" t="s">
        <v>2705</v>
      </c>
      <c r="AL864" s="142" t="s">
        <v>2705</v>
      </c>
      <c r="AM864" s="142" t="s">
        <v>2705</v>
      </c>
      <c r="AN864" s="142" t="s">
        <v>2398</v>
      </c>
      <c r="AO864" s="142" t="s">
        <v>2675</v>
      </c>
      <c r="AP864" s="142" t="s">
        <v>2705</v>
      </c>
      <c r="AQ864" s="142" t="s">
        <v>2397</v>
      </c>
      <c r="AR864" s="142" t="s">
        <v>2705</v>
      </c>
      <c r="AS864" s="142" t="s">
        <v>2705</v>
      </c>
      <c r="AT864" s="142" t="s">
        <v>2705</v>
      </c>
      <c r="AU864" s="142" t="s">
        <v>2705</v>
      </c>
      <c r="AV864" s="142" t="s">
        <v>2705</v>
      </c>
      <c r="AW864" s="142" t="s">
        <v>2705</v>
      </c>
      <c r="AX864" s="142" t="s">
        <v>2705</v>
      </c>
      <c r="AY864" s="142" t="s">
        <v>2705</v>
      </c>
      <c r="AZ864" s="142" t="s">
        <v>2398</v>
      </c>
    </row>
    <row r="865" spans="1:52" s="142" customFormat="1" ht="12.75" x14ac:dyDescent="0.2">
      <c r="A865" s="151" t="s">
        <v>7749</v>
      </c>
      <c r="B865" s="152" t="s">
        <v>2398</v>
      </c>
      <c r="C865" s="152" t="s">
        <v>2675</v>
      </c>
      <c r="D865" s="152" t="s">
        <v>2398</v>
      </c>
      <c r="E865" s="152" t="s">
        <v>2398</v>
      </c>
      <c r="F865" s="152" t="s">
        <v>2705</v>
      </c>
      <c r="G865" s="152" t="s">
        <v>2705</v>
      </c>
      <c r="H865" s="152" t="s">
        <v>2705</v>
      </c>
      <c r="I865" s="152" t="s">
        <v>2398</v>
      </c>
      <c r="J865" s="152" t="s">
        <v>2675</v>
      </c>
      <c r="K865" s="152" t="s">
        <v>1435</v>
      </c>
      <c r="L865" s="152" t="s">
        <v>2705</v>
      </c>
      <c r="M865" s="152" t="s">
        <v>2705</v>
      </c>
      <c r="N865" s="152" t="s">
        <v>2705</v>
      </c>
      <c r="O865" s="152" t="s">
        <v>2705</v>
      </c>
      <c r="P865" s="152" t="s">
        <v>2705</v>
      </c>
      <c r="Q865" s="152" t="s">
        <v>1435</v>
      </c>
      <c r="R865" s="152" t="s">
        <v>2705</v>
      </c>
      <c r="S865" s="152" t="s">
        <v>2705</v>
      </c>
      <c r="T865" s="152" t="s">
        <v>2705</v>
      </c>
      <c r="U865" s="152" t="s">
        <v>2705</v>
      </c>
      <c r="V865" s="142" cm="1">
        <f t="array" ref="V865">IF(A865&lt;&gt;"",SUM(--(B865:U866 = "X")*$U$3,--(B865:U866 ="A")*$Q$3,--(B865:U866 ="B")*$R$3,--(B865:U866 ="C")*$S$3),"")</f>
        <v>23</v>
      </c>
      <c r="AF865" s="142" t="s">
        <v>7749</v>
      </c>
      <c r="AG865" s="142" t="s">
        <v>2398</v>
      </c>
      <c r="AH865" s="142" t="s">
        <v>2675</v>
      </c>
      <c r="AI865" s="142" t="s">
        <v>2398</v>
      </c>
      <c r="AJ865" s="142" t="s">
        <v>2398</v>
      </c>
      <c r="AK865" s="142" t="s">
        <v>2705</v>
      </c>
      <c r="AL865" s="142" t="s">
        <v>2705</v>
      </c>
      <c r="AM865" s="142" t="s">
        <v>2705</v>
      </c>
      <c r="AN865" s="142" t="s">
        <v>2398</v>
      </c>
      <c r="AO865" s="142" t="s">
        <v>2675</v>
      </c>
      <c r="AP865" s="142" t="s">
        <v>1435</v>
      </c>
      <c r="AQ865" s="142" t="s">
        <v>2705</v>
      </c>
      <c r="AR865" s="142" t="s">
        <v>2705</v>
      </c>
      <c r="AS865" s="142" t="s">
        <v>2705</v>
      </c>
      <c r="AT865" s="142" t="s">
        <v>2705</v>
      </c>
      <c r="AU865" s="142" t="s">
        <v>2705</v>
      </c>
      <c r="AV865" s="142" t="s">
        <v>1435</v>
      </c>
      <c r="AW865" s="142" t="s">
        <v>2705</v>
      </c>
      <c r="AX865" s="142" t="s">
        <v>2705</v>
      </c>
      <c r="AY865" s="142" t="s">
        <v>2705</v>
      </c>
      <c r="AZ865" s="142" t="s">
        <v>2705</v>
      </c>
    </row>
    <row r="866" spans="1:52" s="142" customFormat="1" ht="12.75" x14ac:dyDescent="0.2">
      <c r="A866" s="151"/>
      <c r="B866" s="152" t="s">
        <v>2675</v>
      </c>
      <c r="C866" s="152" t="s">
        <v>2398</v>
      </c>
      <c r="D866" s="152" t="s">
        <v>2705</v>
      </c>
      <c r="E866" s="152" t="s">
        <v>2705</v>
      </c>
      <c r="F866" s="152" t="s">
        <v>2705</v>
      </c>
      <c r="G866" s="152" t="s">
        <v>2705</v>
      </c>
      <c r="H866" s="152" t="s">
        <v>2398</v>
      </c>
      <c r="I866" s="152" t="s">
        <v>1435</v>
      </c>
      <c r="J866" s="152" t="s">
        <v>2705</v>
      </c>
      <c r="K866" s="152" t="s">
        <v>2705</v>
      </c>
      <c r="L866" s="152" t="s">
        <v>2398</v>
      </c>
      <c r="M866" s="152" t="s">
        <v>2398</v>
      </c>
      <c r="N866" s="152" t="s">
        <v>2705</v>
      </c>
      <c r="O866" s="152" t="s">
        <v>2705</v>
      </c>
      <c r="P866" s="152" t="s">
        <v>2705</v>
      </c>
      <c r="Q866" s="152" t="s">
        <v>2705</v>
      </c>
      <c r="R866" s="152" t="s">
        <v>2705</v>
      </c>
      <c r="S866" s="152" t="s">
        <v>2705</v>
      </c>
      <c r="T866" s="152" t="s">
        <v>2705</v>
      </c>
      <c r="U866" s="152" t="s">
        <v>2705</v>
      </c>
      <c r="V866" s="142" t="str" cm="1">
        <f t="array" ref="V866">IF(A866&lt;&gt;"",SUM(--(B866:U867 = "X")*$U$3,--(B866:U867 ="A")*$Q$3,--(B866:U867 ="B")*$R$3,--(B866:U867 ="C")*$S$3),"")</f>
        <v/>
      </c>
      <c r="AG866" s="142" t="s">
        <v>2675</v>
      </c>
      <c r="AH866" s="142" t="s">
        <v>2398</v>
      </c>
      <c r="AI866" s="142" t="s">
        <v>2705</v>
      </c>
      <c r="AJ866" s="142" t="s">
        <v>2705</v>
      </c>
      <c r="AK866" s="142" t="s">
        <v>2705</v>
      </c>
      <c r="AL866" s="142" t="s">
        <v>2705</v>
      </c>
      <c r="AM866" s="142" t="s">
        <v>2398</v>
      </c>
      <c r="AN866" s="142" t="s">
        <v>1435</v>
      </c>
      <c r="AO866" s="142" t="s">
        <v>2705</v>
      </c>
      <c r="AP866" s="142" t="s">
        <v>2705</v>
      </c>
      <c r="AQ866" s="142" t="s">
        <v>2398</v>
      </c>
      <c r="AR866" s="142" t="s">
        <v>2398</v>
      </c>
      <c r="AS866" s="142" t="s">
        <v>2705</v>
      </c>
      <c r="AT866" s="142" t="s">
        <v>2705</v>
      </c>
      <c r="AU866" s="142" t="s">
        <v>2705</v>
      </c>
      <c r="AV866" s="142" t="s">
        <v>2705</v>
      </c>
      <c r="AW866" s="142" t="s">
        <v>2705</v>
      </c>
      <c r="AX866" s="142" t="s">
        <v>2705</v>
      </c>
      <c r="AY866" s="142" t="s">
        <v>2705</v>
      </c>
      <c r="AZ866" s="142" t="s">
        <v>2705</v>
      </c>
    </row>
    <row r="867" spans="1:52" s="142" customFormat="1" ht="12.75" x14ac:dyDescent="0.2">
      <c r="A867" s="151" t="s">
        <v>7750</v>
      </c>
      <c r="B867" s="152" t="s">
        <v>2705</v>
      </c>
      <c r="C867" s="152" t="s">
        <v>2705</v>
      </c>
      <c r="D867" s="152" t="s">
        <v>2705</v>
      </c>
      <c r="E867" s="152" t="s">
        <v>2705</v>
      </c>
      <c r="F867" s="152" t="s">
        <v>2705</v>
      </c>
      <c r="G867" s="152" t="s">
        <v>2705</v>
      </c>
      <c r="H867" s="152" t="s">
        <v>2705</v>
      </c>
      <c r="I867" s="152" t="s">
        <v>2705</v>
      </c>
      <c r="J867" s="152" t="s">
        <v>2705</v>
      </c>
      <c r="K867" s="152" t="s">
        <v>2705</v>
      </c>
      <c r="L867" s="152" t="s">
        <v>1435</v>
      </c>
      <c r="M867" s="152" t="s">
        <v>1435</v>
      </c>
      <c r="N867" s="152" t="s">
        <v>2705</v>
      </c>
      <c r="O867" s="152" t="s">
        <v>2705</v>
      </c>
      <c r="P867" s="152" t="s">
        <v>2705</v>
      </c>
      <c r="Q867" s="152" t="s">
        <v>2705</v>
      </c>
      <c r="R867" s="152" t="s">
        <v>2705</v>
      </c>
      <c r="S867" s="152" t="s">
        <v>2675</v>
      </c>
      <c r="T867" s="152" t="s">
        <v>1435</v>
      </c>
      <c r="U867" s="152" t="s">
        <v>2705</v>
      </c>
      <c r="V867" s="142" cm="1">
        <f t="array" ref="V867">IF(A867&lt;&gt;"",SUM(--(B867:U868 = "X")*$U$3,--(B867:U868 ="A")*$Q$3,--(B867:U868 ="B")*$R$3,--(B867:U868 ="C")*$S$3),"")</f>
        <v>29.5</v>
      </c>
      <c r="AF867" s="142" t="s">
        <v>7750</v>
      </c>
      <c r="AG867" s="142" t="s">
        <v>2705</v>
      </c>
      <c r="AH867" s="142" t="s">
        <v>2705</v>
      </c>
      <c r="AI867" s="142" t="s">
        <v>2705</v>
      </c>
      <c r="AJ867" s="142" t="s">
        <v>2705</v>
      </c>
      <c r="AK867" s="142" t="s">
        <v>2705</v>
      </c>
      <c r="AL867" s="142" t="s">
        <v>2705</v>
      </c>
      <c r="AM867" s="142" t="s">
        <v>2705</v>
      </c>
      <c r="AN867" s="142" t="s">
        <v>2705</v>
      </c>
      <c r="AO867" s="142" t="s">
        <v>2705</v>
      </c>
      <c r="AP867" s="142" t="s">
        <v>2705</v>
      </c>
      <c r="AQ867" s="142" t="s">
        <v>1435</v>
      </c>
      <c r="AR867" s="142" t="s">
        <v>1435</v>
      </c>
      <c r="AS867" s="142" t="s">
        <v>2705</v>
      </c>
      <c r="AT867" s="142" t="s">
        <v>2705</v>
      </c>
      <c r="AU867" s="142" t="s">
        <v>2705</v>
      </c>
      <c r="AV867" s="142" t="s">
        <v>2705</v>
      </c>
      <c r="AW867" s="142" t="s">
        <v>2705</v>
      </c>
      <c r="AX867" s="142" t="s">
        <v>2675</v>
      </c>
      <c r="AY867" s="142" t="s">
        <v>1435</v>
      </c>
      <c r="AZ867" s="142" t="s">
        <v>2705</v>
      </c>
    </row>
    <row r="868" spans="1:52" s="142" customFormat="1" ht="12.75" x14ac:dyDescent="0.2">
      <c r="A868" s="151"/>
      <c r="B868" s="152" t="s">
        <v>2705</v>
      </c>
      <c r="C868" s="152" t="s">
        <v>2705</v>
      </c>
      <c r="D868" s="152" t="s">
        <v>2705</v>
      </c>
      <c r="E868" s="152" t="s">
        <v>2705</v>
      </c>
      <c r="F868" s="152" t="s">
        <v>2705</v>
      </c>
      <c r="G868" s="152" t="s">
        <v>2705</v>
      </c>
      <c r="H868" s="152" t="s">
        <v>2705</v>
      </c>
      <c r="I868" s="152" t="s">
        <v>2705</v>
      </c>
      <c r="J868" s="152" t="s">
        <v>2705</v>
      </c>
      <c r="K868" s="152" t="s">
        <v>2705</v>
      </c>
      <c r="L868" s="152" t="s">
        <v>2705</v>
      </c>
      <c r="M868" s="152" t="s">
        <v>2705</v>
      </c>
      <c r="N868" s="152" t="s">
        <v>2705</v>
      </c>
      <c r="O868" s="152" t="s">
        <v>2705</v>
      </c>
      <c r="P868" s="152" t="s">
        <v>2675</v>
      </c>
      <c r="Q868" s="152" t="s">
        <v>2675</v>
      </c>
      <c r="R868" s="152" t="s">
        <v>2675</v>
      </c>
      <c r="S868" s="152" t="s">
        <v>2705</v>
      </c>
      <c r="T868" s="152" t="s">
        <v>2705</v>
      </c>
      <c r="U868" s="152" t="s">
        <v>2705</v>
      </c>
      <c r="V868" s="142" t="str" cm="1">
        <f t="array" ref="V868">IF(A868&lt;&gt;"",SUM(--(B868:U869 = "X")*$U$3,--(B868:U869 ="A")*$Q$3,--(B868:U869 ="B")*$R$3,--(B868:U869 ="C")*$S$3),"")</f>
        <v/>
      </c>
      <c r="AG868" s="142" t="s">
        <v>2705</v>
      </c>
      <c r="AH868" s="142" t="s">
        <v>2705</v>
      </c>
      <c r="AI868" s="142" t="s">
        <v>2705</v>
      </c>
      <c r="AJ868" s="142" t="s">
        <v>2705</v>
      </c>
      <c r="AK868" s="142" t="s">
        <v>2705</v>
      </c>
      <c r="AL868" s="142" t="s">
        <v>2705</v>
      </c>
      <c r="AM868" s="142" t="s">
        <v>2705</v>
      </c>
      <c r="AN868" s="142" t="s">
        <v>2705</v>
      </c>
      <c r="AO868" s="142" t="s">
        <v>2705</v>
      </c>
      <c r="AP868" s="142" t="s">
        <v>2705</v>
      </c>
      <c r="AQ868" s="142" t="s">
        <v>2705</v>
      </c>
      <c r="AR868" s="142" t="s">
        <v>2705</v>
      </c>
      <c r="AS868" s="142" t="s">
        <v>2705</v>
      </c>
      <c r="AT868" s="142" t="s">
        <v>2705</v>
      </c>
      <c r="AU868" s="142" t="s">
        <v>2675</v>
      </c>
      <c r="AV868" s="142" t="s">
        <v>2675</v>
      </c>
      <c r="AW868" s="142" t="s">
        <v>2675</v>
      </c>
      <c r="AX868" s="142" t="s">
        <v>2705</v>
      </c>
      <c r="AY868" s="142" t="s">
        <v>2705</v>
      </c>
      <c r="AZ868" s="142" t="s">
        <v>2705</v>
      </c>
    </row>
    <row r="869" spans="1:52" s="142" customFormat="1" ht="12.75" x14ac:dyDescent="0.2">
      <c r="A869" s="151" t="s">
        <v>7751</v>
      </c>
      <c r="B869" s="152" t="s">
        <v>2705</v>
      </c>
      <c r="C869" s="152" t="s">
        <v>2705</v>
      </c>
      <c r="D869" s="152" t="s">
        <v>2705</v>
      </c>
      <c r="E869" s="152" t="s">
        <v>2397</v>
      </c>
      <c r="F869" s="152" t="s">
        <v>2398</v>
      </c>
      <c r="G869" s="152" t="s">
        <v>2398</v>
      </c>
      <c r="H869" s="152" t="s">
        <v>1435</v>
      </c>
      <c r="I869" s="152" t="s">
        <v>2398</v>
      </c>
      <c r="J869" s="152" t="s">
        <v>2705</v>
      </c>
      <c r="K869" s="152" t="s">
        <v>2705</v>
      </c>
      <c r="L869" s="152" t="s">
        <v>2705</v>
      </c>
      <c r="M869" s="152" t="s">
        <v>2398</v>
      </c>
      <c r="N869" s="152" t="s">
        <v>2397</v>
      </c>
      <c r="O869" s="152" t="s">
        <v>2398</v>
      </c>
      <c r="P869" s="152" t="s">
        <v>2705</v>
      </c>
      <c r="Q869" s="152" t="s">
        <v>2675</v>
      </c>
      <c r="R869" s="152" t="s">
        <v>2705</v>
      </c>
      <c r="S869" s="152" t="s">
        <v>2398</v>
      </c>
      <c r="T869" s="152" t="s">
        <v>2705</v>
      </c>
      <c r="U869" s="152" t="s">
        <v>2398</v>
      </c>
      <c r="V869" s="142" cm="1">
        <f t="array" ref="V869">IF(A869&lt;&gt;"",SUM(--(B869:U870 = "X")*$U$3,--(B869:U870 ="A")*$Q$3,--(B869:U870 ="B")*$R$3,--(B869:U870 ="C")*$S$3),"")</f>
        <v>16.5</v>
      </c>
      <c r="AF869" s="142" t="s">
        <v>7751</v>
      </c>
      <c r="AG869" s="142" t="s">
        <v>2705</v>
      </c>
      <c r="AH869" s="142" t="s">
        <v>2705</v>
      </c>
      <c r="AI869" s="142" t="s">
        <v>2705</v>
      </c>
      <c r="AJ869" s="142" t="s">
        <v>2397</v>
      </c>
      <c r="AK869" s="142" t="s">
        <v>2398</v>
      </c>
      <c r="AL869" s="142" t="s">
        <v>2398</v>
      </c>
      <c r="AM869" s="142" t="s">
        <v>1435</v>
      </c>
      <c r="AN869" s="142" t="s">
        <v>2398</v>
      </c>
      <c r="AO869" s="142" t="s">
        <v>2705</v>
      </c>
      <c r="AP869" s="142" t="s">
        <v>2705</v>
      </c>
      <c r="AQ869" s="142" t="s">
        <v>2705</v>
      </c>
      <c r="AR869" s="142" t="s">
        <v>2398</v>
      </c>
      <c r="AS869" s="142" t="s">
        <v>2397</v>
      </c>
      <c r="AT869" s="142" t="s">
        <v>2398</v>
      </c>
      <c r="AU869" s="142" t="s">
        <v>2705</v>
      </c>
      <c r="AV869" s="142" t="s">
        <v>2675</v>
      </c>
      <c r="AW869" s="142" t="s">
        <v>2705</v>
      </c>
      <c r="AX869" s="142" t="s">
        <v>2398</v>
      </c>
      <c r="AY869" s="142" t="s">
        <v>2705</v>
      </c>
      <c r="AZ869" s="142" t="s">
        <v>2398</v>
      </c>
    </row>
    <row r="870" spans="1:52" s="142" customFormat="1" ht="12.75" x14ac:dyDescent="0.2">
      <c r="A870" s="151"/>
      <c r="B870" s="152" t="s">
        <v>2705</v>
      </c>
      <c r="C870" s="152" t="s">
        <v>2705</v>
      </c>
      <c r="D870" s="152" t="s">
        <v>2398</v>
      </c>
      <c r="E870" s="152" t="s">
        <v>2398</v>
      </c>
      <c r="F870" s="152" t="s">
        <v>2705</v>
      </c>
      <c r="G870" s="152" t="s">
        <v>2398</v>
      </c>
      <c r="H870" s="152" t="s">
        <v>2398</v>
      </c>
      <c r="I870" s="152" t="s">
        <v>2705</v>
      </c>
      <c r="J870" s="152" t="s">
        <v>1435</v>
      </c>
      <c r="K870" s="152" t="s">
        <v>2705</v>
      </c>
      <c r="L870" s="152" t="s">
        <v>2398</v>
      </c>
      <c r="M870" s="152" t="s">
        <v>2398</v>
      </c>
      <c r="N870" s="152" t="s">
        <v>2398</v>
      </c>
      <c r="O870" s="152" t="s">
        <v>2705</v>
      </c>
      <c r="P870" s="152" t="s">
        <v>2398</v>
      </c>
      <c r="Q870" s="152" t="s">
        <v>2705</v>
      </c>
      <c r="R870" s="152" t="s">
        <v>2398</v>
      </c>
      <c r="S870" s="152" t="s">
        <v>2398</v>
      </c>
      <c r="T870" s="152" t="s">
        <v>2705</v>
      </c>
      <c r="U870" s="152" t="s">
        <v>2705</v>
      </c>
      <c r="V870" s="142" t="str" cm="1">
        <f t="array" ref="V870">IF(A870&lt;&gt;"",SUM(--(B870:U871 = "X")*$U$3,--(B870:U871 ="A")*$Q$3,--(B870:U871 ="B")*$R$3,--(B870:U871 ="C")*$S$3),"")</f>
        <v/>
      </c>
      <c r="AG870" s="142" t="s">
        <v>2705</v>
      </c>
      <c r="AH870" s="142" t="s">
        <v>2705</v>
      </c>
      <c r="AI870" s="142" t="s">
        <v>2398</v>
      </c>
      <c r="AJ870" s="142" t="s">
        <v>2398</v>
      </c>
      <c r="AK870" s="142" t="s">
        <v>2705</v>
      </c>
      <c r="AL870" s="142" t="s">
        <v>2398</v>
      </c>
      <c r="AM870" s="142" t="s">
        <v>2398</v>
      </c>
      <c r="AN870" s="142" t="s">
        <v>2705</v>
      </c>
      <c r="AO870" s="142" t="s">
        <v>1435</v>
      </c>
      <c r="AP870" s="142" t="s">
        <v>2705</v>
      </c>
      <c r="AQ870" s="142" t="s">
        <v>2398</v>
      </c>
      <c r="AR870" s="142" t="s">
        <v>2398</v>
      </c>
      <c r="AS870" s="142" t="s">
        <v>2398</v>
      </c>
      <c r="AT870" s="142" t="s">
        <v>2705</v>
      </c>
      <c r="AU870" s="142" t="s">
        <v>2398</v>
      </c>
      <c r="AV870" s="142" t="s">
        <v>2705</v>
      </c>
      <c r="AW870" s="142" t="s">
        <v>2398</v>
      </c>
      <c r="AX870" s="142" t="s">
        <v>2398</v>
      </c>
      <c r="AY870" s="142" t="s">
        <v>2705</v>
      </c>
      <c r="AZ870" s="142" t="s">
        <v>2705</v>
      </c>
    </row>
    <row r="871" spans="1:52" s="142" customFormat="1" ht="12.75" x14ac:dyDescent="0.2">
      <c r="A871" s="151" t="s">
        <v>7752</v>
      </c>
      <c r="B871" s="152" t="s">
        <v>2705</v>
      </c>
      <c r="C871" s="152" t="s">
        <v>2705</v>
      </c>
      <c r="D871" s="152" t="s">
        <v>2705</v>
      </c>
      <c r="E871" s="152" t="s">
        <v>2705</v>
      </c>
      <c r="F871" s="152" t="s">
        <v>2705</v>
      </c>
      <c r="G871" s="152" t="s">
        <v>2705</v>
      </c>
      <c r="H871" s="152" t="s">
        <v>2675</v>
      </c>
      <c r="I871" s="152" t="s">
        <v>2705</v>
      </c>
      <c r="J871" s="152" t="s">
        <v>2705</v>
      </c>
      <c r="K871" s="152" t="s">
        <v>2397</v>
      </c>
      <c r="L871" s="152" t="s">
        <v>2675</v>
      </c>
      <c r="M871" s="152" t="s">
        <v>2398</v>
      </c>
      <c r="N871" s="152" t="s">
        <v>2705</v>
      </c>
      <c r="O871" s="152" t="s">
        <v>2398</v>
      </c>
      <c r="P871" s="152" t="s">
        <v>2705</v>
      </c>
      <c r="Q871" s="152" t="s">
        <v>2705</v>
      </c>
      <c r="R871" s="152" t="s">
        <v>2705</v>
      </c>
      <c r="S871" s="152" t="s">
        <v>2705</v>
      </c>
      <c r="T871" s="152" t="s">
        <v>2398</v>
      </c>
      <c r="U871" s="152" t="s">
        <v>2705</v>
      </c>
      <c r="V871" s="142" cm="1">
        <f t="array" ref="V871">IF(A871&lt;&gt;"",SUM(--(B871:U872 = "X")*$U$3,--(B871:U872 ="A")*$Q$3,--(B871:U872 ="B")*$R$3,--(B871:U872 ="C")*$S$3),"")</f>
        <v>22.5</v>
      </c>
      <c r="AF871" s="142" t="s">
        <v>7752</v>
      </c>
      <c r="AG871" s="142" t="s">
        <v>2705</v>
      </c>
      <c r="AH871" s="142" t="s">
        <v>2705</v>
      </c>
      <c r="AI871" s="142" t="s">
        <v>2705</v>
      </c>
      <c r="AJ871" s="142" t="s">
        <v>2705</v>
      </c>
      <c r="AK871" s="142" t="s">
        <v>2705</v>
      </c>
      <c r="AL871" s="142" t="s">
        <v>2705</v>
      </c>
      <c r="AM871" s="142" t="s">
        <v>2675</v>
      </c>
      <c r="AN871" s="142" t="s">
        <v>2705</v>
      </c>
      <c r="AO871" s="142" t="s">
        <v>2705</v>
      </c>
      <c r="AP871" s="142" t="s">
        <v>2397</v>
      </c>
      <c r="AQ871" s="142" t="s">
        <v>2675</v>
      </c>
      <c r="AR871" s="142" t="s">
        <v>2398</v>
      </c>
      <c r="AS871" s="142" t="s">
        <v>2705</v>
      </c>
      <c r="AT871" s="142" t="s">
        <v>2398</v>
      </c>
      <c r="AU871" s="142" t="s">
        <v>2705</v>
      </c>
      <c r="AV871" s="142" t="s">
        <v>2705</v>
      </c>
      <c r="AW871" s="142" t="s">
        <v>2705</v>
      </c>
      <c r="AX871" s="142" t="s">
        <v>2705</v>
      </c>
      <c r="AY871" s="142" t="s">
        <v>2398</v>
      </c>
      <c r="AZ871" s="142" t="s">
        <v>2705</v>
      </c>
    </row>
    <row r="872" spans="1:52" s="142" customFormat="1" ht="12.75" x14ac:dyDescent="0.2">
      <c r="A872" s="151"/>
      <c r="B872" s="152" t="s">
        <v>2398</v>
      </c>
      <c r="C872" s="152" t="s">
        <v>2398</v>
      </c>
      <c r="D872" s="152" t="s">
        <v>2398</v>
      </c>
      <c r="E872" s="152" t="s">
        <v>2705</v>
      </c>
      <c r="F872" s="152" t="s">
        <v>2398</v>
      </c>
      <c r="G872" s="152" t="s">
        <v>2705</v>
      </c>
      <c r="H872" s="152" t="s">
        <v>2705</v>
      </c>
      <c r="I872" s="152" t="s">
        <v>2705</v>
      </c>
      <c r="J872" s="152" t="s">
        <v>2675</v>
      </c>
      <c r="K872" s="152" t="s">
        <v>2705</v>
      </c>
      <c r="L872" s="152" t="s">
        <v>2398</v>
      </c>
      <c r="M872" s="152" t="s">
        <v>2705</v>
      </c>
      <c r="N872" s="152" t="s">
        <v>2675</v>
      </c>
      <c r="O872" s="152" t="s">
        <v>2705</v>
      </c>
      <c r="P872" s="152" t="s">
        <v>1435</v>
      </c>
      <c r="Q872" s="152" t="s">
        <v>2705</v>
      </c>
      <c r="R872" s="152" t="s">
        <v>2398</v>
      </c>
      <c r="S872" s="152" t="s">
        <v>2705</v>
      </c>
      <c r="T872" s="152" t="s">
        <v>2705</v>
      </c>
      <c r="U872" s="152" t="s">
        <v>2705</v>
      </c>
      <c r="V872" s="142" t="str" cm="1">
        <f t="array" ref="V872">IF(A872&lt;&gt;"",SUM(--(B872:U873 = "X")*$U$3,--(B872:U873 ="A")*$Q$3,--(B872:U873 ="B")*$R$3,--(B872:U873 ="C")*$S$3),"")</f>
        <v/>
      </c>
      <c r="AG872" s="142" t="s">
        <v>2398</v>
      </c>
      <c r="AH872" s="142" t="s">
        <v>2398</v>
      </c>
      <c r="AI872" s="142" t="s">
        <v>2398</v>
      </c>
      <c r="AJ872" s="142" t="s">
        <v>2705</v>
      </c>
      <c r="AK872" s="142" t="s">
        <v>2398</v>
      </c>
      <c r="AL872" s="142" t="s">
        <v>2705</v>
      </c>
      <c r="AM872" s="142" t="s">
        <v>2705</v>
      </c>
      <c r="AN872" s="142" t="s">
        <v>2705</v>
      </c>
      <c r="AO872" s="142" t="s">
        <v>2675</v>
      </c>
      <c r="AP872" s="142" t="s">
        <v>2705</v>
      </c>
      <c r="AQ872" s="142" t="s">
        <v>2398</v>
      </c>
      <c r="AR872" s="142" t="s">
        <v>2705</v>
      </c>
      <c r="AS872" s="142" t="s">
        <v>2675</v>
      </c>
      <c r="AT872" s="142" t="s">
        <v>2705</v>
      </c>
      <c r="AU872" s="142" t="s">
        <v>1435</v>
      </c>
      <c r="AV872" s="142" t="s">
        <v>2705</v>
      </c>
      <c r="AW872" s="142" t="s">
        <v>2398</v>
      </c>
      <c r="AX872" s="142" t="s">
        <v>2705</v>
      </c>
      <c r="AY872" s="142" t="s">
        <v>2705</v>
      </c>
      <c r="AZ872" s="142" t="s">
        <v>2705</v>
      </c>
    </row>
    <row r="873" spans="1:52" s="142" customFormat="1" ht="12.75" x14ac:dyDescent="0.2">
      <c r="A873" s="151" t="s">
        <v>7753</v>
      </c>
      <c r="B873" s="152" t="s">
        <v>2675</v>
      </c>
      <c r="C873" s="152" t="s">
        <v>2398</v>
      </c>
      <c r="D873" s="152" t="s">
        <v>2398</v>
      </c>
      <c r="E873" s="152" t="s">
        <v>2398</v>
      </c>
      <c r="F873" s="152" t="s">
        <v>2705</v>
      </c>
      <c r="G873" s="152" t="s">
        <v>2705</v>
      </c>
      <c r="H873" s="152" t="s">
        <v>2705</v>
      </c>
      <c r="I873" s="152" t="s">
        <v>2397</v>
      </c>
      <c r="J873" s="152" t="s">
        <v>2675</v>
      </c>
      <c r="K873" s="152" t="s">
        <v>2705</v>
      </c>
      <c r="L873" s="152" t="s">
        <v>2398</v>
      </c>
      <c r="M873" s="152" t="s">
        <v>2705</v>
      </c>
      <c r="N873" s="152" t="s">
        <v>2675</v>
      </c>
      <c r="O873" s="152" t="s">
        <v>2675</v>
      </c>
      <c r="P873" s="152" t="s">
        <v>2705</v>
      </c>
      <c r="Q873" s="152" t="s">
        <v>2705</v>
      </c>
      <c r="R873" s="152" t="s">
        <v>2675</v>
      </c>
      <c r="S873" s="152" t="s">
        <v>2705</v>
      </c>
      <c r="T873" s="152" t="s">
        <v>2705</v>
      </c>
      <c r="U873" s="152" t="s">
        <v>2705</v>
      </c>
      <c r="V873" s="142" cm="1">
        <f t="array" ref="V873">IF(A873&lt;&gt;"",SUM(--(B873:U874 = "X")*$U$3,--(B873:U874 ="A")*$Q$3,--(B873:U874 ="B")*$R$3,--(B873:U874 ="C")*$S$3),"")</f>
        <v>8.5</v>
      </c>
      <c r="AF873" s="142" t="s">
        <v>7753</v>
      </c>
      <c r="AG873" s="142" t="s">
        <v>2675</v>
      </c>
      <c r="AH873" s="142" t="s">
        <v>2398</v>
      </c>
      <c r="AI873" s="142" t="s">
        <v>2398</v>
      </c>
      <c r="AJ873" s="142" t="s">
        <v>2398</v>
      </c>
      <c r="AK873" s="142" t="s">
        <v>2705</v>
      </c>
      <c r="AL873" s="142" t="s">
        <v>2705</v>
      </c>
      <c r="AM873" s="142" t="s">
        <v>2705</v>
      </c>
      <c r="AN873" s="142" t="s">
        <v>2397</v>
      </c>
      <c r="AO873" s="142" t="s">
        <v>2675</v>
      </c>
      <c r="AP873" s="142" t="s">
        <v>2705</v>
      </c>
      <c r="AQ873" s="142" t="s">
        <v>2398</v>
      </c>
      <c r="AR873" s="142" t="s">
        <v>2705</v>
      </c>
      <c r="AS873" s="142" t="s">
        <v>2675</v>
      </c>
      <c r="AT873" s="142" t="s">
        <v>2675</v>
      </c>
      <c r="AU873" s="142" t="s">
        <v>2705</v>
      </c>
      <c r="AV873" s="142" t="s">
        <v>2705</v>
      </c>
      <c r="AW873" s="142" t="s">
        <v>2675</v>
      </c>
      <c r="AX873" s="142" t="s">
        <v>2705</v>
      </c>
      <c r="AY873" s="142" t="s">
        <v>2705</v>
      </c>
      <c r="AZ873" s="142" t="s">
        <v>2705</v>
      </c>
    </row>
    <row r="874" spans="1:52" s="142" customFormat="1" ht="12.75" x14ac:dyDescent="0.2">
      <c r="A874" s="151"/>
      <c r="B874" s="152" t="s">
        <v>2398</v>
      </c>
      <c r="C874" s="152" t="s">
        <v>2675</v>
      </c>
      <c r="D874" s="152" t="s">
        <v>2398</v>
      </c>
      <c r="E874" s="152" t="s">
        <v>1435</v>
      </c>
      <c r="F874" s="152" t="s">
        <v>2705</v>
      </c>
      <c r="G874" s="152" t="s">
        <v>2675</v>
      </c>
      <c r="H874" s="152" t="s">
        <v>2398</v>
      </c>
      <c r="I874" s="152" t="s">
        <v>2705</v>
      </c>
      <c r="J874" s="152" t="s">
        <v>2398</v>
      </c>
      <c r="K874" s="152" t="s">
        <v>2705</v>
      </c>
      <c r="L874" s="152" t="s">
        <v>2705</v>
      </c>
      <c r="M874" s="152" t="s">
        <v>2398</v>
      </c>
      <c r="N874" s="152" t="s">
        <v>2398</v>
      </c>
      <c r="O874" s="152" t="s">
        <v>2398</v>
      </c>
      <c r="P874" s="152" t="s">
        <v>2675</v>
      </c>
      <c r="Q874" s="152" t="s">
        <v>1435</v>
      </c>
      <c r="R874" s="152" t="s">
        <v>2675</v>
      </c>
      <c r="S874" s="152" t="s">
        <v>2398</v>
      </c>
      <c r="T874" s="152" t="s">
        <v>2398</v>
      </c>
      <c r="U874" s="152" t="s">
        <v>2398</v>
      </c>
      <c r="V874" s="142" t="str" cm="1">
        <f t="array" ref="V874">IF(A874&lt;&gt;"",SUM(--(B874:U875 = "X")*$U$3,--(B874:U875 ="A")*$Q$3,--(B874:U875 ="B")*$R$3,--(B874:U875 ="C")*$S$3),"")</f>
        <v/>
      </c>
      <c r="AG874" s="142" t="s">
        <v>2398</v>
      </c>
      <c r="AH874" s="142" t="s">
        <v>2675</v>
      </c>
      <c r="AI874" s="142" t="s">
        <v>2398</v>
      </c>
      <c r="AJ874" s="142" t="s">
        <v>1435</v>
      </c>
      <c r="AK874" s="142" t="s">
        <v>2705</v>
      </c>
      <c r="AL874" s="142" t="s">
        <v>2675</v>
      </c>
      <c r="AM874" s="142" t="s">
        <v>2398</v>
      </c>
      <c r="AN874" s="142" t="s">
        <v>2705</v>
      </c>
      <c r="AO874" s="142" t="s">
        <v>2398</v>
      </c>
      <c r="AP874" s="142" t="s">
        <v>2705</v>
      </c>
      <c r="AQ874" s="142" t="s">
        <v>2705</v>
      </c>
      <c r="AR874" s="142" t="s">
        <v>2398</v>
      </c>
      <c r="AS874" s="142" t="s">
        <v>2398</v>
      </c>
      <c r="AT874" s="142" t="s">
        <v>2398</v>
      </c>
      <c r="AU874" s="142" t="s">
        <v>2675</v>
      </c>
      <c r="AV874" s="142" t="s">
        <v>1435</v>
      </c>
      <c r="AW874" s="142" t="s">
        <v>2675</v>
      </c>
      <c r="AX874" s="142" t="s">
        <v>2398</v>
      </c>
      <c r="AY874" s="142" t="s">
        <v>2398</v>
      </c>
      <c r="AZ874" s="142" t="s">
        <v>2398</v>
      </c>
    </row>
    <row r="875" spans="1:52" s="142" customFormat="1" ht="12.75" x14ac:dyDescent="0.2">
      <c r="A875" s="151" t="s">
        <v>7754</v>
      </c>
      <c r="B875" s="152" t="s">
        <v>2705</v>
      </c>
      <c r="C875" s="152" t="s">
        <v>2705</v>
      </c>
      <c r="D875" s="152" t="s">
        <v>2675</v>
      </c>
      <c r="E875" s="152" t="s">
        <v>2705</v>
      </c>
      <c r="F875" s="152" t="s">
        <v>2398</v>
      </c>
      <c r="G875" s="152" t="s">
        <v>2705</v>
      </c>
      <c r="H875" s="152" t="s">
        <v>2398</v>
      </c>
      <c r="I875" s="152" t="s">
        <v>2397</v>
      </c>
      <c r="J875" s="152" t="s">
        <v>2398</v>
      </c>
      <c r="K875" s="152" t="s">
        <v>1435</v>
      </c>
      <c r="L875" s="152" t="s">
        <v>2705</v>
      </c>
      <c r="M875" s="152" t="s">
        <v>2705</v>
      </c>
      <c r="N875" s="152" t="s">
        <v>2705</v>
      </c>
      <c r="O875" s="152" t="s">
        <v>2705</v>
      </c>
      <c r="P875" s="152" t="s">
        <v>2705</v>
      </c>
      <c r="Q875" s="152" t="s">
        <v>2705</v>
      </c>
      <c r="R875" s="152" t="s">
        <v>2675</v>
      </c>
      <c r="S875" s="152" t="s">
        <v>2675</v>
      </c>
      <c r="T875" s="152" t="s">
        <v>2705</v>
      </c>
      <c r="U875" s="152" t="s">
        <v>2705</v>
      </c>
      <c r="V875" s="142" cm="1">
        <f t="array" ref="V875">IF(A875&lt;&gt;"",SUM(--(B875:U876 = "X")*$U$3,--(B875:U876 ="A")*$Q$3,--(B875:U876 ="B")*$R$3,--(B875:U876 ="C")*$S$3),"")</f>
        <v>19</v>
      </c>
      <c r="AF875" s="142" t="s">
        <v>7754</v>
      </c>
      <c r="AG875" s="142" t="s">
        <v>2705</v>
      </c>
      <c r="AH875" s="142" t="s">
        <v>2705</v>
      </c>
      <c r="AI875" s="142" t="s">
        <v>2675</v>
      </c>
      <c r="AJ875" s="142" t="s">
        <v>2705</v>
      </c>
      <c r="AK875" s="142" t="s">
        <v>2398</v>
      </c>
      <c r="AL875" s="142" t="s">
        <v>2705</v>
      </c>
      <c r="AM875" s="142" t="s">
        <v>2398</v>
      </c>
      <c r="AN875" s="142" t="s">
        <v>2397</v>
      </c>
      <c r="AO875" s="142" t="s">
        <v>2398</v>
      </c>
      <c r="AP875" s="142" t="s">
        <v>1435</v>
      </c>
      <c r="AQ875" s="142" t="s">
        <v>2705</v>
      </c>
      <c r="AR875" s="142" t="s">
        <v>2705</v>
      </c>
      <c r="AS875" s="142" t="s">
        <v>2705</v>
      </c>
      <c r="AT875" s="142" t="s">
        <v>2705</v>
      </c>
      <c r="AU875" s="142" t="s">
        <v>2705</v>
      </c>
      <c r="AV875" s="142" t="s">
        <v>2705</v>
      </c>
      <c r="AW875" s="142" t="s">
        <v>2675</v>
      </c>
      <c r="AX875" s="142" t="s">
        <v>2675</v>
      </c>
      <c r="AY875" s="142" t="s">
        <v>2705</v>
      </c>
      <c r="AZ875" s="142" t="s">
        <v>2705</v>
      </c>
    </row>
    <row r="876" spans="1:52" s="142" customFormat="1" ht="12.75" x14ac:dyDescent="0.2">
      <c r="A876" s="151"/>
      <c r="B876" s="152" t="s">
        <v>2705</v>
      </c>
      <c r="C876" s="152" t="s">
        <v>2705</v>
      </c>
      <c r="D876" s="152" t="s">
        <v>2675</v>
      </c>
      <c r="E876" s="152" t="s">
        <v>2705</v>
      </c>
      <c r="F876" s="152" t="s">
        <v>2398</v>
      </c>
      <c r="G876" s="152" t="s">
        <v>2398</v>
      </c>
      <c r="H876" s="152" t="s">
        <v>2675</v>
      </c>
      <c r="I876" s="152" t="s">
        <v>2705</v>
      </c>
      <c r="J876" s="152" t="s">
        <v>2705</v>
      </c>
      <c r="K876" s="152" t="s">
        <v>2675</v>
      </c>
      <c r="L876" s="152" t="s">
        <v>2705</v>
      </c>
      <c r="M876" s="152" t="s">
        <v>2398</v>
      </c>
      <c r="N876" s="152" t="s">
        <v>1435</v>
      </c>
      <c r="O876" s="152" t="s">
        <v>2705</v>
      </c>
      <c r="P876" s="152" t="s">
        <v>2705</v>
      </c>
      <c r="Q876" s="152" t="s">
        <v>2705</v>
      </c>
      <c r="R876" s="152" t="s">
        <v>2398</v>
      </c>
      <c r="S876" s="152" t="s">
        <v>2705</v>
      </c>
      <c r="T876" s="152" t="s">
        <v>2705</v>
      </c>
      <c r="U876" s="152" t="s">
        <v>2398</v>
      </c>
      <c r="V876" s="142" t="str" cm="1">
        <f t="array" ref="V876">IF(A876&lt;&gt;"",SUM(--(B876:U877 = "X")*$U$3,--(B876:U877 ="A")*$Q$3,--(B876:U877 ="B")*$R$3,--(B876:U877 ="C")*$S$3),"")</f>
        <v/>
      </c>
      <c r="AG876" s="142" t="s">
        <v>2705</v>
      </c>
      <c r="AH876" s="142" t="s">
        <v>2705</v>
      </c>
      <c r="AI876" s="142" t="s">
        <v>2675</v>
      </c>
      <c r="AJ876" s="142" t="s">
        <v>2705</v>
      </c>
      <c r="AK876" s="142" t="s">
        <v>2398</v>
      </c>
      <c r="AL876" s="142" t="s">
        <v>2398</v>
      </c>
      <c r="AM876" s="142" t="s">
        <v>2675</v>
      </c>
      <c r="AN876" s="142" t="s">
        <v>2705</v>
      </c>
      <c r="AO876" s="142" t="s">
        <v>2705</v>
      </c>
      <c r="AP876" s="142" t="s">
        <v>2675</v>
      </c>
      <c r="AQ876" s="142" t="s">
        <v>2705</v>
      </c>
      <c r="AR876" s="142" t="s">
        <v>2398</v>
      </c>
      <c r="AS876" s="142" t="s">
        <v>1435</v>
      </c>
      <c r="AT876" s="142" t="s">
        <v>2705</v>
      </c>
      <c r="AU876" s="142" t="s">
        <v>2705</v>
      </c>
      <c r="AV876" s="142" t="s">
        <v>2705</v>
      </c>
      <c r="AW876" s="142" t="s">
        <v>2398</v>
      </c>
      <c r="AX876" s="142" t="s">
        <v>2705</v>
      </c>
      <c r="AY876" s="142" t="s">
        <v>2705</v>
      </c>
      <c r="AZ876" s="142" t="s">
        <v>2398</v>
      </c>
    </row>
    <row r="877" spans="1:52" s="142" customFormat="1" ht="12.75" x14ac:dyDescent="0.2">
      <c r="A877" s="151" t="s">
        <v>7755</v>
      </c>
      <c r="B877" s="152" t="s">
        <v>2398</v>
      </c>
      <c r="C877" s="152" t="s">
        <v>2675</v>
      </c>
      <c r="D877" s="152" t="s">
        <v>2675</v>
      </c>
      <c r="E877" s="152" t="s">
        <v>2705</v>
      </c>
      <c r="F877" s="152" t="s">
        <v>2398</v>
      </c>
      <c r="G877" s="152" t="s">
        <v>2398</v>
      </c>
      <c r="H877" s="152" t="s">
        <v>2705</v>
      </c>
      <c r="I877" s="152" t="s">
        <v>2705</v>
      </c>
      <c r="J877" s="152" t="s">
        <v>2398</v>
      </c>
      <c r="K877" s="152" t="s">
        <v>2398</v>
      </c>
      <c r="L877" s="152" t="s">
        <v>2398</v>
      </c>
      <c r="M877" s="152" t="s">
        <v>2705</v>
      </c>
      <c r="N877" s="152" t="s">
        <v>2398</v>
      </c>
      <c r="O877" s="152" t="s">
        <v>2705</v>
      </c>
      <c r="P877" s="152" t="s">
        <v>2398</v>
      </c>
      <c r="Q877" s="152" t="s">
        <v>2398</v>
      </c>
      <c r="R877" s="152" t="s">
        <v>2705</v>
      </c>
      <c r="S877" s="152" t="s">
        <v>2705</v>
      </c>
      <c r="T877" s="152" t="s">
        <v>2398</v>
      </c>
      <c r="U877" s="152" t="s">
        <v>2705</v>
      </c>
      <c r="V877" s="142" cm="1">
        <f t="array" ref="V877">IF(A877&lt;&gt;"",SUM(--(B877:U878 = "X")*$U$3,--(B877:U878 ="A")*$Q$3,--(B877:U878 ="B")*$R$3,--(B877:U878 ="C")*$S$3),"")</f>
        <v>15.5</v>
      </c>
      <c r="AF877" s="142" t="s">
        <v>7755</v>
      </c>
      <c r="AG877" s="142" t="s">
        <v>2398</v>
      </c>
      <c r="AH877" s="142" t="s">
        <v>2675</v>
      </c>
      <c r="AI877" s="142" t="s">
        <v>2675</v>
      </c>
      <c r="AJ877" s="142" t="s">
        <v>2705</v>
      </c>
      <c r="AK877" s="142" t="s">
        <v>2398</v>
      </c>
      <c r="AL877" s="142" t="s">
        <v>2398</v>
      </c>
      <c r="AM877" s="142" t="s">
        <v>2705</v>
      </c>
      <c r="AN877" s="142" t="s">
        <v>2705</v>
      </c>
      <c r="AO877" s="142" t="s">
        <v>2398</v>
      </c>
      <c r="AP877" s="142" t="s">
        <v>2398</v>
      </c>
      <c r="AQ877" s="142" t="s">
        <v>2398</v>
      </c>
      <c r="AR877" s="142" t="s">
        <v>2705</v>
      </c>
      <c r="AS877" s="142" t="s">
        <v>2398</v>
      </c>
      <c r="AT877" s="142" t="s">
        <v>2705</v>
      </c>
      <c r="AU877" s="142" t="s">
        <v>2398</v>
      </c>
      <c r="AV877" s="142" t="s">
        <v>2398</v>
      </c>
      <c r="AW877" s="142" t="s">
        <v>2705</v>
      </c>
      <c r="AX877" s="142" t="s">
        <v>2705</v>
      </c>
      <c r="AY877" s="142" t="s">
        <v>2398</v>
      </c>
      <c r="AZ877" s="142" t="s">
        <v>2705</v>
      </c>
    </row>
    <row r="878" spans="1:52" s="142" customFormat="1" ht="12.75" x14ac:dyDescent="0.2">
      <c r="A878" s="151"/>
      <c r="B878" s="152" t="s">
        <v>2705</v>
      </c>
      <c r="C878" s="152" t="s">
        <v>2397</v>
      </c>
      <c r="D878" s="152" t="s">
        <v>2705</v>
      </c>
      <c r="E878" s="152" t="s">
        <v>2705</v>
      </c>
      <c r="F878" s="152" t="s">
        <v>2398</v>
      </c>
      <c r="G878" s="152" t="s">
        <v>2705</v>
      </c>
      <c r="H878" s="152" t="s">
        <v>2705</v>
      </c>
      <c r="I878" s="152" t="s">
        <v>2398</v>
      </c>
      <c r="J878" s="152" t="s">
        <v>2397</v>
      </c>
      <c r="K878" s="152" t="s">
        <v>2705</v>
      </c>
      <c r="L878" s="152" t="s">
        <v>2398</v>
      </c>
      <c r="M878" s="152" t="s">
        <v>2398</v>
      </c>
      <c r="N878" s="152" t="s">
        <v>2705</v>
      </c>
      <c r="O878" s="152" t="s">
        <v>2397</v>
      </c>
      <c r="P878" s="152" t="s">
        <v>1435</v>
      </c>
      <c r="Q878" s="152" t="s">
        <v>2398</v>
      </c>
      <c r="R878" s="152" t="s">
        <v>2705</v>
      </c>
      <c r="S878" s="152" t="s">
        <v>2705</v>
      </c>
      <c r="T878" s="152" t="s">
        <v>2398</v>
      </c>
      <c r="U878" s="152" t="s">
        <v>2398</v>
      </c>
      <c r="V878" s="142" t="str" cm="1">
        <f t="array" ref="V878">IF(A878&lt;&gt;"",SUM(--(B878:U879 = "X")*$U$3,--(B878:U879 ="A")*$Q$3,--(B878:U879 ="B")*$R$3,--(B878:U879 ="C")*$S$3),"")</f>
        <v/>
      </c>
      <c r="AG878" s="142" t="s">
        <v>2705</v>
      </c>
      <c r="AH878" s="142" t="s">
        <v>2397</v>
      </c>
      <c r="AI878" s="142" t="s">
        <v>2705</v>
      </c>
      <c r="AJ878" s="142" t="s">
        <v>2705</v>
      </c>
      <c r="AK878" s="142" t="s">
        <v>2398</v>
      </c>
      <c r="AL878" s="142" t="s">
        <v>2705</v>
      </c>
      <c r="AM878" s="142" t="s">
        <v>2705</v>
      </c>
      <c r="AN878" s="142" t="s">
        <v>2398</v>
      </c>
      <c r="AO878" s="142" t="s">
        <v>2397</v>
      </c>
      <c r="AP878" s="142" t="s">
        <v>2705</v>
      </c>
      <c r="AQ878" s="142" t="s">
        <v>2398</v>
      </c>
      <c r="AR878" s="142" t="s">
        <v>2398</v>
      </c>
      <c r="AS878" s="142" t="s">
        <v>2705</v>
      </c>
      <c r="AT878" s="142" t="s">
        <v>2397</v>
      </c>
      <c r="AU878" s="142" t="s">
        <v>1435</v>
      </c>
      <c r="AV878" s="142" t="s">
        <v>2398</v>
      </c>
      <c r="AW878" s="142" t="s">
        <v>2705</v>
      </c>
      <c r="AX878" s="142" t="s">
        <v>2705</v>
      </c>
      <c r="AY878" s="142" t="s">
        <v>2398</v>
      </c>
      <c r="AZ878" s="142" t="s">
        <v>2398</v>
      </c>
    </row>
    <row r="879" spans="1:52" s="142" customFormat="1" ht="12.75" x14ac:dyDescent="0.2">
      <c r="A879" s="151" t="s">
        <v>7756</v>
      </c>
      <c r="B879" s="152" t="s">
        <v>2398</v>
      </c>
      <c r="C879" s="152" t="s">
        <v>1435</v>
      </c>
      <c r="D879" s="152" t="s">
        <v>2397</v>
      </c>
      <c r="E879" s="152" t="s">
        <v>2398</v>
      </c>
      <c r="F879" s="152" t="s">
        <v>2398</v>
      </c>
      <c r="G879" s="152" t="s">
        <v>2705</v>
      </c>
      <c r="H879" s="152" t="s">
        <v>2398</v>
      </c>
      <c r="I879" s="152" t="s">
        <v>2397</v>
      </c>
      <c r="J879" s="152" t="s">
        <v>2675</v>
      </c>
      <c r="K879" s="152" t="s">
        <v>2705</v>
      </c>
      <c r="L879" s="152" t="s">
        <v>1435</v>
      </c>
      <c r="M879" s="152" t="s">
        <v>2398</v>
      </c>
      <c r="N879" s="152" t="s">
        <v>2705</v>
      </c>
      <c r="O879" s="152" t="s">
        <v>2705</v>
      </c>
      <c r="P879" s="152" t="s">
        <v>2705</v>
      </c>
      <c r="Q879" s="152" t="s">
        <v>2705</v>
      </c>
      <c r="R879" s="152" t="s">
        <v>1435</v>
      </c>
      <c r="S879" s="152" t="s">
        <v>2705</v>
      </c>
      <c r="T879" s="152" t="s">
        <v>2705</v>
      </c>
      <c r="U879" s="152" t="s">
        <v>2705</v>
      </c>
      <c r="V879" s="142" cm="1">
        <f t="array" ref="V879">IF(A879&lt;&gt;"",SUM(--(B879:U880 = "X")*$U$3,--(B879:U880 ="A")*$Q$3,--(B879:U880 ="B")*$R$3,--(B879:U880 ="C")*$S$3),"")</f>
        <v>16</v>
      </c>
      <c r="AF879" s="142" t="s">
        <v>7756</v>
      </c>
      <c r="AG879" s="142" t="s">
        <v>2398</v>
      </c>
      <c r="AH879" s="142" t="s">
        <v>1435</v>
      </c>
      <c r="AI879" s="142" t="s">
        <v>2397</v>
      </c>
      <c r="AJ879" s="142" t="s">
        <v>2398</v>
      </c>
      <c r="AK879" s="142" t="s">
        <v>2398</v>
      </c>
      <c r="AL879" s="142" t="s">
        <v>2705</v>
      </c>
      <c r="AM879" s="142" t="s">
        <v>2398</v>
      </c>
      <c r="AN879" s="142" t="s">
        <v>2397</v>
      </c>
      <c r="AO879" s="142" t="s">
        <v>2675</v>
      </c>
      <c r="AP879" s="142" t="s">
        <v>2705</v>
      </c>
      <c r="AQ879" s="142" t="s">
        <v>1435</v>
      </c>
      <c r="AR879" s="142" t="s">
        <v>2398</v>
      </c>
      <c r="AS879" s="142" t="s">
        <v>2705</v>
      </c>
      <c r="AT879" s="142" t="s">
        <v>2705</v>
      </c>
      <c r="AU879" s="142" t="s">
        <v>2705</v>
      </c>
      <c r="AV879" s="142" t="s">
        <v>2705</v>
      </c>
      <c r="AW879" s="142" t="s">
        <v>1435</v>
      </c>
      <c r="AX879" s="142" t="s">
        <v>2705</v>
      </c>
      <c r="AY879" s="142" t="s">
        <v>2705</v>
      </c>
      <c r="AZ879" s="142" t="s">
        <v>2705</v>
      </c>
    </row>
    <row r="880" spans="1:52" s="142" customFormat="1" ht="12.75" x14ac:dyDescent="0.2">
      <c r="A880" s="151"/>
      <c r="B880" s="152" t="s">
        <v>2398</v>
      </c>
      <c r="C880" s="152" t="s">
        <v>2705</v>
      </c>
      <c r="D880" s="152" t="s">
        <v>2705</v>
      </c>
      <c r="E880" s="152" t="s">
        <v>1435</v>
      </c>
      <c r="F880" s="152" t="s">
        <v>2398</v>
      </c>
      <c r="G880" s="152" t="s">
        <v>2705</v>
      </c>
      <c r="H880" s="152" t="s">
        <v>2397</v>
      </c>
      <c r="I880" s="152" t="s">
        <v>2398</v>
      </c>
      <c r="J880" s="152" t="s">
        <v>2397</v>
      </c>
      <c r="K880" s="152" t="s">
        <v>2705</v>
      </c>
      <c r="L880" s="152" t="s">
        <v>2398</v>
      </c>
      <c r="M880" s="152" t="s">
        <v>2705</v>
      </c>
      <c r="N880" s="152" t="s">
        <v>2705</v>
      </c>
      <c r="O880" s="152" t="s">
        <v>2398</v>
      </c>
      <c r="P880" s="152" t="s">
        <v>2675</v>
      </c>
      <c r="Q880" s="152" t="s">
        <v>2705</v>
      </c>
      <c r="R880" s="152" t="s">
        <v>2705</v>
      </c>
      <c r="S880" s="152" t="s">
        <v>2705</v>
      </c>
      <c r="T880" s="152" t="s">
        <v>2705</v>
      </c>
      <c r="U880" s="152" t="s">
        <v>2398</v>
      </c>
      <c r="V880" s="142" t="str" cm="1">
        <f t="array" ref="V880">IF(A880&lt;&gt;"",SUM(--(B880:U881 = "X")*$U$3,--(B880:U881 ="A")*$Q$3,--(B880:U881 ="B")*$R$3,--(B880:U881 ="C")*$S$3),"")</f>
        <v/>
      </c>
      <c r="AG880" s="142" t="s">
        <v>2398</v>
      </c>
      <c r="AH880" s="142" t="s">
        <v>2705</v>
      </c>
      <c r="AI880" s="142" t="s">
        <v>2705</v>
      </c>
      <c r="AJ880" s="142" t="s">
        <v>1435</v>
      </c>
      <c r="AK880" s="142" t="s">
        <v>2398</v>
      </c>
      <c r="AL880" s="142" t="s">
        <v>2705</v>
      </c>
      <c r="AM880" s="142" t="s">
        <v>2397</v>
      </c>
      <c r="AN880" s="142" t="s">
        <v>2398</v>
      </c>
      <c r="AO880" s="142" t="s">
        <v>2397</v>
      </c>
      <c r="AP880" s="142" t="s">
        <v>2705</v>
      </c>
      <c r="AQ880" s="142" t="s">
        <v>2398</v>
      </c>
      <c r="AR880" s="142" t="s">
        <v>2705</v>
      </c>
      <c r="AS880" s="142" t="s">
        <v>2705</v>
      </c>
      <c r="AT880" s="142" t="s">
        <v>2398</v>
      </c>
      <c r="AU880" s="142" t="s">
        <v>2675</v>
      </c>
      <c r="AV880" s="142" t="s">
        <v>2705</v>
      </c>
      <c r="AW880" s="142" t="s">
        <v>2705</v>
      </c>
      <c r="AX880" s="142" t="s">
        <v>2705</v>
      </c>
      <c r="AY880" s="142" t="s">
        <v>2705</v>
      </c>
      <c r="AZ880" s="142" t="s">
        <v>2398</v>
      </c>
    </row>
    <row r="881" spans="1:52" s="142" customFormat="1" ht="12.75" x14ac:dyDescent="0.2">
      <c r="A881" s="151" t="s">
        <v>7757</v>
      </c>
      <c r="B881" s="152" t="s">
        <v>1435</v>
      </c>
      <c r="C881" s="152" t="s">
        <v>2705</v>
      </c>
      <c r="D881" s="152" t="s">
        <v>2705</v>
      </c>
      <c r="E881" s="152" t="s">
        <v>2398</v>
      </c>
      <c r="F881" s="152" t="s">
        <v>2398</v>
      </c>
      <c r="G881" s="152" t="s">
        <v>2705</v>
      </c>
      <c r="H881" s="152" t="s">
        <v>2705</v>
      </c>
      <c r="I881" s="152" t="s">
        <v>2705</v>
      </c>
      <c r="J881" s="152" t="s">
        <v>2705</v>
      </c>
      <c r="K881" s="152" t="s">
        <v>2705</v>
      </c>
      <c r="L881" s="152" t="s">
        <v>2398</v>
      </c>
      <c r="M881" s="152" t="s">
        <v>2398</v>
      </c>
      <c r="N881" s="152" t="s">
        <v>2705</v>
      </c>
      <c r="O881" s="152" t="s">
        <v>2705</v>
      </c>
      <c r="P881" s="152" t="s">
        <v>2705</v>
      </c>
      <c r="Q881" s="152" t="s">
        <v>2398</v>
      </c>
      <c r="R881" s="152" t="s">
        <v>2705</v>
      </c>
      <c r="S881" s="152" t="s">
        <v>2705</v>
      </c>
      <c r="T881" s="152" t="s">
        <v>2705</v>
      </c>
      <c r="U881" s="152" t="s">
        <v>2705</v>
      </c>
      <c r="V881" s="142" cm="1">
        <f t="array" ref="V881">IF(A881&lt;&gt;"",SUM(--(B881:U882 = "X")*$U$3,--(B881:U882 ="A")*$Q$3,--(B881:U882 ="B")*$R$3,--(B881:U882 ="C")*$S$3),"")</f>
        <v>25</v>
      </c>
      <c r="AF881" s="142" t="s">
        <v>7757</v>
      </c>
      <c r="AG881" s="142" t="s">
        <v>1435</v>
      </c>
      <c r="AH881" s="142" t="s">
        <v>2705</v>
      </c>
      <c r="AI881" s="142" t="s">
        <v>2705</v>
      </c>
      <c r="AJ881" s="142" t="s">
        <v>2398</v>
      </c>
      <c r="AK881" s="142" t="s">
        <v>2398</v>
      </c>
      <c r="AL881" s="142" t="s">
        <v>2705</v>
      </c>
      <c r="AM881" s="142" t="s">
        <v>2705</v>
      </c>
      <c r="AN881" s="142" t="s">
        <v>2705</v>
      </c>
      <c r="AO881" s="142" t="s">
        <v>2705</v>
      </c>
      <c r="AP881" s="142" t="s">
        <v>2705</v>
      </c>
      <c r="AQ881" s="142" t="s">
        <v>2398</v>
      </c>
      <c r="AR881" s="142" t="s">
        <v>2398</v>
      </c>
      <c r="AS881" s="142" t="s">
        <v>2705</v>
      </c>
      <c r="AT881" s="142" t="s">
        <v>2705</v>
      </c>
      <c r="AU881" s="142" t="s">
        <v>2705</v>
      </c>
      <c r="AV881" s="142" t="s">
        <v>2398</v>
      </c>
      <c r="AW881" s="142" t="s">
        <v>2705</v>
      </c>
      <c r="AX881" s="142" t="s">
        <v>2705</v>
      </c>
      <c r="AY881" s="142" t="s">
        <v>2705</v>
      </c>
      <c r="AZ881" s="142" t="s">
        <v>2705</v>
      </c>
    </row>
    <row r="882" spans="1:52" s="142" customFormat="1" ht="12.75" x14ac:dyDescent="0.2">
      <c r="A882" s="151"/>
      <c r="B882" s="152" t="s">
        <v>2398</v>
      </c>
      <c r="C882" s="152" t="s">
        <v>2398</v>
      </c>
      <c r="D882" s="152" t="s">
        <v>2705</v>
      </c>
      <c r="E882" s="152" t="s">
        <v>2675</v>
      </c>
      <c r="F882" s="152" t="s">
        <v>2398</v>
      </c>
      <c r="G882" s="152" t="s">
        <v>2705</v>
      </c>
      <c r="H882" s="152" t="s">
        <v>2705</v>
      </c>
      <c r="I882" s="152" t="s">
        <v>2705</v>
      </c>
      <c r="J882" s="152" t="s">
        <v>2705</v>
      </c>
      <c r="K882" s="152" t="s">
        <v>2398</v>
      </c>
      <c r="L882" s="152" t="s">
        <v>2705</v>
      </c>
      <c r="M882" s="152" t="s">
        <v>2705</v>
      </c>
      <c r="N882" s="152" t="s">
        <v>2705</v>
      </c>
      <c r="O882" s="152" t="s">
        <v>2705</v>
      </c>
      <c r="P882" s="152" t="s">
        <v>1435</v>
      </c>
      <c r="Q882" s="152" t="s">
        <v>2705</v>
      </c>
      <c r="R882" s="152" t="s">
        <v>1435</v>
      </c>
      <c r="S882" s="152" t="s">
        <v>2705</v>
      </c>
      <c r="T882" s="152" t="s">
        <v>2705</v>
      </c>
      <c r="U882" s="152" t="s">
        <v>2705</v>
      </c>
      <c r="V882" s="142" t="str" cm="1">
        <f t="array" ref="V882">IF(A882&lt;&gt;"",SUM(--(B882:U883 = "X")*$U$3,--(B882:U883 ="A")*$Q$3,--(B882:U883 ="B")*$R$3,--(B882:U883 ="C")*$S$3),"")</f>
        <v/>
      </c>
      <c r="AG882" s="142" t="s">
        <v>2398</v>
      </c>
      <c r="AH882" s="142" t="s">
        <v>2398</v>
      </c>
      <c r="AI882" s="142" t="s">
        <v>2705</v>
      </c>
      <c r="AJ882" s="142" t="s">
        <v>2675</v>
      </c>
      <c r="AK882" s="142" t="s">
        <v>2398</v>
      </c>
      <c r="AL882" s="142" t="s">
        <v>2705</v>
      </c>
      <c r="AM882" s="142" t="s">
        <v>2705</v>
      </c>
      <c r="AN882" s="142" t="s">
        <v>2705</v>
      </c>
      <c r="AO882" s="142" t="s">
        <v>2705</v>
      </c>
      <c r="AP882" s="142" t="s">
        <v>2398</v>
      </c>
      <c r="AQ882" s="142" t="s">
        <v>2705</v>
      </c>
      <c r="AR882" s="142" t="s">
        <v>2705</v>
      </c>
      <c r="AS882" s="142" t="s">
        <v>2705</v>
      </c>
      <c r="AT882" s="142" t="s">
        <v>2705</v>
      </c>
      <c r="AU882" s="142" t="s">
        <v>1435</v>
      </c>
      <c r="AV882" s="142" t="s">
        <v>2705</v>
      </c>
      <c r="AW882" s="142" t="s">
        <v>1435</v>
      </c>
      <c r="AX882" s="142" t="s">
        <v>2705</v>
      </c>
      <c r="AY882" s="142" t="s">
        <v>2705</v>
      </c>
      <c r="AZ882" s="142" t="s">
        <v>2705</v>
      </c>
    </row>
    <row r="883" spans="1:52" s="142" customFormat="1" ht="12.75" x14ac:dyDescent="0.2">
      <c r="A883" s="151" t="s">
        <v>7758</v>
      </c>
      <c r="B883" s="152" t="s">
        <v>2675</v>
      </c>
      <c r="C883" s="152" t="s">
        <v>2398</v>
      </c>
      <c r="D883" s="152" t="s">
        <v>1435</v>
      </c>
      <c r="E883" s="152" t="s">
        <v>2705</v>
      </c>
      <c r="F883" s="152" t="s">
        <v>2398</v>
      </c>
      <c r="G883" s="152" t="s">
        <v>2705</v>
      </c>
      <c r="H883" s="152" t="s">
        <v>1435</v>
      </c>
      <c r="I883" s="152" t="s">
        <v>2675</v>
      </c>
      <c r="J883" s="152" t="s">
        <v>2398</v>
      </c>
      <c r="K883" s="152" t="s">
        <v>2705</v>
      </c>
      <c r="L883" s="152" t="s">
        <v>2398</v>
      </c>
      <c r="M883" s="152" t="s">
        <v>2705</v>
      </c>
      <c r="N883" s="152" t="s">
        <v>2675</v>
      </c>
      <c r="O883" s="152" t="s">
        <v>2398</v>
      </c>
      <c r="P883" s="152" t="s">
        <v>2398</v>
      </c>
      <c r="Q883" s="152" t="s">
        <v>2705</v>
      </c>
      <c r="R883" s="152" t="s">
        <v>2705</v>
      </c>
      <c r="S883" s="152" t="s">
        <v>2705</v>
      </c>
      <c r="T883" s="152" t="s">
        <v>2397</v>
      </c>
      <c r="U883" s="152" t="s">
        <v>2675</v>
      </c>
      <c r="V883" s="142" cm="1">
        <f t="array" ref="V883">IF(A883&lt;&gt;"",SUM(--(B883:U884 = "X")*$U$3,--(B883:U884 ="A")*$Q$3,--(B883:U884 ="B")*$R$3,--(B883:U884 ="C")*$S$3),"")</f>
        <v>6.5</v>
      </c>
      <c r="AF883" s="142" t="s">
        <v>7758</v>
      </c>
      <c r="AG883" s="142" t="s">
        <v>2675</v>
      </c>
      <c r="AH883" s="142" t="s">
        <v>2398</v>
      </c>
      <c r="AI883" s="142" t="s">
        <v>1435</v>
      </c>
      <c r="AJ883" s="142" t="s">
        <v>2705</v>
      </c>
      <c r="AK883" s="142" t="s">
        <v>2398</v>
      </c>
      <c r="AL883" s="142" t="s">
        <v>2705</v>
      </c>
      <c r="AM883" s="142" t="s">
        <v>1435</v>
      </c>
      <c r="AN883" s="142" t="s">
        <v>2675</v>
      </c>
      <c r="AO883" s="142" t="s">
        <v>2398</v>
      </c>
      <c r="AP883" s="142" t="s">
        <v>2705</v>
      </c>
      <c r="AQ883" s="142" t="s">
        <v>2398</v>
      </c>
      <c r="AR883" s="142" t="s">
        <v>2705</v>
      </c>
      <c r="AS883" s="142" t="s">
        <v>2675</v>
      </c>
      <c r="AT883" s="142" t="s">
        <v>2398</v>
      </c>
      <c r="AU883" s="142" t="s">
        <v>2398</v>
      </c>
      <c r="AV883" s="142" t="s">
        <v>2705</v>
      </c>
      <c r="AW883" s="142" t="s">
        <v>2705</v>
      </c>
      <c r="AX883" s="142" t="s">
        <v>2705</v>
      </c>
      <c r="AY883" s="142" t="s">
        <v>2397</v>
      </c>
      <c r="AZ883" s="142" t="s">
        <v>2675</v>
      </c>
    </row>
    <row r="884" spans="1:52" s="142" customFormat="1" ht="12.75" x14ac:dyDescent="0.2">
      <c r="A884" s="151"/>
      <c r="B884" s="152" t="s">
        <v>2705</v>
      </c>
      <c r="C884" s="152" t="s">
        <v>2705</v>
      </c>
      <c r="D884" s="152" t="s">
        <v>2398</v>
      </c>
      <c r="E884" s="152" t="s">
        <v>1435</v>
      </c>
      <c r="F884" s="152" t="s">
        <v>2398</v>
      </c>
      <c r="G884" s="152" t="s">
        <v>1435</v>
      </c>
      <c r="H884" s="152" t="s">
        <v>2675</v>
      </c>
      <c r="I884" s="152" t="s">
        <v>2705</v>
      </c>
      <c r="J884" s="152" t="s">
        <v>2397</v>
      </c>
      <c r="K884" s="152" t="s">
        <v>2398</v>
      </c>
      <c r="L884" s="152" t="s">
        <v>2705</v>
      </c>
      <c r="M884" s="152" t="s">
        <v>2398</v>
      </c>
      <c r="N884" s="152" t="s">
        <v>1435</v>
      </c>
      <c r="O884" s="152" t="s">
        <v>2705</v>
      </c>
      <c r="P884" s="152" t="s">
        <v>2675</v>
      </c>
      <c r="Q884" s="152" t="s">
        <v>2675</v>
      </c>
      <c r="R884" s="152" t="s">
        <v>2398</v>
      </c>
      <c r="S884" s="152" t="s">
        <v>2705</v>
      </c>
      <c r="T884" s="152" t="s">
        <v>2398</v>
      </c>
      <c r="U884" s="152" t="s">
        <v>2675</v>
      </c>
      <c r="V884" s="142" t="str" cm="1">
        <f t="array" ref="V884">IF(A884&lt;&gt;"",SUM(--(B884:U885 = "X")*$U$3,--(B884:U885 ="A")*$Q$3,--(B884:U885 ="B")*$R$3,--(B884:U885 ="C")*$S$3),"")</f>
        <v/>
      </c>
      <c r="AG884" s="142" t="s">
        <v>2705</v>
      </c>
      <c r="AH884" s="142" t="s">
        <v>2705</v>
      </c>
      <c r="AI884" s="142" t="s">
        <v>2398</v>
      </c>
      <c r="AJ884" s="142" t="s">
        <v>1435</v>
      </c>
      <c r="AK884" s="142" t="s">
        <v>2398</v>
      </c>
      <c r="AL884" s="142" t="s">
        <v>1435</v>
      </c>
      <c r="AM884" s="142" t="s">
        <v>2675</v>
      </c>
      <c r="AN884" s="142" t="s">
        <v>2705</v>
      </c>
      <c r="AO884" s="142" t="s">
        <v>2397</v>
      </c>
      <c r="AP884" s="142" t="s">
        <v>2398</v>
      </c>
      <c r="AQ884" s="142" t="s">
        <v>2705</v>
      </c>
      <c r="AR884" s="142" t="s">
        <v>2398</v>
      </c>
      <c r="AS884" s="142" t="s">
        <v>1435</v>
      </c>
      <c r="AT884" s="142" t="s">
        <v>2705</v>
      </c>
      <c r="AU884" s="142" t="s">
        <v>2675</v>
      </c>
      <c r="AV884" s="142" t="s">
        <v>2675</v>
      </c>
      <c r="AW884" s="142" t="s">
        <v>2398</v>
      </c>
      <c r="AX884" s="142" t="s">
        <v>2705</v>
      </c>
      <c r="AY884" s="142" t="s">
        <v>2398</v>
      </c>
      <c r="AZ884" s="142" t="s">
        <v>2675</v>
      </c>
    </row>
    <row r="885" spans="1:52" s="142" customFormat="1" ht="12.75" x14ac:dyDescent="0.2">
      <c r="A885" s="151" t="s">
        <v>7759</v>
      </c>
      <c r="B885" s="152" t="s">
        <v>2705</v>
      </c>
      <c r="C885" s="152" t="s">
        <v>1435</v>
      </c>
      <c r="D885" s="152" t="s">
        <v>2705</v>
      </c>
      <c r="E885" s="152" t="s">
        <v>2705</v>
      </c>
      <c r="F885" s="152" t="s">
        <v>2397</v>
      </c>
      <c r="G885" s="152" t="s">
        <v>1435</v>
      </c>
      <c r="H885" s="152" t="s">
        <v>2398</v>
      </c>
      <c r="I885" s="152" t="s">
        <v>2675</v>
      </c>
      <c r="J885" s="152" t="s">
        <v>1435</v>
      </c>
      <c r="K885" s="152" t="s">
        <v>2705</v>
      </c>
      <c r="L885" s="152" t="s">
        <v>2705</v>
      </c>
      <c r="M885" s="152" t="s">
        <v>1435</v>
      </c>
      <c r="N885" s="152" t="s">
        <v>2398</v>
      </c>
      <c r="O885" s="152" t="s">
        <v>2397</v>
      </c>
      <c r="P885" s="152" t="s">
        <v>1435</v>
      </c>
      <c r="Q885" s="152" t="s">
        <v>2705</v>
      </c>
      <c r="R885" s="152" t="s">
        <v>2705</v>
      </c>
      <c r="S885" s="152" t="s">
        <v>2675</v>
      </c>
      <c r="T885" s="152" t="s">
        <v>2398</v>
      </c>
      <c r="U885" s="152" t="s">
        <v>2705</v>
      </c>
      <c r="V885" s="142" cm="1">
        <f t="array" ref="V885">IF(A885&lt;&gt;"",SUM(--(B885:U886 = "X")*$U$3,--(B885:U886 ="A")*$Q$3,--(B885:U886 ="B")*$R$3,--(B885:U886 ="C")*$S$3),"")</f>
        <v>4</v>
      </c>
      <c r="AF885" s="142" t="s">
        <v>7759</v>
      </c>
      <c r="AG885" s="142" t="s">
        <v>2705</v>
      </c>
      <c r="AH885" s="142" t="s">
        <v>1435</v>
      </c>
      <c r="AI885" s="142" t="s">
        <v>2705</v>
      </c>
      <c r="AJ885" s="142" t="s">
        <v>2705</v>
      </c>
      <c r="AK885" s="142" t="s">
        <v>2397</v>
      </c>
      <c r="AL885" s="142" t="s">
        <v>1435</v>
      </c>
      <c r="AM885" s="142" t="s">
        <v>2398</v>
      </c>
      <c r="AN885" s="142" t="s">
        <v>2675</v>
      </c>
      <c r="AO885" s="142" t="s">
        <v>1435</v>
      </c>
      <c r="AP885" s="142" t="s">
        <v>2705</v>
      </c>
      <c r="AQ885" s="142" t="s">
        <v>2705</v>
      </c>
      <c r="AR885" s="142" t="s">
        <v>1435</v>
      </c>
      <c r="AS885" s="142" t="s">
        <v>2398</v>
      </c>
      <c r="AT885" s="142" t="s">
        <v>2397</v>
      </c>
      <c r="AU885" s="142" t="s">
        <v>1435</v>
      </c>
      <c r="AV885" s="142" t="s">
        <v>2705</v>
      </c>
      <c r="AW885" s="142" t="s">
        <v>2705</v>
      </c>
      <c r="AX885" s="142" t="s">
        <v>2675</v>
      </c>
      <c r="AY885" s="142" t="s">
        <v>2398</v>
      </c>
      <c r="AZ885" s="142" t="s">
        <v>2705</v>
      </c>
    </row>
    <row r="886" spans="1:52" s="142" customFormat="1" ht="12.75" x14ac:dyDescent="0.2">
      <c r="A886" s="151"/>
      <c r="B886" s="152" t="s">
        <v>2397</v>
      </c>
      <c r="C886" s="152" t="s">
        <v>2675</v>
      </c>
      <c r="D886" s="152" t="s">
        <v>2705</v>
      </c>
      <c r="E886" s="152" t="s">
        <v>2398</v>
      </c>
      <c r="F886" s="152" t="s">
        <v>2397</v>
      </c>
      <c r="G886" s="152" t="s">
        <v>1435</v>
      </c>
      <c r="H886" s="152" t="s">
        <v>2397</v>
      </c>
      <c r="I886" s="152" t="s">
        <v>2705</v>
      </c>
      <c r="J886" s="152" t="s">
        <v>1435</v>
      </c>
      <c r="K886" s="152" t="s">
        <v>2675</v>
      </c>
      <c r="L886" s="152" t="s">
        <v>2705</v>
      </c>
      <c r="M886" s="152" t="s">
        <v>1435</v>
      </c>
      <c r="N886" s="152" t="s">
        <v>1435</v>
      </c>
      <c r="O886" s="152" t="s">
        <v>2398</v>
      </c>
      <c r="P886" s="152" t="s">
        <v>2705</v>
      </c>
      <c r="Q886" s="152" t="s">
        <v>2398</v>
      </c>
      <c r="R886" s="152" t="s">
        <v>2675</v>
      </c>
      <c r="S886" s="152" t="s">
        <v>2397</v>
      </c>
      <c r="T886" s="152" t="s">
        <v>1435</v>
      </c>
      <c r="U886" s="152" t="s">
        <v>2675</v>
      </c>
      <c r="V886" s="142" t="str" cm="1">
        <f t="array" ref="V886">IF(A886&lt;&gt;"",SUM(--(B886:U887 = "X")*$U$3,--(B886:U887 ="A")*$Q$3,--(B886:U887 ="B")*$R$3,--(B886:U887 ="C")*$S$3),"")</f>
        <v/>
      </c>
      <c r="AG886" s="142" t="s">
        <v>2397</v>
      </c>
      <c r="AH886" s="142" t="s">
        <v>2675</v>
      </c>
      <c r="AI886" s="142" t="s">
        <v>2705</v>
      </c>
      <c r="AJ886" s="142" t="s">
        <v>2398</v>
      </c>
      <c r="AK886" s="142" t="s">
        <v>2397</v>
      </c>
      <c r="AL886" s="142" t="s">
        <v>1435</v>
      </c>
      <c r="AM886" s="142" t="s">
        <v>2397</v>
      </c>
      <c r="AN886" s="142" t="s">
        <v>2705</v>
      </c>
      <c r="AO886" s="142" t="s">
        <v>1435</v>
      </c>
      <c r="AP886" s="142" t="s">
        <v>2675</v>
      </c>
      <c r="AQ886" s="142" t="s">
        <v>2705</v>
      </c>
      <c r="AR886" s="142" t="s">
        <v>1435</v>
      </c>
      <c r="AS886" s="142" t="s">
        <v>1435</v>
      </c>
      <c r="AT886" s="142" t="s">
        <v>2398</v>
      </c>
      <c r="AU886" s="142" t="s">
        <v>2705</v>
      </c>
      <c r="AV886" s="142" t="s">
        <v>2398</v>
      </c>
      <c r="AW886" s="142" t="s">
        <v>2675</v>
      </c>
      <c r="AX886" s="142" t="s">
        <v>2397</v>
      </c>
      <c r="AY886" s="142" t="s">
        <v>1435</v>
      </c>
      <c r="AZ886" s="142" t="s">
        <v>2675</v>
      </c>
    </row>
    <row r="887" spans="1:52" s="142" customFormat="1" ht="12.75" x14ac:dyDescent="0.2">
      <c r="A887" s="151" t="s">
        <v>7760</v>
      </c>
      <c r="B887" s="152" t="s">
        <v>2675</v>
      </c>
      <c r="C887" s="152" t="s">
        <v>2705</v>
      </c>
      <c r="D887" s="152" t="s">
        <v>1435</v>
      </c>
      <c r="E887" s="152" t="s">
        <v>2705</v>
      </c>
      <c r="F887" s="152" t="s">
        <v>2397</v>
      </c>
      <c r="G887" s="152" t="s">
        <v>2705</v>
      </c>
      <c r="H887" s="152" t="s">
        <v>1435</v>
      </c>
      <c r="I887" s="152" t="s">
        <v>2675</v>
      </c>
      <c r="J887" s="152" t="s">
        <v>2675</v>
      </c>
      <c r="K887" s="152" t="s">
        <v>1435</v>
      </c>
      <c r="L887" s="152" t="s">
        <v>1435</v>
      </c>
      <c r="M887" s="152" t="s">
        <v>2705</v>
      </c>
      <c r="N887" s="152" t="s">
        <v>2705</v>
      </c>
      <c r="O887" s="152" t="s">
        <v>2397</v>
      </c>
      <c r="P887" s="152" t="s">
        <v>1435</v>
      </c>
      <c r="Q887" s="152" t="s">
        <v>2705</v>
      </c>
      <c r="R887" s="152" t="s">
        <v>1435</v>
      </c>
      <c r="S887" s="152" t="s">
        <v>2675</v>
      </c>
      <c r="T887" s="152" t="s">
        <v>1435</v>
      </c>
      <c r="U887" s="152" t="s">
        <v>2705</v>
      </c>
      <c r="V887" s="142" cm="1">
        <f t="array" ref="V887">IF(A887&lt;&gt;"",SUM(--(B887:U888 = "X")*$U$3,--(B887:U888 ="A")*$Q$3,--(B887:U888 ="B")*$R$3,--(B887:U888 ="C")*$S$3),"")</f>
        <v>4.5</v>
      </c>
      <c r="AF887" s="142" t="s">
        <v>7760</v>
      </c>
      <c r="AG887" s="142" t="s">
        <v>2675</v>
      </c>
      <c r="AH887" s="142" t="s">
        <v>2705</v>
      </c>
      <c r="AI887" s="142" t="s">
        <v>1435</v>
      </c>
      <c r="AJ887" s="142" t="s">
        <v>2705</v>
      </c>
      <c r="AK887" s="142" t="s">
        <v>2397</v>
      </c>
      <c r="AL887" s="142" t="s">
        <v>2705</v>
      </c>
      <c r="AM887" s="142" t="s">
        <v>1435</v>
      </c>
      <c r="AN887" s="142" t="s">
        <v>2675</v>
      </c>
      <c r="AO887" s="142" t="s">
        <v>2675</v>
      </c>
      <c r="AP887" s="142" t="s">
        <v>1435</v>
      </c>
      <c r="AQ887" s="142" t="s">
        <v>1435</v>
      </c>
      <c r="AR887" s="142" t="s">
        <v>2705</v>
      </c>
      <c r="AS887" s="142" t="s">
        <v>2705</v>
      </c>
      <c r="AT887" s="142" t="s">
        <v>2397</v>
      </c>
      <c r="AU887" s="142" t="s">
        <v>1435</v>
      </c>
      <c r="AV887" s="142" t="s">
        <v>2705</v>
      </c>
      <c r="AW887" s="142" t="s">
        <v>1435</v>
      </c>
      <c r="AX887" s="142" t="s">
        <v>2675</v>
      </c>
      <c r="AY887" s="142" t="s">
        <v>1435</v>
      </c>
      <c r="AZ887" s="142" t="s">
        <v>2705</v>
      </c>
    </row>
    <row r="888" spans="1:52" s="142" customFormat="1" ht="12.75" x14ac:dyDescent="0.2">
      <c r="A888" s="151"/>
      <c r="B888" s="152" t="s">
        <v>2675</v>
      </c>
      <c r="C888" s="152" t="s">
        <v>2675</v>
      </c>
      <c r="D888" s="152" t="s">
        <v>2675</v>
      </c>
      <c r="E888" s="152" t="s">
        <v>2398</v>
      </c>
      <c r="F888" s="152" t="s">
        <v>2398</v>
      </c>
      <c r="G888" s="152" t="s">
        <v>1435</v>
      </c>
      <c r="H888" s="152" t="s">
        <v>2397</v>
      </c>
      <c r="I888" s="152" t="s">
        <v>1435</v>
      </c>
      <c r="J888" s="152" t="s">
        <v>2397</v>
      </c>
      <c r="K888" s="152" t="s">
        <v>1435</v>
      </c>
      <c r="L888" s="152" t="s">
        <v>2705</v>
      </c>
      <c r="M888" s="152" t="s">
        <v>2705</v>
      </c>
      <c r="N888" s="152" t="s">
        <v>2705</v>
      </c>
      <c r="O888" s="152" t="s">
        <v>2398</v>
      </c>
      <c r="P888" s="152" t="s">
        <v>2705</v>
      </c>
      <c r="Q888" s="152" t="s">
        <v>2675</v>
      </c>
      <c r="R888" s="152" t="s">
        <v>2705</v>
      </c>
      <c r="S888" s="152" t="s">
        <v>2705</v>
      </c>
      <c r="T888" s="152" t="s">
        <v>2705</v>
      </c>
      <c r="U888" s="152" t="s">
        <v>1435</v>
      </c>
      <c r="V888" s="142" t="str" cm="1">
        <f t="array" ref="V888">IF(A888&lt;&gt;"",SUM(--(B888:U889 = "X")*$U$3,--(B888:U889 ="A")*$Q$3,--(B888:U889 ="B")*$R$3,--(B888:U889 ="C")*$S$3),"")</f>
        <v/>
      </c>
      <c r="AG888" s="142" t="s">
        <v>2675</v>
      </c>
      <c r="AH888" s="142" t="s">
        <v>2675</v>
      </c>
      <c r="AI888" s="142" t="s">
        <v>2675</v>
      </c>
      <c r="AJ888" s="142" t="s">
        <v>2398</v>
      </c>
      <c r="AK888" s="142" t="s">
        <v>2398</v>
      </c>
      <c r="AL888" s="142" t="s">
        <v>1435</v>
      </c>
      <c r="AM888" s="142" t="s">
        <v>2397</v>
      </c>
      <c r="AN888" s="142" t="s">
        <v>1435</v>
      </c>
      <c r="AO888" s="142" t="s">
        <v>2397</v>
      </c>
      <c r="AP888" s="142" t="s">
        <v>1435</v>
      </c>
      <c r="AQ888" s="142" t="s">
        <v>2705</v>
      </c>
      <c r="AR888" s="142" t="s">
        <v>2705</v>
      </c>
      <c r="AS888" s="142" t="s">
        <v>2705</v>
      </c>
      <c r="AT888" s="142" t="s">
        <v>2398</v>
      </c>
      <c r="AU888" s="142" t="s">
        <v>2705</v>
      </c>
      <c r="AV888" s="142" t="s">
        <v>2675</v>
      </c>
      <c r="AW888" s="142" t="s">
        <v>2705</v>
      </c>
      <c r="AX888" s="142" t="s">
        <v>2705</v>
      </c>
      <c r="AY888" s="142" t="s">
        <v>2705</v>
      </c>
      <c r="AZ888" s="142" t="s">
        <v>1435</v>
      </c>
    </row>
    <row r="889" spans="1:52" s="142" customFormat="1" ht="12.75" x14ac:dyDescent="0.2">
      <c r="A889" s="151" t="s">
        <v>7761</v>
      </c>
      <c r="B889" s="152" t="s">
        <v>2705</v>
      </c>
      <c r="C889" s="152" t="s">
        <v>2398</v>
      </c>
      <c r="D889" s="152" t="s">
        <v>2398</v>
      </c>
      <c r="E889" s="152" t="s">
        <v>2705</v>
      </c>
      <c r="F889" s="152" t="s">
        <v>2705</v>
      </c>
      <c r="G889" s="152" t="s">
        <v>2398</v>
      </c>
      <c r="H889" s="152" t="s">
        <v>2705</v>
      </c>
      <c r="I889" s="152" t="s">
        <v>2398</v>
      </c>
      <c r="J889" s="152" t="s">
        <v>2675</v>
      </c>
      <c r="K889" s="152" t="s">
        <v>2398</v>
      </c>
      <c r="L889" s="152" t="s">
        <v>2705</v>
      </c>
      <c r="M889" s="152" t="s">
        <v>2398</v>
      </c>
      <c r="N889" s="152" t="s">
        <v>2705</v>
      </c>
      <c r="O889" s="152" t="s">
        <v>2705</v>
      </c>
      <c r="P889" s="152" t="s">
        <v>2705</v>
      </c>
      <c r="Q889" s="152" t="s">
        <v>2705</v>
      </c>
      <c r="R889" s="152" t="s">
        <v>2705</v>
      </c>
      <c r="S889" s="152" t="s">
        <v>2705</v>
      </c>
      <c r="T889" s="152" t="s">
        <v>2705</v>
      </c>
      <c r="U889" s="152" t="s">
        <v>2705</v>
      </c>
      <c r="V889" s="142" cm="1">
        <f t="array" ref="V889">IF(A889&lt;&gt;"",SUM(--(B889:U890 = "X")*$U$3,--(B889:U890 ="A")*$Q$3,--(B889:U890 ="B")*$R$3,--(B889:U890 ="C")*$S$3),"")</f>
        <v>23</v>
      </c>
      <c r="AF889" s="142" t="s">
        <v>7761</v>
      </c>
      <c r="AG889" s="142" t="s">
        <v>2705</v>
      </c>
      <c r="AH889" s="142" t="s">
        <v>2398</v>
      </c>
      <c r="AI889" s="142" t="s">
        <v>2398</v>
      </c>
      <c r="AJ889" s="142" t="s">
        <v>2705</v>
      </c>
      <c r="AK889" s="142" t="s">
        <v>2705</v>
      </c>
      <c r="AL889" s="142" t="s">
        <v>2398</v>
      </c>
      <c r="AM889" s="142" t="s">
        <v>2705</v>
      </c>
      <c r="AN889" s="142" t="s">
        <v>2398</v>
      </c>
      <c r="AO889" s="142" t="s">
        <v>2675</v>
      </c>
      <c r="AP889" s="142" t="s">
        <v>2398</v>
      </c>
      <c r="AQ889" s="142" t="s">
        <v>2705</v>
      </c>
      <c r="AR889" s="142" t="s">
        <v>2398</v>
      </c>
      <c r="AS889" s="142" t="s">
        <v>2705</v>
      </c>
      <c r="AT889" s="142" t="s">
        <v>2705</v>
      </c>
      <c r="AU889" s="142" t="s">
        <v>2705</v>
      </c>
      <c r="AV889" s="142" t="s">
        <v>2705</v>
      </c>
      <c r="AW889" s="142" t="s">
        <v>2705</v>
      </c>
      <c r="AX889" s="142" t="s">
        <v>2705</v>
      </c>
      <c r="AY889" s="142" t="s">
        <v>2705</v>
      </c>
      <c r="AZ889" s="142" t="s">
        <v>2705</v>
      </c>
    </row>
    <row r="890" spans="1:52" s="142" customFormat="1" ht="12.75" x14ac:dyDescent="0.2">
      <c r="A890" s="151"/>
      <c r="B890" s="152" t="s">
        <v>2398</v>
      </c>
      <c r="C890" s="152" t="s">
        <v>2397</v>
      </c>
      <c r="D890" s="152" t="s">
        <v>2705</v>
      </c>
      <c r="E890" s="152" t="s">
        <v>2705</v>
      </c>
      <c r="F890" s="152" t="s">
        <v>2398</v>
      </c>
      <c r="G890" s="152" t="s">
        <v>1435</v>
      </c>
      <c r="H890" s="152" t="s">
        <v>2705</v>
      </c>
      <c r="I890" s="152" t="s">
        <v>2705</v>
      </c>
      <c r="J890" s="152" t="s">
        <v>2398</v>
      </c>
      <c r="K890" s="152" t="s">
        <v>2705</v>
      </c>
      <c r="L890" s="152" t="s">
        <v>2398</v>
      </c>
      <c r="M890" s="152" t="s">
        <v>2705</v>
      </c>
      <c r="N890" s="152" t="s">
        <v>2705</v>
      </c>
      <c r="O890" s="152" t="s">
        <v>2705</v>
      </c>
      <c r="P890" s="152" t="s">
        <v>2398</v>
      </c>
      <c r="Q890" s="152" t="s">
        <v>2398</v>
      </c>
      <c r="R890" s="152" t="s">
        <v>2705</v>
      </c>
      <c r="S890" s="152" t="s">
        <v>2705</v>
      </c>
      <c r="T890" s="152" t="s">
        <v>2398</v>
      </c>
      <c r="U890" s="152" t="s">
        <v>2705</v>
      </c>
      <c r="V890" s="142" t="str" cm="1">
        <f t="array" ref="V890">IF(A890&lt;&gt;"",SUM(--(B890:U891 = "X")*$U$3,--(B890:U891 ="A")*$Q$3,--(B890:U891 ="B")*$R$3,--(B890:U891 ="C")*$S$3),"")</f>
        <v/>
      </c>
      <c r="AG890" s="142" t="s">
        <v>2398</v>
      </c>
      <c r="AH890" s="142" t="s">
        <v>2397</v>
      </c>
      <c r="AI890" s="142" t="s">
        <v>2705</v>
      </c>
      <c r="AJ890" s="142" t="s">
        <v>2705</v>
      </c>
      <c r="AK890" s="142" t="s">
        <v>2398</v>
      </c>
      <c r="AL890" s="142" t="s">
        <v>1435</v>
      </c>
      <c r="AM890" s="142" t="s">
        <v>2705</v>
      </c>
      <c r="AN890" s="142" t="s">
        <v>2705</v>
      </c>
      <c r="AO890" s="142" t="s">
        <v>2398</v>
      </c>
      <c r="AP890" s="142" t="s">
        <v>2705</v>
      </c>
      <c r="AQ890" s="142" t="s">
        <v>2398</v>
      </c>
      <c r="AR890" s="142" t="s">
        <v>2705</v>
      </c>
      <c r="AS890" s="142" t="s">
        <v>2705</v>
      </c>
      <c r="AT890" s="142" t="s">
        <v>2705</v>
      </c>
      <c r="AU890" s="142" t="s">
        <v>2398</v>
      </c>
      <c r="AV890" s="142" t="s">
        <v>2398</v>
      </c>
      <c r="AW890" s="142" t="s">
        <v>2705</v>
      </c>
      <c r="AX890" s="142" t="s">
        <v>2705</v>
      </c>
      <c r="AY890" s="142" t="s">
        <v>2398</v>
      </c>
      <c r="AZ890" s="142" t="s">
        <v>2705</v>
      </c>
    </row>
    <row r="891" spans="1:52" s="142" customFormat="1" ht="12.75" x14ac:dyDescent="0.2">
      <c r="A891" s="151" t="s">
        <v>7762</v>
      </c>
      <c r="B891" s="152" t="s">
        <v>2705</v>
      </c>
      <c r="C891" s="152" t="s">
        <v>2675</v>
      </c>
      <c r="D891" s="152" t="s">
        <v>2705</v>
      </c>
      <c r="E891" s="152" t="s">
        <v>1435</v>
      </c>
      <c r="F891" s="152" t="s">
        <v>2397</v>
      </c>
      <c r="G891" s="152" t="s">
        <v>2705</v>
      </c>
      <c r="H891" s="152" t="s">
        <v>2398</v>
      </c>
      <c r="I891" s="152" t="s">
        <v>2705</v>
      </c>
      <c r="J891" s="152" t="s">
        <v>2675</v>
      </c>
      <c r="K891" s="152" t="s">
        <v>2705</v>
      </c>
      <c r="L891" s="152" t="s">
        <v>2398</v>
      </c>
      <c r="M891" s="152" t="s">
        <v>2705</v>
      </c>
      <c r="N891" s="152" t="s">
        <v>2398</v>
      </c>
      <c r="O891" s="152" t="s">
        <v>2398</v>
      </c>
      <c r="P891" s="152" t="s">
        <v>2398</v>
      </c>
      <c r="Q891" s="152" t="s">
        <v>2705</v>
      </c>
      <c r="R891" s="152" t="s">
        <v>2398</v>
      </c>
      <c r="S891" s="152" t="s">
        <v>2705</v>
      </c>
      <c r="T891" s="152" t="s">
        <v>2398</v>
      </c>
      <c r="U891" s="152" t="s">
        <v>2705</v>
      </c>
      <c r="V891" s="142" cm="1">
        <f t="array" ref="V891">IF(A891&lt;&gt;"",SUM(--(B891:U892 = "X")*$U$3,--(B891:U892 ="A")*$Q$3,--(B891:U892 ="B")*$R$3,--(B891:U892 ="C")*$S$3),"")</f>
        <v>13.5</v>
      </c>
      <c r="AF891" s="142" t="s">
        <v>7762</v>
      </c>
      <c r="AG891" s="142" t="s">
        <v>2705</v>
      </c>
      <c r="AH891" s="142" t="s">
        <v>2675</v>
      </c>
      <c r="AI891" s="142" t="s">
        <v>2705</v>
      </c>
      <c r="AJ891" s="142" t="s">
        <v>1435</v>
      </c>
      <c r="AK891" s="142" t="s">
        <v>2397</v>
      </c>
      <c r="AL891" s="142" t="s">
        <v>2705</v>
      </c>
      <c r="AM891" s="142" t="s">
        <v>2398</v>
      </c>
      <c r="AN891" s="142" t="s">
        <v>2705</v>
      </c>
      <c r="AO891" s="142" t="s">
        <v>2675</v>
      </c>
      <c r="AP891" s="142" t="s">
        <v>2705</v>
      </c>
      <c r="AQ891" s="142" t="s">
        <v>2398</v>
      </c>
      <c r="AR891" s="142" t="s">
        <v>2705</v>
      </c>
      <c r="AS891" s="142" t="s">
        <v>2398</v>
      </c>
      <c r="AT891" s="142" t="s">
        <v>2398</v>
      </c>
      <c r="AU891" s="142" t="s">
        <v>2398</v>
      </c>
      <c r="AV891" s="142" t="s">
        <v>2705</v>
      </c>
      <c r="AW891" s="142" t="s">
        <v>2398</v>
      </c>
      <c r="AX891" s="142" t="s">
        <v>2705</v>
      </c>
      <c r="AY891" s="142" t="s">
        <v>2398</v>
      </c>
      <c r="AZ891" s="142" t="s">
        <v>2705</v>
      </c>
    </row>
    <row r="892" spans="1:52" s="142" customFormat="1" ht="12.75" x14ac:dyDescent="0.2">
      <c r="A892" s="151"/>
      <c r="B892" s="152" t="s">
        <v>2398</v>
      </c>
      <c r="C892" s="152" t="s">
        <v>2675</v>
      </c>
      <c r="D892" s="152" t="s">
        <v>2398</v>
      </c>
      <c r="E892" s="152" t="s">
        <v>1435</v>
      </c>
      <c r="F892" s="152" t="s">
        <v>2705</v>
      </c>
      <c r="G892" s="152" t="s">
        <v>2675</v>
      </c>
      <c r="H892" s="152" t="s">
        <v>2398</v>
      </c>
      <c r="I892" s="152" t="s">
        <v>1435</v>
      </c>
      <c r="J892" s="152" t="s">
        <v>2398</v>
      </c>
      <c r="K892" s="152" t="s">
        <v>2705</v>
      </c>
      <c r="L892" s="152" t="s">
        <v>2705</v>
      </c>
      <c r="M892" s="152" t="s">
        <v>2398</v>
      </c>
      <c r="N892" s="152" t="s">
        <v>2705</v>
      </c>
      <c r="O892" s="152" t="s">
        <v>2398</v>
      </c>
      <c r="P892" s="152" t="s">
        <v>2705</v>
      </c>
      <c r="Q892" s="152" t="s">
        <v>2705</v>
      </c>
      <c r="R892" s="152" t="s">
        <v>2705</v>
      </c>
      <c r="S892" s="152" t="s">
        <v>2705</v>
      </c>
      <c r="T892" s="152" t="s">
        <v>2398</v>
      </c>
      <c r="U892" s="152" t="s">
        <v>2398</v>
      </c>
      <c r="V892" s="142" t="str" cm="1">
        <f t="array" ref="V892">IF(A892&lt;&gt;"",SUM(--(B892:U893 = "X")*$U$3,--(B892:U893 ="A")*$Q$3,--(B892:U893 ="B")*$R$3,--(B892:U893 ="C")*$S$3),"")</f>
        <v/>
      </c>
      <c r="AG892" s="142" t="s">
        <v>2398</v>
      </c>
      <c r="AH892" s="142" t="s">
        <v>2675</v>
      </c>
      <c r="AI892" s="142" t="s">
        <v>2398</v>
      </c>
      <c r="AJ892" s="142" t="s">
        <v>1435</v>
      </c>
      <c r="AK892" s="142" t="s">
        <v>2705</v>
      </c>
      <c r="AL892" s="142" t="s">
        <v>2675</v>
      </c>
      <c r="AM892" s="142" t="s">
        <v>2398</v>
      </c>
      <c r="AN892" s="142" t="s">
        <v>1435</v>
      </c>
      <c r="AO892" s="142" t="s">
        <v>2398</v>
      </c>
      <c r="AP892" s="142" t="s">
        <v>2705</v>
      </c>
      <c r="AQ892" s="142" t="s">
        <v>2705</v>
      </c>
      <c r="AR892" s="142" t="s">
        <v>2398</v>
      </c>
      <c r="AS892" s="142" t="s">
        <v>2705</v>
      </c>
      <c r="AT892" s="142" t="s">
        <v>2398</v>
      </c>
      <c r="AU892" s="142" t="s">
        <v>2705</v>
      </c>
      <c r="AV892" s="142" t="s">
        <v>2705</v>
      </c>
      <c r="AW892" s="142" t="s">
        <v>2705</v>
      </c>
      <c r="AX892" s="142" t="s">
        <v>2705</v>
      </c>
      <c r="AY892" s="142" t="s">
        <v>2398</v>
      </c>
      <c r="AZ892" s="142" t="s">
        <v>2398</v>
      </c>
    </row>
    <row r="893" spans="1:52" s="142" customFormat="1" ht="12.75" x14ac:dyDescent="0.2">
      <c r="A893" s="151" t="s">
        <v>7763</v>
      </c>
      <c r="B893" s="152" t="s">
        <v>2705</v>
      </c>
      <c r="C893" s="152" t="s">
        <v>2705</v>
      </c>
      <c r="D893" s="152" t="s">
        <v>2705</v>
      </c>
      <c r="E893" s="152" t="s">
        <v>2398</v>
      </c>
      <c r="F893" s="152" t="s">
        <v>2398</v>
      </c>
      <c r="G893" s="152" t="s">
        <v>1435</v>
      </c>
      <c r="H893" s="152" t="s">
        <v>2705</v>
      </c>
      <c r="I893" s="152" t="s">
        <v>2397</v>
      </c>
      <c r="J893" s="152" t="s">
        <v>2705</v>
      </c>
      <c r="K893" s="152" t="s">
        <v>1435</v>
      </c>
      <c r="L893" s="152" t="s">
        <v>2705</v>
      </c>
      <c r="M893" s="152" t="s">
        <v>1435</v>
      </c>
      <c r="N893" s="152" t="s">
        <v>2705</v>
      </c>
      <c r="O893" s="152" t="s">
        <v>2705</v>
      </c>
      <c r="P893" s="152" t="s">
        <v>2397</v>
      </c>
      <c r="Q893" s="152" t="s">
        <v>2705</v>
      </c>
      <c r="R893" s="152" t="s">
        <v>2675</v>
      </c>
      <c r="S893" s="152" t="s">
        <v>2675</v>
      </c>
      <c r="T893" s="152" t="s">
        <v>2705</v>
      </c>
      <c r="U893" s="152" t="s">
        <v>2398</v>
      </c>
      <c r="V893" s="142" cm="1">
        <f t="array" ref="V893">IF(A893&lt;&gt;"",SUM(--(B893:U894 = "X")*$U$3,--(B893:U894 ="A")*$Q$3,--(B893:U894 ="B")*$R$3,--(B893:U894 ="C")*$S$3),"")</f>
        <v>11.5</v>
      </c>
      <c r="AF893" s="142" t="s">
        <v>7763</v>
      </c>
      <c r="AG893" s="142" t="s">
        <v>2705</v>
      </c>
      <c r="AH893" s="142" t="s">
        <v>2705</v>
      </c>
      <c r="AI893" s="142" t="s">
        <v>2705</v>
      </c>
      <c r="AJ893" s="142" t="s">
        <v>2398</v>
      </c>
      <c r="AK893" s="142" t="s">
        <v>2398</v>
      </c>
      <c r="AL893" s="142" t="s">
        <v>1435</v>
      </c>
      <c r="AM893" s="142" t="s">
        <v>2705</v>
      </c>
      <c r="AN893" s="142" t="s">
        <v>2397</v>
      </c>
      <c r="AO893" s="142" t="s">
        <v>2705</v>
      </c>
      <c r="AP893" s="142" t="s">
        <v>1435</v>
      </c>
      <c r="AQ893" s="142" t="s">
        <v>2705</v>
      </c>
      <c r="AR893" s="142" t="s">
        <v>1435</v>
      </c>
      <c r="AS893" s="142" t="s">
        <v>2705</v>
      </c>
      <c r="AT893" s="142" t="s">
        <v>2705</v>
      </c>
      <c r="AU893" s="142" t="s">
        <v>2397</v>
      </c>
      <c r="AV893" s="142" t="s">
        <v>2705</v>
      </c>
      <c r="AW893" s="142" t="s">
        <v>2675</v>
      </c>
      <c r="AX893" s="142" t="s">
        <v>2675</v>
      </c>
      <c r="AY893" s="142" t="s">
        <v>2705</v>
      </c>
      <c r="AZ893" s="142" t="s">
        <v>2398</v>
      </c>
    </row>
    <row r="894" spans="1:52" s="142" customFormat="1" ht="12.75" x14ac:dyDescent="0.2">
      <c r="A894" s="151"/>
      <c r="B894" s="152" t="s">
        <v>2398</v>
      </c>
      <c r="C894" s="152" t="s">
        <v>2397</v>
      </c>
      <c r="D894" s="152" t="s">
        <v>1435</v>
      </c>
      <c r="E894" s="152" t="s">
        <v>2675</v>
      </c>
      <c r="F894" s="152" t="s">
        <v>2705</v>
      </c>
      <c r="G894" s="152" t="s">
        <v>2705</v>
      </c>
      <c r="H894" s="152" t="s">
        <v>1435</v>
      </c>
      <c r="I894" s="152" t="s">
        <v>2705</v>
      </c>
      <c r="J894" s="152" t="s">
        <v>2397</v>
      </c>
      <c r="K894" s="152" t="s">
        <v>2675</v>
      </c>
      <c r="L894" s="152" t="s">
        <v>2397</v>
      </c>
      <c r="M894" s="152" t="s">
        <v>2675</v>
      </c>
      <c r="N894" s="152" t="s">
        <v>2397</v>
      </c>
      <c r="O894" s="152" t="s">
        <v>2705</v>
      </c>
      <c r="P894" s="152" t="s">
        <v>2398</v>
      </c>
      <c r="Q894" s="152" t="s">
        <v>2705</v>
      </c>
      <c r="R894" s="152" t="s">
        <v>1435</v>
      </c>
      <c r="S894" s="152" t="s">
        <v>2397</v>
      </c>
      <c r="T894" s="152" t="s">
        <v>2705</v>
      </c>
      <c r="U894" s="152" t="s">
        <v>2705</v>
      </c>
      <c r="V894" s="142" t="str" cm="1">
        <f t="array" ref="V894">IF(A894&lt;&gt;"",SUM(--(B894:U895 = "X")*$U$3,--(B894:U895 ="A")*$Q$3,--(B894:U895 ="B")*$R$3,--(B894:U895 ="C")*$S$3),"")</f>
        <v/>
      </c>
      <c r="AG894" s="142" t="s">
        <v>2398</v>
      </c>
      <c r="AH894" s="142" t="s">
        <v>2397</v>
      </c>
      <c r="AI894" s="142" t="s">
        <v>1435</v>
      </c>
      <c r="AJ894" s="142" t="s">
        <v>2675</v>
      </c>
      <c r="AK894" s="142" t="s">
        <v>2705</v>
      </c>
      <c r="AL894" s="142" t="s">
        <v>2705</v>
      </c>
      <c r="AM894" s="142" t="s">
        <v>1435</v>
      </c>
      <c r="AN894" s="142" t="s">
        <v>2705</v>
      </c>
      <c r="AO894" s="142" t="s">
        <v>2397</v>
      </c>
      <c r="AP894" s="142" t="s">
        <v>2675</v>
      </c>
      <c r="AQ894" s="142" t="s">
        <v>2397</v>
      </c>
      <c r="AR894" s="142" t="s">
        <v>2675</v>
      </c>
      <c r="AS894" s="142" t="s">
        <v>2397</v>
      </c>
      <c r="AT894" s="142" t="s">
        <v>2705</v>
      </c>
      <c r="AU894" s="142" t="s">
        <v>2398</v>
      </c>
      <c r="AV894" s="142" t="s">
        <v>2705</v>
      </c>
      <c r="AW894" s="142" t="s">
        <v>1435</v>
      </c>
      <c r="AX894" s="142" t="s">
        <v>2397</v>
      </c>
      <c r="AY894" s="142" t="s">
        <v>2705</v>
      </c>
      <c r="AZ894" s="142" t="s">
        <v>2705</v>
      </c>
    </row>
    <row r="895" spans="1:52" s="142" customFormat="1" ht="12.75" x14ac:dyDescent="0.2">
      <c r="A895" s="151" t="s">
        <v>7764</v>
      </c>
      <c r="B895" s="152" t="s">
        <v>2705</v>
      </c>
      <c r="C895" s="152" t="s">
        <v>2398</v>
      </c>
      <c r="D895" s="152" t="s">
        <v>2398</v>
      </c>
      <c r="E895" s="152" t="s">
        <v>2675</v>
      </c>
      <c r="F895" s="152" t="s">
        <v>2398</v>
      </c>
      <c r="G895" s="152" t="s">
        <v>2398</v>
      </c>
      <c r="H895" s="152" t="s">
        <v>2705</v>
      </c>
      <c r="I895" s="152" t="s">
        <v>2675</v>
      </c>
      <c r="J895" s="152" t="s">
        <v>2705</v>
      </c>
      <c r="K895" s="152" t="s">
        <v>1435</v>
      </c>
      <c r="L895" s="152" t="s">
        <v>2705</v>
      </c>
      <c r="M895" s="152" t="s">
        <v>2705</v>
      </c>
      <c r="N895" s="152" t="s">
        <v>2398</v>
      </c>
      <c r="O895" s="152" t="s">
        <v>2705</v>
      </c>
      <c r="P895" s="152" t="s">
        <v>2398</v>
      </c>
      <c r="Q895" s="152" t="s">
        <v>1435</v>
      </c>
      <c r="R895" s="152" t="s">
        <v>2398</v>
      </c>
      <c r="S895" s="152" t="s">
        <v>2398</v>
      </c>
      <c r="T895" s="152" t="s">
        <v>2398</v>
      </c>
      <c r="U895" s="152" t="s">
        <v>2398</v>
      </c>
      <c r="V895" s="142" cm="1">
        <f t="array" ref="V895">IF(A895&lt;&gt;"",SUM(--(B895:U896 = "X")*$U$3,--(B895:U896 ="A")*$Q$3,--(B895:U896 ="B")*$R$3,--(B895:U896 ="C")*$S$3),"")</f>
        <v>14.5</v>
      </c>
      <c r="AF895" s="142" t="s">
        <v>7764</v>
      </c>
      <c r="AG895" s="142" t="s">
        <v>2705</v>
      </c>
      <c r="AH895" s="142" t="s">
        <v>2398</v>
      </c>
      <c r="AI895" s="142" t="s">
        <v>2398</v>
      </c>
      <c r="AJ895" s="142" t="s">
        <v>2675</v>
      </c>
      <c r="AK895" s="142" t="s">
        <v>2398</v>
      </c>
      <c r="AL895" s="142" t="s">
        <v>2398</v>
      </c>
      <c r="AM895" s="142" t="s">
        <v>2705</v>
      </c>
      <c r="AN895" s="142" t="s">
        <v>2675</v>
      </c>
      <c r="AO895" s="142" t="s">
        <v>2705</v>
      </c>
      <c r="AP895" s="142" t="s">
        <v>1435</v>
      </c>
      <c r="AQ895" s="142" t="s">
        <v>2705</v>
      </c>
      <c r="AR895" s="142" t="s">
        <v>2705</v>
      </c>
      <c r="AS895" s="142" t="s">
        <v>2398</v>
      </c>
      <c r="AT895" s="142" t="s">
        <v>2705</v>
      </c>
      <c r="AU895" s="142" t="s">
        <v>2398</v>
      </c>
      <c r="AV895" s="142" t="s">
        <v>1435</v>
      </c>
      <c r="AW895" s="142" t="s">
        <v>2398</v>
      </c>
      <c r="AX895" s="142" t="s">
        <v>2398</v>
      </c>
      <c r="AY895" s="142" t="s">
        <v>2398</v>
      </c>
      <c r="AZ895" s="142" t="s">
        <v>2398</v>
      </c>
    </row>
    <row r="896" spans="1:52" s="142" customFormat="1" ht="12.75" x14ac:dyDescent="0.2">
      <c r="A896" s="151"/>
      <c r="B896" s="152" t="s">
        <v>2398</v>
      </c>
      <c r="C896" s="152" t="s">
        <v>2705</v>
      </c>
      <c r="D896" s="152" t="s">
        <v>2398</v>
      </c>
      <c r="E896" s="152" t="s">
        <v>2705</v>
      </c>
      <c r="F896" s="152" t="s">
        <v>2705</v>
      </c>
      <c r="G896" s="152" t="s">
        <v>2398</v>
      </c>
      <c r="H896" s="152" t="s">
        <v>2705</v>
      </c>
      <c r="I896" s="152" t="s">
        <v>2705</v>
      </c>
      <c r="J896" s="152" t="s">
        <v>2675</v>
      </c>
      <c r="K896" s="152" t="s">
        <v>2398</v>
      </c>
      <c r="L896" s="152" t="s">
        <v>2705</v>
      </c>
      <c r="M896" s="152" t="s">
        <v>2705</v>
      </c>
      <c r="N896" s="152" t="s">
        <v>2398</v>
      </c>
      <c r="O896" s="152" t="s">
        <v>2705</v>
      </c>
      <c r="P896" s="152" t="s">
        <v>2705</v>
      </c>
      <c r="Q896" s="152" t="s">
        <v>2398</v>
      </c>
      <c r="R896" s="152" t="s">
        <v>2398</v>
      </c>
      <c r="S896" s="152" t="s">
        <v>2705</v>
      </c>
      <c r="T896" s="152" t="s">
        <v>2705</v>
      </c>
      <c r="U896" s="152" t="s">
        <v>2398</v>
      </c>
      <c r="V896" s="142" t="str" cm="1">
        <f t="array" ref="V896">IF(A896&lt;&gt;"",SUM(--(B896:U897 = "X")*$U$3,--(B896:U897 ="A")*$Q$3,--(B896:U897 ="B")*$R$3,--(B896:U897 ="C")*$S$3),"")</f>
        <v/>
      </c>
      <c r="AG896" s="142" t="s">
        <v>2398</v>
      </c>
      <c r="AH896" s="142" t="s">
        <v>2705</v>
      </c>
      <c r="AI896" s="142" t="s">
        <v>2398</v>
      </c>
      <c r="AJ896" s="142" t="s">
        <v>2705</v>
      </c>
      <c r="AK896" s="142" t="s">
        <v>2705</v>
      </c>
      <c r="AL896" s="142" t="s">
        <v>2398</v>
      </c>
      <c r="AM896" s="142" t="s">
        <v>2705</v>
      </c>
      <c r="AN896" s="142" t="s">
        <v>2705</v>
      </c>
      <c r="AO896" s="142" t="s">
        <v>2675</v>
      </c>
      <c r="AP896" s="142" t="s">
        <v>2398</v>
      </c>
      <c r="AQ896" s="142" t="s">
        <v>2705</v>
      </c>
      <c r="AR896" s="142" t="s">
        <v>2705</v>
      </c>
      <c r="AS896" s="142" t="s">
        <v>2398</v>
      </c>
      <c r="AT896" s="142" t="s">
        <v>2705</v>
      </c>
      <c r="AU896" s="142" t="s">
        <v>2705</v>
      </c>
      <c r="AV896" s="142" t="s">
        <v>2398</v>
      </c>
      <c r="AW896" s="142" t="s">
        <v>2398</v>
      </c>
      <c r="AX896" s="142" t="s">
        <v>2705</v>
      </c>
      <c r="AY896" s="142" t="s">
        <v>2705</v>
      </c>
      <c r="AZ896" s="142" t="s">
        <v>2398</v>
      </c>
    </row>
    <row r="897" spans="1:52" s="142" customFormat="1" ht="12.75" x14ac:dyDescent="0.2">
      <c r="A897" s="151" t="s">
        <v>7765</v>
      </c>
      <c r="B897" s="152" t="s">
        <v>2398</v>
      </c>
      <c r="C897" s="152" t="s">
        <v>2675</v>
      </c>
      <c r="D897" s="152" t="s">
        <v>2705</v>
      </c>
      <c r="E897" s="152" t="s">
        <v>2705</v>
      </c>
      <c r="F897" s="152" t="s">
        <v>1435</v>
      </c>
      <c r="G897" s="152" t="s">
        <v>2398</v>
      </c>
      <c r="H897" s="152" t="s">
        <v>2675</v>
      </c>
      <c r="I897" s="152" t="s">
        <v>2398</v>
      </c>
      <c r="J897" s="152" t="s">
        <v>2675</v>
      </c>
      <c r="K897" s="152" t="s">
        <v>2397</v>
      </c>
      <c r="L897" s="152" t="s">
        <v>2675</v>
      </c>
      <c r="M897" s="152" t="s">
        <v>1435</v>
      </c>
      <c r="N897" s="152" t="s">
        <v>2675</v>
      </c>
      <c r="O897" s="152" t="s">
        <v>2705</v>
      </c>
      <c r="P897" s="152" t="s">
        <v>1435</v>
      </c>
      <c r="Q897" s="152" t="s">
        <v>2675</v>
      </c>
      <c r="R897" s="152" t="s">
        <v>2398</v>
      </c>
      <c r="S897" s="152" t="s">
        <v>2398</v>
      </c>
      <c r="T897" s="152" t="s">
        <v>2398</v>
      </c>
      <c r="U897" s="152" t="s">
        <v>2705</v>
      </c>
      <c r="V897" s="142" cm="1">
        <f t="array" ref="V897">IF(A897&lt;&gt;"",SUM(--(B897:U898 = "X")*$U$3,--(B897:U898 ="A")*$Q$3,--(B897:U898 ="B")*$R$3,--(B897:U898 ="C")*$S$3),"")</f>
        <v>3</v>
      </c>
      <c r="AF897" s="142" t="s">
        <v>7765</v>
      </c>
      <c r="AG897" s="142" t="s">
        <v>2398</v>
      </c>
      <c r="AH897" s="142" t="s">
        <v>2675</v>
      </c>
      <c r="AI897" s="142" t="s">
        <v>2705</v>
      </c>
      <c r="AJ897" s="142" t="s">
        <v>2705</v>
      </c>
      <c r="AK897" s="142" t="s">
        <v>1435</v>
      </c>
      <c r="AL897" s="142" t="s">
        <v>2398</v>
      </c>
      <c r="AM897" s="142" t="s">
        <v>2675</v>
      </c>
      <c r="AN897" s="142" t="s">
        <v>2398</v>
      </c>
      <c r="AO897" s="142" t="s">
        <v>2675</v>
      </c>
      <c r="AP897" s="142" t="s">
        <v>2397</v>
      </c>
      <c r="AQ897" s="142" t="s">
        <v>2675</v>
      </c>
      <c r="AR897" s="142" t="s">
        <v>1435</v>
      </c>
      <c r="AS897" s="142" t="s">
        <v>2675</v>
      </c>
      <c r="AT897" s="142" t="s">
        <v>2705</v>
      </c>
      <c r="AU897" s="142" t="s">
        <v>1435</v>
      </c>
      <c r="AV897" s="142" t="s">
        <v>2675</v>
      </c>
      <c r="AW897" s="142" t="s">
        <v>2398</v>
      </c>
      <c r="AX897" s="142" t="s">
        <v>2398</v>
      </c>
      <c r="AY897" s="142" t="s">
        <v>2398</v>
      </c>
      <c r="AZ897" s="142" t="s">
        <v>2705</v>
      </c>
    </row>
    <row r="898" spans="1:52" s="142" customFormat="1" ht="12.75" x14ac:dyDescent="0.2">
      <c r="A898" s="151"/>
      <c r="B898" s="152" t="s">
        <v>1435</v>
      </c>
      <c r="C898" s="152" t="s">
        <v>2397</v>
      </c>
      <c r="D898" s="152" t="s">
        <v>1435</v>
      </c>
      <c r="E898" s="152" t="s">
        <v>2675</v>
      </c>
      <c r="F898" s="152" t="s">
        <v>2705</v>
      </c>
      <c r="G898" s="152" t="s">
        <v>2398</v>
      </c>
      <c r="H898" s="152" t="s">
        <v>2705</v>
      </c>
      <c r="I898" s="152" t="s">
        <v>1435</v>
      </c>
      <c r="J898" s="152" t="s">
        <v>2398</v>
      </c>
      <c r="K898" s="152" t="s">
        <v>2705</v>
      </c>
      <c r="L898" s="152" t="s">
        <v>2398</v>
      </c>
      <c r="M898" s="152" t="s">
        <v>2398</v>
      </c>
      <c r="N898" s="152" t="s">
        <v>2705</v>
      </c>
      <c r="O898" s="152" t="s">
        <v>2398</v>
      </c>
      <c r="P898" s="152" t="s">
        <v>2705</v>
      </c>
      <c r="Q898" s="152" t="s">
        <v>1435</v>
      </c>
      <c r="R898" s="152" t="s">
        <v>2398</v>
      </c>
      <c r="S898" s="152" t="s">
        <v>2398</v>
      </c>
      <c r="T898" s="152" t="s">
        <v>2705</v>
      </c>
      <c r="U898" s="152" t="s">
        <v>2398</v>
      </c>
      <c r="V898" s="142" t="str" cm="1">
        <f t="array" ref="V898">IF(A898&lt;&gt;"",SUM(--(B898:U899 = "X")*$U$3,--(B898:U899 ="A")*$Q$3,--(B898:U899 ="B")*$R$3,--(B898:U899 ="C")*$S$3),"")</f>
        <v/>
      </c>
      <c r="AG898" s="142" t="s">
        <v>1435</v>
      </c>
      <c r="AH898" s="142" t="s">
        <v>2397</v>
      </c>
      <c r="AI898" s="142" t="s">
        <v>1435</v>
      </c>
      <c r="AJ898" s="142" t="s">
        <v>2675</v>
      </c>
      <c r="AK898" s="142" t="s">
        <v>2705</v>
      </c>
      <c r="AL898" s="142" t="s">
        <v>2398</v>
      </c>
      <c r="AM898" s="142" t="s">
        <v>2705</v>
      </c>
      <c r="AN898" s="142" t="s">
        <v>1435</v>
      </c>
      <c r="AO898" s="142" t="s">
        <v>2398</v>
      </c>
      <c r="AP898" s="142" t="s">
        <v>2705</v>
      </c>
      <c r="AQ898" s="142" t="s">
        <v>2398</v>
      </c>
      <c r="AR898" s="142" t="s">
        <v>2398</v>
      </c>
      <c r="AS898" s="142" t="s">
        <v>2705</v>
      </c>
      <c r="AT898" s="142" t="s">
        <v>2398</v>
      </c>
      <c r="AU898" s="142" t="s">
        <v>2705</v>
      </c>
      <c r="AV898" s="142" t="s">
        <v>1435</v>
      </c>
      <c r="AW898" s="142" t="s">
        <v>2398</v>
      </c>
      <c r="AX898" s="142" t="s">
        <v>2398</v>
      </c>
      <c r="AY898" s="142" t="s">
        <v>2705</v>
      </c>
      <c r="AZ898" s="142" t="s">
        <v>2398</v>
      </c>
    </row>
    <row r="899" spans="1:52" s="142" customFormat="1" ht="12.75" x14ac:dyDescent="0.2">
      <c r="A899" s="151" t="s">
        <v>7766</v>
      </c>
      <c r="B899" s="152" t="s">
        <v>2398</v>
      </c>
      <c r="C899" s="152" t="s">
        <v>2705</v>
      </c>
      <c r="D899" s="152" t="s">
        <v>2398</v>
      </c>
      <c r="E899" s="152" t="s">
        <v>2705</v>
      </c>
      <c r="F899" s="152" t="s">
        <v>2398</v>
      </c>
      <c r="G899" s="152" t="s">
        <v>2398</v>
      </c>
      <c r="H899" s="152" t="s">
        <v>2675</v>
      </c>
      <c r="I899" s="152" t="s">
        <v>2398</v>
      </c>
      <c r="J899" s="152" t="s">
        <v>2705</v>
      </c>
      <c r="K899" s="152" t="s">
        <v>2398</v>
      </c>
      <c r="L899" s="152" t="s">
        <v>2398</v>
      </c>
      <c r="M899" s="152" t="s">
        <v>2705</v>
      </c>
      <c r="N899" s="152" t="s">
        <v>2675</v>
      </c>
      <c r="O899" s="152" t="s">
        <v>1435</v>
      </c>
      <c r="P899" s="152" t="s">
        <v>2398</v>
      </c>
      <c r="Q899" s="152" t="s">
        <v>2705</v>
      </c>
      <c r="R899" s="152" t="s">
        <v>2705</v>
      </c>
      <c r="S899" s="152" t="s">
        <v>2705</v>
      </c>
      <c r="T899" s="152" t="s">
        <v>2398</v>
      </c>
      <c r="U899" s="152" t="s">
        <v>2705</v>
      </c>
      <c r="V899" s="142" cm="1">
        <f t="array" ref="V899">IF(A899&lt;&gt;"",SUM(--(B899:U900 = "X")*$U$3,--(B899:U900 ="A")*$Q$3,--(B899:U900 ="B")*$R$3,--(B899:U900 ="C")*$S$3),"")</f>
        <v>16.5</v>
      </c>
      <c r="AF899" s="142" t="s">
        <v>7766</v>
      </c>
      <c r="AG899" s="142" t="s">
        <v>2398</v>
      </c>
      <c r="AH899" s="142" t="s">
        <v>2705</v>
      </c>
      <c r="AI899" s="142" t="s">
        <v>2398</v>
      </c>
      <c r="AJ899" s="142" t="s">
        <v>2705</v>
      </c>
      <c r="AK899" s="142" t="s">
        <v>2398</v>
      </c>
      <c r="AL899" s="142" t="s">
        <v>2398</v>
      </c>
      <c r="AM899" s="142" t="s">
        <v>2675</v>
      </c>
      <c r="AN899" s="142" t="s">
        <v>2398</v>
      </c>
      <c r="AO899" s="142" t="s">
        <v>2705</v>
      </c>
      <c r="AP899" s="142" t="s">
        <v>2398</v>
      </c>
      <c r="AQ899" s="142" t="s">
        <v>2398</v>
      </c>
      <c r="AR899" s="142" t="s">
        <v>2705</v>
      </c>
      <c r="AS899" s="142" t="s">
        <v>2675</v>
      </c>
      <c r="AT899" s="142" t="s">
        <v>1435</v>
      </c>
      <c r="AU899" s="142" t="s">
        <v>2398</v>
      </c>
      <c r="AV899" s="142" t="s">
        <v>2705</v>
      </c>
      <c r="AW899" s="142" t="s">
        <v>2705</v>
      </c>
      <c r="AX899" s="142" t="s">
        <v>2705</v>
      </c>
      <c r="AY899" s="142" t="s">
        <v>2398</v>
      </c>
      <c r="AZ899" s="142" t="s">
        <v>2705</v>
      </c>
    </row>
    <row r="900" spans="1:52" s="142" customFormat="1" ht="12.75" x14ac:dyDescent="0.2">
      <c r="A900" s="151"/>
      <c r="B900" s="152" t="s">
        <v>2398</v>
      </c>
      <c r="C900" s="152" t="s">
        <v>2397</v>
      </c>
      <c r="D900" s="152" t="s">
        <v>1435</v>
      </c>
      <c r="E900" s="152" t="s">
        <v>2705</v>
      </c>
      <c r="F900" s="152" t="s">
        <v>2398</v>
      </c>
      <c r="G900" s="152" t="s">
        <v>2705</v>
      </c>
      <c r="H900" s="152" t="s">
        <v>2705</v>
      </c>
      <c r="I900" s="152" t="s">
        <v>2675</v>
      </c>
      <c r="J900" s="152" t="s">
        <v>2398</v>
      </c>
      <c r="K900" s="152" t="s">
        <v>2705</v>
      </c>
      <c r="L900" s="152" t="s">
        <v>2398</v>
      </c>
      <c r="M900" s="152" t="s">
        <v>2397</v>
      </c>
      <c r="N900" s="152" t="s">
        <v>2705</v>
      </c>
      <c r="O900" s="152" t="s">
        <v>2705</v>
      </c>
      <c r="P900" s="152" t="s">
        <v>2398</v>
      </c>
      <c r="Q900" s="152" t="s">
        <v>2705</v>
      </c>
      <c r="R900" s="152" t="s">
        <v>2705</v>
      </c>
      <c r="S900" s="152" t="s">
        <v>2705</v>
      </c>
      <c r="T900" s="152" t="s">
        <v>2705</v>
      </c>
      <c r="U900" s="152" t="s">
        <v>2705</v>
      </c>
      <c r="V900" s="142" t="str" cm="1">
        <f t="array" ref="V900">IF(A900&lt;&gt;"",SUM(--(B900:U901 = "X")*$U$3,--(B900:U901 ="A")*$Q$3,--(B900:U901 ="B")*$R$3,--(B900:U901 ="C")*$S$3),"")</f>
        <v/>
      </c>
      <c r="AG900" s="142" t="s">
        <v>2398</v>
      </c>
      <c r="AH900" s="142" t="s">
        <v>2397</v>
      </c>
      <c r="AI900" s="142" t="s">
        <v>1435</v>
      </c>
      <c r="AJ900" s="142" t="s">
        <v>2705</v>
      </c>
      <c r="AK900" s="142" t="s">
        <v>2398</v>
      </c>
      <c r="AL900" s="142" t="s">
        <v>2705</v>
      </c>
      <c r="AM900" s="142" t="s">
        <v>2705</v>
      </c>
      <c r="AN900" s="142" t="s">
        <v>2675</v>
      </c>
      <c r="AO900" s="142" t="s">
        <v>2398</v>
      </c>
      <c r="AP900" s="142" t="s">
        <v>2705</v>
      </c>
      <c r="AQ900" s="142" t="s">
        <v>2398</v>
      </c>
      <c r="AR900" s="142" t="s">
        <v>2397</v>
      </c>
      <c r="AS900" s="142" t="s">
        <v>2705</v>
      </c>
      <c r="AT900" s="142" t="s">
        <v>2705</v>
      </c>
      <c r="AU900" s="142" t="s">
        <v>2398</v>
      </c>
      <c r="AV900" s="142" t="s">
        <v>2705</v>
      </c>
      <c r="AW900" s="142" t="s">
        <v>2705</v>
      </c>
      <c r="AX900" s="142" t="s">
        <v>2705</v>
      </c>
      <c r="AY900" s="142" t="s">
        <v>2705</v>
      </c>
      <c r="AZ900" s="142" t="s">
        <v>2705</v>
      </c>
    </row>
    <row r="901" spans="1:52" s="142" customFormat="1" ht="12.75" x14ac:dyDescent="0.2">
      <c r="A901" s="151" t="s">
        <v>7767</v>
      </c>
      <c r="B901" s="152" t="s">
        <v>2705</v>
      </c>
      <c r="C901" s="152" t="s">
        <v>2398</v>
      </c>
      <c r="D901" s="152" t="s">
        <v>2397</v>
      </c>
      <c r="E901" s="152" t="s">
        <v>2398</v>
      </c>
      <c r="F901" s="152" t="s">
        <v>1435</v>
      </c>
      <c r="G901" s="152" t="s">
        <v>2705</v>
      </c>
      <c r="H901" s="152" t="s">
        <v>2398</v>
      </c>
      <c r="I901" s="152" t="s">
        <v>2398</v>
      </c>
      <c r="J901" s="152" t="s">
        <v>2398</v>
      </c>
      <c r="K901" s="152" t="s">
        <v>2705</v>
      </c>
      <c r="L901" s="152" t="s">
        <v>2705</v>
      </c>
      <c r="M901" s="152" t="s">
        <v>2705</v>
      </c>
      <c r="N901" s="152" t="s">
        <v>2398</v>
      </c>
      <c r="O901" s="152" t="s">
        <v>2705</v>
      </c>
      <c r="P901" s="152" t="s">
        <v>2705</v>
      </c>
      <c r="Q901" s="152" t="s">
        <v>2398</v>
      </c>
      <c r="R901" s="152" t="s">
        <v>2397</v>
      </c>
      <c r="S901" s="152" t="s">
        <v>2398</v>
      </c>
      <c r="T901" s="152" t="s">
        <v>2398</v>
      </c>
      <c r="U901" s="152" t="s">
        <v>2705</v>
      </c>
      <c r="V901" s="142" cm="1">
        <f t="array" ref="V901">IF(A901&lt;&gt;"",SUM(--(B901:U902 = "X")*$U$3,--(B901:U902 ="A")*$Q$3,--(B901:U902 ="B")*$R$3,--(B901:U902 ="C")*$S$3),"")</f>
        <v>18.5</v>
      </c>
      <c r="AF901" s="142" t="s">
        <v>7767</v>
      </c>
      <c r="AG901" s="142" t="s">
        <v>2705</v>
      </c>
      <c r="AH901" s="142" t="s">
        <v>2398</v>
      </c>
      <c r="AI901" s="142" t="s">
        <v>2397</v>
      </c>
      <c r="AJ901" s="142" t="s">
        <v>2398</v>
      </c>
      <c r="AK901" s="142" t="s">
        <v>1435</v>
      </c>
      <c r="AL901" s="142" t="s">
        <v>2705</v>
      </c>
      <c r="AM901" s="142" t="s">
        <v>2398</v>
      </c>
      <c r="AN901" s="142" t="s">
        <v>2398</v>
      </c>
      <c r="AO901" s="142" t="s">
        <v>2398</v>
      </c>
      <c r="AP901" s="142" t="s">
        <v>2705</v>
      </c>
      <c r="AQ901" s="142" t="s">
        <v>2705</v>
      </c>
      <c r="AR901" s="142" t="s">
        <v>2705</v>
      </c>
      <c r="AS901" s="142" t="s">
        <v>2398</v>
      </c>
      <c r="AT901" s="142" t="s">
        <v>2705</v>
      </c>
      <c r="AU901" s="142" t="s">
        <v>2705</v>
      </c>
      <c r="AV901" s="142" t="s">
        <v>2398</v>
      </c>
      <c r="AW901" s="142" t="s">
        <v>2397</v>
      </c>
      <c r="AX901" s="142" t="s">
        <v>2398</v>
      </c>
      <c r="AY901" s="142" t="s">
        <v>2398</v>
      </c>
      <c r="AZ901" s="142" t="s">
        <v>2705</v>
      </c>
    </row>
    <row r="902" spans="1:52" s="142" customFormat="1" ht="12.75" x14ac:dyDescent="0.2">
      <c r="A902" s="151"/>
      <c r="B902" s="152" t="s">
        <v>2398</v>
      </c>
      <c r="C902" s="152" t="s">
        <v>2705</v>
      </c>
      <c r="D902" s="152" t="s">
        <v>2705</v>
      </c>
      <c r="E902" s="152" t="s">
        <v>2398</v>
      </c>
      <c r="F902" s="152" t="s">
        <v>2398</v>
      </c>
      <c r="G902" s="152" t="s">
        <v>2398</v>
      </c>
      <c r="H902" s="152" t="s">
        <v>2705</v>
      </c>
      <c r="I902" s="152" t="s">
        <v>2705</v>
      </c>
      <c r="J902" s="152" t="s">
        <v>2705</v>
      </c>
      <c r="K902" s="152" t="s">
        <v>2705</v>
      </c>
      <c r="L902" s="152" t="s">
        <v>2398</v>
      </c>
      <c r="M902" s="152" t="s">
        <v>2705</v>
      </c>
      <c r="N902" s="152" t="s">
        <v>2398</v>
      </c>
      <c r="O902" s="152" t="s">
        <v>2705</v>
      </c>
      <c r="P902" s="152" t="s">
        <v>2705</v>
      </c>
      <c r="Q902" s="152" t="s">
        <v>2705</v>
      </c>
      <c r="R902" s="152" t="s">
        <v>2398</v>
      </c>
      <c r="S902" s="152" t="s">
        <v>2705</v>
      </c>
      <c r="T902" s="152" t="s">
        <v>2398</v>
      </c>
      <c r="U902" s="152" t="s">
        <v>2398</v>
      </c>
      <c r="V902" s="142" t="str" cm="1">
        <f t="array" ref="V902">IF(A902&lt;&gt;"",SUM(--(B902:U903 = "X")*$U$3,--(B902:U903 ="A")*$Q$3,--(B902:U903 ="B")*$R$3,--(B902:U903 ="C")*$S$3),"")</f>
        <v/>
      </c>
      <c r="AG902" s="142" t="s">
        <v>2398</v>
      </c>
      <c r="AH902" s="142" t="s">
        <v>2705</v>
      </c>
      <c r="AI902" s="142" t="s">
        <v>2705</v>
      </c>
      <c r="AJ902" s="142" t="s">
        <v>2398</v>
      </c>
      <c r="AK902" s="142" t="s">
        <v>2398</v>
      </c>
      <c r="AL902" s="142" t="s">
        <v>2398</v>
      </c>
      <c r="AM902" s="142" t="s">
        <v>2705</v>
      </c>
      <c r="AN902" s="142" t="s">
        <v>2705</v>
      </c>
      <c r="AO902" s="142" t="s">
        <v>2705</v>
      </c>
      <c r="AP902" s="142" t="s">
        <v>2705</v>
      </c>
      <c r="AQ902" s="142" t="s">
        <v>2398</v>
      </c>
      <c r="AR902" s="142" t="s">
        <v>2705</v>
      </c>
      <c r="AS902" s="142" t="s">
        <v>2398</v>
      </c>
      <c r="AT902" s="142" t="s">
        <v>2705</v>
      </c>
      <c r="AU902" s="142" t="s">
        <v>2705</v>
      </c>
      <c r="AV902" s="142" t="s">
        <v>2705</v>
      </c>
      <c r="AW902" s="142" t="s">
        <v>2398</v>
      </c>
      <c r="AX902" s="142" t="s">
        <v>2705</v>
      </c>
      <c r="AY902" s="142" t="s">
        <v>2398</v>
      </c>
      <c r="AZ902" s="142" t="s">
        <v>2398</v>
      </c>
    </row>
    <row r="903" spans="1:52" s="142" customFormat="1" ht="12.75" x14ac:dyDescent="0.2">
      <c r="A903" s="151" t="s">
        <v>7768</v>
      </c>
      <c r="B903" s="152" t="s">
        <v>2705</v>
      </c>
      <c r="C903" s="152" t="s">
        <v>2705</v>
      </c>
      <c r="D903" s="152" t="s">
        <v>2705</v>
      </c>
      <c r="E903" s="152" t="s">
        <v>2705</v>
      </c>
      <c r="F903" s="152" t="s">
        <v>2398</v>
      </c>
      <c r="G903" s="152" t="s">
        <v>2705</v>
      </c>
      <c r="H903" s="152" t="s">
        <v>2705</v>
      </c>
      <c r="I903" s="152" t="s">
        <v>1435</v>
      </c>
      <c r="J903" s="152" t="s">
        <v>2705</v>
      </c>
      <c r="K903" s="152" t="s">
        <v>2705</v>
      </c>
      <c r="L903" s="152" t="s">
        <v>2705</v>
      </c>
      <c r="M903" s="152" t="s">
        <v>2705</v>
      </c>
      <c r="N903" s="152" t="s">
        <v>2705</v>
      </c>
      <c r="O903" s="152" t="s">
        <v>2398</v>
      </c>
      <c r="P903" s="152" t="s">
        <v>2675</v>
      </c>
      <c r="Q903" s="152" t="s">
        <v>2398</v>
      </c>
      <c r="R903" s="152" t="s">
        <v>2705</v>
      </c>
      <c r="S903" s="152" t="s">
        <v>2705</v>
      </c>
      <c r="T903" s="152" t="s">
        <v>2705</v>
      </c>
      <c r="U903" s="152" t="s">
        <v>2705</v>
      </c>
      <c r="V903" s="142" cm="1">
        <f t="array" ref="V903">IF(A903&lt;&gt;"",SUM(--(B903:U904 = "X")*$U$3,--(B903:U904 ="A")*$Q$3,--(B903:U904 ="B")*$R$3,--(B903:U904 ="C")*$S$3),"")</f>
        <v>29.5</v>
      </c>
      <c r="AF903" s="142" t="s">
        <v>7768</v>
      </c>
      <c r="AG903" s="142" t="s">
        <v>2705</v>
      </c>
      <c r="AH903" s="142" t="s">
        <v>2705</v>
      </c>
      <c r="AI903" s="142" t="s">
        <v>2705</v>
      </c>
      <c r="AJ903" s="142" t="s">
        <v>2705</v>
      </c>
      <c r="AK903" s="142" t="s">
        <v>2398</v>
      </c>
      <c r="AL903" s="142" t="s">
        <v>2705</v>
      </c>
      <c r="AM903" s="142" t="s">
        <v>2705</v>
      </c>
      <c r="AN903" s="142" t="s">
        <v>1435</v>
      </c>
      <c r="AO903" s="142" t="s">
        <v>2705</v>
      </c>
      <c r="AP903" s="142" t="s">
        <v>2705</v>
      </c>
      <c r="AQ903" s="142" t="s">
        <v>2705</v>
      </c>
      <c r="AR903" s="142" t="s">
        <v>2705</v>
      </c>
      <c r="AS903" s="142" t="s">
        <v>2705</v>
      </c>
      <c r="AT903" s="142" t="s">
        <v>2398</v>
      </c>
      <c r="AU903" s="142" t="s">
        <v>2675</v>
      </c>
      <c r="AV903" s="142" t="s">
        <v>2398</v>
      </c>
      <c r="AW903" s="142" t="s">
        <v>2705</v>
      </c>
      <c r="AX903" s="142" t="s">
        <v>2705</v>
      </c>
      <c r="AY903" s="142" t="s">
        <v>2705</v>
      </c>
      <c r="AZ903" s="142" t="s">
        <v>2705</v>
      </c>
    </row>
    <row r="904" spans="1:52" s="142" customFormat="1" ht="12.75" x14ac:dyDescent="0.2">
      <c r="A904" s="151"/>
      <c r="B904" s="152" t="s">
        <v>2705</v>
      </c>
      <c r="C904" s="152" t="s">
        <v>2705</v>
      </c>
      <c r="D904" s="152" t="s">
        <v>2705</v>
      </c>
      <c r="E904" s="152" t="s">
        <v>2705</v>
      </c>
      <c r="F904" s="152" t="s">
        <v>2705</v>
      </c>
      <c r="G904" s="152" t="s">
        <v>2705</v>
      </c>
      <c r="H904" s="152" t="s">
        <v>2705</v>
      </c>
      <c r="I904" s="152" t="s">
        <v>2705</v>
      </c>
      <c r="J904" s="152" t="s">
        <v>2705</v>
      </c>
      <c r="K904" s="152" t="s">
        <v>2705</v>
      </c>
      <c r="L904" s="152" t="s">
        <v>2398</v>
      </c>
      <c r="M904" s="152" t="s">
        <v>2675</v>
      </c>
      <c r="N904" s="152" t="s">
        <v>2705</v>
      </c>
      <c r="O904" s="152" t="s">
        <v>2705</v>
      </c>
      <c r="P904" s="152" t="s">
        <v>2705</v>
      </c>
      <c r="Q904" s="152" t="s">
        <v>2705</v>
      </c>
      <c r="R904" s="152" t="s">
        <v>2397</v>
      </c>
      <c r="S904" s="152" t="s">
        <v>2398</v>
      </c>
      <c r="T904" s="152" t="s">
        <v>2705</v>
      </c>
      <c r="U904" s="152" t="s">
        <v>2705</v>
      </c>
      <c r="V904" s="142" t="str" cm="1">
        <f t="array" ref="V904">IF(A904&lt;&gt;"",SUM(--(B904:U905 = "X")*$U$3,--(B904:U905 ="A")*$Q$3,--(B904:U905 ="B")*$R$3,--(B904:U905 ="C")*$S$3),"")</f>
        <v/>
      </c>
      <c r="AG904" s="142" t="s">
        <v>2705</v>
      </c>
      <c r="AH904" s="142" t="s">
        <v>2705</v>
      </c>
      <c r="AI904" s="142" t="s">
        <v>2705</v>
      </c>
      <c r="AJ904" s="142" t="s">
        <v>2705</v>
      </c>
      <c r="AK904" s="142" t="s">
        <v>2705</v>
      </c>
      <c r="AL904" s="142" t="s">
        <v>2705</v>
      </c>
      <c r="AM904" s="142" t="s">
        <v>2705</v>
      </c>
      <c r="AN904" s="142" t="s">
        <v>2705</v>
      </c>
      <c r="AO904" s="142" t="s">
        <v>2705</v>
      </c>
      <c r="AP904" s="142" t="s">
        <v>2705</v>
      </c>
      <c r="AQ904" s="142" t="s">
        <v>2398</v>
      </c>
      <c r="AR904" s="142" t="s">
        <v>2675</v>
      </c>
      <c r="AS904" s="142" t="s">
        <v>2705</v>
      </c>
      <c r="AT904" s="142" t="s">
        <v>2705</v>
      </c>
      <c r="AU904" s="142" t="s">
        <v>2705</v>
      </c>
      <c r="AV904" s="142" t="s">
        <v>2705</v>
      </c>
      <c r="AW904" s="142" t="s">
        <v>2397</v>
      </c>
      <c r="AX904" s="142" t="s">
        <v>2398</v>
      </c>
      <c r="AY904" s="142" t="s">
        <v>2705</v>
      </c>
      <c r="AZ904" s="142" t="s">
        <v>2705</v>
      </c>
    </row>
    <row r="905" spans="1:52" s="142" customFormat="1" ht="12.75" x14ac:dyDescent="0.2">
      <c r="A905" s="151" t="s">
        <v>7769</v>
      </c>
      <c r="B905" s="152" t="s">
        <v>2398</v>
      </c>
      <c r="C905" s="152" t="s">
        <v>2705</v>
      </c>
      <c r="D905" s="152" t="s">
        <v>2705</v>
      </c>
      <c r="E905" s="152" t="s">
        <v>2705</v>
      </c>
      <c r="F905" s="152" t="s">
        <v>2705</v>
      </c>
      <c r="G905" s="152" t="s">
        <v>2398</v>
      </c>
      <c r="H905" s="152" t="s">
        <v>2705</v>
      </c>
      <c r="I905" s="152" t="s">
        <v>2398</v>
      </c>
      <c r="J905" s="152" t="s">
        <v>2705</v>
      </c>
      <c r="K905" s="152" t="s">
        <v>2398</v>
      </c>
      <c r="L905" s="152" t="s">
        <v>2705</v>
      </c>
      <c r="M905" s="152" t="s">
        <v>2398</v>
      </c>
      <c r="N905" s="152" t="s">
        <v>2675</v>
      </c>
      <c r="O905" s="152" t="s">
        <v>2705</v>
      </c>
      <c r="P905" s="152" t="s">
        <v>2675</v>
      </c>
      <c r="Q905" s="152" t="s">
        <v>2705</v>
      </c>
      <c r="R905" s="152" t="s">
        <v>2705</v>
      </c>
      <c r="S905" s="152" t="s">
        <v>2397</v>
      </c>
      <c r="T905" s="152" t="s">
        <v>2398</v>
      </c>
      <c r="U905" s="152" t="s">
        <v>2675</v>
      </c>
      <c r="V905" s="142" cm="1">
        <f t="array" ref="V905">IF(A905&lt;&gt;"",SUM(--(B905:U906 = "X")*$U$3,--(B905:U906 ="A")*$Q$3,--(B905:U906 ="B")*$R$3,--(B905:U906 ="C")*$S$3),"")</f>
        <v>16.5</v>
      </c>
      <c r="AF905" s="142" t="s">
        <v>7769</v>
      </c>
      <c r="AG905" s="142" t="s">
        <v>2398</v>
      </c>
      <c r="AH905" s="142" t="s">
        <v>2705</v>
      </c>
      <c r="AI905" s="142" t="s">
        <v>2705</v>
      </c>
      <c r="AJ905" s="142" t="s">
        <v>2705</v>
      </c>
      <c r="AK905" s="142" t="s">
        <v>2705</v>
      </c>
      <c r="AL905" s="142" t="s">
        <v>2398</v>
      </c>
      <c r="AM905" s="142" t="s">
        <v>2705</v>
      </c>
      <c r="AN905" s="142" t="s">
        <v>2398</v>
      </c>
      <c r="AO905" s="142" t="s">
        <v>2705</v>
      </c>
      <c r="AP905" s="142" t="s">
        <v>2398</v>
      </c>
      <c r="AQ905" s="142" t="s">
        <v>2705</v>
      </c>
      <c r="AR905" s="142" t="s">
        <v>2398</v>
      </c>
      <c r="AS905" s="142" t="s">
        <v>2675</v>
      </c>
      <c r="AT905" s="142" t="s">
        <v>2705</v>
      </c>
      <c r="AU905" s="142" t="s">
        <v>2675</v>
      </c>
      <c r="AV905" s="142" t="s">
        <v>2705</v>
      </c>
      <c r="AW905" s="142" t="s">
        <v>2705</v>
      </c>
      <c r="AX905" s="142" t="s">
        <v>2397</v>
      </c>
      <c r="AY905" s="142" t="s">
        <v>2398</v>
      </c>
      <c r="AZ905" s="142" t="s">
        <v>2675</v>
      </c>
    </row>
    <row r="906" spans="1:52" s="142" customFormat="1" ht="12.75" x14ac:dyDescent="0.2">
      <c r="A906" s="151"/>
      <c r="B906" s="152" t="s">
        <v>2705</v>
      </c>
      <c r="C906" s="152" t="s">
        <v>2705</v>
      </c>
      <c r="D906" s="152" t="s">
        <v>2705</v>
      </c>
      <c r="E906" s="152" t="s">
        <v>2398</v>
      </c>
      <c r="F906" s="152" t="s">
        <v>2675</v>
      </c>
      <c r="G906" s="152" t="s">
        <v>2705</v>
      </c>
      <c r="H906" s="152" t="s">
        <v>2705</v>
      </c>
      <c r="I906" s="152" t="s">
        <v>2397</v>
      </c>
      <c r="J906" s="152" t="s">
        <v>2705</v>
      </c>
      <c r="K906" s="152" t="s">
        <v>2398</v>
      </c>
      <c r="L906" s="152" t="s">
        <v>2705</v>
      </c>
      <c r="M906" s="152" t="s">
        <v>2705</v>
      </c>
      <c r="N906" s="152" t="s">
        <v>2675</v>
      </c>
      <c r="O906" s="152" t="s">
        <v>2705</v>
      </c>
      <c r="P906" s="152" t="s">
        <v>2705</v>
      </c>
      <c r="Q906" s="152" t="s">
        <v>1435</v>
      </c>
      <c r="R906" s="152" t="s">
        <v>2398</v>
      </c>
      <c r="S906" s="152" t="s">
        <v>2397</v>
      </c>
      <c r="T906" s="152" t="s">
        <v>2397</v>
      </c>
      <c r="U906" s="152" t="s">
        <v>2675</v>
      </c>
      <c r="V906" s="142" t="str" cm="1">
        <f t="array" ref="V906">IF(A906&lt;&gt;"",SUM(--(B906:U907 = "X")*$U$3,--(B906:U907 ="A")*$Q$3,--(B906:U907 ="B")*$R$3,--(B906:U907 ="C")*$S$3),"")</f>
        <v/>
      </c>
      <c r="AG906" s="142" t="s">
        <v>2705</v>
      </c>
      <c r="AH906" s="142" t="s">
        <v>2705</v>
      </c>
      <c r="AI906" s="142" t="s">
        <v>2705</v>
      </c>
      <c r="AJ906" s="142" t="s">
        <v>2398</v>
      </c>
      <c r="AK906" s="142" t="s">
        <v>2675</v>
      </c>
      <c r="AL906" s="142" t="s">
        <v>2705</v>
      </c>
      <c r="AM906" s="142" t="s">
        <v>2705</v>
      </c>
      <c r="AN906" s="142" t="s">
        <v>2397</v>
      </c>
      <c r="AO906" s="142" t="s">
        <v>2705</v>
      </c>
      <c r="AP906" s="142" t="s">
        <v>2398</v>
      </c>
      <c r="AQ906" s="142" t="s">
        <v>2705</v>
      </c>
      <c r="AR906" s="142" t="s">
        <v>2705</v>
      </c>
      <c r="AS906" s="142" t="s">
        <v>2675</v>
      </c>
      <c r="AT906" s="142" t="s">
        <v>2705</v>
      </c>
      <c r="AU906" s="142" t="s">
        <v>2705</v>
      </c>
      <c r="AV906" s="142" t="s">
        <v>1435</v>
      </c>
      <c r="AW906" s="142" t="s">
        <v>2398</v>
      </c>
      <c r="AX906" s="142" t="s">
        <v>2397</v>
      </c>
      <c r="AY906" s="142" t="s">
        <v>2397</v>
      </c>
      <c r="AZ906" s="142" t="s">
        <v>2675</v>
      </c>
    </row>
    <row r="907" spans="1:52" s="142" customFormat="1" ht="12.75" x14ac:dyDescent="0.2">
      <c r="A907" s="151" t="s">
        <v>7770</v>
      </c>
      <c r="B907" s="152" t="s">
        <v>2397</v>
      </c>
      <c r="C907" s="152" t="s">
        <v>2398</v>
      </c>
      <c r="D907" s="152" t="s">
        <v>2397</v>
      </c>
      <c r="E907" s="152" t="s">
        <v>2705</v>
      </c>
      <c r="F907" s="152" t="s">
        <v>2675</v>
      </c>
      <c r="G907" s="152" t="s">
        <v>2705</v>
      </c>
      <c r="H907" s="152" t="s">
        <v>2705</v>
      </c>
      <c r="I907" s="152" t="s">
        <v>2397</v>
      </c>
      <c r="J907" s="152" t="s">
        <v>2705</v>
      </c>
      <c r="K907" s="152" t="s">
        <v>2398</v>
      </c>
      <c r="L907" s="152" t="s">
        <v>2398</v>
      </c>
      <c r="M907" s="152" t="s">
        <v>2705</v>
      </c>
      <c r="N907" s="152" t="s">
        <v>2398</v>
      </c>
      <c r="O907" s="152" t="s">
        <v>2398</v>
      </c>
      <c r="P907" s="152" t="s">
        <v>2398</v>
      </c>
      <c r="Q907" s="152" t="s">
        <v>2398</v>
      </c>
      <c r="R907" s="152" t="s">
        <v>2398</v>
      </c>
      <c r="S907" s="152" t="s">
        <v>2705</v>
      </c>
      <c r="T907" s="152" t="s">
        <v>2398</v>
      </c>
      <c r="U907" s="152" t="s">
        <v>2705</v>
      </c>
      <c r="V907" s="142" cm="1">
        <f t="array" ref="V907">IF(A907&lt;&gt;"",SUM(--(B907:U908 = "X")*$U$3,--(B907:U908 ="A")*$Q$3,--(B907:U908 ="B")*$R$3,--(B907:U908 ="C")*$S$3),"")</f>
        <v>6.5</v>
      </c>
      <c r="AF907" s="142" t="s">
        <v>7770</v>
      </c>
      <c r="AG907" s="142" t="s">
        <v>2397</v>
      </c>
      <c r="AH907" s="142" t="s">
        <v>2398</v>
      </c>
      <c r="AI907" s="142" t="s">
        <v>2397</v>
      </c>
      <c r="AJ907" s="142" t="s">
        <v>2705</v>
      </c>
      <c r="AK907" s="142" t="s">
        <v>2675</v>
      </c>
      <c r="AL907" s="142" t="s">
        <v>2705</v>
      </c>
      <c r="AM907" s="142" t="s">
        <v>2705</v>
      </c>
      <c r="AN907" s="142" t="s">
        <v>2397</v>
      </c>
      <c r="AO907" s="142" t="s">
        <v>2705</v>
      </c>
      <c r="AP907" s="142" t="s">
        <v>2398</v>
      </c>
      <c r="AQ907" s="142" t="s">
        <v>2398</v>
      </c>
      <c r="AR907" s="142" t="s">
        <v>2705</v>
      </c>
      <c r="AS907" s="142" t="s">
        <v>2398</v>
      </c>
      <c r="AT907" s="142" t="s">
        <v>2398</v>
      </c>
      <c r="AU907" s="142" t="s">
        <v>2398</v>
      </c>
      <c r="AV907" s="142" t="s">
        <v>2398</v>
      </c>
      <c r="AW907" s="142" t="s">
        <v>2398</v>
      </c>
      <c r="AX907" s="142" t="s">
        <v>2705</v>
      </c>
      <c r="AY907" s="142" t="s">
        <v>2398</v>
      </c>
      <c r="AZ907" s="142" t="s">
        <v>2705</v>
      </c>
    </row>
    <row r="908" spans="1:52" s="142" customFormat="1" ht="12.75" x14ac:dyDescent="0.2">
      <c r="A908" s="151"/>
      <c r="B908" s="152" t="s">
        <v>2398</v>
      </c>
      <c r="C908" s="152" t="s">
        <v>2675</v>
      </c>
      <c r="D908" s="152" t="s">
        <v>2398</v>
      </c>
      <c r="E908" s="152" t="s">
        <v>2675</v>
      </c>
      <c r="F908" s="152" t="s">
        <v>2398</v>
      </c>
      <c r="G908" s="152" t="s">
        <v>2675</v>
      </c>
      <c r="H908" s="152" t="s">
        <v>2398</v>
      </c>
      <c r="I908" s="152" t="s">
        <v>1435</v>
      </c>
      <c r="J908" s="152" t="s">
        <v>2398</v>
      </c>
      <c r="K908" s="152" t="s">
        <v>2705</v>
      </c>
      <c r="L908" s="152" t="s">
        <v>2705</v>
      </c>
      <c r="M908" s="152" t="s">
        <v>2398</v>
      </c>
      <c r="N908" s="152" t="s">
        <v>2705</v>
      </c>
      <c r="O908" s="152" t="s">
        <v>2675</v>
      </c>
      <c r="P908" s="152" t="s">
        <v>2675</v>
      </c>
      <c r="Q908" s="152" t="s">
        <v>1435</v>
      </c>
      <c r="R908" s="152" t="s">
        <v>2398</v>
      </c>
      <c r="S908" s="152" t="s">
        <v>2675</v>
      </c>
      <c r="T908" s="152" t="s">
        <v>2705</v>
      </c>
      <c r="U908" s="152" t="s">
        <v>2398</v>
      </c>
      <c r="V908" s="142" t="str" cm="1">
        <f t="array" ref="V908">IF(A908&lt;&gt;"",SUM(--(B908:U909 = "X")*$U$3,--(B908:U909 ="A")*$Q$3,--(B908:U909 ="B")*$R$3,--(B908:U909 ="C")*$S$3),"")</f>
        <v/>
      </c>
      <c r="AG908" s="142" t="s">
        <v>2398</v>
      </c>
      <c r="AH908" s="142" t="s">
        <v>2675</v>
      </c>
      <c r="AI908" s="142" t="s">
        <v>2398</v>
      </c>
      <c r="AJ908" s="142" t="s">
        <v>2675</v>
      </c>
      <c r="AK908" s="142" t="s">
        <v>2398</v>
      </c>
      <c r="AL908" s="142" t="s">
        <v>2675</v>
      </c>
      <c r="AM908" s="142" t="s">
        <v>2398</v>
      </c>
      <c r="AN908" s="142" t="s">
        <v>1435</v>
      </c>
      <c r="AO908" s="142" t="s">
        <v>2398</v>
      </c>
      <c r="AP908" s="142" t="s">
        <v>2705</v>
      </c>
      <c r="AQ908" s="142" t="s">
        <v>2705</v>
      </c>
      <c r="AR908" s="142" t="s">
        <v>2398</v>
      </c>
      <c r="AS908" s="142" t="s">
        <v>2705</v>
      </c>
      <c r="AT908" s="142" t="s">
        <v>2675</v>
      </c>
      <c r="AU908" s="142" t="s">
        <v>2675</v>
      </c>
      <c r="AV908" s="142" t="s">
        <v>1435</v>
      </c>
      <c r="AW908" s="142" t="s">
        <v>2398</v>
      </c>
      <c r="AX908" s="142" t="s">
        <v>2675</v>
      </c>
      <c r="AY908" s="142" t="s">
        <v>2705</v>
      </c>
      <c r="AZ908" s="142" t="s">
        <v>2398</v>
      </c>
    </row>
    <row r="909" spans="1:52" s="142" customFormat="1" ht="12.75" x14ac:dyDescent="0.2">
      <c r="A909" s="151" t="s">
        <v>7771</v>
      </c>
      <c r="B909" s="152" t="s">
        <v>2705</v>
      </c>
      <c r="C909" s="152" t="s">
        <v>2705</v>
      </c>
      <c r="D909" s="152" t="s">
        <v>2705</v>
      </c>
      <c r="E909" s="152" t="s">
        <v>1435</v>
      </c>
      <c r="F909" s="152" t="s">
        <v>2705</v>
      </c>
      <c r="G909" s="152" t="s">
        <v>2398</v>
      </c>
      <c r="H909" s="152" t="s">
        <v>1435</v>
      </c>
      <c r="I909" s="152" t="s">
        <v>2397</v>
      </c>
      <c r="J909" s="152" t="s">
        <v>2398</v>
      </c>
      <c r="K909" s="152" t="s">
        <v>2398</v>
      </c>
      <c r="L909" s="152" t="s">
        <v>2705</v>
      </c>
      <c r="M909" s="152" t="s">
        <v>1435</v>
      </c>
      <c r="N909" s="152" t="s">
        <v>1435</v>
      </c>
      <c r="O909" s="152" t="s">
        <v>1435</v>
      </c>
      <c r="P909" s="152" t="s">
        <v>2397</v>
      </c>
      <c r="Q909" s="152" t="s">
        <v>1435</v>
      </c>
      <c r="R909" s="152" t="s">
        <v>2398</v>
      </c>
      <c r="S909" s="152" t="s">
        <v>2705</v>
      </c>
      <c r="T909" s="152" t="s">
        <v>2705</v>
      </c>
      <c r="U909" s="152" t="s">
        <v>2675</v>
      </c>
      <c r="V909" s="142" cm="1">
        <f t="array" ref="V909">IF(A909&lt;&gt;"",SUM(--(B909:U910 = "X")*$U$3,--(B909:U910 ="A")*$Q$3,--(B909:U910 ="B")*$R$3,--(B909:U910 ="C")*$S$3),"")</f>
        <v>7</v>
      </c>
      <c r="AF909" s="142" t="s">
        <v>7771</v>
      </c>
      <c r="AG909" s="142" t="s">
        <v>2705</v>
      </c>
      <c r="AH909" s="142" t="s">
        <v>2705</v>
      </c>
      <c r="AI909" s="142" t="s">
        <v>2705</v>
      </c>
      <c r="AJ909" s="142" t="s">
        <v>1435</v>
      </c>
      <c r="AK909" s="142" t="s">
        <v>2705</v>
      </c>
      <c r="AL909" s="142" t="s">
        <v>2398</v>
      </c>
      <c r="AM909" s="142" t="s">
        <v>1435</v>
      </c>
      <c r="AN909" s="142" t="s">
        <v>2397</v>
      </c>
      <c r="AO909" s="142" t="s">
        <v>2398</v>
      </c>
      <c r="AP909" s="142" t="s">
        <v>2398</v>
      </c>
      <c r="AQ909" s="142" t="s">
        <v>2705</v>
      </c>
      <c r="AR909" s="142" t="s">
        <v>1435</v>
      </c>
      <c r="AS909" s="142" t="s">
        <v>1435</v>
      </c>
      <c r="AT909" s="142" t="s">
        <v>1435</v>
      </c>
      <c r="AU909" s="142" t="s">
        <v>2397</v>
      </c>
      <c r="AV909" s="142" t="s">
        <v>1435</v>
      </c>
      <c r="AW909" s="142" t="s">
        <v>2398</v>
      </c>
      <c r="AX909" s="142" t="s">
        <v>2705</v>
      </c>
      <c r="AY909" s="142" t="s">
        <v>2705</v>
      </c>
      <c r="AZ909" s="142" t="s">
        <v>2675</v>
      </c>
    </row>
    <row r="910" spans="1:52" s="142" customFormat="1" ht="12.75" x14ac:dyDescent="0.2">
      <c r="A910" s="151"/>
      <c r="B910" s="152" t="s">
        <v>2398</v>
      </c>
      <c r="C910" s="152" t="s">
        <v>2705</v>
      </c>
      <c r="D910" s="152" t="s">
        <v>2705</v>
      </c>
      <c r="E910" s="152" t="s">
        <v>2675</v>
      </c>
      <c r="F910" s="152" t="s">
        <v>2397</v>
      </c>
      <c r="G910" s="152" t="s">
        <v>2705</v>
      </c>
      <c r="H910" s="152" t="s">
        <v>2675</v>
      </c>
      <c r="I910" s="152" t="s">
        <v>2397</v>
      </c>
      <c r="J910" s="152" t="s">
        <v>2675</v>
      </c>
      <c r="K910" s="152" t="s">
        <v>2675</v>
      </c>
      <c r="L910" s="152" t="s">
        <v>2397</v>
      </c>
      <c r="M910" s="152" t="s">
        <v>2398</v>
      </c>
      <c r="N910" s="152" t="s">
        <v>2397</v>
      </c>
      <c r="O910" s="152" t="s">
        <v>2705</v>
      </c>
      <c r="P910" s="152" t="s">
        <v>2705</v>
      </c>
      <c r="Q910" s="152" t="s">
        <v>2705</v>
      </c>
      <c r="R910" s="152" t="s">
        <v>2675</v>
      </c>
      <c r="S910" s="152" t="s">
        <v>1435</v>
      </c>
      <c r="T910" s="152" t="s">
        <v>2705</v>
      </c>
      <c r="U910" s="152" t="s">
        <v>2675</v>
      </c>
      <c r="V910" s="142" t="str" cm="1">
        <f t="array" ref="V910">IF(A910&lt;&gt;"",SUM(--(B910:U911 = "X")*$U$3,--(B910:U911 ="A")*$Q$3,--(B910:U911 ="B")*$R$3,--(B910:U911 ="C")*$S$3),"")</f>
        <v/>
      </c>
      <c r="AG910" s="142" t="s">
        <v>2398</v>
      </c>
      <c r="AH910" s="142" t="s">
        <v>2705</v>
      </c>
      <c r="AI910" s="142" t="s">
        <v>2705</v>
      </c>
      <c r="AJ910" s="142" t="s">
        <v>2675</v>
      </c>
      <c r="AK910" s="142" t="s">
        <v>2397</v>
      </c>
      <c r="AL910" s="142" t="s">
        <v>2705</v>
      </c>
      <c r="AM910" s="142" t="s">
        <v>2675</v>
      </c>
      <c r="AN910" s="142" t="s">
        <v>2397</v>
      </c>
      <c r="AO910" s="142" t="s">
        <v>2675</v>
      </c>
      <c r="AP910" s="142" t="s">
        <v>2675</v>
      </c>
      <c r="AQ910" s="142" t="s">
        <v>2397</v>
      </c>
      <c r="AR910" s="142" t="s">
        <v>2398</v>
      </c>
      <c r="AS910" s="142" t="s">
        <v>2397</v>
      </c>
      <c r="AT910" s="142" t="s">
        <v>2705</v>
      </c>
      <c r="AU910" s="142" t="s">
        <v>2705</v>
      </c>
      <c r="AV910" s="142" t="s">
        <v>2705</v>
      </c>
      <c r="AW910" s="142" t="s">
        <v>2675</v>
      </c>
      <c r="AX910" s="142" t="s">
        <v>1435</v>
      </c>
      <c r="AY910" s="142" t="s">
        <v>2705</v>
      </c>
      <c r="AZ910" s="142" t="s">
        <v>2675</v>
      </c>
    </row>
    <row r="911" spans="1:52" s="142" customFormat="1" ht="12.75" x14ac:dyDescent="0.2">
      <c r="A911" s="151" t="s">
        <v>7772</v>
      </c>
      <c r="B911" s="152" t="s">
        <v>2398</v>
      </c>
      <c r="C911" s="152" t="s">
        <v>2398</v>
      </c>
      <c r="D911" s="152" t="s">
        <v>2705</v>
      </c>
      <c r="E911" s="152" t="s">
        <v>2398</v>
      </c>
      <c r="F911" s="152" t="s">
        <v>2675</v>
      </c>
      <c r="G911" s="152" t="s">
        <v>2705</v>
      </c>
      <c r="H911" s="152" t="s">
        <v>2705</v>
      </c>
      <c r="I911" s="152" t="s">
        <v>2675</v>
      </c>
      <c r="J911" s="152" t="s">
        <v>1435</v>
      </c>
      <c r="K911" s="152" t="s">
        <v>2705</v>
      </c>
      <c r="L911" s="152" t="s">
        <v>1435</v>
      </c>
      <c r="M911" s="152" t="s">
        <v>2398</v>
      </c>
      <c r="N911" s="152" t="s">
        <v>2705</v>
      </c>
      <c r="O911" s="152" t="s">
        <v>2675</v>
      </c>
      <c r="P911" s="152" t="s">
        <v>2705</v>
      </c>
      <c r="Q911" s="152" t="s">
        <v>2705</v>
      </c>
      <c r="R911" s="152" t="s">
        <v>1435</v>
      </c>
      <c r="S911" s="152" t="s">
        <v>2397</v>
      </c>
      <c r="T911" s="152" t="s">
        <v>1435</v>
      </c>
      <c r="U911" s="152" t="s">
        <v>2675</v>
      </c>
      <c r="V911" s="142" cm="1">
        <f t="array" ref="V911">IF(A911&lt;&gt;"",SUM(--(B911:U912 = "X")*$U$3,--(B911:U912 ="A")*$Q$3,--(B911:U912 ="B")*$R$3,--(B911:U912 ="C")*$S$3),"")</f>
        <v>8</v>
      </c>
      <c r="AF911" s="142" t="s">
        <v>7772</v>
      </c>
      <c r="AG911" s="142" t="s">
        <v>2398</v>
      </c>
      <c r="AH911" s="142" t="s">
        <v>2398</v>
      </c>
      <c r="AI911" s="142" t="s">
        <v>2705</v>
      </c>
      <c r="AJ911" s="142" t="s">
        <v>2398</v>
      </c>
      <c r="AK911" s="142" t="s">
        <v>2675</v>
      </c>
      <c r="AL911" s="142" t="s">
        <v>2705</v>
      </c>
      <c r="AM911" s="142" t="s">
        <v>2705</v>
      </c>
      <c r="AN911" s="142" t="s">
        <v>2675</v>
      </c>
      <c r="AO911" s="142" t="s">
        <v>1435</v>
      </c>
      <c r="AP911" s="142" t="s">
        <v>2705</v>
      </c>
      <c r="AQ911" s="142" t="s">
        <v>1435</v>
      </c>
      <c r="AR911" s="142" t="s">
        <v>2398</v>
      </c>
      <c r="AS911" s="142" t="s">
        <v>2705</v>
      </c>
      <c r="AT911" s="142" t="s">
        <v>2675</v>
      </c>
      <c r="AU911" s="142" t="s">
        <v>2705</v>
      </c>
      <c r="AV911" s="142" t="s">
        <v>2705</v>
      </c>
      <c r="AW911" s="142" t="s">
        <v>1435</v>
      </c>
      <c r="AX911" s="142" t="s">
        <v>2397</v>
      </c>
      <c r="AY911" s="142" t="s">
        <v>1435</v>
      </c>
      <c r="AZ911" s="142" t="s">
        <v>2675</v>
      </c>
    </row>
    <row r="912" spans="1:52" s="142" customFormat="1" ht="12.75" x14ac:dyDescent="0.2">
      <c r="A912" s="151"/>
      <c r="B912" s="152" t="s">
        <v>2675</v>
      </c>
      <c r="C912" s="152" t="s">
        <v>2398</v>
      </c>
      <c r="D912" s="152" t="s">
        <v>2705</v>
      </c>
      <c r="E912" s="152" t="s">
        <v>2675</v>
      </c>
      <c r="F912" s="152" t="s">
        <v>2705</v>
      </c>
      <c r="G912" s="152" t="s">
        <v>2675</v>
      </c>
      <c r="H912" s="152" t="s">
        <v>2397</v>
      </c>
      <c r="I912" s="152" t="s">
        <v>2398</v>
      </c>
      <c r="J912" s="152" t="s">
        <v>1435</v>
      </c>
      <c r="K912" s="152" t="s">
        <v>2398</v>
      </c>
      <c r="L912" s="152" t="s">
        <v>2398</v>
      </c>
      <c r="M912" s="152" t="s">
        <v>2398</v>
      </c>
      <c r="N912" s="152" t="s">
        <v>2705</v>
      </c>
      <c r="O912" s="152" t="s">
        <v>2398</v>
      </c>
      <c r="P912" s="152" t="s">
        <v>2705</v>
      </c>
      <c r="Q912" s="152" t="s">
        <v>2705</v>
      </c>
      <c r="R912" s="152" t="s">
        <v>2398</v>
      </c>
      <c r="S912" s="152" t="s">
        <v>2705</v>
      </c>
      <c r="T912" s="152" t="s">
        <v>2705</v>
      </c>
      <c r="U912" s="152" t="s">
        <v>2398</v>
      </c>
      <c r="V912" s="142" t="str" cm="1">
        <f t="array" ref="V912">IF(A912&lt;&gt;"",SUM(--(B912:U913 = "X")*$U$3,--(B912:U913 ="A")*$Q$3,--(B912:U913 ="B")*$R$3,--(B912:U913 ="C")*$S$3),"")</f>
        <v/>
      </c>
      <c r="AG912" s="142" t="s">
        <v>2675</v>
      </c>
      <c r="AH912" s="142" t="s">
        <v>2398</v>
      </c>
      <c r="AI912" s="142" t="s">
        <v>2705</v>
      </c>
      <c r="AJ912" s="142" t="s">
        <v>2675</v>
      </c>
      <c r="AK912" s="142" t="s">
        <v>2705</v>
      </c>
      <c r="AL912" s="142" t="s">
        <v>2675</v>
      </c>
      <c r="AM912" s="142" t="s">
        <v>2397</v>
      </c>
      <c r="AN912" s="142" t="s">
        <v>2398</v>
      </c>
      <c r="AO912" s="142" t="s">
        <v>1435</v>
      </c>
      <c r="AP912" s="142" t="s">
        <v>2398</v>
      </c>
      <c r="AQ912" s="142" t="s">
        <v>2398</v>
      </c>
      <c r="AR912" s="142" t="s">
        <v>2398</v>
      </c>
      <c r="AS912" s="142" t="s">
        <v>2705</v>
      </c>
      <c r="AT912" s="142" t="s">
        <v>2398</v>
      </c>
      <c r="AU912" s="142" t="s">
        <v>2705</v>
      </c>
      <c r="AV912" s="142" t="s">
        <v>2705</v>
      </c>
      <c r="AW912" s="142" t="s">
        <v>2398</v>
      </c>
      <c r="AX912" s="142" t="s">
        <v>2705</v>
      </c>
      <c r="AY912" s="142" t="s">
        <v>2705</v>
      </c>
      <c r="AZ912" s="142" t="s">
        <v>2398</v>
      </c>
    </row>
    <row r="913" spans="1:52" s="142" customFormat="1" ht="12.75" x14ac:dyDescent="0.2">
      <c r="A913" s="151" t="s">
        <v>7773</v>
      </c>
      <c r="B913" s="152" t="s">
        <v>1435</v>
      </c>
      <c r="C913" s="152" t="s">
        <v>2398</v>
      </c>
      <c r="D913" s="152" t="s">
        <v>2398</v>
      </c>
      <c r="E913" s="152" t="s">
        <v>2705</v>
      </c>
      <c r="F913" s="152" t="s">
        <v>2397</v>
      </c>
      <c r="G913" s="152" t="s">
        <v>2705</v>
      </c>
      <c r="H913" s="152" t="s">
        <v>2705</v>
      </c>
      <c r="I913" s="152" t="s">
        <v>2705</v>
      </c>
      <c r="J913" s="152" t="s">
        <v>2705</v>
      </c>
      <c r="K913" s="152" t="s">
        <v>2398</v>
      </c>
      <c r="L913" s="152" t="s">
        <v>2675</v>
      </c>
      <c r="M913" s="152" t="s">
        <v>2398</v>
      </c>
      <c r="N913" s="152" t="s">
        <v>2398</v>
      </c>
      <c r="O913" s="152" t="s">
        <v>2705</v>
      </c>
      <c r="P913" s="152" t="s">
        <v>2397</v>
      </c>
      <c r="Q913" s="152" t="s">
        <v>2705</v>
      </c>
      <c r="R913" s="152" t="s">
        <v>2705</v>
      </c>
      <c r="S913" s="152" t="s">
        <v>2705</v>
      </c>
      <c r="T913" s="152" t="s">
        <v>2675</v>
      </c>
      <c r="U913" s="152" t="s">
        <v>2705</v>
      </c>
      <c r="V913" s="142" cm="1">
        <f t="array" ref="V913">IF(A913&lt;&gt;"",SUM(--(B913:U914 = "X")*$U$3,--(B913:U914 ="A")*$Q$3,--(B913:U914 ="B")*$R$3,--(B913:U914 ="C")*$S$3),"")</f>
        <v>11</v>
      </c>
      <c r="AF913" s="142" t="s">
        <v>7773</v>
      </c>
      <c r="AG913" s="142" t="s">
        <v>1435</v>
      </c>
      <c r="AH913" s="142" t="s">
        <v>2398</v>
      </c>
      <c r="AI913" s="142" t="s">
        <v>2398</v>
      </c>
      <c r="AJ913" s="142" t="s">
        <v>2705</v>
      </c>
      <c r="AK913" s="142" t="s">
        <v>2397</v>
      </c>
      <c r="AL913" s="142" t="s">
        <v>2705</v>
      </c>
      <c r="AM913" s="142" t="s">
        <v>2705</v>
      </c>
      <c r="AN913" s="142" t="s">
        <v>2705</v>
      </c>
      <c r="AO913" s="142" t="s">
        <v>2705</v>
      </c>
      <c r="AP913" s="142" t="s">
        <v>2398</v>
      </c>
      <c r="AQ913" s="142" t="s">
        <v>2675</v>
      </c>
      <c r="AR913" s="142" t="s">
        <v>2398</v>
      </c>
      <c r="AS913" s="142" t="s">
        <v>2398</v>
      </c>
      <c r="AT913" s="142" t="s">
        <v>2705</v>
      </c>
      <c r="AU913" s="142" t="s">
        <v>2397</v>
      </c>
      <c r="AV913" s="142" t="s">
        <v>2705</v>
      </c>
      <c r="AW913" s="142" t="s">
        <v>2705</v>
      </c>
      <c r="AX913" s="142" t="s">
        <v>2705</v>
      </c>
      <c r="AY913" s="142" t="s">
        <v>2675</v>
      </c>
      <c r="AZ913" s="142" t="s">
        <v>2705</v>
      </c>
    </row>
    <row r="914" spans="1:52" s="142" customFormat="1" ht="12.75" x14ac:dyDescent="0.2">
      <c r="A914" s="151"/>
      <c r="B914" s="152" t="s">
        <v>1435</v>
      </c>
      <c r="C914" s="152" t="s">
        <v>2675</v>
      </c>
      <c r="D914" s="152" t="s">
        <v>2398</v>
      </c>
      <c r="E914" s="152" t="s">
        <v>2675</v>
      </c>
      <c r="F914" s="152" t="s">
        <v>2705</v>
      </c>
      <c r="G914" s="152" t="s">
        <v>2705</v>
      </c>
      <c r="H914" s="152" t="s">
        <v>1435</v>
      </c>
      <c r="I914" s="152" t="s">
        <v>2398</v>
      </c>
      <c r="J914" s="152" t="s">
        <v>2397</v>
      </c>
      <c r="K914" s="152" t="s">
        <v>1435</v>
      </c>
      <c r="L914" s="152" t="s">
        <v>2705</v>
      </c>
      <c r="M914" s="152" t="s">
        <v>2705</v>
      </c>
      <c r="N914" s="152" t="s">
        <v>2675</v>
      </c>
      <c r="O914" s="152" t="s">
        <v>2705</v>
      </c>
      <c r="P914" s="152" t="s">
        <v>2675</v>
      </c>
      <c r="Q914" s="152" t="s">
        <v>1435</v>
      </c>
      <c r="R914" s="152" t="s">
        <v>1435</v>
      </c>
      <c r="S914" s="152" t="s">
        <v>2705</v>
      </c>
      <c r="T914" s="152" t="s">
        <v>2705</v>
      </c>
      <c r="U914" s="152" t="s">
        <v>2397</v>
      </c>
      <c r="V914" s="142" t="str" cm="1">
        <f t="array" ref="V914">IF(A914&lt;&gt;"",SUM(--(B914:U915 = "X")*$U$3,--(B914:U915 ="A")*$Q$3,--(B914:U915 ="B")*$R$3,--(B914:U915 ="C")*$S$3),"")</f>
        <v/>
      </c>
      <c r="AG914" s="142" t="s">
        <v>1435</v>
      </c>
      <c r="AH914" s="142" t="s">
        <v>2675</v>
      </c>
      <c r="AI914" s="142" t="s">
        <v>2398</v>
      </c>
      <c r="AJ914" s="142" t="s">
        <v>2675</v>
      </c>
      <c r="AK914" s="142" t="s">
        <v>2705</v>
      </c>
      <c r="AL914" s="142" t="s">
        <v>2705</v>
      </c>
      <c r="AM914" s="142" t="s">
        <v>1435</v>
      </c>
      <c r="AN914" s="142" t="s">
        <v>2398</v>
      </c>
      <c r="AO914" s="142" t="s">
        <v>2397</v>
      </c>
      <c r="AP914" s="142" t="s">
        <v>1435</v>
      </c>
      <c r="AQ914" s="142" t="s">
        <v>2705</v>
      </c>
      <c r="AR914" s="142" t="s">
        <v>2705</v>
      </c>
      <c r="AS914" s="142" t="s">
        <v>2675</v>
      </c>
      <c r="AT914" s="142" t="s">
        <v>2705</v>
      </c>
      <c r="AU914" s="142" t="s">
        <v>2675</v>
      </c>
      <c r="AV914" s="142" t="s">
        <v>1435</v>
      </c>
      <c r="AW914" s="142" t="s">
        <v>1435</v>
      </c>
      <c r="AX914" s="142" t="s">
        <v>2705</v>
      </c>
      <c r="AY914" s="142" t="s">
        <v>2705</v>
      </c>
      <c r="AZ914" s="142" t="s">
        <v>2397</v>
      </c>
    </row>
    <row r="915" spans="1:52" s="142" customFormat="1" ht="12.75" x14ac:dyDescent="0.2">
      <c r="A915" s="151" t="s">
        <v>7774</v>
      </c>
      <c r="B915" s="152" t="s">
        <v>2398</v>
      </c>
      <c r="C915" s="152" t="s">
        <v>2398</v>
      </c>
      <c r="D915" s="152" t="s">
        <v>2675</v>
      </c>
      <c r="E915" s="152" t="s">
        <v>2398</v>
      </c>
      <c r="F915" s="152" t="s">
        <v>2705</v>
      </c>
      <c r="G915" s="152" t="s">
        <v>2705</v>
      </c>
      <c r="H915" s="152" t="s">
        <v>2398</v>
      </c>
      <c r="I915" s="152" t="s">
        <v>2705</v>
      </c>
      <c r="J915" s="152" t="s">
        <v>2398</v>
      </c>
      <c r="K915" s="152" t="s">
        <v>2705</v>
      </c>
      <c r="L915" s="152" t="s">
        <v>2398</v>
      </c>
      <c r="M915" s="152" t="s">
        <v>2705</v>
      </c>
      <c r="N915" s="152" t="s">
        <v>2705</v>
      </c>
      <c r="O915" s="152" t="s">
        <v>2705</v>
      </c>
      <c r="P915" s="152" t="s">
        <v>2398</v>
      </c>
      <c r="Q915" s="152" t="s">
        <v>2398</v>
      </c>
      <c r="R915" s="152" t="s">
        <v>2705</v>
      </c>
      <c r="S915" s="152" t="s">
        <v>2675</v>
      </c>
      <c r="T915" s="152" t="s">
        <v>2705</v>
      </c>
      <c r="U915" s="152" t="s">
        <v>2705</v>
      </c>
      <c r="V915" s="142" cm="1">
        <f t="array" ref="V915">IF(A915&lt;&gt;"",SUM(--(B915:U916 = "X")*$U$3,--(B915:U916 ="A")*$Q$3,--(B915:U916 ="B")*$R$3,--(B915:U916 ="C")*$S$3),"")</f>
        <v>15</v>
      </c>
      <c r="AF915" s="142" t="s">
        <v>7774</v>
      </c>
      <c r="AG915" s="142" t="s">
        <v>2398</v>
      </c>
      <c r="AH915" s="142" t="s">
        <v>2398</v>
      </c>
      <c r="AI915" s="142" t="s">
        <v>2675</v>
      </c>
      <c r="AJ915" s="142" t="s">
        <v>2398</v>
      </c>
      <c r="AK915" s="142" t="s">
        <v>2705</v>
      </c>
      <c r="AL915" s="142" t="s">
        <v>2705</v>
      </c>
      <c r="AM915" s="142" t="s">
        <v>2398</v>
      </c>
      <c r="AN915" s="142" t="s">
        <v>2705</v>
      </c>
      <c r="AO915" s="142" t="s">
        <v>2398</v>
      </c>
      <c r="AP915" s="142" t="s">
        <v>2705</v>
      </c>
      <c r="AQ915" s="142" t="s">
        <v>2398</v>
      </c>
      <c r="AR915" s="142" t="s">
        <v>2705</v>
      </c>
      <c r="AS915" s="142" t="s">
        <v>2705</v>
      </c>
      <c r="AT915" s="142" t="s">
        <v>2705</v>
      </c>
      <c r="AU915" s="142" t="s">
        <v>2398</v>
      </c>
      <c r="AV915" s="142" t="s">
        <v>2398</v>
      </c>
      <c r="AW915" s="142" t="s">
        <v>2705</v>
      </c>
      <c r="AX915" s="142" t="s">
        <v>2675</v>
      </c>
      <c r="AY915" s="142" t="s">
        <v>2705</v>
      </c>
      <c r="AZ915" s="142" t="s">
        <v>2705</v>
      </c>
    </row>
    <row r="916" spans="1:52" s="142" customFormat="1" ht="12.75" x14ac:dyDescent="0.2">
      <c r="A916" s="151"/>
      <c r="B916" s="152" t="s">
        <v>2705</v>
      </c>
      <c r="C916" s="152" t="s">
        <v>2675</v>
      </c>
      <c r="D916" s="152" t="s">
        <v>1435</v>
      </c>
      <c r="E916" s="152" t="s">
        <v>2705</v>
      </c>
      <c r="F916" s="152" t="s">
        <v>2398</v>
      </c>
      <c r="G916" s="152" t="s">
        <v>2705</v>
      </c>
      <c r="H916" s="152" t="s">
        <v>2705</v>
      </c>
      <c r="I916" s="152" t="s">
        <v>2675</v>
      </c>
      <c r="J916" s="152" t="s">
        <v>2398</v>
      </c>
      <c r="K916" s="152" t="s">
        <v>2705</v>
      </c>
      <c r="L916" s="152" t="s">
        <v>2675</v>
      </c>
      <c r="M916" s="152" t="s">
        <v>2398</v>
      </c>
      <c r="N916" s="152" t="s">
        <v>2675</v>
      </c>
      <c r="O916" s="152" t="s">
        <v>2397</v>
      </c>
      <c r="P916" s="152" t="s">
        <v>2705</v>
      </c>
      <c r="Q916" s="152" t="s">
        <v>2705</v>
      </c>
      <c r="R916" s="152" t="s">
        <v>1435</v>
      </c>
      <c r="S916" s="152" t="s">
        <v>2705</v>
      </c>
      <c r="T916" s="152" t="s">
        <v>2705</v>
      </c>
      <c r="U916" s="152" t="s">
        <v>2397</v>
      </c>
      <c r="V916" s="142" t="str" cm="1">
        <f t="array" ref="V916">IF(A916&lt;&gt;"",SUM(--(B916:U917 = "X")*$U$3,--(B916:U917 ="A")*$Q$3,--(B916:U917 ="B")*$R$3,--(B916:U917 ="C")*$S$3),"")</f>
        <v/>
      </c>
      <c r="AG916" s="142" t="s">
        <v>2705</v>
      </c>
      <c r="AH916" s="142" t="s">
        <v>2675</v>
      </c>
      <c r="AI916" s="142" t="s">
        <v>1435</v>
      </c>
      <c r="AJ916" s="142" t="s">
        <v>2705</v>
      </c>
      <c r="AK916" s="142" t="s">
        <v>2398</v>
      </c>
      <c r="AL916" s="142" t="s">
        <v>2705</v>
      </c>
      <c r="AM916" s="142" t="s">
        <v>2705</v>
      </c>
      <c r="AN916" s="142" t="s">
        <v>2675</v>
      </c>
      <c r="AO916" s="142" t="s">
        <v>2398</v>
      </c>
      <c r="AP916" s="142" t="s">
        <v>2705</v>
      </c>
      <c r="AQ916" s="142" t="s">
        <v>2675</v>
      </c>
      <c r="AR916" s="142" t="s">
        <v>2398</v>
      </c>
      <c r="AS916" s="142" t="s">
        <v>2675</v>
      </c>
      <c r="AT916" s="142" t="s">
        <v>2397</v>
      </c>
      <c r="AU916" s="142" t="s">
        <v>2705</v>
      </c>
      <c r="AV916" s="142" t="s">
        <v>2705</v>
      </c>
      <c r="AW916" s="142" t="s">
        <v>1435</v>
      </c>
      <c r="AX916" s="142" t="s">
        <v>2705</v>
      </c>
      <c r="AY916" s="142" t="s">
        <v>2705</v>
      </c>
      <c r="AZ916" s="142" t="s">
        <v>2397</v>
      </c>
    </row>
    <row r="917" spans="1:52" s="142" customFormat="1" ht="12.75" x14ac:dyDescent="0.2">
      <c r="A917" s="151" t="s">
        <v>7775</v>
      </c>
      <c r="B917" s="152" t="s">
        <v>2398</v>
      </c>
      <c r="C917" s="152" t="s">
        <v>2398</v>
      </c>
      <c r="D917" s="152" t="s">
        <v>2675</v>
      </c>
      <c r="E917" s="152" t="s">
        <v>2705</v>
      </c>
      <c r="F917" s="152" t="s">
        <v>2705</v>
      </c>
      <c r="G917" s="152" t="s">
        <v>2705</v>
      </c>
      <c r="H917" s="152" t="s">
        <v>2675</v>
      </c>
      <c r="I917" s="152" t="s">
        <v>2705</v>
      </c>
      <c r="J917" s="152" t="s">
        <v>2705</v>
      </c>
      <c r="K917" s="152" t="s">
        <v>2398</v>
      </c>
      <c r="L917" s="152" t="s">
        <v>1435</v>
      </c>
      <c r="M917" s="152" t="s">
        <v>2705</v>
      </c>
      <c r="N917" s="152" t="s">
        <v>1435</v>
      </c>
      <c r="O917" s="152" t="s">
        <v>2705</v>
      </c>
      <c r="P917" s="152" t="s">
        <v>2398</v>
      </c>
      <c r="Q917" s="152" t="s">
        <v>2705</v>
      </c>
      <c r="R917" s="152" t="s">
        <v>2705</v>
      </c>
      <c r="S917" s="152" t="s">
        <v>2705</v>
      </c>
      <c r="T917" s="152" t="s">
        <v>2398</v>
      </c>
      <c r="U917" s="152" t="s">
        <v>2705</v>
      </c>
      <c r="V917" s="142" cm="1">
        <f t="array" ref="V917">IF(A917&lt;&gt;"",SUM(--(B917:U918 = "X")*$U$3,--(B917:U918 ="A")*$Q$3,--(B917:U918 ="B")*$R$3,--(B917:U918 ="C")*$S$3),"")</f>
        <v>11.5</v>
      </c>
      <c r="AF917" s="142" t="s">
        <v>7775</v>
      </c>
      <c r="AG917" s="142" t="s">
        <v>2398</v>
      </c>
      <c r="AH917" s="142" t="s">
        <v>2398</v>
      </c>
      <c r="AI917" s="142" t="s">
        <v>2675</v>
      </c>
      <c r="AJ917" s="142" t="s">
        <v>2705</v>
      </c>
      <c r="AK917" s="142" t="s">
        <v>2705</v>
      </c>
      <c r="AL917" s="142" t="s">
        <v>2705</v>
      </c>
      <c r="AM917" s="142" t="s">
        <v>2675</v>
      </c>
      <c r="AN917" s="142" t="s">
        <v>2705</v>
      </c>
      <c r="AO917" s="142" t="s">
        <v>2705</v>
      </c>
      <c r="AP917" s="142" t="s">
        <v>2398</v>
      </c>
      <c r="AQ917" s="142" t="s">
        <v>1435</v>
      </c>
      <c r="AR917" s="142" t="s">
        <v>2705</v>
      </c>
      <c r="AS917" s="142" t="s">
        <v>1435</v>
      </c>
      <c r="AT917" s="142" t="s">
        <v>2705</v>
      </c>
      <c r="AU917" s="142" t="s">
        <v>2398</v>
      </c>
      <c r="AV917" s="142" t="s">
        <v>2705</v>
      </c>
      <c r="AW917" s="142" t="s">
        <v>2705</v>
      </c>
      <c r="AX917" s="142" t="s">
        <v>2705</v>
      </c>
      <c r="AY917" s="142" t="s">
        <v>2398</v>
      </c>
      <c r="AZ917" s="142" t="s">
        <v>2705</v>
      </c>
    </row>
    <row r="918" spans="1:52" s="142" customFormat="1" ht="12.75" x14ac:dyDescent="0.2">
      <c r="A918" s="151"/>
      <c r="B918" s="152" t="s">
        <v>2398</v>
      </c>
      <c r="C918" s="152" t="s">
        <v>2675</v>
      </c>
      <c r="D918" s="152" t="s">
        <v>1435</v>
      </c>
      <c r="E918" s="152" t="s">
        <v>2675</v>
      </c>
      <c r="F918" s="152" t="s">
        <v>2398</v>
      </c>
      <c r="G918" s="152" t="s">
        <v>2398</v>
      </c>
      <c r="H918" s="152" t="s">
        <v>2705</v>
      </c>
      <c r="I918" s="152" t="s">
        <v>2398</v>
      </c>
      <c r="J918" s="152" t="s">
        <v>2398</v>
      </c>
      <c r="K918" s="152" t="s">
        <v>2398</v>
      </c>
      <c r="L918" s="152" t="s">
        <v>2705</v>
      </c>
      <c r="M918" s="152" t="s">
        <v>2705</v>
      </c>
      <c r="N918" s="152" t="s">
        <v>2675</v>
      </c>
      <c r="O918" s="152" t="s">
        <v>2397</v>
      </c>
      <c r="P918" s="152" t="s">
        <v>1435</v>
      </c>
      <c r="Q918" s="152" t="s">
        <v>2705</v>
      </c>
      <c r="R918" s="152" t="s">
        <v>1435</v>
      </c>
      <c r="S918" s="152" t="s">
        <v>2705</v>
      </c>
      <c r="T918" s="152" t="s">
        <v>2705</v>
      </c>
      <c r="U918" s="152" t="s">
        <v>2675</v>
      </c>
      <c r="V918" s="142" t="str" cm="1">
        <f t="array" ref="V918">IF(A918&lt;&gt;"",SUM(--(B918:U919 = "X")*$U$3,--(B918:U919 ="A")*$Q$3,--(B918:U919 ="B")*$R$3,--(B918:U919 ="C")*$S$3),"")</f>
        <v/>
      </c>
      <c r="AG918" s="142" t="s">
        <v>2398</v>
      </c>
      <c r="AH918" s="142" t="s">
        <v>2675</v>
      </c>
      <c r="AI918" s="142" t="s">
        <v>1435</v>
      </c>
      <c r="AJ918" s="142" t="s">
        <v>2675</v>
      </c>
      <c r="AK918" s="142" t="s">
        <v>2398</v>
      </c>
      <c r="AL918" s="142" t="s">
        <v>2398</v>
      </c>
      <c r="AM918" s="142" t="s">
        <v>2705</v>
      </c>
      <c r="AN918" s="142" t="s">
        <v>2398</v>
      </c>
      <c r="AO918" s="142" t="s">
        <v>2398</v>
      </c>
      <c r="AP918" s="142" t="s">
        <v>2398</v>
      </c>
      <c r="AQ918" s="142" t="s">
        <v>2705</v>
      </c>
      <c r="AR918" s="142" t="s">
        <v>2705</v>
      </c>
      <c r="AS918" s="142" t="s">
        <v>2675</v>
      </c>
      <c r="AT918" s="142" t="s">
        <v>2397</v>
      </c>
      <c r="AU918" s="142" t="s">
        <v>1435</v>
      </c>
      <c r="AV918" s="142" t="s">
        <v>2705</v>
      </c>
      <c r="AW918" s="142" t="s">
        <v>1435</v>
      </c>
      <c r="AX918" s="142" t="s">
        <v>2705</v>
      </c>
      <c r="AY918" s="142" t="s">
        <v>2705</v>
      </c>
      <c r="AZ918" s="142" t="s">
        <v>2675</v>
      </c>
    </row>
    <row r="919" spans="1:52" s="142" customFormat="1" ht="12.75" x14ac:dyDescent="0.2">
      <c r="A919" s="151" t="s">
        <v>7776</v>
      </c>
      <c r="B919" s="152" t="s">
        <v>1435</v>
      </c>
      <c r="C919" s="152" t="s">
        <v>2705</v>
      </c>
      <c r="D919" s="152" t="s">
        <v>2675</v>
      </c>
      <c r="E919" s="152" t="s">
        <v>2705</v>
      </c>
      <c r="F919" s="152" t="s">
        <v>2705</v>
      </c>
      <c r="G919" s="152" t="s">
        <v>2705</v>
      </c>
      <c r="H919" s="152" t="s">
        <v>2705</v>
      </c>
      <c r="I919" s="152" t="s">
        <v>2705</v>
      </c>
      <c r="J919" s="152" t="s">
        <v>2675</v>
      </c>
      <c r="K919" s="152" t="s">
        <v>2397</v>
      </c>
      <c r="L919" s="152" t="s">
        <v>2398</v>
      </c>
      <c r="M919" s="152" t="s">
        <v>2705</v>
      </c>
      <c r="N919" s="152" t="s">
        <v>2705</v>
      </c>
      <c r="O919" s="152" t="s">
        <v>1435</v>
      </c>
      <c r="P919" s="152" t="s">
        <v>2398</v>
      </c>
      <c r="Q919" s="152" t="s">
        <v>2705</v>
      </c>
      <c r="R919" s="152" t="s">
        <v>2397</v>
      </c>
      <c r="S919" s="152" t="s">
        <v>2705</v>
      </c>
      <c r="T919" s="152" t="s">
        <v>2398</v>
      </c>
      <c r="U919" s="152" t="s">
        <v>2705</v>
      </c>
      <c r="V919" s="142" cm="1">
        <f t="array" ref="V919">IF(A919&lt;&gt;"",SUM(--(B919:U920 = "X")*$U$3,--(B919:U920 ="A")*$Q$3,--(B919:U920 ="B")*$R$3,--(B919:U920 ="C")*$S$3),"")</f>
        <v>19</v>
      </c>
      <c r="AF919" s="142" t="s">
        <v>7776</v>
      </c>
      <c r="AG919" s="142" t="s">
        <v>1435</v>
      </c>
      <c r="AH919" s="142" t="s">
        <v>2705</v>
      </c>
      <c r="AI919" s="142" t="s">
        <v>2675</v>
      </c>
      <c r="AJ919" s="142" t="s">
        <v>2705</v>
      </c>
      <c r="AK919" s="142" t="s">
        <v>2705</v>
      </c>
      <c r="AL919" s="142" t="s">
        <v>2705</v>
      </c>
      <c r="AM919" s="142" t="s">
        <v>2705</v>
      </c>
      <c r="AN919" s="142" t="s">
        <v>2705</v>
      </c>
      <c r="AO919" s="142" t="s">
        <v>2675</v>
      </c>
      <c r="AP919" s="142" t="s">
        <v>2397</v>
      </c>
      <c r="AQ919" s="142" t="s">
        <v>2398</v>
      </c>
      <c r="AR919" s="142" t="s">
        <v>2705</v>
      </c>
      <c r="AS919" s="142" t="s">
        <v>2705</v>
      </c>
      <c r="AT919" s="142" t="s">
        <v>1435</v>
      </c>
      <c r="AU919" s="142" t="s">
        <v>2398</v>
      </c>
      <c r="AV919" s="142" t="s">
        <v>2705</v>
      </c>
      <c r="AW919" s="142" t="s">
        <v>2397</v>
      </c>
      <c r="AX919" s="142" t="s">
        <v>2705</v>
      </c>
      <c r="AY919" s="142" t="s">
        <v>2398</v>
      </c>
      <c r="AZ919" s="142" t="s">
        <v>2705</v>
      </c>
    </row>
    <row r="920" spans="1:52" s="142" customFormat="1" ht="12.75" x14ac:dyDescent="0.2">
      <c r="A920" s="151"/>
      <c r="B920" s="152" t="s">
        <v>2398</v>
      </c>
      <c r="C920" s="152" t="s">
        <v>2397</v>
      </c>
      <c r="D920" s="152" t="s">
        <v>2397</v>
      </c>
      <c r="E920" s="152" t="s">
        <v>2705</v>
      </c>
      <c r="F920" s="152" t="s">
        <v>2705</v>
      </c>
      <c r="G920" s="152" t="s">
        <v>2705</v>
      </c>
      <c r="H920" s="152" t="s">
        <v>2705</v>
      </c>
      <c r="I920" s="152" t="s">
        <v>2705</v>
      </c>
      <c r="J920" s="152" t="s">
        <v>2398</v>
      </c>
      <c r="K920" s="152" t="s">
        <v>2705</v>
      </c>
      <c r="L920" s="152" t="s">
        <v>2397</v>
      </c>
      <c r="M920" s="152" t="s">
        <v>2705</v>
      </c>
      <c r="N920" s="152" t="s">
        <v>2675</v>
      </c>
      <c r="O920" s="152" t="s">
        <v>2705</v>
      </c>
      <c r="P920" s="152" t="s">
        <v>2705</v>
      </c>
      <c r="Q920" s="152" t="s">
        <v>2398</v>
      </c>
      <c r="R920" s="152" t="s">
        <v>1435</v>
      </c>
      <c r="S920" s="152" t="s">
        <v>2705</v>
      </c>
      <c r="T920" s="152" t="s">
        <v>2705</v>
      </c>
      <c r="U920" s="152" t="s">
        <v>2398</v>
      </c>
      <c r="V920" s="142" t="str" cm="1">
        <f t="array" ref="V920">IF(A920&lt;&gt;"",SUM(--(B920:U921 = "X")*$U$3,--(B920:U921 ="A")*$Q$3,--(B920:U921 ="B")*$R$3,--(B920:U921 ="C")*$S$3),"")</f>
        <v/>
      </c>
      <c r="AG920" s="142" t="s">
        <v>2398</v>
      </c>
      <c r="AH920" s="142" t="s">
        <v>2397</v>
      </c>
      <c r="AI920" s="142" t="s">
        <v>2397</v>
      </c>
      <c r="AJ920" s="142" t="s">
        <v>2705</v>
      </c>
      <c r="AK920" s="142" t="s">
        <v>2705</v>
      </c>
      <c r="AL920" s="142" t="s">
        <v>2705</v>
      </c>
      <c r="AM920" s="142" t="s">
        <v>2705</v>
      </c>
      <c r="AN920" s="142" t="s">
        <v>2705</v>
      </c>
      <c r="AO920" s="142" t="s">
        <v>2398</v>
      </c>
      <c r="AP920" s="142" t="s">
        <v>2705</v>
      </c>
      <c r="AQ920" s="142" t="s">
        <v>2397</v>
      </c>
      <c r="AR920" s="142" t="s">
        <v>2705</v>
      </c>
      <c r="AS920" s="142" t="s">
        <v>2675</v>
      </c>
      <c r="AT920" s="142" t="s">
        <v>2705</v>
      </c>
      <c r="AU920" s="142" t="s">
        <v>2705</v>
      </c>
      <c r="AV920" s="142" t="s">
        <v>2398</v>
      </c>
      <c r="AW920" s="142" t="s">
        <v>1435</v>
      </c>
      <c r="AX920" s="142" t="s">
        <v>2705</v>
      </c>
      <c r="AY920" s="142" t="s">
        <v>2705</v>
      </c>
      <c r="AZ920" s="142" t="s">
        <v>2398</v>
      </c>
    </row>
    <row r="921" spans="1:52" s="142" customFormat="1" ht="12.75" x14ac:dyDescent="0.2">
      <c r="A921" s="151" t="s">
        <v>7777</v>
      </c>
      <c r="B921" s="152" t="s">
        <v>2705</v>
      </c>
      <c r="C921" s="152" t="s">
        <v>2705</v>
      </c>
      <c r="D921" s="152" t="s">
        <v>2705</v>
      </c>
      <c r="E921" s="152" t="s">
        <v>2705</v>
      </c>
      <c r="F921" s="152" t="s">
        <v>2705</v>
      </c>
      <c r="G921" s="152" t="s">
        <v>2705</v>
      </c>
      <c r="H921" s="152" t="s">
        <v>2705</v>
      </c>
      <c r="I921" s="152" t="s">
        <v>2398</v>
      </c>
      <c r="J921" s="152" t="s">
        <v>2705</v>
      </c>
      <c r="K921" s="152" t="s">
        <v>2705</v>
      </c>
      <c r="L921" s="152" t="s">
        <v>2705</v>
      </c>
      <c r="M921" s="152" t="s">
        <v>2705</v>
      </c>
      <c r="N921" s="152" t="s">
        <v>2705</v>
      </c>
      <c r="O921" s="152" t="s">
        <v>2705</v>
      </c>
      <c r="P921" s="152" t="s">
        <v>2398</v>
      </c>
      <c r="Q921" s="152" t="s">
        <v>2398</v>
      </c>
      <c r="R921" s="152" t="s">
        <v>2705</v>
      </c>
      <c r="S921" s="152" t="s">
        <v>2705</v>
      </c>
      <c r="T921" s="152" t="s">
        <v>2398</v>
      </c>
      <c r="U921" s="152" t="s">
        <v>2705</v>
      </c>
      <c r="V921" s="142" cm="1">
        <f t="array" ref="V921">IF(A921&lt;&gt;"",SUM(--(B921:U922 = "X")*$U$3,--(B921:U922 ="A")*$Q$3,--(B921:U922 ="B")*$R$3,--(B921:U922 ="C")*$S$3),"")</f>
        <v>28</v>
      </c>
      <c r="AF921" s="142" t="s">
        <v>7777</v>
      </c>
      <c r="AG921" s="142" t="s">
        <v>2705</v>
      </c>
      <c r="AH921" s="142" t="s">
        <v>2705</v>
      </c>
      <c r="AI921" s="142" t="s">
        <v>2705</v>
      </c>
      <c r="AJ921" s="142" t="s">
        <v>2705</v>
      </c>
      <c r="AK921" s="142" t="s">
        <v>2705</v>
      </c>
      <c r="AL921" s="142" t="s">
        <v>2705</v>
      </c>
      <c r="AM921" s="142" t="s">
        <v>2705</v>
      </c>
      <c r="AN921" s="142" t="s">
        <v>2398</v>
      </c>
      <c r="AO921" s="142" t="s">
        <v>2705</v>
      </c>
      <c r="AP921" s="142" t="s">
        <v>2705</v>
      </c>
      <c r="AQ921" s="142" t="s">
        <v>2705</v>
      </c>
      <c r="AR921" s="142" t="s">
        <v>2705</v>
      </c>
      <c r="AS921" s="142" t="s">
        <v>2705</v>
      </c>
      <c r="AT921" s="142" t="s">
        <v>2705</v>
      </c>
      <c r="AU921" s="142" t="s">
        <v>2398</v>
      </c>
      <c r="AV921" s="142" t="s">
        <v>2398</v>
      </c>
      <c r="AW921" s="142" t="s">
        <v>2705</v>
      </c>
      <c r="AX921" s="142" t="s">
        <v>2705</v>
      </c>
      <c r="AY921" s="142" t="s">
        <v>2398</v>
      </c>
      <c r="AZ921" s="142" t="s">
        <v>2705</v>
      </c>
    </row>
    <row r="922" spans="1:52" s="142" customFormat="1" ht="12.75" x14ac:dyDescent="0.2">
      <c r="A922" s="151"/>
      <c r="B922" s="152" t="s">
        <v>2705</v>
      </c>
      <c r="C922" s="152" t="s">
        <v>2398</v>
      </c>
      <c r="D922" s="152" t="s">
        <v>2705</v>
      </c>
      <c r="E922" s="152" t="s">
        <v>2705</v>
      </c>
      <c r="F922" s="152" t="s">
        <v>2705</v>
      </c>
      <c r="G922" s="152" t="s">
        <v>2398</v>
      </c>
      <c r="H922" s="152" t="s">
        <v>2398</v>
      </c>
      <c r="I922" s="152" t="s">
        <v>2705</v>
      </c>
      <c r="J922" s="152" t="s">
        <v>2398</v>
      </c>
      <c r="K922" s="152" t="s">
        <v>2705</v>
      </c>
      <c r="L922" s="152" t="s">
        <v>2398</v>
      </c>
      <c r="M922" s="152" t="s">
        <v>2705</v>
      </c>
      <c r="N922" s="152" t="s">
        <v>2398</v>
      </c>
      <c r="O922" s="152" t="s">
        <v>2705</v>
      </c>
      <c r="P922" s="152" t="s">
        <v>2705</v>
      </c>
      <c r="Q922" s="152" t="s">
        <v>2705</v>
      </c>
      <c r="R922" s="152" t="s">
        <v>2398</v>
      </c>
      <c r="S922" s="152" t="s">
        <v>2398</v>
      </c>
      <c r="T922" s="152" t="s">
        <v>2705</v>
      </c>
      <c r="U922" s="152" t="s">
        <v>2705</v>
      </c>
      <c r="V922" s="142" t="str" cm="1">
        <f t="array" ref="V922">IF(A922&lt;&gt;"",SUM(--(B922:U923 = "X")*$U$3,--(B922:U923 ="A")*$Q$3,--(B922:U923 ="B")*$R$3,--(B922:U923 ="C")*$S$3),"")</f>
        <v/>
      </c>
      <c r="AG922" s="142" t="s">
        <v>2705</v>
      </c>
      <c r="AH922" s="142" t="s">
        <v>2398</v>
      </c>
      <c r="AI922" s="142" t="s">
        <v>2705</v>
      </c>
      <c r="AJ922" s="142" t="s">
        <v>2705</v>
      </c>
      <c r="AK922" s="142" t="s">
        <v>2705</v>
      </c>
      <c r="AL922" s="142" t="s">
        <v>2398</v>
      </c>
      <c r="AM922" s="142" t="s">
        <v>2398</v>
      </c>
      <c r="AN922" s="142" t="s">
        <v>2705</v>
      </c>
      <c r="AO922" s="142" t="s">
        <v>2398</v>
      </c>
      <c r="AP922" s="142" t="s">
        <v>2705</v>
      </c>
      <c r="AQ922" s="142" t="s">
        <v>2398</v>
      </c>
      <c r="AR922" s="142" t="s">
        <v>2705</v>
      </c>
      <c r="AS922" s="142" t="s">
        <v>2398</v>
      </c>
      <c r="AT922" s="142" t="s">
        <v>2705</v>
      </c>
      <c r="AU922" s="142" t="s">
        <v>2705</v>
      </c>
      <c r="AV922" s="142" t="s">
        <v>2705</v>
      </c>
      <c r="AW922" s="142" t="s">
        <v>2398</v>
      </c>
      <c r="AX922" s="142" t="s">
        <v>2398</v>
      </c>
      <c r="AY922" s="142" t="s">
        <v>2705</v>
      </c>
      <c r="AZ922" s="142" t="s">
        <v>2705</v>
      </c>
    </row>
    <row r="923" spans="1:52" s="142" customFormat="1" ht="12.75" x14ac:dyDescent="0.2">
      <c r="A923" s="151" t="s">
        <v>7778</v>
      </c>
      <c r="B923" s="152" t="s">
        <v>2398</v>
      </c>
      <c r="C923" s="152" t="s">
        <v>2705</v>
      </c>
      <c r="D923" s="152" t="s">
        <v>2705</v>
      </c>
      <c r="E923" s="152" t="s">
        <v>1435</v>
      </c>
      <c r="F923" s="152" t="s">
        <v>2705</v>
      </c>
      <c r="G923" s="152" t="s">
        <v>2705</v>
      </c>
      <c r="H923" s="152" t="s">
        <v>2398</v>
      </c>
      <c r="I923" s="152" t="s">
        <v>2398</v>
      </c>
      <c r="J923" s="152" t="s">
        <v>2398</v>
      </c>
      <c r="K923" s="152" t="s">
        <v>2705</v>
      </c>
      <c r="L923" s="152" t="s">
        <v>2398</v>
      </c>
      <c r="M923" s="152" t="s">
        <v>2705</v>
      </c>
      <c r="N923" s="152" t="s">
        <v>2398</v>
      </c>
      <c r="O923" s="152" t="s">
        <v>2675</v>
      </c>
      <c r="P923" s="152" t="s">
        <v>2398</v>
      </c>
      <c r="Q923" s="152" t="s">
        <v>2705</v>
      </c>
      <c r="R923" s="152" t="s">
        <v>2398</v>
      </c>
      <c r="S923" s="152" t="s">
        <v>2705</v>
      </c>
      <c r="T923" s="152" t="s">
        <v>2705</v>
      </c>
      <c r="U923" s="152" t="s">
        <v>2705</v>
      </c>
      <c r="V923" s="142" cm="1">
        <f t="array" ref="V923">IF(A923&lt;&gt;"",SUM(--(B923:U924 = "X")*$U$3,--(B923:U924 ="A")*$Q$3,--(B923:U924 ="B")*$R$3,--(B923:U924 ="C")*$S$3),"")</f>
        <v>17</v>
      </c>
      <c r="AF923" s="142" t="s">
        <v>7778</v>
      </c>
      <c r="AG923" s="142" t="s">
        <v>2398</v>
      </c>
      <c r="AH923" s="142" t="s">
        <v>2705</v>
      </c>
      <c r="AI923" s="142" t="s">
        <v>2705</v>
      </c>
      <c r="AJ923" s="142" t="s">
        <v>1435</v>
      </c>
      <c r="AK923" s="142" t="s">
        <v>2705</v>
      </c>
      <c r="AL923" s="142" t="s">
        <v>2705</v>
      </c>
      <c r="AM923" s="142" t="s">
        <v>2398</v>
      </c>
      <c r="AN923" s="142" t="s">
        <v>2398</v>
      </c>
      <c r="AO923" s="142" t="s">
        <v>2398</v>
      </c>
      <c r="AP923" s="142" t="s">
        <v>2705</v>
      </c>
      <c r="AQ923" s="142" t="s">
        <v>2398</v>
      </c>
      <c r="AR923" s="142" t="s">
        <v>2705</v>
      </c>
      <c r="AS923" s="142" t="s">
        <v>2398</v>
      </c>
      <c r="AT923" s="142" t="s">
        <v>2675</v>
      </c>
      <c r="AU923" s="142" t="s">
        <v>2398</v>
      </c>
      <c r="AV923" s="142" t="s">
        <v>2705</v>
      </c>
      <c r="AW923" s="142" t="s">
        <v>2398</v>
      </c>
      <c r="AX923" s="142" t="s">
        <v>2705</v>
      </c>
      <c r="AY923" s="142" t="s">
        <v>2705</v>
      </c>
      <c r="AZ923" s="142" t="s">
        <v>2705</v>
      </c>
    </row>
    <row r="924" spans="1:52" s="142" customFormat="1" ht="12.75" x14ac:dyDescent="0.2">
      <c r="A924" s="151"/>
      <c r="B924" s="152" t="s">
        <v>2398</v>
      </c>
      <c r="C924" s="152" t="s">
        <v>2398</v>
      </c>
      <c r="D924" s="152" t="s">
        <v>2398</v>
      </c>
      <c r="E924" s="152" t="s">
        <v>2398</v>
      </c>
      <c r="F924" s="152" t="s">
        <v>2398</v>
      </c>
      <c r="G924" s="152" t="s">
        <v>2675</v>
      </c>
      <c r="H924" s="152" t="s">
        <v>2705</v>
      </c>
      <c r="I924" s="152" t="s">
        <v>2705</v>
      </c>
      <c r="J924" s="152" t="s">
        <v>2398</v>
      </c>
      <c r="K924" s="152" t="s">
        <v>2705</v>
      </c>
      <c r="L924" s="152" t="s">
        <v>2398</v>
      </c>
      <c r="M924" s="152" t="s">
        <v>2705</v>
      </c>
      <c r="N924" s="152" t="s">
        <v>2705</v>
      </c>
      <c r="O924" s="152" t="s">
        <v>2398</v>
      </c>
      <c r="P924" s="152" t="s">
        <v>2675</v>
      </c>
      <c r="Q924" s="152" t="s">
        <v>2705</v>
      </c>
      <c r="R924" s="152" t="s">
        <v>2705</v>
      </c>
      <c r="S924" s="152" t="s">
        <v>2705</v>
      </c>
      <c r="T924" s="152" t="s">
        <v>2398</v>
      </c>
      <c r="U924" s="152" t="s">
        <v>2705</v>
      </c>
      <c r="V924" s="142" t="str" cm="1">
        <f t="array" ref="V924">IF(A924&lt;&gt;"",SUM(--(B924:U925 = "X")*$U$3,--(B924:U925 ="A")*$Q$3,--(B924:U925 ="B")*$R$3,--(B924:U925 ="C")*$S$3),"")</f>
        <v/>
      </c>
      <c r="AG924" s="142" t="s">
        <v>2398</v>
      </c>
      <c r="AH924" s="142" t="s">
        <v>2398</v>
      </c>
      <c r="AI924" s="142" t="s">
        <v>2398</v>
      </c>
      <c r="AJ924" s="142" t="s">
        <v>2398</v>
      </c>
      <c r="AK924" s="142" t="s">
        <v>2398</v>
      </c>
      <c r="AL924" s="142" t="s">
        <v>2675</v>
      </c>
      <c r="AM924" s="142" t="s">
        <v>2705</v>
      </c>
      <c r="AN924" s="142" t="s">
        <v>2705</v>
      </c>
      <c r="AO924" s="142" t="s">
        <v>2398</v>
      </c>
      <c r="AP924" s="142" t="s">
        <v>2705</v>
      </c>
      <c r="AQ924" s="142" t="s">
        <v>2398</v>
      </c>
      <c r="AR924" s="142" t="s">
        <v>2705</v>
      </c>
      <c r="AS924" s="142" t="s">
        <v>2705</v>
      </c>
      <c r="AT924" s="142" t="s">
        <v>2398</v>
      </c>
      <c r="AU924" s="142" t="s">
        <v>2675</v>
      </c>
      <c r="AV924" s="142" t="s">
        <v>2705</v>
      </c>
      <c r="AW924" s="142" t="s">
        <v>2705</v>
      </c>
      <c r="AX924" s="142" t="s">
        <v>2705</v>
      </c>
      <c r="AY924" s="142" t="s">
        <v>2398</v>
      </c>
      <c r="AZ924" s="142" t="s">
        <v>2705</v>
      </c>
    </row>
    <row r="925" spans="1:52" s="142" customFormat="1" ht="12.75" x14ac:dyDescent="0.2">
      <c r="A925" s="151" t="s">
        <v>7779</v>
      </c>
      <c r="B925" s="152" t="s">
        <v>2705</v>
      </c>
      <c r="C925" s="152" t="s">
        <v>2397</v>
      </c>
      <c r="D925" s="152" t="s">
        <v>2675</v>
      </c>
      <c r="E925" s="152" t="s">
        <v>2705</v>
      </c>
      <c r="F925" s="152" t="s">
        <v>1435</v>
      </c>
      <c r="G925" s="152" t="s">
        <v>2705</v>
      </c>
      <c r="H925" s="152" t="s">
        <v>2397</v>
      </c>
      <c r="I925" s="152" t="s">
        <v>2705</v>
      </c>
      <c r="J925" s="152" t="s">
        <v>2675</v>
      </c>
      <c r="K925" s="152" t="s">
        <v>2705</v>
      </c>
      <c r="L925" s="152" t="s">
        <v>2705</v>
      </c>
      <c r="M925" s="152" t="s">
        <v>1435</v>
      </c>
      <c r="N925" s="152" t="s">
        <v>2705</v>
      </c>
      <c r="O925" s="152" t="s">
        <v>2705</v>
      </c>
      <c r="P925" s="152" t="s">
        <v>2397</v>
      </c>
      <c r="Q925" s="152" t="s">
        <v>1435</v>
      </c>
      <c r="R925" s="152" t="s">
        <v>2675</v>
      </c>
      <c r="S925" s="152" t="s">
        <v>2398</v>
      </c>
      <c r="T925" s="152" t="s">
        <v>2705</v>
      </c>
      <c r="U925" s="152" t="s">
        <v>2675</v>
      </c>
      <c r="V925" s="142" cm="1">
        <f t="array" ref="V925">IF(A925&lt;&gt;"",SUM(--(B925:U926 = "X")*$U$3,--(B925:U926 ="A")*$Q$3,--(B925:U926 ="B")*$R$3,--(B925:U926 ="C")*$S$3),"")</f>
        <v>11</v>
      </c>
      <c r="AF925" s="142" t="s">
        <v>7779</v>
      </c>
      <c r="AG925" s="142" t="s">
        <v>2705</v>
      </c>
      <c r="AH925" s="142" t="s">
        <v>2397</v>
      </c>
      <c r="AI925" s="142" t="s">
        <v>2675</v>
      </c>
      <c r="AJ925" s="142" t="s">
        <v>2705</v>
      </c>
      <c r="AK925" s="142" t="s">
        <v>1435</v>
      </c>
      <c r="AL925" s="142" t="s">
        <v>2705</v>
      </c>
      <c r="AM925" s="142" t="s">
        <v>2397</v>
      </c>
      <c r="AN925" s="142" t="s">
        <v>2705</v>
      </c>
      <c r="AO925" s="142" t="s">
        <v>2675</v>
      </c>
      <c r="AP925" s="142" t="s">
        <v>2705</v>
      </c>
      <c r="AQ925" s="142" t="s">
        <v>2705</v>
      </c>
      <c r="AR925" s="142" t="s">
        <v>1435</v>
      </c>
      <c r="AS925" s="142" t="s">
        <v>2705</v>
      </c>
      <c r="AT925" s="142" t="s">
        <v>2705</v>
      </c>
      <c r="AU925" s="142" t="s">
        <v>2397</v>
      </c>
      <c r="AV925" s="142" t="s">
        <v>1435</v>
      </c>
      <c r="AW925" s="142" t="s">
        <v>2675</v>
      </c>
      <c r="AX925" s="142" t="s">
        <v>2398</v>
      </c>
      <c r="AY925" s="142" t="s">
        <v>2705</v>
      </c>
      <c r="AZ925" s="142" t="s">
        <v>2675</v>
      </c>
    </row>
    <row r="926" spans="1:52" s="142" customFormat="1" ht="12.75" x14ac:dyDescent="0.2">
      <c r="A926" s="151"/>
      <c r="B926" s="152" t="s">
        <v>2705</v>
      </c>
      <c r="C926" s="152" t="s">
        <v>2705</v>
      </c>
      <c r="D926" s="152" t="s">
        <v>2705</v>
      </c>
      <c r="E926" s="152" t="s">
        <v>2398</v>
      </c>
      <c r="F926" s="152" t="s">
        <v>2398</v>
      </c>
      <c r="G926" s="152" t="s">
        <v>2705</v>
      </c>
      <c r="H926" s="152" t="s">
        <v>2675</v>
      </c>
      <c r="I926" s="152" t="s">
        <v>2675</v>
      </c>
      <c r="J926" s="152" t="s">
        <v>2398</v>
      </c>
      <c r="K926" s="152" t="s">
        <v>2675</v>
      </c>
      <c r="L926" s="152" t="s">
        <v>2705</v>
      </c>
      <c r="M926" s="152" t="s">
        <v>2675</v>
      </c>
      <c r="N926" s="152" t="s">
        <v>1435</v>
      </c>
      <c r="O926" s="152" t="s">
        <v>2675</v>
      </c>
      <c r="P926" s="152" t="s">
        <v>2705</v>
      </c>
      <c r="Q926" s="152" t="s">
        <v>2705</v>
      </c>
      <c r="R926" s="152" t="s">
        <v>2675</v>
      </c>
      <c r="S926" s="152" t="s">
        <v>2397</v>
      </c>
      <c r="T926" s="152" t="s">
        <v>2705</v>
      </c>
      <c r="U926" s="152" t="s">
        <v>2705</v>
      </c>
      <c r="V926" s="142" t="str" cm="1">
        <f t="array" ref="V926">IF(A926&lt;&gt;"",SUM(--(B926:U927 = "X")*$U$3,--(B926:U927 ="A")*$Q$3,--(B926:U927 ="B")*$R$3,--(B926:U927 ="C")*$S$3),"")</f>
        <v/>
      </c>
      <c r="AG926" s="142" t="s">
        <v>2705</v>
      </c>
      <c r="AH926" s="142" t="s">
        <v>2705</v>
      </c>
      <c r="AI926" s="142" t="s">
        <v>2705</v>
      </c>
      <c r="AJ926" s="142" t="s">
        <v>2398</v>
      </c>
      <c r="AK926" s="142" t="s">
        <v>2398</v>
      </c>
      <c r="AL926" s="142" t="s">
        <v>2705</v>
      </c>
      <c r="AM926" s="142" t="s">
        <v>2675</v>
      </c>
      <c r="AN926" s="142" t="s">
        <v>2675</v>
      </c>
      <c r="AO926" s="142" t="s">
        <v>2398</v>
      </c>
      <c r="AP926" s="142" t="s">
        <v>2675</v>
      </c>
      <c r="AQ926" s="142" t="s">
        <v>2705</v>
      </c>
      <c r="AR926" s="142" t="s">
        <v>2675</v>
      </c>
      <c r="AS926" s="142" t="s">
        <v>1435</v>
      </c>
      <c r="AT926" s="142" t="s">
        <v>2675</v>
      </c>
      <c r="AU926" s="142" t="s">
        <v>2705</v>
      </c>
      <c r="AV926" s="142" t="s">
        <v>2705</v>
      </c>
      <c r="AW926" s="142" t="s">
        <v>2675</v>
      </c>
      <c r="AX926" s="142" t="s">
        <v>2397</v>
      </c>
      <c r="AY926" s="142" t="s">
        <v>2705</v>
      </c>
      <c r="AZ926" s="142" t="s">
        <v>2705</v>
      </c>
    </row>
    <row r="927" spans="1:52" s="142" customFormat="1" ht="12.75" x14ac:dyDescent="0.2">
      <c r="A927" s="151" t="s">
        <v>7780</v>
      </c>
      <c r="B927" s="152" t="s">
        <v>2398</v>
      </c>
      <c r="C927" s="152" t="s">
        <v>2705</v>
      </c>
      <c r="D927" s="152" t="s">
        <v>2705</v>
      </c>
      <c r="E927" s="152" t="s">
        <v>2705</v>
      </c>
      <c r="F927" s="152" t="s">
        <v>1435</v>
      </c>
      <c r="G927" s="152" t="s">
        <v>2675</v>
      </c>
      <c r="H927" s="152" t="s">
        <v>2705</v>
      </c>
      <c r="I927" s="152" t="s">
        <v>2705</v>
      </c>
      <c r="J927" s="152" t="s">
        <v>2705</v>
      </c>
      <c r="K927" s="152" t="s">
        <v>2705</v>
      </c>
      <c r="L927" s="152" t="s">
        <v>2705</v>
      </c>
      <c r="M927" s="152" t="s">
        <v>2398</v>
      </c>
      <c r="N927" s="152" t="s">
        <v>2705</v>
      </c>
      <c r="O927" s="152" t="s">
        <v>2397</v>
      </c>
      <c r="P927" s="152" t="s">
        <v>2398</v>
      </c>
      <c r="Q927" s="152" t="s">
        <v>2398</v>
      </c>
      <c r="R927" s="152" t="s">
        <v>2398</v>
      </c>
      <c r="S927" s="152" t="s">
        <v>2705</v>
      </c>
      <c r="T927" s="152" t="s">
        <v>2398</v>
      </c>
      <c r="U927" s="152" t="s">
        <v>2398</v>
      </c>
      <c r="V927" s="142" cm="1">
        <f t="array" ref="V927">IF(A927&lt;&gt;"",SUM(--(B927:U928 = "X")*$U$3,--(B927:U928 ="A")*$Q$3,--(B927:U928 ="B")*$R$3,--(B927:U928 ="C")*$S$3),"")</f>
        <v>20</v>
      </c>
      <c r="AF927" s="142" t="s">
        <v>7780</v>
      </c>
      <c r="AG927" s="142" t="s">
        <v>2398</v>
      </c>
      <c r="AH927" s="142" t="s">
        <v>2705</v>
      </c>
      <c r="AI927" s="142" t="s">
        <v>2705</v>
      </c>
      <c r="AJ927" s="142" t="s">
        <v>2705</v>
      </c>
      <c r="AK927" s="142" t="s">
        <v>1435</v>
      </c>
      <c r="AL927" s="142" t="s">
        <v>2675</v>
      </c>
      <c r="AM927" s="142" t="s">
        <v>2705</v>
      </c>
      <c r="AN927" s="142" t="s">
        <v>2705</v>
      </c>
      <c r="AO927" s="142" t="s">
        <v>2705</v>
      </c>
      <c r="AP927" s="142" t="s">
        <v>2705</v>
      </c>
      <c r="AQ927" s="142" t="s">
        <v>2705</v>
      </c>
      <c r="AR927" s="142" t="s">
        <v>2398</v>
      </c>
      <c r="AS927" s="142" t="s">
        <v>2705</v>
      </c>
      <c r="AT927" s="142" t="s">
        <v>2397</v>
      </c>
      <c r="AU927" s="142" t="s">
        <v>2398</v>
      </c>
      <c r="AV927" s="142" t="s">
        <v>2398</v>
      </c>
      <c r="AW927" s="142" t="s">
        <v>2398</v>
      </c>
      <c r="AX927" s="142" t="s">
        <v>2705</v>
      </c>
      <c r="AY927" s="142" t="s">
        <v>2398</v>
      </c>
      <c r="AZ927" s="142" t="s">
        <v>2398</v>
      </c>
    </row>
    <row r="928" spans="1:52" s="142" customFormat="1" ht="12.75" x14ac:dyDescent="0.2">
      <c r="A928" s="151"/>
      <c r="B928" s="152" t="s">
        <v>2705</v>
      </c>
      <c r="C928" s="152" t="s">
        <v>1435</v>
      </c>
      <c r="D928" s="152" t="s">
        <v>2705</v>
      </c>
      <c r="E928" s="152" t="s">
        <v>2398</v>
      </c>
      <c r="F928" s="152" t="s">
        <v>2705</v>
      </c>
      <c r="G928" s="152" t="s">
        <v>2398</v>
      </c>
      <c r="H928" s="152" t="s">
        <v>2705</v>
      </c>
      <c r="I928" s="152" t="s">
        <v>2398</v>
      </c>
      <c r="J928" s="152" t="s">
        <v>2398</v>
      </c>
      <c r="K928" s="152" t="s">
        <v>2398</v>
      </c>
      <c r="L928" s="152" t="s">
        <v>2705</v>
      </c>
      <c r="M928" s="152" t="s">
        <v>2705</v>
      </c>
      <c r="N928" s="152" t="s">
        <v>2705</v>
      </c>
      <c r="O928" s="152" t="s">
        <v>2705</v>
      </c>
      <c r="P928" s="152" t="s">
        <v>1435</v>
      </c>
      <c r="Q928" s="152" t="s">
        <v>2705</v>
      </c>
      <c r="R928" s="152" t="s">
        <v>2398</v>
      </c>
      <c r="S928" s="152" t="s">
        <v>2705</v>
      </c>
      <c r="T928" s="152" t="s">
        <v>2705</v>
      </c>
      <c r="U928" s="152" t="s">
        <v>2705</v>
      </c>
      <c r="V928" s="142" t="str" cm="1">
        <f t="array" ref="V928">IF(A928&lt;&gt;"",SUM(--(B928:U929 = "X")*$U$3,--(B928:U929 ="A")*$Q$3,--(B928:U929 ="B")*$R$3,--(B928:U929 ="C")*$S$3),"")</f>
        <v/>
      </c>
      <c r="AG928" s="142" t="s">
        <v>2705</v>
      </c>
      <c r="AH928" s="142" t="s">
        <v>1435</v>
      </c>
      <c r="AI928" s="142" t="s">
        <v>2705</v>
      </c>
      <c r="AJ928" s="142" t="s">
        <v>2398</v>
      </c>
      <c r="AK928" s="142" t="s">
        <v>2705</v>
      </c>
      <c r="AL928" s="142" t="s">
        <v>2398</v>
      </c>
      <c r="AM928" s="142" t="s">
        <v>2705</v>
      </c>
      <c r="AN928" s="142" t="s">
        <v>2398</v>
      </c>
      <c r="AO928" s="142" t="s">
        <v>2398</v>
      </c>
      <c r="AP928" s="142" t="s">
        <v>2398</v>
      </c>
      <c r="AQ928" s="142" t="s">
        <v>2705</v>
      </c>
      <c r="AR928" s="142" t="s">
        <v>2705</v>
      </c>
      <c r="AS928" s="142" t="s">
        <v>2705</v>
      </c>
      <c r="AT928" s="142" t="s">
        <v>2705</v>
      </c>
      <c r="AU928" s="142" t="s">
        <v>1435</v>
      </c>
      <c r="AV928" s="142" t="s">
        <v>2705</v>
      </c>
      <c r="AW928" s="142" t="s">
        <v>2398</v>
      </c>
      <c r="AX928" s="142" t="s">
        <v>2705</v>
      </c>
      <c r="AY928" s="142" t="s">
        <v>2705</v>
      </c>
      <c r="AZ928" s="142" t="s">
        <v>2705</v>
      </c>
    </row>
    <row r="929" spans="1:52" s="142" customFormat="1" ht="12.75" x14ac:dyDescent="0.2">
      <c r="A929" s="151" t="s">
        <v>7781</v>
      </c>
      <c r="B929" s="152" t="s">
        <v>2398</v>
      </c>
      <c r="C929" s="152" t="s">
        <v>2705</v>
      </c>
      <c r="D929" s="152" t="s">
        <v>2675</v>
      </c>
      <c r="E929" s="152" t="s">
        <v>2705</v>
      </c>
      <c r="F929" s="152" t="s">
        <v>2397</v>
      </c>
      <c r="G929" s="152" t="s">
        <v>2398</v>
      </c>
      <c r="H929" s="152" t="s">
        <v>1435</v>
      </c>
      <c r="I929" s="152" t="s">
        <v>2705</v>
      </c>
      <c r="J929" s="152" t="s">
        <v>1435</v>
      </c>
      <c r="K929" s="152" t="s">
        <v>2705</v>
      </c>
      <c r="L929" s="152" t="s">
        <v>2705</v>
      </c>
      <c r="M929" s="152" t="s">
        <v>2398</v>
      </c>
      <c r="N929" s="152" t="s">
        <v>2705</v>
      </c>
      <c r="O929" s="152" t="s">
        <v>2398</v>
      </c>
      <c r="P929" s="152" t="s">
        <v>2675</v>
      </c>
      <c r="Q929" s="152" t="s">
        <v>2398</v>
      </c>
      <c r="R929" s="152" t="s">
        <v>2398</v>
      </c>
      <c r="S929" s="152" t="s">
        <v>2398</v>
      </c>
      <c r="T929" s="152" t="s">
        <v>2705</v>
      </c>
      <c r="U929" s="152" t="s">
        <v>2398</v>
      </c>
      <c r="V929" s="142" cm="1">
        <f t="array" ref="V929">IF(A929&lt;&gt;"",SUM(--(B929:U930 = "X")*$U$3,--(B929:U930 ="A")*$Q$3,--(B929:U930 ="B")*$R$3,--(B929:U930 ="C")*$S$3),"")</f>
        <v>8.5</v>
      </c>
      <c r="AF929" s="142" t="s">
        <v>7781</v>
      </c>
      <c r="AG929" s="142" t="s">
        <v>2398</v>
      </c>
      <c r="AH929" s="142" t="s">
        <v>2705</v>
      </c>
      <c r="AI929" s="142" t="s">
        <v>2675</v>
      </c>
      <c r="AJ929" s="142" t="s">
        <v>2705</v>
      </c>
      <c r="AK929" s="142" t="s">
        <v>2397</v>
      </c>
      <c r="AL929" s="142" t="s">
        <v>2398</v>
      </c>
      <c r="AM929" s="142" t="s">
        <v>1435</v>
      </c>
      <c r="AN929" s="142" t="s">
        <v>2705</v>
      </c>
      <c r="AO929" s="142" t="s">
        <v>1435</v>
      </c>
      <c r="AP929" s="142" t="s">
        <v>2705</v>
      </c>
      <c r="AQ929" s="142" t="s">
        <v>2705</v>
      </c>
      <c r="AR929" s="142" t="s">
        <v>2398</v>
      </c>
      <c r="AS929" s="142" t="s">
        <v>2705</v>
      </c>
      <c r="AT929" s="142" t="s">
        <v>2398</v>
      </c>
      <c r="AU929" s="142" t="s">
        <v>2675</v>
      </c>
      <c r="AV929" s="142" t="s">
        <v>2398</v>
      </c>
      <c r="AW929" s="142" t="s">
        <v>2398</v>
      </c>
      <c r="AX929" s="142" t="s">
        <v>2398</v>
      </c>
      <c r="AY929" s="142" t="s">
        <v>2705</v>
      </c>
      <c r="AZ929" s="142" t="s">
        <v>2398</v>
      </c>
    </row>
    <row r="930" spans="1:52" s="142" customFormat="1" ht="12.75" x14ac:dyDescent="0.2">
      <c r="A930" s="151"/>
      <c r="B930" s="152" t="s">
        <v>2397</v>
      </c>
      <c r="C930" s="152" t="s">
        <v>2398</v>
      </c>
      <c r="D930" s="152" t="s">
        <v>2705</v>
      </c>
      <c r="E930" s="152" t="s">
        <v>2705</v>
      </c>
      <c r="F930" s="152" t="s">
        <v>2705</v>
      </c>
      <c r="G930" s="152" t="s">
        <v>2398</v>
      </c>
      <c r="H930" s="152" t="s">
        <v>2675</v>
      </c>
      <c r="I930" s="152" t="s">
        <v>2398</v>
      </c>
      <c r="J930" s="152" t="s">
        <v>2398</v>
      </c>
      <c r="K930" s="152" t="s">
        <v>2398</v>
      </c>
      <c r="L930" s="152" t="s">
        <v>1435</v>
      </c>
      <c r="M930" s="152" t="s">
        <v>2675</v>
      </c>
      <c r="N930" s="152" t="s">
        <v>2398</v>
      </c>
      <c r="O930" s="152" t="s">
        <v>2705</v>
      </c>
      <c r="P930" s="152" t="s">
        <v>2705</v>
      </c>
      <c r="Q930" s="152" t="s">
        <v>2705</v>
      </c>
      <c r="R930" s="152" t="s">
        <v>2398</v>
      </c>
      <c r="S930" s="152" t="s">
        <v>2675</v>
      </c>
      <c r="T930" s="152" t="s">
        <v>1435</v>
      </c>
      <c r="U930" s="152" t="s">
        <v>2398</v>
      </c>
      <c r="V930" s="142" t="str" cm="1">
        <f t="array" ref="V930">IF(A930&lt;&gt;"",SUM(--(B930:U931 = "X")*$U$3,--(B930:U931 ="A")*$Q$3,--(B930:U931 ="B")*$R$3,--(B930:U931 ="C")*$S$3),"")</f>
        <v/>
      </c>
      <c r="AG930" s="142" t="s">
        <v>2397</v>
      </c>
      <c r="AH930" s="142" t="s">
        <v>2398</v>
      </c>
      <c r="AI930" s="142" t="s">
        <v>2705</v>
      </c>
      <c r="AJ930" s="142" t="s">
        <v>2705</v>
      </c>
      <c r="AK930" s="142" t="s">
        <v>2705</v>
      </c>
      <c r="AL930" s="142" t="s">
        <v>2398</v>
      </c>
      <c r="AM930" s="142" t="s">
        <v>2675</v>
      </c>
      <c r="AN930" s="142" t="s">
        <v>2398</v>
      </c>
      <c r="AO930" s="142" t="s">
        <v>2398</v>
      </c>
      <c r="AP930" s="142" t="s">
        <v>2398</v>
      </c>
      <c r="AQ930" s="142" t="s">
        <v>1435</v>
      </c>
      <c r="AR930" s="142" t="s">
        <v>2675</v>
      </c>
      <c r="AS930" s="142" t="s">
        <v>2398</v>
      </c>
      <c r="AT930" s="142" t="s">
        <v>2705</v>
      </c>
      <c r="AU930" s="142" t="s">
        <v>2705</v>
      </c>
      <c r="AV930" s="142" t="s">
        <v>2705</v>
      </c>
      <c r="AW930" s="142" t="s">
        <v>2398</v>
      </c>
      <c r="AX930" s="142" t="s">
        <v>2675</v>
      </c>
      <c r="AY930" s="142" t="s">
        <v>1435</v>
      </c>
      <c r="AZ930" s="142" t="s">
        <v>2398</v>
      </c>
    </row>
    <row r="931" spans="1:52" s="142" customFormat="1" ht="12.75" x14ac:dyDescent="0.2">
      <c r="A931" s="151" t="s">
        <v>7782</v>
      </c>
      <c r="B931" s="152" t="s">
        <v>2705</v>
      </c>
      <c r="C931" s="152" t="s">
        <v>2675</v>
      </c>
      <c r="D931" s="152" t="s">
        <v>2675</v>
      </c>
      <c r="E931" s="152" t="s">
        <v>2705</v>
      </c>
      <c r="F931" s="152" t="s">
        <v>2398</v>
      </c>
      <c r="G931" s="152" t="s">
        <v>1435</v>
      </c>
      <c r="H931" s="152" t="s">
        <v>2705</v>
      </c>
      <c r="I931" s="152" t="s">
        <v>2705</v>
      </c>
      <c r="J931" s="152" t="s">
        <v>2398</v>
      </c>
      <c r="K931" s="152" t="s">
        <v>2397</v>
      </c>
      <c r="L931" s="152" t="s">
        <v>2705</v>
      </c>
      <c r="M931" s="152" t="s">
        <v>2398</v>
      </c>
      <c r="N931" s="152" t="s">
        <v>2705</v>
      </c>
      <c r="O931" s="152" t="s">
        <v>2705</v>
      </c>
      <c r="P931" s="152" t="s">
        <v>2705</v>
      </c>
      <c r="Q931" s="152" t="s">
        <v>2675</v>
      </c>
      <c r="R931" s="152" t="s">
        <v>2398</v>
      </c>
      <c r="S931" s="152" t="s">
        <v>2705</v>
      </c>
      <c r="T931" s="152" t="s">
        <v>2675</v>
      </c>
      <c r="U931" s="152" t="s">
        <v>2705</v>
      </c>
      <c r="V931" s="142" cm="1">
        <f t="array" ref="V931">IF(A931&lt;&gt;"",SUM(--(B931:U932 = "X")*$U$3,--(B931:U932 ="A")*$Q$3,--(B931:U932 ="B")*$R$3,--(B931:U932 ="C")*$S$3),"")</f>
        <v>14.5</v>
      </c>
      <c r="AF931" s="142" t="s">
        <v>7782</v>
      </c>
      <c r="AG931" s="142" t="s">
        <v>2705</v>
      </c>
      <c r="AH931" s="142" t="s">
        <v>2675</v>
      </c>
      <c r="AI931" s="142" t="s">
        <v>2675</v>
      </c>
      <c r="AJ931" s="142" t="s">
        <v>2705</v>
      </c>
      <c r="AK931" s="142" t="s">
        <v>2398</v>
      </c>
      <c r="AL931" s="142" t="s">
        <v>1435</v>
      </c>
      <c r="AM931" s="142" t="s">
        <v>2705</v>
      </c>
      <c r="AN931" s="142" t="s">
        <v>2705</v>
      </c>
      <c r="AO931" s="142" t="s">
        <v>2398</v>
      </c>
      <c r="AP931" s="142" t="s">
        <v>2397</v>
      </c>
      <c r="AQ931" s="142" t="s">
        <v>2705</v>
      </c>
      <c r="AR931" s="142" t="s">
        <v>2398</v>
      </c>
      <c r="AS931" s="142" t="s">
        <v>2705</v>
      </c>
      <c r="AT931" s="142" t="s">
        <v>2705</v>
      </c>
      <c r="AU931" s="142" t="s">
        <v>2705</v>
      </c>
      <c r="AV931" s="142" t="s">
        <v>2675</v>
      </c>
      <c r="AW931" s="142" t="s">
        <v>2398</v>
      </c>
      <c r="AX931" s="142" t="s">
        <v>2705</v>
      </c>
      <c r="AY931" s="142" t="s">
        <v>2675</v>
      </c>
      <c r="AZ931" s="142" t="s">
        <v>2705</v>
      </c>
    </row>
    <row r="932" spans="1:52" s="142" customFormat="1" ht="12.75" x14ac:dyDescent="0.2">
      <c r="A932" s="151"/>
      <c r="B932" s="152" t="s">
        <v>2397</v>
      </c>
      <c r="C932" s="152" t="s">
        <v>2705</v>
      </c>
      <c r="D932" s="152" t="s">
        <v>2705</v>
      </c>
      <c r="E932" s="152" t="s">
        <v>2398</v>
      </c>
      <c r="F932" s="152" t="s">
        <v>2675</v>
      </c>
      <c r="G932" s="152" t="s">
        <v>2705</v>
      </c>
      <c r="H932" s="152" t="s">
        <v>2705</v>
      </c>
      <c r="I932" s="152" t="s">
        <v>2397</v>
      </c>
      <c r="J932" s="152" t="s">
        <v>2705</v>
      </c>
      <c r="K932" s="152" t="s">
        <v>2398</v>
      </c>
      <c r="L932" s="152" t="s">
        <v>2398</v>
      </c>
      <c r="M932" s="152" t="s">
        <v>2705</v>
      </c>
      <c r="N932" s="152" t="s">
        <v>2398</v>
      </c>
      <c r="O932" s="152" t="s">
        <v>2705</v>
      </c>
      <c r="P932" s="152" t="s">
        <v>2705</v>
      </c>
      <c r="Q932" s="152" t="s">
        <v>1435</v>
      </c>
      <c r="R932" s="152" t="s">
        <v>1435</v>
      </c>
      <c r="S932" s="152" t="s">
        <v>2675</v>
      </c>
      <c r="T932" s="152" t="s">
        <v>2705</v>
      </c>
      <c r="U932" s="152" t="s">
        <v>2398</v>
      </c>
      <c r="V932" s="142" t="str" cm="1">
        <f t="array" ref="V932">IF(A932&lt;&gt;"",SUM(--(B932:U933 = "X")*$U$3,--(B932:U933 ="A")*$Q$3,--(B932:U933 ="B")*$R$3,--(B932:U933 ="C")*$S$3),"")</f>
        <v/>
      </c>
      <c r="AG932" s="142" t="s">
        <v>2397</v>
      </c>
      <c r="AH932" s="142" t="s">
        <v>2705</v>
      </c>
      <c r="AI932" s="142" t="s">
        <v>2705</v>
      </c>
      <c r="AJ932" s="142" t="s">
        <v>2398</v>
      </c>
      <c r="AK932" s="142" t="s">
        <v>2675</v>
      </c>
      <c r="AL932" s="142" t="s">
        <v>2705</v>
      </c>
      <c r="AM932" s="142" t="s">
        <v>2705</v>
      </c>
      <c r="AN932" s="142" t="s">
        <v>2397</v>
      </c>
      <c r="AO932" s="142" t="s">
        <v>2705</v>
      </c>
      <c r="AP932" s="142" t="s">
        <v>2398</v>
      </c>
      <c r="AQ932" s="142" t="s">
        <v>2398</v>
      </c>
      <c r="AR932" s="142" t="s">
        <v>2705</v>
      </c>
      <c r="AS932" s="142" t="s">
        <v>2398</v>
      </c>
      <c r="AT932" s="142" t="s">
        <v>2705</v>
      </c>
      <c r="AU932" s="142" t="s">
        <v>2705</v>
      </c>
      <c r="AV932" s="142" t="s">
        <v>1435</v>
      </c>
      <c r="AW932" s="142" t="s">
        <v>1435</v>
      </c>
      <c r="AX932" s="142" t="s">
        <v>2675</v>
      </c>
      <c r="AY932" s="142" t="s">
        <v>2705</v>
      </c>
      <c r="AZ932" s="142" t="s">
        <v>2398</v>
      </c>
    </row>
    <row r="933" spans="1:52" s="142" customFormat="1" ht="12.75" x14ac:dyDescent="0.2">
      <c r="A933" s="151" t="s">
        <v>7783</v>
      </c>
      <c r="B933" s="152" t="s">
        <v>2398</v>
      </c>
      <c r="C933" s="152" t="s">
        <v>2705</v>
      </c>
      <c r="D933" s="152" t="s">
        <v>2705</v>
      </c>
      <c r="E933" s="152" t="s">
        <v>2705</v>
      </c>
      <c r="F933" s="152" t="s">
        <v>2705</v>
      </c>
      <c r="G933" s="152" t="s">
        <v>2705</v>
      </c>
      <c r="H933" s="152" t="s">
        <v>2398</v>
      </c>
      <c r="I933" s="152" t="s">
        <v>2705</v>
      </c>
      <c r="J933" s="152" t="s">
        <v>2705</v>
      </c>
      <c r="K933" s="152" t="s">
        <v>2398</v>
      </c>
      <c r="L933" s="152" t="s">
        <v>2705</v>
      </c>
      <c r="M933" s="152" t="s">
        <v>2398</v>
      </c>
      <c r="N933" s="152" t="s">
        <v>2705</v>
      </c>
      <c r="O933" s="152" t="s">
        <v>2398</v>
      </c>
      <c r="P933" s="152" t="s">
        <v>2705</v>
      </c>
      <c r="Q933" s="152" t="s">
        <v>2705</v>
      </c>
      <c r="R933" s="152" t="s">
        <v>2705</v>
      </c>
      <c r="S933" s="152" t="s">
        <v>2705</v>
      </c>
      <c r="T933" s="152" t="s">
        <v>2398</v>
      </c>
      <c r="U933" s="152" t="s">
        <v>2705</v>
      </c>
      <c r="V933" s="142" cm="1">
        <f t="array" ref="V933">IF(A933&lt;&gt;"",SUM(--(B933:U934 = "X")*$U$3,--(B933:U934 ="A")*$Q$3,--(B933:U934 ="B")*$R$3,--(B933:U934 ="C")*$S$3),"")</f>
        <v>24.5</v>
      </c>
      <c r="AF933" s="142" t="s">
        <v>7783</v>
      </c>
      <c r="AG933" s="142" t="s">
        <v>2398</v>
      </c>
      <c r="AH933" s="142" t="s">
        <v>2705</v>
      </c>
      <c r="AI933" s="142" t="s">
        <v>2705</v>
      </c>
      <c r="AJ933" s="142" t="s">
        <v>2705</v>
      </c>
      <c r="AK933" s="142" t="s">
        <v>2705</v>
      </c>
      <c r="AL933" s="142" t="s">
        <v>2705</v>
      </c>
      <c r="AM933" s="142" t="s">
        <v>2398</v>
      </c>
      <c r="AN933" s="142" t="s">
        <v>2705</v>
      </c>
      <c r="AO933" s="142" t="s">
        <v>2705</v>
      </c>
      <c r="AP933" s="142" t="s">
        <v>2398</v>
      </c>
      <c r="AQ933" s="142" t="s">
        <v>2705</v>
      </c>
      <c r="AR933" s="142" t="s">
        <v>2398</v>
      </c>
      <c r="AS933" s="142" t="s">
        <v>2705</v>
      </c>
      <c r="AT933" s="142" t="s">
        <v>2398</v>
      </c>
      <c r="AU933" s="142" t="s">
        <v>2705</v>
      </c>
      <c r="AV933" s="142" t="s">
        <v>2705</v>
      </c>
      <c r="AW933" s="142" t="s">
        <v>2705</v>
      </c>
      <c r="AX933" s="142" t="s">
        <v>2705</v>
      </c>
      <c r="AY933" s="142" t="s">
        <v>2398</v>
      </c>
      <c r="AZ933" s="142" t="s">
        <v>2705</v>
      </c>
    </row>
    <row r="934" spans="1:52" s="142" customFormat="1" ht="12.75" x14ac:dyDescent="0.2">
      <c r="A934" s="151"/>
      <c r="B934" s="152" t="s">
        <v>2398</v>
      </c>
      <c r="C934" s="152" t="s">
        <v>2675</v>
      </c>
      <c r="D934" s="152" t="s">
        <v>1435</v>
      </c>
      <c r="E934" s="152" t="s">
        <v>2705</v>
      </c>
      <c r="F934" s="152" t="s">
        <v>2398</v>
      </c>
      <c r="G934" s="152" t="s">
        <v>2705</v>
      </c>
      <c r="H934" s="152" t="s">
        <v>2705</v>
      </c>
      <c r="I934" s="152" t="s">
        <v>2705</v>
      </c>
      <c r="J934" s="152" t="s">
        <v>2398</v>
      </c>
      <c r="K934" s="152" t="s">
        <v>2705</v>
      </c>
      <c r="L934" s="152" t="s">
        <v>2398</v>
      </c>
      <c r="M934" s="152" t="s">
        <v>2705</v>
      </c>
      <c r="N934" s="152" t="s">
        <v>2705</v>
      </c>
      <c r="O934" s="152" t="s">
        <v>2705</v>
      </c>
      <c r="P934" s="152" t="s">
        <v>2398</v>
      </c>
      <c r="Q934" s="152" t="s">
        <v>2705</v>
      </c>
      <c r="R934" s="152" t="s">
        <v>1435</v>
      </c>
      <c r="S934" s="152" t="s">
        <v>2705</v>
      </c>
      <c r="T934" s="152" t="s">
        <v>2705</v>
      </c>
      <c r="U934" s="152" t="s">
        <v>2705</v>
      </c>
      <c r="V934" s="142" t="str" cm="1">
        <f t="array" ref="V934">IF(A934&lt;&gt;"",SUM(--(B934:U935 = "X")*$U$3,--(B934:U935 ="A")*$Q$3,--(B934:U935 ="B")*$R$3,--(B934:U935 ="C")*$S$3),"")</f>
        <v/>
      </c>
      <c r="AG934" s="142" t="s">
        <v>2398</v>
      </c>
      <c r="AH934" s="142" t="s">
        <v>2675</v>
      </c>
      <c r="AI934" s="142" t="s">
        <v>1435</v>
      </c>
      <c r="AJ934" s="142" t="s">
        <v>2705</v>
      </c>
      <c r="AK934" s="142" t="s">
        <v>2398</v>
      </c>
      <c r="AL934" s="142" t="s">
        <v>2705</v>
      </c>
      <c r="AM934" s="142" t="s">
        <v>2705</v>
      </c>
      <c r="AN934" s="142" t="s">
        <v>2705</v>
      </c>
      <c r="AO934" s="142" t="s">
        <v>2398</v>
      </c>
      <c r="AP934" s="142" t="s">
        <v>2705</v>
      </c>
      <c r="AQ934" s="142" t="s">
        <v>2398</v>
      </c>
      <c r="AR934" s="142" t="s">
        <v>2705</v>
      </c>
      <c r="AS934" s="142" t="s">
        <v>2705</v>
      </c>
      <c r="AT934" s="142" t="s">
        <v>2705</v>
      </c>
      <c r="AU934" s="142" t="s">
        <v>2398</v>
      </c>
      <c r="AV934" s="142" t="s">
        <v>2705</v>
      </c>
      <c r="AW934" s="142" t="s">
        <v>1435</v>
      </c>
      <c r="AX934" s="142" t="s">
        <v>2705</v>
      </c>
      <c r="AY934" s="142" t="s">
        <v>2705</v>
      </c>
      <c r="AZ934" s="142" t="s">
        <v>2705</v>
      </c>
    </row>
    <row r="935" spans="1:52" s="142" customFormat="1" ht="12.75" x14ac:dyDescent="0.2">
      <c r="A935" s="151" t="s">
        <v>7784</v>
      </c>
      <c r="B935" s="152" t="s">
        <v>2705</v>
      </c>
      <c r="C935" s="152" t="s">
        <v>1435</v>
      </c>
      <c r="D935" s="152" t="s">
        <v>2675</v>
      </c>
      <c r="E935" s="152" t="s">
        <v>2705</v>
      </c>
      <c r="F935" s="152" t="s">
        <v>1435</v>
      </c>
      <c r="G935" s="152" t="s">
        <v>2705</v>
      </c>
      <c r="H935" s="152" t="s">
        <v>2705</v>
      </c>
      <c r="I935" s="152" t="s">
        <v>2705</v>
      </c>
      <c r="J935" s="152" t="s">
        <v>2397</v>
      </c>
      <c r="K935" s="152" t="s">
        <v>2398</v>
      </c>
      <c r="L935" s="152" t="s">
        <v>2705</v>
      </c>
      <c r="M935" s="152" t="s">
        <v>2705</v>
      </c>
      <c r="N935" s="152" t="s">
        <v>1435</v>
      </c>
      <c r="O935" s="152" t="s">
        <v>2398</v>
      </c>
      <c r="P935" s="152" t="s">
        <v>2705</v>
      </c>
      <c r="Q935" s="152" t="s">
        <v>1435</v>
      </c>
      <c r="R935" s="152" t="s">
        <v>2705</v>
      </c>
      <c r="S935" s="152" t="s">
        <v>2705</v>
      </c>
      <c r="T935" s="152" t="s">
        <v>1435</v>
      </c>
      <c r="U935" s="152" t="s">
        <v>2705</v>
      </c>
      <c r="V935" s="142" cm="1">
        <f t="array" ref="V935">IF(A935&lt;&gt;"",SUM(--(B935:U936 = "X")*$U$3,--(B935:U936 ="A")*$Q$3,--(B935:U936 ="B")*$R$3,--(B935:U936 ="C")*$S$3),"")</f>
        <v>18.5</v>
      </c>
      <c r="AF935" s="142" t="s">
        <v>7784</v>
      </c>
      <c r="AG935" s="142" t="s">
        <v>2705</v>
      </c>
      <c r="AH935" s="142" t="s">
        <v>1435</v>
      </c>
      <c r="AI935" s="142" t="s">
        <v>2675</v>
      </c>
      <c r="AJ935" s="142" t="s">
        <v>2705</v>
      </c>
      <c r="AK935" s="142" t="s">
        <v>1435</v>
      </c>
      <c r="AL935" s="142" t="s">
        <v>2705</v>
      </c>
      <c r="AM935" s="142" t="s">
        <v>2705</v>
      </c>
      <c r="AN935" s="142" t="s">
        <v>2705</v>
      </c>
      <c r="AO935" s="142" t="s">
        <v>2397</v>
      </c>
      <c r="AP935" s="142" t="s">
        <v>2398</v>
      </c>
      <c r="AQ935" s="142" t="s">
        <v>2705</v>
      </c>
      <c r="AR935" s="142" t="s">
        <v>2705</v>
      </c>
      <c r="AS935" s="142" t="s">
        <v>1435</v>
      </c>
      <c r="AT935" s="142" t="s">
        <v>2398</v>
      </c>
      <c r="AU935" s="142" t="s">
        <v>2705</v>
      </c>
      <c r="AV935" s="142" t="s">
        <v>1435</v>
      </c>
      <c r="AW935" s="142" t="s">
        <v>2705</v>
      </c>
      <c r="AX935" s="142" t="s">
        <v>2705</v>
      </c>
      <c r="AY935" s="142" t="s">
        <v>1435</v>
      </c>
      <c r="AZ935" s="142" t="s">
        <v>2705</v>
      </c>
    </row>
    <row r="936" spans="1:52" s="142" customFormat="1" ht="12.75" x14ac:dyDescent="0.2">
      <c r="A936" s="151"/>
      <c r="B936" s="152" t="s">
        <v>2397</v>
      </c>
      <c r="C936" s="152" t="s">
        <v>1435</v>
      </c>
      <c r="D936" s="152" t="s">
        <v>2705</v>
      </c>
      <c r="E936" s="152" t="s">
        <v>2705</v>
      </c>
      <c r="F936" s="152" t="s">
        <v>2705</v>
      </c>
      <c r="G936" s="152" t="s">
        <v>2705</v>
      </c>
      <c r="H936" s="152" t="s">
        <v>2705</v>
      </c>
      <c r="I936" s="152" t="s">
        <v>2705</v>
      </c>
      <c r="J936" s="152" t="s">
        <v>2705</v>
      </c>
      <c r="K936" s="152" t="s">
        <v>2675</v>
      </c>
      <c r="L936" s="152" t="s">
        <v>2705</v>
      </c>
      <c r="M936" s="152" t="s">
        <v>2705</v>
      </c>
      <c r="N936" s="152" t="s">
        <v>2705</v>
      </c>
      <c r="O936" s="152" t="s">
        <v>2705</v>
      </c>
      <c r="P936" s="152" t="s">
        <v>2675</v>
      </c>
      <c r="Q936" s="152" t="s">
        <v>2705</v>
      </c>
      <c r="R936" s="152" t="s">
        <v>2398</v>
      </c>
      <c r="S936" s="152" t="s">
        <v>2705</v>
      </c>
      <c r="T936" s="152" t="s">
        <v>2675</v>
      </c>
      <c r="U936" s="152" t="s">
        <v>2675</v>
      </c>
      <c r="V936" s="142" t="str" cm="1">
        <f t="array" ref="V936">IF(A936&lt;&gt;"",SUM(--(B936:U937 = "X")*$U$3,--(B936:U937 ="A")*$Q$3,--(B936:U937 ="B")*$R$3,--(B936:U937 ="C")*$S$3),"")</f>
        <v/>
      </c>
      <c r="AG936" s="142" t="s">
        <v>2397</v>
      </c>
      <c r="AH936" s="142" t="s">
        <v>1435</v>
      </c>
      <c r="AI936" s="142" t="s">
        <v>2705</v>
      </c>
      <c r="AJ936" s="142" t="s">
        <v>2705</v>
      </c>
      <c r="AK936" s="142" t="s">
        <v>2705</v>
      </c>
      <c r="AL936" s="142" t="s">
        <v>2705</v>
      </c>
      <c r="AM936" s="142" t="s">
        <v>2705</v>
      </c>
      <c r="AN936" s="142" t="s">
        <v>2705</v>
      </c>
      <c r="AO936" s="142" t="s">
        <v>2705</v>
      </c>
      <c r="AP936" s="142" t="s">
        <v>2675</v>
      </c>
      <c r="AQ936" s="142" t="s">
        <v>2705</v>
      </c>
      <c r="AR936" s="142" t="s">
        <v>2705</v>
      </c>
      <c r="AS936" s="142" t="s">
        <v>2705</v>
      </c>
      <c r="AT936" s="142" t="s">
        <v>2705</v>
      </c>
      <c r="AU936" s="142" t="s">
        <v>2675</v>
      </c>
      <c r="AV936" s="142" t="s">
        <v>2705</v>
      </c>
      <c r="AW936" s="142" t="s">
        <v>2398</v>
      </c>
      <c r="AX936" s="142" t="s">
        <v>2705</v>
      </c>
      <c r="AY936" s="142" t="s">
        <v>2675</v>
      </c>
      <c r="AZ936" s="142" t="s">
        <v>2675</v>
      </c>
    </row>
    <row r="937" spans="1:52" s="142" customFormat="1" ht="12.75" x14ac:dyDescent="0.2">
      <c r="A937" s="151" t="s">
        <v>7785</v>
      </c>
      <c r="B937" s="152" t="s">
        <v>2705</v>
      </c>
      <c r="C937" s="152" t="s">
        <v>2705</v>
      </c>
      <c r="D937" s="152" t="s">
        <v>2705</v>
      </c>
      <c r="E937" s="152" t="s">
        <v>2705</v>
      </c>
      <c r="F937" s="152" t="s">
        <v>2398</v>
      </c>
      <c r="G937" s="152" t="s">
        <v>2705</v>
      </c>
      <c r="H937" s="152" t="s">
        <v>2705</v>
      </c>
      <c r="I937" s="152" t="s">
        <v>2397</v>
      </c>
      <c r="J937" s="152" t="s">
        <v>2397</v>
      </c>
      <c r="K937" s="152" t="s">
        <v>1435</v>
      </c>
      <c r="L937" s="152" t="s">
        <v>2705</v>
      </c>
      <c r="M937" s="152" t="s">
        <v>2705</v>
      </c>
      <c r="N937" s="152" t="s">
        <v>2705</v>
      </c>
      <c r="O937" s="152" t="s">
        <v>2705</v>
      </c>
      <c r="P937" s="152" t="s">
        <v>2705</v>
      </c>
      <c r="Q937" s="152" t="s">
        <v>1435</v>
      </c>
      <c r="R937" s="152" t="s">
        <v>2398</v>
      </c>
      <c r="S937" s="152" t="s">
        <v>2398</v>
      </c>
      <c r="T937" s="152" t="s">
        <v>2398</v>
      </c>
      <c r="U937" s="152" t="s">
        <v>2398</v>
      </c>
      <c r="V937" s="142" cm="1">
        <f t="array" ref="V937">IF(A937&lt;&gt;"",SUM(--(B937:U938 = "X")*$U$3,--(B937:U938 ="A")*$Q$3,--(B937:U938 ="B")*$R$3,--(B937:U938 ="C")*$S$3),"")</f>
        <v>19.5</v>
      </c>
      <c r="AF937" s="142" t="s">
        <v>7785</v>
      </c>
      <c r="AG937" s="142" t="s">
        <v>2705</v>
      </c>
      <c r="AH937" s="142" t="s">
        <v>2705</v>
      </c>
      <c r="AI937" s="142" t="s">
        <v>2705</v>
      </c>
      <c r="AJ937" s="142" t="s">
        <v>2705</v>
      </c>
      <c r="AK937" s="142" t="s">
        <v>2398</v>
      </c>
      <c r="AL937" s="142" t="s">
        <v>2705</v>
      </c>
      <c r="AM937" s="142" t="s">
        <v>2705</v>
      </c>
      <c r="AN937" s="142" t="s">
        <v>2397</v>
      </c>
      <c r="AO937" s="142" t="s">
        <v>2397</v>
      </c>
      <c r="AP937" s="142" t="s">
        <v>1435</v>
      </c>
      <c r="AQ937" s="142" t="s">
        <v>2705</v>
      </c>
      <c r="AR937" s="142" t="s">
        <v>2705</v>
      </c>
      <c r="AS937" s="142" t="s">
        <v>2705</v>
      </c>
      <c r="AT937" s="142" t="s">
        <v>2705</v>
      </c>
      <c r="AU937" s="142" t="s">
        <v>2705</v>
      </c>
      <c r="AV937" s="142" t="s">
        <v>1435</v>
      </c>
      <c r="AW937" s="142" t="s">
        <v>2398</v>
      </c>
      <c r="AX937" s="142" t="s">
        <v>2398</v>
      </c>
      <c r="AY937" s="142" t="s">
        <v>2398</v>
      </c>
      <c r="AZ937" s="142" t="s">
        <v>2398</v>
      </c>
    </row>
    <row r="938" spans="1:52" s="142" customFormat="1" ht="12.75" x14ac:dyDescent="0.2">
      <c r="A938" s="151"/>
      <c r="B938" s="152" t="s">
        <v>2398</v>
      </c>
      <c r="C938" s="152" t="s">
        <v>2397</v>
      </c>
      <c r="D938" s="152" t="s">
        <v>2675</v>
      </c>
      <c r="E938" s="152" t="s">
        <v>2705</v>
      </c>
      <c r="F938" s="152" t="s">
        <v>2705</v>
      </c>
      <c r="G938" s="152" t="s">
        <v>2675</v>
      </c>
      <c r="H938" s="152" t="s">
        <v>2705</v>
      </c>
      <c r="I938" s="152" t="s">
        <v>2705</v>
      </c>
      <c r="J938" s="152" t="s">
        <v>2398</v>
      </c>
      <c r="K938" s="152" t="s">
        <v>2705</v>
      </c>
      <c r="L938" s="152" t="s">
        <v>2705</v>
      </c>
      <c r="M938" s="152" t="s">
        <v>2398</v>
      </c>
      <c r="N938" s="152" t="s">
        <v>1435</v>
      </c>
      <c r="O938" s="152" t="s">
        <v>2705</v>
      </c>
      <c r="P938" s="152" t="s">
        <v>2398</v>
      </c>
      <c r="Q938" s="152" t="s">
        <v>2705</v>
      </c>
      <c r="R938" s="152" t="s">
        <v>2398</v>
      </c>
      <c r="S938" s="152" t="s">
        <v>2705</v>
      </c>
      <c r="T938" s="152" t="s">
        <v>2705</v>
      </c>
      <c r="U938" s="152" t="s">
        <v>2705</v>
      </c>
      <c r="V938" s="142" t="str" cm="1">
        <f t="array" ref="V938">IF(A938&lt;&gt;"",SUM(--(B938:U939 = "X")*$U$3,--(B938:U939 ="A")*$Q$3,--(B938:U939 ="B")*$R$3,--(B938:U939 ="C")*$S$3),"")</f>
        <v/>
      </c>
      <c r="AG938" s="142" t="s">
        <v>2398</v>
      </c>
      <c r="AH938" s="142" t="s">
        <v>2397</v>
      </c>
      <c r="AI938" s="142" t="s">
        <v>2675</v>
      </c>
      <c r="AJ938" s="142" t="s">
        <v>2705</v>
      </c>
      <c r="AK938" s="142" t="s">
        <v>2705</v>
      </c>
      <c r="AL938" s="142" t="s">
        <v>2675</v>
      </c>
      <c r="AM938" s="142" t="s">
        <v>2705</v>
      </c>
      <c r="AN938" s="142" t="s">
        <v>2705</v>
      </c>
      <c r="AO938" s="142" t="s">
        <v>2398</v>
      </c>
      <c r="AP938" s="142" t="s">
        <v>2705</v>
      </c>
      <c r="AQ938" s="142" t="s">
        <v>2705</v>
      </c>
      <c r="AR938" s="142" t="s">
        <v>2398</v>
      </c>
      <c r="AS938" s="142" t="s">
        <v>1435</v>
      </c>
      <c r="AT938" s="142" t="s">
        <v>2705</v>
      </c>
      <c r="AU938" s="142" t="s">
        <v>2398</v>
      </c>
      <c r="AV938" s="142" t="s">
        <v>2705</v>
      </c>
      <c r="AW938" s="142" t="s">
        <v>2398</v>
      </c>
      <c r="AX938" s="142" t="s">
        <v>2705</v>
      </c>
      <c r="AY938" s="142" t="s">
        <v>2705</v>
      </c>
      <c r="AZ938" s="142" t="s">
        <v>2705</v>
      </c>
    </row>
    <row r="939" spans="1:52" s="142" customFormat="1" ht="12.75" x14ac:dyDescent="0.2">
      <c r="A939" s="151" t="s">
        <v>7786</v>
      </c>
      <c r="B939" s="152" t="s">
        <v>2705</v>
      </c>
      <c r="C939" s="152" t="s">
        <v>2705</v>
      </c>
      <c r="D939" s="152" t="s">
        <v>2705</v>
      </c>
      <c r="E939" s="152" t="s">
        <v>1435</v>
      </c>
      <c r="F939" s="152" t="s">
        <v>2705</v>
      </c>
      <c r="G939" s="152" t="s">
        <v>2705</v>
      </c>
      <c r="H939" s="152" t="s">
        <v>2705</v>
      </c>
      <c r="I939" s="152" t="s">
        <v>2705</v>
      </c>
      <c r="J939" s="152" t="s">
        <v>2398</v>
      </c>
      <c r="K939" s="152" t="s">
        <v>2705</v>
      </c>
      <c r="L939" s="152" t="s">
        <v>2705</v>
      </c>
      <c r="M939" s="152" t="s">
        <v>1435</v>
      </c>
      <c r="N939" s="152" t="s">
        <v>1435</v>
      </c>
      <c r="O939" s="152" t="s">
        <v>2398</v>
      </c>
      <c r="P939" s="152" t="s">
        <v>2398</v>
      </c>
      <c r="Q939" s="152" t="s">
        <v>1435</v>
      </c>
      <c r="R939" s="152" t="s">
        <v>2398</v>
      </c>
      <c r="S939" s="152" t="s">
        <v>2398</v>
      </c>
      <c r="T939" s="152" t="s">
        <v>2705</v>
      </c>
      <c r="U939" s="152" t="s">
        <v>2705</v>
      </c>
      <c r="V939" s="142" cm="1">
        <f t="array" ref="V939">IF(A939&lt;&gt;"",SUM(--(B939:U940 = "X")*$U$3,--(B939:U940 ="A")*$Q$3,--(B939:U940 ="B")*$R$3,--(B939:U940 ="C")*$S$3),"")</f>
        <v>13</v>
      </c>
      <c r="AF939" s="142" t="s">
        <v>7786</v>
      </c>
      <c r="AG939" s="142" t="s">
        <v>2705</v>
      </c>
      <c r="AH939" s="142" t="s">
        <v>2705</v>
      </c>
      <c r="AI939" s="142" t="s">
        <v>2705</v>
      </c>
      <c r="AJ939" s="142" t="s">
        <v>1435</v>
      </c>
      <c r="AK939" s="142" t="s">
        <v>2705</v>
      </c>
      <c r="AL939" s="142" t="s">
        <v>2705</v>
      </c>
      <c r="AM939" s="142" t="s">
        <v>2705</v>
      </c>
      <c r="AN939" s="142" t="s">
        <v>2705</v>
      </c>
      <c r="AO939" s="142" t="s">
        <v>2398</v>
      </c>
      <c r="AP939" s="142" t="s">
        <v>2705</v>
      </c>
      <c r="AQ939" s="142" t="s">
        <v>2705</v>
      </c>
      <c r="AR939" s="142" t="s">
        <v>1435</v>
      </c>
      <c r="AS939" s="142" t="s">
        <v>1435</v>
      </c>
      <c r="AT939" s="142" t="s">
        <v>2398</v>
      </c>
      <c r="AU939" s="142" t="s">
        <v>2398</v>
      </c>
      <c r="AV939" s="142" t="s">
        <v>1435</v>
      </c>
      <c r="AW939" s="142" t="s">
        <v>2398</v>
      </c>
      <c r="AX939" s="142" t="s">
        <v>2398</v>
      </c>
      <c r="AY939" s="142" t="s">
        <v>2705</v>
      </c>
      <c r="AZ939" s="142" t="s">
        <v>2705</v>
      </c>
    </row>
    <row r="940" spans="1:52" s="142" customFormat="1" ht="12.75" x14ac:dyDescent="0.2">
      <c r="A940" s="151"/>
      <c r="B940" s="152" t="s">
        <v>2398</v>
      </c>
      <c r="C940" s="152" t="s">
        <v>2398</v>
      </c>
      <c r="D940" s="152" t="s">
        <v>2705</v>
      </c>
      <c r="E940" s="152" t="s">
        <v>2705</v>
      </c>
      <c r="F940" s="152" t="s">
        <v>2398</v>
      </c>
      <c r="G940" s="152" t="s">
        <v>2675</v>
      </c>
      <c r="H940" s="152" t="s">
        <v>2398</v>
      </c>
      <c r="I940" s="152" t="s">
        <v>2705</v>
      </c>
      <c r="J940" s="152" t="s">
        <v>2398</v>
      </c>
      <c r="K940" s="152" t="s">
        <v>2675</v>
      </c>
      <c r="L940" s="152" t="s">
        <v>2398</v>
      </c>
      <c r="M940" s="152" t="s">
        <v>2398</v>
      </c>
      <c r="N940" s="152" t="s">
        <v>2397</v>
      </c>
      <c r="O940" s="152" t="s">
        <v>2705</v>
      </c>
      <c r="P940" s="152" t="s">
        <v>2398</v>
      </c>
      <c r="Q940" s="152" t="s">
        <v>2398</v>
      </c>
      <c r="R940" s="152" t="s">
        <v>2398</v>
      </c>
      <c r="S940" s="152" t="s">
        <v>2398</v>
      </c>
      <c r="T940" s="152" t="s">
        <v>2705</v>
      </c>
      <c r="U940" s="152" t="s">
        <v>2398</v>
      </c>
      <c r="V940" s="142" t="str" cm="1">
        <f t="array" ref="V940">IF(A940&lt;&gt;"",SUM(--(B940:U941 = "X")*$U$3,--(B940:U941 ="A")*$Q$3,--(B940:U941 ="B")*$R$3,--(B940:U941 ="C")*$S$3),"")</f>
        <v/>
      </c>
      <c r="AG940" s="142" t="s">
        <v>2398</v>
      </c>
      <c r="AH940" s="142" t="s">
        <v>2398</v>
      </c>
      <c r="AI940" s="142" t="s">
        <v>2705</v>
      </c>
      <c r="AJ940" s="142" t="s">
        <v>2705</v>
      </c>
      <c r="AK940" s="142" t="s">
        <v>2398</v>
      </c>
      <c r="AL940" s="142" t="s">
        <v>2675</v>
      </c>
      <c r="AM940" s="142" t="s">
        <v>2398</v>
      </c>
      <c r="AN940" s="142" t="s">
        <v>2705</v>
      </c>
      <c r="AO940" s="142" t="s">
        <v>2398</v>
      </c>
      <c r="AP940" s="142" t="s">
        <v>2675</v>
      </c>
      <c r="AQ940" s="142" t="s">
        <v>2398</v>
      </c>
      <c r="AR940" s="142" t="s">
        <v>2398</v>
      </c>
      <c r="AS940" s="142" t="s">
        <v>2397</v>
      </c>
      <c r="AT940" s="142" t="s">
        <v>2705</v>
      </c>
      <c r="AU940" s="142" t="s">
        <v>2398</v>
      </c>
      <c r="AV940" s="142" t="s">
        <v>2398</v>
      </c>
      <c r="AW940" s="142" t="s">
        <v>2398</v>
      </c>
      <c r="AX940" s="142" t="s">
        <v>2398</v>
      </c>
      <c r="AY940" s="142" t="s">
        <v>2705</v>
      </c>
      <c r="AZ940" s="142" t="s">
        <v>2398</v>
      </c>
    </row>
    <row r="941" spans="1:52" s="142" customFormat="1" ht="12.75" x14ac:dyDescent="0.2">
      <c r="A941" s="151" t="s">
        <v>7787</v>
      </c>
      <c r="B941" s="152" t="s">
        <v>2398</v>
      </c>
      <c r="C941" s="152" t="s">
        <v>2398</v>
      </c>
      <c r="D941" s="152" t="s">
        <v>2705</v>
      </c>
      <c r="E941" s="152" t="s">
        <v>2398</v>
      </c>
      <c r="F941" s="152" t="s">
        <v>2705</v>
      </c>
      <c r="G941" s="152" t="s">
        <v>2705</v>
      </c>
      <c r="H941" s="152" t="s">
        <v>2705</v>
      </c>
      <c r="I941" s="152" t="s">
        <v>2675</v>
      </c>
      <c r="J941" s="152" t="s">
        <v>2398</v>
      </c>
      <c r="K941" s="152" t="s">
        <v>2705</v>
      </c>
      <c r="L941" s="152" t="s">
        <v>2398</v>
      </c>
      <c r="M941" s="152" t="s">
        <v>2705</v>
      </c>
      <c r="N941" s="152" t="s">
        <v>2705</v>
      </c>
      <c r="O941" s="152" t="s">
        <v>2705</v>
      </c>
      <c r="P941" s="152" t="s">
        <v>2705</v>
      </c>
      <c r="Q941" s="152" t="s">
        <v>2705</v>
      </c>
      <c r="R941" s="152" t="s">
        <v>2705</v>
      </c>
      <c r="S941" s="152" t="s">
        <v>2705</v>
      </c>
      <c r="T941" s="152" t="s">
        <v>2705</v>
      </c>
      <c r="U941" s="152" t="s">
        <v>2705</v>
      </c>
      <c r="V941" s="142" cm="1">
        <f t="array" ref="V941">IF(A941&lt;&gt;"",SUM(--(B941:U942 = "X")*$U$3,--(B941:U942 ="A")*$Q$3,--(B941:U942 ="B")*$R$3,--(B941:U942 ="C")*$S$3),"")</f>
        <v>22.5</v>
      </c>
      <c r="AF941" s="142" t="s">
        <v>7787</v>
      </c>
      <c r="AG941" s="142" t="s">
        <v>2398</v>
      </c>
      <c r="AH941" s="142" t="s">
        <v>2398</v>
      </c>
      <c r="AI941" s="142" t="s">
        <v>2705</v>
      </c>
      <c r="AJ941" s="142" t="s">
        <v>2398</v>
      </c>
      <c r="AK941" s="142" t="s">
        <v>2705</v>
      </c>
      <c r="AL941" s="142" t="s">
        <v>2705</v>
      </c>
      <c r="AM941" s="142" t="s">
        <v>2705</v>
      </c>
      <c r="AN941" s="142" t="s">
        <v>2675</v>
      </c>
      <c r="AO941" s="142" t="s">
        <v>2398</v>
      </c>
      <c r="AP941" s="142" t="s">
        <v>2705</v>
      </c>
      <c r="AQ941" s="142" t="s">
        <v>2398</v>
      </c>
      <c r="AR941" s="142" t="s">
        <v>2705</v>
      </c>
      <c r="AS941" s="142" t="s">
        <v>2705</v>
      </c>
      <c r="AT941" s="142" t="s">
        <v>2705</v>
      </c>
      <c r="AU941" s="142" t="s">
        <v>2705</v>
      </c>
      <c r="AV941" s="142" t="s">
        <v>2705</v>
      </c>
      <c r="AW941" s="142" t="s">
        <v>2705</v>
      </c>
      <c r="AX941" s="142" t="s">
        <v>2705</v>
      </c>
      <c r="AY941" s="142" t="s">
        <v>2705</v>
      </c>
      <c r="AZ941" s="142" t="s">
        <v>2705</v>
      </c>
    </row>
    <row r="942" spans="1:52" s="142" customFormat="1" ht="12.75" x14ac:dyDescent="0.2">
      <c r="A942" s="151"/>
      <c r="B942" s="152" t="s">
        <v>2675</v>
      </c>
      <c r="C942" s="152" t="s">
        <v>2675</v>
      </c>
      <c r="D942" s="152" t="s">
        <v>2705</v>
      </c>
      <c r="E942" s="152" t="s">
        <v>2705</v>
      </c>
      <c r="F942" s="152" t="s">
        <v>2705</v>
      </c>
      <c r="G942" s="152" t="s">
        <v>2705</v>
      </c>
      <c r="H942" s="152" t="s">
        <v>2397</v>
      </c>
      <c r="I942" s="152" t="s">
        <v>2705</v>
      </c>
      <c r="J942" s="152" t="s">
        <v>2397</v>
      </c>
      <c r="K942" s="152" t="s">
        <v>2705</v>
      </c>
      <c r="L942" s="152" t="s">
        <v>2705</v>
      </c>
      <c r="M942" s="152" t="s">
        <v>2398</v>
      </c>
      <c r="N942" s="152" t="s">
        <v>1435</v>
      </c>
      <c r="O942" s="152" t="s">
        <v>2705</v>
      </c>
      <c r="P942" s="152" t="s">
        <v>1435</v>
      </c>
      <c r="Q942" s="152" t="s">
        <v>2705</v>
      </c>
      <c r="R942" s="152" t="s">
        <v>2398</v>
      </c>
      <c r="S942" s="152" t="s">
        <v>2705</v>
      </c>
      <c r="T942" s="152" t="s">
        <v>2705</v>
      </c>
      <c r="U942" s="152" t="s">
        <v>2398</v>
      </c>
      <c r="V942" s="142" t="str" cm="1">
        <f t="array" ref="V942">IF(A942&lt;&gt;"",SUM(--(B942:U943 = "X")*$U$3,--(B942:U943 ="A")*$Q$3,--(B942:U943 ="B")*$R$3,--(B942:U943 ="C")*$S$3),"")</f>
        <v/>
      </c>
      <c r="AG942" s="142" t="s">
        <v>2675</v>
      </c>
      <c r="AH942" s="142" t="s">
        <v>2675</v>
      </c>
      <c r="AI942" s="142" t="s">
        <v>2705</v>
      </c>
      <c r="AJ942" s="142" t="s">
        <v>2705</v>
      </c>
      <c r="AK942" s="142" t="s">
        <v>2705</v>
      </c>
      <c r="AL942" s="142" t="s">
        <v>2705</v>
      </c>
      <c r="AM942" s="142" t="s">
        <v>2397</v>
      </c>
      <c r="AN942" s="142" t="s">
        <v>2705</v>
      </c>
      <c r="AO942" s="142" t="s">
        <v>2397</v>
      </c>
      <c r="AP942" s="142" t="s">
        <v>2705</v>
      </c>
      <c r="AQ942" s="142" t="s">
        <v>2705</v>
      </c>
      <c r="AR942" s="142" t="s">
        <v>2398</v>
      </c>
      <c r="AS942" s="142" t="s">
        <v>1435</v>
      </c>
      <c r="AT942" s="142" t="s">
        <v>2705</v>
      </c>
      <c r="AU942" s="142" t="s">
        <v>1435</v>
      </c>
      <c r="AV942" s="142" t="s">
        <v>2705</v>
      </c>
      <c r="AW942" s="142" t="s">
        <v>2398</v>
      </c>
      <c r="AX942" s="142" t="s">
        <v>2705</v>
      </c>
      <c r="AY942" s="142" t="s">
        <v>2705</v>
      </c>
      <c r="AZ942" s="142" t="s">
        <v>2398</v>
      </c>
    </row>
    <row r="943" spans="1:52" s="142" customFormat="1" ht="12.75" x14ac:dyDescent="0.2">
      <c r="A943" s="151" t="s">
        <v>7788</v>
      </c>
      <c r="B943" s="152" t="s">
        <v>2398</v>
      </c>
      <c r="C943" s="152" t="s">
        <v>2705</v>
      </c>
      <c r="D943" s="152" t="s">
        <v>2675</v>
      </c>
      <c r="E943" s="152" t="s">
        <v>2705</v>
      </c>
      <c r="F943" s="152" t="s">
        <v>2705</v>
      </c>
      <c r="G943" s="152" t="s">
        <v>2705</v>
      </c>
      <c r="H943" s="152" t="s">
        <v>2398</v>
      </c>
      <c r="I943" s="152" t="s">
        <v>2398</v>
      </c>
      <c r="J943" s="152" t="s">
        <v>2398</v>
      </c>
      <c r="K943" s="152" t="s">
        <v>2398</v>
      </c>
      <c r="L943" s="152" t="s">
        <v>2398</v>
      </c>
      <c r="M943" s="152" t="s">
        <v>2705</v>
      </c>
      <c r="N943" s="152" t="s">
        <v>2705</v>
      </c>
      <c r="O943" s="152" t="s">
        <v>2705</v>
      </c>
      <c r="P943" s="152" t="s">
        <v>2705</v>
      </c>
      <c r="Q943" s="152" t="s">
        <v>2705</v>
      </c>
      <c r="R943" s="152" t="s">
        <v>2705</v>
      </c>
      <c r="S943" s="152" t="s">
        <v>2705</v>
      </c>
      <c r="T943" s="152" t="s">
        <v>2398</v>
      </c>
      <c r="U943" s="152" t="s">
        <v>2398</v>
      </c>
      <c r="V943" s="142" cm="1">
        <f t="array" ref="V943">IF(A943&lt;&gt;"",SUM(--(B943:U944 = "X")*$U$3,--(B943:U944 ="A")*$Q$3,--(B943:U944 ="B")*$R$3,--(B943:U944 ="C")*$S$3),"")</f>
        <v>12</v>
      </c>
      <c r="AF943" s="142" t="s">
        <v>7788</v>
      </c>
      <c r="AG943" s="142" t="s">
        <v>2398</v>
      </c>
      <c r="AH943" s="142" t="s">
        <v>2705</v>
      </c>
      <c r="AI943" s="142" t="s">
        <v>2675</v>
      </c>
      <c r="AJ943" s="142" t="s">
        <v>2705</v>
      </c>
      <c r="AK943" s="142" t="s">
        <v>2705</v>
      </c>
      <c r="AL943" s="142" t="s">
        <v>2705</v>
      </c>
      <c r="AM943" s="142" t="s">
        <v>2398</v>
      </c>
      <c r="AN943" s="142" t="s">
        <v>2398</v>
      </c>
      <c r="AO943" s="142" t="s">
        <v>2398</v>
      </c>
      <c r="AP943" s="142" t="s">
        <v>2398</v>
      </c>
      <c r="AQ943" s="142" t="s">
        <v>2398</v>
      </c>
      <c r="AR943" s="142" t="s">
        <v>2705</v>
      </c>
      <c r="AS943" s="142" t="s">
        <v>2705</v>
      </c>
      <c r="AT943" s="142" t="s">
        <v>2705</v>
      </c>
      <c r="AU943" s="142" t="s">
        <v>2705</v>
      </c>
      <c r="AV943" s="142" t="s">
        <v>2705</v>
      </c>
      <c r="AW943" s="142" t="s">
        <v>2705</v>
      </c>
      <c r="AX943" s="142" t="s">
        <v>2705</v>
      </c>
      <c r="AY943" s="142" t="s">
        <v>2398</v>
      </c>
      <c r="AZ943" s="142" t="s">
        <v>2398</v>
      </c>
    </row>
    <row r="944" spans="1:52" s="142" customFormat="1" ht="12.75" x14ac:dyDescent="0.2">
      <c r="A944" s="151"/>
      <c r="B944" s="152" t="s">
        <v>2398</v>
      </c>
      <c r="C944" s="152" t="s">
        <v>2398</v>
      </c>
      <c r="D944" s="152" t="s">
        <v>1435</v>
      </c>
      <c r="E944" s="152" t="s">
        <v>2675</v>
      </c>
      <c r="F944" s="152" t="s">
        <v>2705</v>
      </c>
      <c r="G944" s="152" t="s">
        <v>2705</v>
      </c>
      <c r="H944" s="152" t="s">
        <v>2705</v>
      </c>
      <c r="I944" s="152" t="s">
        <v>2675</v>
      </c>
      <c r="J944" s="152" t="s">
        <v>2675</v>
      </c>
      <c r="K944" s="152" t="s">
        <v>1435</v>
      </c>
      <c r="L944" s="152" t="s">
        <v>2398</v>
      </c>
      <c r="M944" s="152" t="s">
        <v>2705</v>
      </c>
      <c r="N944" s="152" t="s">
        <v>2675</v>
      </c>
      <c r="O944" s="152" t="s">
        <v>2398</v>
      </c>
      <c r="P944" s="152" t="s">
        <v>2398</v>
      </c>
      <c r="Q944" s="152" t="s">
        <v>2398</v>
      </c>
      <c r="R944" s="152" t="s">
        <v>1435</v>
      </c>
      <c r="S944" s="152" t="s">
        <v>2398</v>
      </c>
      <c r="T944" s="152" t="s">
        <v>2705</v>
      </c>
      <c r="U944" s="152" t="s">
        <v>2398</v>
      </c>
      <c r="V944" s="142" t="str" cm="1">
        <f t="array" ref="V944">IF(A944&lt;&gt;"",SUM(--(B944:U945 = "X")*$U$3,--(B944:U945 ="A")*$Q$3,--(B944:U945 ="B")*$R$3,--(B944:U945 ="C")*$S$3),"")</f>
        <v/>
      </c>
      <c r="AG944" s="142" t="s">
        <v>2398</v>
      </c>
      <c r="AH944" s="142" t="s">
        <v>2398</v>
      </c>
      <c r="AI944" s="142" t="s">
        <v>1435</v>
      </c>
      <c r="AJ944" s="142" t="s">
        <v>2675</v>
      </c>
      <c r="AK944" s="142" t="s">
        <v>2705</v>
      </c>
      <c r="AL944" s="142" t="s">
        <v>2705</v>
      </c>
      <c r="AM944" s="142" t="s">
        <v>2705</v>
      </c>
      <c r="AN944" s="142" t="s">
        <v>2675</v>
      </c>
      <c r="AO944" s="142" t="s">
        <v>2675</v>
      </c>
      <c r="AP944" s="142" t="s">
        <v>1435</v>
      </c>
      <c r="AQ944" s="142" t="s">
        <v>2398</v>
      </c>
      <c r="AR944" s="142" t="s">
        <v>2705</v>
      </c>
      <c r="AS944" s="142" t="s">
        <v>2675</v>
      </c>
      <c r="AT944" s="142" t="s">
        <v>2398</v>
      </c>
      <c r="AU944" s="142" t="s">
        <v>2398</v>
      </c>
      <c r="AV944" s="142" t="s">
        <v>2398</v>
      </c>
      <c r="AW944" s="142" t="s">
        <v>1435</v>
      </c>
      <c r="AX944" s="142" t="s">
        <v>2398</v>
      </c>
      <c r="AY944" s="142" t="s">
        <v>2705</v>
      </c>
      <c r="AZ944" s="142" t="s">
        <v>2398</v>
      </c>
    </row>
    <row r="945" spans="1:52" s="142" customFormat="1" ht="12.75" x14ac:dyDescent="0.2">
      <c r="A945" s="151" t="s">
        <v>7789</v>
      </c>
      <c r="B945" s="152" t="s">
        <v>2705</v>
      </c>
      <c r="C945" s="152" t="s">
        <v>1435</v>
      </c>
      <c r="D945" s="152" t="s">
        <v>2398</v>
      </c>
      <c r="E945" s="152" t="s">
        <v>2398</v>
      </c>
      <c r="F945" s="152" t="s">
        <v>2705</v>
      </c>
      <c r="G945" s="152" t="s">
        <v>2705</v>
      </c>
      <c r="H945" s="152" t="s">
        <v>2705</v>
      </c>
      <c r="I945" s="152" t="s">
        <v>2398</v>
      </c>
      <c r="J945" s="152" t="s">
        <v>2705</v>
      </c>
      <c r="K945" s="152" t="s">
        <v>2705</v>
      </c>
      <c r="L945" s="152" t="s">
        <v>1435</v>
      </c>
      <c r="M945" s="152" t="s">
        <v>2705</v>
      </c>
      <c r="N945" s="152" t="s">
        <v>2705</v>
      </c>
      <c r="O945" s="152" t="s">
        <v>2705</v>
      </c>
      <c r="P945" s="152" t="s">
        <v>2705</v>
      </c>
      <c r="Q945" s="152" t="s">
        <v>2705</v>
      </c>
      <c r="R945" s="152" t="s">
        <v>2705</v>
      </c>
      <c r="S945" s="152" t="s">
        <v>2705</v>
      </c>
      <c r="T945" s="152" t="s">
        <v>1435</v>
      </c>
      <c r="U945" s="152" t="s">
        <v>2705</v>
      </c>
      <c r="V945" s="142" cm="1">
        <f t="array" ref="V945">IF(A945&lt;&gt;"",SUM(--(B945:U946 = "X")*$U$3,--(B945:U946 ="A")*$Q$3,--(B945:U946 ="B")*$R$3,--(B945:U946 ="C")*$S$3),"")</f>
        <v>27</v>
      </c>
      <c r="AF945" s="142" t="s">
        <v>7789</v>
      </c>
      <c r="AG945" s="142" t="s">
        <v>2705</v>
      </c>
      <c r="AH945" s="142" t="s">
        <v>1435</v>
      </c>
      <c r="AI945" s="142" t="s">
        <v>2398</v>
      </c>
      <c r="AJ945" s="142" t="s">
        <v>2398</v>
      </c>
      <c r="AK945" s="142" t="s">
        <v>2705</v>
      </c>
      <c r="AL945" s="142" t="s">
        <v>2705</v>
      </c>
      <c r="AM945" s="142" t="s">
        <v>2705</v>
      </c>
      <c r="AN945" s="142" t="s">
        <v>2398</v>
      </c>
      <c r="AO945" s="142" t="s">
        <v>2705</v>
      </c>
      <c r="AP945" s="142" t="s">
        <v>2705</v>
      </c>
      <c r="AQ945" s="142" t="s">
        <v>1435</v>
      </c>
      <c r="AR945" s="142" t="s">
        <v>2705</v>
      </c>
      <c r="AS945" s="142" t="s">
        <v>2705</v>
      </c>
      <c r="AT945" s="142" t="s">
        <v>2705</v>
      </c>
      <c r="AU945" s="142" t="s">
        <v>2705</v>
      </c>
      <c r="AV945" s="142" t="s">
        <v>2705</v>
      </c>
      <c r="AW945" s="142" t="s">
        <v>2705</v>
      </c>
      <c r="AX945" s="142" t="s">
        <v>2705</v>
      </c>
      <c r="AY945" s="142" t="s">
        <v>1435</v>
      </c>
      <c r="AZ945" s="142" t="s">
        <v>2705</v>
      </c>
    </row>
    <row r="946" spans="1:52" s="142" customFormat="1" ht="12.75" x14ac:dyDescent="0.2">
      <c r="A946" s="151"/>
      <c r="B946" s="152" t="s">
        <v>2398</v>
      </c>
      <c r="C946" s="152" t="s">
        <v>2398</v>
      </c>
      <c r="D946" s="152" t="s">
        <v>2705</v>
      </c>
      <c r="E946" s="152" t="s">
        <v>2705</v>
      </c>
      <c r="F946" s="152" t="s">
        <v>2705</v>
      </c>
      <c r="G946" s="152" t="s">
        <v>2705</v>
      </c>
      <c r="H946" s="152" t="s">
        <v>2398</v>
      </c>
      <c r="I946" s="152" t="s">
        <v>2705</v>
      </c>
      <c r="J946" s="152" t="s">
        <v>2705</v>
      </c>
      <c r="K946" s="152" t="s">
        <v>2705</v>
      </c>
      <c r="L946" s="152" t="s">
        <v>2705</v>
      </c>
      <c r="M946" s="152" t="s">
        <v>2705</v>
      </c>
      <c r="N946" s="152" t="s">
        <v>2705</v>
      </c>
      <c r="O946" s="152" t="s">
        <v>2705</v>
      </c>
      <c r="P946" s="152" t="s">
        <v>2675</v>
      </c>
      <c r="Q946" s="152" t="s">
        <v>2705</v>
      </c>
      <c r="R946" s="152" t="s">
        <v>2705</v>
      </c>
      <c r="S946" s="152" t="s">
        <v>2705</v>
      </c>
      <c r="T946" s="152" t="s">
        <v>2705</v>
      </c>
      <c r="U946" s="152" t="s">
        <v>2398</v>
      </c>
      <c r="V946" s="142" t="str" cm="1">
        <f t="array" ref="V946">IF(A946&lt;&gt;"",SUM(--(B946:U947 = "X")*$U$3,--(B946:U947 ="A")*$Q$3,--(B946:U947 ="B")*$R$3,--(B946:U947 ="C")*$S$3),"")</f>
        <v/>
      </c>
      <c r="AG946" s="142" t="s">
        <v>2398</v>
      </c>
      <c r="AH946" s="142" t="s">
        <v>2398</v>
      </c>
      <c r="AI946" s="142" t="s">
        <v>2705</v>
      </c>
      <c r="AJ946" s="142" t="s">
        <v>2705</v>
      </c>
      <c r="AK946" s="142" t="s">
        <v>2705</v>
      </c>
      <c r="AL946" s="142" t="s">
        <v>2705</v>
      </c>
      <c r="AM946" s="142" t="s">
        <v>2398</v>
      </c>
      <c r="AN946" s="142" t="s">
        <v>2705</v>
      </c>
      <c r="AO946" s="142" t="s">
        <v>2705</v>
      </c>
      <c r="AP946" s="142" t="s">
        <v>2705</v>
      </c>
      <c r="AQ946" s="142" t="s">
        <v>2705</v>
      </c>
      <c r="AR946" s="142" t="s">
        <v>2705</v>
      </c>
      <c r="AS946" s="142" t="s">
        <v>2705</v>
      </c>
      <c r="AT946" s="142" t="s">
        <v>2705</v>
      </c>
      <c r="AU946" s="142" t="s">
        <v>2675</v>
      </c>
      <c r="AV946" s="142" t="s">
        <v>2705</v>
      </c>
      <c r="AW946" s="142" t="s">
        <v>2705</v>
      </c>
      <c r="AX946" s="142" t="s">
        <v>2705</v>
      </c>
      <c r="AY946" s="142" t="s">
        <v>2705</v>
      </c>
      <c r="AZ946" s="142" t="s">
        <v>2398</v>
      </c>
    </row>
    <row r="947" spans="1:52" s="142" customFormat="1" ht="12.75" x14ac:dyDescent="0.2">
      <c r="A947" s="151" t="s">
        <v>7790</v>
      </c>
      <c r="B947" s="152" t="s">
        <v>2398</v>
      </c>
      <c r="C947" s="152" t="s">
        <v>2398</v>
      </c>
      <c r="D947" s="152" t="s">
        <v>2398</v>
      </c>
      <c r="E947" s="152" t="s">
        <v>2705</v>
      </c>
      <c r="F947" s="152" t="s">
        <v>2705</v>
      </c>
      <c r="G947" s="152" t="s">
        <v>2705</v>
      </c>
      <c r="H947" s="152" t="s">
        <v>1435</v>
      </c>
      <c r="I947" s="152" t="s">
        <v>2398</v>
      </c>
      <c r="J947" s="152" t="s">
        <v>2675</v>
      </c>
      <c r="K947" s="152" t="s">
        <v>2705</v>
      </c>
      <c r="L947" s="152" t="s">
        <v>2398</v>
      </c>
      <c r="M947" s="152" t="s">
        <v>2705</v>
      </c>
      <c r="N947" s="152" t="s">
        <v>2675</v>
      </c>
      <c r="O947" s="152" t="s">
        <v>2705</v>
      </c>
      <c r="P947" s="152" t="s">
        <v>2398</v>
      </c>
      <c r="Q947" s="152" t="s">
        <v>2705</v>
      </c>
      <c r="R947" s="152" t="s">
        <v>2398</v>
      </c>
      <c r="S947" s="152" t="s">
        <v>2705</v>
      </c>
      <c r="T947" s="152" t="s">
        <v>2398</v>
      </c>
      <c r="U947" s="152" t="s">
        <v>2398</v>
      </c>
      <c r="V947" s="142" cm="1">
        <f t="array" ref="V947">IF(A947&lt;&gt;"",SUM(--(B947:U948 = "X")*$U$3,--(B947:U948 ="A")*$Q$3,--(B947:U948 ="B")*$R$3,--(B947:U948 ="C")*$S$3),"")</f>
        <v>15</v>
      </c>
      <c r="AF947" s="142" t="s">
        <v>7790</v>
      </c>
      <c r="AG947" s="142" t="s">
        <v>2398</v>
      </c>
      <c r="AH947" s="142" t="s">
        <v>2398</v>
      </c>
      <c r="AI947" s="142" t="s">
        <v>2398</v>
      </c>
      <c r="AJ947" s="142" t="s">
        <v>2705</v>
      </c>
      <c r="AK947" s="142" t="s">
        <v>2705</v>
      </c>
      <c r="AL947" s="142" t="s">
        <v>2705</v>
      </c>
      <c r="AM947" s="142" t="s">
        <v>1435</v>
      </c>
      <c r="AN947" s="142" t="s">
        <v>2398</v>
      </c>
      <c r="AO947" s="142" t="s">
        <v>2675</v>
      </c>
      <c r="AP947" s="142" t="s">
        <v>2705</v>
      </c>
      <c r="AQ947" s="142" t="s">
        <v>2398</v>
      </c>
      <c r="AR947" s="142" t="s">
        <v>2705</v>
      </c>
      <c r="AS947" s="142" t="s">
        <v>2675</v>
      </c>
      <c r="AT947" s="142" t="s">
        <v>2705</v>
      </c>
      <c r="AU947" s="142" t="s">
        <v>2398</v>
      </c>
      <c r="AV947" s="142" t="s">
        <v>2705</v>
      </c>
      <c r="AW947" s="142" t="s">
        <v>2398</v>
      </c>
      <c r="AX947" s="142" t="s">
        <v>2705</v>
      </c>
      <c r="AY947" s="142" t="s">
        <v>2398</v>
      </c>
      <c r="AZ947" s="142" t="s">
        <v>2398</v>
      </c>
    </row>
    <row r="948" spans="1:52" s="142" customFormat="1" ht="12.75" x14ac:dyDescent="0.2">
      <c r="A948" s="151"/>
      <c r="B948" s="152" t="s">
        <v>2675</v>
      </c>
      <c r="C948" s="152" t="s">
        <v>2398</v>
      </c>
      <c r="D948" s="152" t="s">
        <v>2398</v>
      </c>
      <c r="E948" s="152" t="s">
        <v>2675</v>
      </c>
      <c r="F948" s="152" t="s">
        <v>2705</v>
      </c>
      <c r="G948" s="152" t="s">
        <v>2398</v>
      </c>
      <c r="H948" s="152" t="s">
        <v>2705</v>
      </c>
      <c r="I948" s="152" t="s">
        <v>2705</v>
      </c>
      <c r="J948" s="152" t="s">
        <v>2705</v>
      </c>
      <c r="K948" s="152" t="s">
        <v>2705</v>
      </c>
      <c r="L948" s="152" t="s">
        <v>2705</v>
      </c>
      <c r="M948" s="152" t="s">
        <v>2398</v>
      </c>
      <c r="N948" s="152" t="s">
        <v>2705</v>
      </c>
      <c r="O948" s="152" t="s">
        <v>2705</v>
      </c>
      <c r="P948" s="152" t="s">
        <v>2398</v>
      </c>
      <c r="Q948" s="152" t="s">
        <v>1435</v>
      </c>
      <c r="R948" s="152" t="s">
        <v>2705</v>
      </c>
      <c r="S948" s="152" t="s">
        <v>2705</v>
      </c>
      <c r="T948" s="152" t="s">
        <v>2398</v>
      </c>
      <c r="U948" s="152" t="s">
        <v>2398</v>
      </c>
      <c r="V948" s="142" t="str" cm="1">
        <f t="array" ref="V948">IF(A948&lt;&gt;"",SUM(--(B948:U949 = "X")*$U$3,--(B948:U949 ="A")*$Q$3,--(B948:U949 ="B")*$R$3,--(B948:U949 ="C")*$S$3),"")</f>
        <v/>
      </c>
      <c r="AG948" s="142" t="s">
        <v>2675</v>
      </c>
      <c r="AH948" s="142" t="s">
        <v>2398</v>
      </c>
      <c r="AI948" s="142" t="s">
        <v>2398</v>
      </c>
      <c r="AJ948" s="142" t="s">
        <v>2675</v>
      </c>
      <c r="AK948" s="142" t="s">
        <v>2705</v>
      </c>
      <c r="AL948" s="142" t="s">
        <v>2398</v>
      </c>
      <c r="AM948" s="142" t="s">
        <v>2705</v>
      </c>
      <c r="AN948" s="142" t="s">
        <v>2705</v>
      </c>
      <c r="AO948" s="142" t="s">
        <v>2705</v>
      </c>
      <c r="AP948" s="142" t="s">
        <v>2705</v>
      </c>
      <c r="AQ948" s="142" t="s">
        <v>2705</v>
      </c>
      <c r="AR948" s="142" t="s">
        <v>2398</v>
      </c>
      <c r="AS948" s="142" t="s">
        <v>2705</v>
      </c>
      <c r="AT948" s="142" t="s">
        <v>2705</v>
      </c>
      <c r="AU948" s="142" t="s">
        <v>2398</v>
      </c>
      <c r="AV948" s="142" t="s">
        <v>1435</v>
      </c>
      <c r="AW948" s="142" t="s">
        <v>2705</v>
      </c>
      <c r="AX948" s="142" t="s">
        <v>2705</v>
      </c>
      <c r="AY948" s="142" t="s">
        <v>2398</v>
      </c>
      <c r="AZ948" s="142" t="s">
        <v>2398</v>
      </c>
    </row>
    <row r="949" spans="1:52" s="142" customFormat="1" ht="12.75" x14ac:dyDescent="0.2">
      <c r="A949" s="151" t="s">
        <v>7791</v>
      </c>
      <c r="B949" s="152" t="s">
        <v>2705</v>
      </c>
      <c r="C949" s="152" t="s">
        <v>2398</v>
      </c>
      <c r="D949" s="152" t="s">
        <v>2705</v>
      </c>
      <c r="E949" s="152" t="s">
        <v>2705</v>
      </c>
      <c r="F949" s="152" t="s">
        <v>2705</v>
      </c>
      <c r="G949" s="152" t="s">
        <v>2705</v>
      </c>
      <c r="H949" s="152" t="s">
        <v>2705</v>
      </c>
      <c r="I949" s="152" t="s">
        <v>2398</v>
      </c>
      <c r="J949" s="152" t="s">
        <v>2398</v>
      </c>
      <c r="K949" s="152" t="s">
        <v>2398</v>
      </c>
      <c r="L949" s="152" t="s">
        <v>2705</v>
      </c>
      <c r="M949" s="152" t="s">
        <v>2705</v>
      </c>
      <c r="N949" s="152" t="s">
        <v>2398</v>
      </c>
      <c r="O949" s="152" t="s">
        <v>2398</v>
      </c>
      <c r="P949" s="152" t="s">
        <v>2705</v>
      </c>
      <c r="Q949" s="152" t="s">
        <v>1435</v>
      </c>
      <c r="R949" s="152" t="s">
        <v>2398</v>
      </c>
      <c r="S949" s="152" t="s">
        <v>2705</v>
      </c>
      <c r="T949" s="152" t="s">
        <v>2705</v>
      </c>
      <c r="U949" s="152" t="s">
        <v>2398</v>
      </c>
      <c r="V949" s="142" cm="1">
        <f t="array" ref="V949">IF(A949&lt;&gt;"",SUM(--(B949:U950 = "X")*$U$3,--(B949:U950 ="A")*$Q$3,--(B949:U950 ="B")*$R$3,--(B949:U950 ="C")*$S$3),"")</f>
        <v>26</v>
      </c>
      <c r="AF949" s="142" t="s">
        <v>7791</v>
      </c>
      <c r="AG949" s="142" t="s">
        <v>2705</v>
      </c>
      <c r="AH949" s="142" t="s">
        <v>2398</v>
      </c>
      <c r="AI949" s="142" t="s">
        <v>2705</v>
      </c>
      <c r="AJ949" s="142" t="s">
        <v>2705</v>
      </c>
      <c r="AK949" s="142" t="s">
        <v>2705</v>
      </c>
      <c r="AL949" s="142" t="s">
        <v>2705</v>
      </c>
      <c r="AM949" s="142" t="s">
        <v>2705</v>
      </c>
      <c r="AN949" s="142" t="s">
        <v>2398</v>
      </c>
      <c r="AO949" s="142" t="s">
        <v>2398</v>
      </c>
      <c r="AP949" s="142" t="s">
        <v>2398</v>
      </c>
      <c r="AQ949" s="142" t="s">
        <v>2705</v>
      </c>
      <c r="AR949" s="142" t="s">
        <v>2705</v>
      </c>
      <c r="AS949" s="142" t="s">
        <v>2398</v>
      </c>
      <c r="AT949" s="142" t="s">
        <v>2398</v>
      </c>
      <c r="AU949" s="142" t="s">
        <v>2705</v>
      </c>
      <c r="AV949" s="142" t="s">
        <v>1435</v>
      </c>
      <c r="AW949" s="142" t="s">
        <v>2398</v>
      </c>
      <c r="AX949" s="142" t="s">
        <v>2705</v>
      </c>
      <c r="AY949" s="142" t="s">
        <v>2705</v>
      </c>
      <c r="AZ949" s="142" t="s">
        <v>2398</v>
      </c>
    </row>
    <row r="950" spans="1:52" s="142" customFormat="1" ht="12.75" x14ac:dyDescent="0.2">
      <c r="A950" s="151"/>
      <c r="B950" s="152" t="s">
        <v>2705</v>
      </c>
      <c r="C950" s="152" t="s">
        <v>2705</v>
      </c>
      <c r="D950" s="152" t="s">
        <v>2705</v>
      </c>
      <c r="E950" s="152" t="s">
        <v>2705</v>
      </c>
      <c r="F950" s="152" t="s">
        <v>2705</v>
      </c>
      <c r="G950" s="152" t="s">
        <v>2675</v>
      </c>
      <c r="H950" s="152" t="s">
        <v>2398</v>
      </c>
      <c r="I950" s="152" t="s">
        <v>2705</v>
      </c>
      <c r="J950" s="152" t="s">
        <v>2705</v>
      </c>
      <c r="K950" s="152" t="s">
        <v>2398</v>
      </c>
      <c r="L950" s="152" t="s">
        <v>2705</v>
      </c>
      <c r="M950" s="152" t="s">
        <v>2398</v>
      </c>
      <c r="N950" s="152" t="s">
        <v>2705</v>
      </c>
      <c r="O950" s="152" t="s">
        <v>2705</v>
      </c>
      <c r="P950" s="152" t="s">
        <v>2705</v>
      </c>
      <c r="Q950" s="152" t="s">
        <v>2705</v>
      </c>
      <c r="R950" s="152" t="s">
        <v>2705</v>
      </c>
      <c r="S950" s="152" t="s">
        <v>2705</v>
      </c>
      <c r="T950" s="152" t="s">
        <v>2705</v>
      </c>
      <c r="U950" s="152" t="s">
        <v>2705</v>
      </c>
      <c r="V950" s="142" t="str" cm="1">
        <f t="array" ref="V950">IF(A950&lt;&gt;"",SUM(--(B950:U951 = "X")*$U$3,--(B950:U951 ="A")*$Q$3,--(B950:U951 ="B")*$R$3,--(B950:U951 ="C")*$S$3),"")</f>
        <v/>
      </c>
      <c r="AG950" s="142" t="s">
        <v>2705</v>
      </c>
      <c r="AH950" s="142" t="s">
        <v>2705</v>
      </c>
      <c r="AI950" s="142" t="s">
        <v>2705</v>
      </c>
      <c r="AJ950" s="142" t="s">
        <v>2705</v>
      </c>
      <c r="AK950" s="142" t="s">
        <v>2705</v>
      </c>
      <c r="AL950" s="142" t="s">
        <v>2675</v>
      </c>
      <c r="AM950" s="142" t="s">
        <v>2398</v>
      </c>
      <c r="AN950" s="142" t="s">
        <v>2705</v>
      </c>
      <c r="AO950" s="142" t="s">
        <v>2705</v>
      </c>
      <c r="AP950" s="142" t="s">
        <v>2398</v>
      </c>
      <c r="AQ950" s="142" t="s">
        <v>2705</v>
      </c>
      <c r="AR950" s="142" t="s">
        <v>2398</v>
      </c>
      <c r="AS950" s="142" t="s">
        <v>2705</v>
      </c>
      <c r="AT950" s="142" t="s">
        <v>2705</v>
      </c>
      <c r="AU950" s="142" t="s">
        <v>2705</v>
      </c>
      <c r="AV950" s="142" t="s">
        <v>2705</v>
      </c>
      <c r="AW950" s="142" t="s">
        <v>2705</v>
      </c>
      <c r="AX950" s="142" t="s">
        <v>2705</v>
      </c>
      <c r="AY950" s="142" t="s">
        <v>2705</v>
      </c>
      <c r="AZ950" s="142" t="s">
        <v>2705</v>
      </c>
    </row>
    <row r="951" spans="1:52" s="142" customFormat="1" ht="12.75" x14ac:dyDescent="0.2">
      <c r="A951" s="151" t="s">
        <v>7792</v>
      </c>
      <c r="B951" s="152" t="s">
        <v>2705</v>
      </c>
      <c r="C951" s="152" t="s">
        <v>2398</v>
      </c>
      <c r="D951" s="152" t="s">
        <v>2675</v>
      </c>
      <c r="E951" s="152" t="s">
        <v>2705</v>
      </c>
      <c r="F951" s="152" t="s">
        <v>2398</v>
      </c>
      <c r="G951" s="152" t="s">
        <v>2398</v>
      </c>
      <c r="H951" s="152" t="s">
        <v>2675</v>
      </c>
      <c r="I951" s="152" t="s">
        <v>2398</v>
      </c>
      <c r="J951" s="152" t="s">
        <v>2398</v>
      </c>
      <c r="K951" s="152" t="s">
        <v>2398</v>
      </c>
      <c r="L951" s="152" t="s">
        <v>2675</v>
      </c>
      <c r="M951" s="152" t="s">
        <v>2398</v>
      </c>
      <c r="N951" s="152" t="s">
        <v>2398</v>
      </c>
      <c r="O951" s="152" t="s">
        <v>2705</v>
      </c>
      <c r="P951" s="152" t="s">
        <v>2398</v>
      </c>
      <c r="Q951" s="152" t="s">
        <v>1435</v>
      </c>
      <c r="R951" s="152" t="s">
        <v>2398</v>
      </c>
      <c r="S951" s="152" t="s">
        <v>2675</v>
      </c>
      <c r="T951" s="152" t="s">
        <v>1435</v>
      </c>
      <c r="U951" s="152" t="s">
        <v>2398</v>
      </c>
      <c r="V951" s="142" cm="1">
        <f t="array" ref="V951">IF(A951&lt;&gt;"",SUM(--(B951:U952 = "X")*$U$3,--(B951:U952 ="A")*$Q$3,--(B951:U952 ="B")*$R$3,--(B951:U952 ="C")*$S$3),"")</f>
        <v>8</v>
      </c>
      <c r="AF951" s="142" t="s">
        <v>7792</v>
      </c>
      <c r="AG951" s="142" t="s">
        <v>2705</v>
      </c>
      <c r="AH951" s="142" t="s">
        <v>2398</v>
      </c>
      <c r="AI951" s="142" t="s">
        <v>2675</v>
      </c>
      <c r="AJ951" s="142" t="s">
        <v>2705</v>
      </c>
      <c r="AK951" s="142" t="s">
        <v>2398</v>
      </c>
      <c r="AL951" s="142" t="s">
        <v>2398</v>
      </c>
      <c r="AM951" s="142" t="s">
        <v>2675</v>
      </c>
      <c r="AN951" s="142" t="s">
        <v>2398</v>
      </c>
      <c r="AO951" s="142" t="s">
        <v>2398</v>
      </c>
      <c r="AP951" s="142" t="s">
        <v>2398</v>
      </c>
      <c r="AQ951" s="142" t="s">
        <v>2675</v>
      </c>
      <c r="AR951" s="142" t="s">
        <v>2398</v>
      </c>
      <c r="AS951" s="142" t="s">
        <v>2398</v>
      </c>
      <c r="AT951" s="142" t="s">
        <v>2705</v>
      </c>
      <c r="AU951" s="142" t="s">
        <v>2398</v>
      </c>
      <c r="AV951" s="142" t="s">
        <v>1435</v>
      </c>
      <c r="AW951" s="142" t="s">
        <v>2398</v>
      </c>
      <c r="AX951" s="142" t="s">
        <v>2675</v>
      </c>
      <c r="AY951" s="142" t="s">
        <v>1435</v>
      </c>
      <c r="AZ951" s="142" t="s">
        <v>2398</v>
      </c>
    </row>
    <row r="952" spans="1:52" s="142" customFormat="1" ht="12.75" x14ac:dyDescent="0.2">
      <c r="A952" s="151"/>
      <c r="B952" s="152" t="s">
        <v>1435</v>
      </c>
      <c r="C952" s="152" t="s">
        <v>2398</v>
      </c>
      <c r="D952" s="152" t="s">
        <v>2705</v>
      </c>
      <c r="E952" s="152" t="s">
        <v>2675</v>
      </c>
      <c r="F952" s="152" t="s">
        <v>2398</v>
      </c>
      <c r="G952" s="152" t="s">
        <v>2398</v>
      </c>
      <c r="H952" s="152" t="s">
        <v>2705</v>
      </c>
      <c r="I952" s="152" t="s">
        <v>2398</v>
      </c>
      <c r="J952" s="152" t="s">
        <v>2705</v>
      </c>
      <c r="K952" s="152" t="s">
        <v>2705</v>
      </c>
      <c r="L952" s="152" t="s">
        <v>2398</v>
      </c>
      <c r="M952" s="152" t="s">
        <v>2398</v>
      </c>
      <c r="N952" s="152" t="s">
        <v>2705</v>
      </c>
      <c r="O952" s="152" t="s">
        <v>2705</v>
      </c>
      <c r="P952" s="152" t="s">
        <v>2398</v>
      </c>
      <c r="Q952" s="152" t="s">
        <v>2398</v>
      </c>
      <c r="R952" s="152" t="s">
        <v>2398</v>
      </c>
      <c r="S952" s="152" t="s">
        <v>2705</v>
      </c>
      <c r="T952" s="152" t="s">
        <v>2705</v>
      </c>
      <c r="U952" s="152" t="s">
        <v>2705</v>
      </c>
      <c r="V952" s="142" t="str" cm="1">
        <f t="array" ref="V952">IF(A952&lt;&gt;"",SUM(--(B952:U953 = "X")*$U$3,--(B952:U953 ="A")*$Q$3,--(B952:U953 ="B")*$R$3,--(B952:U953 ="C")*$S$3),"")</f>
        <v/>
      </c>
      <c r="AG952" s="142" t="s">
        <v>1435</v>
      </c>
      <c r="AH952" s="142" t="s">
        <v>2398</v>
      </c>
      <c r="AI952" s="142" t="s">
        <v>2705</v>
      </c>
      <c r="AJ952" s="142" t="s">
        <v>2675</v>
      </c>
      <c r="AK952" s="142" t="s">
        <v>2398</v>
      </c>
      <c r="AL952" s="142" t="s">
        <v>2398</v>
      </c>
      <c r="AM952" s="142" t="s">
        <v>2705</v>
      </c>
      <c r="AN952" s="142" t="s">
        <v>2398</v>
      </c>
      <c r="AO952" s="142" t="s">
        <v>2705</v>
      </c>
      <c r="AP952" s="142" t="s">
        <v>2705</v>
      </c>
      <c r="AQ952" s="142" t="s">
        <v>2398</v>
      </c>
      <c r="AR952" s="142" t="s">
        <v>2398</v>
      </c>
      <c r="AS952" s="142" t="s">
        <v>2705</v>
      </c>
      <c r="AT952" s="142" t="s">
        <v>2705</v>
      </c>
      <c r="AU952" s="142" t="s">
        <v>2398</v>
      </c>
      <c r="AV952" s="142" t="s">
        <v>2398</v>
      </c>
      <c r="AW952" s="142" t="s">
        <v>2398</v>
      </c>
      <c r="AX952" s="142" t="s">
        <v>2705</v>
      </c>
      <c r="AY952" s="142" t="s">
        <v>2705</v>
      </c>
      <c r="AZ952" s="142" t="s">
        <v>2705</v>
      </c>
    </row>
    <row r="953" spans="1:52" s="142" customFormat="1" ht="12.75" x14ac:dyDescent="0.2">
      <c r="A953" s="151" t="s">
        <v>7793</v>
      </c>
      <c r="B953" s="152" t="s">
        <v>2705</v>
      </c>
      <c r="C953" s="152" t="s">
        <v>2705</v>
      </c>
      <c r="D953" s="152" t="s">
        <v>2705</v>
      </c>
      <c r="E953" s="152" t="s">
        <v>2705</v>
      </c>
      <c r="F953" s="152" t="s">
        <v>2705</v>
      </c>
      <c r="G953" s="152" t="s">
        <v>2705</v>
      </c>
      <c r="H953" s="152" t="s">
        <v>2705</v>
      </c>
      <c r="I953" s="152" t="s">
        <v>2398</v>
      </c>
      <c r="J953" s="152" t="s">
        <v>2705</v>
      </c>
      <c r="K953" s="152" t="s">
        <v>2705</v>
      </c>
      <c r="L953" s="152" t="s">
        <v>2705</v>
      </c>
      <c r="M953" s="152" t="s">
        <v>2398</v>
      </c>
      <c r="N953" s="152" t="s">
        <v>2705</v>
      </c>
      <c r="O953" s="152" t="s">
        <v>2398</v>
      </c>
      <c r="P953" s="152" t="s">
        <v>2398</v>
      </c>
      <c r="Q953" s="152" t="s">
        <v>2675</v>
      </c>
      <c r="R953" s="152" t="s">
        <v>2398</v>
      </c>
      <c r="S953" s="152" t="s">
        <v>2398</v>
      </c>
      <c r="T953" s="152" t="s">
        <v>2398</v>
      </c>
      <c r="U953" s="152" t="s">
        <v>2705</v>
      </c>
      <c r="V953" s="142" cm="1">
        <f t="array" ref="V953">IF(A953&lt;&gt;"",SUM(--(B953:U954 = "X")*$U$3,--(B953:U954 ="A")*$Q$3,--(B953:U954 ="B")*$R$3,--(B953:U954 ="C")*$S$3),"")</f>
        <v>23</v>
      </c>
      <c r="AF953" s="142" t="s">
        <v>7793</v>
      </c>
      <c r="AG953" s="142" t="s">
        <v>2705</v>
      </c>
      <c r="AH953" s="142" t="s">
        <v>2705</v>
      </c>
      <c r="AI953" s="142" t="s">
        <v>2705</v>
      </c>
      <c r="AJ953" s="142" t="s">
        <v>2705</v>
      </c>
      <c r="AK953" s="142" t="s">
        <v>2705</v>
      </c>
      <c r="AL953" s="142" t="s">
        <v>2705</v>
      </c>
      <c r="AM953" s="142" t="s">
        <v>2705</v>
      </c>
      <c r="AN953" s="142" t="s">
        <v>2398</v>
      </c>
      <c r="AO953" s="142" t="s">
        <v>2705</v>
      </c>
      <c r="AP953" s="142" t="s">
        <v>2705</v>
      </c>
      <c r="AQ953" s="142" t="s">
        <v>2705</v>
      </c>
      <c r="AR953" s="142" t="s">
        <v>2398</v>
      </c>
      <c r="AS953" s="142" t="s">
        <v>2705</v>
      </c>
      <c r="AT953" s="142" t="s">
        <v>2398</v>
      </c>
      <c r="AU953" s="142" t="s">
        <v>2398</v>
      </c>
      <c r="AV953" s="142" t="s">
        <v>2675</v>
      </c>
      <c r="AW953" s="142" t="s">
        <v>2398</v>
      </c>
      <c r="AX953" s="142" t="s">
        <v>2398</v>
      </c>
      <c r="AY953" s="142" t="s">
        <v>2398</v>
      </c>
      <c r="AZ953" s="142" t="s">
        <v>2705</v>
      </c>
    </row>
    <row r="954" spans="1:52" s="142" customFormat="1" ht="12.75" x14ac:dyDescent="0.2">
      <c r="A954" s="151"/>
      <c r="B954" s="152" t="s">
        <v>2705</v>
      </c>
      <c r="C954" s="152" t="s">
        <v>2705</v>
      </c>
      <c r="D954" s="152" t="s">
        <v>2705</v>
      </c>
      <c r="E954" s="152" t="s">
        <v>2705</v>
      </c>
      <c r="F954" s="152" t="s">
        <v>2705</v>
      </c>
      <c r="G954" s="152" t="s">
        <v>1435</v>
      </c>
      <c r="H954" s="152" t="s">
        <v>2398</v>
      </c>
      <c r="I954" s="152" t="s">
        <v>2705</v>
      </c>
      <c r="J954" s="152" t="s">
        <v>2705</v>
      </c>
      <c r="K954" s="152" t="s">
        <v>1435</v>
      </c>
      <c r="L954" s="152" t="s">
        <v>2398</v>
      </c>
      <c r="M954" s="152" t="s">
        <v>2705</v>
      </c>
      <c r="N954" s="152" t="s">
        <v>2398</v>
      </c>
      <c r="O954" s="152" t="s">
        <v>2705</v>
      </c>
      <c r="P954" s="152" t="s">
        <v>2705</v>
      </c>
      <c r="Q954" s="152" t="s">
        <v>2705</v>
      </c>
      <c r="R954" s="152" t="s">
        <v>1435</v>
      </c>
      <c r="S954" s="152" t="s">
        <v>2397</v>
      </c>
      <c r="T954" s="152" t="s">
        <v>2705</v>
      </c>
      <c r="U954" s="152" t="s">
        <v>2705</v>
      </c>
      <c r="V954" s="142" t="str" cm="1">
        <f t="array" ref="V954">IF(A954&lt;&gt;"",SUM(--(B954:U955 = "X")*$U$3,--(B954:U955 ="A")*$Q$3,--(B954:U955 ="B")*$R$3,--(B954:U955 ="C")*$S$3),"")</f>
        <v/>
      </c>
      <c r="AG954" s="142" t="s">
        <v>2705</v>
      </c>
      <c r="AH954" s="142" t="s">
        <v>2705</v>
      </c>
      <c r="AI954" s="142" t="s">
        <v>2705</v>
      </c>
      <c r="AJ954" s="142" t="s">
        <v>2705</v>
      </c>
      <c r="AK954" s="142" t="s">
        <v>2705</v>
      </c>
      <c r="AL954" s="142" t="s">
        <v>1435</v>
      </c>
      <c r="AM954" s="142" t="s">
        <v>2398</v>
      </c>
      <c r="AN954" s="142" t="s">
        <v>2705</v>
      </c>
      <c r="AO954" s="142" t="s">
        <v>2705</v>
      </c>
      <c r="AP954" s="142" t="s">
        <v>1435</v>
      </c>
      <c r="AQ954" s="142" t="s">
        <v>2398</v>
      </c>
      <c r="AR954" s="142" t="s">
        <v>2705</v>
      </c>
      <c r="AS954" s="142" t="s">
        <v>2398</v>
      </c>
      <c r="AT954" s="142" t="s">
        <v>2705</v>
      </c>
      <c r="AU954" s="142" t="s">
        <v>2705</v>
      </c>
      <c r="AV954" s="142" t="s">
        <v>2705</v>
      </c>
      <c r="AW954" s="142" t="s">
        <v>1435</v>
      </c>
      <c r="AX954" s="142" t="s">
        <v>2397</v>
      </c>
      <c r="AY954" s="142" t="s">
        <v>2705</v>
      </c>
      <c r="AZ954" s="142" t="s">
        <v>2705</v>
      </c>
    </row>
    <row r="955" spans="1:52" s="142" customFormat="1" ht="12.75" x14ac:dyDescent="0.2">
      <c r="A955" s="151" t="s">
        <v>7794</v>
      </c>
      <c r="B955" s="152" t="s">
        <v>2398</v>
      </c>
      <c r="C955" s="152" t="s">
        <v>2705</v>
      </c>
      <c r="D955" s="152" t="s">
        <v>2397</v>
      </c>
      <c r="E955" s="152" t="s">
        <v>2398</v>
      </c>
      <c r="F955" s="152" t="s">
        <v>2705</v>
      </c>
      <c r="G955" s="152" t="s">
        <v>2705</v>
      </c>
      <c r="H955" s="152" t="s">
        <v>2705</v>
      </c>
      <c r="I955" s="152" t="s">
        <v>2675</v>
      </c>
      <c r="J955" s="152" t="s">
        <v>2398</v>
      </c>
      <c r="K955" s="152" t="s">
        <v>2398</v>
      </c>
      <c r="L955" s="152" t="s">
        <v>2705</v>
      </c>
      <c r="M955" s="152" t="s">
        <v>2705</v>
      </c>
      <c r="N955" s="152" t="s">
        <v>2398</v>
      </c>
      <c r="O955" s="152" t="s">
        <v>2705</v>
      </c>
      <c r="P955" s="152" t="s">
        <v>2705</v>
      </c>
      <c r="Q955" s="152" t="s">
        <v>2705</v>
      </c>
      <c r="R955" s="152" t="s">
        <v>2398</v>
      </c>
      <c r="S955" s="152" t="s">
        <v>2705</v>
      </c>
      <c r="T955" s="152" t="s">
        <v>2705</v>
      </c>
      <c r="U955" s="152" t="s">
        <v>2705</v>
      </c>
      <c r="V955" s="142" cm="1">
        <f t="array" ref="V955">IF(A955&lt;&gt;"",SUM(--(B955:U956 = "X")*$U$3,--(B955:U956 ="A")*$Q$3,--(B955:U956 ="B")*$R$3,--(B955:U956 ="C")*$S$3),"")</f>
        <v>22</v>
      </c>
      <c r="AF955" s="142" t="s">
        <v>7794</v>
      </c>
      <c r="AG955" s="142" t="s">
        <v>2398</v>
      </c>
      <c r="AH955" s="142" t="s">
        <v>2705</v>
      </c>
      <c r="AI955" s="142" t="s">
        <v>2397</v>
      </c>
      <c r="AJ955" s="142" t="s">
        <v>2398</v>
      </c>
      <c r="AK955" s="142" t="s">
        <v>2705</v>
      </c>
      <c r="AL955" s="142" t="s">
        <v>2705</v>
      </c>
      <c r="AM955" s="142" t="s">
        <v>2705</v>
      </c>
      <c r="AN955" s="142" t="s">
        <v>2675</v>
      </c>
      <c r="AO955" s="142" t="s">
        <v>2398</v>
      </c>
      <c r="AP955" s="142" t="s">
        <v>2398</v>
      </c>
      <c r="AQ955" s="142" t="s">
        <v>2705</v>
      </c>
      <c r="AR955" s="142" t="s">
        <v>2705</v>
      </c>
      <c r="AS955" s="142" t="s">
        <v>2398</v>
      </c>
      <c r="AT955" s="142" t="s">
        <v>2705</v>
      </c>
      <c r="AU955" s="142" t="s">
        <v>2705</v>
      </c>
      <c r="AV955" s="142" t="s">
        <v>2705</v>
      </c>
      <c r="AW955" s="142" t="s">
        <v>2398</v>
      </c>
      <c r="AX955" s="142" t="s">
        <v>2705</v>
      </c>
      <c r="AY955" s="142" t="s">
        <v>2705</v>
      </c>
      <c r="AZ955" s="142" t="s">
        <v>2705</v>
      </c>
    </row>
    <row r="956" spans="1:52" s="142" customFormat="1" ht="12.75" x14ac:dyDescent="0.2">
      <c r="A956" s="151"/>
      <c r="B956" s="152" t="s">
        <v>2398</v>
      </c>
      <c r="C956" s="152" t="s">
        <v>2398</v>
      </c>
      <c r="D956" s="152" t="s">
        <v>2398</v>
      </c>
      <c r="E956" s="152" t="s">
        <v>2398</v>
      </c>
      <c r="F956" s="152" t="s">
        <v>2705</v>
      </c>
      <c r="G956" s="152" t="s">
        <v>2398</v>
      </c>
      <c r="H956" s="152" t="s">
        <v>2398</v>
      </c>
      <c r="I956" s="152" t="s">
        <v>2705</v>
      </c>
      <c r="J956" s="152" t="s">
        <v>2705</v>
      </c>
      <c r="K956" s="152" t="s">
        <v>2398</v>
      </c>
      <c r="L956" s="152" t="s">
        <v>2705</v>
      </c>
      <c r="M956" s="152" t="s">
        <v>2705</v>
      </c>
      <c r="N956" s="152" t="s">
        <v>2705</v>
      </c>
      <c r="O956" s="152" t="s">
        <v>2705</v>
      </c>
      <c r="P956" s="152" t="s">
        <v>1435</v>
      </c>
      <c r="Q956" s="152" t="s">
        <v>2398</v>
      </c>
      <c r="R956" s="152" t="s">
        <v>2705</v>
      </c>
      <c r="S956" s="152" t="s">
        <v>2705</v>
      </c>
      <c r="T956" s="152" t="s">
        <v>2705</v>
      </c>
      <c r="U956" s="152" t="s">
        <v>2705</v>
      </c>
      <c r="V956" s="142" t="str" cm="1">
        <f t="array" ref="V956">IF(A956&lt;&gt;"",SUM(--(B956:U957 = "X")*$U$3,--(B956:U957 ="A")*$Q$3,--(B956:U957 ="B")*$R$3,--(B956:U957 ="C")*$S$3),"")</f>
        <v/>
      </c>
      <c r="AG956" s="142" t="s">
        <v>2398</v>
      </c>
      <c r="AH956" s="142" t="s">
        <v>2398</v>
      </c>
      <c r="AI956" s="142" t="s">
        <v>2398</v>
      </c>
      <c r="AJ956" s="142" t="s">
        <v>2398</v>
      </c>
      <c r="AK956" s="142" t="s">
        <v>2705</v>
      </c>
      <c r="AL956" s="142" t="s">
        <v>2398</v>
      </c>
      <c r="AM956" s="142" t="s">
        <v>2398</v>
      </c>
      <c r="AN956" s="142" t="s">
        <v>2705</v>
      </c>
      <c r="AO956" s="142" t="s">
        <v>2705</v>
      </c>
      <c r="AP956" s="142" t="s">
        <v>2398</v>
      </c>
      <c r="AQ956" s="142" t="s">
        <v>2705</v>
      </c>
      <c r="AR956" s="142" t="s">
        <v>2705</v>
      </c>
      <c r="AS956" s="142" t="s">
        <v>2705</v>
      </c>
      <c r="AT956" s="142" t="s">
        <v>2705</v>
      </c>
      <c r="AU956" s="142" t="s">
        <v>1435</v>
      </c>
      <c r="AV956" s="142" t="s">
        <v>2398</v>
      </c>
      <c r="AW956" s="142" t="s">
        <v>2705</v>
      </c>
      <c r="AX956" s="142" t="s">
        <v>2705</v>
      </c>
      <c r="AY956" s="142" t="s">
        <v>2705</v>
      </c>
      <c r="AZ956" s="142" t="s">
        <v>2705</v>
      </c>
    </row>
    <row r="957" spans="1:52" s="142" customFormat="1" ht="12.75" x14ac:dyDescent="0.2">
      <c r="A957" s="151" t="s">
        <v>7795</v>
      </c>
      <c r="B957" s="152" t="s">
        <v>2705</v>
      </c>
      <c r="C957" s="152" t="s">
        <v>2705</v>
      </c>
      <c r="D957" s="152" t="s">
        <v>2705</v>
      </c>
      <c r="E957" s="152" t="s">
        <v>2397</v>
      </c>
      <c r="F957" s="152" t="s">
        <v>2705</v>
      </c>
      <c r="G957" s="152" t="s">
        <v>2398</v>
      </c>
      <c r="H957" s="152" t="s">
        <v>2705</v>
      </c>
      <c r="I957" s="152" t="s">
        <v>2398</v>
      </c>
      <c r="J957" s="152" t="s">
        <v>2705</v>
      </c>
      <c r="K957" s="152" t="s">
        <v>2705</v>
      </c>
      <c r="L957" s="152" t="s">
        <v>2705</v>
      </c>
      <c r="M957" s="152" t="s">
        <v>2398</v>
      </c>
      <c r="N957" s="152" t="s">
        <v>2705</v>
      </c>
      <c r="O957" s="152" t="s">
        <v>2705</v>
      </c>
      <c r="P957" s="152" t="s">
        <v>2398</v>
      </c>
      <c r="Q957" s="152" t="s">
        <v>2705</v>
      </c>
      <c r="R957" s="152" t="s">
        <v>2705</v>
      </c>
      <c r="S957" s="152" t="s">
        <v>2397</v>
      </c>
      <c r="T957" s="152" t="s">
        <v>2705</v>
      </c>
      <c r="U957" s="152" t="s">
        <v>2705</v>
      </c>
      <c r="V957" s="142" cm="1">
        <f t="array" ref="V957">IF(A957&lt;&gt;"",SUM(--(B957:U958 = "X")*$U$3,--(B957:U958 ="A")*$Q$3,--(B957:U958 ="B")*$R$3,--(B957:U958 ="C")*$S$3),"")</f>
        <v>28</v>
      </c>
      <c r="AF957" s="142" t="s">
        <v>7795</v>
      </c>
      <c r="AG957" s="142" t="s">
        <v>2705</v>
      </c>
      <c r="AH957" s="142" t="s">
        <v>2705</v>
      </c>
      <c r="AI957" s="142" t="s">
        <v>2705</v>
      </c>
      <c r="AJ957" s="142" t="s">
        <v>2397</v>
      </c>
      <c r="AK957" s="142" t="s">
        <v>2705</v>
      </c>
      <c r="AL957" s="142" t="s">
        <v>2398</v>
      </c>
      <c r="AM957" s="142" t="s">
        <v>2705</v>
      </c>
      <c r="AN957" s="142" t="s">
        <v>2398</v>
      </c>
      <c r="AO957" s="142" t="s">
        <v>2705</v>
      </c>
      <c r="AP957" s="142" t="s">
        <v>2705</v>
      </c>
      <c r="AQ957" s="142" t="s">
        <v>2705</v>
      </c>
      <c r="AR957" s="142" t="s">
        <v>2398</v>
      </c>
      <c r="AS957" s="142" t="s">
        <v>2705</v>
      </c>
      <c r="AT957" s="142" t="s">
        <v>2705</v>
      </c>
      <c r="AU957" s="142" t="s">
        <v>2398</v>
      </c>
      <c r="AV957" s="142" t="s">
        <v>2705</v>
      </c>
      <c r="AW957" s="142" t="s">
        <v>2705</v>
      </c>
      <c r="AX957" s="142" t="s">
        <v>2397</v>
      </c>
      <c r="AY957" s="142" t="s">
        <v>2705</v>
      </c>
      <c r="AZ957" s="142" t="s">
        <v>2705</v>
      </c>
    </row>
    <row r="958" spans="1:52" s="142" customFormat="1" ht="12.75" x14ac:dyDescent="0.2">
      <c r="A958" s="151"/>
      <c r="B958" s="152" t="s">
        <v>2705</v>
      </c>
      <c r="C958" s="152" t="s">
        <v>2705</v>
      </c>
      <c r="D958" s="152" t="s">
        <v>2705</v>
      </c>
      <c r="E958" s="152" t="s">
        <v>2705</v>
      </c>
      <c r="F958" s="152" t="s">
        <v>2397</v>
      </c>
      <c r="G958" s="152" t="s">
        <v>2705</v>
      </c>
      <c r="H958" s="152" t="s">
        <v>2705</v>
      </c>
      <c r="I958" s="152" t="s">
        <v>2397</v>
      </c>
      <c r="J958" s="152" t="s">
        <v>2705</v>
      </c>
      <c r="K958" s="152" t="s">
        <v>2705</v>
      </c>
      <c r="L958" s="152" t="s">
        <v>2398</v>
      </c>
      <c r="M958" s="152" t="s">
        <v>2705</v>
      </c>
      <c r="N958" s="152" t="s">
        <v>2705</v>
      </c>
      <c r="O958" s="152" t="s">
        <v>2705</v>
      </c>
      <c r="P958" s="152" t="s">
        <v>2398</v>
      </c>
      <c r="Q958" s="152" t="s">
        <v>2705</v>
      </c>
      <c r="R958" s="152" t="s">
        <v>2398</v>
      </c>
      <c r="S958" s="152" t="s">
        <v>2398</v>
      </c>
      <c r="T958" s="152" t="s">
        <v>2705</v>
      </c>
      <c r="U958" s="152" t="s">
        <v>2705</v>
      </c>
      <c r="V958" s="142" t="str" cm="1">
        <f t="array" ref="V958">IF(A958&lt;&gt;"",SUM(--(B958:U959 = "X")*$U$3,--(B958:U959 ="A")*$Q$3,--(B958:U959 ="B")*$R$3,--(B958:U959 ="C")*$S$3),"")</f>
        <v/>
      </c>
      <c r="AG958" s="142" t="s">
        <v>2705</v>
      </c>
      <c r="AH958" s="142" t="s">
        <v>2705</v>
      </c>
      <c r="AI958" s="142" t="s">
        <v>2705</v>
      </c>
      <c r="AJ958" s="142" t="s">
        <v>2705</v>
      </c>
      <c r="AK958" s="142" t="s">
        <v>2397</v>
      </c>
      <c r="AL958" s="142" t="s">
        <v>2705</v>
      </c>
      <c r="AM958" s="142" t="s">
        <v>2705</v>
      </c>
      <c r="AN958" s="142" t="s">
        <v>2397</v>
      </c>
      <c r="AO958" s="142" t="s">
        <v>2705</v>
      </c>
      <c r="AP958" s="142" t="s">
        <v>2705</v>
      </c>
      <c r="AQ958" s="142" t="s">
        <v>2398</v>
      </c>
      <c r="AR958" s="142" t="s">
        <v>2705</v>
      </c>
      <c r="AS958" s="142" t="s">
        <v>2705</v>
      </c>
      <c r="AT958" s="142" t="s">
        <v>2705</v>
      </c>
      <c r="AU958" s="142" t="s">
        <v>2398</v>
      </c>
      <c r="AV958" s="142" t="s">
        <v>2705</v>
      </c>
      <c r="AW958" s="142" t="s">
        <v>2398</v>
      </c>
      <c r="AX958" s="142" t="s">
        <v>2398</v>
      </c>
      <c r="AY958" s="142" t="s">
        <v>2705</v>
      </c>
      <c r="AZ958" s="142" t="s">
        <v>2705</v>
      </c>
    </row>
    <row r="959" spans="1:52" s="142" customFormat="1" ht="12.75" x14ac:dyDescent="0.2">
      <c r="A959" s="151" t="s">
        <v>7796</v>
      </c>
      <c r="B959" s="152" t="s">
        <v>2398</v>
      </c>
      <c r="C959" s="152" t="s">
        <v>2705</v>
      </c>
      <c r="D959" s="152" t="s">
        <v>2398</v>
      </c>
      <c r="E959" s="152" t="s">
        <v>1435</v>
      </c>
      <c r="F959" s="152" t="s">
        <v>2705</v>
      </c>
      <c r="G959" s="152" t="s">
        <v>2705</v>
      </c>
      <c r="H959" s="152" t="s">
        <v>2705</v>
      </c>
      <c r="I959" s="152" t="s">
        <v>2705</v>
      </c>
      <c r="J959" s="152" t="s">
        <v>2398</v>
      </c>
      <c r="K959" s="152" t="s">
        <v>2705</v>
      </c>
      <c r="L959" s="152" t="s">
        <v>2705</v>
      </c>
      <c r="M959" s="152" t="s">
        <v>2398</v>
      </c>
      <c r="N959" s="152" t="s">
        <v>2705</v>
      </c>
      <c r="O959" s="152" t="s">
        <v>2705</v>
      </c>
      <c r="P959" s="152" t="s">
        <v>2705</v>
      </c>
      <c r="Q959" s="152" t="s">
        <v>2705</v>
      </c>
      <c r="R959" s="152" t="s">
        <v>2705</v>
      </c>
      <c r="S959" s="152" t="s">
        <v>2705</v>
      </c>
      <c r="T959" s="152" t="s">
        <v>2705</v>
      </c>
      <c r="U959" s="152" t="s">
        <v>2705</v>
      </c>
      <c r="V959" s="142" cm="1">
        <f t="array" ref="V959">IF(A959&lt;&gt;"",SUM(--(B959:U960 = "X")*$U$3,--(B959:U960 ="A")*$Q$3,--(B959:U960 ="B")*$R$3,--(B959:U960 ="C")*$S$3),"")</f>
        <v>27.5</v>
      </c>
      <c r="AF959" s="142" t="s">
        <v>7796</v>
      </c>
      <c r="AG959" s="142" t="s">
        <v>2398</v>
      </c>
      <c r="AH959" s="142" t="s">
        <v>2705</v>
      </c>
      <c r="AI959" s="142" t="s">
        <v>2398</v>
      </c>
      <c r="AJ959" s="142" t="s">
        <v>1435</v>
      </c>
      <c r="AK959" s="142" t="s">
        <v>2705</v>
      </c>
      <c r="AL959" s="142" t="s">
        <v>2705</v>
      </c>
      <c r="AM959" s="142" t="s">
        <v>2705</v>
      </c>
      <c r="AN959" s="142" t="s">
        <v>2705</v>
      </c>
      <c r="AO959" s="142" t="s">
        <v>2398</v>
      </c>
      <c r="AP959" s="142" t="s">
        <v>2705</v>
      </c>
      <c r="AQ959" s="142" t="s">
        <v>2705</v>
      </c>
      <c r="AR959" s="142" t="s">
        <v>2398</v>
      </c>
      <c r="AS959" s="142" t="s">
        <v>2705</v>
      </c>
      <c r="AT959" s="142" t="s">
        <v>2705</v>
      </c>
      <c r="AU959" s="142" t="s">
        <v>2705</v>
      </c>
      <c r="AV959" s="142" t="s">
        <v>2705</v>
      </c>
      <c r="AW959" s="142" t="s">
        <v>2705</v>
      </c>
      <c r="AX959" s="142" t="s">
        <v>2705</v>
      </c>
      <c r="AY959" s="142" t="s">
        <v>2705</v>
      </c>
      <c r="AZ959" s="142" t="s">
        <v>2705</v>
      </c>
    </row>
    <row r="960" spans="1:52" s="142" customFormat="1" ht="12.75" x14ac:dyDescent="0.2">
      <c r="A960" s="151"/>
      <c r="B960" s="152" t="s">
        <v>2705</v>
      </c>
      <c r="C960" s="152" t="s">
        <v>2398</v>
      </c>
      <c r="D960" s="152" t="s">
        <v>2398</v>
      </c>
      <c r="E960" s="152" t="s">
        <v>2705</v>
      </c>
      <c r="F960" s="152" t="s">
        <v>2705</v>
      </c>
      <c r="G960" s="152" t="s">
        <v>2705</v>
      </c>
      <c r="H960" s="152" t="s">
        <v>2705</v>
      </c>
      <c r="I960" s="152" t="s">
        <v>2705</v>
      </c>
      <c r="J960" s="152" t="s">
        <v>2705</v>
      </c>
      <c r="K960" s="152" t="s">
        <v>2705</v>
      </c>
      <c r="L960" s="152" t="s">
        <v>2398</v>
      </c>
      <c r="M960" s="152" t="s">
        <v>2398</v>
      </c>
      <c r="N960" s="152" t="s">
        <v>2705</v>
      </c>
      <c r="O960" s="152" t="s">
        <v>2398</v>
      </c>
      <c r="P960" s="152" t="s">
        <v>2398</v>
      </c>
      <c r="Q960" s="152" t="s">
        <v>2705</v>
      </c>
      <c r="R960" s="152" t="s">
        <v>2398</v>
      </c>
      <c r="S960" s="152" t="s">
        <v>2705</v>
      </c>
      <c r="T960" s="152" t="s">
        <v>2705</v>
      </c>
      <c r="U960" s="152" t="s">
        <v>2705</v>
      </c>
      <c r="V960" s="142" t="str" cm="1">
        <f t="array" ref="V960">IF(A960&lt;&gt;"",SUM(--(B960:U961 = "X")*$U$3,--(B960:U961 ="A")*$Q$3,--(B960:U961 ="B")*$R$3,--(B960:U961 ="C")*$S$3),"")</f>
        <v/>
      </c>
      <c r="AG960" s="142" t="s">
        <v>2705</v>
      </c>
      <c r="AH960" s="142" t="s">
        <v>2398</v>
      </c>
      <c r="AI960" s="142" t="s">
        <v>2398</v>
      </c>
      <c r="AJ960" s="142" t="s">
        <v>2705</v>
      </c>
      <c r="AK960" s="142" t="s">
        <v>2705</v>
      </c>
      <c r="AL960" s="142" t="s">
        <v>2705</v>
      </c>
      <c r="AM960" s="142" t="s">
        <v>2705</v>
      </c>
      <c r="AN960" s="142" t="s">
        <v>2705</v>
      </c>
      <c r="AO960" s="142" t="s">
        <v>2705</v>
      </c>
      <c r="AP960" s="142" t="s">
        <v>2705</v>
      </c>
      <c r="AQ960" s="142" t="s">
        <v>2398</v>
      </c>
      <c r="AR960" s="142" t="s">
        <v>2398</v>
      </c>
      <c r="AS960" s="142" t="s">
        <v>2705</v>
      </c>
      <c r="AT960" s="142" t="s">
        <v>2398</v>
      </c>
      <c r="AU960" s="142" t="s">
        <v>2398</v>
      </c>
      <c r="AV960" s="142" t="s">
        <v>2705</v>
      </c>
      <c r="AW960" s="142" t="s">
        <v>2398</v>
      </c>
      <c r="AX960" s="142" t="s">
        <v>2705</v>
      </c>
      <c r="AY960" s="142" t="s">
        <v>2705</v>
      </c>
      <c r="AZ960" s="142" t="s">
        <v>2705</v>
      </c>
    </row>
    <row r="961" spans="1:52" s="142" customFormat="1" ht="12.75" x14ac:dyDescent="0.2">
      <c r="A961" s="151" t="s">
        <v>7797</v>
      </c>
      <c r="B961" s="152" t="s">
        <v>2398</v>
      </c>
      <c r="C961" s="152" t="s">
        <v>2705</v>
      </c>
      <c r="D961" s="152" t="s">
        <v>2397</v>
      </c>
      <c r="E961" s="152" t="s">
        <v>2398</v>
      </c>
      <c r="F961" s="152" t="s">
        <v>2398</v>
      </c>
      <c r="G961" s="152" t="s">
        <v>2705</v>
      </c>
      <c r="H961" s="152" t="s">
        <v>2705</v>
      </c>
      <c r="I961" s="152" t="s">
        <v>2398</v>
      </c>
      <c r="J961" s="152" t="s">
        <v>2398</v>
      </c>
      <c r="K961" s="152" t="s">
        <v>2705</v>
      </c>
      <c r="L961" s="152" t="s">
        <v>2705</v>
      </c>
      <c r="M961" s="152" t="s">
        <v>1435</v>
      </c>
      <c r="N961" s="152" t="s">
        <v>2705</v>
      </c>
      <c r="O961" s="152" t="s">
        <v>2675</v>
      </c>
      <c r="P961" s="152" t="s">
        <v>2705</v>
      </c>
      <c r="Q961" s="152" t="s">
        <v>2705</v>
      </c>
      <c r="R961" s="152" t="s">
        <v>2398</v>
      </c>
      <c r="S961" s="152" t="s">
        <v>2705</v>
      </c>
      <c r="T961" s="152" t="s">
        <v>2705</v>
      </c>
      <c r="U961" s="152" t="s">
        <v>2675</v>
      </c>
      <c r="V961" s="142" cm="1">
        <f t="array" ref="V961">IF(A961&lt;&gt;"",SUM(--(B961:U962 = "X")*$U$3,--(B961:U962 ="A")*$Q$3,--(B961:U962 ="B")*$R$3,--(B961:U962 ="C")*$S$3),"")</f>
        <v>17</v>
      </c>
      <c r="AF961" s="142" t="s">
        <v>7797</v>
      </c>
      <c r="AG961" s="142" t="s">
        <v>2398</v>
      </c>
      <c r="AH961" s="142" t="s">
        <v>2705</v>
      </c>
      <c r="AI961" s="142" t="s">
        <v>2397</v>
      </c>
      <c r="AJ961" s="142" t="s">
        <v>2398</v>
      </c>
      <c r="AK961" s="142" t="s">
        <v>2398</v>
      </c>
      <c r="AL961" s="142" t="s">
        <v>2705</v>
      </c>
      <c r="AM961" s="142" t="s">
        <v>2705</v>
      </c>
      <c r="AN961" s="142" t="s">
        <v>2398</v>
      </c>
      <c r="AO961" s="142" t="s">
        <v>2398</v>
      </c>
      <c r="AP961" s="142" t="s">
        <v>2705</v>
      </c>
      <c r="AQ961" s="142" t="s">
        <v>2705</v>
      </c>
      <c r="AR961" s="142" t="s">
        <v>1435</v>
      </c>
      <c r="AS961" s="142" t="s">
        <v>2705</v>
      </c>
      <c r="AT961" s="142" t="s">
        <v>2675</v>
      </c>
      <c r="AU961" s="142" t="s">
        <v>2705</v>
      </c>
      <c r="AV961" s="142" t="s">
        <v>2705</v>
      </c>
      <c r="AW961" s="142" t="s">
        <v>2398</v>
      </c>
      <c r="AX961" s="142" t="s">
        <v>2705</v>
      </c>
      <c r="AY961" s="142" t="s">
        <v>2705</v>
      </c>
      <c r="AZ961" s="142" t="s">
        <v>2675</v>
      </c>
    </row>
    <row r="962" spans="1:52" s="142" customFormat="1" ht="12.75" x14ac:dyDescent="0.2">
      <c r="A962" s="151"/>
      <c r="B962" s="152" t="s">
        <v>2398</v>
      </c>
      <c r="C962" s="152" t="s">
        <v>2398</v>
      </c>
      <c r="D962" s="152" t="s">
        <v>2705</v>
      </c>
      <c r="E962" s="152" t="s">
        <v>2705</v>
      </c>
      <c r="F962" s="152" t="s">
        <v>2705</v>
      </c>
      <c r="G962" s="152" t="s">
        <v>2675</v>
      </c>
      <c r="H962" s="152" t="s">
        <v>2397</v>
      </c>
      <c r="I962" s="152" t="s">
        <v>2705</v>
      </c>
      <c r="J962" s="152" t="s">
        <v>2705</v>
      </c>
      <c r="K962" s="152" t="s">
        <v>2398</v>
      </c>
      <c r="L962" s="152" t="s">
        <v>2705</v>
      </c>
      <c r="M962" s="152" t="s">
        <v>2705</v>
      </c>
      <c r="N962" s="152" t="s">
        <v>2705</v>
      </c>
      <c r="O962" s="152" t="s">
        <v>2398</v>
      </c>
      <c r="P962" s="152" t="s">
        <v>2398</v>
      </c>
      <c r="Q962" s="152" t="s">
        <v>2398</v>
      </c>
      <c r="R962" s="152" t="s">
        <v>2398</v>
      </c>
      <c r="S962" s="152" t="s">
        <v>2705</v>
      </c>
      <c r="T962" s="152" t="s">
        <v>2397</v>
      </c>
      <c r="U962" s="152" t="s">
        <v>2398</v>
      </c>
      <c r="V962" s="142" t="str" cm="1">
        <f t="array" ref="V962">IF(A962&lt;&gt;"",SUM(--(B962:U963 = "X")*$U$3,--(B962:U963 ="A")*$Q$3,--(B962:U963 ="B")*$R$3,--(B962:U963 ="C")*$S$3),"")</f>
        <v/>
      </c>
      <c r="AG962" s="142" t="s">
        <v>2398</v>
      </c>
      <c r="AH962" s="142" t="s">
        <v>2398</v>
      </c>
      <c r="AI962" s="142" t="s">
        <v>2705</v>
      </c>
      <c r="AJ962" s="142" t="s">
        <v>2705</v>
      </c>
      <c r="AK962" s="142" t="s">
        <v>2705</v>
      </c>
      <c r="AL962" s="142" t="s">
        <v>2675</v>
      </c>
      <c r="AM962" s="142" t="s">
        <v>2397</v>
      </c>
      <c r="AN962" s="142" t="s">
        <v>2705</v>
      </c>
      <c r="AO962" s="142" t="s">
        <v>2705</v>
      </c>
      <c r="AP962" s="142" t="s">
        <v>2398</v>
      </c>
      <c r="AQ962" s="142" t="s">
        <v>2705</v>
      </c>
      <c r="AR962" s="142" t="s">
        <v>2705</v>
      </c>
      <c r="AS962" s="142" t="s">
        <v>2705</v>
      </c>
      <c r="AT962" s="142" t="s">
        <v>2398</v>
      </c>
      <c r="AU962" s="142" t="s">
        <v>2398</v>
      </c>
      <c r="AV962" s="142" t="s">
        <v>2398</v>
      </c>
      <c r="AW962" s="142" t="s">
        <v>2398</v>
      </c>
      <c r="AX962" s="142" t="s">
        <v>2705</v>
      </c>
      <c r="AY962" s="142" t="s">
        <v>2397</v>
      </c>
      <c r="AZ962" s="142" t="s">
        <v>2398</v>
      </c>
    </row>
    <row r="963" spans="1:52" s="142" customFormat="1" ht="12.75" x14ac:dyDescent="0.2">
      <c r="A963" s="151" t="s">
        <v>7798</v>
      </c>
      <c r="B963" s="152" t="s">
        <v>2705</v>
      </c>
      <c r="C963" s="152" t="s">
        <v>2705</v>
      </c>
      <c r="D963" s="152" t="s">
        <v>2398</v>
      </c>
      <c r="E963" s="152" t="s">
        <v>2705</v>
      </c>
      <c r="F963" s="152" t="s">
        <v>2705</v>
      </c>
      <c r="G963" s="152" t="s">
        <v>2705</v>
      </c>
      <c r="H963" s="152" t="s">
        <v>2398</v>
      </c>
      <c r="I963" s="152" t="s">
        <v>2398</v>
      </c>
      <c r="J963" s="152" t="s">
        <v>2705</v>
      </c>
      <c r="K963" s="152" t="s">
        <v>2705</v>
      </c>
      <c r="L963" s="152" t="s">
        <v>2705</v>
      </c>
      <c r="M963" s="152" t="s">
        <v>2398</v>
      </c>
      <c r="N963" s="152" t="s">
        <v>2705</v>
      </c>
      <c r="O963" s="152" t="s">
        <v>2398</v>
      </c>
      <c r="P963" s="152" t="s">
        <v>2398</v>
      </c>
      <c r="Q963" s="152" t="s">
        <v>2398</v>
      </c>
      <c r="R963" s="152" t="s">
        <v>2705</v>
      </c>
      <c r="S963" s="152" t="s">
        <v>2398</v>
      </c>
      <c r="T963" s="152" t="s">
        <v>2705</v>
      </c>
      <c r="U963" s="152" t="s">
        <v>2398</v>
      </c>
      <c r="V963" s="142" cm="1">
        <f t="array" ref="V963">IF(A963&lt;&gt;"",SUM(--(B963:U964 = "X")*$U$3,--(B963:U964 ="A")*$Q$3,--(B963:U964 ="B")*$R$3,--(B963:U964 ="C")*$S$3),"")</f>
        <v>20</v>
      </c>
      <c r="AF963" s="142" t="s">
        <v>7798</v>
      </c>
      <c r="AG963" s="142" t="s">
        <v>2705</v>
      </c>
      <c r="AH963" s="142" t="s">
        <v>2705</v>
      </c>
      <c r="AI963" s="142" t="s">
        <v>2398</v>
      </c>
      <c r="AJ963" s="142" t="s">
        <v>2705</v>
      </c>
      <c r="AK963" s="142" t="s">
        <v>2705</v>
      </c>
      <c r="AL963" s="142" t="s">
        <v>2705</v>
      </c>
      <c r="AM963" s="142" t="s">
        <v>2398</v>
      </c>
      <c r="AN963" s="142" t="s">
        <v>2398</v>
      </c>
      <c r="AO963" s="142" t="s">
        <v>2705</v>
      </c>
      <c r="AP963" s="142" t="s">
        <v>2705</v>
      </c>
      <c r="AQ963" s="142" t="s">
        <v>2705</v>
      </c>
      <c r="AR963" s="142" t="s">
        <v>2398</v>
      </c>
      <c r="AS963" s="142" t="s">
        <v>2705</v>
      </c>
      <c r="AT963" s="142" t="s">
        <v>2398</v>
      </c>
      <c r="AU963" s="142" t="s">
        <v>2398</v>
      </c>
      <c r="AV963" s="142" t="s">
        <v>2398</v>
      </c>
      <c r="AW963" s="142" t="s">
        <v>2705</v>
      </c>
      <c r="AX963" s="142" t="s">
        <v>2398</v>
      </c>
      <c r="AY963" s="142" t="s">
        <v>2705</v>
      </c>
      <c r="AZ963" s="142" t="s">
        <v>2398</v>
      </c>
    </row>
    <row r="964" spans="1:52" s="142" customFormat="1" ht="12.75" x14ac:dyDescent="0.2">
      <c r="A964" s="151"/>
      <c r="B964" s="152" t="s">
        <v>2705</v>
      </c>
      <c r="C964" s="152" t="s">
        <v>2398</v>
      </c>
      <c r="D964" s="152" t="s">
        <v>2705</v>
      </c>
      <c r="E964" s="152" t="s">
        <v>2705</v>
      </c>
      <c r="F964" s="152" t="s">
        <v>2675</v>
      </c>
      <c r="G964" s="152" t="s">
        <v>2705</v>
      </c>
      <c r="H964" s="152" t="s">
        <v>2398</v>
      </c>
      <c r="I964" s="152" t="s">
        <v>2705</v>
      </c>
      <c r="J964" s="152" t="s">
        <v>2398</v>
      </c>
      <c r="K964" s="152" t="s">
        <v>2705</v>
      </c>
      <c r="L964" s="152" t="s">
        <v>2398</v>
      </c>
      <c r="M964" s="152" t="s">
        <v>2705</v>
      </c>
      <c r="N964" s="152" t="s">
        <v>2705</v>
      </c>
      <c r="O964" s="152" t="s">
        <v>2705</v>
      </c>
      <c r="P964" s="152" t="s">
        <v>2398</v>
      </c>
      <c r="Q964" s="152" t="s">
        <v>2705</v>
      </c>
      <c r="R964" s="152" t="s">
        <v>1435</v>
      </c>
      <c r="S964" s="152" t="s">
        <v>2398</v>
      </c>
      <c r="T964" s="152" t="s">
        <v>2398</v>
      </c>
      <c r="U964" s="152" t="s">
        <v>2398</v>
      </c>
      <c r="V964" s="142" t="str" cm="1">
        <f t="array" ref="V964">IF(A964&lt;&gt;"",SUM(--(B964:U965 = "X")*$U$3,--(B964:U965 ="A")*$Q$3,--(B964:U965 ="B")*$R$3,--(B964:U965 ="C")*$S$3),"")</f>
        <v/>
      </c>
      <c r="AG964" s="142" t="s">
        <v>2705</v>
      </c>
      <c r="AH964" s="142" t="s">
        <v>2398</v>
      </c>
      <c r="AI964" s="142" t="s">
        <v>2705</v>
      </c>
      <c r="AJ964" s="142" t="s">
        <v>2705</v>
      </c>
      <c r="AK964" s="142" t="s">
        <v>2675</v>
      </c>
      <c r="AL964" s="142" t="s">
        <v>2705</v>
      </c>
      <c r="AM964" s="142" t="s">
        <v>2398</v>
      </c>
      <c r="AN964" s="142" t="s">
        <v>2705</v>
      </c>
      <c r="AO964" s="142" t="s">
        <v>2398</v>
      </c>
      <c r="AP964" s="142" t="s">
        <v>2705</v>
      </c>
      <c r="AQ964" s="142" t="s">
        <v>2398</v>
      </c>
      <c r="AR964" s="142" t="s">
        <v>2705</v>
      </c>
      <c r="AS964" s="142" t="s">
        <v>2705</v>
      </c>
      <c r="AT964" s="142" t="s">
        <v>2705</v>
      </c>
      <c r="AU964" s="142" t="s">
        <v>2398</v>
      </c>
      <c r="AV964" s="142" t="s">
        <v>2705</v>
      </c>
      <c r="AW964" s="142" t="s">
        <v>1435</v>
      </c>
      <c r="AX964" s="142" t="s">
        <v>2398</v>
      </c>
      <c r="AY964" s="142" t="s">
        <v>2398</v>
      </c>
      <c r="AZ964" s="142" t="s">
        <v>2398</v>
      </c>
    </row>
    <row r="965" spans="1:52" s="142" customFormat="1" ht="12.75" x14ac:dyDescent="0.2">
      <c r="A965" s="151" t="s">
        <v>7799</v>
      </c>
      <c r="B965" s="152" t="s">
        <v>2705</v>
      </c>
      <c r="C965" s="152" t="s">
        <v>2705</v>
      </c>
      <c r="D965" s="152" t="s">
        <v>2398</v>
      </c>
      <c r="E965" s="152" t="s">
        <v>2705</v>
      </c>
      <c r="F965" s="152" t="s">
        <v>2398</v>
      </c>
      <c r="G965" s="152" t="s">
        <v>2705</v>
      </c>
      <c r="H965" s="152" t="s">
        <v>2705</v>
      </c>
      <c r="I965" s="152" t="s">
        <v>2705</v>
      </c>
      <c r="J965" s="152" t="s">
        <v>2398</v>
      </c>
      <c r="K965" s="152" t="s">
        <v>2397</v>
      </c>
      <c r="L965" s="152" t="s">
        <v>2705</v>
      </c>
      <c r="M965" s="152" t="s">
        <v>2398</v>
      </c>
      <c r="N965" s="152" t="s">
        <v>2705</v>
      </c>
      <c r="O965" s="152" t="s">
        <v>2398</v>
      </c>
      <c r="P965" s="152" t="s">
        <v>2705</v>
      </c>
      <c r="Q965" s="152" t="s">
        <v>2675</v>
      </c>
      <c r="R965" s="152" t="s">
        <v>2398</v>
      </c>
      <c r="S965" s="152" t="s">
        <v>2705</v>
      </c>
      <c r="T965" s="152" t="s">
        <v>2398</v>
      </c>
      <c r="U965" s="152" t="s">
        <v>2705</v>
      </c>
      <c r="V965" s="142" cm="1">
        <f t="array" ref="V965">IF(A965&lt;&gt;"",SUM(--(B965:U966 = "X")*$U$3,--(B965:U966 ="A")*$Q$3,--(B965:U966 ="B")*$R$3,--(B965:U966 ="C")*$S$3),"")</f>
        <v>19</v>
      </c>
      <c r="AF965" s="142" t="s">
        <v>7799</v>
      </c>
      <c r="AG965" s="142" t="s">
        <v>2705</v>
      </c>
      <c r="AH965" s="142" t="s">
        <v>2705</v>
      </c>
      <c r="AI965" s="142" t="s">
        <v>2398</v>
      </c>
      <c r="AJ965" s="142" t="s">
        <v>2705</v>
      </c>
      <c r="AK965" s="142" t="s">
        <v>2398</v>
      </c>
      <c r="AL965" s="142" t="s">
        <v>2705</v>
      </c>
      <c r="AM965" s="142" t="s">
        <v>2705</v>
      </c>
      <c r="AN965" s="142" t="s">
        <v>2705</v>
      </c>
      <c r="AO965" s="142" t="s">
        <v>2398</v>
      </c>
      <c r="AP965" s="142" t="s">
        <v>2397</v>
      </c>
      <c r="AQ965" s="142" t="s">
        <v>2705</v>
      </c>
      <c r="AR965" s="142" t="s">
        <v>2398</v>
      </c>
      <c r="AS965" s="142" t="s">
        <v>2705</v>
      </c>
      <c r="AT965" s="142" t="s">
        <v>2398</v>
      </c>
      <c r="AU965" s="142" t="s">
        <v>2705</v>
      </c>
      <c r="AV965" s="142" t="s">
        <v>2675</v>
      </c>
      <c r="AW965" s="142" t="s">
        <v>2398</v>
      </c>
      <c r="AX965" s="142" t="s">
        <v>2705</v>
      </c>
      <c r="AY965" s="142" t="s">
        <v>2398</v>
      </c>
      <c r="AZ965" s="142" t="s">
        <v>2705</v>
      </c>
    </row>
    <row r="966" spans="1:52" s="142" customFormat="1" ht="12.75" x14ac:dyDescent="0.2">
      <c r="A966" s="151"/>
      <c r="B966" s="152" t="s">
        <v>2705</v>
      </c>
      <c r="C966" s="152" t="s">
        <v>2675</v>
      </c>
      <c r="D966" s="152" t="s">
        <v>2398</v>
      </c>
      <c r="E966" s="152" t="s">
        <v>2675</v>
      </c>
      <c r="F966" s="152" t="s">
        <v>2398</v>
      </c>
      <c r="G966" s="152" t="s">
        <v>2398</v>
      </c>
      <c r="H966" s="152" t="s">
        <v>2705</v>
      </c>
      <c r="I966" s="152" t="s">
        <v>2705</v>
      </c>
      <c r="J966" s="152" t="s">
        <v>2705</v>
      </c>
      <c r="K966" s="152" t="s">
        <v>2705</v>
      </c>
      <c r="L966" s="152" t="s">
        <v>2675</v>
      </c>
      <c r="M966" s="152" t="s">
        <v>2705</v>
      </c>
      <c r="N966" s="152" t="s">
        <v>2675</v>
      </c>
      <c r="O966" s="152" t="s">
        <v>1435</v>
      </c>
      <c r="P966" s="152" t="s">
        <v>2398</v>
      </c>
      <c r="Q966" s="152" t="s">
        <v>2705</v>
      </c>
      <c r="R966" s="152" t="s">
        <v>2705</v>
      </c>
      <c r="S966" s="152" t="s">
        <v>2705</v>
      </c>
      <c r="T966" s="152" t="s">
        <v>2705</v>
      </c>
      <c r="U966" s="152" t="s">
        <v>2705</v>
      </c>
      <c r="V966" s="142" t="str" cm="1">
        <f t="array" ref="V966">IF(A966&lt;&gt;"",SUM(--(B966:U967 = "X")*$U$3,--(B966:U967 ="A")*$Q$3,--(B966:U967 ="B")*$R$3,--(B966:U967 ="C")*$S$3),"")</f>
        <v/>
      </c>
      <c r="AG966" s="142" t="s">
        <v>2705</v>
      </c>
      <c r="AH966" s="142" t="s">
        <v>2675</v>
      </c>
      <c r="AI966" s="142" t="s">
        <v>2398</v>
      </c>
      <c r="AJ966" s="142" t="s">
        <v>2675</v>
      </c>
      <c r="AK966" s="142" t="s">
        <v>2398</v>
      </c>
      <c r="AL966" s="142" t="s">
        <v>2398</v>
      </c>
      <c r="AM966" s="142" t="s">
        <v>2705</v>
      </c>
      <c r="AN966" s="142" t="s">
        <v>2705</v>
      </c>
      <c r="AO966" s="142" t="s">
        <v>2705</v>
      </c>
      <c r="AP966" s="142" t="s">
        <v>2705</v>
      </c>
      <c r="AQ966" s="142" t="s">
        <v>2675</v>
      </c>
      <c r="AR966" s="142" t="s">
        <v>2705</v>
      </c>
      <c r="AS966" s="142" t="s">
        <v>2675</v>
      </c>
      <c r="AT966" s="142" t="s">
        <v>1435</v>
      </c>
      <c r="AU966" s="142" t="s">
        <v>2398</v>
      </c>
      <c r="AV966" s="142" t="s">
        <v>2705</v>
      </c>
      <c r="AW966" s="142" t="s">
        <v>2705</v>
      </c>
      <c r="AX966" s="142" t="s">
        <v>2705</v>
      </c>
      <c r="AY966" s="142" t="s">
        <v>2705</v>
      </c>
      <c r="AZ966" s="142" t="s">
        <v>2705</v>
      </c>
    </row>
    <row r="967" spans="1:52" s="142" customFormat="1" ht="12.75" x14ac:dyDescent="0.2">
      <c r="A967" s="151" t="s">
        <v>7800</v>
      </c>
      <c r="B967" s="152" t="s">
        <v>2398</v>
      </c>
      <c r="C967" s="152" t="s">
        <v>2705</v>
      </c>
      <c r="D967" s="152" t="s">
        <v>2398</v>
      </c>
      <c r="E967" s="152" t="s">
        <v>2398</v>
      </c>
      <c r="F967" s="152" t="s">
        <v>2705</v>
      </c>
      <c r="G967" s="152" t="s">
        <v>2705</v>
      </c>
      <c r="H967" s="152" t="s">
        <v>2705</v>
      </c>
      <c r="I967" s="152" t="s">
        <v>2398</v>
      </c>
      <c r="J967" s="152" t="s">
        <v>2705</v>
      </c>
      <c r="K967" s="152" t="s">
        <v>2705</v>
      </c>
      <c r="L967" s="152" t="s">
        <v>2398</v>
      </c>
      <c r="M967" s="152" t="s">
        <v>2705</v>
      </c>
      <c r="N967" s="152" t="s">
        <v>2398</v>
      </c>
      <c r="O967" s="152" t="s">
        <v>2705</v>
      </c>
      <c r="P967" s="152" t="s">
        <v>2705</v>
      </c>
      <c r="Q967" s="152" t="s">
        <v>2705</v>
      </c>
      <c r="R967" s="152" t="s">
        <v>2398</v>
      </c>
      <c r="S967" s="152" t="s">
        <v>2705</v>
      </c>
      <c r="T967" s="152" t="s">
        <v>2705</v>
      </c>
      <c r="U967" s="152" t="s">
        <v>2705</v>
      </c>
      <c r="V967" s="142" cm="1">
        <f t="array" ref="V967">IF(A967&lt;&gt;"",SUM(--(B967:U968 = "X")*$U$3,--(B967:U968 ="A")*$Q$3,--(B967:U968 ="B")*$R$3,--(B967:U968 ="C")*$S$3),"")</f>
        <v>21</v>
      </c>
      <c r="AF967" s="142" t="s">
        <v>7800</v>
      </c>
      <c r="AG967" s="142" t="s">
        <v>2398</v>
      </c>
      <c r="AH967" s="142" t="s">
        <v>2705</v>
      </c>
      <c r="AI967" s="142" t="s">
        <v>2398</v>
      </c>
      <c r="AJ967" s="142" t="s">
        <v>2398</v>
      </c>
      <c r="AK967" s="142" t="s">
        <v>2705</v>
      </c>
      <c r="AL967" s="142" t="s">
        <v>2705</v>
      </c>
      <c r="AM967" s="142" t="s">
        <v>2705</v>
      </c>
      <c r="AN967" s="142" t="s">
        <v>2398</v>
      </c>
      <c r="AO967" s="142" t="s">
        <v>2705</v>
      </c>
      <c r="AP967" s="142" t="s">
        <v>2705</v>
      </c>
      <c r="AQ967" s="142" t="s">
        <v>2398</v>
      </c>
      <c r="AR967" s="142" t="s">
        <v>2705</v>
      </c>
      <c r="AS967" s="142" t="s">
        <v>2398</v>
      </c>
      <c r="AT967" s="142" t="s">
        <v>2705</v>
      </c>
      <c r="AU967" s="142" t="s">
        <v>2705</v>
      </c>
      <c r="AV967" s="142" t="s">
        <v>2705</v>
      </c>
      <c r="AW967" s="142" t="s">
        <v>2398</v>
      </c>
      <c r="AX967" s="142" t="s">
        <v>2705</v>
      </c>
      <c r="AY967" s="142" t="s">
        <v>2705</v>
      </c>
      <c r="AZ967" s="142" t="s">
        <v>2705</v>
      </c>
    </row>
    <row r="968" spans="1:52" s="142" customFormat="1" ht="12.75" x14ac:dyDescent="0.2">
      <c r="A968" s="151"/>
      <c r="B968" s="152" t="s">
        <v>2398</v>
      </c>
      <c r="C968" s="152" t="s">
        <v>2398</v>
      </c>
      <c r="D968" s="152" t="s">
        <v>2705</v>
      </c>
      <c r="E968" s="152" t="s">
        <v>2705</v>
      </c>
      <c r="F968" s="152" t="s">
        <v>2705</v>
      </c>
      <c r="G968" s="152" t="s">
        <v>2705</v>
      </c>
      <c r="H968" s="152" t="s">
        <v>2398</v>
      </c>
      <c r="I968" s="152" t="s">
        <v>2398</v>
      </c>
      <c r="J968" s="152" t="s">
        <v>1435</v>
      </c>
      <c r="K968" s="152" t="s">
        <v>2398</v>
      </c>
      <c r="L968" s="152" t="s">
        <v>2398</v>
      </c>
      <c r="M968" s="152" t="s">
        <v>2398</v>
      </c>
      <c r="N968" s="152" t="s">
        <v>2705</v>
      </c>
      <c r="O968" s="152" t="s">
        <v>1435</v>
      </c>
      <c r="P968" s="152" t="s">
        <v>2705</v>
      </c>
      <c r="Q968" s="152" t="s">
        <v>2705</v>
      </c>
      <c r="R968" s="152" t="s">
        <v>2398</v>
      </c>
      <c r="S968" s="152" t="s">
        <v>2705</v>
      </c>
      <c r="T968" s="152" t="s">
        <v>2705</v>
      </c>
      <c r="U968" s="152" t="s">
        <v>2398</v>
      </c>
      <c r="V968" s="142" t="str" cm="1">
        <f t="array" ref="V968">IF(A968&lt;&gt;"",SUM(--(B968:U969 = "X")*$U$3,--(B968:U969 ="A")*$Q$3,--(B968:U969 ="B")*$R$3,--(B968:U969 ="C")*$S$3),"")</f>
        <v/>
      </c>
      <c r="AG968" s="142" t="s">
        <v>2398</v>
      </c>
      <c r="AH968" s="142" t="s">
        <v>2398</v>
      </c>
      <c r="AI968" s="142" t="s">
        <v>2705</v>
      </c>
      <c r="AJ968" s="142" t="s">
        <v>2705</v>
      </c>
      <c r="AK968" s="142" t="s">
        <v>2705</v>
      </c>
      <c r="AL968" s="142" t="s">
        <v>2705</v>
      </c>
      <c r="AM968" s="142" t="s">
        <v>2398</v>
      </c>
      <c r="AN968" s="142" t="s">
        <v>2398</v>
      </c>
      <c r="AO968" s="142" t="s">
        <v>1435</v>
      </c>
      <c r="AP968" s="142" t="s">
        <v>2398</v>
      </c>
      <c r="AQ968" s="142" t="s">
        <v>2398</v>
      </c>
      <c r="AR968" s="142" t="s">
        <v>2398</v>
      </c>
      <c r="AS968" s="142" t="s">
        <v>2705</v>
      </c>
      <c r="AT968" s="142" t="s">
        <v>1435</v>
      </c>
      <c r="AU968" s="142" t="s">
        <v>2705</v>
      </c>
      <c r="AV968" s="142" t="s">
        <v>2705</v>
      </c>
      <c r="AW968" s="142" t="s">
        <v>2398</v>
      </c>
      <c r="AX968" s="142" t="s">
        <v>2705</v>
      </c>
      <c r="AY968" s="142" t="s">
        <v>2705</v>
      </c>
      <c r="AZ968" s="142" t="s">
        <v>2398</v>
      </c>
    </row>
    <row r="969" spans="1:52" s="142" customFormat="1" ht="12.75" x14ac:dyDescent="0.2">
      <c r="A969" s="151" t="s">
        <v>7801</v>
      </c>
      <c r="B969" s="152" t="s">
        <v>2705</v>
      </c>
      <c r="C969" s="152" t="s">
        <v>2705</v>
      </c>
      <c r="D969" s="152" t="s">
        <v>2398</v>
      </c>
      <c r="E969" s="152" t="s">
        <v>2705</v>
      </c>
      <c r="F969" s="152" t="s">
        <v>2398</v>
      </c>
      <c r="G969" s="152" t="s">
        <v>1435</v>
      </c>
      <c r="H969" s="152" t="s">
        <v>1435</v>
      </c>
      <c r="I969" s="152" t="s">
        <v>2398</v>
      </c>
      <c r="J969" s="152" t="s">
        <v>2705</v>
      </c>
      <c r="K969" s="152" t="s">
        <v>2705</v>
      </c>
      <c r="L969" s="152" t="s">
        <v>2705</v>
      </c>
      <c r="M969" s="152" t="s">
        <v>2398</v>
      </c>
      <c r="N969" s="152" t="s">
        <v>2705</v>
      </c>
      <c r="O969" s="152" t="s">
        <v>2398</v>
      </c>
      <c r="P969" s="152" t="s">
        <v>2675</v>
      </c>
      <c r="Q969" s="152" t="s">
        <v>2705</v>
      </c>
      <c r="R969" s="152" t="s">
        <v>2705</v>
      </c>
      <c r="S969" s="152" t="s">
        <v>2398</v>
      </c>
      <c r="T969" s="152" t="s">
        <v>2398</v>
      </c>
      <c r="U969" s="152" t="s">
        <v>2705</v>
      </c>
      <c r="V969" s="142" cm="1">
        <f t="array" ref="V969">IF(A969&lt;&gt;"",SUM(--(B969:U970 = "X")*$U$3,--(B969:U970 ="A")*$Q$3,--(B969:U970 ="B")*$R$3,--(B969:U970 ="C")*$S$3),"")</f>
        <v>16.5</v>
      </c>
      <c r="AF969" s="142" t="s">
        <v>7801</v>
      </c>
      <c r="AG969" s="142" t="s">
        <v>2705</v>
      </c>
      <c r="AH969" s="142" t="s">
        <v>2705</v>
      </c>
      <c r="AI969" s="142" t="s">
        <v>2398</v>
      </c>
      <c r="AJ969" s="142" t="s">
        <v>2705</v>
      </c>
      <c r="AK969" s="142" t="s">
        <v>2398</v>
      </c>
      <c r="AL969" s="142" t="s">
        <v>1435</v>
      </c>
      <c r="AM969" s="142" t="s">
        <v>1435</v>
      </c>
      <c r="AN969" s="142" t="s">
        <v>2398</v>
      </c>
      <c r="AO969" s="142" t="s">
        <v>2705</v>
      </c>
      <c r="AP969" s="142" t="s">
        <v>2705</v>
      </c>
      <c r="AQ969" s="142" t="s">
        <v>2705</v>
      </c>
      <c r="AR969" s="142" t="s">
        <v>2398</v>
      </c>
      <c r="AS969" s="142" t="s">
        <v>2705</v>
      </c>
      <c r="AT969" s="142" t="s">
        <v>2398</v>
      </c>
      <c r="AU969" s="142" t="s">
        <v>2675</v>
      </c>
      <c r="AV969" s="142" t="s">
        <v>2705</v>
      </c>
      <c r="AW969" s="142" t="s">
        <v>2705</v>
      </c>
      <c r="AX969" s="142" t="s">
        <v>2398</v>
      </c>
      <c r="AY969" s="142" t="s">
        <v>2398</v>
      </c>
      <c r="AZ969" s="142" t="s">
        <v>2705</v>
      </c>
    </row>
    <row r="970" spans="1:52" s="142" customFormat="1" ht="12.75" x14ac:dyDescent="0.2">
      <c r="A970" s="151"/>
      <c r="B970" s="152" t="s">
        <v>2705</v>
      </c>
      <c r="C970" s="152" t="s">
        <v>2705</v>
      </c>
      <c r="D970" s="152" t="s">
        <v>2705</v>
      </c>
      <c r="E970" s="152" t="s">
        <v>2675</v>
      </c>
      <c r="F970" s="152" t="s">
        <v>2705</v>
      </c>
      <c r="G970" s="152" t="s">
        <v>1435</v>
      </c>
      <c r="H970" s="152" t="s">
        <v>2398</v>
      </c>
      <c r="I970" s="152" t="s">
        <v>2705</v>
      </c>
      <c r="J970" s="152" t="s">
        <v>2705</v>
      </c>
      <c r="K970" s="152" t="s">
        <v>1435</v>
      </c>
      <c r="L970" s="152" t="s">
        <v>1435</v>
      </c>
      <c r="M970" s="152" t="s">
        <v>2675</v>
      </c>
      <c r="N970" s="152" t="s">
        <v>2398</v>
      </c>
      <c r="O970" s="152" t="s">
        <v>2705</v>
      </c>
      <c r="P970" s="152" t="s">
        <v>2705</v>
      </c>
      <c r="Q970" s="152" t="s">
        <v>2705</v>
      </c>
      <c r="R970" s="152" t="s">
        <v>2705</v>
      </c>
      <c r="S970" s="152" t="s">
        <v>2675</v>
      </c>
      <c r="T970" s="152" t="s">
        <v>2705</v>
      </c>
      <c r="U970" s="152" t="s">
        <v>2398</v>
      </c>
      <c r="V970" s="142" t="str" cm="1">
        <f t="array" ref="V970">IF(A970&lt;&gt;"",SUM(--(B970:U971 = "X")*$U$3,--(B970:U971 ="A")*$Q$3,--(B970:U971 ="B")*$R$3,--(B970:U971 ="C")*$S$3),"")</f>
        <v/>
      </c>
      <c r="AG970" s="142" t="s">
        <v>2705</v>
      </c>
      <c r="AH970" s="142" t="s">
        <v>2705</v>
      </c>
      <c r="AI970" s="142" t="s">
        <v>2705</v>
      </c>
      <c r="AJ970" s="142" t="s">
        <v>2675</v>
      </c>
      <c r="AK970" s="142" t="s">
        <v>2705</v>
      </c>
      <c r="AL970" s="142" t="s">
        <v>1435</v>
      </c>
      <c r="AM970" s="142" t="s">
        <v>2398</v>
      </c>
      <c r="AN970" s="142" t="s">
        <v>2705</v>
      </c>
      <c r="AO970" s="142" t="s">
        <v>2705</v>
      </c>
      <c r="AP970" s="142" t="s">
        <v>1435</v>
      </c>
      <c r="AQ970" s="142" t="s">
        <v>1435</v>
      </c>
      <c r="AR970" s="142" t="s">
        <v>2675</v>
      </c>
      <c r="AS970" s="142" t="s">
        <v>2398</v>
      </c>
      <c r="AT970" s="142" t="s">
        <v>2705</v>
      </c>
      <c r="AU970" s="142" t="s">
        <v>2705</v>
      </c>
      <c r="AV970" s="142" t="s">
        <v>2705</v>
      </c>
      <c r="AW970" s="142" t="s">
        <v>2705</v>
      </c>
      <c r="AX970" s="142" t="s">
        <v>2675</v>
      </c>
      <c r="AY970" s="142" t="s">
        <v>2705</v>
      </c>
      <c r="AZ970" s="142" t="s">
        <v>2398</v>
      </c>
    </row>
    <row r="971" spans="1:52" s="142" customFormat="1" ht="12.75" x14ac:dyDescent="0.2">
      <c r="A971" s="151" t="s">
        <v>7802</v>
      </c>
      <c r="B971" s="152" t="s">
        <v>2398</v>
      </c>
      <c r="C971" s="152" t="s">
        <v>2398</v>
      </c>
      <c r="D971" s="152" t="s">
        <v>2398</v>
      </c>
      <c r="E971" s="152" t="s">
        <v>2398</v>
      </c>
      <c r="F971" s="152" t="s">
        <v>2397</v>
      </c>
      <c r="G971" s="152" t="s">
        <v>2705</v>
      </c>
      <c r="H971" s="152" t="s">
        <v>2705</v>
      </c>
      <c r="I971" s="152" t="s">
        <v>2398</v>
      </c>
      <c r="J971" s="152" t="s">
        <v>2705</v>
      </c>
      <c r="K971" s="152" t="s">
        <v>2705</v>
      </c>
      <c r="L971" s="152" t="s">
        <v>2398</v>
      </c>
      <c r="M971" s="152" t="s">
        <v>2705</v>
      </c>
      <c r="N971" s="152" t="s">
        <v>2398</v>
      </c>
      <c r="O971" s="152" t="s">
        <v>2705</v>
      </c>
      <c r="P971" s="152" t="s">
        <v>2705</v>
      </c>
      <c r="Q971" s="152" t="s">
        <v>2705</v>
      </c>
      <c r="R971" s="152" t="s">
        <v>2398</v>
      </c>
      <c r="S971" s="152" t="s">
        <v>2675</v>
      </c>
      <c r="T971" s="152" t="s">
        <v>2705</v>
      </c>
      <c r="U971" s="152" t="s">
        <v>2705</v>
      </c>
      <c r="V971" s="142" cm="1">
        <f t="array" ref="V971">IF(A971&lt;&gt;"",SUM(--(B971:U972 = "X")*$U$3,--(B971:U972 ="A")*$Q$3,--(B971:U972 ="B")*$R$3,--(B971:U972 ="C")*$S$3),"")</f>
        <v>19</v>
      </c>
      <c r="AF971" s="142" t="s">
        <v>7802</v>
      </c>
      <c r="AG971" s="142" t="s">
        <v>2398</v>
      </c>
      <c r="AH971" s="142" t="s">
        <v>2398</v>
      </c>
      <c r="AI971" s="142" t="s">
        <v>2398</v>
      </c>
      <c r="AJ971" s="142" t="s">
        <v>2398</v>
      </c>
      <c r="AK971" s="142" t="s">
        <v>2397</v>
      </c>
      <c r="AL971" s="142" t="s">
        <v>2705</v>
      </c>
      <c r="AM971" s="142" t="s">
        <v>2705</v>
      </c>
      <c r="AN971" s="142" t="s">
        <v>2398</v>
      </c>
      <c r="AO971" s="142" t="s">
        <v>2705</v>
      </c>
      <c r="AP971" s="142" t="s">
        <v>2705</v>
      </c>
      <c r="AQ971" s="142" t="s">
        <v>2398</v>
      </c>
      <c r="AR971" s="142" t="s">
        <v>2705</v>
      </c>
      <c r="AS971" s="142" t="s">
        <v>2398</v>
      </c>
      <c r="AT971" s="142" t="s">
        <v>2705</v>
      </c>
      <c r="AU971" s="142" t="s">
        <v>2705</v>
      </c>
      <c r="AV971" s="142" t="s">
        <v>2705</v>
      </c>
      <c r="AW971" s="142" t="s">
        <v>2398</v>
      </c>
      <c r="AX971" s="142" t="s">
        <v>2675</v>
      </c>
      <c r="AY971" s="142" t="s">
        <v>2705</v>
      </c>
      <c r="AZ971" s="142" t="s">
        <v>2705</v>
      </c>
    </row>
    <row r="972" spans="1:52" s="142" customFormat="1" ht="12.75" x14ac:dyDescent="0.2">
      <c r="A972" s="151"/>
      <c r="B972" s="152" t="s">
        <v>2705</v>
      </c>
      <c r="C972" s="152" t="s">
        <v>2675</v>
      </c>
      <c r="D972" s="152" t="s">
        <v>2398</v>
      </c>
      <c r="E972" s="152" t="s">
        <v>1435</v>
      </c>
      <c r="F972" s="152" t="s">
        <v>2705</v>
      </c>
      <c r="G972" s="152" t="s">
        <v>2705</v>
      </c>
      <c r="H972" s="152" t="s">
        <v>2397</v>
      </c>
      <c r="I972" s="152" t="s">
        <v>2398</v>
      </c>
      <c r="J972" s="152" t="s">
        <v>2705</v>
      </c>
      <c r="K972" s="152" t="s">
        <v>2705</v>
      </c>
      <c r="L972" s="152" t="s">
        <v>2398</v>
      </c>
      <c r="M972" s="152" t="s">
        <v>2705</v>
      </c>
      <c r="N972" s="152" t="s">
        <v>2705</v>
      </c>
      <c r="O972" s="152" t="s">
        <v>2705</v>
      </c>
      <c r="P972" s="152" t="s">
        <v>2398</v>
      </c>
      <c r="Q972" s="152" t="s">
        <v>1435</v>
      </c>
      <c r="R972" s="152" t="s">
        <v>2705</v>
      </c>
      <c r="S972" s="152" t="s">
        <v>2705</v>
      </c>
      <c r="T972" s="152" t="s">
        <v>2705</v>
      </c>
      <c r="U972" s="152" t="s">
        <v>2398</v>
      </c>
      <c r="V972" s="142" t="str" cm="1">
        <f t="array" ref="V972">IF(A972&lt;&gt;"",SUM(--(B972:U973 = "X")*$U$3,--(B972:U973 ="A")*$Q$3,--(B972:U973 ="B")*$R$3,--(B972:U973 ="C")*$S$3),"")</f>
        <v/>
      </c>
      <c r="AG972" s="142" t="s">
        <v>2705</v>
      </c>
      <c r="AH972" s="142" t="s">
        <v>2675</v>
      </c>
      <c r="AI972" s="142" t="s">
        <v>2398</v>
      </c>
      <c r="AJ972" s="142" t="s">
        <v>1435</v>
      </c>
      <c r="AK972" s="142" t="s">
        <v>2705</v>
      </c>
      <c r="AL972" s="142" t="s">
        <v>2705</v>
      </c>
      <c r="AM972" s="142" t="s">
        <v>2397</v>
      </c>
      <c r="AN972" s="142" t="s">
        <v>2398</v>
      </c>
      <c r="AO972" s="142" t="s">
        <v>2705</v>
      </c>
      <c r="AP972" s="142" t="s">
        <v>2705</v>
      </c>
      <c r="AQ972" s="142" t="s">
        <v>2398</v>
      </c>
      <c r="AR972" s="142" t="s">
        <v>2705</v>
      </c>
      <c r="AS972" s="142" t="s">
        <v>2705</v>
      </c>
      <c r="AT972" s="142" t="s">
        <v>2705</v>
      </c>
      <c r="AU972" s="142" t="s">
        <v>2398</v>
      </c>
      <c r="AV972" s="142" t="s">
        <v>1435</v>
      </c>
      <c r="AW972" s="142" t="s">
        <v>2705</v>
      </c>
      <c r="AX972" s="142" t="s">
        <v>2705</v>
      </c>
      <c r="AY972" s="142" t="s">
        <v>2705</v>
      </c>
      <c r="AZ972" s="142" t="s">
        <v>2398</v>
      </c>
    </row>
    <row r="973" spans="1:52" s="142" customFormat="1" ht="12.75" x14ac:dyDescent="0.2">
      <c r="A973" s="151" t="s">
        <v>7803</v>
      </c>
      <c r="B973" s="152" t="s">
        <v>2675</v>
      </c>
      <c r="C973" s="152" t="s">
        <v>2398</v>
      </c>
      <c r="D973" s="152" t="s">
        <v>2675</v>
      </c>
      <c r="E973" s="152" t="s">
        <v>2398</v>
      </c>
      <c r="F973" s="152" t="s">
        <v>2705</v>
      </c>
      <c r="G973" s="152" t="s">
        <v>1435</v>
      </c>
      <c r="H973" s="152" t="s">
        <v>2705</v>
      </c>
      <c r="I973" s="152" t="s">
        <v>2397</v>
      </c>
      <c r="J973" s="152" t="s">
        <v>2705</v>
      </c>
      <c r="K973" s="152" t="s">
        <v>1435</v>
      </c>
      <c r="L973" s="152" t="s">
        <v>2705</v>
      </c>
      <c r="M973" s="152" t="s">
        <v>2705</v>
      </c>
      <c r="N973" s="152" t="s">
        <v>1435</v>
      </c>
      <c r="O973" s="152" t="s">
        <v>2398</v>
      </c>
      <c r="P973" s="152" t="s">
        <v>2675</v>
      </c>
      <c r="Q973" s="152" t="s">
        <v>2397</v>
      </c>
      <c r="R973" s="152" t="s">
        <v>2675</v>
      </c>
      <c r="S973" s="152" t="s">
        <v>2398</v>
      </c>
      <c r="T973" s="152" t="s">
        <v>2398</v>
      </c>
      <c r="U973" s="152" t="s">
        <v>1435</v>
      </c>
      <c r="V973" s="142" cm="1">
        <f t="array" ref="V973">IF(A973&lt;&gt;"",SUM(--(B973:U974 = "X")*$U$3,--(B973:U974 ="A")*$Q$3,--(B973:U974 ="B")*$R$3,--(B973:U974 ="C")*$S$3),"")</f>
        <v>8.5</v>
      </c>
      <c r="AF973" s="142" t="s">
        <v>7803</v>
      </c>
      <c r="AG973" s="142" t="s">
        <v>2675</v>
      </c>
      <c r="AH973" s="142" t="s">
        <v>2398</v>
      </c>
      <c r="AI973" s="142" t="s">
        <v>2675</v>
      </c>
      <c r="AJ973" s="142" t="s">
        <v>2398</v>
      </c>
      <c r="AK973" s="142" t="s">
        <v>2705</v>
      </c>
      <c r="AL973" s="142" t="s">
        <v>1435</v>
      </c>
      <c r="AM973" s="142" t="s">
        <v>2705</v>
      </c>
      <c r="AN973" s="142" t="s">
        <v>2397</v>
      </c>
      <c r="AO973" s="142" t="s">
        <v>2705</v>
      </c>
      <c r="AP973" s="142" t="s">
        <v>1435</v>
      </c>
      <c r="AQ973" s="142" t="s">
        <v>2705</v>
      </c>
      <c r="AR973" s="142" t="s">
        <v>2705</v>
      </c>
      <c r="AS973" s="142" t="s">
        <v>1435</v>
      </c>
      <c r="AT973" s="142" t="s">
        <v>2398</v>
      </c>
      <c r="AU973" s="142" t="s">
        <v>2675</v>
      </c>
      <c r="AV973" s="142" t="s">
        <v>2397</v>
      </c>
      <c r="AW973" s="142" t="s">
        <v>2675</v>
      </c>
      <c r="AX973" s="142" t="s">
        <v>2398</v>
      </c>
      <c r="AY973" s="142" t="s">
        <v>2398</v>
      </c>
      <c r="AZ973" s="142" t="s">
        <v>1435</v>
      </c>
    </row>
    <row r="974" spans="1:52" s="142" customFormat="1" ht="12.75" x14ac:dyDescent="0.2">
      <c r="A974" s="151"/>
      <c r="B974" s="152" t="s">
        <v>2675</v>
      </c>
      <c r="C974" s="152" t="s">
        <v>1435</v>
      </c>
      <c r="D974" s="152" t="s">
        <v>2675</v>
      </c>
      <c r="E974" s="152" t="s">
        <v>2705</v>
      </c>
      <c r="F974" s="152" t="s">
        <v>2398</v>
      </c>
      <c r="G974" s="152" t="s">
        <v>2705</v>
      </c>
      <c r="H974" s="152" t="s">
        <v>2705</v>
      </c>
      <c r="I974" s="152" t="s">
        <v>2705</v>
      </c>
      <c r="J974" s="152" t="s">
        <v>2705</v>
      </c>
      <c r="K974" s="152" t="s">
        <v>2675</v>
      </c>
      <c r="L974" s="152" t="s">
        <v>2397</v>
      </c>
      <c r="M974" s="152" t="s">
        <v>2398</v>
      </c>
      <c r="N974" s="152" t="s">
        <v>2705</v>
      </c>
      <c r="O974" s="152" t="s">
        <v>2705</v>
      </c>
      <c r="P974" s="152" t="s">
        <v>2705</v>
      </c>
      <c r="Q974" s="152" t="s">
        <v>2705</v>
      </c>
      <c r="R974" s="152" t="s">
        <v>2398</v>
      </c>
      <c r="S974" s="152" t="s">
        <v>2705</v>
      </c>
      <c r="T974" s="152" t="s">
        <v>1435</v>
      </c>
      <c r="U974" s="152" t="s">
        <v>2398</v>
      </c>
      <c r="V974" s="142" t="str" cm="1">
        <f t="array" ref="V974">IF(A974&lt;&gt;"",SUM(--(B974:U975 = "X")*$U$3,--(B974:U975 ="A")*$Q$3,--(B974:U975 ="B")*$R$3,--(B974:U975 ="C")*$S$3),"")</f>
        <v/>
      </c>
      <c r="AG974" s="142" t="s">
        <v>2675</v>
      </c>
      <c r="AH974" s="142" t="s">
        <v>1435</v>
      </c>
      <c r="AI974" s="142" t="s">
        <v>2675</v>
      </c>
      <c r="AJ974" s="142" t="s">
        <v>2705</v>
      </c>
      <c r="AK974" s="142" t="s">
        <v>2398</v>
      </c>
      <c r="AL974" s="142" t="s">
        <v>2705</v>
      </c>
      <c r="AM974" s="142" t="s">
        <v>2705</v>
      </c>
      <c r="AN974" s="142" t="s">
        <v>2705</v>
      </c>
      <c r="AO974" s="142" t="s">
        <v>2705</v>
      </c>
      <c r="AP974" s="142" t="s">
        <v>2675</v>
      </c>
      <c r="AQ974" s="142" t="s">
        <v>2397</v>
      </c>
      <c r="AR974" s="142" t="s">
        <v>2398</v>
      </c>
      <c r="AS974" s="142" t="s">
        <v>2705</v>
      </c>
      <c r="AT974" s="142" t="s">
        <v>2705</v>
      </c>
      <c r="AU974" s="142" t="s">
        <v>2705</v>
      </c>
      <c r="AV974" s="142" t="s">
        <v>2705</v>
      </c>
      <c r="AW974" s="142" t="s">
        <v>2398</v>
      </c>
      <c r="AX974" s="142" t="s">
        <v>2705</v>
      </c>
      <c r="AY974" s="142" t="s">
        <v>1435</v>
      </c>
      <c r="AZ974" s="142" t="s">
        <v>2398</v>
      </c>
    </row>
    <row r="975" spans="1:52" s="142" customFormat="1" ht="12.75" x14ac:dyDescent="0.2">
      <c r="A975" s="151" t="s">
        <v>7804</v>
      </c>
      <c r="B975" s="152" t="s">
        <v>2705</v>
      </c>
      <c r="C975" s="152" t="s">
        <v>2398</v>
      </c>
      <c r="D975" s="152" t="s">
        <v>2398</v>
      </c>
      <c r="E975" s="152" t="s">
        <v>2705</v>
      </c>
      <c r="F975" s="152" t="s">
        <v>2705</v>
      </c>
      <c r="G975" s="152" t="s">
        <v>2398</v>
      </c>
      <c r="H975" s="152" t="s">
        <v>2705</v>
      </c>
      <c r="I975" s="152" t="s">
        <v>2705</v>
      </c>
      <c r="J975" s="152" t="s">
        <v>2705</v>
      </c>
      <c r="K975" s="152" t="s">
        <v>2705</v>
      </c>
      <c r="L975" s="152" t="s">
        <v>2398</v>
      </c>
      <c r="M975" s="152" t="s">
        <v>2398</v>
      </c>
      <c r="N975" s="152" t="s">
        <v>2705</v>
      </c>
      <c r="O975" s="152" t="s">
        <v>2398</v>
      </c>
      <c r="P975" s="152" t="s">
        <v>2705</v>
      </c>
      <c r="Q975" s="152" t="s">
        <v>2705</v>
      </c>
      <c r="R975" s="152" t="s">
        <v>2705</v>
      </c>
      <c r="S975" s="152" t="s">
        <v>2705</v>
      </c>
      <c r="T975" s="152" t="s">
        <v>2675</v>
      </c>
      <c r="U975" s="152" t="s">
        <v>2705</v>
      </c>
      <c r="V975" s="142" cm="1">
        <f t="array" ref="V975">IF(A975&lt;&gt;"",SUM(--(B975:U976 = "X")*$U$3,--(B975:U976 ="A")*$Q$3,--(B975:U976 ="B")*$R$3,--(B975:U976 ="C")*$S$3),"")</f>
        <v>23</v>
      </c>
      <c r="AF975" s="142" t="s">
        <v>7804</v>
      </c>
      <c r="AG975" s="142" t="s">
        <v>2705</v>
      </c>
      <c r="AH975" s="142" t="s">
        <v>2398</v>
      </c>
      <c r="AI975" s="142" t="s">
        <v>2398</v>
      </c>
      <c r="AJ975" s="142" t="s">
        <v>2705</v>
      </c>
      <c r="AK975" s="142" t="s">
        <v>2705</v>
      </c>
      <c r="AL975" s="142" t="s">
        <v>2398</v>
      </c>
      <c r="AM975" s="142" t="s">
        <v>2705</v>
      </c>
      <c r="AN975" s="142" t="s">
        <v>2705</v>
      </c>
      <c r="AO975" s="142" t="s">
        <v>2705</v>
      </c>
      <c r="AP975" s="142" t="s">
        <v>2705</v>
      </c>
      <c r="AQ975" s="142" t="s">
        <v>2398</v>
      </c>
      <c r="AR975" s="142" t="s">
        <v>2398</v>
      </c>
      <c r="AS975" s="142" t="s">
        <v>2705</v>
      </c>
      <c r="AT975" s="142" t="s">
        <v>2398</v>
      </c>
      <c r="AU975" s="142" t="s">
        <v>2705</v>
      </c>
      <c r="AV975" s="142" t="s">
        <v>2705</v>
      </c>
      <c r="AW975" s="142" t="s">
        <v>2705</v>
      </c>
      <c r="AX975" s="142" t="s">
        <v>2705</v>
      </c>
      <c r="AY975" s="142" t="s">
        <v>2675</v>
      </c>
      <c r="AZ975" s="142" t="s">
        <v>2705</v>
      </c>
    </row>
    <row r="976" spans="1:52" s="142" customFormat="1" ht="12.75" x14ac:dyDescent="0.2">
      <c r="A976" s="151"/>
      <c r="B976" s="152" t="s">
        <v>2398</v>
      </c>
      <c r="C976" s="152" t="s">
        <v>2398</v>
      </c>
      <c r="D976" s="152" t="s">
        <v>2705</v>
      </c>
      <c r="E976" s="152" t="s">
        <v>2398</v>
      </c>
      <c r="F976" s="152" t="s">
        <v>2398</v>
      </c>
      <c r="G976" s="152" t="s">
        <v>2705</v>
      </c>
      <c r="H976" s="152" t="s">
        <v>2705</v>
      </c>
      <c r="I976" s="152" t="s">
        <v>2705</v>
      </c>
      <c r="J976" s="152" t="s">
        <v>2705</v>
      </c>
      <c r="K976" s="152" t="s">
        <v>2398</v>
      </c>
      <c r="L976" s="152" t="s">
        <v>2398</v>
      </c>
      <c r="M976" s="152" t="s">
        <v>2398</v>
      </c>
      <c r="N976" s="152" t="s">
        <v>2705</v>
      </c>
      <c r="O976" s="152" t="s">
        <v>2705</v>
      </c>
      <c r="P976" s="152" t="s">
        <v>2705</v>
      </c>
      <c r="Q976" s="152" t="s">
        <v>2705</v>
      </c>
      <c r="R976" s="152" t="s">
        <v>1435</v>
      </c>
      <c r="S976" s="152" t="s">
        <v>2705</v>
      </c>
      <c r="T976" s="152" t="s">
        <v>2398</v>
      </c>
      <c r="U976" s="152" t="s">
        <v>2705</v>
      </c>
      <c r="V976" s="142" t="str" cm="1">
        <f t="array" ref="V976">IF(A976&lt;&gt;"",SUM(--(B976:U977 = "X")*$U$3,--(B976:U977 ="A")*$Q$3,--(B976:U977 ="B")*$R$3,--(B976:U977 ="C")*$S$3),"")</f>
        <v/>
      </c>
      <c r="AG976" s="142" t="s">
        <v>2398</v>
      </c>
      <c r="AH976" s="142" t="s">
        <v>2398</v>
      </c>
      <c r="AI976" s="142" t="s">
        <v>2705</v>
      </c>
      <c r="AJ976" s="142" t="s">
        <v>2398</v>
      </c>
      <c r="AK976" s="142" t="s">
        <v>2398</v>
      </c>
      <c r="AL976" s="142" t="s">
        <v>2705</v>
      </c>
      <c r="AM976" s="142" t="s">
        <v>2705</v>
      </c>
      <c r="AN976" s="142" t="s">
        <v>2705</v>
      </c>
      <c r="AO976" s="142" t="s">
        <v>2705</v>
      </c>
      <c r="AP976" s="142" t="s">
        <v>2398</v>
      </c>
      <c r="AQ976" s="142" t="s">
        <v>2398</v>
      </c>
      <c r="AR976" s="142" t="s">
        <v>2398</v>
      </c>
      <c r="AS976" s="142" t="s">
        <v>2705</v>
      </c>
      <c r="AT976" s="142" t="s">
        <v>2705</v>
      </c>
      <c r="AU976" s="142" t="s">
        <v>2705</v>
      </c>
      <c r="AV976" s="142" t="s">
        <v>2705</v>
      </c>
      <c r="AW976" s="142" t="s">
        <v>1435</v>
      </c>
      <c r="AX976" s="142" t="s">
        <v>2705</v>
      </c>
      <c r="AY976" s="142" t="s">
        <v>2398</v>
      </c>
      <c r="AZ976" s="142" t="s">
        <v>2705</v>
      </c>
    </row>
    <row r="977" spans="1:52" s="142" customFormat="1" ht="12.75" x14ac:dyDescent="0.2">
      <c r="A977" s="151" t="s">
        <v>7805</v>
      </c>
      <c r="B977" s="152" t="s">
        <v>2705</v>
      </c>
      <c r="C977" s="152" t="s">
        <v>2397</v>
      </c>
      <c r="D977" s="152" t="s">
        <v>2705</v>
      </c>
      <c r="E977" s="152" t="s">
        <v>1435</v>
      </c>
      <c r="F977" s="152" t="s">
        <v>2705</v>
      </c>
      <c r="G977" s="152" t="s">
        <v>2705</v>
      </c>
      <c r="H977" s="152" t="s">
        <v>2705</v>
      </c>
      <c r="I977" s="152" t="s">
        <v>2398</v>
      </c>
      <c r="J977" s="152" t="s">
        <v>2398</v>
      </c>
      <c r="K977" s="152" t="s">
        <v>2398</v>
      </c>
      <c r="L977" s="152" t="s">
        <v>2705</v>
      </c>
      <c r="M977" s="152" t="s">
        <v>2397</v>
      </c>
      <c r="N977" s="152" t="s">
        <v>2675</v>
      </c>
      <c r="O977" s="152" t="s">
        <v>2398</v>
      </c>
      <c r="P977" s="152" t="s">
        <v>2705</v>
      </c>
      <c r="Q977" s="152" t="s">
        <v>1435</v>
      </c>
      <c r="R977" s="152" t="s">
        <v>2398</v>
      </c>
      <c r="S977" s="152" t="s">
        <v>2398</v>
      </c>
      <c r="T977" s="152" t="s">
        <v>2398</v>
      </c>
      <c r="U977" s="152" t="s">
        <v>2705</v>
      </c>
      <c r="V977" s="142" cm="1">
        <f t="array" ref="V977">IF(A977&lt;&gt;"",SUM(--(B977:U978 = "X")*$U$3,--(B977:U978 ="A")*$Q$3,--(B977:U978 ="B")*$R$3,--(B977:U978 ="C")*$S$3),"")</f>
        <v>12.5</v>
      </c>
      <c r="AF977" s="142" t="s">
        <v>7805</v>
      </c>
      <c r="AG977" s="142" t="s">
        <v>2705</v>
      </c>
      <c r="AH977" s="142" t="s">
        <v>2397</v>
      </c>
      <c r="AI977" s="142" t="s">
        <v>2705</v>
      </c>
      <c r="AJ977" s="142" t="s">
        <v>1435</v>
      </c>
      <c r="AK977" s="142" t="s">
        <v>2705</v>
      </c>
      <c r="AL977" s="142" t="s">
        <v>2705</v>
      </c>
      <c r="AM977" s="142" t="s">
        <v>2705</v>
      </c>
      <c r="AN977" s="142" t="s">
        <v>2398</v>
      </c>
      <c r="AO977" s="142" t="s">
        <v>2398</v>
      </c>
      <c r="AP977" s="142" t="s">
        <v>2398</v>
      </c>
      <c r="AQ977" s="142" t="s">
        <v>2705</v>
      </c>
      <c r="AR977" s="142" t="s">
        <v>2397</v>
      </c>
      <c r="AS977" s="142" t="s">
        <v>2675</v>
      </c>
      <c r="AT977" s="142" t="s">
        <v>2398</v>
      </c>
      <c r="AU977" s="142" t="s">
        <v>2705</v>
      </c>
      <c r="AV977" s="142" t="s">
        <v>1435</v>
      </c>
      <c r="AW977" s="142" t="s">
        <v>2398</v>
      </c>
      <c r="AX977" s="142" t="s">
        <v>2398</v>
      </c>
      <c r="AY977" s="142" t="s">
        <v>2398</v>
      </c>
      <c r="AZ977" s="142" t="s">
        <v>2705</v>
      </c>
    </row>
    <row r="978" spans="1:52" s="142" customFormat="1" ht="12.75" x14ac:dyDescent="0.2">
      <c r="A978" s="151"/>
      <c r="B978" s="152" t="s">
        <v>2398</v>
      </c>
      <c r="C978" s="152" t="s">
        <v>2398</v>
      </c>
      <c r="D978" s="152" t="s">
        <v>2705</v>
      </c>
      <c r="E978" s="152" t="s">
        <v>2705</v>
      </c>
      <c r="F978" s="152" t="s">
        <v>2705</v>
      </c>
      <c r="G978" s="152" t="s">
        <v>2675</v>
      </c>
      <c r="H978" s="152" t="s">
        <v>2398</v>
      </c>
      <c r="I978" s="152" t="s">
        <v>2398</v>
      </c>
      <c r="J978" s="152" t="s">
        <v>2398</v>
      </c>
      <c r="K978" s="152" t="s">
        <v>2398</v>
      </c>
      <c r="L978" s="152" t="s">
        <v>2397</v>
      </c>
      <c r="M978" s="152" t="s">
        <v>2398</v>
      </c>
      <c r="N978" s="152" t="s">
        <v>1435</v>
      </c>
      <c r="O978" s="152" t="s">
        <v>2705</v>
      </c>
      <c r="P978" s="152" t="s">
        <v>2398</v>
      </c>
      <c r="Q978" s="152" t="s">
        <v>2705</v>
      </c>
      <c r="R978" s="152" t="s">
        <v>2398</v>
      </c>
      <c r="S978" s="152" t="s">
        <v>2705</v>
      </c>
      <c r="T978" s="152" t="s">
        <v>2398</v>
      </c>
      <c r="U978" s="152" t="s">
        <v>2705</v>
      </c>
      <c r="V978" s="142" t="str" cm="1">
        <f t="array" ref="V978">IF(A978&lt;&gt;"",SUM(--(B978:U979 = "X")*$U$3,--(B978:U979 ="A")*$Q$3,--(B978:U979 ="B")*$R$3,--(B978:U979 ="C")*$S$3),"")</f>
        <v/>
      </c>
      <c r="AG978" s="142" t="s">
        <v>2398</v>
      </c>
      <c r="AH978" s="142" t="s">
        <v>2398</v>
      </c>
      <c r="AI978" s="142" t="s">
        <v>2705</v>
      </c>
      <c r="AJ978" s="142" t="s">
        <v>2705</v>
      </c>
      <c r="AK978" s="142" t="s">
        <v>2705</v>
      </c>
      <c r="AL978" s="142" t="s">
        <v>2675</v>
      </c>
      <c r="AM978" s="142" t="s">
        <v>2398</v>
      </c>
      <c r="AN978" s="142" t="s">
        <v>2398</v>
      </c>
      <c r="AO978" s="142" t="s">
        <v>2398</v>
      </c>
      <c r="AP978" s="142" t="s">
        <v>2398</v>
      </c>
      <c r="AQ978" s="142" t="s">
        <v>2397</v>
      </c>
      <c r="AR978" s="142" t="s">
        <v>2398</v>
      </c>
      <c r="AS978" s="142" t="s">
        <v>1435</v>
      </c>
      <c r="AT978" s="142" t="s">
        <v>2705</v>
      </c>
      <c r="AU978" s="142" t="s">
        <v>2398</v>
      </c>
      <c r="AV978" s="142" t="s">
        <v>2705</v>
      </c>
      <c r="AW978" s="142" t="s">
        <v>2398</v>
      </c>
      <c r="AX978" s="142" t="s">
        <v>2705</v>
      </c>
      <c r="AY978" s="142" t="s">
        <v>2398</v>
      </c>
      <c r="AZ978" s="142" t="s">
        <v>2705</v>
      </c>
    </row>
    <row r="979" spans="1:52" s="142" customFormat="1" ht="12.75" x14ac:dyDescent="0.2">
      <c r="A979" s="151" t="s">
        <v>7806</v>
      </c>
      <c r="B979" s="152" t="s">
        <v>2397</v>
      </c>
      <c r="C979" s="152" t="s">
        <v>2398</v>
      </c>
      <c r="D979" s="152" t="s">
        <v>2398</v>
      </c>
      <c r="E979" s="152" t="s">
        <v>2705</v>
      </c>
      <c r="F979" s="152" t="s">
        <v>2705</v>
      </c>
      <c r="G979" s="152" t="s">
        <v>2705</v>
      </c>
      <c r="H979" s="152" t="s">
        <v>2398</v>
      </c>
      <c r="I979" s="152" t="s">
        <v>2705</v>
      </c>
      <c r="J979" s="152" t="s">
        <v>2675</v>
      </c>
      <c r="K979" s="152" t="s">
        <v>2705</v>
      </c>
      <c r="L979" s="152" t="s">
        <v>2705</v>
      </c>
      <c r="M979" s="152" t="s">
        <v>2705</v>
      </c>
      <c r="N979" s="152" t="s">
        <v>2705</v>
      </c>
      <c r="O979" s="152" t="s">
        <v>2398</v>
      </c>
      <c r="P979" s="152" t="s">
        <v>2398</v>
      </c>
      <c r="Q979" s="152" t="s">
        <v>2705</v>
      </c>
      <c r="R979" s="152" t="s">
        <v>2705</v>
      </c>
      <c r="S979" s="152" t="s">
        <v>2705</v>
      </c>
      <c r="T979" s="152" t="s">
        <v>2398</v>
      </c>
      <c r="U979" s="152" t="s">
        <v>2705</v>
      </c>
      <c r="V979" s="142" cm="1">
        <f t="array" ref="V979">IF(A979&lt;&gt;"",SUM(--(B979:U980 = "X")*$U$3,--(B979:U980 ="A")*$Q$3,--(B979:U980 ="B")*$R$3,--(B979:U980 ="C")*$S$3),"")</f>
        <v>20</v>
      </c>
      <c r="AF979" s="142" t="s">
        <v>7806</v>
      </c>
      <c r="AG979" s="142" t="s">
        <v>2397</v>
      </c>
      <c r="AH979" s="142" t="s">
        <v>2398</v>
      </c>
      <c r="AI979" s="142" t="s">
        <v>2398</v>
      </c>
      <c r="AJ979" s="142" t="s">
        <v>2705</v>
      </c>
      <c r="AK979" s="142" t="s">
        <v>2705</v>
      </c>
      <c r="AL979" s="142" t="s">
        <v>2705</v>
      </c>
      <c r="AM979" s="142" t="s">
        <v>2398</v>
      </c>
      <c r="AN979" s="142" t="s">
        <v>2705</v>
      </c>
      <c r="AO979" s="142" t="s">
        <v>2675</v>
      </c>
      <c r="AP979" s="142" t="s">
        <v>2705</v>
      </c>
      <c r="AQ979" s="142" t="s">
        <v>2705</v>
      </c>
      <c r="AR979" s="142" t="s">
        <v>2705</v>
      </c>
      <c r="AS979" s="142" t="s">
        <v>2705</v>
      </c>
      <c r="AT979" s="142" t="s">
        <v>2398</v>
      </c>
      <c r="AU979" s="142" t="s">
        <v>2398</v>
      </c>
      <c r="AV979" s="142" t="s">
        <v>2705</v>
      </c>
      <c r="AW979" s="142" t="s">
        <v>2705</v>
      </c>
      <c r="AX979" s="142" t="s">
        <v>2705</v>
      </c>
      <c r="AY979" s="142" t="s">
        <v>2398</v>
      </c>
      <c r="AZ979" s="142" t="s">
        <v>2705</v>
      </c>
    </row>
    <row r="980" spans="1:52" s="142" customFormat="1" ht="12.75" x14ac:dyDescent="0.2">
      <c r="A980" s="151"/>
      <c r="B980" s="152" t="s">
        <v>2398</v>
      </c>
      <c r="C980" s="152" t="s">
        <v>2398</v>
      </c>
      <c r="D980" s="152" t="s">
        <v>2398</v>
      </c>
      <c r="E980" s="152" t="s">
        <v>1435</v>
      </c>
      <c r="F980" s="152" t="s">
        <v>2398</v>
      </c>
      <c r="G980" s="152" t="s">
        <v>2705</v>
      </c>
      <c r="H980" s="152" t="s">
        <v>2705</v>
      </c>
      <c r="I980" s="152" t="s">
        <v>2675</v>
      </c>
      <c r="J980" s="152" t="s">
        <v>2705</v>
      </c>
      <c r="K980" s="152" t="s">
        <v>2705</v>
      </c>
      <c r="L980" s="152" t="s">
        <v>2705</v>
      </c>
      <c r="M980" s="152" t="s">
        <v>2705</v>
      </c>
      <c r="N980" s="152" t="s">
        <v>2675</v>
      </c>
      <c r="O980" s="152" t="s">
        <v>2705</v>
      </c>
      <c r="P980" s="152" t="s">
        <v>1435</v>
      </c>
      <c r="Q980" s="152" t="s">
        <v>2705</v>
      </c>
      <c r="R980" s="152" t="s">
        <v>1435</v>
      </c>
      <c r="S980" s="152" t="s">
        <v>2705</v>
      </c>
      <c r="T980" s="152" t="s">
        <v>2705</v>
      </c>
      <c r="U980" s="152" t="s">
        <v>2705</v>
      </c>
      <c r="V980" s="142" t="str" cm="1">
        <f t="array" ref="V980">IF(A980&lt;&gt;"",SUM(--(B980:U981 = "X")*$U$3,--(B980:U981 ="A")*$Q$3,--(B980:U981 ="B")*$R$3,--(B980:U981 ="C")*$S$3),"")</f>
        <v/>
      </c>
      <c r="AG980" s="142" t="s">
        <v>2398</v>
      </c>
      <c r="AH980" s="142" t="s">
        <v>2398</v>
      </c>
      <c r="AI980" s="142" t="s">
        <v>2398</v>
      </c>
      <c r="AJ980" s="142" t="s">
        <v>1435</v>
      </c>
      <c r="AK980" s="142" t="s">
        <v>2398</v>
      </c>
      <c r="AL980" s="142" t="s">
        <v>2705</v>
      </c>
      <c r="AM980" s="142" t="s">
        <v>2705</v>
      </c>
      <c r="AN980" s="142" t="s">
        <v>2675</v>
      </c>
      <c r="AO980" s="142" t="s">
        <v>2705</v>
      </c>
      <c r="AP980" s="142" t="s">
        <v>2705</v>
      </c>
      <c r="AQ980" s="142" t="s">
        <v>2705</v>
      </c>
      <c r="AR980" s="142" t="s">
        <v>2705</v>
      </c>
      <c r="AS980" s="142" t="s">
        <v>2675</v>
      </c>
      <c r="AT980" s="142" t="s">
        <v>2705</v>
      </c>
      <c r="AU980" s="142" t="s">
        <v>1435</v>
      </c>
      <c r="AV980" s="142" t="s">
        <v>2705</v>
      </c>
      <c r="AW980" s="142" t="s">
        <v>1435</v>
      </c>
      <c r="AX980" s="142" t="s">
        <v>2705</v>
      </c>
      <c r="AY980" s="142" t="s">
        <v>2705</v>
      </c>
      <c r="AZ980" s="142" t="s">
        <v>2705</v>
      </c>
    </row>
    <row r="981" spans="1:52" s="142" customFormat="1" ht="12.75" x14ac:dyDescent="0.2">
      <c r="A981" s="151" t="s">
        <v>7807</v>
      </c>
      <c r="B981" s="152" t="s">
        <v>2705</v>
      </c>
      <c r="C981" s="152" t="s">
        <v>2398</v>
      </c>
      <c r="D981" s="152" t="s">
        <v>2398</v>
      </c>
      <c r="E981" s="152" t="s">
        <v>2705</v>
      </c>
      <c r="F981" s="152" t="s">
        <v>2705</v>
      </c>
      <c r="G981" s="152" t="s">
        <v>2705</v>
      </c>
      <c r="H981" s="152" t="s">
        <v>1435</v>
      </c>
      <c r="I981" s="152" t="s">
        <v>2705</v>
      </c>
      <c r="J981" s="152" t="s">
        <v>2675</v>
      </c>
      <c r="K981" s="152" t="s">
        <v>2705</v>
      </c>
      <c r="L981" s="152" t="s">
        <v>2398</v>
      </c>
      <c r="M981" s="152" t="s">
        <v>2705</v>
      </c>
      <c r="N981" s="152" t="s">
        <v>2705</v>
      </c>
      <c r="O981" s="152" t="s">
        <v>2705</v>
      </c>
      <c r="P981" s="152" t="s">
        <v>2398</v>
      </c>
      <c r="Q981" s="152" t="s">
        <v>2675</v>
      </c>
      <c r="R981" s="152" t="s">
        <v>2398</v>
      </c>
      <c r="S981" s="152" t="s">
        <v>2398</v>
      </c>
      <c r="T981" s="152" t="s">
        <v>2705</v>
      </c>
      <c r="U981" s="152" t="s">
        <v>2705</v>
      </c>
      <c r="V981" s="142" cm="1">
        <f t="array" ref="V981">IF(A981&lt;&gt;"",SUM(--(B981:U982 = "X")*$U$3,--(B981:U982 ="A")*$Q$3,--(B981:U982 ="B")*$R$3,--(B981:U982 ="C")*$S$3),"")</f>
        <v>22.5</v>
      </c>
      <c r="AF981" s="142" t="s">
        <v>7807</v>
      </c>
      <c r="AG981" s="142" t="s">
        <v>2705</v>
      </c>
      <c r="AH981" s="142" t="s">
        <v>2398</v>
      </c>
      <c r="AI981" s="142" t="s">
        <v>2398</v>
      </c>
      <c r="AJ981" s="142" t="s">
        <v>2705</v>
      </c>
      <c r="AK981" s="142" t="s">
        <v>2705</v>
      </c>
      <c r="AL981" s="142" t="s">
        <v>2705</v>
      </c>
      <c r="AM981" s="142" t="s">
        <v>1435</v>
      </c>
      <c r="AN981" s="142" t="s">
        <v>2705</v>
      </c>
      <c r="AO981" s="142" t="s">
        <v>2675</v>
      </c>
      <c r="AP981" s="142" t="s">
        <v>2705</v>
      </c>
      <c r="AQ981" s="142" t="s">
        <v>2398</v>
      </c>
      <c r="AR981" s="142" t="s">
        <v>2705</v>
      </c>
      <c r="AS981" s="142" t="s">
        <v>2705</v>
      </c>
      <c r="AT981" s="142" t="s">
        <v>2705</v>
      </c>
      <c r="AU981" s="142" t="s">
        <v>2398</v>
      </c>
      <c r="AV981" s="142" t="s">
        <v>2675</v>
      </c>
      <c r="AW981" s="142" t="s">
        <v>2398</v>
      </c>
      <c r="AX981" s="142" t="s">
        <v>2398</v>
      </c>
      <c r="AY981" s="142" t="s">
        <v>2705</v>
      </c>
      <c r="AZ981" s="142" t="s">
        <v>2705</v>
      </c>
    </row>
    <row r="982" spans="1:52" s="142" customFormat="1" ht="12.75" x14ac:dyDescent="0.2">
      <c r="A982" s="151"/>
      <c r="B982" s="152" t="s">
        <v>2705</v>
      </c>
      <c r="C982" s="152" t="s">
        <v>2705</v>
      </c>
      <c r="D982" s="152" t="s">
        <v>2705</v>
      </c>
      <c r="E982" s="152" t="s">
        <v>2705</v>
      </c>
      <c r="F982" s="152" t="s">
        <v>2705</v>
      </c>
      <c r="G982" s="152" t="s">
        <v>2398</v>
      </c>
      <c r="H982" s="152" t="s">
        <v>2705</v>
      </c>
      <c r="I982" s="152" t="s">
        <v>2705</v>
      </c>
      <c r="J982" s="152" t="s">
        <v>1435</v>
      </c>
      <c r="K982" s="152" t="s">
        <v>2705</v>
      </c>
      <c r="L982" s="152" t="s">
        <v>2398</v>
      </c>
      <c r="M982" s="152" t="s">
        <v>2398</v>
      </c>
      <c r="N982" s="152" t="s">
        <v>2705</v>
      </c>
      <c r="O982" s="152" t="s">
        <v>2705</v>
      </c>
      <c r="P982" s="152" t="s">
        <v>2705</v>
      </c>
      <c r="Q982" s="152" t="s">
        <v>2705</v>
      </c>
      <c r="R982" s="152" t="s">
        <v>1435</v>
      </c>
      <c r="S982" s="152" t="s">
        <v>2398</v>
      </c>
      <c r="T982" s="152" t="s">
        <v>2705</v>
      </c>
      <c r="U982" s="152" t="s">
        <v>2705</v>
      </c>
      <c r="V982" s="142" t="str" cm="1">
        <f t="array" ref="V982">IF(A982&lt;&gt;"",SUM(--(B982:U983 = "X")*$U$3,--(B982:U983 ="A")*$Q$3,--(B982:U983 ="B")*$R$3,--(B982:U983 ="C")*$S$3),"")</f>
        <v/>
      </c>
      <c r="AG982" s="142" t="s">
        <v>2705</v>
      </c>
      <c r="AH982" s="142" t="s">
        <v>2705</v>
      </c>
      <c r="AI982" s="142" t="s">
        <v>2705</v>
      </c>
      <c r="AJ982" s="142" t="s">
        <v>2705</v>
      </c>
      <c r="AK982" s="142" t="s">
        <v>2705</v>
      </c>
      <c r="AL982" s="142" t="s">
        <v>2398</v>
      </c>
      <c r="AM982" s="142" t="s">
        <v>2705</v>
      </c>
      <c r="AN982" s="142" t="s">
        <v>2705</v>
      </c>
      <c r="AO982" s="142" t="s">
        <v>1435</v>
      </c>
      <c r="AP982" s="142" t="s">
        <v>2705</v>
      </c>
      <c r="AQ982" s="142" t="s">
        <v>2398</v>
      </c>
      <c r="AR982" s="142" t="s">
        <v>2398</v>
      </c>
      <c r="AS982" s="142" t="s">
        <v>2705</v>
      </c>
      <c r="AT982" s="142" t="s">
        <v>2705</v>
      </c>
      <c r="AU982" s="142" t="s">
        <v>2705</v>
      </c>
      <c r="AV982" s="142" t="s">
        <v>2705</v>
      </c>
      <c r="AW982" s="142" t="s">
        <v>1435</v>
      </c>
      <c r="AX982" s="142" t="s">
        <v>2398</v>
      </c>
      <c r="AY982" s="142" t="s">
        <v>2705</v>
      </c>
      <c r="AZ982" s="142" t="s">
        <v>2705</v>
      </c>
    </row>
    <row r="983" spans="1:52" s="142" customFormat="1" ht="12.75" x14ac:dyDescent="0.2">
      <c r="A983" s="151" t="s">
        <v>7808</v>
      </c>
      <c r="B983" s="152" t="s">
        <v>2705</v>
      </c>
      <c r="C983" s="152" t="s">
        <v>2705</v>
      </c>
      <c r="D983" s="152" t="s">
        <v>2705</v>
      </c>
      <c r="E983" s="152" t="s">
        <v>1435</v>
      </c>
      <c r="F983" s="152" t="s">
        <v>2705</v>
      </c>
      <c r="G983" s="152" t="s">
        <v>2705</v>
      </c>
      <c r="H983" s="152" t="s">
        <v>2705</v>
      </c>
      <c r="I983" s="152" t="s">
        <v>2705</v>
      </c>
      <c r="J983" s="152" t="s">
        <v>2398</v>
      </c>
      <c r="K983" s="152" t="s">
        <v>1435</v>
      </c>
      <c r="L983" s="152" t="s">
        <v>2705</v>
      </c>
      <c r="M983" s="152" t="s">
        <v>2705</v>
      </c>
      <c r="N983" s="152" t="s">
        <v>2398</v>
      </c>
      <c r="O983" s="152" t="s">
        <v>2397</v>
      </c>
      <c r="P983" s="152" t="s">
        <v>2705</v>
      </c>
      <c r="Q983" s="152" t="s">
        <v>2398</v>
      </c>
      <c r="R983" s="152" t="s">
        <v>2398</v>
      </c>
      <c r="S983" s="152" t="s">
        <v>2398</v>
      </c>
      <c r="T983" s="152" t="s">
        <v>2398</v>
      </c>
      <c r="U983" s="152" t="s">
        <v>2705</v>
      </c>
      <c r="V983" s="142" cm="1">
        <f t="array" ref="V983">IF(A983&lt;&gt;"",SUM(--(B983:U984 = "X")*$U$3,--(B983:U984 ="A")*$Q$3,--(B983:U984 ="B")*$R$3,--(B983:U984 ="C")*$S$3),"")</f>
        <v>19</v>
      </c>
      <c r="AF983" s="142" t="s">
        <v>7808</v>
      </c>
      <c r="AG983" s="142" t="s">
        <v>2705</v>
      </c>
      <c r="AH983" s="142" t="s">
        <v>2705</v>
      </c>
      <c r="AI983" s="142" t="s">
        <v>2705</v>
      </c>
      <c r="AJ983" s="142" t="s">
        <v>1435</v>
      </c>
      <c r="AK983" s="142" t="s">
        <v>2705</v>
      </c>
      <c r="AL983" s="142" t="s">
        <v>2705</v>
      </c>
      <c r="AM983" s="142" t="s">
        <v>2705</v>
      </c>
      <c r="AN983" s="142" t="s">
        <v>2705</v>
      </c>
      <c r="AO983" s="142" t="s">
        <v>2398</v>
      </c>
      <c r="AP983" s="142" t="s">
        <v>1435</v>
      </c>
      <c r="AQ983" s="142" t="s">
        <v>2705</v>
      </c>
      <c r="AR983" s="142" t="s">
        <v>2705</v>
      </c>
      <c r="AS983" s="142" t="s">
        <v>2398</v>
      </c>
      <c r="AT983" s="142" t="s">
        <v>2397</v>
      </c>
      <c r="AU983" s="142" t="s">
        <v>2705</v>
      </c>
      <c r="AV983" s="142" t="s">
        <v>2398</v>
      </c>
      <c r="AW983" s="142" t="s">
        <v>2398</v>
      </c>
      <c r="AX983" s="142" t="s">
        <v>2398</v>
      </c>
      <c r="AY983" s="142" t="s">
        <v>2398</v>
      </c>
      <c r="AZ983" s="142" t="s">
        <v>2705</v>
      </c>
    </row>
    <row r="984" spans="1:52" s="142" customFormat="1" ht="12.75" x14ac:dyDescent="0.2">
      <c r="A984" s="151"/>
      <c r="B984" s="152" t="s">
        <v>2397</v>
      </c>
      <c r="C984" s="152" t="s">
        <v>2398</v>
      </c>
      <c r="D984" s="152" t="s">
        <v>2398</v>
      </c>
      <c r="E984" s="152" t="s">
        <v>2705</v>
      </c>
      <c r="F984" s="152" t="s">
        <v>2705</v>
      </c>
      <c r="G984" s="152" t="s">
        <v>2675</v>
      </c>
      <c r="H984" s="152" t="s">
        <v>2398</v>
      </c>
      <c r="I984" s="152" t="s">
        <v>2705</v>
      </c>
      <c r="J984" s="152" t="s">
        <v>2705</v>
      </c>
      <c r="K984" s="152" t="s">
        <v>2398</v>
      </c>
      <c r="L984" s="152" t="s">
        <v>2705</v>
      </c>
      <c r="M984" s="152" t="s">
        <v>2398</v>
      </c>
      <c r="N984" s="152" t="s">
        <v>2705</v>
      </c>
      <c r="O984" s="152" t="s">
        <v>2705</v>
      </c>
      <c r="P984" s="152" t="s">
        <v>2398</v>
      </c>
      <c r="Q984" s="152" t="s">
        <v>2398</v>
      </c>
      <c r="R984" s="152" t="s">
        <v>1435</v>
      </c>
      <c r="S984" s="152" t="s">
        <v>2705</v>
      </c>
      <c r="T984" s="152" t="s">
        <v>2705</v>
      </c>
      <c r="U984" s="152" t="s">
        <v>2705</v>
      </c>
      <c r="V984" s="142" t="str" cm="1">
        <f t="array" ref="V984">IF(A984&lt;&gt;"",SUM(--(B984:U985 = "X")*$U$3,--(B984:U985 ="A")*$Q$3,--(B984:U985 ="B")*$R$3,--(B984:U985 ="C")*$S$3),"")</f>
        <v/>
      </c>
      <c r="AG984" s="142" t="s">
        <v>2397</v>
      </c>
      <c r="AH984" s="142" t="s">
        <v>2398</v>
      </c>
      <c r="AI984" s="142" t="s">
        <v>2398</v>
      </c>
      <c r="AJ984" s="142" t="s">
        <v>2705</v>
      </c>
      <c r="AK984" s="142" t="s">
        <v>2705</v>
      </c>
      <c r="AL984" s="142" t="s">
        <v>2675</v>
      </c>
      <c r="AM984" s="142" t="s">
        <v>2398</v>
      </c>
      <c r="AN984" s="142" t="s">
        <v>2705</v>
      </c>
      <c r="AO984" s="142" t="s">
        <v>2705</v>
      </c>
      <c r="AP984" s="142" t="s">
        <v>2398</v>
      </c>
      <c r="AQ984" s="142" t="s">
        <v>2705</v>
      </c>
      <c r="AR984" s="142" t="s">
        <v>2398</v>
      </c>
      <c r="AS984" s="142" t="s">
        <v>2705</v>
      </c>
      <c r="AT984" s="142" t="s">
        <v>2705</v>
      </c>
      <c r="AU984" s="142" t="s">
        <v>2398</v>
      </c>
      <c r="AV984" s="142" t="s">
        <v>2398</v>
      </c>
      <c r="AW984" s="142" t="s">
        <v>1435</v>
      </c>
      <c r="AX984" s="142" t="s">
        <v>2705</v>
      </c>
      <c r="AY984" s="142" t="s">
        <v>2705</v>
      </c>
      <c r="AZ984" s="142" t="s">
        <v>2705</v>
      </c>
    </row>
    <row r="985" spans="1:52" s="142" customFormat="1" ht="12.75" x14ac:dyDescent="0.2">
      <c r="A985" s="151" t="s">
        <v>7809</v>
      </c>
      <c r="B985" s="152" t="s">
        <v>2705</v>
      </c>
      <c r="C985" s="152" t="s">
        <v>2675</v>
      </c>
      <c r="D985" s="152" t="s">
        <v>1435</v>
      </c>
      <c r="E985" s="152" t="s">
        <v>1435</v>
      </c>
      <c r="F985" s="152" t="s">
        <v>2398</v>
      </c>
      <c r="G985" s="152" t="s">
        <v>2705</v>
      </c>
      <c r="H985" s="152" t="s">
        <v>2398</v>
      </c>
      <c r="I985" s="152" t="s">
        <v>2705</v>
      </c>
      <c r="J985" s="152" t="s">
        <v>2705</v>
      </c>
      <c r="K985" s="152" t="s">
        <v>2398</v>
      </c>
      <c r="L985" s="152" t="s">
        <v>2705</v>
      </c>
      <c r="M985" s="152" t="s">
        <v>2398</v>
      </c>
      <c r="N985" s="152" t="s">
        <v>2398</v>
      </c>
      <c r="O985" s="152" t="s">
        <v>2398</v>
      </c>
      <c r="P985" s="152" t="s">
        <v>2705</v>
      </c>
      <c r="Q985" s="152" t="s">
        <v>2397</v>
      </c>
      <c r="R985" s="152" t="s">
        <v>2705</v>
      </c>
      <c r="S985" s="152" t="s">
        <v>2705</v>
      </c>
      <c r="T985" s="152" t="s">
        <v>2397</v>
      </c>
      <c r="U985" s="152" t="s">
        <v>2705</v>
      </c>
      <c r="V985" s="142" cm="1">
        <f t="array" ref="V985">IF(A985&lt;&gt;"",SUM(--(B985:U986 = "X")*$U$3,--(B985:U986 ="A")*$Q$3,--(B985:U986 ="B")*$R$3,--(B985:U986 ="C")*$S$3),"")</f>
        <v>13.5</v>
      </c>
      <c r="AF985" s="142" t="s">
        <v>7809</v>
      </c>
      <c r="AG985" s="142" t="s">
        <v>2705</v>
      </c>
      <c r="AH985" s="142" t="s">
        <v>2675</v>
      </c>
      <c r="AI985" s="142" t="s">
        <v>1435</v>
      </c>
      <c r="AJ985" s="142" t="s">
        <v>1435</v>
      </c>
      <c r="AK985" s="142" t="s">
        <v>2398</v>
      </c>
      <c r="AL985" s="142" t="s">
        <v>2705</v>
      </c>
      <c r="AM985" s="142" t="s">
        <v>2398</v>
      </c>
      <c r="AN985" s="142" t="s">
        <v>2705</v>
      </c>
      <c r="AO985" s="142" t="s">
        <v>2705</v>
      </c>
      <c r="AP985" s="142" t="s">
        <v>2398</v>
      </c>
      <c r="AQ985" s="142" t="s">
        <v>2705</v>
      </c>
      <c r="AR985" s="142" t="s">
        <v>2398</v>
      </c>
      <c r="AS985" s="142" t="s">
        <v>2398</v>
      </c>
      <c r="AT985" s="142" t="s">
        <v>2398</v>
      </c>
      <c r="AU985" s="142" t="s">
        <v>2705</v>
      </c>
      <c r="AV985" s="142" t="s">
        <v>2397</v>
      </c>
      <c r="AW985" s="142" t="s">
        <v>2705</v>
      </c>
      <c r="AX985" s="142" t="s">
        <v>2705</v>
      </c>
      <c r="AY985" s="142" t="s">
        <v>2397</v>
      </c>
      <c r="AZ985" s="142" t="s">
        <v>2705</v>
      </c>
    </row>
    <row r="986" spans="1:52" s="142" customFormat="1" ht="12.75" x14ac:dyDescent="0.2">
      <c r="A986" s="151"/>
      <c r="B986" s="152" t="s">
        <v>2675</v>
      </c>
      <c r="C986" s="152" t="s">
        <v>2675</v>
      </c>
      <c r="D986" s="152" t="s">
        <v>2705</v>
      </c>
      <c r="E986" s="152" t="s">
        <v>2705</v>
      </c>
      <c r="F986" s="152" t="s">
        <v>2705</v>
      </c>
      <c r="G986" s="152" t="s">
        <v>2675</v>
      </c>
      <c r="H986" s="152" t="s">
        <v>2705</v>
      </c>
      <c r="I986" s="152" t="s">
        <v>2398</v>
      </c>
      <c r="J986" s="152" t="s">
        <v>2397</v>
      </c>
      <c r="K986" s="152" t="s">
        <v>2398</v>
      </c>
      <c r="L986" s="152" t="s">
        <v>2398</v>
      </c>
      <c r="M986" s="152" t="s">
        <v>2705</v>
      </c>
      <c r="N986" s="152" t="s">
        <v>2705</v>
      </c>
      <c r="O986" s="152" t="s">
        <v>2398</v>
      </c>
      <c r="P986" s="152" t="s">
        <v>2705</v>
      </c>
      <c r="Q986" s="152" t="s">
        <v>2398</v>
      </c>
      <c r="R986" s="152" t="s">
        <v>2675</v>
      </c>
      <c r="S986" s="152" t="s">
        <v>2705</v>
      </c>
      <c r="T986" s="152" t="s">
        <v>2397</v>
      </c>
      <c r="U986" s="152" t="s">
        <v>2398</v>
      </c>
      <c r="V986" s="142" t="str" cm="1">
        <f t="array" ref="V986">IF(A986&lt;&gt;"",SUM(--(B986:U987 = "X")*$U$3,--(B986:U987 ="A")*$Q$3,--(B986:U987 ="B")*$R$3,--(B986:U987 ="C")*$S$3),"")</f>
        <v/>
      </c>
      <c r="AG986" s="142" t="s">
        <v>2675</v>
      </c>
      <c r="AH986" s="142" t="s">
        <v>2675</v>
      </c>
      <c r="AI986" s="142" t="s">
        <v>2705</v>
      </c>
      <c r="AJ986" s="142" t="s">
        <v>2705</v>
      </c>
      <c r="AK986" s="142" t="s">
        <v>2705</v>
      </c>
      <c r="AL986" s="142" t="s">
        <v>2675</v>
      </c>
      <c r="AM986" s="142" t="s">
        <v>2705</v>
      </c>
      <c r="AN986" s="142" t="s">
        <v>2398</v>
      </c>
      <c r="AO986" s="142" t="s">
        <v>2397</v>
      </c>
      <c r="AP986" s="142" t="s">
        <v>2398</v>
      </c>
      <c r="AQ986" s="142" t="s">
        <v>2398</v>
      </c>
      <c r="AR986" s="142" t="s">
        <v>2705</v>
      </c>
      <c r="AS986" s="142" t="s">
        <v>2705</v>
      </c>
      <c r="AT986" s="142" t="s">
        <v>2398</v>
      </c>
      <c r="AU986" s="142" t="s">
        <v>2705</v>
      </c>
      <c r="AV986" s="142" t="s">
        <v>2398</v>
      </c>
      <c r="AW986" s="142" t="s">
        <v>2675</v>
      </c>
      <c r="AX986" s="142" t="s">
        <v>2705</v>
      </c>
      <c r="AY986" s="142" t="s">
        <v>2397</v>
      </c>
      <c r="AZ986" s="142" t="s">
        <v>2398</v>
      </c>
    </row>
    <row r="987" spans="1:52" s="142" customFormat="1" ht="12.75" x14ac:dyDescent="0.2">
      <c r="A987" s="151" t="s">
        <v>7810</v>
      </c>
      <c r="B987" s="152" t="s">
        <v>2398</v>
      </c>
      <c r="C987" s="152" t="s">
        <v>2398</v>
      </c>
      <c r="D987" s="152" t="s">
        <v>2398</v>
      </c>
      <c r="E987" s="152" t="s">
        <v>2397</v>
      </c>
      <c r="F987" s="152" t="s">
        <v>2398</v>
      </c>
      <c r="G987" s="152" t="s">
        <v>2398</v>
      </c>
      <c r="H987" s="152" t="s">
        <v>2675</v>
      </c>
      <c r="I987" s="152" t="s">
        <v>2398</v>
      </c>
      <c r="J987" s="152" t="s">
        <v>2675</v>
      </c>
      <c r="K987" s="152" t="s">
        <v>2398</v>
      </c>
      <c r="L987" s="152" t="s">
        <v>2398</v>
      </c>
      <c r="M987" s="152" t="s">
        <v>2398</v>
      </c>
      <c r="N987" s="152" t="s">
        <v>2398</v>
      </c>
      <c r="O987" s="152" t="s">
        <v>2705</v>
      </c>
      <c r="P987" s="152" t="s">
        <v>2705</v>
      </c>
      <c r="Q987" s="152" t="s">
        <v>2705</v>
      </c>
      <c r="R987" s="152" t="s">
        <v>2705</v>
      </c>
      <c r="S987" s="152" t="s">
        <v>2705</v>
      </c>
      <c r="T987" s="152" t="s">
        <v>2398</v>
      </c>
      <c r="U987" s="152" t="s">
        <v>2398</v>
      </c>
      <c r="V987" s="142" cm="1">
        <f t="array" ref="V987">IF(A987&lt;&gt;"",SUM(--(B987:U988 = "X")*$U$3,--(B987:U988 ="A")*$Q$3,--(B987:U988 ="B")*$R$3,--(B987:U988 ="C")*$S$3),"")</f>
        <v>11</v>
      </c>
      <c r="AF987" s="142" t="s">
        <v>7810</v>
      </c>
      <c r="AG987" s="142" t="s">
        <v>2398</v>
      </c>
      <c r="AH987" s="142" t="s">
        <v>2398</v>
      </c>
      <c r="AI987" s="142" t="s">
        <v>2398</v>
      </c>
      <c r="AJ987" s="142" t="s">
        <v>2397</v>
      </c>
      <c r="AK987" s="142" t="s">
        <v>2398</v>
      </c>
      <c r="AL987" s="142" t="s">
        <v>2398</v>
      </c>
      <c r="AM987" s="142" t="s">
        <v>2675</v>
      </c>
      <c r="AN987" s="142" t="s">
        <v>2398</v>
      </c>
      <c r="AO987" s="142" t="s">
        <v>2675</v>
      </c>
      <c r="AP987" s="142" t="s">
        <v>2398</v>
      </c>
      <c r="AQ987" s="142" t="s">
        <v>2398</v>
      </c>
      <c r="AR987" s="142" t="s">
        <v>2398</v>
      </c>
      <c r="AS987" s="142" t="s">
        <v>2398</v>
      </c>
      <c r="AT987" s="142" t="s">
        <v>2705</v>
      </c>
      <c r="AU987" s="142" t="s">
        <v>2705</v>
      </c>
      <c r="AV987" s="142" t="s">
        <v>2705</v>
      </c>
      <c r="AW987" s="142" t="s">
        <v>2705</v>
      </c>
      <c r="AX987" s="142" t="s">
        <v>2705</v>
      </c>
      <c r="AY987" s="142" t="s">
        <v>2398</v>
      </c>
      <c r="AZ987" s="142" t="s">
        <v>2398</v>
      </c>
    </row>
    <row r="988" spans="1:52" s="142" customFormat="1" ht="12.75" x14ac:dyDescent="0.2">
      <c r="A988" s="151"/>
      <c r="B988" s="152" t="s">
        <v>2705</v>
      </c>
      <c r="C988" s="152" t="s">
        <v>2398</v>
      </c>
      <c r="D988" s="152" t="s">
        <v>1435</v>
      </c>
      <c r="E988" s="152" t="s">
        <v>2705</v>
      </c>
      <c r="F988" s="152" t="s">
        <v>2398</v>
      </c>
      <c r="G988" s="152" t="s">
        <v>2705</v>
      </c>
      <c r="H988" s="152" t="s">
        <v>1435</v>
      </c>
      <c r="I988" s="152" t="s">
        <v>2705</v>
      </c>
      <c r="J988" s="152" t="s">
        <v>2397</v>
      </c>
      <c r="K988" s="152" t="s">
        <v>2705</v>
      </c>
      <c r="L988" s="152" t="s">
        <v>2705</v>
      </c>
      <c r="M988" s="152" t="s">
        <v>2398</v>
      </c>
      <c r="N988" s="152" t="s">
        <v>2397</v>
      </c>
      <c r="O988" s="152" t="s">
        <v>1435</v>
      </c>
      <c r="P988" s="152" t="s">
        <v>2705</v>
      </c>
      <c r="Q988" s="152" t="s">
        <v>2398</v>
      </c>
      <c r="R988" s="152" t="s">
        <v>2705</v>
      </c>
      <c r="S988" s="152" t="s">
        <v>2705</v>
      </c>
      <c r="T988" s="152" t="s">
        <v>2675</v>
      </c>
      <c r="U988" s="152" t="s">
        <v>2398</v>
      </c>
      <c r="V988" s="142" t="str" cm="1">
        <f t="array" ref="V988">IF(A988&lt;&gt;"",SUM(--(B988:U989 = "X")*$U$3,--(B988:U989 ="A")*$Q$3,--(B988:U989 ="B")*$R$3,--(B988:U989 ="C")*$S$3),"")</f>
        <v/>
      </c>
      <c r="AG988" s="142" t="s">
        <v>2705</v>
      </c>
      <c r="AH988" s="142" t="s">
        <v>2398</v>
      </c>
      <c r="AI988" s="142" t="s">
        <v>1435</v>
      </c>
      <c r="AJ988" s="142" t="s">
        <v>2705</v>
      </c>
      <c r="AK988" s="142" t="s">
        <v>2398</v>
      </c>
      <c r="AL988" s="142" t="s">
        <v>2705</v>
      </c>
      <c r="AM988" s="142" t="s">
        <v>1435</v>
      </c>
      <c r="AN988" s="142" t="s">
        <v>2705</v>
      </c>
      <c r="AO988" s="142" t="s">
        <v>2397</v>
      </c>
      <c r="AP988" s="142" t="s">
        <v>2705</v>
      </c>
      <c r="AQ988" s="142" t="s">
        <v>2705</v>
      </c>
      <c r="AR988" s="142" t="s">
        <v>2398</v>
      </c>
      <c r="AS988" s="142" t="s">
        <v>2397</v>
      </c>
      <c r="AT988" s="142" t="s">
        <v>1435</v>
      </c>
      <c r="AU988" s="142" t="s">
        <v>2705</v>
      </c>
      <c r="AV988" s="142" t="s">
        <v>2398</v>
      </c>
      <c r="AW988" s="142" t="s">
        <v>2705</v>
      </c>
      <c r="AX988" s="142" t="s">
        <v>2705</v>
      </c>
      <c r="AY988" s="142" t="s">
        <v>2675</v>
      </c>
      <c r="AZ988" s="142" t="s">
        <v>2398</v>
      </c>
    </row>
    <row r="989" spans="1:52" s="142" customFormat="1" ht="12.75" x14ac:dyDescent="0.2">
      <c r="A989" s="151" t="s">
        <v>7811</v>
      </c>
      <c r="B989" s="152" t="s">
        <v>2397</v>
      </c>
      <c r="C989" s="152" t="s">
        <v>2705</v>
      </c>
      <c r="D989" s="152" t="s">
        <v>2398</v>
      </c>
      <c r="E989" s="152" t="s">
        <v>2705</v>
      </c>
      <c r="F989" s="152" t="s">
        <v>2398</v>
      </c>
      <c r="G989" s="152" t="s">
        <v>2705</v>
      </c>
      <c r="H989" s="152" t="s">
        <v>2705</v>
      </c>
      <c r="I989" s="152" t="s">
        <v>2675</v>
      </c>
      <c r="J989" s="152" t="s">
        <v>1435</v>
      </c>
      <c r="K989" s="152" t="s">
        <v>2705</v>
      </c>
      <c r="L989" s="152" t="s">
        <v>2705</v>
      </c>
      <c r="M989" s="152" t="s">
        <v>2705</v>
      </c>
      <c r="N989" s="152" t="s">
        <v>2398</v>
      </c>
      <c r="O989" s="152" t="s">
        <v>2705</v>
      </c>
      <c r="P989" s="152" t="s">
        <v>2705</v>
      </c>
      <c r="Q989" s="152" t="s">
        <v>2705</v>
      </c>
      <c r="R989" s="152" t="s">
        <v>2675</v>
      </c>
      <c r="S989" s="152" t="s">
        <v>2675</v>
      </c>
      <c r="T989" s="152" t="s">
        <v>2705</v>
      </c>
      <c r="U989" s="152" t="s">
        <v>2705</v>
      </c>
      <c r="V989" s="142" cm="1">
        <f t="array" ref="V989">IF(A989&lt;&gt;"",SUM(--(B989:U990 = "X")*$U$3,--(B989:U990 ="A")*$Q$3,--(B989:U990 ="B")*$R$3,--(B989:U990 ="C")*$S$3),"")</f>
        <v>19</v>
      </c>
      <c r="AF989" s="142" t="s">
        <v>7811</v>
      </c>
      <c r="AG989" s="142" t="s">
        <v>2397</v>
      </c>
      <c r="AH989" s="142" t="s">
        <v>2705</v>
      </c>
      <c r="AI989" s="142" t="s">
        <v>2398</v>
      </c>
      <c r="AJ989" s="142" t="s">
        <v>2705</v>
      </c>
      <c r="AK989" s="142" t="s">
        <v>2398</v>
      </c>
      <c r="AL989" s="142" t="s">
        <v>2705</v>
      </c>
      <c r="AM989" s="142" t="s">
        <v>2705</v>
      </c>
      <c r="AN989" s="142" t="s">
        <v>2675</v>
      </c>
      <c r="AO989" s="142" t="s">
        <v>1435</v>
      </c>
      <c r="AP989" s="142" t="s">
        <v>2705</v>
      </c>
      <c r="AQ989" s="142" t="s">
        <v>2705</v>
      </c>
      <c r="AR989" s="142" t="s">
        <v>2705</v>
      </c>
      <c r="AS989" s="142" t="s">
        <v>2398</v>
      </c>
      <c r="AT989" s="142" t="s">
        <v>2705</v>
      </c>
      <c r="AU989" s="142" t="s">
        <v>2705</v>
      </c>
      <c r="AV989" s="142" t="s">
        <v>2705</v>
      </c>
      <c r="AW989" s="142" t="s">
        <v>2675</v>
      </c>
      <c r="AX989" s="142" t="s">
        <v>2675</v>
      </c>
      <c r="AY989" s="142" t="s">
        <v>2705</v>
      </c>
      <c r="AZ989" s="142" t="s">
        <v>2705</v>
      </c>
    </row>
    <row r="990" spans="1:52" s="142" customFormat="1" ht="12.75" x14ac:dyDescent="0.2">
      <c r="A990" s="151"/>
      <c r="B990" s="152" t="s">
        <v>2705</v>
      </c>
      <c r="C990" s="152" t="s">
        <v>2398</v>
      </c>
      <c r="D990" s="152" t="s">
        <v>2398</v>
      </c>
      <c r="E990" s="152" t="s">
        <v>2398</v>
      </c>
      <c r="F990" s="152" t="s">
        <v>2705</v>
      </c>
      <c r="G990" s="152" t="s">
        <v>2705</v>
      </c>
      <c r="H990" s="152" t="s">
        <v>2397</v>
      </c>
      <c r="I990" s="152" t="s">
        <v>2705</v>
      </c>
      <c r="J990" s="152" t="s">
        <v>2397</v>
      </c>
      <c r="K990" s="152" t="s">
        <v>1435</v>
      </c>
      <c r="L990" s="152" t="s">
        <v>2705</v>
      </c>
      <c r="M990" s="152" t="s">
        <v>2398</v>
      </c>
      <c r="N990" s="152" t="s">
        <v>2705</v>
      </c>
      <c r="O990" s="152" t="s">
        <v>2398</v>
      </c>
      <c r="P990" s="152" t="s">
        <v>1435</v>
      </c>
      <c r="Q990" s="152" t="s">
        <v>2705</v>
      </c>
      <c r="R990" s="152" t="s">
        <v>2705</v>
      </c>
      <c r="S990" s="152" t="s">
        <v>2705</v>
      </c>
      <c r="T990" s="152" t="s">
        <v>2705</v>
      </c>
      <c r="U990" s="152" t="s">
        <v>2398</v>
      </c>
      <c r="V990" s="142" t="str" cm="1">
        <f t="array" ref="V990">IF(A990&lt;&gt;"",SUM(--(B990:U991 = "X")*$U$3,--(B990:U991 ="A")*$Q$3,--(B990:U991 ="B")*$R$3,--(B990:U991 ="C")*$S$3),"")</f>
        <v/>
      </c>
      <c r="AG990" s="142" t="s">
        <v>2705</v>
      </c>
      <c r="AH990" s="142" t="s">
        <v>2398</v>
      </c>
      <c r="AI990" s="142" t="s">
        <v>2398</v>
      </c>
      <c r="AJ990" s="142" t="s">
        <v>2398</v>
      </c>
      <c r="AK990" s="142" t="s">
        <v>2705</v>
      </c>
      <c r="AL990" s="142" t="s">
        <v>2705</v>
      </c>
      <c r="AM990" s="142" t="s">
        <v>2397</v>
      </c>
      <c r="AN990" s="142" t="s">
        <v>2705</v>
      </c>
      <c r="AO990" s="142" t="s">
        <v>2397</v>
      </c>
      <c r="AP990" s="142" t="s">
        <v>1435</v>
      </c>
      <c r="AQ990" s="142" t="s">
        <v>2705</v>
      </c>
      <c r="AR990" s="142" t="s">
        <v>2398</v>
      </c>
      <c r="AS990" s="142" t="s">
        <v>2705</v>
      </c>
      <c r="AT990" s="142" t="s">
        <v>2398</v>
      </c>
      <c r="AU990" s="142" t="s">
        <v>1435</v>
      </c>
      <c r="AV990" s="142" t="s">
        <v>2705</v>
      </c>
      <c r="AW990" s="142" t="s">
        <v>2705</v>
      </c>
      <c r="AX990" s="142" t="s">
        <v>2705</v>
      </c>
      <c r="AY990" s="142" t="s">
        <v>2705</v>
      </c>
      <c r="AZ990" s="142" t="s">
        <v>2398</v>
      </c>
    </row>
    <row r="991" spans="1:52" s="142" customFormat="1" ht="12.75" x14ac:dyDescent="0.2">
      <c r="A991" s="151" t="s">
        <v>7812</v>
      </c>
      <c r="B991" s="152" t="s">
        <v>2705</v>
      </c>
      <c r="C991" s="152" t="s">
        <v>2398</v>
      </c>
      <c r="D991" s="152" t="s">
        <v>2705</v>
      </c>
      <c r="E991" s="152" t="s">
        <v>2705</v>
      </c>
      <c r="F991" s="152" t="s">
        <v>2705</v>
      </c>
      <c r="G991" s="152" t="s">
        <v>2398</v>
      </c>
      <c r="H991" s="152" t="s">
        <v>2705</v>
      </c>
      <c r="I991" s="152" t="s">
        <v>2705</v>
      </c>
      <c r="J991" s="152" t="s">
        <v>2398</v>
      </c>
      <c r="K991" s="152" t="s">
        <v>2705</v>
      </c>
      <c r="L991" s="152" t="s">
        <v>2705</v>
      </c>
      <c r="M991" s="152" t="s">
        <v>2705</v>
      </c>
      <c r="N991" s="152" t="s">
        <v>2398</v>
      </c>
      <c r="O991" s="152" t="s">
        <v>2398</v>
      </c>
      <c r="P991" s="152" t="s">
        <v>2705</v>
      </c>
      <c r="Q991" s="152" t="s">
        <v>2398</v>
      </c>
      <c r="R991" s="152" t="s">
        <v>2705</v>
      </c>
      <c r="S991" s="152" t="s">
        <v>2398</v>
      </c>
      <c r="T991" s="152" t="s">
        <v>2705</v>
      </c>
      <c r="U991" s="152" t="s">
        <v>2398</v>
      </c>
      <c r="V991" s="142" cm="1">
        <f t="array" ref="V991">IF(A991&lt;&gt;"",SUM(--(B991:U992 = "X")*$U$3,--(B991:U992 ="A")*$Q$3,--(B991:U992 ="B")*$R$3,--(B991:U992 ="C")*$S$3),"")</f>
        <v>26</v>
      </c>
      <c r="AF991" s="142" t="s">
        <v>7812</v>
      </c>
      <c r="AG991" s="142" t="s">
        <v>2705</v>
      </c>
      <c r="AH991" s="142" t="s">
        <v>2398</v>
      </c>
      <c r="AI991" s="142" t="s">
        <v>2705</v>
      </c>
      <c r="AJ991" s="142" t="s">
        <v>2705</v>
      </c>
      <c r="AK991" s="142" t="s">
        <v>2705</v>
      </c>
      <c r="AL991" s="142" t="s">
        <v>2398</v>
      </c>
      <c r="AM991" s="142" t="s">
        <v>2705</v>
      </c>
      <c r="AN991" s="142" t="s">
        <v>2705</v>
      </c>
      <c r="AO991" s="142" t="s">
        <v>2398</v>
      </c>
      <c r="AP991" s="142" t="s">
        <v>2705</v>
      </c>
      <c r="AQ991" s="142" t="s">
        <v>2705</v>
      </c>
      <c r="AR991" s="142" t="s">
        <v>2705</v>
      </c>
      <c r="AS991" s="142" t="s">
        <v>2398</v>
      </c>
      <c r="AT991" s="142" t="s">
        <v>2398</v>
      </c>
      <c r="AU991" s="142" t="s">
        <v>2705</v>
      </c>
      <c r="AV991" s="142" t="s">
        <v>2398</v>
      </c>
      <c r="AW991" s="142" t="s">
        <v>2705</v>
      </c>
      <c r="AX991" s="142" t="s">
        <v>2398</v>
      </c>
      <c r="AY991" s="142" t="s">
        <v>2705</v>
      </c>
      <c r="AZ991" s="142" t="s">
        <v>2398</v>
      </c>
    </row>
    <row r="992" spans="1:52" s="142" customFormat="1" ht="12.75" x14ac:dyDescent="0.2">
      <c r="A992" s="151"/>
      <c r="B992" s="152" t="s">
        <v>2398</v>
      </c>
      <c r="C992" s="152" t="s">
        <v>2398</v>
      </c>
      <c r="D992" s="152" t="s">
        <v>2705</v>
      </c>
      <c r="E992" s="152" t="s">
        <v>2705</v>
      </c>
      <c r="F992" s="152" t="s">
        <v>2705</v>
      </c>
      <c r="G992" s="152" t="s">
        <v>2398</v>
      </c>
      <c r="H992" s="152" t="s">
        <v>2705</v>
      </c>
      <c r="I992" s="152" t="s">
        <v>2705</v>
      </c>
      <c r="J992" s="152" t="s">
        <v>2705</v>
      </c>
      <c r="K992" s="152" t="s">
        <v>2398</v>
      </c>
      <c r="L992" s="152" t="s">
        <v>2705</v>
      </c>
      <c r="M992" s="152" t="s">
        <v>2398</v>
      </c>
      <c r="N992" s="152" t="s">
        <v>2705</v>
      </c>
      <c r="O992" s="152" t="s">
        <v>2705</v>
      </c>
      <c r="P992" s="152" t="s">
        <v>2705</v>
      </c>
      <c r="Q992" s="152" t="s">
        <v>2398</v>
      </c>
      <c r="R992" s="152" t="s">
        <v>2705</v>
      </c>
      <c r="S992" s="152" t="s">
        <v>2705</v>
      </c>
      <c r="T992" s="152" t="s">
        <v>2705</v>
      </c>
      <c r="U992" s="152" t="s">
        <v>2705</v>
      </c>
      <c r="V992" s="142" t="str" cm="1">
        <f t="array" ref="V992">IF(A992&lt;&gt;"",SUM(--(B992:U993 = "X")*$U$3,--(B992:U993 ="A")*$Q$3,--(B992:U993 ="B")*$R$3,--(B992:U993 ="C")*$S$3),"")</f>
        <v/>
      </c>
      <c r="AG992" s="142" t="s">
        <v>2398</v>
      </c>
      <c r="AH992" s="142" t="s">
        <v>2398</v>
      </c>
      <c r="AI992" s="142" t="s">
        <v>2705</v>
      </c>
      <c r="AJ992" s="142" t="s">
        <v>2705</v>
      </c>
      <c r="AK992" s="142" t="s">
        <v>2705</v>
      </c>
      <c r="AL992" s="142" t="s">
        <v>2398</v>
      </c>
      <c r="AM992" s="142" t="s">
        <v>2705</v>
      </c>
      <c r="AN992" s="142" t="s">
        <v>2705</v>
      </c>
      <c r="AO992" s="142" t="s">
        <v>2705</v>
      </c>
      <c r="AP992" s="142" t="s">
        <v>2398</v>
      </c>
      <c r="AQ992" s="142" t="s">
        <v>2705</v>
      </c>
      <c r="AR992" s="142" t="s">
        <v>2398</v>
      </c>
      <c r="AS992" s="142" t="s">
        <v>2705</v>
      </c>
      <c r="AT992" s="142" t="s">
        <v>2705</v>
      </c>
      <c r="AU992" s="142" t="s">
        <v>2705</v>
      </c>
      <c r="AV992" s="142" t="s">
        <v>2398</v>
      </c>
      <c r="AW992" s="142" t="s">
        <v>2705</v>
      </c>
      <c r="AX992" s="142" t="s">
        <v>2705</v>
      </c>
      <c r="AY992" s="142" t="s">
        <v>2705</v>
      </c>
      <c r="AZ992" s="142" t="s">
        <v>2705</v>
      </c>
    </row>
    <row r="993" spans="1:52" s="142" customFormat="1" ht="12.75" x14ac:dyDescent="0.2">
      <c r="A993" s="151" t="s">
        <v>7813</v>
      </c>
      <c r="B993" s="152" t="s">
        <v>2705</v>
      </c>
      <c r="C993" s="152" t="s">
        <v>2705</v>
      </c>
      <c r="D993" s="152" t="s">
        <v>2705</v>
      </c>
      <c r="E993" s="152" t="s">
        <v>2705</v>
      </c>
      <c r="F993" s="152" t="s">
        <v>2398</v>
      </c>
      <c r="G993" s="152" t="s">
        <v>2705</v>
      </c>
      <c r="H993" s="152" t="s">
        <v>2398</v>
      </c>
      <c r="I993" s="152" t="s">
        <v>2705</v>
      </c>
      <c r="J993" s="152" t="s">
        <v>2705</v>
      </c>
      <c r="K993" s="152" t="s">
        <v>2398</v>
      </c>
      <c r="L993" s="152" t="s">
        <v>2705</v>
      </c>
      <c r="M993" s="152" t="s">
        <v>2398</v>
      </c>
      <c r="N993" s="152" t="s">
        <v>2705</v>
      </c>
      <c r="O993" s="152" t="s">
        <v>2398</v>
      </c>
      <c r="P993" s="152" t="s">
        <v>2675</v>
      </c>
      <c r="Q993" s="152" t="s">
        <v>2398</v>
      </c>
      <c r="R993" s="152" t="s">
        <v>2398</v>
      </c>
      <c r="S993" s="152" t="s">
        <v>2398</v>
      </c>
      <c r="T993" s="152" t="s">
        <v>2398</v>
      </c>
      <c r="U993" s="152" t="s">
        <v>2705</v>
      </c>
      <c r="V993" s="142" cm="1">
        <f t="array" ref="V993">IF(A993&lt;&gt;"",SUM(--(B993:U994 = "X")*$U$3,--(B993:U994 ="A")*$Q$3,--(B993:U994 ="B")*$R$3,--(B993:U994 ="C")*$S$3),"")</f>
        <v>17</v>
      </c>
      <c r="AF993" s="142" t="s">
        <v>7813</v>
      </c>
      <c r="AG993" s="142" t="s">
        <v>2705</v>
      </c>
      <c r="AH993" s="142" t="s">
        <v>2705</v>
      </c>
      <c r="AI993" s="142" t="s">
        <v>2705</v>
      </c>
      <c r="AJ993" s="142" t="s">
        <v>2705</v>
      </c>
      <c r="AK993" s="142" t="s">
        <v>2398</v>
      </c>
      <c r="AL993" s="142" t="s">
        <v>2705</v>
      </c>
      <c r="AM993" s="142" t="s">
        <v>2398</v>
      </c>
      <c r="AN993" s="142" t="s">
        <v>2705</v>
      </c>
      <c r="AO993" s="142" t="s">
        <v>2705</v>
      </c>
      <c r="AP993" s="142" t="s">
        <v>2398</v>
      </c>
      <c r="AQ993" s="142" t="s">
        <v>2705</v>
      </c>
      <c r="AR993" s="142" t="s">
        <v>2398</v>
      </c>
      <c r="AS993" s="142" t="s">
        <v>2705</v>
      </c>
      <c r="AT993" s="142" t="s">
        <v>2398</v>
      </c>
      <c r="AU993" s="142" t="s">
        <v>2675</v>
      </c>
      <c r="AV993" s="142" t="s">
        <v>2398</v>
      </c>
      <c r="AW993" s="142" t="s">
        <v>2398</v>
      </c>
      <c r="AX993" s="142" t="s">
        <v>2398</v>
      </c>
      <c r="AY993" s="142" t="s">
        <v>2398</v>
      </c>
      <c r="AZ993" s="142" t="s">
        <v>2705</v>
      </c>
    </row>
    <row r="994" spans="1:52" s="142" customFormat="1" ht="12.75" x14ac:dyDescent="0.2">
      <c r="A994" s="151"/>
      <c r="B994" s="152" t="s">
        <v>2705</v>
      </c>
      <c r="C994" s="152" t="s">
        <v>2398</v>
      </c>
      <c r="D994" s="152" t="s">
        <v>2705</v>
      </c>
      <c r="E994" s="152" t="s">
        <v>2398</v>
      </c>
      <c r="F994" s="152" t="s">
        <v>2705</v>
      </c>
      <c r="G994" s="152" t="s">
        <v>1435</v>
      </c>
      <c r="H994" s="152" t="s">
        <v>2398</v>
      </c>
      <c r="I994" s="152" t="s">
        <v>2705</v>
      </c>
      <c r="J994" s="152" t="s">
        <v>2705</v>
      </c>
      <c r="K994" s="152" t="s">
        <v>1435</v>
      </c>
      <c r="L994" s="152" t="s">
        <v>2398</v>
      </c>
      <c r="M994" s="152" t="s">
        <v>2675</v>
      </c>
      <c r="N994" s="152" t="s">
        <v>2398</v>
      </c>
      <c r="O994" s="152" t="s">
        <v>2705</v>
      </c>
      <c r="P994" s="152" t="s">
        <v>2705</v>
      </c>
      <c r="Q994" s="152" t="s">
        <v>2705</v>
      </c>
      <c r="R994" s="152" t="s">
        <v>2398</v>
      </c>
      <c r="S994" s="152" t="s">
        <v>2398</v>
      </c>
      <c r="T994" s="152" t="s">
        <v>2398</v>
      </c>
      <c r="U994" s="152" t="s">
        <v>2705</v>
      </c>
      <c r="V994" s="142" t="str" cm="1">
        <f t="array" ref="V994">IF(A994&lt;&gt;"",SUM(--(B994:U995 = "X")*$U$3,--(B994:U995 ="A")*$Q$3,--(B994:U995 ="B")*$R$3,--(B994:U995 ="C")*$S$3),"")</f>
        <v/>
      </c>
      <c r="AG994" s="142" t="s">
        <v>2705</v>
      </c>
      <c r="AH994" s="142" t="s">
        <v>2398</v>
      </c>
      <c r="AI994" s="142" t="s">
        <v>2705</v>
      </c>
      <c r="AJ994" s="142" t="s">
        <v>2398</v>
      </c>
      <c r="AK994" s="142" t="s">
        <v>2705</v>
      </c>
      <c r="AL994" s="142" t="s">
        <v>1435</v>
      </c>
      <c r="AM994" s="142" t="s">
        <v>2398</v>
      </c>
      <c r="AN994" s="142" t="s">
        <v>2705</v>
      </c>
      <c r="AO994" s="142" t="s">
        <v>2705</v>
      </c>
      <c r="AP994" s="142" t="s">
        <v>1435</v>
      </c>
      <c r="AQ994" s="142" t="s">
        <v>2398</v>
      </c>
      <c r="AR994" s="142" t="s">
        <v>2675</v>
      </c>
      <c r="AS994" s="142" t="s">
        <v>2398</v>
      </c>
      <c r="AT994" s="142" t="s">
        <v>2705</v>
      </c>
      <c r="AU994" s="142" t="s">
        <v>2705</v>
      </c>
      <c r="AV994" s="142" t="s">
        <v>2705</v>
      </c>
      <c r="AW994" s="142" t="s">
        <v>2398</v>
      </c>
      <c r="AX994" s="142" t="s">
        <v>2398</v>
      </c>
      <c r="AY994" s="142" t="s">
        <v>2398</v>
      </c>
      <c r="AZ994" s="142" t="s">
        <v>2705</v>
      </c>
    </row>
    <row r="995" spans="1:52" s="142" customFormat="1" ht="12.75" x14ac:dyDescent="0.2">
      <c r="A995" s="151" t="s">
        <v>7814</v>
      </c>
      <c r="B995" s="152" t="s">
        <v>2705</v>
      </c>
      <c r="C995" s="152" t="s">
        <v>2397</v>
      </c>
      <c r="D995" s="152" t="s">
        <v>2675</v>
      </c>
      <c r="E995" s="152" t="s">
        <v>2398</v>
      </c>
      <c r="F995" s="152" t="s">
        <v>2705</v>
      </c>
      <c r="G995" s="152" t="s">
        <v>2398</v>
      </c>
      <c r="H995" s="152" t="s">
        <v>2397</v>
      </c>
      <c r="I995" s="152" t="s">
        <v>2398</v>
      </c>
      <c r="J995" s="152" t="s">
        <v>2398</v>
      </c>
      <c r="K995" s="152" t="s">
        <v>1435</v>
      </c>
      <c r="L995" s="152" t="s">
        <v>2705</v>
      </c>
      <c r="M995" s="152" t="s">
        <v>2705</v>
      </c>
      <c r="N995" s="152" t="s">
        <v>2705</v>
      </c>
      <c r="O995" s="152" t="s">
        <v>2398</v>
      </c>
      <c r="P995" s="152" t="s">
        <v>2675</v>
      </c>
      <c r="Q995" s="152" t="s">
        <v>1435</v>
      </c>
      <c r="R995" s="152" t="s">
        <v>2397</v>
      </c>
      <c r="S995" s="152" t="s">
        <v>2398</v>
      </c>
      <c r="T995" s="152" t="s">
        <v>2398</v>
      </c>
      <c r="U995" s="152" t="s">
        <v>2705</v>
      </c>
      <c r="V995" s="142" cm="1">
        <f t="array" ref="V995">IF(A995&lt;&gt;"",SUM(--(B995:U996 = "X")*$U$3,--(B995:U996 ="A")*$Q$3,--(B995:U996 ="B")*$R$3,--(B995:U996 ="C")*$S$3),"")</f>
        <v>10.5</v>
      </c>
      <c r="AF995" s="142" t="s">
        <v>7814</v>
      </c>
      <c r="AG995" s="142" t="s">
        <v>2705</v>
      </c>
      <c r="AH995" s="142" t="s">
        <v>2397</v>
      </c>
      <c r="AI995" s="142" t="s">
        <v>2675</v>
      </c>
      <c r="AJ995" s="142" t="s">
        <v>2398</v>
      </c>
      <c r="AK995" s="142" t="s">
        <v>2705</v>
      </c>
      <c r="AL995" s="142" t="s">
        <v>2398</v>
      </c>
      <c r="AM995" s="142" t="s">
        <v>2397</v>
      </c>
      <c r="AN995" s="142" t="s">
        <v>2398</v>
      </c>
      <c r="AO995" s="142" t="s">
        <v>2398</v>
      </c>
      <c r="AP995" s="142" t="s">
        <v>1435</v>
      </c>
      <c r="AQ995" s="142" t="s">
        <v>2705</v>
      </c>
      <c r="AR995" s="142" t="s">
        <v>2705</v>
      </c>
      <c r="AS995" s="142" t="s">
        <v>2705</v>
      </c>
      <c r="AT995" s="142" t="s">
        <v>2398</v>
      </c>
      <c r="AU995" s="142" t="s">
        <v>2675</v>
      </c>
      <c r="AV995" s="142" t="s">
        <v>1435</v>
      </c>
      <c r="AW995" s="142" t="s">
        <v>2397</v>
      </c>
      <c r="AX995" s="142" t="s">
        <v>2398</v>
      </c>
      <c r="AY995" s="142" t="s">
        <v>2398</v>
      </c>
      <c r="AZ995" s="142" t="s">
        <v>2705</v>
      </c>
    </row>
    <row r="996" spans="1:52" s="142" customFormat="1" ht="12.75" x14ac:dyDescent="0.2">
      <c r="A996" s="151"/>
      <c r="B996" s="152" t="s">
        <v>2398</v>
      </c>
      <c r="C996" s="152" t="s">
        <v>2705</v>
      </c>
      <c r="D996" s="152" t="s">
        <v>1435</v>
      </c>
      <c r="E996" s="152" t="s">
        <v>2705</v>
      </c>
      <c r="F996" s="152" t="s">
        <v>2675</v>
      </c>
      <c r="G996" s="152" t="s">
        <v>2705</v>
      </c>
      <c r="H996" s="152" t="s">
        <v>2705</v>
      </c>
      <c r="I996" s="152" t="s">
        <v>2398</v>
      </c>
      <c r="J996" s="152" t="s">
        <v>2705</v>
      </c>
      <c r="K996" s="152" t="s">
        <v>2398</v>
      </c>
      <c r="L996" s="152" t="s">
        <v>2398</v>
      </c>
      <c r="M996" s="152" t="s">
        <v>2398</v>
      </c>
      <c r="N996" s="152" t="s">
        <v>2705</v>
      </c>
      <c r="O996" s="152" t="s">
        <v>2705</v>
      </c>
      <c r="P996" s="152" t="s">
        <v>2398</v>
      </c>
      <c r="Q996" s="152" t="s">
        <v>2398</v>
      </c>
      <c r="R996" s="152" t="s">
        <v>2675</v>
      </c>
      <c r="S996" s="152" t="s">
        <v>2397</v>
      </c>
      <c r="T996" s="152" t="s">
        <v>2398</v>
      </c>
      <c r="U996" s="152" t="s">
        <v>2705</v>
      </c>
      <c r="V996" s="142" t="str" cm="1">
        <f t="array" ref="V996">IF(A996&lt;&gt;"",SUM(--(B996:U997 = "X")*$U$3,--(B996:U997 ="A")*$Q$3,--(B996:U997 ="B")*$R$3,--(B996:U997 ="C")*$S$3),"")</f>
        <v/>
      </c>
      <c r="AG996" s="142" t="s">
        <v>2398</v>
      </c>
      <c r="AH996" s="142" t="s">
        <v>2705</v>
      </c>
      <c r="AI996" s="142" t="s">
        <v>1435</v>
      </c>
      <c r="AJ996" s="142" t="s">
        <v>2705</v>
      </c>
      <c r="AK996" s="142" t="s">
        <v>2675</v>
      </c>
      <c r="AL996" s="142" t="s">
        <v>2705</v>
      </c>
      <c r="AM996" s="142" t="s">
        <v>2705</v>
      </c>
      <c r="AN996" s="142" t="s">
        <v>2398</v>
      </c>
      <c r="AO996" s="142" t="s">
        <v>2705</v>
      </c>
      <c r="AP996" s="142" t="s">
        <v>2398</v>
      </c>
      <c r="AQ996" s="142" t="s">
        <v>2398</v>
      </c>
      <c r="AR996" s="142" t="s">
        <v>2398</v>
      </c>
      <c r="AS996" s="142" t="s">
        <v>2705</v>
      </c>
      <c r="AT996" s="142" t="s">
        <v>2705</v>
      </c>
      <c r="AU996" s="142" t="s">
        <v>2398</v>
      </c>
      <c r="AV996" s="142" t="s">
        <v>2398</v>
      </c>
      <c r="AW996" s="142" t="s">
        <v>2675</v>
      </c>
      <c r="AX996" s="142" t="s">
        <v>2397</v>
      </c>
      <c r="AY996" s="142" t="s">
        <v>2398</v>
      </c>
      <c r="AZ996" s="142" t="s">
        <v>2705</v>
      </c>
    </row>
    <row r="997" spans="1:52" s="142" customFormat="1" ht="12.75" x14ac:dyDescent="0.2">
      <c r="A997" s="151" t="s">
        <v>7815</v>
      </c>
      <c r="B997" s="152" t="s">
        <v>2705</v>
      </c>
      <c r="C997" s="152" t="s">
        <v>2705</v>
      </c>
      <c r="D997" s="152" t="s">
        <v>2705</v>
      </c>
      <c r="E997" s="152" t="s">
        <v>2705</v>
      </c>
      <c r="F997" s="152" t="s">
        <v>2705</v>
      </c>
      <c r="G997" s="152" t="s">
        <v>2705</v>
      </c>
      <c r="H997" s="152" t="s">
        <v>2398</v>
      </c>
      <c r="I997" s="152" t="s">
        <v>2705</v>
      </c>
      <c r="J997" s="152" t="s">
        <v>2398</v>
      </c>
      <c r="K997" s="152" t="s">
        <v>2705</v>
      </c>
      <c r="L997" s="152" t="s">
        <v>2397</v>
      </c>
      <c r="M997" s="152" t="s">
        <v>2705</v>
      </c>
      <c r="N997" s="152" t="s">
        <v>2705</v>
      </c>
      <c r="O997" s="152" t="s">
        <v>2705</v>
      </c>
      <c r="P997" s="152" t="s">
        <v>2398</v>
      </c>
      <c r="Q997" s="152" t="s">
        <v>2675</v>
      </c>
      <c r="R997" s="152" t="s">
        <v>2398</v>
      </c>
      <c r="S997" s="152" t="s">
        <v>2398</v>
      </c>
      <c r="T997" s="152" t="s">
        <v>2398</v>
      </c>
      <c r="U997" s="152" t="s">
        <v>2705</v>
      </c>
      <c r="V997" s="142" cm="1">
        <f t="array" ref="V997">IF(A997&lt;&gt;"",SUM(--(B997:U998 = "X")*$U$3,--(B997:U998 ="A")*$Q$3,--(B997:U998 ="B")*$R$3,--(B997:U998 ="C")*$S$3),"")</f>
        <v>26</v>
      </c>
      <c r="AF997" s="142" t="s">
        <v>7815</v>
      </c>
      <c r="AG997" s="142" t="s">
        <v>2705</v>
      </c>
      <c r="AH997" s="142" t="s">
        <v>2705</v>
      </c>
      <c r="AI997" s="142" t="s">
        <v>2705</v>
      </c>
      <c r="AJ997" s="142" t="s">
        <v>2705</v>
      </c>
      <c r="AK997" s="142" t="s">
        <v>2705</v>
      </c>
      <c r="AL997" s="142" t="s">
        <v>2705</v>
      </c>
      <c r="AM997" s="142" t="s">
        <v>2398</v>
      </c>
      <c r="AN997" s="142" t="s">
        <v>2705</v>
      </c>
      <c r="AO997" s="142" t="s">
        <v>2398</v>
      </c>
      <c r="AP997" s="142" t="s">
        <v>2705</v>
      </c>
      <c r="AQ997" s="142" t="s">
        <v>2397</v>
      </c>
      <c r="AR997" s="142" t="s">
        <v>2705</v>
      </c>
      <c r="AS997" s="142" t="s">
        <v>2705</v>
      </c>
      <c r="AT997" s="142" t="s">
        <v>2705</v>
      </c>
      <c r="AU997" s="142" t="s">
        <v>2398</v>
      </c>
      <c r="AV997" s="142" t="s">
        <v>2675</v>
      </c>
      <c r="AW997" s="142" t="s">
        <v>2398</v>
      </c>
      <c r="AX997" s="142" t="s">
        <v>2398</v>
      </c>
      <c r="AY997" s="142" t="s">
        <v>2398</v>
      </c>
      <c r="AZ997" s="142" t="s">
        <v>2705</v>
      </c>
    </row>
    <row r="998" spans="1:52" s="142" customFormat="1" ht="12.75" x14ac:dyDescent="0.2">
      <c r="A998" s="151"/>
      <c r="B998" s="152" t="s">
        <v>2705</v>
      </c>
      <c r="C998" s="152" t="s">
        <v>2675</v>
      </c>
      <c r="D998" s="152" t="s">
        <v>2398</v>
      </c>
      <c r="E998" s="152" t="s">
        <v>2705</v>
      </c>
      <c r="F998" s="152" t="s">
        <v>2705</v>
      </c>
      <c r="G998" s="152" t="s">
        <v>2705</v>
      </c>
      <c r="H998" s="152" t="s">
        <v>2398</v>
      </c>
      <c r="I998" s="152" t="s">
        <v>2705</v>
      </c>
      <c r="J998" s="152" t="s">
        <v>2705</v>
      </c>
      <c r="K998" s="152" t="s">
        <v>2705</v>
      </c>
      <c r="L998" s="152" t="s">
        <v>2705</v>
      </c>
      <c r="M998" s="152" t="s">
        <v>2705</v>
      </c>
      <c r="N998" s="152" t="s">
        <v>2705</v>
      </c>
      <c r="O998" s="152" t="s">
        <v>2705</v>
      </c>
      <c r="P998" s="152" t="s">
        <v>2705</v>
      </c>
      <c r="Q998" s="152" t="s">
        <v>2705</v>
      </c>
      <c r="R998" s="152" t="s">
        <v>2398</v>
      </c>
      <c r="S998" s="152" t="s">
        <v>2398</v>
      </c>
      <c r="T998" s="152" t="s">
        <v>2705</v>
      </c>
      <c r="U998" s="152" t="s">
        <v>2705</v>
      </c>
      <c r="V998" s="142" t="str" cm="1">
        <f t="array" ref="V998">IF(A998&lt;&gt;"",SUM(--(B998:U999 = "X")*$U$3,--(B998:U999 ="A")*$Q$3,--(B998:U999 ="B")*$R$3,--(B998:U999 ="C")*$S$3),"")</f>
        <v/>
      </c>
      <c r="AG998" s="142" t="s">
        <v>2705</v>
      </c>
      <c r="AH998" s="142" t="s">
        <v>2675</v>
      </c>
      <c r="AI998" s="142" t="s">
        <v>2398</v>
      </c>
      <c r="AJ998" s="142" t="s">
        <v>2705</v>
      </c>
      <c r="AK998" s="142" t="s">
        <v>2705</v>
      </c>
      <c r="AL998" s="142" t="s">
        <v>2705</v>
      </c>
      <c r="AM998" s="142" t="s">
        <v>2398</v>
      </c>
      <c r="AN998" s="142" t="s">
        <v>2705</v>
      </c>
      <c r="AO998" s="142" t="s">
        <v>2705</v>
      </c>
      <c r="AP998" s="142" t="s">
        <v>2705</v>
      </c>
      <c r="AQ998" s="142" t="s">
        <v>2705</v>
      </c>
      <c r="AR998" s="142" t="s">
        <v>2705</v>
      </c>
      <c r="AS998" s="142" t="s">
        <v>2705</v>
      </c>
      <c r="AT998" s="142" t="s">
        <v>2705</v>
      </c>
      <c r="AU998" s="142" t="s">
        <v>2705</v>
      </c>
      <c r="AV998" s="142" t="s">
        <v>2705</v>
      </c>
      <c r="AW998" s="142" t="s">
        <v>2398</v>
      </c>
      <c r="AX998" s="142" t="s">
        <v>2398</v>
      </c>
      <c r="AY998" s="142" t="s">
        <v>2705</v>
      </c>
      <c r="AZ998" s="142" t="s">
        <v>2705</v>
      </c>
    </row>
    <row r="999" spans="1:52" s="142" customFormat="1" ht="12.75" x14ac:dyDescent="0.2">
      <c r="A999" s="151" t="s">
        <v>7816</v>
      </c>
      <c r="B999" s="152" t="s">
        <v>2398</v>
      </c>
      <c r="C999" s="152" t="s">
        <v>2705</v>
      </c>
      <c r="D999" s="152" t="s">
        <v>2705</v>
      </c>
      <c r="E999" s="152" t="s">
        <v>2397</v>
      </c>
      <c r="F999" s="152" t="s">
        <v>2705</v>
      </c>
      <c r="G999" s="152" t="s">
        <v>2705</v>
      </c>
      <c r="H999" s="152" t="s">
        <v>1435</v>
      </c>
      <c r="I999" s="152" t="s">
        <v>2705</v>
      </c>
      <c r="J999" s="152" t="s">
        <v>2675</v>
      </c>
      <c r="K999" s="152" t="s">
        <v>2398</v>
      </c>
      <c r="L999" s="152" t="s">
        <v>2705</v>
      </c>
      <c r="M999" s="152" t="s">
        <v>2398</v>
      </c>
      <c r="N999" s="152" t="s">
        <v>2705</v>
      </c>
      <c r="O999" s="152" t="s">
        <v>2705</v>
      </c>
      <c r="P999" s="152" t="s">
        <v>2675</v>
      </c>
      <c r="Q999" s="152" t="s">
        <v>2705</v>
      </c>
      <c r="R999" s="152" t="s">
        <v>2675</v>
      </c>
      <c r="S999" s="152" t="s">
        <v>2398</v>
      </c>
      <c r="T999" s="152" t="s">
        <v>2398</v>
      </c>
      <c r="U999" s="152" t="s">
        <v>2705</v>
      </c>
      <c r="V999" s="142" cm="1">
        <f t="array" ref="V999">IF(A999&lt;&gt;"",SUM(--(B999:U1000 = "X")*$U$3,--(B999:U1000 ="A")*$Q$3,--(B999:U1000 ="B")*$R$3,--(B999:U1000 ="C")*$S$3),"")</f>
        <v>14</v>
      </c>
      <c r="AF999" s="142" t="s">
        <v>7816</v>
      </c>
      <c r="AG999" s="142" t="s">
        <v>2398</v>
      </c>
      <c r="AH999" s="142" t="s">
        <v>2705</v>
      </c>
      <c r="AI999" s="142" t="s">
        <v>2705</v>
      </c>
      <c r="AJ999" s="142" t="s">
        <v>2397</v>
      </c>
      <c r="AK999" s="142" t="s">
        <v>2705</v>
      </c>
      <c r="AL999" s="142" t="s">
        <v>2705</v>
      </c>
      <c r="AM999" s="142" t="s">
        <v>1435</v>
      </c>
      <c r="AN999" s="142" t="s">
        <v>2705</v>
      </c>
      <c r="AO999" s="142" t="s">
        <v>2675</v>
      </c>
      <c r="AP999" s="142" t="s">
        <v>2398</v>
      </c>
      <c r="AQ999" s="142" t="s">
        <v>2705</v>
      </c>
      <c r="AR999" s="142" t="s">
        <v>2398</v>
      </c>
      <c r="AS999" s="142" t="s">
        <v>2705</v>
      </c>
      <c r="AT999" s="142" t="s">
        <v>2705</v>
      </c>
      <c r="AU999" s="142" t="s">
        <v>2675</v>
      </c>
      <c r="AV999" s="142" t="s">
        <v>2705</v>
      </c>
      <c r="AW999" s="142" t="s">
        <v>2675</v>
      </c>
      <c r="AX999" s="142" t="s">
        <v>2398</v>
      </c>
      <c r="AY999" s="142" t="s">
        <v>2398</v>
      </c>
      <c r="AZ999" s="142" t="s">
        <v>2705</v>
      </c>
    </row>
    <row r="1000" spans="1:52" s="142" customFormat="1" ht="12.75" x14ac:dyDescent="0.2">
      <c r="A1000" s="151"/>
      <c r="B1000" s="152" t="s">
        <v>2705</v>
      </c>
      <c r="C1000" s="152" t="s">
        <v>1435</v>
      </c>
      <c r="D1000" s="152" t="s">
        <v>2705</v>
      </c>
      <c r="E1000" s="152" t="s">
        <v>2675</v>
      </c>
      <c r="F1000" s="152" t="s">
        <v>2675</v>
      </c>
      <c r="G1000" s="152" t="s">
        <v>2398</v>
      </c>
      <c r="H1000" s="152" t="s">
        <v>2675</v>
      </c>
      <c r="I1000" s="152" t="s">
        <v>2705</v>
      </c>
      <c r="J1000" s="152" t="s">
        <v>2705</v>
      </c>
      <c r="K1000" s="152" t="s">
        <v>2705</v>
      </c>
      <c r="L1000" s="152" t="s">
        <v>2398</v>
      </c>
      <c r="M1000" s="152" t="s">
        <v>2398</v>
      </c>
      <c r="N1000" s="152" t="s">
        <v>2398</v>
      </c>
      <c r="O1000" s="152" t="s">
        <v>2705</v>
      </c>
      <c r="P1000" s="152" t="s">
        <v>2398</v>
      </c>
      <c r="Q1000" s="152" t="s">
        <v>2398</v>
      </c>
      <c r="R1000" s="152" t="s">
        <v>2705</v>
      </c>
      <c r="S1000" s="152" t="s">
        <v>2705</v>
      </c>
      <c r="T1000" s="152" t="s">
        <v>2398</v>
      </c>
      <c r="U1000" s="152" t="s">
        <v>2398</v>
      </c>
      <c r="V1000" s="142" t="str" cm="1">
        <f t="array" ref="V1000">IF(A1000&lt;&gt;"",SUM(--(B1000:U1001 = "X")*$U$3,--(B1000:U1001 ="A")*$Q$3,--(B1000:U1001 ="B")*$R$3,--(B1000:U1001 ="C")*$S$3),"")</f>
        <v/>
      </c>
      <c r="AG1000" s="142" t="s">
        <v>2705</v>
      </c>
      <c r="AH1000" s="142" t="s">
        <v>1435</v>
      </c>
      <c r="AI1000" s="142" t="s">
        <v>2705</v>
      </c>
      <c r="AJ1000" s="142" t="s">
        <v>2675</v>
      </c>
      <c r="AK1000" s="142" t="s">
        <v>2675</v>
      </c>
      <c r="AL1000" s="142" t="s">
        <v>2398</v>
      </c>
      <c r="AM1000" s="142" t="s">
        <v>2675</v>
      </c>
      <c r="AN1000" s="142" t="s">
        <v>2705</v>
      </c>
      <c r="AO1000" s="142" t="s">
        <v>2705</v>
      </c>
      <c r="AP1000" s="142" t="s">
        <v>2705</v>
      </c>
      <c r="AQ1000" s="142" t="s">
        <v>2398</v>
      </c>
      <c r="AR1000" s="142" t="s">
        <v>2398</v>
      </c>
      <c r="AS1000" s="142" t="s">
        <v>2398</v>
      </c>
      <c r="AT1000" s="142" t="s">
        <v>2705</v>
      </c>
      <c r="AU1000" s="142" t="s">
        <v>2398</v>
      </c>
      <c r="AV1000" s="142" t="s">
        <v>2398</v>
      </c>
      <c r="AW1000" s="142" t="s">
        <v>2705</v>
      </c>
      <c r="AX1000" s="142" t="s">
        <v>2705</v>
      </c>
      <c r="AY1000" s="142" t="s">
        <v>2398</v>
      </c>
      <c r="AZ1000" s="142" t="s">
        <v>2398</v>
      </c>
    </row>
    <row r="1001" spans="1:52" s="142" customFormat="1" ht="12.75" x14ac:dyDescent="0.2">
      <c r="A1001" s="151" t="s">
        <v>7817</v>
      </c>
      <c r="B1001" s="152" t="s">
        <v>2398</v>
      </c>
      <c r="C1001" s="152" t="s">
        <v>2398</v>
      </c>
      <c r="D1001" s="152" t="s">
        <v>2398</v>
      </c>
      <c r="E1001" s="152" t="s">
        <v>2705</v>
      </c>
      <c r="F1001" s="152" t="s">
        <v>2705</v>
      </c>
      <c r="G1001" s="152" t="s">
        <v>2398</v>
      </c>
      <c r="H1001" s="152" t="s">
        <v>2398</v>
      </c>
      <c r="I1001" s="152" t="s">
        <v>2398</v>
      </c>
      <c r="J1001" s="152" t="s">
        <v>2398</v>
      </c>
      <c r="K1001" s="152" t="s">
        <v>2398</v>
      </c>
      <c r="L1001" s="152" t="s">
        <v>2705</v>
      </c>
      <c r="M1001" s="152" t="s">
        <v>2705</v>
      </c>
      <c r="N1001" s="152" t="s">
        <v>2398</v>
      </c>
      <c r="O1001" s="152" t="s">
        <v>2705</v>
      </c>
      <c r="P1001" s="152" t="s">
        <v>2398</v>
      </c>
      <c r="Q1001" s="152" t="s">
        <v>2705</v>
      </c>
      <c r="R1001" s="152" t="s">
        <v>2398</v>
      </c>
      <c r="S1001" s="152" t="s">
        <v>2705</v>
      </c>
      <c r="T1001" s="152" t="s">
        <v>2705</v>
      </c>
      <c r="U1001" s="152" t="s">
        <v>2398</v>
      </c>
      <c r="V1001" s="142" cm="1">
        <f t="array" ref="V1001">IF(A1001&lt;&gt;"",SUM(--(B1001:U1002 = "X")*$U$3,--(B1001:U1002 ="A")*$Q$3,--(B1001:U1002 ="B")*$R$3,--(B1001:U1002 ="C")*$S$3),"")</f>
        <v>15.5</v>
      </c>
      <c r="AF1001" s="142" t="s">
        <v>7817</v>
      </c>
      <c r="AG1001" s="142" t="s">
        <v>2398</v>
      </c>
      <c r="AH1001" s="142" t="s">
        <v>2398</v>
      </c>
      <c r="AI1001" s="142" t="s">
        <v>2398</v>
      </c>
      <c r="AJ1001" s="142" t="s">
        <v>2705</v>
      </c>
      <c r="AK1001" s="142" t="s">
        <v>2705</v>
      </c>
      <c r="AL1001" s="142" t="s">
        <v>2398</v>
      </c>
      <c r="AM1001" s="142" t="s">
        <v>2398</v>
      </c>
      <c r="AN1001" s="142" t="s">
        <v>2398</v>
      </c>
      <c r="AO1001" s="142" t="s">
        <v>2398</v>
      </c>
      <c r="AP1001" s="142" t="s">
        <v>2398</v>
      </c>
      <c r="AQ1001" s="142" t="s">
        <v>2705</v>
      </c>
      <c r="AR1001" s="142" t="s">
        <v>2705</v>
      </c>
      <c r="AS1001" s="142" t="s">
        <v>2398</v>
      </c>
      <c r="AT1001" s="142" t="s">
        <v>2705</v>
      </c>
      <c r="AU1001" s="142" t="s">
        <v>2398</v>
      </c>
      <c r="AV1001" s="142" t="s">
        <v>2705</v>
      </c>
      <c r="AW1001" s="142" t="s">
        <v>2398</v>
      </c>
      <c r="AX1001" s="142" t="s">
        <v>2705</v>
      </c>
      <c r="AY1001" s="142" t="s">
        <v>2705</v>
      </c>
      <c r="AZ1001" s="142" t="s">
        <v>2398</v>
      </c>
    </row>
    <row r="1002" spans="1:52" s="142" customFormat="1" ht="12.75" x14ac:dyDescent="0.2">
      <c r="A1002" s="151"/>
      <c r="B1002" s="152" t="s">
        <v>2705</v>
      </c>
      <c r="C1002" s="152" t="s">
        <v>2675</v>
      </c>
      <c r="D1002" s="152" t="s">
        <v>2705</v>
      </c>
      <c r="E1002" s="152" t="s">
        <v>1435</v>
      </c>
      <c r="F1002" s="152" t="s">
        <v>2398</v>
      </c>
      <c r="G1002" s="152" t="s">
        <v>2398</v>
      </c>
      <c r="H1002" s="152" t="s">
        <v>1435</v>
      </c>
      <c r="I1002" s="152" t="s">
        <v>2705</v>
      </c>
      <c r="J1002" s="152" t="s">
        <v>2398</v>
      </c>
      <c r="K1002" s="152" t="s">
        <v>2398</v>
      </c>
      <c r="L1002" s="152" t="s">
        <v>2705</v>
      </c>
      <c r="M1002" s="152" t="s">
        <v>2705</v>
      </c>
      <c r="N1002" s="152" t="s">
        <v>2397</v>
      </c>
      <c r="O1002" s="152" t="s">
        <v>2398</v>
      </c>
      <c r="P1002" s="152" t="s">
        <v>2398</v>
      </c>
      <c r="Q1002" s="152" t="s">
        <v>2397</v>
      </c>
      <c r="R1002" s="152" t="s">
        <v>2705</v>
      </c>
      <c r="S1002" s="152" t="s">
        <v>2705</v>
      </c>
      <c r="T1002" s="152" t="s">
        <v>2705</v>
      </c>
      <c r="U1002" s="152" t="s">
        <v>2705</v>
      </c>
      <c r="V1002" s="142" t="str" cm="1">
        <f t="array" ref="V1002">IF(A1002&lt;&gt;"",SUM(--(B1002:U1003 = "X")*$U$3,--(B1002:U1003 ="A")*$Q$3,--(B1002:U1003 ="B")*$R$3,--(B1002:U1003 ="C")*$S$3),"")</f>
        <v/>
      </c>
      <c r="AG1002" s="142" t="s">
        <v>2705</v>
      </c>
      <c r="AH1002" s="142" t="s">
        <v>2675</v>
      </c>
      <c r="AI1002" s="142" t="s">
        <v>2705</v>
      </c>
      <c r="AJ1002" s="142" t="s">
        <v>1435</v>
      </c>
      <c r="AK1002" s="142" t="s">
        <v>2398</v>
      </c>
      <c r="AL1002" s="142" t="s">
        <v>2398</v>
      </c>
      <c r="AM1002" s="142" t="s">
        <v>1435</v>
      </c>
      <c r="AN1002" s="142" t="s">
        <v>2705</v>
      </c>
      <c r="AO1002" s="142" t="s">
        <v>2398</v>
      </c>
      <c r="AP1002" s="142" t="s">
        <v>2398</v>
      </c>
      <c r="AQ1002" s="142" t="s">
        <v>2705</v>
      </c>
      <c r="AR1002" s="142" t="s">
        <v>2705</v>
      </c>
      <c r="AS1002" s="142" t="s">
        <v>2397</v>
      </c>
      <c r="AT1002" s="142" t="s">
        <v>2398</v>
      </c>
      <c r="AU1002" s="142" t="s">
        <v>2398</v>
      </c>
      <c r="AV1002" s="142" t="s">
        <v>2397</v>
      </c>
      <c r="AW1002" s="142" t="s">
        <v>2705</v>
      </c>
      <c r="AX1002" s="142" t="s">
        <v>2705</v>
      </c>
      <c r="AY1002" s="142" t="s">
        <v>2705</v>
      </c>
      <c r="AZ1002" s="142" t="s">
        <v>2705</v>
      </c>
    </row>
    <row r="1003" spans="1:52" s="142" customFormat="1" ht="12.75" x14ac:dyDescent="0.2">
      <c r="A1003" s="151" t="s">
        <v>7818</v>
      </c>
      <c r="B1003" s="152" t="s">
        <v>2397</v>
      </c>
      <c r="C1003" s="152" t="s">
        <v>1435</v>
      </c>
      <c r="D1003" s="152" t="s">
        <v>2705</v>
      </c>
      <c r="E1003" s="152" t="s">
        <v>2398</v>
      </c>
      <c r="F1003" s="152" t="s">
        <v>2705</v>
      </c>
      <c r="G1003" s="152" t="s">
        <v>2705</v>
      </c>
      <c r="H1003" s="152" t="s">
        <v>2705</v>
      </c>
      <c r="I1003" s="152" t="s">
        <v>2398</v>
      </c>
      <c r="J1003" s="152" t="s">
        <v>2398</v>
      </c>
      <c r="K1003" s="152" t="s">
        <v>2398</v>
      </c>
      <c r="L1003" s="152" t="s">
        <v>2705</v>
      </c>
      <c r="M1003" s="152" t="s">
        <v>2398</v>
      </c>
      <c r="N1003" s="152" t="s">
        <v>2705</v>
      </c>
      <c r="O1003" s="152" t="s">
        <v>2398</v>
      </c>
      <c r="P1003" s="152" t="s">
        <v>2705</v>
      </c>
      <c r="Q1003" s="152" t="s">
        <v>2398</v>
      </c>
      <c r="R1003" s="152" t="s">
        <v>2398</v>
      </c>
      <c r="S1003" s="152" t="s">
        <v>2705</v>
      </c>
      <c r="T1003" s="152" t="s">
        <v>2397</v>
      </c>
      <c r="U1003" s="152" t="s">
        <v>2705</v>
      </c>
      <c r="V1003" s="142" cm="1">
        <f t="array" ref="V1003">IF(A1003&lt;&gt;"",SUM(--(B1003:U1004 = "X")*$U$3,--(B1003:U1004 ="A")*$Q$3,--(B1003:U1004 ="B")*$R$3,--(B1003:U1004 ="C")*$S$3),"")</f>
        <v>18.5</v>
      </c>
      <c r="AF1003" s="142" t="s">
        <v>7818</v>
      </c>
      <c r="AG1003" s="142" t="s">
        <v>2397</v>
      </c>
      <c r="AH1003" s="142" t="s">
        <v>1435</v>
      </c>
      <c r="AI1003" s="142" t="s">
        <v>2705</v>
      </c>
      <c r="AJ1003" s="142" t="s">
        <v>2398</v>
      </c>
      <c r="AK1003" s="142" t="s">
        <v>2705</v>
      </c>
      <c r="AL1003" s="142" t="s">
        <v>2705</v>
      </c>
      <c r="AM1003" s="142" t="s">
        <v>2705</v>
      </c>
      <c r="AN1003" s="142" t="s">
        <v>2398</v>
      </c>
      <c r="AO1003" s="142" t="s">
        <v>2398</v>
      </c>
      <c r="AP1003" s="142" t="s">
        <v>2398</v>
      </c>
      <c r="AQ1003" s="142" t="s">
        <v>2705</v>
      </c>
      <c r="AR1003" s="142" t="s">
        <v>2398</v>
      </c>
      <c r="AS1003" s="142" t="s">
        <v>2705</v>
      </c>
      <c r="AT1003" s="142" t="s">
        <v>2398</v>
      </c>
      <c r="AU1003" s="142" t="s">
        <v>2705</v>
      </c>
      <c r="AV1003" s="142" t="s">
        <v>2398</v>
      </c>
      <c r="AW1003" s="142" t="s">
        <v>2398</v>
      </c>
      <c r="AX1003" s="142" t="s">
        <v>2705</v>
      </c>
      <c r="AY1003" s="142" t="s">
        <v>2397</v>
      </c>
      <c r="AZ1003" s="142" t="s">
        <v>2705</v>
      </c>
    </row>
    <row r="1004" spans="1:52" s="142" customFormat="1" ht="12.75" x14ac:dyDescent="0.2">
      <c r="A1004" s="151"/>
      <c r="B1004" s="152" t="s">
        <v>2705</v>
      </c>
      <c r="C1004" s="152" t="s">
        <v>1435</v>
      </c>
      <c r="D1004" s="152" t="s">
        <v>2705</v>
      </c>
      <c r="E1004" s="152" t="s">
        <v>1435</v>
      </c>
      <c r="F1004" s="152" t="s">
        <v>2705</v>
      </c>
      <c r="G1004" s="152" t="s">
        <v>2675</v>
      </c>
      <c r="H1004" s="152" t="s">
        <v>2398</v>
      </c>
      <c r="I1004" s="152" t="s">
        <v>2705</v>
      </c>
      <c r="J1004" s="152" t="s">
        <v>2398</v>
      </c>
      <c r="K1004" s="152" t="s">
        <v>2675</v>
      </c>
      <c r="L1004" s="152" t="s">
        <v>2705</v>
      </c>
      <c r="M1004" s="152" t="s">
        <v>2705</v>
      </c>
      <c r="N1004" s="152" t="s">
        <v>2705</v>
      </c>
      <c r="O1004" s="152" t="s">
        <v>2705</v>
      </c>
      <c r="P1004" s="152" t="s">
        <v>2705</v>
      </c>
      <c r="Q1004" s="152" t="s">
        <v>2705</v>
      </c>
      <c r="R1004" s="152" t="s">
        <v>2398</v>
      </c>
      <c r="S1004" s="152" t="s">
        <v>2705</v>
      </c>
      <c r="T1004" s="152" t="s">
        <v>2398</v>
      </c>
      <c r="U1004" s="152" t="s">
        <v>2705</v>
      </c>
      <c r="V1004" s="142" t="str" cm="1">
        <f t="array" ref="V1004">IF(A1004&lt;&gt;"",SUM(--(B1004:U1005 = "X")*$U$3,--(B1004:U1005 ="A")*$Q$3,--(B1004:U1005 ="B")*$R$3,--(B1004:U1005 ="C")*$S$3),"")</f>
        <v/>
      </c>
      <c r="AG1004" s="142" t="s">
        <v>2705</v>
      </c>
      <c r="AH1004" s="142" t="s">
        <v>1435</v>
      </c>
      <c r="AI1004" s="142" t="s">
        <v>2705</v>
      </c>
      <c r="AJ1004" s="142" t="s">
        <v>1435</v>
      </c>
      <c r="AK1004" s="142" t="s">
        <v>2705</v>
      </c>
      <c r="AL1004" s="142" t="s">
        <v>2675</v>
      </c>
      <c r="AM1004" s="142" t="s">
        <v>2398</v>
      </c>
      <c r="AN1004" s="142" t="s">
        <v>2705</v>
      </c>
      <c r="AO1004" s="142" t="s">
        <v>2398</v>
      </c>
      <c r="AP1004" s="142" t="s">
        <v>2675</v>
      </c>
      <c r="AQ1004" s="142" t="s">
        <v>2705</v>
      </c>
      <c r="AR1004" s="142" t="s">
        <v>2705</v>
      </c>
      <c r="AS1004" s="142" t="s">
        <v>2705</v>
      </c>
      <c r="AT1004" s="142" t="s">
        <v>2705</v>
      </c>
      <c r="AU1004" s="142" t="s">
        <v>2705</v>
      </c>
      <c r="AV1004" s="142" t="s">
        <v>2705</v>
      </c>
      <c r="AW1004" s="142" t="s">
        <v>2398</v>
      </c>
      <c r="AX1004" s="142" t="s">
        <v>2705</v>
      </c>
      <c r="AY1004" s="142" t="s">
        <v>2398</v>
      </c>
      <c r="AZ1004" s="142" t="s">
        <v>2705</v>
      </c>
    </row>
    <row r="1005" spans="1:52" s="142" customFormat="1" ht="12.75" x14ac:dyDescent="0.2">
      <c r="A1005" s="151" t="s">
        <v>7819</v>
      </c>
      <c r="B1005" s="152" t="s">
        <v>2705</v>
      </c>
      <c r="C1005" s="152" t="s">
        <v>2398</v>
      </c>
      <c r="D1005" s="152" t="s">
        <v>2398</v>
      </c>
      <c r="E1005" s="152" t="s">
        <v>2705</v>
      </c>
      <c r="F1005" s="152" t="s">
        <v>2705</v>
      </c>
      <c r="G1005" s="152" t="s">
        <v>2398</v>
      </c>
      <c r="H1005" s="152" t="s">
        <v>2398</v>
      </c>
      <c r="I1005" s="152" t="s">
        <v>2398</v>
      </c>
      <c r="J1005" s="152" t="s">
        <v>2398</v>
      </c>
      <c r="K1005" s="152" t="s">
        <v>2705</v>
      </c>
      <c r="L1005" s="152" t="s">
        <v>2675</v>
      </c>
      <c r="M1005" s="152" t="s">
        <v>2705</v>
      </c>
      <c r="N1005" s="152" t="s">
        <v>2398</v>
      </c>
      <c r="O1005" s="152" t="s">
        <v>2705</v>
      </c>
      <c r="P1005" s="152" t="s">
        <v>2705</v>
      </c>
      <c r="Q1005" s="152" t="s">
        <v>2705</v>
      </c>
      <c r="R1005" s="152" t="s">
        <v>2705</v>
      </c>
      <c r="S1005" s="152" t="s">
        <v>2705</v>
      </c>
      <c r="T1005" s="152" t="s">
        <v>2398</v>
      </c>
      <c r="U1005" s="152" t="s">
        <v>2398</v>
      </c>
      <c r="V1005" s="142" cm="1">
        <f t="array" ref="V1005">IF(A1005&lt;&gt;"",SUM(--(B1005:U1006 = "X")*$U$3,--(B1005:U1006 ="A")*$Q$3,--(B1005:U1006 ="B")*$R$3,--(B1005:U1006 ="C")*$S$3),"")</f>
        <v>21.5</v>
      </c>
      <c r="AF1005" s="142" t="s">
        <v>7819</v>
      </c>
      <c r="AG1005" s="142" t="s">
        <v>2705</v>
      </c>
      <c r="AH1005" s="142" t="s">
        <v>2398</v>
      </c>
      <c r="AI1005" s="142" t="s">
        <v>2398</v>
      </c>
      <c r="AJ1005" s="142" t="s">
        <v>2705</v>
      </c>
      <c r="AK1005" s="142" t="s">
        <v>2705</v>
      </c>
      <c r="AL1005" s="142" t="s">
        <v>2398</v>
      </c>
      <c r="AM1005" s="142" t="s">
        <v>2398</v>
      </c>
      <c r="AN1005" s="142" t="s">
        <v>2398</v>
      </c>
      <c r="AO1005" s="142" t="s">
        <v>2398</v>
      </c>
      <c r="AP1005" s="142" t="s">
        <v>2705</v>
      </c>
      <c r="AQ1005" s="142" t="s">
        <v>2675</v>
      </c>
      <c r="AR1005" s="142" t="s">
        <v>2705</v>
      </c>
      <c r="AS1005" s="142" t="s">
        <v>2398</v>
      </c>
      <c r="AT1005" s="142" t="s">
        <v>2705</v>
      </c>
      <c r="AU1005" s="142" t="s">
        <v>2705</v>
      </c>
      <c r="AV1005" s="142" t="s">
        <v>2705</v>
      </c>
      <c r="AW1005" s="142" t="s">
        <v>2705</v>
      </c>
      <c r="AX1005" s="142" t="s">
        <v>2705</v>
      </c>
      <c r="AY1005" s="142" t="s">
        <v>2398</v>
      </c>
      <c r="AZ1005" s="142" t="s">
        <v>2398</v>
      </c>
    </row>
    <row r="1006" spans="1:52" s="142" customFormat="1" ht="12.75" x14ac:dyDescent="0.2">
      <c r="A1006" s="151"/>
      <c r="B1006" s="152" t="s">
        <v>2398</v>
      </c>
      <c r="C1006" s="152" t="s">
        <v>2398</v>
      </c>
      <c r="D1006" s="152" t="s">
        <v>2705</v>
      </c>
      <c r="E1006" s="152" t="s">
        <v>1435</v>
      </c>
      <c r="F1006" s="152" t="s">
        <v>2398</v>
      </c>
      <c r="G1006" s="152" t="s">
        <v>2398</v>
      </c>
      <c r="H1006" s="152" t="s">
        <v>2705</v>
      </c>
      <c r="I1006" s="152" t="s">
        <v>2705</v>
      </c>
      <c r="J1006" s="152" t="s">
        <v>2705</v>
      </c>
      <c r="K1006" s="152" t="s">
        <v>2705</v>
      </c>
      <c r="L1006" s="152" t="s">
        <v>2705</v>
      </c>
      <c r="M1006" s="152" t="s">
        <v>2705</v>
      </c>
      <c r="N1006" s="152" t="s">
        <v>2705</v>
      </c>
      <c r="O1006" s="152" t="s">
        <v>2705</v>
      </c>
      <c r="P1006" s="152" t="s">
        <v>2398</v>
      </c>
      <c r="Q1006" s="152" t="s">
        <v>2705</v>
      </c>
      <c r="R1006" s="152" t="s">
        <v>1435</v>
      </c>
      <c r="S1006" s="152" t="s">
        <v>2705</v>
      </c>
      <c r="T1006" s="152" t="s">
        <v>2705</v>
      </c>
      <c r="U1006" s="152" t="s">
        <v>2705</v>
      </c>
      <c r="V1006" s="142" t="str" cm="1">
        <f t="array" ref="V1006">IF(A1006&lt;&gt;"",SUM(--(B1006:U1007 = "X")*$U$3,--(B1006:U1007 ="A")*$Q$3,--(B1006:U1007 ="B")*$R$3,--(B1006:U1007 ="C")*$S$3),"")</f>
        <v/>
      </c>
      <c r="AG1006" s="142" t="s">
        <v>2398</v>
      </c>
      <c r="AH1006" s="142" t="s">
        <v>2398</v>
      </c>
      <c r="AI1006" s="142" t="s">
        <v>2705</v>
      </c>
      <c r="AJ1006" s="142" t="s">
        <v>1435</v>
      </c>
      <c r="AK1006" s="142" t="s">
        <v>2398</v>
      </c>
      <c r="AL1006" s="142" t="s">
        <v>2398</v>
      </c>
      <c r="AM1006" s="142" t="s">
        <v>2705</v>
      </c>
      <c r="AN1006" s="142" t="s">
        <v>2705</v>
      </c>
      <c r="AO1006" s="142" t="s">
        <v>2705</v>
      </c>
      <c r="AP1006" s="142" t="s">
        <v>2705</v>
      </c>
      <c r="AQ1006" s="142" t="s">
        <v>2705</v>
      </c>
      <c r="AR1006" s="142" t="s">
        <v>2705</v>
      </c>
      <c r="AS1006" s="142" t="s">
        <v>2705</v>
      </c>
      <c r="AT1006" s="142" t="s">
        <v>2705</v>
      </c>
      <c r="AU1006" s="142" t="s">
        <v>2398</v>
      </c>
      <c r="AV1006" s="142" t="s">
        <v>2705</v>
      </c>
      <c r="AW1006" s="142" t="s">
        <v>1435</v>
      </c>
      <c r="AX1006" s="142" t="s">
        <v>2705</v>
      </c>
      <c r="AY1006" s="142" t="s">
        <v>2705</v>
      </c>
      <c r="AZ1006" s="142" t="s">
        <v>2705</v>
      </c>
    </row>
    <row r="1007" spans="1:52" s="142" customFormat="1" ht="12.75" x14ac:dyDescent="0.2">
      <c r="A1007" s="151" t="s">
        <v>7820</v>
      </c>
      <c r="B1007" s="152" t="s">
        <v>2705</v>
      </c>
      <c r="C1007" s="152" t="s">
        <v>2675</v>
      </c>
      <c r="D1007" s="152" t="s">
        <v>1435</v>
      </c>
      <c r="E1007" s="152" t="s">
        <v>2398</v>
      </c>
      <c r="F1007" s="152" t="s">
        <v>2397</v>
      </c>
      <c r="G1007" s="152" t="s">
        <v>2705</v>
      </c>
      <c r="H1007" s="152" t="s">
        <v>2705</v>
      </c>
      <c r="I1007" s="152" t="s">
        <v>2705</v>
      </c>
      <c r="J1007" s="152" t="s">
        <v>2705</v>
      </c>
      <c r="K1007" s="152" t="s">
        <v>2398</v>
      </c>
      <c r="L1007" s="152" t="s">
        <v>2705</v>
      </c>
      <c r="M1007" s="152" t="s">
        <v>2705</v>
      </c>
      <c r="N1007" s="152" t="s">
        <v>2705</v>
      </c>
      <c r="O1007" s="152" t="s">
        <v>2398</v>
      </c>
      <c r="P1007" s="152" t="s">
        <v>2398</v>
      </c>
      <c r="Q1007" s="152" t="s">
        <v>2705</v>
      </c>
      <c r="R1007" s="152" t="s">
        <v>2398</v>
      </c>
      <c r="S1007" s="152" t="s">
        <v>2675</v>
      </c>
      <c r="T1007" s="152" t="s">
        <v>2705</v>
      </c>
      <c r="U1007" s="152" t="s">
        <v>2705</v>
      </c>
      <c r="V1007" s="142" cm="1">
        <f t="array" ref="V1007">IF(A1007&lt;&gt;"",SUM(--(B1007:U1008 = "X")*$U$3,--(B1007:U1008 ="A")*$Q$3,--(B1007:U1008 ="B")*$R$3,--(B1007:U1008 ="C")*$S$3),"")</f>
        <v>15.5</v>
      </c>
      <c r="AF1007" s="142" t="s">
        <v>7820</v>
      </c>
      <c r="AG1007" s="142" t="s">
        <v>2705</v>
      </c>
      <c r="AH1007" s="142" t="s">
        <v>2675</v>
      </c>
      <c r="AI1007" s="142" t="s">
        <v>1435</v>
      </c>
      <c r="AJ1007" s="142" t="s">
        <v>2398</v>
      </c>
      <c r="AK1007" s="142" t="s">
        <v>2397</v>
      </c>
      <c r="AL1007" s="142" t="s">
        <v>2705</v>
      </c>
      <c r="AM1007" s="142" t="s">
        <v>2705</v>
      </c>
      <c r="AN1007" s="142" t="s">
        <v>2705</v>
      </c>
      <c r="AO1007" s="142" t="s">
        <v>2705</v>
      </c>
      <c r="AP1007" s="142" t="s">
        <v>2398</v>
      </c>
      <c r="AQ1007" s="142" t="s">
        <v>2705</v>
      </c>
      <c r="AR1007" s="142" t="s">
        <v>2705</v>
      </c>
      <c r="AS1007" s="142" t="s">
        <v>2705</v>
      </c>
      <c r="AT1007" s="142" t="s">
        <v>2398</v>
      </c>
      <c r="AU1007" s="142" t="s">
        <v>2398</v>
      </c>
      <c r="AV1007" s="142" t="s">
        <v>2705</v>
      </c>
      <c r="AW1007" s="142" t="s">
        <v>2398</v>
      </c>
      <c r="AX1007" s="142" t="s">
        <v>2675</v>
      </c>
      <c r="AY1007" s="142" t="s">
        <v>2705</v>
      </c>
      <c r="AZ1007" s="142" t="s">
        <v>2705</v>
      </c>
    </row>
    <row r="1008" spans="1:52" s="142" customFormat="1" ht="12.75" x14ac:dyDescent="0.2">
      <c r="A1008" s="151"/>
      <c r="B1008" s="152" t="s">
        <v>2398</v>
      </c>
      <c r="C1008" s="152" t="s">
        <v>2675</v>
      </c>
      <c r="D1008" s="152" t="s">
        <v>2397</v>
      </c>
      <c r="E1008" s="152" t="s">
        <v>2675</v>
      </c>
      <c r="F1008" s="152" t="s">
        <v>2705</v>
      </c>
      <c r="G1008" s="152" t="s">
        <v>2705</v>
      </c>
      <c r="H1008" s="152" t="s">
        <v>2397</v>
      </c>
      <c r="I1008" s="152" t="s">
        <v>2705</v>
      </c>
      <c r="J1008" s="152" t="s">
        <v>2398</v>
      </c>
      <c r="K1008" s="152" t="s">
        <v>2398</v>
      </c>
      <c r="L1008" s="152" t="s">
        <v>2398</v>
      </c>
      <c r="M1008" s="152" t="s">
        <v>2705</v>
      </c>
      <c r="N1008" s="152" t="s">
        <v>2398</v>
      </c>
      <c r="O1008" s="152" t="s">
        <v>2398</v>
      </c>
      <c r="P1008" s="152" t="s">
        <v>2705</v>
      </c>
      <c r="Q1008" s="152" t="s">
        <v>2705</v>
      </c>
      <c r="R1008" s="152" t="s">
        <v>2398</v>
      </c>
      <c r="S1008" s="152" t="s">
        <v>2398</v>
      </c>
      <c r="T1008" s="152" t="s">
        <v>2705</v>
      </c>
      <c r="U1008" s="152" t="s">
        <v>2398</v>
      </c>
      <c r="V1008" s="142" t="str" cm="1">
        <f t="array" ref="V1008">IF(A1008&lt;&gt;"",SUM(--(B1008:U1009 = "X")*$U$3,--(B1008:U1009 ="A")*$Q$3,--(B1008:U1009 ="B")*$R$3,--(B1008:U1009 ="C")*$S$3),"")</f>
        <v/>
      </c>
      <c r="AG1008" s="142" t="s">
        <v>2398</v>
      </c>
      <c r="AH1008" s="142" t="s">
        <v>2675</v>
      </c>
      <c r="AI1008" s="142" t="s">
        <v>2397</v>
      </c>
      <c r="AJ1008" s="142" t="s">
        <v>2675</v>
      </c>
      <c r="AK1008" s="142" t="s">
        <v>2705</v>
      </c>
      <c r="AL1008" s="142" t="s">
        <v>2705</v>
      </c>
      <c r="AM1008" s="142" t="s">
        <v>2397</v>
      </c>
      <c r="AN1008" s="142" t="s">
        <v>2705</v>
      </c>
      <c r="AO1008" s="142" t="s">
        <v>2398</v>
      </c>
      <c r="AP1008" s="142" t="s">
        <v>2398</v>
      </c>
      <c r="AQ1008" s="142" t="s">
        <v>2398</v>
      </c>
      <c r="AR1008" s="142" t="s">
        <v>2705</v>
      </c>
      <c r="AS1008" s="142" t="s">
        <v>2398</v>
      </c>
      <c r="AT1008" s="142" t="s">
        <v>2398</v>
      </c>
      <c r="AU1008" s="142" t="s">
        <v>2705</v>
      </c>
      <c r="AV1008" s="142" t="s">
        <v>2705</v>
      </c>
      <c r="AW1008" s="142" t="s">
        <v>2398</v>
      </c>
      <c r="AX1008" s="142" t="s">
        <v>2398</v>
      </c>
      <c r="AY1008" s="142" t="s">
        <v>2705</v>
      </c>
      <c r="AZ1008" s="142" t="s">
        <v>2398</v>
      </c>
    </row>
    <row r="1009" spans="1:52" s="142" customFormat="1" ht="12.75" x14ac:dyDescent="0.2">
      <c r="A1009" s="151" t="s">
        <v>7821</v>
      </c>
      <c r="B1009" s="152" t="s">
        <v>2705</v>
      </c>
      <c r="C1009" s="152" t="s">
        <v>2398</v>
      </c>
      <c r="D1009" s="152" t="s">
        <v>2398</v>
      </c>
      <c r="E1009" s="152" t="s">
        <v>2398</v>
      </c>
      <c r="F1009" s="152" t="s">
        <v>2705</v>
      </c>
      <c r="G1009" s="152" t="s">
        <v>2705</v>
      </c>
      <c r="H1009" s="152" t="s">
        <v>2705</v>
      </c>
      <c r="I1009" s="152" t="s">
        <v>2398</v>
      </c>
      <c r="J1009" s="152" t="s">
        <v>1435</v>
      </c>
      <c r="K1009" s="152" t="s">
        <v>2398</v>
      </c>
      <c r="L1009" s="152" t="s">
        <v>1435</v>
      </c>
      <c r="M1009" s="152" t="s">
        <v>2705</v>
      </c>
      <c r="N1009" s="152" t="s">
        <v>2398</v>
      </c>
      <c r="O1009" s="152" t="s">
        <v>2705</v>
      </c>
      <c r="P1009" s="152" t="s">
        <v>2705</v>
      </c>
      <c r="Q1009" s="152" t="s">
        <v>2705</v>
      </c>
      <c r="R1009" s="152" t="s">
        <v>2398</v>
      </c>
      <c r="S1009" s="152" t="s">
        <v>2705</v>
      </c>
      <c r="T1009" s="152" t="s">
        <v>2705</v>
      </c>
      <c r="U1009" s="152" t="s">
        <v>2705</v>
      </c>
      <c r="V1009" s="142" cm="1">
        <f t="array" ref="V1009">IF(A1009&lt;&gt;"",SUM(--(B1009:U1010 = "X")*$U$3,--(B1009:U1010 ="A")*$Q$3,--(B1009:U1010 ="B")*$R$3,--(B1009:U1010 ="C")*$S$3),"")</f>
        <v>22</v>
      </c>
      <c r="AF1009" s="142" t="s">
        <v>7821</v>
      </c>
      <c r="AG1009" s="142" t="s">
        <v>2705</v>
      </c>
      <c r="AH1009" s="142" t="s">
        <v>2398</v>
      </c>
      <c r="AI1009" s="142" t="s">
        <v>2398</v>
      </c>
      <c r="AJ1009" s="142" t="s">
        <v>2398</v>
      </c>
      <c r="AK1009" s="142" t="s">
        <v>2705</v>
      </c>
      <c r="AL1009" s="142" t="s">
        <v>2705</v>
      </c>
      <c r="AM1009" s="142" t="s">
        <v>2705</v>
      </c>
      <c r="AN1009" s="142" t="s">
        <v>2398</v>
      </c>
      <c r="AO1009" s="142" t="s">
        <v>1435</v>
      </c>
      <c r="AP1009" s="142" t="s">
        <v>2398</v>
      </c>
      <c r="AQ1009" s="142" t="s">
        <v>1435</v>
      </c>
      <c r="AR1009" s="142" t="s">
        <v>2705</v>
      </c>
      <c r="AS1009" s="142" t="s">
        <v>2398</v>
      </c>
      <c r="AT1009" s="142" t="s">
        <v>2705</v>
      </c>
      <c r="AU1009" s="142" t="s">
        <v>2705</v>
      </c>
      <c r="AV1009" s="142" t="s">
        <v>2705</v>
      </c>
      <c r="AW1009" s="142" t="s">
        <v>2398</v>
      </c>
      <c r="AX1009" s="142" t="s">
        <v>2705</v>
      </c>
      <c r="AY1009" s="142" t="s">
        <v>2705</v>
      </c>
      <c r="AZ1009" s="142" t="s">
        <v>2705</v>
      </c>
    </row>
    <row r="1010" spans="1:52" s="142" customFormat="1" ht="12.75" x14ac:dyDescent="0.2">
      <c r="A1010" s="151"/>
      <c r="B1010" s="152" t="s">
        <v>2398</v>
      </c>
      <c r="C1010" s="152" t="s">
        <v>2398</v>
      </c>
      <c r="D1010" s="152" t="s">
        <v>2705</v>
      </c>
      <c r="E1010" s="152" t="s">
        <v>2398</v>
      </c>
      <c r="F1010" s="152" t="s">
        <v>2705</v>
      </c>
      <c r="G1010" s="152" t="s">
        <v>2705</v>
      </c>
      <c r="H1010" s="152" t="s">
        <v>2398</v>
      </c>
      <c r="I1010" s="152" t="s">
        <v>2398</v>
      </c>
      <c r="J1010" s="152" t="s">
        <v>2705</v>
      </c>
      <c r="K1010" s="152" t="s">
        <v>2705</v>
      </c>
      <c r="L1010" s="152" t="s">
        <v>2705</v>
      </c>
      <c r="M1010" s="152" t="s">
        <v>2398</v>
      </c>
      <c r="N1010" s="152" t="s">
        <v>2705</v>
      </c>
      <c r="O1010" s="152" t="s">
        <v>2398</v>
      </c>
      <c r="P1010" s="152" t="s">
        <v>2705</v>
      </c>
      <c r="Q1010" s="152" t="s">
        <v>2705</v>
      </c>
      <c r="R1010" s="152" t="s">
        <v>2705</v>
      </c>
      <c r="S1010" s="152" t="s">
        <v>2705</v>
      </c>
      <c r="T1010" s="152" t="s">
        <v>2705</v>
      </c>
      <c r="U1010" s="152" t="s">
        <v>2398</v>
      </c>
      <c r="V1010" s="142" t="str" cm="1">
        <f t="array" ref="V1010">IF(A1010&lt;&gt;"",SUM(--(B1010:U1011 = "X")*$U$3,--(B1010:U1011 ="A")*$Q$3,--(B1010:U1011 ="B")*$R$3,--(B1010:U1011 ="C")*$S$3),"")</f>
        <v/>
      </c>
      <c r="AG1010" s="142" t="s">
        <v>2398</v>
      </c>
      <c r="AH1010" s="142" t="s">
        <v>2398</v>
      </c>
      <c r="AI1010" s="142" t="s">
        <v>2705</v>
      </c>
      <c r="AJ1010" s="142" t="s">
        <v>2398</v>
      </c>
      <c r="AK1010" s="142" t="s">
        <v>2705</v>
      </c>
      <c r="AL1010" s="142" t="s">
        <v>2705</v>
      </c>
      <c r="AM1010" s="142" t="s">
        <v>2398</v>
      </c>
      <c r="AN1010" s="142" t="s">
        <v>2398</v>
      </c>
      <c r="AO1010" s="142" t="s">
        <v>2705</v>
      </c>
      <c r="AP1010" s="142" t="s">
        <v>2705</v>
      </c>
      <c r="AQ1010" s="142" t="s">
        <v>2705</v>
      </c>
      <c r="AR1010" s="142" t="s">
        <v>2398</v>
      </c>
      <c r="AS1010" s="142" t="s">
        <v>2705</v>
      </c>
      <c r="AT1010" s="142" t="s">
        <v>2398</v>
      </c>
      <c r="AU1010" s="142" t="s">
        <v>2705</v>
      </c>
      <c r="AV1010" s="142" t="s">
        <v>2705</v>
      </c>
      <c r="AW1010" s="142" t="s">
        <v>2705</v>
      </c>
      <c r="AX1010" s="142" t="s">
        <v>2705</v>
      </c>
      <c r="AY1010" s="142" t="s">
        <v>2705</v>
      </c>
      <c r="AZ1010" s="142" t="s">
        <v>2398</v>
      </c>
    </row>
    <row r="1011" spans="1:52" s="142" customFormat="1" ht="12.75" x14ac:dyDescent="0.2">
      <c r="A1011" s="151" t="s">
        <v>7822</v>
      </c>
      <c r="B1011" s="152" t="s">
        <v>2675</v>
      </c>
      <c r="C1011" s="152" t="s">
        <v>2705</v>
      </c>
      <c r="D1011" s="152" t="s">
        <v>2398</v>
      </c>
      <c r="E1011" s="152" t="s">
        <v>2705</v>
      </c>
      <c r="F1011" s="152" t="s">
        <v>2398</v>
      </c>
      <c r="G1011" s="152" t="s">
        <v>1435</v>
      </c>
      <c r="H1011" s="152" t="s">
        <v>2705</v>
      </c>
      <c r="I1011" s="152" t="s">
        <v>2705</v>
      </c>
      <c r="J1011" s="152" t="s">
        <v>2705</v>
      </c>
      <c r="K1011" s="152" t="s">
        <v>1435</v>
      </c>
      <c r="L1011" s="152" t="s">
        <v>2397</v>
      </c>
      <c r="M1011" s="152" t="s">
        <v>2705</v>
      </c>
      <c r="N1011" s="152" t="s">
        <v>2705</v>
      </c>
      <c r="O1011" s="152" t="s">
        <v>2705</v>
      </c>
      <c r="P1011" s="152" t="s">
        <v>2398</v>
      </c>
      <c r="Q1011" s="152" t="s">
        <v>1435</v>
      </c>
      <c r="R1011" s="152" t="s">
        <v>1435</v>
      </c>
      <c r="S1011" s="152" t="s">
        <v>2397</v>
      </c>
      <c r="T1011" s="152" t="s">
        <v>2397</v>
      </c>
      <c r="U1011" s="152" t="s">
        <v>2705</v>
      </c>
      <c r="V1011" s="142" cm="1">
        <f t="array" ref="V1011">IF(A1011&lt;&gt;"",SUM(--(B1011:U1012 = "X")*$U$3,--(B1011:U1012 ="A")*$Q$3,--(B1011:U1012 ="B")*$R$3,--(B1011:U1012 ="C")*$S$3),"")</f>
        <v>13.5</v>
      </c>
      <c r="AF1011" s="142" t="s">
        <v>7822</v>
      </c>
      <c r="AG1011" s="142" t="s">
        <v>2675</v>
      </c>
      <c r="AH1011" s="142" t="s">
        <v>2705</v>
      </c>
      <c r="AI1011" s="142" t="s">
        <v>2398</v>
      </c>
      <c r="AJ1011" s="142" t="s">
        <v>2705</v>
      </c>
      <c r="AK1011" s="142" t="s">
        <v>2398</v>
      </c>
      <c r="AL1011" s="142" t="s">
        <v>1435</v>
      </c>
      <c r="AM1011" s="142" t="s">
        <v>2705</v>
      </c>
      <c r="AN1011" s="142" t="s">
        <v>2705</v>
      </c>
      <c r="AO1011" s="142" t="s">
        <v>2705</v>
      </c>
      <c r="AP1011" s="142" t="s">
        <v>1435</v>
      </c>
      <c r="AQ1011" s="142" t="s">
        <v>2397</v>
      </c>
      <c r="AR1011" s="142" t="s">
        <v>2705</v>
      </c>
      <c r="AS1011" s="142" t="s">
        <v>2705</v>
      </c>
      <c r="AT1011" s="142" t="s">
        <v>2705</v>
      </c>
      <c r="AU1011" s="142" t="s">
        <v>2398</v>
      </c>
      <c r="AV1011" s="142" t="s">
        <v>1435</v>
      </c>
      <c r="AW1011" s="142" t="s">
        <v>1435</v>
      </c>
      <c r="AX1011" s="142" t="s">
        <v>2397</v>
      </c>
      <c r="AY1011" s="142" t="s">
        <v>2397</v>
      </c>
      <c r="AZ1011" s="142" t="s">
        <v>2705</v>
      </c>
    </row>
    <row r="1012" spans="1:52" s="142" customFormat="1" ht="12.75" x14ac:dyDescent="0.2">
      <c r="A1012" s="151"/>
      <c r="B1012" s="152" t="s">
        <v>2705</v>
      </c>
      <c r="C1012" s="152" t="s">
        <v>2675</v>
      </c>
      <c r="D1012" s="152" t="s">
        <v>2705</v>
      </c>
      <c r="E1012" s="152" t="s">
        <v>2675</v>
      </c>
      <c r="F1012" s="152" t="s">
        <v>2705</v>
      </c>
      <c r="G1012" s="152" t="s">
        <v>2398</v>
      </c>
      <c r="H1012" s="152" t="s">
        <v>2705</v>
      </c>
      <c r="I1012" s="152" t="s">
        <v>2705</v>
      </c>
      <c r="J1012" s="152" t="s">
        <v>2398</v>
      </c>
      <c r="K1012" s="152" t="s">
        <v>2398</v>
      </c>
      <c r="L1012" s="152" t="s">
        <v>2705</v>
      </c>
      <c r="M1012" s="152" t="s">
        <v>2398</v>
      </c>
      <c r="N1012" s="152" t="s">
        <v>2705</v>
      </c>
      <c r="O1012" s="152" t="s">
        <v>2705</v>
      </c>
      <c r="P1012" s="152" t="s">
        <v>2675</v>
      </c>
      <c r="Q1012" s="152" t="s">
        <v>2398</v>
      </c>
      <c r="R1012" s="152" t="s">
        <v>2398</v>
      </c>
      <c r="S1012" s="152" t="s">
        <v>2675</v>
      </c>
      <c r="T1012" s="152" t="s">
        <v>2398</v>
      </c>
      <c r="U1012" s="152" t="s">
        <v>2705</v>
      </c>
      <c r="V1012" s="142" t="str" cm="1">
        <f t="array" ref="V1012">IF(A1012&lt;&gt;"",SUM(--(B1012:U1013 = "X")*$U$3,--(B1012:U1013 ="A")*$Q$3,--(B1012:U1013 ="B")*$R$3,--(B1012:U1013 ="C")*$S$3),"")</f>
        <v/>
      </c>
      <c r="AG1012" s="142" t="s">
        <v>2705</v>
      </c>
      <c r="AH1012" s="142" t="s">
        <v>2675</v>
      </c>
      <c r="AI1012" s="142" t="s">
        <v>2705</v>
      </c>
      <c r="AJ1012" s="142" t="s">
        <v>2675</v>
      </c>
      <c r="AK1012" s="142" t="s">
        <v>2705</v>
      </c>
      <c r="AL1012" s="142" t="s">
        <v>2398</v>
      </c>
      <c r="AM1012" s="142" t="s">
        <v>2705</v>
      </c>
      <c r="AN1012" s="142" t="s">
        <v>2705</v>
      </c>
      <c r="AO1012" s="142" t="s">
        <v>2398</v>
      </c>
      <c r="AP1012" s="142" t="s">
        <v>2398</v>
      </c>
      <c r="AQ1012" s="142" t="s">
        <v>2705</v>
      </c>
      <c r="AR1012" s="142" t="s">
        <v>2398</v>
      </c>
      <c r="AS1012" s="142" t="s">
        <v>2705</v>
      </c>
      <c r="AT1012" s="142" t="s">
        <v>2705</v>
      </c>
      <c r="AU1012" s="142" t="s">
        <v>2675</v>
      </c>
      <c r="AV1012" s="142" t="s">
        <v>2398</v>
      </c>
      <c r="AW1012" s="142" t="s">
        <v>2398</v>
      </c>
      <c r="AX1012" s="142" t="s">
        <v>2675</v>
      </c>
      <c r="AY1012" s="142" t="s">
        <v>2398</v>
      </c>
      <c r="AZ1012" s="142" t="s">
        <v>2705</v>
      </c>
    </row>
    <row r="1013" spans="1:52" s="142" customFormat="1" ht="12.75" x14ac:dyDescent="0.2">
      <c r="A1013" s="151" t="s">
        <v>7823</v>
      </c>
      <c r="B1013" s="152" t="s">
        <v>2398</v>
      </c>
      <c r="C1013" s="152" t="s">
        <v>2398</v>
      </c>
      <c r="D1013" s="152" t="s">
        <v>2705</v>
      </c>
      <c r="E1013" s="152" t="s">
        <v>2705</v>
      </c>
      <c r="F1013" s="152" t="s">
        <v>2705</v>
      </c>
      <c r="G1013" s="152" t="s">
        <v>2705</v>
      </c>
      <c r="H1013" s="152" t="s">
        <v>2705</v>
      </c>
      <c r="I1013" s="152" t="s">
        <v>2705</v>
      </c>
      <c r="J1013" s="152" t="s">
        <v>1435</v>
      </c>
      <c r="K1013" s="152" t="s">
        <v>2705</v>
      </c>
      <c r="L1013" s="152" t="s">
        <v>2705</v>
      </c>
      <c r="M1013" s="152" t="s">
        <v>2705</v>
      </c>
      <c r="N1013" s="152" t="s">
        <v>2705</v>
      </c>
      <c r="O1013" s="152" t="s">
        <v>1435</v>
      </c>
      <c r="P1013" s="152" t="s">
        <v>2705</v>
      </c>
      <c r="Q1013" s="152" t="s">
        <v>2705</v>
      </c>
      <c r="R1013" s="152" t="s">
        <v>2398</v>
      </c>
      <c r="S1013" s="152" t="s">
        <v>2705</v>
      </c>
      <c r="T1013" s="152" t="s">
        <v>1435</v>
      </c>
      <c r="U1013" s="152" t="s">
        <v>2705</v>
      </c>
      <c r="V1013" s="142" cm="1">
        <f t="array" ref="V1013">IF(A1013&lt;&gt;"",SUM(--(B1013:U1014 = "X")*$U$3,--(B1013:U1014 ="A")*$Q$3,--(B1013:U1014 ="B")*$R$3,--(B1013:U1014 ="C")*$S$3),"")</f>
        <v>21.5</v>
      </c>
      <c r="AF1013" s="142" t="s">
        <v>7823</v>
      </c>
      <c r="AG1013" s="142" t="s">
        <v>2398</v>
      </c>
      <c r="AH1013" s="142" t="s">
        <v>2398</v>
      </c>
      <c r="AI1013" s="142" t="s">
        <v>2705</v>
      </c>
      <c r="AJ1013" s="142" t="s">
        <v>2705</v>
      </c>
      <c r="AK1013" s="142" t="s">
        <v>2705</v>
      </c>
      <c r="AL1013" s="142" t="s">
        <v>2705</v>
      </c>
      <c r="AM1013" s="142" t="s">
        <v>2705</v>
      </c>
      <c r="AN1013" s="142" t="s">
        <v>2705</v>
      </c>
      <c r="AO1013" s="142" t="s">
        <v>1435</v>
      </c>
      <c r="AP1013" s="142" t="s">
        <v>2705</v>
      </c>
      <c r="AQ1013" s="142" t="s">
        <v>2705</v>
      </c>
      <c r="AR1013" s="142" t="s">
        <v>2705</v>
      </c>
      <c r="AS1013" s="142" t="s">
        <v>2705</v>
      </c>
      <c r="AT1013" s="142" t="s">
        <v>1435</v>
      </c>
      <c r="AU1013" s="142" t="s">
        <v>2705</v>
      </c>
      <c r="AV1013" s="142" t="s">
        <v>2705</v>
      </c>
      <c r="AW1013" s="142" t="s">
        <v>2398</v>
      </c>
      <c r="AX1013" s="142" t="s">
        <v>2705</v>
      </c>
      <c r="AY1013" s="142" t="s">
        <v>1435</v>
      </c>
      <c r="AZ1013" s="142" t="s">
        <v>2705</v>
      </c>
    </row>
    <row r="1014" spans="1:52" s="142" customFormat="1" ht="12.75" x14ac:dyDescent="0.2">
      <c r="A1014" s="151"/>
      <c r="B1014" s="152" t="s">
        <v>2705</v>
      </c>
      <c r="C1014" s="152" t="s">
        <v>1435</v>
      </c>
      <c r="D1014" s="152" t="s">
        <v>2705</v>
      </c>
      <c r="E1014" s="152" t="s">
        <v>2705</v>
      </c>
      <c r="F1014" s="152" t="s">
        <v>2705</v>
      </c>
      <c r="G1014" s="152" t="s">
        <v>1435</v>
      </c>
      <c r="H1014" s="152" t="s">
        <v>2705</v>
      </c>
      <c r="I1014" s="152" t="s">
        <v>2705</v>
      </c>
      <c r="J1014" s="152" t="s">
        <v>2705</v>
      </c>
      <c r="K1014" s="152" t="s">
        <v>2705</v>
      </c>
      <c r="L1014" s="152" t="s">
        <v>2398</v>
      </c>
      <c r="M1014" s="152" t="s">
        <v>2675</v>
      </c>
      <c r="N1014" s="152" t="s">
        <v>2398</v>
      </c>
      <c r="O1014" s="152" t="s">
        <v>2705</v>
      </c>
      <c r="P1014" s="152" t="s">
        <v>2705</v>
      </c>
      <c r="Q1014" s="152" t="s">
        <v>2705</v>
      </c>
      <c r="R1014" s="152" t="s">
        <v>1435</v>
      </c>
      <c r="S1014" s="152" t="s">
        <v>2398</v>
      </c>
      <c r="T1014" s="152" t="s">
        <v>2398</v>
      </c>
      <c r="U1014" s="152" t="s">
        <v>2398</v>
      </c>
      <c r="V1014" s="142" t="str" cm="1">
        <f t="array" ref="V1014">IF(A1014&lt;&gt;"",SUM(--(B1014:U1015 = "X")*$U$3,--(B1014:U1015 ="A")*$Q$3,--(B1014:U1015 ="B")*$R$3,--(B1014:U1015 ="C")*$S$3),"")</f>
        <v/>
      </c>
      <c r="AG1014" s="142" t="s">
        <v>2705</v>
      </c>
      <c r="AH1014" s="142" t="s">
        <v>1435</v>
      </c>
      <c r="AI1014" s="142" t="s">
        <v>2705</v>
      </c>
      <c r="AJ1014" s="142" t="s">
        <v>2705</v>
      </c>
      <c r="AK1014" s="142" t="s">
        <v>2705</v>
      </c>
      <c r="AL1014" s="142" t="s">
        <v>1435</v>
      </c>
      <c r="AM1014" s="142" t="s">
        <v>2705</v>
      </c>
      <c r="AN1014" s="142" t="s">
        <v>2705</v>
      </c>
      <c r="AO1014" s="142" t="s">
        <v>2705</v>
      </c>
      <c r="AP1014" s="142" t="s">
        <v>2705</v>
      </c>
      <c r="AQ1014" s="142" t="s">
        <v>2398</v>
      </c>
      <c r="AR1014" s="142" t="s">
        <v>2675</v>
      </c>
      <c r="AS1014" s="142" t="s">
        <v>2398</v>
      </c>
      <c r="AT1014" s="142" t="s">
        <v>2705</v>
      </c>
      <c r="AU1014" s="142" t="s">
        <v>2705</v>
      </c>
      <c r="AV1014" s="142" t="s">
        <v>2705</v>
      </c>
      <c r="AW1014" s="142" t="s">
        <v>1435</v>
      </c>
      <c r="AX1014" s="142" t="s">
        <v>2398</v>
      </c>
      <c r="AY1014" s="142" t="s">
        <v>2398</v>
      </c>
      <c r="AZ1014" s="142" t="s">
        <v>2398</v>
      </c>
    </row>
    <row r="1015" spans="1:52" s="142" customFormat="1" ht="12.75" x14ac:dyDescent="0.2">
      <c r="A1015" s="151" t="s">
        <v>7824</v>
      </c>
      <c r="B1015" s="152" t="s">
        <v>1435</v>
      </c>
      <c r="C1015" s="152" t="s">
        <v>2705</v>
      </c>
      <c r="D1015" s="152" t="s">
        <v>2675</v>
      </c>
      <c r="E1015" s="152" t="s">
        <v>2705</v>
      </c>
      <c r="F1015" s="152" t="s">
        <v>2705</v>
      </c>
      <c r="G1015" s="152" t="s">
        <v>2705</v>
      </c>
      <c r="H1015" s="152" t="s">
        <v>2398</v>
      </c>
      <c r="I1015" s="152" t="s">
        <v>2705</v>
      </c>
      <c r="J1015" s="152" t="s">
        <v>2398</v>
      </c>
      <c r="K1015" s="152" t="s">
        <v>2398</v>
      </c>
      <c r="L1015" s="152" t="s">
        <v>2675</v>
      </c>
      <c r="M1015" s="152" t="s">
        <v>2705</v>
      </c>
      <c r="N1015" s="152" t="s">
        <v>2705</v>
      </c>
      <c r="O1015" s="152" t="s">
        <v>2705</v>
      </c>
      <c r="P1015" s="152" t="s">
        <v>2398</v>
      </c>
      <c r="Q1015" s="152" t="s">
        <v>2705</v>
      </c>
      <c r="R1015" s="152" t="s">
        <v>2705</v>
      </c>
      <c r="S1015" s="152" t="s">
        <v>2705</v>
      </c>
      <c r="T1015" s="152" t="s">
        <v>2398</v>
      </c>
      <c r="U1015" s="152" t="s">
        <v>2705</v>
      </c>
      <c r="V1015" s="142" cm="1">
        <f t="array" ref="V1015">IF(A1015&lt;&gt;"",SUM(--(B1015:U1016 = "X")*$U$3,--(B1015:U1016 ="A")*$Q$3,--(B1015:U1016 ="B")*$R$3,--(B1015:U1016 ="C")*$S$3),"")</f>
        <v>15</v>
      </c>
      <c r="AF1015" s="142" t="s">
        <v>7824</v>
      </c>
      <c r="AG1015" s="142" t="s">
        <v>1435</v>
      </c>
      <c r="AH1015" s="142" t="s">
        <v>2705</v>
      </c>
      <c r="AI1015" s="142" t="s">
        <v>2675</v>
      </c>
      <c r="AJ1015" s="142" t="s">
        <v>2705</v>
      </c>
      <c r="AK1015" s="142" t="s">
        <v>2705</v>
      </c>
      <c r="AL1015" s="142" t="s">
        <v>2705</v>
      </c>
      <c r="AM1015" s="142" t="s">
        <v>2398</v>
      </c>
      <c r="AN1015" s="142" t="s">
        <v>2705</v>
      </c>
      <c r="AO1015" s="142" t="s">
        <v>2398</v>
      </c>
      <c r="AP1015" s="142" t="s">
        <v>2398</v>
      </c>
      <c r="AQ1015" s="142" t="s">
        <v>2675</v>
      </c>
      <c r="AR1015" s="142" t="s">
        <v>2705</v>
      </c>
      <c r="AS1015" s="142" t="s">
        <v>2705</v>
      </c>
      <c r="AT1015" s="142" t="s">
        <v>2705</v>
      </c>
      <c r="AU1015" s="142" t="s">
        <v>2398</v>
      </c>
      <c r="AV1015" s="142" t="s">
        <v>2705</v>
      </c>
      <c r="AW1015" s="142" t="s">
        <v>2705</v>
      </c>
      <c r="AX1015" s="142" t="s">
        <v>2705</v>
      </c>
      <c r="AY1015" s="142" t="s">
        <v>2398</v>
      </c>
      <c r="AZ1015" s="142" t="s">
        <v>2705</v>
      </c>
    </row>
    <row r="1016" spans="1:52" s="142" customFormat="1" ht="12.75" x14ac:dyDescent="0.2">
      <c r="A1016" s="151"/>
      <c r="B1016" s="152" t="s">
        <v>2398</v>
      </c>
      <c r="C1016" s="152" t="s">
        <v>2675</v>
      </c>
      <c r="D1016" s="152" t="s">
        <v>2705</v>
      </c>
      <c r="E1016" s="152" t="s">
        <v>2675</v>
      </c>
      <c r="F1016" s="152" t="s">
        <v>2398</v>
      </c>
      <c r="G1016" s="152" t="s">
        <v>2705</v>
      </c>
      <c r="H1016" s="152" t="s">
        <v>2705</v>
      </c>
      <c r="I1016" s="152" t="s">
        <v>2398</v>
      </c>
      <c r="J1016" s="152" t="s">
        <v>2398</v>
      </c>
      <c r="K1016" s="152" t="s">
        <v>2705</v>
      </c>
      <c r="L1016" s="152" t="s">
        <v>2675</v>
      </c>
      <c r="M1016" s="152" t="s">
        <v>2398</v>
      </c>
      <c r="N1016" s="152" t="s">
        <v>2705</v>
      </c>
      <c r="O1016" s="152" t="s">
        <v>1435</v>
      </c>
      <c r="P1016" s="152" t="s">
        <v>2398</v>
      </c>
      <c r="Q1016" s="152" t="s">
        <v>2398</v>
      </c>
      <c r="R1016" s="152" t="s">
        <v>1435</v>
      </c>
      <c r="S1016" s="152" t="s">
        <v>2705</v>
      </c>
      <c r="T1016" s="152" t="s">
        <v>2705</v>
      </c>
      <c r="U1016" s="152" t="s">
        <v>2398</v>
      </c>
      <c r="V1016" s="142" t="str" cm="1">
        <f t="array" ref="V1016">IF(A1016&lt;&gt;"",SUM(--(B1016:U1017 = "X")*$U$3,--(B1016:U1017 ="A")*$Q$3,--(B1016:U1017 ="B")*$R$3,--(B1016:U1017 ="C")*$S$3),"")</f>
        <v/>
      </c>
      <c r="AG1016" s="142" t="s">
        <v>2398</v>
      </c>
      <c r="AH1016" s="142" t="s">
        <v>2675</v>
      </c>
      <c r="AI1016" s="142" t="s">
        <v>2705</v>
      </c>
      <c r="AJ1016" s="142" t="s">
        <v>2675</v>
      </c>
      <c r="AK1016" s="142" t="s">
        <v>2398</v>
      </c>
      <c r="AL1016" s="142" t="s">
        <v>2705</v>
      </c>
      <c r="AM1016" s="142" t="s">
        <v>2705</v>
      </c>
      <c r="AN1016" s="142" t="s">
        <v>2398</v>
      </c>
      <c r="AO1016" s="142" t="s">
        <v>2398</v>
      </c>
      <c r="AP1016" s="142" t="s">
        <v>2705</v>
      </c>
      <c r="AQ1016" s="142" t="s">
        <v>2675</v>
      </c>
      <c r="AR1016" s="142" t="s">
        <v>2398</v>
      </c>
      <c r="AS1016" s="142" t="s">
        <v>2705</v>
      </c>
      <c r="AT1016" s="142" t="s">
        <v>1435</v>
      </c>
      <c r="AU1016" s="142" t="s">
        <v>2398</v>
      </c>
      <c r="AV1016" s="142" t="s">
        <v>2398</v>
      </c>
      <c r="AW1016" s="142" t="s">
        <v>1435</v>
      </c>
      <c r="AX1016" s="142" t="s">
        <v>2705</v>
      </c>
      <c r="AY1016" s="142" t="s">
        <v>2705</v>
      </c>
      <c r="AZ1016" s="142" t="s">
        <v>2398</v>
      </c>
    </row>
    <row r="1017" spans="1:52" s="142" customFormat="1" ht="12.75" x14ac:dyDescent="0.2">
      <c r="A1017" s="151" t="s">
        <v>7825</v>
      </c>
      <c r="B1017" s="152" t="s">
        <v>2705</v>
      </c>
      <c r="C1017" s="152" t="s">
        <v>2705</v>
      </c>
      <c r="D1017" s="152" t="s">
        <v>2705</v>
      </c>
      <c r="E1017" s="152" t="s">
        <v>1435</v>
      </c>
      <c r="F1017" s="152" t="s">
        <v>2705</v>
      </c>
      <c r="G1017" s="152" t="s">
        <v>2705</v>
      </c>
      <c r="H1017" s="152" t="s">
        <v>2705</v>
      </c>
      <c r="I1017" s="152" t="s">
        <v>2675</v>
      </c>
      <c r="J1017" s="152" t="s">
        <v>2398</v>
      </c>
      <c r="K1017" s="152" t="s">
        <v>2398</v>
      </c>
      <c r="L1017" s="152" t="s">
        <v>2705</v>
      </c>
      <c r="M1017" s="152" t="s">
        <v>2705</v>
      </c>
      <c r="N1017" s="152" t="s">
        <v>2398</v>
      </c>
      <c r="O1017" s="152" t="s">
        <v>2398</v>
      </c>
      <c r="P1017" s="152" t="s">
        <v>2398</v>
      </c>
      <c r="Q1017" s="152" t="s">
        <v>2398</v>
      </c>
      <c r="R1017" s="152" t="s">
        <v>2397</v>
      </c>
      <c r="S1017" s="152" t="s">
        <v>2705</v>
      </c>
      <c r="T1017" s="152" t="s">
        <v>2705</v>
      </c>
      <c r="U1017" s="152" t="s">
        <v>2398</v>
      </c>
      <c r="V1017" s="142" cm="1">
        <f t="array" ref="V1017">IF(A1017&lt;&gt;"",SUM(--(B1017:U1018 = "X")*$U$3,--(B1017:U1018 ="A")*$Q$3,--(B1017:U1018 ="B")*$R$3,--(B1017:U1018 ="C")*$S$3),"")</f>
        <v>20</v>
      </c>
      <c r="AF1017" s="142" t="s">
        <v>7825</v>
      </c>
      <c r="AG1017" s="142" t="s">
        <v>2705</v>
      </c>
      <c r="AH1017" s="142" t="s">
        <v>2705</v>
      </c>
      <c r="AI1017" s="142" t="s">
        <v>2705</v>
      </c>
      <c r="AJ1017" s="142" t="s">
        <v>1435</v>
      </c>
      <c r="AK1017" s="142" t="s">
        <v>2705</v>
      </c>
      <c r="AL1017" s="142" t="s">
        <v>2705</v>
      </c>
      <c r="AM1017" s="142" t="s">
        <v>2705</v>
      </c>
      <c r="AN1017" s="142" t="s">
        <v>2675</v>
      </c>
      <c r="AO1017" s="142" t="s">
        <v>2398</v>
      </c>
      <c r="AP1017" s="142" t="s">
        <v>2398</v>
      </c>
      <c r="AQ1017" s="142" t="s">
        <v>2705</v>
      </c>
      <c r="AR1017" s="142" t="s">
        <v>2705</v>
      </c>
      <c r="AS1017" s="142" t="s">
        <v>2398</v>
      </c>
      <c r="AT1017" s="142" t="s">
        <v>2398</v>
      </c>
      <c r="AU1017" s="142" t="s">
        <v>2398</v>
      </c>
      <c r="AV1017" s="142" t="s">
        <v>2398</v>
      </c>
      <c r="AW1017" s="142" t="s">
        <v>2397</v>
      </c>
      <c r="AX1017" s="142" t="s">
        <v>2705</v>
      </c>
      <c r="AY1017" s="142" t="s">
        <v>2705</v>
      </c>
      <c r="AZ1017" s="142" t="s">
        <v>2398</v>
      </c>
    </row>
    <row r="1018" spans="1:52" s="142" customFormat="1" ht="12.75" x14ac:dyDescent="0.2">
      <c r="A1018" s="151"/>
      <c r="B1018" s="152" t="s">
        <v>2398</v>
      </c>
      <c r="C1018" s="152" t="s">
        <v>2398</v>
      </c>
      <c r="D1018" s="152" t="s">
        <v>2705</v>
      </c>
      <c r="E1018" s="152" t="s">
        <v>2705</v>
      </c>
      <c r="F1018" s="152" t="s">
        <v>2398</v>
      </c>
      <c r="G1018" s="152" t="s">
        <v>2398</v>
      </c>
      <c r="H1018" s="152" t="s">
        <v>2705</v>
      </c>
      <c r="I1018" s="152" t="s">
        <v>2705</v>
      </c>
      <c r="J1018" s="152" t="s">
        <v>2705</v>
      </c>
      <c r="K1018" s="152" t="s">
        <v>2705</v>
      </c>
      <c r="L1018" s="152" t="s">
        <v>2398</v>
      </c>
      <c r="M1018" s="152" t="s">
        <v>2398</v>
      </c>
      <c r="N1018" s="152" t="s">
        <v>2398</v>
      </c>
      <c r="O1018" s="152" t="s">
        <v>2705</v>
      </c>
      <c r="P1018" s="152" t="s">
        <v>2705</v>
      </c>
      <c r="Q1018" s="152" t="s">
        <v>2705</v>
      </c>
      <c r="R1018" s="152" t="s">
        <v>2398</v>
      </c>
      <c r="S1018" s="152" t="s">
        <v>2705</v>
      </c>
      <c r="T1018" s="152" t="s">
        <v>2398</v>
      </c>
      <c r="U1018" s="152" t="s">
        <v>2705</v>
      </c>
      <c r="V1018" s="142" t="str" cm="1">
        <f t="array" ref="V1018">IF(A1018&lt;&gt;"",SUM(--(B1018:U1019 = "X")*$U$3,--(B1018:U1019 ="A")*$Q$3,--(B1018:U1019 ="B")*$R$3,--(B1018:U1019 ="C")*$S$3),"")</f>
        <v/>
      </c>
      <c r="AG1018" s="142" t="s">
        <v>2398</v>
      </c>
      <c r="AH1018" s="142" t="s">
        <v>2398</v>
      </c>
      <c r="AI1018" s="142" t="s">
        <v>2705</v>
      </c>
      <c r="AJ1018" s="142" t="s">
        <v>2705</v>
      </c>
      <c r="AK1018" s="142" t="s">
        <v>2398</v>
      </c>
      <c r="AL1018" s="142" t="s">
        <v>2398</v>
      </c>
      <c r="AM1018" s="142" t="s">
        <v>2705</v>
      </c>
      <c r="AN1018" s="142" t="s">
        <v>2705</v>
      </c>
      <c r="AO1018" s="142" t="s">
        <v>2705</v>
      </c>
      <c r="AP1018" s="142" t="s">
        <v>2705</v>
      </c>
      <c r="AQ1018" s="142" t="s">
        <v>2398</v>
      </c>
      <c r="AR1018" s="142" t="s">
        <v>2398</v>
      </c>
      <c r="AS1018" s="142" t="s">
        <v>2398</v>
      </c>
      <c r="AT1018" s="142" t="s">
        <v>2705</v>
      </c>
      <c r="AU1018" s="142" t="s">
        <v>2705</v>
      </c>
      <c r="AV1018" s="142" t="s">
        <v>2705</v>
      </c>
      <c r="AW1018" s="142" t="s">
        <v>2398</v>
      </c>
      <c r="AX1018" s="142" t="s">
        <v>2705</v>
      </c>
      <c r="AY1018" s="142" t="s">
        <v>2398</v>
      </c>
      <c r="AZ1018" s="142" t="s">
        <v>2705</v>
      </c>
    </row>
    <row r="1019" spans="1:52" s="142" customFormat="1" ht="12.75" x14ac:dyDescent="0.2">
      <c r="A1019" s="151" t="s">
        <v>7826</v>
      </c>
      <c r="B1019" s="152" t="s">
        <v>2398</v>
      </c>
      <c r="C1019" s="152" t="s">
        <v>2398</v>
      </c>
      <c r="D1019" s="152" t="s">
        <v>2705</v>
      </c>
      <c r="E1019" s="152" t="s">
        <v>2705</v>
      </c>
      <c r="F1019" s="152" t="s">
        <v>2398</v>
      </c>
      <c r="G1019" s="152" t="s">
        <v>2705</v>
      </c>
      <c r="H1019" s="152" t="s">
        <v>2398</v>
      </c>
      <c r="I1019" s="152" t="s">
        <v>2705</v>
      </c>
      <c r="J1019" s="152" t="s">
        <v>2705</v>
      </c>
      <c r="K1019" s="152" t="s">
        <v>2705</v>
      </c>
      <c r="L1019" s="152" t="s">
        <v>2705</v>
      </c>
      <c r="M1019" s="152" t="s">
        <v>2398</v>
      </c>
      <c r="N1019" s="152" t="s">
        <v>2705</v>
      </c>
      <c r="O1019" s="152" t="s">
        <v>2398</v>
      </c>
      <c r="P1019" s="152" t="s">
        <v>2675</v>
      </c>
      <c r="Q1019" s="152" t="s">
        <v>1435</v>
      </c>
      <c r="R1019" s="152" t="s">
        <v>2705</v>
      </c>
      <c r="S1019" s="152" t="s">
        <v>2398</v>
      </c>
      <c r="T1019" s="152" t="s">
        <v>2705</v>
      </c>
      <c r="U1019" s="152" t="s">
        <v>2398</v>
      </c>
      <c r="V1019" s="142" cm="1">
        <f t="array" ref="V1019">IF(A1019&lt;&gt;"",SUM(--(B1019:U1020 = "X")*$U$3,--(B1019:U1020 ="A")*$Q$3,--(B1019:U1020 ="B")*$R$3,--(B1019:U1020 ="C")*$S$3),"")</f>
        <v>17.5</v>
      </c>
      <c r="AF1019" s="142" t="s">
        <v>7826</v>
      </c>
      <c r="AG1019" s="142" t="s">
        <v>2398</v>
      </c>
      <c r="AH1019" s="142" t="s">
        <v>2398</v>
      </c>
      <c r="AI1019" s="142" t="s">
        <v>2705</v>
      </c>
      <c r="AJ1019" s="142" t="s">
        <v>2705</v>
      </c>
      <c r="AK1019" s="142" t="s">
        <v>2398</v>
      </c>
      <c r="AL1019" s="142" t="s">
        <v>2705</v>
      </c>
      <c r="AM1019" s="142" t="s">
        <v>2398</v>
      </c>
      <c r="AN1019" s="142" t="s">
        <v>2705</v>
      </c>
      <c r="AO1019" s="142" t="s">
        <v>2705</v>
      </c>
      <c r="AP1019" s="142" t="s">
        <v>2705</v>
      </c>
      <c r="AQ1019" s="142" t="s">
        <v>2705</v>
      </c>
      <c r="AR1019" s="142" t="s">
        <v>2398</v>
      </c>
      <c r="AS1019" s="142" t="s">
        <v>2705</v>
      </c>
      <c r="AT1019" s="142" t="s">
        <v>2398</v>
      </c>
      <c r="AU1019" s="142" t="s">
        <v>2675</v>
      </c>
      <c r="AV1019" s="142" t="s">
        <v>1435</v>
      </c>
      <c r="AW1019" s="142" t="s">
        <v>2705</v>
      </c>
      <c r="AX1019" s="142" t="s">
        <v>2398</v>
      </c>
      <c r="AY1019" s="142" t="s">
        <v>2705</v>
      </c>
      <c r="AZ1019" s="142" t="s">
        <v>2398</v>
      </c>
    </row>
    <row r="1020" spans="1:52" s="142" customFormat="1" ht="12.75" x14ac:dyDescent="0.2">
      <c r="A1020" s="151"/>
      <c r="B1020" s="152" t="s">
        <v>2705</v>
      </c>
      <c r="C1020" s="152" t="s">
        <v>2398</v>
      </c>
      <c r="D1020" s="152" t="s">
        <v>2705</v>
      </c>
      <c r="E1020" s="152" t="s">
        <v>2398</v>
      </c>
      <c r="F1020" s="152" t="s">
        <v>2705</v>
      </c>
      <c r="G1020" s="152" t="s">
        <v>2705</v>
      </c>
      <c r="H1020" s="152" t="s">
        <v>2398</v>
      </c>
      <c r="I1020" s="152" t="s">
        <v>2705</v>
      </c>
      <c r="J1020" s="152" t="s">
        <v>2705</v>
      </c>
      <c r="K1020" s="152" t="s">
        <v>2398</v>
      </c>
      <c r="L1020" s="152" t="s">
        <v>2705</v>
      </c>
      <c r="M1020" s="152" t="s">
        <v>2675</v>
      </c>
      <c r="N1020" s="152" t="s">
        <v>2398</v>
      </c>
      <c r="O1020" s="152" t="s">
        <v>2398</v>
      </c>
      <c r="P1020" s="152" t="s">
        <v>2398</v>
      </c>
      <c r="Q1020" s="152" t="s">
        <v>2705</v>
      </c>
      <c r="R1020" s="152" t="s">
        <v>2397</v>
      </c>
      <c r="S1020" s="152" t="s">
        <v>2398</v>
      </c>
      <c r="T1020" s="152" t="s">
        <v>2705</v>
      </c>
      <c r="U1020" s="152" t="s">
        <v>2398</v>
      </c>
      <c r="V1020" s="142" t="str" cm="1">
        <f t="array" ref="V1020">IF(A1020&lt;&gt;"",SUM(--(B1020:U1021 = "X")*$U$3,--(B1020:U1021 ="A")*$Q$3,--(B1020:U1021 ="B")*$R$3,--(B1020:U1021 ="C")*$S$3),"")</f>
        <v/>
      </c>
      <c r="AG1020" s="142" t="s">
        <v>2705</v>
      </c>
      <c r="AH1020" s="142" t="s">
        <v>2398</v>
      </c>
      <c r="AI1020" s="142" t="s">
        <v>2705</v>
      </c>
      <c r="AJ1020" s="142" t="s">
        <v>2398</v>
      </c>
      <c r="AK1020" s="142" t="s">
        <v>2705</v>
      </c>
      <c r="AL1020" s="142" t="s">
        <v>2705</v>
      </c>
      <c r="AM1020" s="142" t="s">
        <v>2398</v>
      </c>
      <c r="AN1020" s="142" t="s">
        <v>2705</v>
      </c>
      <c r="AO1020" s="142" t="s">
        <v>2705</v>
      </c>
      <c r="AP1020" s="142" t="s">
        <v>2398</v>
      </c>
      <c r="AQ1020" s="142" t="s">
        <v>2705</v>
      </c>
      <c r="AR1020" s="142" t="s">
        <v>2675</v>
      </c>
      <c r="AS1020" s="142" t="s">
        <v>2398</v>
      </c>
      <c r="AT1020" s="142" t="s">
        <v>2398</v>
      </c>
      <c r="AU1020" s="142" t="s">
        <v>2398</v>
      </c>
      <c r="AV1020" s="142" t="s">
        <v>2705</v>
      </c>
      <c r="AW1020" s="142" t="s">
        <v>2397</v>
      </c>
      <c r="AX1020" s="142" t="s">
        <v>2398</v>
      </c>
      <c r="AY1020" s="142" t="s">
        <v>2705</v>
      </c>
      <c r="AZ1020" s="142" t="s">
        <v>2398</v>
      </c>
    </row>
    <row r="1021" spans="1:52" s="142" customFormat="1" ht="12.75" x14ac:dyDescent="0.2">
      <c r="A1021" s="151" t="s">
        <v>7827</v>
      </c>
      <c r="B1021" s="152" t="s">
        <v>2705</v>
      </c>
      <c r="C1021" s="152" t="s">
        <v>2705</v>
      </c>
      <c r="D1021" s="152" t="s">
        <v>2705</v>
      </c>
      <c r="E1021" s="152" t="s">
        <v>1435</v>
      </c>
      <c r="F1021" s="152" t="s">
        <v>2705</v>
      </c>
      <c r="G1021" s="152" t="s">
        <v>2705</v>
      </c>
      <c r="H1021" s="152" t="s">
        <v>2705</v>
      </c>
      <c r="I1021" s="152" t="s">
        <v>2705</v>
      </c>
      <c r="J1021" s="152" t="s">
        <v>2705</v>
      </c>
      <c r="K1021" s="152" t="s">
        <v>1435</v>
      </c>
      <c r="L1021" s="152" t="s">
        <v>2705</v>
      </c>
      <c r="M1021" s="152" t="s">
        <v>2398</v>
      </c>
      <c r="N1021" s="152" t="s">
        <v>2398</v>
      </c>
      <c r="O1021" s="152" t="s">
        <v>2398</v>
      </c>
      <c r="P1021" s="152" t="s">
        <v>2705</v>
      </c>
      <c r="Q1021" s="152" t="s">
        <v>2398</v>
      </c>
      <c r="R1021" s="152" t="s">
        <v>2398</v>
      </c>
      <c r="S1021" s="152" t="s">
        <v>2398</v>
      </c>
      <c r="T1021" s="152" t="s">
        <v>2705</v>
      </c>
      <c r="U1021" s="152" t="s">
        <v>2398</v>
      </c>
      <c r="V1021" s="142" cm="1">
        <f t="array" ref="V1021">IF(A1021&lt;&gt;"",SUM(--(B1021:U1022 = "X")*$U$3,--(B1021:U1022 ="A")*$Q$3,--(B1021:U1022 ="B")*$R$3,--(B1021:U1022 ="C")*$S$3),"")</f>
        <v>18.5</v>
      </c>
      <c r="AF1021" s="142" t="s">
        <v>7827</v>
      </c>
      <c r="AG1021" s="142" t="s">
        <v>2705</v>
      </c>
      <c r="AH1021" s="142" t="s">
        <v>2705</v>
      </c>
      <c r="AI1021" s="142" t="s">
        <v>2705</v>
      </c>
      <c r="AJ1021" s="142" t="s">
        <v>1435</v>
      </c>
      <c r="AK1021" s="142" t="s">
        <v>2705</v>
      </c>
      <c r="AL1021" s="142" t="s">
        <v>2705</v>
      </c>
      <c r="AM1021" s="142" t="s">
        <v>2705</v>
      </c>
      <c r="AN1021" s="142" t="s">
        <v>2705</v>
      </c>
      <c r="AO1021" s="142" t="s">
        <v>2705</v>
      </c>
      <c r="AP1021" s="142" t="s">
        <v>1435</v>
      </c>
      <c r="AQ1021" s="142" t="s">
        <v>2705</v>
      </c>
      <c r="AR1021" s="142" t="s">
        <v>2398</v>
      </c>
      <c r="AS1021" s="142" t="s">
        <v>2398</v>
      </c>
      <c r="AT1021" s="142" t="s">
        <v>2398</v>
      </c>
      <c r="AU1021" s="142" t="s">
        <v>2705</v>
      </c>
      <c r="AV1021" s="142" t="s">
        <v>2398</v>
      </c>
      <c r="AW1021" s="142" t="s">
        <v>2398</v>
      </c>
      <c r="AX1021" s="142" t="s">
        <v>2398</v>
      </c>
      <c r="AY1021" s="142" t="s">
        <v>2705</v>
      </c>
      <c r="AZ1021" s="142" t="s">
        <v>2398</v>
      </c>
    </row>
    <row r="1022" spans="1:52" s="142" customFormat="1" ht="12.75" x14ac:dyDescent="0.2">
      <c r="A1022" s="151"/>
      <c r="B1022" s="152" t="s">
        <v>2705</v>
      </c>
      <c r="C1022" s="152" t="s">
        <v>2705</v>
      </c>
      <c r="D1022" s="152" t="s">
        <v>2705</v>
      </c>
      <c r="E1022" s="152" t="s">
        <v>2705</v>
      </c>
      <c r="F1022" s="152" t="s">
        <v>2705</v>
      </c>
      <c r="G1022" s="152" t="s">
        <v>2675</v>
      </c>
      <c r="H1022" s="152" t="s">
        <v>2398</v>
      </c>
      <c r="I1022" s="152" t="s">
        <v>2705</v>
      </c>
      <c r="J1022" s="152" t="s">
        <v>2398</v>
      </c>
      <c r="K1022" s="152" t="s">
        <v>2398</v>
      </c>
      <c r="L1022" s="152" t="s">
        <v>2398</v>
      </c>
      <c r="M1022" s="152" t="s">
        <v>2398</v>
      </c>
      <c r="N1022" s="152" t="s">
        <v>2705</v>
      </c>
      <c r="O1022" s="152" t="s">
        <v>2705</v>
      </c>
      <c r="P1022" s="152" t="s">
        <v>2398</v>
      </c>
      <c r="Q1022" s="152" t="s">
        <v>1435</v>
      </c>
      <c r="R1022" s="152" t="s">
        <v>2705</v>
      </c>
      <c r="S1022" s="152" t="s">
        <v>2398</v>
      </c>
      <c r="T1022" s="152" t="s">
        <v>2675</v>
      </c>
      <c r="U1022" s="152" t="s">
        <v>2705</v>
      </c>
      <c r="V1022" s="142" t="str" cm="1">
        <f t="array" ref="V1022">IF(A1022&lt;&gt;"",SUM(--(B1022:U1023 = "X")*$U$3,--(B1022:U1023 ="A")*$Q$3,--(B1022:U1023 ="B")*$R$3,--(B1022:U1023 ="C")*$S$3),"")</f>
        <v/>
      </c>
      <c r="AG1022" s="142" t="s">
        <v>2705</v>
      </c>
      <c r="AH1022" s="142" t="s">
        <v>2705</v>
      </c>
      <c r="AI1022" s="142" t="s">
        <v>2705</v>
      </c>
      <c r="AJ1022" s="142" t="s">
        <v>2705</v>
      </c>
      <c r="AK1022" s="142" t="s">
        <v>2705</v>
      </c>
      <c r="AL1022" s="142" t="s">
        <v>2675</v>
      </c>
      <c r="AM1022" s="142" t="s">
        <v>2398</v>
      </c>
      <c r="AN1022" s="142" t="s">
        <v>2705</v>
      </c>
      <c r="AO1022" s="142" t="s">
        <v>2398</v>
      </c>
      <c r="AP1022" s="142" t="s">
        <v>2398</v>
      </c>
      <c r="AQ1022" s="142" t="s">
        <v>2398</v>
      </c>
      <c r="AR1022" s="142" t="s">
        <v>2398</v>
      </c>
      <c r="AS1022" s="142" t="s">
        <v>2705</v>
      </c>
      <c r="AT1022" s="142" t="s">
        <v>2705</v>
      </c>
      <c r="AU1022" s="142" t="s">
        <v>2398</v>
      </c>
      <c r="AV1022" s="142" t="s">
        <v>1435</v>
      </c>
      <c r="AW1022" s="142" t="s">
        <v>2705</v>
      </c>
      <c r="AX1022" s="142" t="s">
        <v>2398</v>
      </c>
      <c r="AY1022" s="142" t="s">
        <v>2675</v>
      </c>
      <c r="AZ1022" s="142" t="s">
        <v>2705</v>
      </c>
    </row>
    <row r="1023" spans="1:52" s="142" customFormat="1" ht="12.75" x14ac:dyDescent="0.2">
      <c r="A1023" s="151" t="s">
        <v>7828</v>
      </c>
      <c r="B1023" s="152" t="s">
        <v>1435</v>
      </c>
      <c r="C1023" s="152" t="s">
        <v>2675</v>
      </c>
      <c r="D1023" s="152" t="s">
        <v>1435</v>
      </c>
      <c r="E1023" s="152" t="s">
        <v>2398</v>
      </c>
      <c r="F1023" s="152" t="s">
        <v>1435</v>
      </c>
      <c r="G1023" s="152" t="s">
        <v>2675</v>
      </c>
      <c r="H1023" s="152" t="s">
        <v>2398</v>
      </c>
      <c r="I1023" s="152" t="s">
        <v>2398</v>
      </c>
      <c r="J1023" s="152" t="s">
        <v>2675</v>
      </c>
      <c r="K1023" s="152" t="s">
        <v>2705</v>
      </c>
      <c r="L1023" s="152" t="s">
        <v>2675</v>
      </c>
      <c r="M1023" s="152" t="s">
        <v>1435</v>
      </c>
      <c r="N1023" s="152" t="s">
        <v>2705</v>
      </c>
      <c r="O1023" s="152" t="s">
        <v>2705</v>
      </c>
      <c r="P1023" s="152" t="s">
        <v>2705</v>
      </c>
      <c r="Q1023" s="152" t="s">
        <v>2705</v>
      </c>
      <c r="R1023" s="152" t="s">
        <v>2397</v>
      </c>
      <c r="S1023" s="152" t="s">
        <v>2675</v>
      </c>
      <c r="T1023" s="152" t="s">
        <v>2675</v>
      </c>
      <c r="U1023" s="152" t="s">
        <v>2675</v>
      </c>
      <c r="V1023" s="142" cm="1">
        <f t="array" ref="V1023">IF(A1023&lt;&gt;"",SUM(--(B1023:U1024 = "X")*$U$3,--(B1023:U1024 ="A")*$Q$3,--(B1023:U1024 ="B")*$R$3,--(B1023:U1024 ="C")*$S$3),"")</f>
        <v>2.5</v>
      </c>
      <c r="AF1023" s="142" t="s">
        <v>7828</v>
      </c>
      <c r="AG1023" s="142" t="s">
        <v>1435</v>
      </c>
      <c r="AH1023" s="142" t="s">
        <v>2675</v>
      </c>
      <c r="AI1023" s="142" t="s">
        <v>1435</v>
      </c>
      <c r="AJ1023" s="142" t="s">
        <v>2398</v>
      </c>
      <c r="AK1023" s="142" t="s">
        <v>1435</v>
      </c>
      <c r="AL1023" s="142" t="s">
        <v>2675</v>
      </c>
      <c r="AM1023" s="142" t="s">
        <v>2398</v>
      </c>
      <c r="AN1023" s="142" t="s">
        <v>2398</v>
      </c>
      <c r="AO1023" s="142" t="s">
        <v>2675</v>
      </c>
      <c r="AP1023" s="142" t="s">
        <v>2705</v>
      </c>
      <c r="AQ1023" s="142" t="s">
        <v>2675</v>
      </c>
      <c r="AR1023" s="142" t="s">
        <v>1435</v>
      </c>
      <c r="AS1023" s="142" t="s">
        <v>2705</v>
      </c>
      <c r="AT1023" s="142" t="s">
        <v>2705</v>
      </c>
      <c r="AU1023" s="142" t="s">
        <v>2705</v>
      </c>
      <c r="AV1023" s="142" t="s">
        <v>2705</v>
      </c>
      <c r="AW1023" s="142" t="s">
        <v>2397</v>
      </c>
      <c r="AX1023" s="142" t="s">
        <v>2675</v>
      </c>
      <c r="AY1023" s="142" t="s">
        <v>2675</v>
      </c>
      <c r="AZ1023" s="142" t="s">
        <v>2675</v>
      </c>
    </row>
    <row r="1024" spans="1:52" s="142" customFormat="1" ht="12.75" x14ac:dyDescent="0.2">
      <c r="A1024" s="151"/>
      <c r="B1024" s="152" t="s">
        <v>2705</v>
      </c>
      <c r="C1024" s="152" t="s">
        <v>2398</v>
      </c>
      <c r="D1024" s="152" t="s">
        <v>1435</v>
      </c>
      <c r="E1024" s="152" t="s">
        <v>2705</v>
      </c>
      <c r="F1024" s="152" t="s">
        <v>2398</v>
      </c>
      <c r="G1024" s="152" t="s">
        <v>2398</v>
      </c>
      <c r="H1024" s="152" t="s">
        <v>1435</v>
      </c>
      <c r="I1024" s="152" t="s">
        <v>1435</v>
      </c>
      <c r="J1024" s="152" t="s">
        <v>2397</v>
      </c>
      <c r="K1024" s="152" t="s">
        <v>2397</v>
      </c>
      <c r="L1024" s="152" t="s">
        <v>2398</v>
      </c>
      <c r="M1024" s="152" t="s">
        <v>2705</v>
      </c>
      <c r="N1024" s="152" t="s">
        <v>2675</v>
      </c>
      <c r="O1024" s="152" t="s">
        <v>2705</v>
      </c>
      <c r="P1024" s="152" t="s">
        <v>2705</v>
      </c>
      <c r="Q1024" s="152" t="s">
        <v>2398</v>
      </c>
      <c r="R1024" s="152" t="s">
        <v>1435</v>
      </c>
      <c r="S1024" s="152" t="s">
        <v>2397</v>
      </c>
      <c r="T1024" s="152" t="s">
        <v>2705</v>
      </c>
      <c r="U1024" s="152" t="s">
        <v>2675</v>
      </c>
      <c r="V1024" s="142" t="str" cm="1">
        <f t="array" ref="V1024">IF(A1024&lt;&gt;"",SUM(--(B1024:U1025 = "X")*$U$3,--(B1024:U1025 ="A")*$Q$3,--(B1024:U1025 ="B")*$R$3,--(B1024:U1025 ="C")*$S$3),"")</f>
        <v/>
      </c>
      <c r="AG1024" s="142" t="s">
        <v>2705</v>
      </c>
      <c r="AH1024" s="142" t="s">
        <v>2398</v>
      </c>
      <c r="AI1024" s="142" t="s">
        <v>1435</v>
      </c>
      <c r="AJ1024" s="142" t="s">
        <v>2705</v>
      </c>
      <c r="AK1024" s="142" t="s">
        <v>2398</v>
      </c>
      <c r="AL1024" s="142" t="s">
        <v>2398</v>
      </c>
      <c r="AM1024" s="142" t="s">
        <v>1435</v>
      </c>
      <c r="AN1024" s="142" t="s">
        <v>1435</v>
      </c>
      <c r="AO1024" s="142" t="s">
        <v>2397</v>
      </c>
      <c r="AP1024" s="142" t="s">
        <v>2397</v>
      </c>
      <c r="AQ1024" s="142" t="s">
        <v>2398</v>
      </c>
      <c r="AR1024" s="142" t="s">
        <v>2705</v>
      </c>
      <c r="AS1024" s="142" t="s">
        <v>2675</v>
      </c>
      <c r="AT1024" s="142" t="s">
        <v>2705</v>
      </c>
      <c r="AU1024" s="142" t="s">
        <v>2705</v>
      </c>
      <c r="AV1024" s="142" t="s">
        <v>2398</v>
      </c>
      <c r="AW1024" s="142" t="s">
        <v>1435</v>
      </c>
      <c r="AX1024" s="142" t="s">
        <v>2397</v>
      </c>
      <c r="AY1024" s="142" t="s">
        <v>2705</v>
      </c>
      <c r="AZ1024" s="142" t="s">
        <v>2675</v>
      </c>
    </row>
    <row r="1025" spans="1:52" s="142" customFormat="1" ht="12.75" x14ac:dyDescent="0.2">
      <c r="A1025" s="151" t="s">
        <v>7829</v>
      </c>
      <c r="B1025" s="152" t="s">
        <v>2398</v>
      </c>
      <c r="C1025" s="152" t="s">
        <v>2398</v>
      </c>
      <c r="D1025" s="152" t="s">
        <v>2398</v>
      </c>
      <c r="E1025" s="152" t="s">
        <v>2398</v>
      </c>
      <c r="F1025" s="152" t="s">
        <v>2705</v>
      </c>
      <c r="G1025" s="152" t="s">
        <v>2705</v>
      </c>
      <c r="H1025" s="152" t="s">
        <v>2705</v>
      </c>
      <c r="I1025" s="152" t="s">
        <v>2398</v>
      </c>
      <c r="J1025" s="152" t="s">
        <v>2705</v>
      </c>
      <c r="K1025" s="152" t="s">
        <v>1435</v>
      </c>
      <c r="L1025" s="152" t="s">
        <v>2398</v>
      </c>
      <c r="M1025" s="152" t="s">
        <v>2398</v>
      </c>
      <c r="N1025" s="152" t="s">
        <v>2705</v>
      </c>
      <c r="O1025" s="152" t="s">
        <v>2705</v>
      </c>
      <c r="P1025" s="152" t="s">
        <v>2705</v>
      </c>
      <c r="Q1025" s="152" t="s">
        <v>2705</v>
      </c>
      <c r="R1025" s="152" t="s">
        <v>2705</v>
      </c>
      <c r="S1025" s="152" t="s">
        <v>2705</v>
      </c>
      <c r="T1025" s="152" t="s">
        <v>2705</v>
      </c>
      <c r="U1025" s="152" t="s">
        <v>2705</v>
      </c>
      <c r="V1025" s="142" cm="1">
        <f t="array" ref="V1025">IF(A1025&lt;&gt;"",SUM(--(B1025:U1026 = "X")*$U$3,--(B1025:U1026 ="A")*$Q$3,--(B1025:U1026 ="B")*$R$3,--(B1025:U1026 ="C")*$S$3),"")</f>
        <v>20</v>
      </c>
      <c r="AF1025" s="142" t="s">
        <v>7829</v>
      </c>
      <c r="AG1025" s="142" t="s">
        <v>2398</v>
      </c>
      <c r="AH1025" s="142" t="s">
        <v>2398</v>
      </c>
      <c r="AI1025" s="142" t="s">
        <v>2398</v>
      </c>
      <c r="AJ1025" s="142" t="s">
        <v>2398</v>
      </c>
      <c r="AK1025" s="142" t="s">
        <v>2705</v>
      </c>
      <c r="AL1025" s="142" t="s">
        <v>2705</v>
      </c>
      <c r="AM1025" s="142" t="s">
        <v>2705</v>
      </c>
      <c r="AN1025" s="142" t="s">
        <v>2398</v>
      </c>
      <c r="AO1025" s="142" t="s">
        <v>2705</v>
      </c>
      <c r="AP1025" s="142" t="s">
        <v>1435</v>
      </c>
      <c r="AQ1025" s="142" t="s">
        <v>2398</v>
      </c>
      <c r="AR1025" s="142" t="s">
        <v>2398</v>
      </c>
      <c r="AS1025" s="142" t="s">
        <v>2705</v>
      </c>
      <c r="AT1025" s="142" t="s">
        <v>2705</v>
      </c>
      <c r="AU1025" s="142" t="s">
        <v>2705</v>
      </c>
      <c r="AV1025" s="142" t="s">
        <v>2705</v>
      </c>
      <c r="AW1025" s="142" t="s">
        <v>2705</v>
      </c>
      <c r="AX1025" s="142" t="s">
        <v>2705</v>
      </c>
      <c r="AY1025" s="142" t="s">
        <v>2705</v>
      </c>
      <c r="AZ1025" s="142" t="s">
        <v>2705</v>
      </c>
    </row>
    <row r="1026" spans="1:52" s="142" customFormat="1" ht="12.75" x14ac:dyDescent="0.2">
      <c r="A1026" s="151"/>
      <c r="B1026" s="152" t="s">
        <v>2398</v>
      </c>
      <c r="C1026" s="152" t="s">
        <v>2398</v>
      </c>
      <c r="D1026" s="152" t="s">
        <v>2398</v>
      </c>
      <c r="E1026" s="152" t="s">
        <v>2705</v>
      </c>
      <c r="F1026" s="152" t="s">
        <v>2398</v>
      </c>
      <c r="G1026" s="152" t="s">
        <v>2705</v>
      </c>
      <c r="H1026" s="152" t="s">
        <v>2398</v>
      </c>
      <c r="I1026" s="152" t="s">
        <v>2398</v>
      </c>
      <c r="J1026" s="152" t="s">
        <v>2397</v>
      </c>
      <c r="K1026" s="152" t="s">
        <v>2705</v>
      </c>
      <c r="L1026" s="152" t="s">
        <v>2398</v>
      </c>
      <c r="M1026" s="152" t="s">
        <v>2398</v>
      </c>
      <c r="N1026" s="152" t="s">
        <v>2705</v>
      </c>
      <c r="O1026" s="152" t="s">
        <v>2705</v>
      </c>
      <c r="P1026" s="152" t="s">
        <v>2675</v>
      </c>
      <c r="Q1026" s="152" t="s">
        <v>2705</v>
      </c>
      <c r="R1026" s="152" t="s">
        <v>2705</v>
      </c>
      <c r="S1026" s="152" t="s">
        <v>2705</v>
      </c>
      <c r="T1026" s="152" t="s">
        <v>2705</v>
      </c>
      <c r="U1026" s="152" t="s">
        <v>2398</v>
      </c>
      <c r="V1026" s="142" t="str" cm="1">
        <f t="array" ref="V1026">IF(A1026&lt;&gt;"",SUM(--(B1026:U1027 = "X")*$U$3,--(B1026:U1027 ="A")*$Q$3,--(B1026:U1027 ="B")*$R$3,--(B1026:U1027 ="C")*$S$3),"")</f>
        <v/>
      </c>
      <c r="AG1026" s="142" t="s">
        <v>2398</v>
      </c>
      <c r="AH1026" s="142" t="s">
        <v>2398</v>
      </c>
      <c r="AI1026" s="142" t="s">
        <v>2398</v>
      </c>
      <c r="AJ1026" s="142" t="s">
        <v>2705</v>
      </c>
      <c r="AK1026" s="142" t="s">
        <v>2398</v>
      </c>
      <c r="AL1026" s="142" t="s">
        <v>2705</v>
      </c>
      <c r="AM1026" s="142" t="s">
        <v>2398</v>
      </c>
      <c r="AN1026" s="142" t="s">
        <v>2398</v>
      </c>
      <c r="AO1026" s="142" t="s">
        <v>2397</v>
      </c>
      <c r="AP1026" s="142" t="s">
        <v>2705</v>
      </c>
      <c r="AQ1026" s="142" t="s">
        <v>2398</v>
      </c>
      <c r="AR1026" s="142" t="s">
        <v>2398</v>
      </c>
      <c r="AS1026" s="142" t="s">
        <v>2705</v>
      </c>
      <c r="AT1026" s="142" t="s">
        <v>2705</v>
      </c>
      <c r="AU1026" s="142" t="s">
        <v>2675</v>
      </c>
      <c r="AV1026" s="142" t="s">
        <v>2705</v>
      </c>
      <c r="AW1026" s="142" t="s">
        <v>2705</v>
      </c>
      <c r="AX1026" s="142" t="s">
        <v>2705</v>
      </c>
      <c r="AY1026" s="142" t="s">
        <v>2705</v>
      </c>
      <c r="AZ1026" s="142" t="s">
        <v>2398</v>
      </c>
    </row>
    <row r="1027" spans="1:52" s="142" customFormat="1" ht="12.75" x14ac:dyDescent="0.2">
      <c r="A1027" s="151" t="s">
        <v>7830</v>
      </c>
      <c r="B1027" s="152" t="s">
        <v>2398</v>
      </c>
      <c r="C1027" s="152" t="s">
        <v>2398</v>
      </c>
      <c r="D1027" s="152" t="s">
        <v>2705</v>
      </c>
      <c r="E1027" s="152" t="s">
        <v>2398</v>
      </c>
      <c r="F1027" s="152" t="s">
        <v>2705</v>
      </c>
      <c r="G1027" s="152" t="s">
        <v>2705</v>
      </c>
      <c r="H1027" s="152" t="s">
        <v>2705</v>
      </c>
      <c r="I1027" s="152" t="s">
        <v>2398</v>
      </c>
      <c r="J1027" s="152" t="s">
        <v>2705</v>
      </c>
      <c r="K1027" s="152" t="s">
        <v>2398</v>
      </c>
      <c r="L1027" s="152" t="s">
        <v>2398</v>
      </c>
      <c r="M1027" s="152" t="s">
        <v>2398</v>
      </c>
      <c r="N1027" s="152" t="s">
        <v>2398</v>
      </c>
      <c r="O1027" s="152" t="s">
        <v>2705</v>
      </c>
      <c r="P1027" s="152" t="s">
        <v>2705</v>
      </c>
      <c r="Q1027" s="152" t="s">
        <v>2705</v>
      </c>
      <c r="R1027" s="152" t="s">
        <v>2705</v>
      </c>
      <c r="S1027" s="152" t="s">
        <v>2705</v>
      </c>
      <c r="T1027" s="152" t="s">
        <v>2705</v>
      </c>
      <c r="U1027" s="152" t="s">
        <v>2705</v>
      </c>
      <c r="V1027" s="142" cm="1">
        <f t="array" ref="V1027">IF(A1027&lt;&gt;"",SUM(--(B1027:U1028 = "X")*$U$3,--(B1027:U1028 ="A")*$Q$3,--(B1027:U1028 ="B")*$R$3,--(B1027:U1028 ="C")*$S$3),"")</f>
        <v>23</v>
      </c>
      <c r="AF1027" s="142" t="s">
        <v>7830</v>
      </c>
      <c r="AG1027" s="142" t="s">
        <v>2398</v>
      </c>
      <c r="AH1027" s="142" t="s">
        <v>2398</v>
      </c>
      <c r="AI1027" s="142" t="s">
        <v>2705</v>
      </c>
      <c r="AJ1027" s="142" t="s">
        <v>2398</v>
      </c>
      <c r="AK1027" s="142" t="s">
        <v>2705</v>
      </c>
      <c r="AL1027" s="142" t="s">
        <v>2705</v>
      </c>
      <c r="AM1027" s="142" t="s">
        <v>2705</v>
      </c>
      <c r="AN1027" s="142" t="s">
        <v>2398</v>
      </c>
      <c r="AO1027" s="142" t="s">
        <v>2705</v>
      </c>
      <c r="AP1027" s="142" t="s">
        <v>2398</v>
      </c>
      <c r="AQ1027" s="142" t="s">
        <v>2398</v>
      </c>
      <c r="AR1027" s="142" t="s">
        <v>2398</v>
      </c>
      <c r="AS1027" s="142" t="s">
        <v>2398</v>
      </c>
      <c r="AT1027" s="142" t="s">
        <v>2705</v>
      </c>
      <c r="AU1027" s="142" t="s">
        <v>2705</v>
      </c>
      <c r="AV1027" s="142" t="s">
        <v>2705</v>
      </c>
      <c r="AW1027" s="142" t="s">
        <v>2705</v>
      </c>
      <c r="AX1027" s="142" t="s">
        <v>2705</v>
      </c>
      <c r="AY1027" s="142" t="s">
        <v>2705</v>
      </c>
      <c r="AZ1027" s="142" t="s">
        <v>2705</v>
      </c>
    </row>
    <row r="1028" spans="1:52" s="142" customFormat="1" ht="12.75" x14ac:dyDescent="0.2">
      <c r="A1028" s="151"/>
      <c r="B1028" s="152" t="s">
        <v>2398</v>
      </c>
      <c r="C1028" s="152" t="s">
        <v>2398</v>
      </c>
      <c r="D1028" s="152" t="s">
        <v>2705</v>
      </c>
      <c r="E1028" s="152" t="s">
        <v>2398</v>
      </c>
      <c r="F1028" s="152" t="s">
        <v>2705</v>
      </c>
      <c r="G1028" s="152" t="s">
        <v>2705</v>
      </c>
      <c r="H1028" s="152" t="s">
        <v>2398</v>
      </c>
      <c r="I1028" s="152" t="s">
        <v>2398</v>
      </c>
      <c r="J1028" s="152" t="s">
        <v>2705</v>
      </c>
      <c r="K1028" s="152" t="s">
        <v>2705</v>
      </c>
      <c r="L1028" s="152" t="s">
        <v>2398</v>
      </c>
      <c r="M1028" s="152" t="s">
        <v>2705</v>
      </c>
      <c r="N1028" s="152" t="s">
        <v>2705</v>
      </c>
      <c r="O1028" s="152" t="s">
        <v>2398</v>
      </c>
      <c r="P1028" s="152" t="s">
        <v>2398</v>
      </c>
      <c r="Q1028" s="152" t="s">
        <v>2705</v>
      </c>
      <c r="R1028" s="152" t="s">
        <v>2398</v>
      </c>
      <c r="S1028" s="152" t="s">
        <v>2705</v>
      </c>
      <c r="T1028" s="152" t="s">
        <v>2705</v>
      </c>
      <c r="U1028" s="152" t="s">
        <v>2705</v>
      </c>
      <c r="V1028" s="142" t="str" cm="1">
        <f t="array" ref="V1028">IF(A1028&lt;&gt;"",SUM(--(B1028:U1029 = "X")*$U$3,--(B1028:U1029 ="A")*$Q$3,--(B1028:U1029 ="B")*$R$3,--(B1028:U1029 ="C")*$S$3),"")</f>
        <v/>
      </c>
      <c r="AG1028" s="142" t="s">
        <v>2398</v>
      </c>
      <c r="AH1028" s="142" t="s">
        <v>2398</v>
      </c>
      <c r="AI1028" s="142" t="s">
        <v>2705</v>
      </c>
      <c r="AJ1028" s="142" t="s">
        <v>2398</v>
      </c>
      <c r="AK1028" s="142" t="s">
        <v>2705</v>
      </c>
      <c r="AL1028" s="142" t="s">
        <v>2705</v>
      </c>
      <c r="AM1028" s="142" t="s">
        <v>2398</v>
      </c>
      <c r="AN1028" s="142" t="s">
        <v>2398</v>
      </c>
      <c r="AO1028" s="142" t="s">
        <v>2705</v>
      </c>
      <c r="AP1028" s="142" t="s">
        <v>2705</v>
      </c>
      <c r="AQ1028" s="142" t="s">
        <v>2398</v>
      </c>
      <c r="AR1028" s="142" t="s">
        <v>2705</v>
      </c>
      <c r="AS1028" s="142" t="s">
        <v>2705</v>
      </c>
      <c r="AT1028" s="142" t="s">
        <v>2398</v>
      </c>
      <c r="AU1028" s="142" t="s">
        <v>2398</v>
      </c>
      <c r="AV1028" s="142" t="s">
        <v>2705</v>
      </c>
      <c r="AW1028" s="142" t="s">
        <v>2398</v>
      </c>
      <c r="AX1028" s="142" t="s">
        <v>2705</v>
      </c>
      <c r="AY1028" s="142" t="s">
        <v>2705</v>
      </c>
      <c r="AZ1028" s="142" t="s">
        <v>2705</v>
      </c>
    </row>
    <row r="1029" spans="1:52" s="142" customFormat="1" ht="12.75" x14ac:dyDescent="0.2">
      <c r="A1029" s="151" t="s">
        <v>7831</v>
      </c>
      <c r="B1029" s="152" t="s">
        <v>2705</v>
      </c>
      <c r="C1029" s="152" t="s">
        <v>2675</v>
      </c>
      <c r="D1029" s="152" t="s">
        <v>2705</v>
      </c>
      <c r="E1029" s="152" t="s">
        <v>2398</v>
      </c>
      <c r="F1029" s="152" t="s">
        <v>2705</v>
      </c>
      <c r="G1029" s="152" t="s">
        <v>2398</v>
      </c>
      <c r="H1029" s="152" t="s">
        <v>2705</v>
      </c>
      <c r="I1029" s="152" t="s">
        <v>2398</v>
      </c>
      <c r="J1029" s="152" t="s">
        <v>2705</v>
      </c>
      <c r="K1029" s="152" t="s">
        <v>2705</v>
      </c>
      <c r="L1029" s="152" t="s">
        <v>2705</v>
      </c>
      <c r="M1029" s="152" t="s">
        <v>2398</v>
      </c>
      <c r="N1029" s="152" t="s">
        <v>2705</v>
      </c>
      <c r="O1029" s="152" t="s">
        <v>2398</v>
      </c>
      <c r="P1029" s="152" t="s">
        <v>2398</v>
      </c>
      <c r="Q1029" s="152" t="s">
        <v>2705</v>
      </c>
      <c r="R1029" s="152" t="s">
        <v>2705</v>
      </c>
      <c r="S1029" s="152" t="s">
        <v>2705</v>
      </c>
      <c r="T1029" s="152" t="s">
        <v>2398</v>
      </c>
      <c r="U1029" s="152" t="s">
        <v>2398</v>
      </c>
      <c r="V1029" s="142" cm="1">
        <f t="array" ref="V1029">IF(A1029&lt;&gt;"",SUM(--(B1029:U1030 = "X")*$U$3,--(B1029:U1030 ="A")*$Q$3,--(B1029:U1030 ="B")*$R$3,--(B1029:U1030 ="C")*$S$3),"")</f>
        <v>16.5</v>
      </c>
      <c r="AF1029" s="142" t="s">
        <v>7831</v>
      </c>
      <c r="AG1029" s="142" t="s">
        <v>2705</v>
      </c>
      <c r="AH1029" s="142" t="s">
        <v>2675</v>
      </c>
      <c r="AI1029" s="142" t="s">
        <v>2705</v>
      </c>
      <c r="AJ1029" s="142" t="s">
        <v>2398</v>
      </c>
      <c r="AK1029" s="142" t="s">
        <v>2705</v>
      </c>
      <c r="AL1029" s="142" t="s">
        <v>2398</v>
      </c>
      <c r="AM1029" s="142" t="s">
        <v>2705</v>
      </c>
      <c r="AN1029" s="142" t="s">
        <v>2398</v>
      </c>
      <c r="AO1029" s="142" t="s">
        <v>2705</v>
      </c>
      <c r="AP1029" s="142" t="s">
        <v>2705</v>
      </c>
      <c r="AQ1029" s="142" t="s">
        <v>2705</v>
      </c>
      <c r="AR1029" s="142" t="s">
        <v>2398</v>
      </c>
      <c r="AS1029" s="142" t="s">
        <v>2705</v>
      </c>
      <c r="AT1029" s="142" t="s">
        <v>2398</v>
      </c>
      <c r="AU1029" s="142" t="s">
        <v>2398</v>
      </c>
      <c r="AV1029" s="142" t="s">
        <v>2705</v>
      </c>
      <c r="AW1029" s="142" t="s">
        <v>2705</v>
      </c>
      <c r="AX1029" s="142" t="s">
        <v>2705</v>
      </c>
      <c r="AY1029" s="142" t="s">
        <v>2398</v>
      </c>
      <c r="AZ1029" s="142" t="s">
        <v>2398</v>
      </c>
    </row>
    <row r="1030" spans="1:52" s="142" customFormat="1" ht="12.75" x14ac:dyDescent="0.2">
      <c r="A1030" s="151"/>
      <c r="B1030" s="152" t="s">
        <v>2398</v>
      </c>
      <c r="C1030" s="152" t="s">
        <v>2705</v>
      </c>
      <c r="D1030" s="152" t="s">
        <v>2705</v>
      </c>
      <c r="E1030" s="152" t="s">
        <v>2398</v>
      </c>
      <c r="F1030" s="152" t="s">
        <v>2675</v>
      </c>
      <c r="G1030" s="152" t="s">
        <v>2398</v>
      </c>
      <c r="H1030" s="152" t="s">
        <v>2705</v>
      </c>
      <c r="I1030" s="152" t="s">
        <v>2705</v>
      </c>
      <c r="J1030" s="152" t="s">
        <v>2705</v>
      </c>
      <c r="K1030" s="152" t="s">
        <v>2705</v>
      </c>
      <c r="L1030" s="152" t="s">
        <v>2398</v>
      </c>
      <c r="M1030" s="152" t="s">
        <v>2675</v>
      </c>
      <c r="N1030" s="152" t="s">
        <v>2398</v>
      </c>
      <c r="O1030" s="152" t="s">
        <v>2398</v>
      </c>
      <c r="P1030" s="152" t="s">
        <v>2398</v>
      </c>
      <c r="Q1030" s="152" t="s">
        <v>2705</v>
      </c>
      <c r="R1030" s="152" t="s">
        <v>1435</v>
      </c>
      <c r="S1030" s="152" t="s">
        <v>2675</v>
      </c>
      <c r="T1030" s="152" t="s">
        <v>2705</v>
      </c>
      <c r="U1030" s="152" t="s">
        <v>2397</v>
      </c>
      <c r="V1030" s="142" t="str" cm="1">
        <f t="array" ref="V1030">IF(A1030&lt;&gt;"",SUM(--(B1030:U1031 = "X")*$U$3,--(B1030:U1031 ="A")*$Q$3,--(B1030:U1031 ="B")*$R$3,--(B1030:U1031 ="C")*$S$3),"")</f>
        <v/>
      </c>
      <c r="AG1030" s="142" t="s">
        <v>2398</v>
      </c>
      <c r="AH1030" s="142" t="s">
        <v>2705</v>
      </c>
      <c r="AI1030" s="142" t="s">
        <v>2705</v>
      </c>
      <c r="AJ1030" s="142" t="s">
        <v>2398</v>
      </c>
      <c r="AK1030" s="142" t="s">
        <v>2675</v>
      </c>
      <c r="AL1030" s="142" t="s">
        <v>2398</v>
      </c>
      <c r="AM1030" s="142" t="s">
        <v>2705</v>
      </c>
      <c r="AN1030" s="142" t="s">
        <v>2705</v>
      </c>
      <c r="AO1030" s="142" t="s">
        <v>2705</v>
      </c>
      <c r="AP1030" s="142" t="s">
        <v>2705</v>
      </c>
      <c r="AQ1030" s="142" t="s">
        <v>2398</v>
      </c>
      <c r="AR1030" s="142" t="s">
        <v>2675</v>
      </c>
      <c r="AS1030" s="142" t="s">
        <v>2398</v>
      </c>
      <c r="AT1030" s="142" t="s">
        <v>2398</v>
      </c>
      <c r="AU1030" s="142" t="s">
        <v>2398</v>
      </c>
      <c r="AV1030" s="142" t="s">
        <v>2705</v>
      </c>
      <c r="AW1030" s="142" t="s">
        <v>1435</v>
      </c>
      <c r="AX1030" s="142" t="s">
        <v>2675</v>
      </c>
      <c r="AY1030" s="142" t="s">
        <v>2705</v>
      </c>
      <c r="AZ1030" s="142" t="s">
        <v>2397</v>
      </c>
    </row>
    <row r="1031" spans="1:52" s="142" customFormat="1" ht="12.75" x14ac:dyDescent="0.2">
      <c r="A1031" s="151" t="s">
        <v>7832</v>
      </c>
      <c r="B1031" s="152" t="s">
        <v>2705</v>
      </c>
      <c r="C1031" s="152" t="s">
        <v>2705</v>
      </c>
      <c r="D1031" s="152" t="s">
        <v>2705</v>
      </c>
      <c r="E1031" s="152" t="s">
        <v>2398</v>
      </c>
      <c r="F1031" s="152" t="s">
        <v>2705</v>
      </c>
      <c r="G1031" s="152" t="s">
        <v>2705</v>
      </c>
      <c r="H1031" s="152" t="s">
        <v>2705</v>
      </c>
      <c r="I1031" s="152" t="s">
        <v>2705</v>
      </c>
      <c r="J1031" s="152" t="s">
        <v>2705</v>
      </c>
      <c r="K1031" s="152" t="s">
        <v>2398</v>
      </c>
      <c r="L1031" s="152" t="s">
        <v>2705</v>
      </c>
      <c r="M1031" s="152" t="s">
        <v>2705</v>
      </c>
      <c r="N1031" s="152" t="s">
        <v>2398</v>
      </c>
      <c r="O1031" s="152" t="s">
        <v>2705</v>
      </c>
      <c r="P1031" s="152" t="s">
        <v>2705</v>
      </c>
      <c r="Q1031" s="152" t="s">
        <v>2398</v>
      </c>
      <c r="R1031" s="152" t="s">
        <v>2675</v>
      </c>
      <c r="S1031" s="152" t="s">
        <v>2398</v>
      </c>
      <c r="T1031" s="152" t="s">
        <v>2705</v>
      </c>
      <c r="U1031" s="152" t="s">
        <v>2705</v>
      </c>
      <c r="V1031" s="142" cm="1">
        <f t="array" ref="V1031">IF(A1031&lt;&gt;"",SUM(--(B1031:U1032 = "X")*$U$3,--(B1031:U1032 ="A")*$Q$3,--(B1031:U1032 ="B")*$R$3,--(B1031:U1032 ="C")*$S$3),"")</f>
        <v>24</v>
      </c>
      <c r="AF1031" s="142" t="s">
        <v>7832</v>
      </c>
      <c r="AG1031" s="142" t="s">
        <v>2705</v>
      </c>
      <c r="AH1031" s="142" t="s">
        <v>2705</v>
      </c>
      <c r="AI1031" s="142" t="s">
        <v>2705</v>
      </c>
      <c r="AJ1031" s="142" t="s">
        <v>2398</v>
      </c>
      <c r="AK1031" s="142" t="s">
        <v>2705</v>
      </c>
      <c r="AL1031" s="142" t="s">
        <v>2705</v>
      </c>
      <c r="AM1031" s="142" t="s">
        <v>2705</v>
      </c>
      <c r="AN1031" s="142" t="s">
        <v>2705</v>
      </c>
      <c r="AO1031" s="142" t="s">
        <v>2705</v>
      </c>
      <c r="AP1031" s="142" t="s">
        <v>2398</v>
      </c>
      <c r="AQ1031" s="142" t="s">
        <v>2705</v>
      </c>
      <c r="AR1031" s="142" t="s">
        <v>2705</v>
      </c>
      <c r="AS1031" s="142" t="s">
        <v>2398</v>
      </c>
      <c r="AT1031" s="142" t="s">
        <v>2705</v>
      </c>
      <c r="AU1031" s="142" t="s">
        <v>2705</v>
      </c>
      <c r="AV1031" s="142" t="s">
        <v>2398</v>
      </c>
      <c r="AW1031" s="142" t="s">
        <v>2675</v>
      </c>
      <c r="AX1031" s="142" t="s">
        <v>2398</v>
      </c>
      <c r="AY1031" s="142" t="s">
        <v>2705</v>
      </c>
      <c r="AZ1031" s="142" t="s">
        <v>2705</v>
      </c>
    </row>
    <row r="1032" spans="1:52" s="142" customFormat="1" ht="12.75" x14ac:dyDescent="0.2">
      <c r="A1032" s="151"/>
      <c r="B1032" s="152" t="s">
        <v>2398</v>
      </c>
      <c r="C1032" s="152" t="s">
        <v>2705</v>
      </c>
      <c r="D1032" s="152" t="s">
        <v>2705</v>
      </c>
      <c r="E1032" s="152" t="s">
        <v>2705</v>
      </c>
      <c r="F1032" s="152" t="s">
        <v>2705</v>
      </c>
      <c r="G1032" s="152" t="s">
        <v>2398</v>
      </c>
      <c r="H1032" s="152" t="s">
        <v>2705</v>
      </c>
      <c r="I1032" s="152" t="s">
        <v>2705</v>
      </c>
      <c r="J1032" s="152" t="s">
        <v>2675</v>
      </c>
      <c r="K1032" s="152" t="s">
        <v>2398</v>
      </c>
      <c r="L1032" s="152" t="s">
        <v>2398</v>
      </c>
      <c r="M1032" s="152" t="s">
        <v>2398</v>
      </c>
      <c r="N1032" s="152" t="s">
        <v>2398</v>
      </c>
      <c r="O1032" s="152" t="s">
        <v>2705</v>
      </c>
      <c r="P1032" s="152" t="s">
        <v>2705</v>
      </c>
      <c r="Q1032" s="152" t="s">
        <v>2398</v>
      </c>
      <c r="R1032" s="152" t="s">
        <v>2705</v>
      </c>
      <c r="S1032" s="152" t="s">
        <v>2705</v>
      </c>
      <c r="T1032" s="152" t="s">
        <v>2398</v>
      </c>
      <c r="U1032" s="152" t="s">
        <v>2705</v>
      </c>
      <c r="V1032" s="142" t="str" cm="1">
        <f t="array" ref="V1032">IF(A1032&lt;&gt;"",SUM(--(B1032:U1033 = "X")*$U$3,--(B1032:U1033 ="A")*$Q$3,--(B1032:U1033 ="B")*$R$3,--(B1032:U1033 ="C")*$S$3),"")</f>
        <v/>
      </c>
      <c r="AG1032" s="142" t="s">
        <v>2398</v>
      </c>
      <c r="AH1032" s="142" t="s">
        <v>2705</v>
      </c>
      <c r="AI1032" s="142" t="s">
        <v>2705</v>
      </c>
      <c r="AJ1032" s="142" t="s">
        <v>2705</v>
      </c>
      <c r="AK1032" s="142" t="s">
        <v>2705</v>
      </c>
      <c r="AL1032" s="142" t="s">
        <v>2398</v>
      </c>
      <c r="AM1032" s="142" t="s">
        <v>2705</v>
      </c>
      <c r="AN1032" s="142" t="s">
        <v>2705</v>
      </c>
      <c r="AO1032" s="142" t="s">
        <v>2675</v>
      </c>
      <c r="AP1032" s="142" t="s">
        <v>2398</v>
      </c>
      <c r="AQ1032" s="142" t="s">
        <v>2398</v>
      </c>
      <c r="AR1032" s="142" t="s">
        <v>2398</v>
      </c>
      <c r="AS1032" s="142" t="s">
        <v>2398</v>
      </c>
      <c r="AT1032" s="142" t="s">
        <v>2705</v>
      </c>
      <c r="AU1032" s="142" t="s">
        <v>2705</v>
      </c>
      <c r="AV1032" s="142" t="s">
        <v>2398</v>
      </c>
      <c r="AW1032" s="142" t="s">
        <v>2705</v>
      </c>
      <c r="AX1032" s="142" t="s">
        <v>2705</v>
      </c>
      <c r="AY1032" s="142" t="s">
        <v>2398</v>
      </c>
      <c r="AZ1032" s="142" t="s">
        <v>2705</v>
      </c>
    </row>
    <row r="1033" spans="1:52" s="142" customFormat="1" ht="12.75" x14ac:dyDescent="0.2">
      <c r="A1033" s="151" t="s">
        <v>7833</v>
      </c>
      <c r="B1033" s="152" t="s">
        <v>2705</v>
      </c>
      <c r="C1033" s="152" t="s">
        <v>2705</v>
      </c>
      <c r="D1033" s="152" t="s">
        <v>2705</v>
      </c>
      <c r="E1033" s="152" t="s">
        <v>2705</v>
      </c>
      <c r="F1033" s="152" t="s">
        <v>2705</v>
      </c>
      <c r="G1033" s="152" t="s">
        <v>2705</v>
      </c>
      <c r="H1033" s="152" t="s">
        <v>2705</v>
      </c>
      <c r="I1033" s="152" t="s">
        <v>2398</v>
      </c>
      <c r="J1033" s="152" t="s">
        <v>2398</v>
      </c>
      <c r="K1033" s="152" t="s">
        <v>2705</v>
      </c>
      <c r="L1033" s="152" t="s">
        <v>2705</v>
      </c>
      <c r="M1033" s="152" t="s">
        <v>2675</v>
      </c>
      <c r="N1033" s="152" t="s">
        <v>2705</v>
      </c>
      <c r="O1033" s="152" t="s">
        <v>2705</v>
      </c>
      <c r="P1033" s="152" t="s">
        <v>2398</v>
      </c>
      <c r="Q1033" s="152" t="s">
        <v>2705</v>
      </c>
      <c r="R1033" s="152" t="s">
        <v>2705</v>
      </c>
      <c r="S1033" s="152" t="s">
        <v>2398</v>
      </c>
      <c r="T1033" s="152" t="s">
        <v>2705</v>
      </c>
      <c r="U1033" s="152" t="s">
        <v>2705</v>
      </c>
      <c r="V1033" s="142" cm="1">
        <f t="array" ref="V1033">IF(A1033&lt;&gt;"",SUM(--(B1033:U1034 = "X")*$U$3,--(B1033:U1034 ="A")*$Q$3,--(B1033:U1034 ="B")*$R$3,--(B1033:U1034 ="C")*$S$3),"")</f>
        <v>21.5</v>
      </c>
      <c r="AF1033" s="142" t="s">
        <v>7833</v>
      </c>
      <c r="AG1033" s="142" t="s">
        <v>2705</v>
      </c>
      <c r="AH1033" s="142" t="s">
        <v>2705</v>
      </c>
      <c r="AI1033" s="142" t="s">
        <v>2705</v>
      </c>
      <c r="AJ1033" s="142" t="s">
        <v>2705</v>
      </c>
      <c r="AK1033" s="142" t="s">
        <v>2705</v>
      </c>
      <c r="AL1033" s="142" t="s">
        <v>2705</v>
      </c>
      <c r="AM1033" s="142" t="s">
        <v>2705</v>
      </c>
      <c r="AN1033" s="142" t="s">
        <v>2398</v>
      </c>
      <c r="AO1033" s="142" t="s">
        <v>2398</v>
      </c>
      <c r="AP1033" s="142" t="s">
        <v>2705</v>
      </c>
      <c r="AQ1033" s="142" t="s">
        <v>2705</v>
      </c>
      <c r="AR1033" s="142" t="s">
        <v>2675</v>
      </c>
      <c r="AS1033" s="142" t="s">
        <v>2705</v>
      </c>
      <c r="AT1033" s="142" t="s">
        <v>2705</v>
      </c>
      <c r="AU1033" s="142" t="s">
        <v>2398</v>
      </c>
      <c r="AV1033" s="142" t="s">
        <v>2705</v>
      </c>
      <c r="AW1033" s="142" t="s">
        <v>2705</v>
      </c>
      <c r="AX1033" s="142" t="s">
        <v>2398</v>
      </c>
      <c r="AY1033" s="142" t="s">
        <v>2705</v>
      </c>
      <c r="AZ1033" s="142" t="s">
        <v>2705</v>
      </c>
    </row>
    <row r="1034" spans="1:52" s="142" customFormat="1" ht="12.75" x14ac:dyDescent="0.2">
      <c r="A1034" s="151"/>
      <c r="B1034" s="152" t="s">
        <v>2398</v>
      </c>
      <c r="C1034" s="152" t="s">
        <v>2675</v>
      </c>
      <c r="D1034" s="152" t="s">
        <v>2675</v>
      </c>
      <c r="E1034" s="152" t="s">
        <v>2398</v>
      </c>
      <c r="F1034" s="152" t="s">
        <v>2705</v>
      </c>
      <c r="G1034" s="152" t="s">
        <v>2705</v>
      </c>
      <c r="H1034" s="152" t="s">
        <v>2705</v>
      </c>
      <c r="I1034" s="152" t="s">
        <v>2705</v>
      </c>
      <c r="J1034" s="152" t="s">
        <v>2705</v>
      </c>
      <c r="K1034" s="152" t="s">
        <v>2705</v>
      </c>
      <c r="L1034" s="152" t="s">
        <v>2398</v>
      </c>
      <c r="M1034" s="152" t="s">
        <v>2675</v>
      </c>
      <c r="N1034" s="152" t="s">
        <v>2705</v>
      </c>
      <c r="O1034" s="152" t="s">
        <v>2705</v>
      </c>
      <c r="P1034" s="152" t="s">
        <v>2705</v>
      </c>
      <c r="Q1034" s="152" t="s">
        <v>1435</v>
      </c>
      <c r="R1034" s="152" t="s">
        <v>1435</v>
      </c>
      <c r="S1034" s="152" t="s">
        <v>2675</v>
      </c>
      <c r="T1034" s="152" t="s">
        <v>2705</v>
      </c>
      <c r="U1034" s="152" t="s">
        <v>2398</v>
      </c>
      <c r="V1034" s="142" t="str" cm="1">
        <f t="array" ref="V1034">IF(A1034&lt;&gt;"",SUM(--(B1034:U1035 = "X")*$U$3,--(B1034:U1035 ="A")*$Q$3,--(B1034:U1035 ="B")*$R$3,--(B1034:U1035 ="C")*$S$3),"")</f>
        <v/>
      </c>
      <c r="AG1034" s="142" t="s">
        <v>2398</v>
      </c>
      <c r="AH1034" s="142" t="s">
        <v>2675</v>
      </c>
      <c r="AI1034" s="142" t="s">
        <v>2675</v>
      </c>
      <c r="AJ1034" s="142" t="s">
        <v>2398</v>
      </c>
      <c r="AK1034" s="142" t="s">
        <v>2705</v>
      </c>
      <c r="AL1034" s="142" t="s">
        <v>2705</v>
      </c>
      <c r="AM1034" s="142" t="s">
        <v>2705</v>
      </c>
      <c r="AN1034" s="142" t="s">
        <v>2705</v>
      </c>
      <c r="AO1034" s="142" t="s">
        <v>2705</v>
      </c>
      <c r="AP1034" s="142" t="s">
        <v>2705</v>
      </c>
      <c r="AQ1034" s="142" t="s">
        <v>2398</v>
      </c>
      <c r="AR1034" s="142" t="s">
        <v>2675</v>
      </c>
      <c r="AS1034" s="142" t="s">
        <v>2705</v>
      </c>
      <c r="AT1034" s="142" t="s">
        <v>2705</v>
      </c>
      <c r="AU1034" s="142" t="s">
        <v>2705</v>
      </c>
      <c r="AV1034" s="142" t="s">
        <v>1435</v>
      </c>
      <c r="AW1034" s="142" t="s">
        <v>1435</v>
      </c>
      <c r="AX1034" s="142" t="s">
        <v>2675</v>
      </c>
      <c r="AY1034" s="142" t="s">
        <v>2705</v>
      </c>
      <c r="AZ1034" s="142" t="s">
        <v>2398</v>
      </c>
    </row>
    <row r="1035" spans="1:52" s="142" customFormat="1" ht="12.75" x14ac:dyDescent="0.2">
      <c r="A1035" s="151" t="s">
        <v>7834</v>
      </c>
      <c r="B1035" s="152" t="s">
        <v>2705</v>
      </c>
      <c r="C1035" s="152" t="s">
        <v>2398</v>
      </c>
      <c r="D1035" s="152" t="s">
        <v>2675</v>
      </c>
      <c r="E1035" s="152" t="s">
        <v>2705</v>
      </c>
      <c r="F1035" s="152" t="s">
        <v>2398</v>
      </c>
      <c r="G1035" s="152" t="s">
        <v>2705</v>
      </c>
      <c r="H1035" s="152" t="s">
        <v>2705</v>
      </c>
      <c r="I1035" s="152" t="s">
        <v>2398</v>
      </c>
      <c r="J1035" s="152" t="s">
        <v>2398</v>
      </c>
      <c r="K1035" s="152" t="s">
        <v>2705</v>
      </c>
      <c r="L1035" s="152" t="s">
        <v>2398</v>
      </c>
      <c r="M1035" s="152" t="s">
        <v>2398</v>
      </c>
      <c r="N1035" s="152" t="s">
        <v>2398</v>
      </c>
      <c r="O1035" s="152" t="s">
        <v>2398</v>
      </c>
      <c r="P1035" s="152" t="s">
        <v>2705</v>
      </c>
      <c r="Q1035" s="152" t="s">
        <v>2398</v>
      </c>
      <c r="R1035" s="152" t="s">
        <v>2705</v>
      </c>
      <c r="S1035" s="152" t="s">
        <v>2705</v>
      </c>
      <c r="T1035" s="152" t="s">
        <v>2398</v>
      </c>
      <c r="U1035" s="152" t="s">
        <v>2398</v>
      </c>
      <c r="V1035" s="142" cm="1">
        <f t="array" ref="V1035">IF(A1035&lt;&gt;"",SUM(--(B1035:U1036 = "X")*$U$3,--(B1035:U1036 ="A")*$Q$3,--(B1035:U1036 ="B")*$R$3,--(B1035:U1036 ="C")*$S$3),"")</f>
        <v>20</v>
      </c>
      <c r="AF1035" s="142" t="s">
        <v>7834</v>
      </c>
      <c r="AG1035" s="142" t="s">
        <v>2705</v>
      </c>
      <c r="AH1035" s="142" t="s">
        <v>2398</v>
      </c>
      <c r="AI1035" s="142" t="s">
        <v>2675</v>
      </c>
      <c r="AJ1035" s="142" t="s">
        <v>2705</v>
      </c>
      <c r="AK1035" s="142" t="s">
        <v>2398</v>
      </c>
      <c r="AL1035" s="142" t="s">
        <v>2705</v>
      </c>
      <c r="AM1035" s="142" t="s">
        <v>2705</v>
      </c>
      <c r="AN1035" s="142" t="s">
        <v>2398</v>
      </c>
      <c r="AO1035" s="142" t="s">
        <v>2398</v>
      </c>
      <c r="AP1035" s="142" t="s">
        <v>2705</v>
      </c>
      <c r="AQ1035" s="142" t="s">
        <v>2398</v>
      </c>
      <c r="AR1035" s="142" t="s">
        <v>2398</v>
      </c>
      <c r="AS1035" s="142" t="s">
        <v>2398</v>
      </c>
      <c r="AT1035" s="142" t="s">
        <v>2398</v>
      </c>
      <c r="AU1035" s="142" t="s">
        <v>2705</v>
      </c>
      <c r="AV1035" s="142" t="s">
        <v>2398</v>
      </c>
      <c r="AW1035" s="142" t="s">
        <v>2705</v>
      </c>
      <c r="AX1035" s="142" t="s">
        <v>2705</v>
      </c>
      <c r="AY1035" s="142" t="s">
        <v>2398</v>
      </c>
      <c r="AZ1035" s="142" t="s">
        <v>2398</v>
      </c>
    </row>
    <row r="1036" spans="1:52" s="142" customFormat="1" ht="12.75" x14ac:dyDescent="0.2">
      <c r="A1036" s="151"/>
      <c r="B1036" s="152" t="s">
        <v>2397</v>
      </c>
      <c r="C1036" s="152" t="s">
        <v>2397</v>
      </c>
      <c r="D1036" s="152" t="s">
        <v>2398</v>
      </c>
      <c r="E1036" s="152" t="s">
        <v>2705</v>
      </c>
      <c r="F1036" s="152" t="s">
        <v>2705</v>
      </c>
      <c r="G1036" s="152" t="s">
        <v>2705</v>
      </c>
      <c r="H1036" s="152" t="s">
        <v>2705</v>
      </c>
      <c r="I1036" s="152" t="s">
        <v>2675</v>
      </c>
      <c r="J1036" s="152" t="s">
        <v>2705</v>
      </c>
      <c r="K1036" s="152" t="s">
        <v>2705</v>
      </c>
      <c r="L1036" s="152" t="s">
        <v>2705</v>
      </c>
      <c r="M1036" s="152" t="s">
        <v>1435</v>
      </c>
      <c r="N1036" s="152" t="s">
        <v>2705</v>
      </c>
      <c r="O1036" s="152" t="s">
        <v>2705</v>
      </c>
      <c r="P1036" s="152" t="s">
        <v>2705</v>
      </c>
      <c r="Q1036" s="152" t="s">
        <v>2705</v>
      </c>
      <c r="R1036" s="152" t="s">
        <v>1435</v>
      </c>
      <c r="S1036" s="152" t="s">
        <v>2705</v>
      </c>
      <c r="T1036" s="152" t="s">
        <v>2705</v>
      </c>
      <c r="U1036" s="152" t="s">
        <v>2705</v>
      </c>
      <c r="V1036" s="142" t="str" cm="1">
        <f t="array" ref="V1036">IF(A1036&lt;&gt;"",SUM(--(B1036:U1037 = "X")*$U$3,--(B1036:U1037 ="A")*$Q$3,--(B1036:U1037 ="B")*$R$3,--(B1036:U1037 ="C")*$S$3),"")</f>
        <v/>
      </c>
      <c r="AG1036" s="142" t="s">
        <v>2397</v>
      </c>
      <c r="AH1036" s="142" t="s">
        <v>2397</v>
      </c>
      <c r="AI1036" s="142" t="s">
        <v>2398</v>
      </c>
      <c r="AJ1036" s="142" t="s">
        <v>2705</v>
      </c>
      <c r="AK1036" s="142" t="s">
        <v>2705</v>
      </c>
      <c r="AL1036" s="142" t="s">
        <v>2705</v>
      </c>
      <c r="AM1036" s="142" t="s">
        <v>2705</v>
      </c>
      <c r="AN1036" s="142" t="s">
        <v>2675</v>
      </c>
      <c r="AO1036" s="142" t="s">
        <v>2705</v>
      </c>
      <c r="AP1036" s="142" t="s">
        <v>2705</v>
      </c>
      <c r="AQ1036" s="142" t="s">
        <v>2705</v>
      </c>
      <c r="AR1036" s="142" t="s">
        <v>1435</v>
      </c>
      <c r="AS1036" s="142" t="s">
        <v>2705</v>
      </c>
      <c r="AT1036" s="142" t="s">
        <v>2705</v>
      </c>
      <c r="AU1036" s="142" t="s">
        <v>2705</v>
      </c>
      <c r="AV1036" s="142" t="s">
        <v>2705</v>
      </c>
      <c r="AW1036" s="142" t="s">
        <v>1435</v>
      </c>
      <c r="AX1036" s="142" t="s">
        <v>2705</v>
      </c>
      <c r="AY1036" s="142" t="s">
        <v>2705</v>
      </c>
      <c r="AZ1036" s="142" t="s">
        <v>2705</v>
      </c>
    </row>
    <row r="1037" spans="1:52" s="142" customFormat="1" ht="12.75" x14ac:dyDescent="0.2">
      <c r="A1037" s="151" t="s">
        <v>7835</v>
      </c>
      <c r="B1037" s="152" t="s">
        <v>2397</v>
      </c>
      <c r="C1037" s="152" t="s">
        <v>2705</v>
      </c>
      <c r="D1037" s="152" t="s">
        <v>2705</v>
      </c>
      <c r="E1037" s="152" t="s">
        <v>2398</v>
      </c>
      <c r="F1037" s="152" t="s">
        <v>2398</v>
      </c>
      <c r="G1037" s="152" t="s">
        <v>2705</v>
      </c>
      <c r="H1037" s="152" t="s">
        <v>2705</v>
      </c>
      <c r="I1037" s="152" t="s">
        <v>2675</v>
      </c>
      <c r="J1037" s="152" t="s">
        <v>2675</v>
      </c>
      <c r="K1037" s="152" t="s">
        <v>2705</v>
      </c>
      <c r="L1037" s="152" t="s">
        <v>2705</v>
      </c>
      <c r="M1037" s="152" t="s">
        <v>2398</v>
      </c>
      <c r="N1037" s="152" t="s">
        <v>2675</v>
      </c>
      <c r="O1037" s="152" t="s">
        <v>1435</v>
      </c>
      <c r="P1037" s="152" t="s">
        <v>2705</v>
      </c>
      <c r="Q1037" s="152" t="s">
        <v>1435</v>
      </c>
      <c r="R1037" s="152" t="s">
        <v>2675</v>
      </c>
      <c r="S1037" s="152" t="s">
        <v>2398</v>
      </c>
      <c r="T1037" s="152" t="s">
        <v>2398</v>
      </c>
      <c r="U1037" s="152" t="s">
        <v>2675</v>
      </c>
      <c r="V1037" s="142" cm="1">
        <f t="array" ref="V1037">IF(A1037&lt;&gt;"",SUM(--(B1037:U1038 = "X")*$U$3,--(B1037:U1038 ="A")*$Q$3,--(B1037:U1038 ="B")*$R$3,--(B1037:U1038 ="C")*$S$3),"")</f>
        <v>9</v>
      </c>
      <c r="AF1037" s="142" t="s">
        <v>7835</v>
      </c>
      <c r="AG1037" s="142" t="s">
        <v>2397</v>
      </c>
      <c r="AH1037" s="142" t="s">
        <v>2705</v>
      </c>
      <c r="AI1037" s="142" t="s">
        <v>2705</v>
      </c>
      <c r="AJ1037" s="142" t="s">
        <v>2398</v>
      </c>
      <c r="AK1037" s="142" t="s">
        <v>2398</v>
      </c>
      <c r="AL1037" s="142" t="s">
        <v>2705</v>
      </c>
      <c r="AM1037" s="142" t="s">
        <v>2705</v>
      </c>
      <c r="AN1037" s="142" t="s">
        <v>2675</v>
      </c>
      <c r="AO1037" s="142" t="s">
        <v>2675</v>
      </c>
      <c r="AP1037" s="142" t="s">
        <v>2705</v>
      </c>
      <c r="AQ1037" s="142" t="s">
        <v>2705</v>
      </c>
      <c r="AR1037" s="142" t="s">
        <v>2398</v>
      </c>
      <c r="AS1037" s="142" t="s">
        <v>2675</v>
      </c>
      <c r="AT1037" s="142" t="s">
        <v>1435</v>
      </c>
      <c r="AU1037" s="142" t="s">
        <v>2705</v>
      </c>
      <c r="AV1037" s="142" t="s">
        <v>1435</v>
      </c>
      <c r="AW1037" s="142" t="s">
        <v>2675</v>
      </c>
      <c r="AX1037" s="142" t="s">
        <v>2398</v>
      </c>
      <c r="AY1037" s="142" t="s">
        <v>2398</v>
      </c>
      <c r="AZ1037" s="142" t="s">
        <v>2675</v>
      </c>
    </row>
    <row r="1038" spans="1:52" s="142" customFormat="1" ht="12.75" x14ac:dyDescent="0.2">
      <c r="A1038" s="151"/>
      <c r="B1038" s="152" t="s">
        <v>2397</v>
      </c>
      <c r="C1038" s="152" t="s">
        <v>2398</v>
      </c>
      <c r="D1038" s="152" t="s">
        <v>2705</v>
      </c>
      <c r="E1038" s="152" t="s">
        <v>2705</v>
      </c>
      <c r="F1038" s="152" t="s">
        <v>2398</v>
      </c>
      <c r="G1038" s="152" t="s">
        <v>1435</v>
      </c>
      <c r="H1038" s="152" t="s">
        <v>2675</v>
      </c>
      <c r="I1038" s="152" t="s">
        <v>2398</v>
      </c>
      <c r="J1038" s="152" t="s">
        <v>2675</v>
      </c>
      <c r="K1038" s="152" t="s">
        <v>2675</v>
      </c>
      <c r="L1038" s="152" t="s">
        <v>2705</v>
      </c>
      <c r="M1038" s="152" t="s">
        <v>2705</v>
      </c>
      <c r="N1038" s="152" t="s">
        <v>2398</v>
      </c>
      <c r="O1038" s="152" t="s">
        <v>2705</v>
      </c>
      <c r="P1038" s="152" t="s">
        <v>2398</v>
      </c>
      <c r="Q1038" s="152" t="s">
        <v>2398</v>
      </c>
      <c r="R1038" s="152" t="s">
        <v>2705</v>
      </c>
      <c r="S1038" s="152" t="s">
        <v>1435</v>
      </c>
      <c r="T1038" s="152" t="s">
        <v>2705</v>
      </c>
      <c r="U1038" s="152" t="s">
        <v>2705</v>
      </c>
      <c r="V1038" s="142" t="str" cm="1">
        <f t="array" ref="V1038">IF(A1038&lt;&gt;"",SUM(--(B1038:U1039 = "X")*$U$3,--(B1038:U1039 ="A")*$Q$3,--(B1038:U1039 ="B")*$R$3,--(B1038:U1039 ="C")*$S$3),"")</f>
        <v/>
      </c>
      <c r="AG1038" s="142" t="s">
        <v>2397</v>
      </c>
      <c r="AH1038" s="142" t="s">
        <v>2398</v>
      </c>
      <c r="AI1038" s="142" t="s">
        <v>2705</v>
      </c>
      <c r="AJ1038" s="142" t="s">
        <v>2705</v>
      </c>
      <c r="AK1038" s="142" t="s">
        <v>2398</v>
      </c>
      <c r="AL1038" s="142" t="s">
        <v>1435</v>
      </c>
      <c r="AM1038" s="142" t="s">
        <v>2675</v>
      </c>
      <c r="AN1038" s="142" t="s">
        <v>2398</v>
      </c>
      <c r="AO1038" s="142" t="s">
        <v>2675</v>
      </c>
      <c r="AP1038" s="142" t="s">
        <v>2675</v>
      </c>
      <c r="AQ1038" s="142" t="s">
        <v>2705</v>
      </c>
      <c r="AR1038" s="142" t="s">
        <v>2705</v>
      </c>
      <c r="AS1038" s="142" t="s">
        <v>2398</v>
      </c>
      <c r="AT1038" s="142" t="s">
        <v>2705</v>
      </c>
      <c r="AU1038" s="142" t="s">
        <v>2398</v>
      </c>
      <c r="AV1038" s="142" t="s">
        <v>2398</v>
      </c>
      <c r="AW1038" s="142" t="s">
        <v>2705</v>
      </c>
      <c r="AX1038" s="142" t="s">
        <v>1435</v>
      </c>
      <c r="AY1038" s="142" t="s">
        <v>2705</v>
      </c>
      <c r="AZ1038" s="142" t="s">
        <v>2705</v>
      </c>
    </row>
    <row r="1039" spans="1:52" s="142" customFormat="1" ht="12.75" x14ac:dyDescent="0.2">
      <c r="A1039" s="151" t="s">
        <v>7836</v>
      </c>
      <c r="B1039" s="152" t="s">
        <v>2705</v>
      </c>
      <c r="C1039" s="152" t="s">
        <v>2398</v>
      </c>
      <c r="D1039" s="152" t="s">
        <v>2675</v>
      </c>
      <c r="E1039" s="152" t="s">
        <v>2398</v>
      </c>
      <c r="F1039" s="152" t="s">
        <v>2398</v>
      </c>
      <c r="G1039" s="152" t="s">
        <v>2705</v>
      </c>
      <c r="H1039" s="152" t="s">
        <v>2398</v>
      </c>
      <c r="I1039" s="152" t="s">
        <v>2398</v>
      </c>
      <c r="J1039" s="152" t="s">
        <v>2705</v>
      </c>
      <c r="K1039" s="152" t="s">
        <v>2398</v>
      </c>
      <c r="L1039" s="152" t="s">
        <v>2675</v>
      </c>
      <c r="M1039" s="152" t="s">
        <v>2398</v>
      </c>
      <c r="N1039" s="152" t="s">
        <v>2705</v>
      </c>
      <c r="O1039" s="152" t="s">
        <v>2398</v>
      </c>
      <c r="P1039" s="152" t="s">
        <v>2705</v>
      </c>
      <c r="Q1039" s="152" t="s">
        <v>2398</v>
      </c>
      <c r="R1039" s="152" t="s">
        <v>2705</v>
      </c>
      <c r="S1039" s="152" t="s">
        <v>2705</v>
      </c>
      <c r="T1039" s="152" t="s">
        <v>2398</v>
      </c>
      <c r="U1039" s="152" t="s">
        <v>2398</v>
      </c>
      <c r="V1039" s="142" cm="1">
        <f t="array" ref="V1039">IF(A1039&lt;&gt;"",SUM(--(B1039:U1040 = "X")*$U$3,--(B1039:U1040 ="A")*$Q$3,--(B1039:U1040 ="B")*$R$3,--(B1039:U1040 ="C")*$S$3),"")</f>
        <v>14.5</v>
      </c>
      <c r="AF1039" s="142" t="s">
        <v>7836</v>
      </c>
      <c r="AG1039" s="142" t="s">
        <v>2705</v>
      </c>
      <c r="AH1039" s="142" t="s">
        <v>2398</v>
      </c>
      <c r="AI1039" s="142" t="s">
        <v>2675</v>
      </c>
      <c r="AJ1039" s="142" t="s">
        <v>2398</v>
      </c>
      <c r="AK1039" s="142" t="s">
        <v>2398</v>
      </c>
      <c r="AL1039" s="142" t="s">
        <v>2705</v>
      </c>
      <c r="AM1039" s="142" t="s">
        <v>2398</v>
      </c>
      <c r="AN1039" s="142" t="s">
        <v>2398</v>
      </c>
      <c r="AO1039" s="142" t="s">
        <v>2705</v>
      </c>
      <c r="AP1039" s="142" t="s">
        <v>2398</v>
      </c>
      <c r="AQ1039" s="142" t="s">
        <v>2675</v>
      </c>
      <c r="AR1039" s="142" t="s">
        <v>2398</v>
      </c>
      <c r="AS1039" s="142" t="s">
        <v>2705</v>
      </c>
      <c r="AT1039" s="142" t="s">
        <v>2398</v>
      </c>
      <c r="AU1039" s="142" t="s">
        <v>2705</v>
      </c>
      <c r="AV1039" s="142" t="s">
        <v>2398</v>
      </c>
      <c r="AW1039" s="142" t="s">
        <v>2705</v>
      </c>
      <c r="AX1039" s="142" t="s">
        <v>2705</v>
      </c>
      <c r="AY1039" s="142" t="s">
        <v>2398</v>
      </c>
      <c r="AZ1039" s="142" t="s">
        <v>2398</v>
      </c>
    </row>
    <row r="1040" spans="1:52" s="142" customFormat="1" ht="12.75" x14ac:dyDescent="0.2">
      <c r="A1040" s="151"/>
      <c r="B1040" s="152" t="s">
        <v>2398</v>
      </c>
      <c r="C1040" s="152" t="s">
        <v>2398</v>
      </c>
      <c r="D1040" s="152" t="s">
        <v>2398</v>
      </c>
      <c r="E1040" s="152" t="s">
        <v>1435</v>
      </c>
      <c r="F1040" s="152" t="s">
        <v>2705</v>
      </c>
      <c r="G1040" s="152" t="s">
        <v>2705</v>
      </c>
      <c r="H1040" s="152" t="s">
        <v>2705</v>
      </c>
      <c r="I1040" s="152" t="s">
        <v>2398</v>
      </c>
      <c r="J1040" s="152" t="s">
        <v>2705</v>
      </c>
      <c r="K1040" s="152" t="s">
        <v>2705</v>
      </c>
      <c r="L1040" s="152" t="s">
        <v>2398</v>
      </c>
      <c r="M1040" s="152" t="s">
        <v>2705</v>
      </c>
      <c r="N1040" s="152" t="s">
        <v>2705</v>
      </c>
      <c r="O1040" s="152" t="s">
        <v>2705</v>
      </c>
      <c r="P1040" s="152" t="s">
        <v>1435</v>
      </c>
      <c r="Q1040" s="152" t="s">
        <v>1435</v>
      </c>
      <c r="R1040" s="152" t="s">
        <v>2398</v>
      </c>
      <c r="S1040" s="152" t="s">
        <v>2705</v>
      </c>
      <c r="T1040" s="152" t="s">
        <v>2705</v>
      </c>
      <c r="U1040" s="152" t="s">
        <v>2398</v>
      </c>
      <c r="V1040" s="142" t="str" cm="1">
        <f t="array" ref="V1040">IF(A1040&lt;&gt;"",SUM(--(B1040:U1041 = "X")*$U$3,--(B1040:U1041 ="A")*$Q$3,--(B1040:U1041 ="B")*$R$3,--(B1040:U1041 ="C")*$S$3),"")</f>
        <v/>
      </c>
      <c r="AG1040" s="142" t="s">
        <v>2398</v>
      </c>
      <c r="AH1040" s="142" t="s">
        <v>2398</v>
      </c>
      <c r="AI1040" s="142" t="s">
        <v>2398</v>
      </c>
      <c r="AJ1040" s="142" t="s">
        <v>1435</v>
      </c>
      <c r="AK1040" s="142" t="s">
        <v>2705</v>
      </c>
      <c r="AL1040" s="142" t="s">
        <v>2705</v>
      </c>
      <c r="AM1040" s="142" t="s">
        <v>2705</v>
      </c>
      <c r="AN1040" s="142" t="s">
        <v>2398</v>
      </c>
      <c r="AO1040" s="142" t="s">
        <v>2705</v>
      </c>
      <c r="AP1040" s="142" t="s">
        <v>2705</v>
      </c>
      <c r="AQ1040" s="142" t="s">
        <v>2398</v>
      </c>
      <c r="AR1040" s="142" t="s">
        <v>2705</v>
      </c>
      <c r="AS1040" s="142" t="s">
        <v>2705</v>
      </c>
      <c r="AT1040" s="142" t="s">
        <v>2705</v>
      </c>
      <c r="AU1040" s="142" t="s">
        <v>1435</v>
      </c>
      <c r="AV1040" s="142" t="s">
        <v>1435</v>
      </c>
      <c r="AW1040" s="142" t="s">
        <v>2398</v>
      </c>
      <c r="AX1040" s="142" t="s">
        <v>2705</v>
      </c>
      <c r="AY1040" s="142" t="s">
        <v>2705</v>
      </c>
      <c r="AZ1040" s="142" t="s">
        <v>2398</v>
      </c>
    </row>
    <row r="1041" spans="1:52" s="142" customFormat="1" ht="12.75" x14ac:dyDescent="0.2">
      <c r="A1041" s="151" t="s">
        <v>7837</v>
      </c>
      <c r="B1041" s="152" t="s">
        <v>2398</v>
      </c>
      <c r="C1041" s="152" t="s">
        <v>2705</v>
      </c>
      <c r="D1041" s="152" t="s">
        <v>2705</v>
      </c>
      <c r="E1041" s="152" t="s">
        <v>2705</v>
      </c>
      <c r="F1041" s="152" t="s">
        <v>1435</v>
      </c>
      <c r="G1041" s="152" t="s">
        <v>2705</v>
      </c>
      <c r="H1041" s="152" t="s">
        <v>2705</v>
      </c>
      <c r="I1041" s="152" t="s">
        <v>2398</v>
      </c>
      <c r="J1041" s="152" t="s">
        <v>2705</v>
      </c>
      <c r="K1041" s="152" t="s">
        <v>2398</v>
      </c>
      <c r="L1041" s="152" t="s">
        <v>2705</v>
      </c>
      <c r="M1041" s="152" t="s">
        <v>2705</v>
      </c>
      <c r="N1041" s="152" t="s">
        <v>2705</v>
      </c>
      <c r="O1041" s="152" t="s">
        <v>1435</v>
      </c>
      <c r="P1041" s="152" t="s">
        <v>2398</v>
      </c>
      <c r="Q1041" s="152" t="s">
        <v>2398</v>
      </c>
      <c r="R1041" s="152" t="s">
        <v>2397</v>
      </c>
      <c r="S1041" s="152" t="s">
        <v>2398</v>
      </c>
      <c r="T1041" s="152" t="s">
        <v>2705</v>
      </c>
      <c r="U1041" s="152" t="s">
        <v>2398</v>
      </c>
      <c r="V1041" s="142" cm="1">
        <f t="array" ref="V1041">IF(A1041&lt;&gt;"",SUM(--(B1041:U1042 = "X")*$U$3,--(B1041:U1042 ="A")*$Q$3,--(B1041:U1042 ="B")*$R$3,--(B1041:U1042 ="C")*$S$3),"")</f>
        <v>17.5</v>
      </c>
      <c r="AF1041" s="142" t="s">
        <v>7837</v>
      </c>
      <c r="AG1041" s="142" t="s">
        <v>2398</v>
      </c>
      <c r="AH1041" s="142" t="s">
        <v>2705</v>
      </c>
      <c r="AI1041" s="142" t="s">
        <v>2705</v>
      </c>
      <c r="AJ1041" s="142" t="s">
        <v>2705</v>
      </c>
      <c r="AK1041" s="142" t="s">
        <v>1435</v>
      </c>
      <c r="AL1041" s="142" t="s">
        <v>2705</v>
      </c>
      <c r="AM1041" s="142" t="s">
        <v>2705</v>
      </c>
      <c r="AN1041" s="142" t="s">
        <v>2398</v>
      </c>
      <c r="AO1041" s="142" t="s">
        <v>2705</v>
      </c>
      <c r="AP1041" s="142" t="s">
        <v>2398</v>
      </c>
      <c r="AQ1041" s="142" t="s">
        <v>2705</v>
      </c>
      <c r="AR1041" s="142" t="s">
        <v>2705</v>
      </c>
      <c r="AS1041" s="142" t="s">
        <v>2705</v>
      </c>
      <c r="AT1041" s="142" t="s">
        <v>1435</v>
      </c>
      <c r="AU1041" s="142" t="s">
        <v>2398</v>
      </c>
      <c r="AV1041" s="142" t="s">
        <v>2398</v>
      </c>
      <c r="AW1041" s="142" t="s">
        <v>2397</v>
      </c>
      <c r="AX1041" s="142" t="s">
        <v>2398</v>
      </c>
      <c r="AY1041" s="142" t="s">
        <v>2705</v>
      </c>
      <c r="AZ1041" s="142" t="s">
        <v>2398</v>
      </c>
    </row>
    <row r="1042" spans="1:52" s="142" customFormat="1" ht="12.75" x14ac:dyDescent="0.2">
      <c r="A1042" s="151"/>
      <c r="B1042" s="152" t="s">
        <v>2705</v>
      </c>
      <c r="C1042" s="152" t="s">
        <v>2398</v>
      </c>
      <c r="D1042" s="152" t="s">
        <v>2705</v>
      </c>
      <c r="E1042" s="152" t="s">
        <v>2705</v>
      </c>
      <c r="F1042" s="152" t="s">
        <v>2705</v>
      </c>
      <c r="G1042" s="152" t="s">
        <v>2398</v>
      </c>
      <c r="H1042" s="152" t="s">
        <v>2398</v>
      </c>
      <c r="I1042" s="152" t="s">
        <v>2398</v>
      </c>
      <c r="J1042" s="152" t="s">
        <v>2675</v>
      </c>
      <c r="K1042" s="152" t="s">
        <v>2398</v>
      </c>
      <c r="L1042" s="152" t="s">
        <v>2398</v>
      </c>
      <c r="M1042" s="152" t="s">
        <v>2398</v>
      </c>
      <c r="N1042" s="152" t="s">
        <v>2398</v>
      </c>
      <c r="O1042" s="152" t="s">
        <v>2705</v>
      </c>
      <c r="P1042" s="152" t="s">
        <v>2705</v>
      </c>
      <c r="Q1042" s="152" t="s">
        <v>2705</v>
      </c>
      <c r="R1042" s="152" t="s">
        <v>2398</v>
      </c>
      <c r="S1042" s="152" t="s">
        <v>2705</v>
      </c>
      <c r="T1042" s="152" t="s">
        <v>2398</v>
      </c>
      <c r="U1042" s="152" t="s">
        <v>2705</v>
      </c>
      <c r="V1042" s="142" t="str" cm="1">
        <f t="array" ref="V1042">IF(A1042&lt;&gt;"",SUM(--(B1042:U1043 = "X")*$U$3,--(B1042:U1043 ="A")*$Q$3,--(B1042:U1043 ="B")*$R$3,--(B1042:U1043 ="C")*$S$3),"")</f>
        <v/>
      </c>
      <c r="AG1042" s="142" t="s">
        <v>2705</v>
      </c>
      <c r="AH1042" s="142" t="s">
        <v>2398</v>
      </c>
      <c r="AI1042" s="142" t="s">
        <v>2705</v>
      </c>
      <c r="AJ1042" s="142" t="s">
        <v>2705</v>
      </c>
      <c r="AK1042" s="142" t="s">
        <v>2705</v>
      </c>
      <c r="AL1042" s="142" t="s">
        <v>2398</v>
      </c>
      <c r="AM1042" s="142" t="s">
        <v>2398</v>
      </c>
      <c r="AN1042" s="142" t="s">
        <v>2398</v>
      </c>
      <c r="AO1042" s="142" t="s">
        <v>2675</v>
      </c>
      <c r="AP1042" s="142" t="s">
        <v>2398</v>
      </c>
      <c r="AQ1042" s="142" t="s">
        <v>2398</v>
      </c>
      <c r="AR1042" s="142" t="s">
        <v>2398</v>
      </c>
      <c r="AS1042" s="142" t="s">
        <v>2398</v>
      </c>
      <c r="AT1042" s="142" t="s">
        <v>2705</v>
      </c>
      <c r="AU1042" s="142" t="s">
        <v>2705</v>
      </c>
      <c r="AV1042" s="142" t="s">
        <v>2705</v>
      </c>
      <c r="AW1042" s="142" t="s">
        <v>2398</v>
      </c>
      <c r="AX1042" s="142" t="s">
        <v>2705</v>
      </c>
      <c r="AY1042" s="142" t="s">
        <v>2398</v>
      </c>
      <c r="AZ1042" s="142" t="s">
        <v>2705</v>
      </c>
    </row>
    <row r="1043" spans="1:52" s="142" customFormat="1" ht="12.75" x14ac:dyDescent="0.2">
      <c r="A1043" s="151" t="s">
        <v>7838</v>
      </c>
      <c r="B1043" s="152" t="s">
        <v>2705</v>
      </c>
      <c r="C1043" s="152" t="s">
        <v>2398</v>
      </c>
      <c r="D1043" s="152" t="s">
        <v>2705</v>
      </c>
      <c r="E1043" s="152" t="s">
        <v>2398</v>
      </c>
      <c r="F1043" s="152" t="s">
        <v>2705</v>
      </c>
      <c r="G1043" s="152" t="s">
        <v>2705</v>
      </c>
      <c r="H1043" s="152" t="s">
        <v>2705</v>
      </c>
      <c r="I1043" s="152" t="s">
        <v>2705</v>
      </c>
      <c r="J1043" s="152" t="s">
        <v>2705</v>
      </c>
      <c r="K1043" s="152" t="s">
        <v>2398</v>
      </c>
      <c r="L1043" s="152" t="s">
        <v>2705</v>
      </c>
      <c r="M1043" s="152" t="s">
        <v>2705</v>
      </c>
      <c r="N1043" s="152" t="s">
        <v>2398</v>
      </c>
      <c r="O1043" s="152" t="s">
        <v>2398</v>
      </c>
      <c r="P1043" s="152" t="s">
        <v>2398</v>
      </c>
      <c r="Q1043" s="152" t="s">
        <v>2398</v>
      </c>
      <c r="R1043" s="152" t="s">
        <v>2398</v>
      </c>
      <c r="S1043" s="152" t="s">
        <v>2398</v>
      </c>
      <c r="T1043" s="152" t="s">
        <v>2398</v>
      </c>
      <c r="U1043" s="152" t="s">
        <v>2398</v>
      </c>
      <c r="V1043" s="142" cm="1">
        <f t="array" ref="V1043">IF(A1043&lt;&gt;"",SUM(--(B1043:U1044 = "X")*$U$3,--(B1043:U1044 ="A")*$Q$3,--(B1043:U1044 ="B")*$R$3,--(B1043:U1044 ="C")*$S$3),"")</f>
        <v>26</v>
      </c>
      <c r="AF1043" s="142" t="s">
        <v>7838</v>
      </c>
      <c r="AG1043" s="142" t="s">
        <v>2705</v>
      </c>
      <c r="AH1043" s="142" t="s">
        <v>2398</v>
      </c>
      <c r="AI1043" s="142" t="s">
        <v>2705</v>
      </c>
      <c r="AJ1043" s="142" t="s">
        <v>2398</v>
      </c>
      <c r="AK1043" s="142" t="s">
        <v>2705</v>
      </c>
      <c r="AL1043" s="142" t="s">
        <v>2705</v>
      </c>
      <c r="AM1043" s="142" t="s">
        <v>2705</v>
      </c>
      <c r="AN1043" s="142" t="s">
        <v>2705</v>
      </c>
      <c r="AO1043" s="142" t="s">
        <v>2705</v>
      </c>
      <c r="AP1043" s="142" t="s">
        <v>2398</v>
      </c>
      <c r="AQ1043" s="142" t="s">
        <v>2705</v>
      </c>
      <c r="AR1043" s="142" t="s">
        <v>2705</v>
      </c>
      <c r="AS1043" s="142" t="s">
        <v>2398</v>
      </c>
      <c r="AT1043" s="142" t="s">
        <v>2398</v>
      </c>
      <c r="AU1043" s="142" t="s">
        <v>2398</v>
      </c>
      <c r="AV1043" s="142" t="s">
        <v>2398</v>
      </c>
      <c r="AW1043" s="142" t="s">
        <v>2398</v>
      </c>
      <c r="AX1043" s="142" t="s">
        <v>2398</v>
      </c>
      <c r="AY1043" s="142" t="s">
        <v>2398</v>
      </c>
      <c r="AZ1043" s="142" t="s">
        <v>2398</v>
      </c>
    </row>
    <row r="1044" spans="1:52" s="142" customFormat="1" ht="12.75" x14ac:dyDescent="0.2">
      <c r="A1044" s="151"/>
      <c r="B1044" s="152" t="s">
        <v>2705</v>
      </c>
      <c r="C1044" s="152" t="s">
        <v>2705</v>
      </c>
      <c r="D1044" s="152" t="s">
        <v>2705</v>
      </c>
      <c r="E1044" s="152" t="s">
        <v>2705</v>
      </c>
      <c r="F1044" s="152" t="s">
        <v>2705</v>
      </c>
      <c r="G1044" s="152" t="s">
        <v>2398</v>
      </c>
      <c r="H1044" s="152" t="s">
        <v>2705</v>
      </c>
      <c r="I1044" s="152" t="s">
        <v>2705</v>
      </c>
      <c r="J1044" s="152" t="s">
        <v>2705</v>
      </c>
      <c r="K1044" s="152" t="s">
        <v>2398</v>
      </c>
      <c r="L1044" s="152" t="s">
        <v>2705</v>
      </c>
      <c r="M1044" s="152" t="s">
        <v>2705</v>
      </c>
      <c r="N1044" s="152" t="s">
        <v>2705</v>
      </c>
      <c r="O1044" s="152" t="s">
        <v>2705</v>
      </c>
      <c r="P1044" s="152" t="s">
        <v>2705</v>
      </c>
      <c r="Q1044" s="152" t="s">
        <v>2398</v>
      </c>
      <c r="R1044" s="152" t="s">
        <v>2705</v>
      </c>
      <c r="S1044" s="152" t="s">
        <v>2705</v>
      </c>
      <c r="T1044" s="152" t="s">
        <v>2705</v>
      </c>
      <c r="U1044" s="152" t="s">
        <v>2705</v>
      </c>
      <c r="V1044" s="142" t="str" cm="1">
        <f t="array" ref="V1044">IF(A1044&lt;&gt;"",SUM(--(B1044:U1045 = "X")*$U$3,--(B1044:U1045 ="A")*$Q$3,--(B1044:U1045 ="B")*$R$3,--(B1044:U1045 ="C")*$S$3),"")</f>
        <v/>
      </c>
      <c r="AG1044" s="142" t="s">
        <v>2705</v>
      </c>
      <c r="AH1044" s="142" t="s">
        <v>2705</v>
      </c>
      <c r="AI1044" s="142" t="s">
        <v>2705</v>
      </c>
      <c r="AJ1044" s="142" t="s">
        <v>2705</v>
      </c>
      <c r="AK1044" s="142" t="s">
        <v>2705</v>
      </c>
      <c r="AL1044" s="142" t="s">
        <v>2398</v>
      </c>
      <c r="AM1044" s="142" t="s">
        <v>2705</v>
      </c>
      <c r="AN1044" s="142" t="s">
        <v>2705</v>
      </c>
      <c r="AO1044" s="142" t="s">
        <v>2705</v>
      </c>
      <c r="AP1044" s="142" t="s">
        <v>2398</v>
      </c>
      <c r="AQ1044" s="142" t="s">
        <v>2705</v>
      </c>
      <c r="AR1044" s="142" t="s">
        <v>2705</v>
      </c>
      <c r="AS1044" s="142" t="s">
        <v>2705</v>
      </c>
      <c r="AT1044" s="142" t="s">
        <v>2705</v>
      </c>
      <c r="AU1044" s="142" t="s">
        <v>2705</v>
      </c>
      <c r="AV1044" s="142" t="s">
        <v>2398</v>
      </c>
      <c r="AW1044" s="142" t="s">
        <v>2705</v>
      </c>
      <c r="AX1044" s="142" t="s">
        <v>2705</v>
      </c>
      <c r="AY1044" s="142" t="s">
        <v>2705</v>
      </c>
      <c r="AZ1044" s="142" t="s">
        <v>2705</v>
      </c>
    </row>
    <row r="1045" spans="1:52" s="142" customFormat="1" ht="12.75" x14ac:dyDescent="0.2">
      <c r="A1045" s="151" t="s">
        <v>7839</v>
      </c>
      <c r="B1045" s="152" t="s">
        <v>2705</v>
      </c>
      <c r="C1045" s="152" t="s">
        <v>2675</v>
      </c>
      <c r="D1045" s="152" t="s">
        <v>2397</v>
      </c>
      <c r="E1045" s="152" t="s">
        <v>2398</v>
      </c>
      <c r="F1045" s="152" t="s">
        <v>2705</v>
      </c>
      <c r="G1045" s="152" t="s">
        <v>1435</v>
      </c>
      <c r="H1045" s="152" t="s">
        <v>2705</v>
      </c>
      <c r="I1045" s="152" t="s">
        <v>2705</v>
      </c>
      <c r="J1045" s="152" t="s">
        <v>2398</v>
      </c>
      <c r="K1045" s="152" t="s">
        <v>2398</v>
      </c>
      <c r="L1045" s="152" t="s">
        <v>2705</v>
      </c>
      <c r="M1045" s="152" t="s">
        <v>2398</v>
      </c>
      <c r="N1045" s="152" t="s">
        <v>2705</v>
      </c>
      <c r="O1045" s="152" t="s">
        <v>2398</v>
      </c>
      <c r="P1045" s="152" t="s">
        <v>2705</v>
      </c>
      <c r="Q1045" s="152" t="s">
        <v>2398</v>
      </c>
      <c r="R1045" s="152" t="s">
        <v>2397</v>
      </c>
      <c r="S1045" s="152" t="s">
        <v>2705</v>
      </c>
      <c r="T1045" s="152" t="s">
        <v>2398</v>
      </c>
      <c r="U1045" s="152" t="s">
        <v>2705</v>
      </c>
      <c r="V1045" s="142" cm="1">
        <f t="array" ref="V1045">IF(A1045&lt;&gt;"",SUM(--(B1045:U1046 = "X")*$U$3,--(B1045:U1046 ="A")*$Q$3,--(B1045:U1046 ="B")*$R$3,--(B1045:U1046 ="C")*$S$3),"")</f>
        <v>11.5</v>
      </c>
      <c r="AF1045" s="142" t="s">
        <v>7839</v>
      </c>
      <c r="AG1045" s="142" t="s">
        <v>2705</v>
      </c>
      <c r="AH1045" s="142" t="s">
        <v>2675</v>
      </c>
      <c r="AI1045" s="142" t="s">
        <v>2397</v>
      </c>
      <c r="AJ1045" s="142" t="s">
        <v>2398</v>
      </c>
      <c r="AK1045" s="142" t="s">
        <v>2705</v>
      </c>
      <c r="AL1045" s="142" t="s">
        <v>1435</v>
      </c>
      <c r="AM1045" s="142" t="s">
        <v>2705</v>
      </c>
      <c r="AN1045" s="142" t="s">
        <v>2705</v>
      </c>
      <c r="AO1045" s="142" t="s">
        <v>2398</v>
      </c>
      <c r="AP1045" s="142" t="s">
        <v>2398</v>
      </c>
      <c r="AQ1045" s="142" t="s">
        <v>2705</v>
      </c>
      <c r="AR1045" s="142" t="s">
        <v>2398</v>
      </c>
      <c r="AS1045" s="142" t="s">
        <v>2705</v>
      </c>
      <c r="AT1045" s="142" t="s">
        <v>2398</v>
      </c>
      <c r="AU1045" s="142" t="s">
        <v>2705</v>
      </c>
      <c r="AV1045" s="142" t="s">
        <v>2398</v>
      </c>
      <c r="AW1045" s="142" t="s">
        <v>2397</v>
      </c>
      <c r="AX1045" s="142" t="s">
        <v>2705</v>
      </c>
      <c r="AY1045" s="142" t="s">
        <v>2398</v>
      </c>
      <c r="AZ1045" s="142" t="s">
        <v>2705</v>
      </c>
    </row>
    <row r="1046" spans="1:52" s="142" customFormat="1" ht="12.75" x14ac:dyDescent="0.2">
      <c r="A1046" s="151"/>
      <c r="B1046" s="152" t="s">
        <v>2705</v>
      </c>
      <c r="C1046" s="152" t="s">
        <v>2675</v>
      </c>
      <c r="D1046" s="152" t="s">
        <v>2705</v>
      </c>
      <c r="E1046" s="152" t="s">
        <v>2675</v>
      </c>
      <c r="F1046" s="152" t="s">
        <v>2675</v>
      </c>
      <c r="G1046" s="152" t="s">
        <v>2398</v>
      </c>
      <c r="H1046" s="152" t="s">
        <v>2398</v>
      </c>
      <c r="I1046" s="152" t="s">
        <v>2705</v>
      </c>
      <c r="J1046" s="152" t="s">
        <v>2705</v>
      </c>
      <c r="K1046" s="152" t="s">
        <v>1435</v>
      </c>
      <c r="L1046" s="152" t="s">
        <v>2397</v>
      </c>
      <c r="M1046" s="152" t="s">
        <v>2675</v>
      </c>
      <c r="N1046" s="152" t="s">
        <v>2398</v>
      </c>
      <c r="O1046" s="152" t="s">
        <v>1435</v>
      </c>
      <c r="P1046" s="152" t="s">
        <v>2705</v>
      </c>
      <c r="Q1046" s="152" t="s">
        <v>2705</v>
      </c>
      <c r="R1046" s="152" t="s">
        <v>2398</v>
      </c>
      <c r="S1046" s="152" t="s">
        <v>2397</v>
      </c>
      <c r="T1046" s="152" t="s">
        <v>2705</v>
      </c>
      <c r="U1046" s="152" t="s">
        <v>2675</v>
      </c>
      <c r="V1046" s="142" t="str" cm="1">
        <f t="array" ref="V1046">IF(A1046&lt;&gt;"",SUM(--(B1046:U1047 = "X")*$U$3,--(B1046:U1047 ="A")*$Q$3,--(B1046:U1047 ="B")*$R$3,--(B1046:U1047 ="C")*$S$3),"")</f>
        <v/>
      </c>
      <c r="AG1046" s="142" t="s">
        <v>2705</v>
      </c>
      <c r="AH1046" s="142" t="s">
        <v>2675</v>
      </c>
      <c r="AI1046" s="142" t="s">
        <v>2705</v>
      </c>
      <c r="AJ1046" s="142" t="s">
        <v>2675</v>
      </c>
      <c r="AK1046" s="142" t="s">
        <v>2675</v>
      </c>
      <c r="AL1046" s="142" t="s">
        <v>2398</v>
      </c>
      <c r="AM1046" s="142" t="s">
        <v>2398</v>
      </c>
      <c r="AN1046" s="142" t="s">
        <v>2705</v>
      </c>
      <c r="AO1046" s="142" t="s">
        <v>2705</v>
      </c>
      <c r="AP1046" s="142" t="s">
        <v>1435</v>
      </c>
      <c r="AQ1046" s="142" t="s">
        <v>2397</v>
      </c>
      <c r="AR1046" s="142" t="s">
        <v>2675</v>
      </c>
      <c r="AS1046" s="142" t="s">
        <v>2398</v>
      </c>
      <c r="AT1046" s="142" t="s">
        <v>1435</v>
      </c>
      <c r="AU1046" s="142" t="s">
        <v>2705</v>
      </c>
      <c r="AV1046" s="142" t="s">
        <v>2705</v>
      </c>
      <c r="AW1046" s="142" t="s">
        <v>2398</v>
      </c>
      <c r="AX1046" s="142" t="s">
        <v>2397</v>
      </c>
      <c r="AY1046" s="142" t="s">
        <v>2705</v>
      </c>
      <c r="AZ1046" s="142" t="s">
        <v>2675</v>
      </c>
    </row>
    <row r="1047" spans="1:52" s="142" customFormat="1" ht="12.75" x14ac:dyDescent="0.2">
      <c r="A1047" s="151" t="s">
        <v>7840</v>
      </c>
      <c r="B1047" s="152" t="s">
        <v>2398</v>
      </c>
      <c r="C1047" s="152" t="s">
        <v>1435</v>
      </c>
      <c r="D1047" s="152" t="s">
        <v>2705</v>
      </c>
      <c r="E1047" s="152" t="s">
        <v>2705</v>
      </c>
      <c r="F1047" s="152" t="s">
        <v>2705</v>
      </c>
      <c r="G1047" s="152" t="s">
        <v>2398</v>
      </c>
      <c r="H1047" s="152" t="s">
        <v>2705</v>
      </c>
      <c r="I1047" s="152" t="s">
        <v>2398</v>
      </c>
      <c r="J1047" s="152" t="s">
        <v>2398</v>
      </c>
      <c r="K1047" s="152" t="s">
        <v>2398</v>
      </c>
      <c r="L1047" s="152" t="s">
        <v>2675</v>
      </c>
      <c r="M1047" s="152" t="s">
        <v>2398</v>
      </c>
      <c r="N1047" s="152" t="s">
        <v>2398</v>
      </c>
      <c r="O1047" s="152" t="s">
        <v>1435</v>
      </c>
      <c r="P1047" s="152" t="s">
        <v>2705</v>
      </c>
      <c r="Q1047" s="152" t="s">
        <v>2705</v>
      </c>
      <c r="R1047" s="152" t="s">
        <v>2398</v>
      </c>
      <c r="S1047" s="152" t="s">
        <v>2398</v>
      </c>
      <c r="T1047" s="152" t="s">
        <v>2675</v>
      </c>
      <c r="U1047" s="152" t="s">
        <v>2705</v>
      </c>
      <c r="V1047" s="142" cm="1">
        <f t="array" ref="V1047">IF(A1047&lt;&gt;"",SUM(--(B1047:U1048 = "X")*$U$3,--(B1047:U1048 ="A")*$Q$3,--(B1047:U1048 ="B")*$R$3,--(B1047:U1048 ="C")*$S$3),"")</f>
        <v>12.5</v>
      </c>
      <c r="AF1047" s="142" t="s">
        <v>7840</v>
      </c>
      <c r="AG1047" s="142" t="s">
        <v>2398</v>
      </c>
      <c r="AH1047" s="142" t="s">
        <v>1435</v>
      </c>
      <c r="AI1047" s="142" t="s">
        <v>2705</v>
      </c>
      <c r="AJ1047" s="142" t="s">
        <v>2705</v>
      </c>
      <c r="AK1047" s="142" t="s">
        <v>2705</v>
      </c>
      <c r="AL1047" s="142" t="s">
        <v>2398</v>
      </c>
      <c r="AM1047" s="142" t="s">
        <v>2705</v>
      </c>
      <c r="AN1047" s="142" t="s">
        <v>2398</v>
      </c>
      <c r="AO1047" s="142" t="s">
        <v>2398</v>
      </c>
      <c r="AP1047" s="142" t="s">
        <v>2398</v>
      </c>
      <c r="AQ1047" s="142" t="s">
        <v>2675</v>
      </c>
      <c r="AR1047" s="142" t="s">
        <v>2398</v>
      </c>
      <c r="AS1047" s="142" t="s">
        <v>2398</v>
      </c>
      <c r="AT1047" s="142" t="s">
        <v>1435</v>
      </c>
      <c r="AU1047" s="142" t="s">
        <v>2705</v>
      </c>
      <c r="AV1047" s="142" t="s">
        <v>2705</v>
      </c>
      <c r="AW1047" s="142" t="s">
        <v>2398</v>
      </c>
      <c r="AX1047" s="142" t="s">
        <v>2398</v>
      </c>
      <c r="AY1047" s="142" t="s">
        <v>2675</v>
      </c>
      <c r="AZ1047" s="142" t="s">
        <v>2705</v>
      </c>
    </row>
    <row r="1048" spans="1:52" s="142" customFormat="1" ht="12.75" x14ac:dyDescent="0.2">
      <c r="A1048" s="151"/>
      <c r="B1048" s="152" t="s">
        <v>2705</v>
      </c>
      <c r="C1048" s="152" t="s">
        <v>2398</v>
      </c>
      <c r="D1048" s="152" t="s">
        <v>2397</v>
      </c>
      <c r="E1048" s="152" t="s">
        <v>2675</v>
      </c>
      <c r="F1048" s="152" t="s">
        <v>2705</v>
      </c>
      <c r="G1048" s="152" t="s">
        <v>2705</v>
      </c>
      <c r="H1048" s="152" t="s">
        <v>2705</v>
      </c>
      <c r="I1048" s="152" t="s">
        <v>1435</v>
      </c>
      <c r="J1048" s="152" t="s">
        <v>2398</v>
      </c>
      <c r="K1048" s="152" t="s">
        <v>2398</v>
      </c>
      <c r="L1048" s="152" t="s">
        <v>2705</v>
      </c>
      <c r="M1048" s="152" t="s">
        <v>2398</v>
      </c>
      <c r="N1048" s="152" t="s">
        <v>2705</v>
      </c>
      <c r="O1048" s="152" t="s">
        <v>2397</v>
      </c>
      <c r="P1048" s="152" t="s">
        <v>2705</v>
      </c>
      <c r="Q1048" s="152" t="s">
        <v>2705</v>
      </c>
      <c r="R1048" s="152" t="s">
        <v>1435</v>
      </c>
      <c r="S1048" s="152" t="s">
        <v>2398</v>
      </c>
      <c r="T1048" s="152" t="s">
        <v>2705</v>
      </c>
      <c r="U1048" s="152" t="s">
        <v>2398</v>
      </c>
      <c r="V1048" s="142" t="str" cm="1">
        <f t="array" ref="V1048">IF(A1048&lt;&gt;"",SUM(--(B1048:U1049 = "X")*$U$3,--(B1048:U1049 ="A")*$Q$3,--(B1048:U1049 ="B")*$R$3,--(B1048:U1049 ="C")*$S$3),"")</f>
        <v/>
      </c>
      <c r="AG1048" s="142" t="s">
        <v>2705</v>
      </c>
      <c r="AH1048" s="142" t="s">
        <v>2398</v>
      </c>
      <c r="AI1048" s="142" t="s">
        <v>2397</v>
      </c>
      <c r="AJ1048" s="142" t="s">
        <v>2675</v>
      </c>
      <c r="AK1048" s="142" t="s">
        <v>2705</v>
      </c>
      <c r="AL1048" s="142" t="s">
        <v>2705</v>
      </c>
      <c r="AM1048" s="142" t="s">
        <v>2705</v>
      </c>
      <c r="AN1048" s="142" t="s">
        <v>1435</v>
      </c>
      <c r="AO1048" s="142" t="s">
        <v>2398</v>
      </c>
      <c r="AP1048" s="142" t="s">
        <v>2398</v>
      </c>
      <c r="AQ1048" s="142" t="s">
        <v>2705</v>
      </c>
      <c r="AR1048" s="142" t="s">
        <v>2398</v>
      </c>
      <c r="AS1048" s="142" t="s">
        <v>2705</v>
      </c>
      <c r="AT1048" s="142" t="s">
        <v>2397</v>
      </c>
      <c r="AU1048" s="142" t="s">
        <v>2705</v>
      </c>
      <c r="AV1048" s="142" t="s">
        <v>2705</v>
      </c>
      <c r="AW1048" s="142" t="s">
        <v>1435</v>
      </c>
      <c r="AX1048" s="142" t="s">
        <v>2398</v>
      </c>
      <c r="AY1048" s="142" t="s">
        <v>2705</v>
      </c>
      <c r="AZ1048" s="142" t="s">
        <v>2398</v>
      </c>
    </row>
    <row r="1049" spans="1:52" s="142" customFormat="1" ht="12.75" x14ac:dyDescent="0.2">
      <c r="A1049" s="151" t="s">
        <v>7841</v>
      </c>
      <c r="B1049" s="152" t="s">
        <v>2398</v>
      </c>
      <c r="C1049" s="152" t="s">
        <v>2705</v>
      </c>
      <c r="D1049" s="152" t="s">
        <v>2398</v>
      </c>
      <c r="E1049" s="152" t="s">
        <v>2398</v>
      </c>
      <c r="F1049" s="152" t="s">
        <v>2397</v>
      </c>
      <c r="G1049" s="152" t="s">
        <v>2705</v>
      </c>
      <c r="H1049" s="152" t="s">
        <v>2705</v>
      </c>
      <c r="I1049" s="152" t="s">
        <v>2675</v>
      </c>
      <c r="J1049" s="152" t="s">
        <v>2705</v>
      </c>
      <c r="K1049" s="152" t="s">
        <v>2705</v>
      </c>
      <c r="L1049" s="152" t="s">
        <v>2398</v>
      </c>
      <c r="M1049" s="152" t="s">
        <v>2705</v>
      </c>
      <c r="N1049" s="152" t="s">
        <v>2398</v>
      </c>
      <c r="O1049" s="152" t="s">
        <v>2705</v>
      </c>
      <c r="P1049" s="152" t="s">
        <v>2705</v>
      </c>
      <c r="Q1049" s="152" t="s">
        <v>2705</v>
      </c>
      <c r="R1049" s="152" t="s">
        <v>2398</v>
      </c>
      <c r="S1049" s="152" t="s">
        <v>2675</v>
      </c>
      <c r="T1049" s="152" t="s">
        <v>2705</v>
      </c>
      <c r="U1049" s="152" t="s">
        <v>2705</v>
      </c>
      <c r="V1049" s="142" cm="1">
        <f t="array" ref="V1049">IF(A1049&lt;&gt;"",SUM(--(B1049:U1050 = "X")*$U$3,--(B1049:U1050 ="A")*$Q$3,--(B1049:U1050 ="B")*$R$3,--(B1049:U1050 ="C")*$S$3),"")</f>
        <v>16</v>
      </c>
      <c r="AF1049" s="142" t="s">
        <v>7841</v>
      </c>
      <c r="AG1049" s="142" t="s">
        <v>2398</v>
      </c>
      <c r="AH1049" s="142" t="s">
        <v>2705</v>
      </c>
      <c r="AI1049" s="142" t="s">
        <v>2398</v>
      </c>
      <c r="AJ1049" s="142" t="s">
        <v>2398</v>
      </c>
      <c r="AK1049" s="142" t="s">
        <v>2397</v>
      </c>
      <c r="AL1049" s="142" t="s">
        <v>2705</v>
      </c>
      <c r="AM1049" s="142" t="s">
        <v>2705</v>
      </c>
      <c r="AN1049" s="142" t="s">
        <v>2675</v>
      </c>
      <c r="AO1049" s="142" t="s">
        <v>2705</v>
      </c>
      <c r="AP1049" s="142" t="s">
        <v>2705</v>
      </c>
      <c r="AQ1049" s="142" t="s">
        <v>2398</v>
      </c>
      <c r="AR1049" s="142" t="s">
        <v>2705</v>
      </c>
      <c r="AS1049" s="142" t="s">
        <v>2398</v>
      </c>
      <c r="AT1049" s="142" t="s">
        <v>2705</v>
      </c>
      <c r="AU1049" s="142" t="s">
        <v>2705</v>
      </c>
      <c r="AV1049" s="142" t="s">
        <v>2705</v>
      </c>
      <c r="AW1049" s="142" t="s">
        <v>2398</v>
      </c>
      <c r="AX1049" s="142" t="s">
        <v>2675</v>
      </c>
      <c r="AY1049" s="142" t="s">
        <v>2705</v>
      </c>
      <c r="AZ1049" s="142" t="s">
        <v>2705</v>
      </c>
    </row>
    <row r="1050" spans="1:52" s="142" customFormat="1" ht="12.75" x14ac:dyDescent="0.2">
      <c r="A1050" s="151"/>
      <c r="B1050" s="152" t="s">
        <v>2675</v>
      </c>
      <c r="C1050" s="152" t="s">
        <v>2705</v>
      </c>
      <c r="D1050" s="152" t="s">
        <v>2398</v>
      </c>
      <c r="E1050" s="152" t="s">
        <v>2398</v>
      </c>
      <c r="F1050" s="152" t="s">
        <v>2705</v>
      </c>
      <c r="G1050" s="152" t="s">
        <v>2705</v>
      </c>
      <c r="H1050" s="152" t="s">
        <v>2397</v>
      </c>
      <c r="I1050" s="152" t="s">
        <v>2705</v>
      </c>
      <c r="J1050" s="152" t="s">
        <v>1435</v>
      </c>
      <c r="K1050" s="152" t="s">
        <v>2398</v>
      </c>
      <c r="L1050" s="152" t="s">
        <v>2398</v>
      </c>
      <c r="M1050" s="152" t="s">
        <v>1435</v>
      </c>
      <c r="N1050" s="152" t="s">
        <v>2705</v>
      </c>
      <c r="O1050" s="152" t="s">
        <v>2398</v>
      </c>
      <c r="P1050" s="152" t="s">
        <v>1435</v>
      </c>
      <c r="Q1050" s="152" t="s">
        <v>2398</v>
      </c>
      <c r="R1050" s="152" t="s">
        <v>2705</v>
      </c>
      <c r="S1050" s="152" t="s">
        <v>2705</v>
      </c>
      <c r="T1050" s="152" t="s">
        <v>2705</v>
      </c>
      <c r="U1050" s="152" t="s">
        <v>2398</v>
      </c>
      <c r="V1050" s="142" t="str" cm="1">
        <f t="array" ref="V1050">IF(A1050&lt;&gt;"",SUM(--(B1050:U1051 = "X")*$U$3,--(B1050:U1051 ="A")*$Q$3,--(B1050:U1051 ="B")*$R$3,--(B1050:U1051 ="C")*$S$3),"")</f>
        <v/>
      </c>
      <c r="AG1050" s="142" t="s">
        <v>2675</v>
      </c>
      <c r="AH1050" s="142" t="s">
        <v>2705</v>
      </c>
      <c r="AI1050" s="142" t="s">
        <v>2398</v>
      </c>
      <c r="AJ1050" s="142" t="s">
        <v>2398</v>
      </c>
      <c r="AK1050" s="142" t="s">
        <v>2705</v>
      </c>
      <c r="AL1050" s="142" t="s">
        <v>2705</v>
      </c>
      <c r="AM1050" s="142" t="s">
        <v>2397</v>
      </c>
      <c r="AN1050" s="142" t="s">
        <v>2705</v>
      </c>
      <c r="AO1050" s="142" t="s">
        <v>1435</v>
      </c>
      <c r="AP1050" s="142" t="s">
        <v>2398</v>
      </c>
      <c r="AQ1050" s="142" t="s">
        <v>2398</v>
      </c>
      <c r="AR1050" s="142" t="s">
        <v>1435</v>
      </c>
      <c r="AS1050" s="142" t="s">
        <v>2705</v>
      </c>
      <c r="AT1050" s="142" t="s">
        <v>2398</v>
      </c>
      <c r="AU1050" s="142" t="s">
        <v>1435</v>
      </c>
      <c r="AV1050" s="142" t="s">
        <v>2398</v>
      </c>
      <c r="AW1050" s="142" t="s">
        <v>2705</v>
      </c>
      <c r="AX1050" s="142" t="s">
        <v>2705</v>
      </c>
      <c r="AY1050" s="142" t="s">
        <v>2705</v>
      </c>
      <c r="AZ1050" s="142" t="s">
        <v>2398</v>
      </c>
    </row>
    <row r="1051" spans="1:52" s="142" customFormat="1" ht="12.75" x14ac:dyDescent="0.2">
      <c r="A1051" s="151" t="s">
        <v>7842</v>
      </c>
      <c r="B1051" s="152" t="s">
        <v>2398</v>
      </c>
      <c r="C1051" s="152" t="s">
        <v>2705</v>
      </c>
      <c r="D1051" s="152" t="s">
        <v>2675</v>
      </c>
      <c r="E1051" s="152" t="s">
        <v>2398</v>
      </c>
      <c r="F1051" s="152" t="s">
        <v>2398</v>
      </c>
      <c r="G1051" s="152" t="s">
        <v>1435</v>
      </c>
      <c r="H1051" s="152" t="s">
        <v>2675</v>
      </c>
      <c r="I1051" s="152" t="s">
        <v>2705</v>
      </c>
      <c r="J1051" s="152" t="s">
        <v>2705</v>
      </c>
      <c r="K1051" s="152" t="s">
        <v>2398</v>
      </c>
      <c r="L1051" s="152" t="s">
        <v>2705</v>
      </c>
      <c r="M1051" s="152" t="s">
        <v>2705</v>
      </c>
      <c r="N1051" s="152" t="s">
        <v>2705</v>
      </c>
      <c r="O1051" s="152" t="s">
        <v>2705</v>
      </c>
      <c r="P1051" s="152" t="s">
        <v>1435</v>
      </c>
      <c r="Q1051" s="152" t="s">
        <v>2675</v>
      </c>
      <c r="R1051" s="152" t="s">
        <v>2705</v>
      </c>
      <c r="S1051" s="152" t="s">
        <v>2705</v>
      </c>
      <c r="T1051" s="152" t="s">
        <v>2398</v>
      </c>
      <c r="U1051" s="152" t="s">
        <v>2398</v>
      </c>
      <c r="V1051" s="142" cm="1">
        <f t="array" ref="V1051">IF(A1051&lt;&gt;"",SUM(--(B1051:U1052 = "X")*$U$3,--(B1051:U1052 ="A")*$Q$3,--(B1051:U1052 ="B")*$R$3,--(B1051:U1052 ="C")*$S$3),"")</f>
        <v>8.5</v>
      </c>
      <c r="AF1051" s="142" t="s">
        <v>7842</v>
      </c>
      <c r="AG1051" s="142" t="s">
        <v>2398</v>
      </c>
      <c r="AH1051" s="142" t="s">
        <v>2705</v>
      </c>
      <c r="AI1051" s="142" t="s">
        <v>2675</v>
      </c>
      <c r="AJ1051" s="142" t="s">
        <v>2398</v>
      </c>
      <c r="AK1051" s="142" t="s">
        <v>2398</v>
      </c>
      <c r="AL1051" s="142" t="s">
        <v>1435</v>
      </c>
      <c r="AM1051" s="142" t="s">
        <v>2675</v>
      </c>
      <c r="AN1051" s="142" t="s">
        <v>2705</v>
      </c>
      <c r="AO1051" s="142" t="s">
        <v>2705</v>
      </c>
      <c r="AP1051" s="142" t="s">
        <v>2398</v>
      </c>
      <c r="AQ1051" s="142" t="s">
        <v>2705</v>
      </c>
      <c r="AR1051" s="142" t="s">
        <v>2705</v>
      </c>
      <c r="AS1051" s="142" t="s">
        <v>2705</v>
      </c>
      <c r="AT1051" s="142" t="s">
        <v>2705</v>
      </c>
      <c r="AU1051" s="142" t="s">
        <v>1435</v>
      </c>
      <c r="AV1051" s="142" t="s">
        <v>2675</v>
      </c>
      <c r="AW1051" s="142" t="s">
        <v>2705</v>
      </c>
      <c r="AX1051" s="142" t="s">
        <v>2705</v>
      </c>
      <c r="AY1051" s="142" t="s">
        <v>2398</v>
      </c>
      <c r="AZ1051" s="142" t="s">
        <v>2398</v>
      </c>
    </row>
    <row r="1052" spans="1:52" s="142" customFormat="1" ht="12.75" x14ac:dyDescent="0.2">
      <c r="A1052" s="151"/>
      <c r="B1052" s="152" t="s">
        <v>2398</v>
      </c>
      <c r="C1052" s="152" t="s">
        <v>2705</v>
      </c>
      <c r="D1052" s="152" t="s">
        <v>2398</v>
      </c>
      <c r="E1052" s="152" t="s">
        <v>2398</v>
      </c>
      <c r="F1052" s="152" t="s">
        <v>2398</v>
      </c>
      <c r="G1052" s="152" t="s">
        <v>2398</v>
      </c>
      <c r="H1052" s="152" t="s">
        <v>1435</v>
      </c>
      <c r="I1052" s="152" t="s">
        <v>2398</v>
      </c>
      <c r="J1052" s="152" t="s">
        <v>2398</v>
      </c>
      <c r="K1052" s="152" t="s">
        <v>2398</v>
      </c>
      <c r="L1052" s="152" t="s">
        <v>2705</v>
      </c>
      <c r="M1052" s="152" t="s">
        <v>2705</v>
      </c>
      <c r="N1052" s="152" t="s">
        <v>2705</v>
      </c>
      <c r="O1052" s="152" t="s">
        <v>2398</v>
      </c>
      <c r="P1052" s="152" t="s">
        <v>1435</v>
      </c>
      <c r="Q1052" s="152" t="s">
        <v>1435</v>
      </c>
      <c r="R1052" s="152" t="s">
        <v>1435</v>
      </c>
      <c r="S1052" s="152" t="s">
        <v>2398</v>
      </c>
      <c r="T1052" s="152" t="s">
        <v>2397</v>
      </c>
      <c r="U1052" s="152" t="s">
        <v>2398</v>
      </c>
      <c r="V1052" s="142" t="str" cm="1">
        <f t="array" ref="V1052">IF(A1052&lt;&gt;"",SUM(--(B1052:U1053 = "X")*$U$3,--(B1052:U1053 ="A")*$Q$3,--(B1052:U1053 ="B")*$R$3,--(B1052:U1053 ="C")*$S$3),"")</f>
        <v/>
      </c>
      <c r="AG1052" s="142" t="s">
        <v>2398</v>
      </c>
      <c r="AH1052" s="142" t="s">
        <v>2705</v>
      </c>
      <c r="AI1052" s="142" t="s">
        <v>2398</v>
      </c>
      <c r="AJ1052" s="142" t="s">
        <v>2398</v>
      </c>
      <c r="AK1052" s="142" t="s">
        <v>2398</v>
      </c>
      <c r="AL1052" s="142" t="s">
        <v>2398</v>
      </c>
      <c r="AM1052" s="142" t="s">
        <v>1435</v>
      </c>
      <c r="AN1052" s="142" t="s">
        <v>2398</v>
      </c>
      <c r="AO1052" s="142" t="s">
        <v>2398</v>
      </c>
      <c r="AP1052" s="142" t="s">
        <v>2398</v>
      </c>
      <c r="AQ1052" s="142" t="s">
        <v>2705</v>
      </c>
      <c r="AR1052" s="142" t="s">
        <v>2705</v>
      </c>
      <c r="AS1052" s="142" t="s">
        <v>2705</v>
      </c>
      <c r="AT1052" s="142" t="s">
        <v>2398</v>
      </c>
      <c r="AU1052" s="142" t="s">
        <v>1435</v>
      </c>
      <c r="AV1052" s="142" t="s">
        <v>1435</v>
      </c>
      <c r="AW1052" s="142" t="s">
        <v>1435</v>
      </c>
      <c r="AX1052" s="142" t="s">
        <v>2398</v>
      </c>
      <c r="AY1052" s="142" t="s">
        <v>2397</v>
      </c>
      <c r="AZ1052" s="142" t="s">
        <v>2398</v>
      </c>
    </row>
    <row r="1053" spans="1:52" s="142" customFormat="1" ht="12.75" x14ac:dyDescent="0.2">
      <c r="A1053" s="151" t="s">
        <v>7843</v>
      </c>
      <c r="B1053" s="152" t="s">
        <v>1435</v>
      </c>
      <c r="C1053" s="152" t="s">
        <v>2705</v>
      </c>
      <c r="D1053" s="152" t="s">
        <v>2705</v>
      </c>
      <c r="E1053" s="152" t="s">
        <v>2705</v>
      </c>
      <c r="F1053" s="152" t="s">
        <v>2705</v>
      </c>
      <c r="G1053" s="152" t="s">
        <v>2705</v>
      </c>
      <c r="H1053" s="152" t="s">
        <v>2705</v>
      </c>
      <c r="I1053" s="152" t="s">
        <v>2675</v>
      </c>
      <c r="J1053" s="152" t="s">
        <v>2705</v>
      </c>
      <c r="K1053" s="152" t="s">
        <v>2397</v>
      </c>
      <c r="L1053" s="152" t="s">
        <v>2705</v>
      </c>
      <c r="M1053" s="152" t="s">
        <v>2675</v>
      </c>
      <c r="N1053" s="152" t="s">
        <v>2705</v>
      </c>
      <c r="O1053" s="152" t="s">
        <v>1435</v>
      </c>
      <c r="P1053" s="152" t="s">
        <v>2398</v>
      </c>
      <c r="Q1053" s="152" t="s">
        <v>2705</v>
      </c>
      <c r="R1053" s="152" t="s">
        <v>2675</v>
      </c>
      <c r="S1053" s="152" t="s">
        <v>2705</v>
      </c>
      <c r="T1053" s="152" t="s">
        <v>2675</v>
      </c>
      <c r="U1053" s="152" t="s">
        <v>2398</v>
      </c>
      <c r="V1053" s="142" cm="1">
        <f t="array" ref="V1053">IF(A1053&lt;&gt;"",SUM(--(B1053:U1054 = "X")*$U$3,--(B1053:U1054 ="A")*$Q$3,--(B1053:U1054 ="B")*$R$3,--(B1053:U1054 ="C")*$S$3),"")</f>
        <v>11</v>
      </c>
      <c r="AF1053" s="142" t="s">
        <v>7843</v>
      </c>
      <c r="AG1053" s="142" t="s">
        <v>1435</v>
      </c>
      <c r="AH1053" s="142" t="s">
        <v>2705</v>
      </c>
      <c r="AI1053" s="142" t="s">
        <v>2705</v>
      </c>
      <c r="AJ1053" s="142" t="s">
        <v>2705</v>
      </c>
      <c r="AK1053" s="142" t="s">
        <v>2705</v>
      </c>
      <c r="AL1053" s="142" t="s">
        <v>2705</v>
      </c>
      <c r="AM1053" s="142" t="s">
        <v>2705</v>
      </c>
      <c r="AN1053" s="142" t="s">
        <v>2675</v>
      </c>
      <c r="AO1053" s="142" t="s">
        <v>2705</v>
      </c>
      <c r="AP1053" s="142" t="s">
        <v>2397</v>
      </c>
      <c r="AQ1053" s="142" t="s">
        <v>2705</v>
      </c>
      <c r="AR1053" s="142" t="s">
        <v>2675</v>
      </c>
      <c r="AS1053" s="142" t="s">
        <v>2705</v>
      </c>
      <c r="AT1053" s="142" t="s">
        <v>1435</v>
      </c>
      <c r="AU1053" s="142" t="s">
        <v>2398</v>
      </c>
      <c r="AV1053" s="142" t="s">
        <v>2705</v>
      </c>
      <c r="AW1053" s="142" t="s">
        <v>2675</v>
      </c>
      <c r="AX1053" s="142" t="s">
        <v>2705</v>
      </c>
      <c r="AY1053" s="142" t="s">
        <v>2675</v>
      </c>
      <c r="AZ1053" s="142" t="s">
        <v>2398</v>
      </c>
    </row>
    <row r="1054" spans="1:52" s="142" customFormat="1" ht="12.75" x14ac:dyDescent="0.2">
      <c r="A1054" s="151"/>
      <c r="B1054" s="152" t="s">
        <v>2397</v>
      </c>
      <c r="C1054" s="152" t="s">
        <v>2705</v>
      </c>
      <c r="D1054" s="152" t="s">
        <v>2705</v>
      </c>
      <c r="E1054" s="152" t="s">
        <v>2397</v>
      </c>
      <c r="F1054" s="152" t="s">
        <v>2675</v>
      </c>
      <c r="G1054" s="152" t="s">
        <v>1435</v>
      </c>
      <c r="H1054" s="152" t="s">
        <v>2675</v>
      </c>
      <c r="I1054" s="152" t="s">
        <v>1435</v>
      </c>
      <c r="J1054" s="152" t="s">
        <v>2705</v>
      </c>
      <c r="K1054" s="152" t="s">
        <v>2398</v>
      </c>
      <c r="L1054" s="152" t="s">
        <v>2398</v>
      </c>
      <c r="M1054" s="152" t="s">
        <v>2705</v>
      </c>
      <c r="N1054" s="152" t="s">
        <v>2675</v>
      </c>
      <c r="O1054" s="152" t="s">
        <v>2398</v>
      </c>
      <c r="P1054" s="152" t="s">
        <v>2705</v>
      </c>
      <c r="Q1054" s="152" t="s">
        <v>1435</v>
      </c>
      <c r="R1054" s="152" t="s">
        <v>2705</v>
      </c>
      <c r="S1054" s="152" t="s">
        <v>2398</v>
      </c>
      <c r="T1054" s="152" t="s">
        <v>2398</v>
      </c>
      <c r="U1054" s="152" t="s">
        <v>2397</v>
      </c>
      <c r="V1054" s="142" t="str" cm="1">
        <f t="array" ref="V1054">IF(A1054&lt;&gt;"",SUM(--(B1054:U1055 = "X")*$U$3,--(B1054:U1055 ="A")*$Q$3,--(B1054:U1055 ="B")*$R$3,--(B1054:U1055 ="C")*$S$3),"")</f>
        <v/>
      </c>
      <c r="AG1054" s="142" t="s">
        <v>2397</v>
      </c>
      <c r="AH1054" s="142" t="s">
        <v>2705</v>
      </c>
      <c r="AI1054" s="142" t="s">
        <v>2705</v>
      </c>
      <c r="AJ1054" s="142" t="s">
        <v>2397</v>
      </c>
      <c r="AK1054" s="142" t="s">
        <v>2675</v>
      </c>
      <c r="AL1054" s="142" t="s">
        <v>1435</v>
      </c>
      <c r="AM1054" s="142" t="s">
        <v>2675</v>
      </c>
      <c r="AN1054" s="142" t="s">
        <v>1435</v>
      </c>
      <c r="AO1054" s="142" t="s">
        <v>2705</v>
      </c>
      <c r="AP1054" s="142" t="s">
        <v>2398</v>
      </c>
      <c r="AQ1054" s="142" t="s">
        <v>2398</v>
      </c>
      <c r="AR1054" s="142" t="s">
        <v>2705</v>
      </c>
      <c r="AS1054" s="142" t="s">
        <v>2675</v>
      </c>
      <c r="AT1054" s="142" t="s">
        <v>2398</v>
      </c>
      <c r="AU1054" s="142" t="s">
        <v>2705</v>
      </c>
      <c r="AV1054" s="142" t="s">
        <v>1435</v>
      </c>
      <c r="AW1054" s="142" t="s">
        <v>2705</v>
      </c>
      <c r="AX1054" s="142" t="s">
        <v>2398</v>
      </c>
      <c r="AY1054" s="142" t="s">
        <v>2398</v>
      </c>
      <c r="AZ1054" s="142" t="s">
        <v>2397</v>
      </c>
    </row>
    <row r="1055" spans="1:52" s="142" customFormat="1" ht="12.75" x14ac:dyDescent="0.2">
      <c r="A1055" s="151" t="s">
        <v>7844</v>
      </c>
      <c r="B1055" s="152" t="s">
        <v>1435</v>
      </c>
      <c r="C1055" s="152" t="s">
        <v>2705</v>
      </c>
      <c r="D1055" s="152" t="s">
        <v>2705</v>
      </c>
      <c r="E1055" s="152" t="s">
        <v>2398</v>
      </c>
      <c r="F1055" s="152" t="s">
        <v>1435</v>
      </c>
      <c r="G1055" s="152" t="s">
        <v>2705</v>
      </c>
      <c r="H1055" s="152" t="s">
        <v>2705</v>
      </c>
      <c r="I1055" s="152" t="s">
        <v>2705</v>
      </c>
      <c r="J1055" s="152" t="s">
        <v>2675</v>
      </c>
      <c r="K1055" s="152" t="s">
        <v>2705</v>
      </c>
      <c r="L1055" s="152" t="s">
        <v>2398</v>
      </c>
      <c r="M1055" s="152" t="s">
        <v>2705</v>
      </c>
      <c r="N1055" s="152" t="s">
        <v>2705</v>
      </c>
      <c r="O1055" s="152" t="s">
        <v>2398</v>
      </c>
      <c r="P1055" s="152" t="s">
        <v>2398</v>
      </c>
      <c r="Q1055" s="152" t="s">
        <v>2675</v>
      </c>
      <c r="R1055" s="152" t="s">
        <v>2705</v>
      </c>
      <c r="S1055" s="152" t="s">
        <v>2398</v>
      </c>
      <c r="T1055" s="152" t="s">
        <v>2705</v>
      </c>
      <c r="U1055" s="152" t="s">
        <v>1435</v>
      </c>
      <c r="V1055" s="142" cm="1">
        <f t="array" ref="V1055">IF(A1055&lt;&gt;"",SUM(--(B1055:U1056 = "X")*$U$3,--(B1055:U1056 ="A")*$Q$3,--(B1055:U1056 ="B")*$R$3,--(B1055:U1056 ="C")*$S$3),"")</f>
        <v>12.5</v>
      </c>
      <c r="AF1055" s="142" t="s">
        <v>7844</v>
      </c>
      <c r="AG1055" s="142" t="s">
        <v>1435</v>
      </c>
      <c r="AH1055" s="142" t="s">
        <v>2705</v>
      </c>
      <c r="AI1055" s="142" t="s">
        <v>2705</v>
      </c>
      <c r="AJ1055" s="142" t="s">
        <v>2398</v>
      </c>
      <c r="AK1055" s="142" t="s">
        <v>1435</v>
      </c>
      <c r="AL1055" s="142" t="s">
        <v>2705</v>
      </c>
      <c r="AM1055" s="142" t="s">
        <v>2705</v>
      </c>
      <c r="AN1055" s="142" t="s">
        <v>2705</v>
      </c>
      <c r="AO1055" s="142" t="s">
        <v>2675</v>
      </c>
      <c r="AP1055" s="142" t="s">
        <v>2705</v>
      </c>
      <c r="AQ1055" s="142" t="s">
        <v>2398</v>
      </c>
      <c r="AR1055" s="142" t="s">
        <v>2705</v>
      </c>
      <c r="AS1055" s="142" t="s">
        <v>2705</v>
      </c>
      <c r="AT1055" s="142" t="s">
        <v>2398</v>
      </c>
      <c r="AU1055" s="142" t="s">
        <v>2398</v>
      </c>
      <c r="AV1055" s="142" t="s">
        <v>2675</v>
      </c>
      <c r="AW1055" s="142" t="s">
        <v>2705</v>
      </c>
      <c r="AX1055" s="142" t="s">
        <v>2398</v>
      </c>
      <c r="AY1055" s="142" t="s">
        <v>2705</v>
      </c>
      <c r="AZ1055" s="142" t="s">
        <v>1435</v>
      </c>
    </row>
    <row r="1056" spans="1:52" s="142" customFormat="1" ht="12.75" x14ac:dyDescent="0.2">
      <c r="A1056" s="151"/>
      <c r="B1056" s="152" t="s">
        <v>2397</v>
      </c>
      <c r="C1056" s="152" t="s">
        <v>2705</v>
      </c>
      <c r="D1056" s="152" t="s">
        <v>2705</v>
      </c>
      <c r="E1056" s="152" t="s">
        <v>2675</v>
      </c>
      <c r="F1056" s="152" t="s">
        <v>2675</v>
      </c>
      <c r="G1056" s="152" t="s">
        <v>2398</v>
      </c>
      <c r="H1056" s="152" t="s">
        <v>2675</v>
      </c>
      <c r="I1056" s="152" t="s">
        <v>2705</v>
      </c>
      <c r="J1056" s="152" t="s">
        <v>2397</v>
      </c>
      <c r="K1056" s="152" t="s">
        <v>1435</v>
      </c>
      <c r="L1056" s="152" t="s">
        <v>2398</v>
      </c>
      <c r="M1056" s="152" t="s">
        <v>2675</v>
      </c>
      <c r="N1056" s="152" t="s">
        <v>2705</v>
      </c>
      <c r="O1056" s="152" t="s">
        <v>1435</v>
      </c>
      <c r="P1056" s="152" t="s">
        <v>2705</v>
      </c>
      <c r="Q1056" s="152" t="s">
        <v>2705</v>
      </c>
      <c r="R1056" s="152" t="s">
        <v>2398</v>
      </c>
      <c r="S1056" s="152" t="s">
        <v>2398</v>
      </c>
      <c r="T1056" s="152" t="s">
        <v>2705</v>
      </c>
      <c r="U1056" s="152" t="s">
        <v>2705</v>
      </c>
      <c r="V1056" s="142" t="str" cm="1">
        <f t="array" ref="V1056">IF(A1056&lt;&gt;"",SUM(--(B1056:U1057 = "X")*$U$3,--(B1056:U1057 ="A")*$Q$3,--(B1056:U1057 ="B")*$R$3,--(B1056:U1057 ="C")*$S$3),"")</f>
        <v/>
      </c>
      <c r="AG1056" s="142" t="s">
        <v>2397</v>
      </c>
      <c r="AH1056" s="142" t="s">
        <v>2705</v>
      </c>
      <c r="AI1056" s="142" t="s">
        <v>2705</v>
      </c>
      <c r="AJ1056" s="142" t="s">
        <v>2675</v>
      </c>
      <c r="AK1056" s="142" t="s">
        <v>2675</v>
      </c>
      <c r="AL1056" s="142" t="s">
        <v>2398</v>
      </c>
      <c r="AM1056" s="142" t="s">
        <v>2675</v>
      </c>
      <c r="AN1056" s="142" t="s">
        <v>2705</v>
      </c>
      <c r="AO1056" s="142" t="s">
        <v>2397</v>
      </c>
      <c r="AP1056" s="142" t="s">
        <v>1435</v>
      </c>
      <c r="AQ1056" s="142" t="s">
        <v>2398</v>
      </c>
      <c r="AR1056" s="142" t="s">
        <v>2675</v>
      </c>
      <c r="AS1056" s="142" t="s">
        <v>2705</v>
      </c>
      <c r="AT1056" s="142" t="s">
        <v>1435</v>
      </c>
      <c r="AU1056" s="142" t="s">
        <v>2705</v>
      </c>
      <c r="AV1056" s="142" t="s">
        <v>2705</v>
      </c>
      <c r="AW1056" s="142" t="s">
        <v>2398</v>
      </c>
      <c r="AX1056" s="142" t="s">
        <v>2398</v>
      </c>
      <c r="AY1056" s="142" t="s">
        <v>2705</v>
      </c>
      <c r="AZ1056" s="142" t="s">
        <v>2705</v>
      </c>
    </row>
    <row r="1057" spans="1:52" s="142" customFormat="1" ht="12.75" x14ac:dyDescent="0.2">
      <c r="A1057" s="151" t="s">
        <v>7845</v>
      </c>
      <c r="B1057" s="152" t="s">
        <v>2705</v>
      </c>
      <c r="C1057" s="152" t="s">
        <v>2705</v>
      </c>
      <c r="D1057" s="152" t="s">
        <v>2705</v>
      </c>
      <c r="E1057" s="152" t="s">
        <v>2398</v>
      </c>
      <c r="F1057" s="152" t="s">
        <v>2705</v>
      </c>
      <c r="G1057" s="152" t="s">
        <v>1435</v>
      </c>
      <c r="H1057" s="152" t="s">
        <v>2705</v>
      </c>
      <c r="I1057" s="152" t="s">
        <v>2705</v>
      </c>
      <c r="J1057" s="152" t="s">
        <v>2675</v>
      </c>
      <c r="K1057" s="152" t="s">
        <v>2398</v>
      </c>
      <c r="L1057" s="152" t="s">
        <v>2705</v>
      </c>
      <c r="M1057" s="152" t="s">
        <v>2705</v>
      </c>
      <c r="N1057" s="152" t="s">
        <v>2398</v>
      </c>
      <c r="O1057" s="152" t="s">
        <v>2398</v>
      </c>
      <c r="P1057" s="152" t="s">
        <v>2398</v>
      </c>
      <c r="Q1057" s="152" t="s">
        <v>2398</v>
      </c>
      <c r="R1057" s="152" t="s">
        <v>2705</v>
      </c>
      <c r="S1057" s="152" t="s">
        <v>2705</v>
      </c>
      <c r="T1057" s="152" t="s">
        <v>2398</v>
      </c>
      <c r="U1057" s="152" t="s">
        <v>2705</v>
      </c>
      <c r="V1057" s="142" cm="1">
        <f t="array" ref="V1057">IF(A1057&lt;&gt;"",SUM(--(B1057:U1058 = "X")*$U$3,--(B1057:U1058 ="A")*$Q$3,--(B1057:U1058 ="B")*$R$3,--(B1057:U1058 ="C")*$S$3),"")</f>
        <v>18.5</v>
      </c>
      <c r="AF1057" s="142" t="s">
        <v>7845</v>
      </c>
      <c r="AG1057" s="142" t="s">
        <v>2705</v>
      </c>
      <c r="AH1057" s="142" t="s">
        <v>2705</v>
      </c>
      <c r="AI1057" s="142" t="s">
        <v>2705</v>
      </c>
      <c r="AJ1057" s="142" t="s">
        <v>2398</v>
      </c>
      <c r="AK1057" s="142" t="s">
        <v>2705</v>
      </c>
      <c r="AL1057" s="142" t="s">
        <v>1435</v>
      </c>
      <c r="AM1057" s="142" t="s">
        <v>2705</v>
      </c>
      <c r="AN1057" s="142" t="s">
        <v>2705</v>
      </c>
      <c r="AO1057" s="142" t="s">
        <v>2675</v>
      </c>
      <c r="AP1057" s="142" t="s">
        <v>2398</v>
      </c>
      <c r="AQ1057" s="142" t="s">
        <v>2705</v>
      </c>
      <c r="AR1057" s="142" t="s">
        <v>2705</v>
      </c>
      <c r="AS1057" s="142" t="s">
        <v>2398</v>
      </c>
      <c r="AT1057" s="142" t="s">
        <v>2398</v>
      </c>
      <c r="AU1057" s="142" t="s">
        <v>2398</v>
      </c>
      <c r="AV1057" s="142" t="s">
        <v>2398</v>
      </c>
      <c r="AW1057" s="142" t="s">
        <v>2705</v>
      </c>
      <c r="AX1057" s="142" t="s">
        <v>2705</v>
      </c>
      <c r="AY1057" s="142" t="s">
        <v>2398</v>
      </c>
      <c r="AZ1057" s="142" t="s">
        <v>2705</v>
      </c>
    </row>
    <row r="1058" spans="1:52" s="142" customFormat="1" ht="12.75" x14ac:dyDescent="0.2">
      <c r="A1058" s="151"/>
      <c r="B1058" s="152" t="s">
        <v>2705</v>
      </c>
      <c r="C1058" s="152" t="s">
        <v>2398</v>
      </c>
      <c r="D1058" s="152" t="s">
        <v>2705</v>
      </c>
      <c r="E1058" s="152" t="s">
        <v>2398</v>
      </c>
      <c r="F1058" s="152" t="s">
        <v>2705</v>
      </c>
      <c r="G1058" s="152" t="s">
        <v>2398</v>
      </c>
      <c r="H1058" s="152" t="s">
        <v>2675</v>
      </c>
      <c r="I1058" s="152" t="s">
        <v>2705</v>
      </c>
      <c r="J1058" s="152" t="s">
        <v>2398</v>
      </c>
      <c r="K1058" s="152" t="s">
        <v>2705</v>
      </c>
      <c r="L1058" s="152" t="s">
        <v>2705</v>
      </c>
      <c r="M1058" s="152" t="s">
        <v>2398</v>
      </c>
      <c r="N1058" s="152" t="s">
        <v>2398</v>
      </c>
      <c r="O1058" s="152" t="s">
        <v>2705</v>
      </c>
      <c r="P1058" s="152" t="s">
        <v>2398</v>
      </c>
      <c r="Q1058" s="152" t="s">
        <v>2398</v>
      </c>
      <c r="R1058" s="152" t="s">
        <v>2398</v>
      </c>
      <c r="S1058" s="152" t="s">
        <v>2705</v>
      </c>
      <c r="T1058" s="152" t="s">
        <v>2398</v>
      </c>
      <c r="U1058" s="152" t="s">
        <v>2705</v>
      </c>
      <c r="V1058" s="142" t="str" cm="1">
        <f t="array" ref="V1058">IF(A1058&lt;&gt;"",SUM(--(B1058:U1059 = "X")*$U$3,--(B1058:U1059 ="A")*$Q$3,--(B1058:U1059 ="B")*$R$3,--(B1058:U1059 ="C")*$S$3),"")</f>
        <v/>
      </c>
      <c r="AG1058" s="142" t="s">
        <v>2705</v>
      </c>
      <c r="AH1058" s="142" t="s">
        <v>2398</v>
      </c>
      <c r="AI1058" s="142" t="s">
        <v>2705</v>
      </c>
      <c r="AJ1058" s="142" t="s">
        <v>2398</v>
      </c>
      <c r="AK1058" s="142" t="s">
        <v>2705</v>
      </c>
      <c r="AL1058" s="142" t="s">
        <v>2398</v>
      </c>
      <c r="AM1058" s="142" t="s">
        <v>2675</v>
      </c>
      <c r="AN1058" s="142" t="s">
        <v>2705</v>
      </c>
      <c r="AO1058" s="142" t="s">
        <v>2398</v>
      </c>
      <c r="AP1058" s="142" t="s">
        <v>2705</v>
      </c>
      <c r="AQ1058" s="142" t="s">
        <v>2705</v>
      </c>
      <c r="AR1058" s="142" t="s">
        <v>2398</v>
      </c>
      <c r="AS1058" s="142" t="s">
        <v>2398</v>
      </c>
      <c r="AT1058" s="142" t="s">
        <v>2705</v>
      </c>
      <c r="AU1058" s="142" t="s">
        <v>2398</v>
      </c>
      <c r="AV1058" s="142" t="s">
        <v>2398</v>
      </c>
      <c r="AW1058" s="142" t="s">
        <v>2398</v>
      </c>
      <c r="AX1058" s="142" t="s">
        <v>2705</v>
      </c>
      <c r="AY1058" s="142" t="s">
        <v>2398</v>
      </c>
      <c r="AZ1058" s="142" t="s">
        <v>2705</v>
      </c>
    </row>
    <row r="1059" spans="1:52" s="142" customFormat="1" ht="12.75" x14ac:dyDescent="0.2">
      <c r="A1059" s="151" t="s">
        <v>7846</v>
      </c>
      <c r="B1059" s="152" t="s">
        <v>2397</v>
      </c>
      <c r="C1059" s="152" t="s">
        <v>2675</v>
      </c>
      <c r="D1059" s="152" t="s">
        <v>1435</v>
      </c>
      <c r="E1059" s="152" t="s">
        <v>1435</v>
      </c>
      <c r="F1059" s="152" t="s">
        <v>2397</v>
      </c>
      <c r="G1059" s="152" t="s">
        <v>1435</v>
      </c>
      <c r="H1059" s="152" t="s">
        <v>2705</v>
      </c>
      <c r="I1059" s="152" t="s">
        <v>2397</v>
      </c>
      <c r="J1059" s="152" t="s">
        <v>2675</v>
      </c>
      <c r="K1059" s="152" t="s">
        <v>2705</v>
      </c>
      <c r="L1059" s="152" t="s">
        <v>2397</v>
      </c>
      <c r="M1059" s="152" t="s">
        <v>2705</v>
      </c>
      <c r="N1059" s="152" t="s">
        <v>2705</v>
      </c>
      <c r="O1059" s="152" t="s">
        <v>2675</v>
      </c>
      <c r="P1059" s="152" t="s">
        <v>2705</v>
      </c>
      <c r="Q1059" s="152" t="s">
        <v>1435</v>
      </c>
      <c r="R1059" s="152" t="s">
        <v>2675</v>
      </c>
      <c r="S1059" s="152" t="s">
        <v>2705</v>
      </c>
      <c r="T1059" s="152" t="s">
        <v>2705</v>
      </c>
      <c r="U1059" s="152" t="s">
        <v>2675</v>
      </c>
      <c r="V1059" s="142" cm="1">
        <f t="array" ref="V1059">IF(A1059&lt;&gt;"",SUM(--(B1059:U1060 = "X")*$U$3,--(B1059:U1060 ="A")*$Q$3,--(B1059:U1060 ="B")*$R$3,--(B1059:U1060 ="C")*$S$3),"")</f>
        <v>8.5</v>
      </c>
      <c r="AF1059" s="142" t="s">
        <v>7846</v>
      </c>
      <c r="AG1059" s="142" t="s">
        <v>2397</v>
      </c>
      <c r="AH1059" s="142" t="s">
        <v>2675</v>
      </c>
      <c r="AI1059" s="142" t="s">
        <v>1435</v>
      </c>
      <c r="AJ1059" s="142" t="s">
        <v>1435</v>
      </c>
      <c r="AK1059" s="142" t="s">
        <v>2397</v>
      </c>
      <c r="AL1059" s="142" t="s">
        <v>1435</v>
      </c>
      <c r="AM1059" s="142" t="s">
        <v>2705</v>
      </c>
      <c r="AN1059" s="142" t="s">
        <v>2397</v>
      </c>
      <c r="AO1059" s="142" t="s">
        <v>2675</v>
      </c>
      <c r="AP1059" s="142" t="s">
        <v>2705</v>
      </c>
      <c r="AQ1059" s="142" t="s">
        <v>2397</v>
      </c>
      <c r="AR1059" s="142" t="s">
        <v>2705</v>
      </c>
      <c r="AS1059" s="142" t="s">
        <v>2705</v>
      </c>
      <c r="AT1059" s="142" t="s">
        <v>2675</v>
      </c>
      <c r="AU1059" s="142" t="s">
        <v>2705</v>
      </c>
      <c r="AV1059" s="142" t="s">
        <v>1435</v>
      </c>
      <c r="AW1059" s="142" t="s">
        <v>2675</v>
      </c>
      <c r="AX1059" s="142" t="s">
        <v>2705</v>
      </c>
      <c r="AY1059" s="142" t="s">
        <v>2705</v>
      </c>
      <c r="AZ1059" s="142" t="s">
        <v>2675</v>
      </c>
    </row>
    <row r="1060" spans="1:52" s="142" customFormat="1" ht="12.75" x14ac:dyDescent="0.2">
      <c r="A1060" s="151"/>
      <c r="B1060" s="152" t="s">
        <v>2705</v>
      </c>
      <c r="C1060" s="152" t="s">
        <v>2675</v>
      </c>
      <c r="D1060" s="152" t="s">
        <v>2397</v>
      </c>
      <c r="E1060" s="152" t="s">
        <v>2705</v>
      </c>
      <c r="F1060" s="152" t="s">
        <v>2705</v>
      </c>
      <c r="G1060" s="152" t="s">
        <v>2705</v>
      </c>
      <c r="H1060" s="152" t="s">
        <v>2398</v>
      </c>
      <c r="I1060" s="152" t="s">
        <v>2705</v>
      </c>
      <c r="J1060" s="152" t="s">
        <v>2705</v>
      </c>
      <c r="K1060" s="152" t="s">
        <v>2675</v>
      </c>
      <c r="L1060" s="152" t="s">
        <v>2705</v>
      </c>
      <c r="M1060" s="152" t="s">
        <v>1435</v>
      </c>
      <c r="N1060" s="152" t="s">
        <v>1435</v>
      </c>
      <c r="O1060" s="152" t="s">
        <v>2675</v>
      </c>
      <c r="P1060" s="152" t="s">
        <v>2705</v>
      </c>
      <c r="Q1060" s="152" t="s">
        <v>2675</v>
      </c>
      <c r="R1060" s="152" t="s">
        <v>2705</v>
      </c>
      <c r="S1060" s="152" t="s">
        <v>2675</v>
      </c>
      <c r="T1060" s="152" t="s">
        <v>2705</v>
      </c>
      <c r="U1060" s="152" t="s">
        <v>2675</v>
      </c>
      <c r="V1060" s="142" t="str" cm="1">
        <f t="array" ref="V1060">IF(A1060&lt;&gt;"",SUM(--(B1060:U1061 = "X")*$U$3,--(B1060:U1061 ="A")*$Q$3,--(B1060:U1061 ="B")*$R$3,--(B1060:U1061 ="C")*$S$3),"")</f>
        <v/>
      </c>
      <c r="AG1060" s="142" t="s">
        <v>2705</v>
      </c>
      <c r="AH1060" s="142" t="s">
        <v>2675</v>
      </c>
      <c r="AI1060" s="142" t="s">
        <v>2397</v>
      </c>
      <c r="AJ1060" s="142" t="s">
        <v>2705</v>
      </c>
      <c r="AK1060" s="142" t="s">
        <v>2705</v>
      </c>
      <c r="AL1060" s="142" t="s">
        <v>2705</v>
      </c>
      <c r="AM1060" s="142" t="s">
        <v>2398</v>
      </c>
      <c r="AN1060" s="142" t="s">
        <v>2705</v>
      </c>
      <c r="AO1060" s="142" t="s">
        <v>2705</v>
      </c>
      <c r="AP1060" s="142" t="s">
        <v>2675</v>
      </c>
      <c r="AQ1060" s="142" t="s">
        <v>2705</v>
      </c>
      <c r="AR1060" s="142" t="s">
        <v>1435</v>
      </c>
      <c r="AS1060" s="142" t="s">
        <v>1435</v>
      </c>
      <c r="AT1060" s="142" t="s">
        <v>2675</v>
      </c>
      <c r="AU1060" s="142" t="s">
        <v>2705</v>
      </c>
      <c r="AV1060" s="142" t="s">
        <v>2675</v>
      </c>
      <c r="AW1060" s="142" t="s">
        <v>2705</v>
      </c>
      <c r="AX1060" s="142" t="s">
        <v>2675</v>
      </c>
      <c r="AY1060" s="142" t="s">
        <v>2705</v>
      </c>
      <c r="AZ1060" s="142" t="s">
        <v>2675</v>
      </c>
    </row>
    <row r="1061" spans="1:52" s="142" customFormat="1" ht="12.75" x14ac:dyDescent="0.2">
      <c r="A1061" s="151" t="s">
        <v>7847</v>
      </c>
      <c r="B1061" s="152" t="s">
        <v>1435</v>
      </c>
      <c r="C1061" s="152" t="s">
        <v>2705</v>
      </c>
      <c r="D1061" s="152" t="s">
        <v>1435</v>
      </c>
      <c r="E1061" s="152" t="s">
        <v>2705</v>
      </c>
      <c r="F1061" s="152" t="s">
        <v>2397</v>
      </c>
      <c r="G1061" s="152" t="s">
        <v>2398</v>
      </c>
      <c r="H1061" s="152" t="s">
        <v>1435</v>
      </c>
      <c r="I1061" s="152" t="s">
        <v>2398</v>
      </c>
      <c r="J1061" s="152" t="s">
        <v>2705</v>
      </c>
      <c r="K1061" s="152" t="s">
        <v>2705</v>
      </c>
      <c r="L1061" s="152" t="s">
        <v>2705</v>
      </c>
      <c r="M1061" s="152" t="s">
        <v>1435</v>
      </c>
      <c r="N1061" s="152" t="s">
        <v>2705</v>
      </c>
      <c r="O1061" s="152" t="s">
        <v>2705</v>
      </c>
      <c r="P1061" s="152" t="s">
        <v>2397</v>
      </c>
      <c r="Q1061" s="152" t="s">
        <v>1435</v>
      </c>
      <c r="R1061" s="152" t="s">
        <v>1435</v>
      </c>
      <c r="S1061" s="152" t="s">
        <v>2705</v>
      </c>
      <c r="T1061" s="152" t="s">
        <v>2398</v>
      </c>
      <c r="U1061" s="152" t="s">
        <v>2705</v>
      </c>
      <c r="V1061" s="142" cm="1">
        <f t="array" ref="V1061">IF(A1061&lt;&gt;"",SUM(--(B1061:U1062 = "X")*$U$3,--(B1061:U1062 ="A")*$Q$3,--(B1061:U1062 ="B")*$R$3,--(B1061:U1062 ="C")*$S$3),"")</f>
        <v>15.5</v>
      </c>
      <c r="AF1061" s="142" t="s">
        <v>7847</v>
      </c>
      <c r="AG1061" s="142" t="s">
        <v>1435</v>
      </c>
      <c r="AH1061" s="142" t="s">
        <v>2705</v>
      </c>
      <c r="AI1061" s="142" t="s">
        <v>1435</v>
      </c>
      <c r="AJ1061" s="142" t="s">
        <v>2705</v>
      </c>
      <c r="AK1061" s="142" t="s">
        <v>2397</v>
      </c>
      <c r="AL1061" s="142" t="s">
        <v>2398</v>
      </c>
      <c r="AM1061" s="142" t="s">
        <v>1435</v>
      </c>
      <c r="AN1061" s="142" t="s">
        <v>2398</v>
      </c>
      <c r="AO1061" s="142" t="s">
        <v>2705</v>
      </c>
      <c r="AP1061" s="142" t="s">
        <v>2705</v>
      </c>
      <c r="AQ1061" s="142" t="s">
        <v>2705</v>
      </c>
      <c r="AR1061" s="142" t="s">
        <v>1435</v>
      </c>
      <c r="AS1061" s="142" t="s">
        <v>2705</v>
      </c>
      <c r="AT1061" s="142" t="s">
        <v>2705</v>
      </c>
      <c r="AU1061" s="142" t="s">
        <v>2397</v>
      </c>
      <c r="AV1061" s="142" t="s">
        <v>1435</v>
      </c>
      <c r="AW1061" s="142" t="s">
        <v>1435</v>
      </c>
      <c r="AX1061" s="142" t="s">
        <v>2705</v>
      </c>
      <c r="AY1061" s="142" t="s">
        <v>2398</v>
      </c>
      <c r="AZ1061" s="142" t="s">
        <v>2705</v>
      </c>
    </row>
    <row r="1062" spans="1:52" s="142" customFormat="1" ht="12.75" x14ac:dyDescent="0.2">
      <c r="A1062" s="151"/>
      <c r="B1062" s="152" t="s">
        <v>2705</v>
      </c>
      <c r="C1062" s="152" t="s">
        <v>2705</v>
      </c>
      <c r="D1062" s="152" t="s">
        <v>2398</v>
      </c>
      <c r="E1062" s="152" t="s">
        <v>2705</v>
      </c>
      <c r="F1062" s="152" t="s">
        <v>2705</v>
      </c>
      <c r="G1062" s="152" t="s">
        <v>2705</v>
      </c>
      <c r="H1062" s="152" t="s">
        <v>2705</v>
      </c>
      <c r="I1062" s="152" t="s">
        <v>2675</v>
      </c>
      <c r="J1062" s="152" t="s">
        <v>2675</v>
      </c>
      <c r="K1062" s="152" t="s">
        <v>2398</v>
      </c>
      <c r="L1062" s="152" t="s">
        <v>2675</v>
      </c>
      <c r="M1062" s="152" t="s">
        <v>2705</v>
      </c>
      <c r="N1062" s="152" t="s">
        <v>2705</v>
      </c>
      <c r="O1062" s="152" t="s">
        <v>1435</v>
      </c>
      <c r="P1062" s="152" t="s">
        <v>2705</v>
      </c>
      <c r="Q1062" s="152" t="s">
        <v>2705</v>
      </c>
      <c r="R1062" s="152" t="s">
        <v>1435</v>
      </c>
      <c r="S1062" s="152" t="s">
        <v>2705</v>
      </c>
      <c r="T1062" s="152" t="s">
        <v>2705</v>
      </c>
      <c r="U1062" s="152" t="s">
        <v>2398</v>
      </c>
      <c r="V1062" s="142" t="str" cm="1">
        <f t="array" ref="V1062">IF(A1062&lt;&gt;"",SUM(--(B1062:U1063 = "X")*$U$3,--(B1062:U1063 ="A")*$Q$3,--(B1062:U1063 ="B")*$R$3,--(B1062:U1063 ="C")*$S$3),"")</f>
        <v/>
      </c>
      <c r="AG1062" s="142" t="s">
        <v>2705</v>
      </c>
      <c r="AH1062" s="142" t="s">
        <v>2705</v>
      </c>
      <c r="AI1062" s="142" t="s">
        <v>2398</v>
      </c>
      <c r="AJ1062" s="142" t="s">
        <v>2705</v>
      </c>
      <c r="AK1062" s="142" t="s">
        <v>2705</v>
      </c>
      <c r="AL1062" s="142" t="s">
        <v>2705</v>
      </c>
      <c r="AM1062" s="142" t="s">
        <v>2705</v>
      </c>
      <c r="AN1062" s="142" t="s">
        <v>2675</v>
      </c>
      <c r="AO1062" s="142" t="s">
        <v>2675</v>
      </c>
      <c r="AP1062" s="142" t="s">
        <v>2398</v>
      </c>
      <c r="AQ1062" s="142" t="s">
        <v>2675</v>
      </c>
      <c r="AR1062" s="142" t="s">
        <v>2705</v>
      </c>
      <c r="AS1062" s="142" t="s">
        <v>2705</v>
      </c>
      <c r="AT1062" s="142" t="s">
        <v>1435</v>
      </c>
      <c r="AU1062" s="142" t="s">
        <v>2705</v>
      </c>
      <c r="AV1062" s="142" t="s">
        <v>2705</v>
      </c>
      <c r="AW1062" s="142" t="s">
        <v>1435</v>
      </c>
      <c r="AX1062" s="142" t="s">
        <v>2705</v>
      </c>
      <c r="AY1062" s="142" t="s">
        <v>2705</v>
      </c>
      <c r="AZ1062" s="142" t="s">
        <v>2398</v>
      </c>
    </row>
    <row r="1063" spans="1:52" s="142" customFormat="1" ht="12.75" x14ac:dyDescent="0.2">
      <c r="A1063" s="151" t="s">
        <v>7848</v>
      </c>
      <c r="B1063" s="152" t="s">
        <v>2398</v>
      </c>
      <c r="C1063" s="152" t="s">
        <v>2398</v>
      </c>
      <c r="D1063" s="152" t="s">
        <v>2675</v>
      </c>
      <c r="E1063" s="152" t="s">
        <v>2705</v>
      </c>
      <c r="F1063" s="152" t="s">
        <v>2705</v>
      </c>
      <c r="G1063" s="152" t="s">
        <v>1435</v>
      </c>
      <c r="H1063" s="152" t="s">
        <v>2398</v>
      </c>
      <c r="I1063" s="152" t="s">
        <v>2398</v>
      </c>
      <c r="J1063" s="152" t="s">
        <v>2398</v>
      </c>
      <c r="K1063" s="152" t="s">
        <v>2675</v>
      </c>
      <c r="L1063" s="152" t="s">
        <v>2675</v>
      </c>
      <c r="M1063" s="152" t="s">
        <v>2398</v>
      </c>
      <c r="N1063" s="152" t="s">
        <v>2705</v>
      </c>
      <c r="O1063" s="152" t="s">
        <v>2398</v>
      </c>
      <c r="P1063" s="152" t="s">
        <v>2705</v>
      </c>
      <c r="Q1063" s="152" t="s">
        <v>2705</v>
      </c>
      <c r="R1063" s="152" t="s">
        <v>2398</v>
      </c>
      <c r="S1063" s="152" t="s">
        <v>2705</v>
      </c>
      <c r="T1063" s="152" t="s">
        <v>2398</v>
      </c>
      <c r="U1063" s="152" t="s">
        <v>2705</v>
      </c>
      <c r="V1063" s="142" cm="1">
        <f t="array" ref="V1063">IF(A1063&lt;&gt;"",SUM(--(B1063:U1064 = "X")*$U$3,--(B1063:U1064 ="A")*$Q$3,--(B1063:U1064 ="B")*$R$3,--(B1063:U1064 ="C")*$S$3),"")</f>
        <v>11</v>
      </c>
      <c r="AF1063" s="142" t="s">
        <v>7848</v>
      </c>
      <c r="AG1063" s="142" t="s">
        <v>2398</v>
      </c>
      <c r="AH1063" s="142" t="s">
        <v>2398</v>
      </c>
      <c r="AI1063" s="142" t="s">
        <v>2675</v>
      </c>
      <c r="AJ1063" s="142" t="s">
        <v>2705</v>
      </c>
      <c r="AK1063" s="142" t="s">
        <v>2705</v>
      </c>
      <c r="AL1063" s="142" t="s">
        <v>1435</v>
      </c>
      <c r="AM1063" s="142" t="s">
        <v>2398</v>
      </c>
      <c r="AN1063" s="142" t="s">
        <v>2398</v>
      </c>
      <c r="AO1063" s="142" t="s">
        <v>2398</v>
      </c>
      <c r="AP1063" s="142" t="s">
        <v>2675</v>
      </c>
      <c r="AQ1063" s="142" t="s">
        <v>2675</v>
      </c>
      <c r="AR1063" s="142" t="s">
        <v>2398</v>
      </c>
      <c r="AS1063" s="142" t="s">
        <v>2705</v>
      </c>
      <c r="AT1063" s="142" t="s">
        <v>2398</v>
      </c>
      <c r="AU1063" s="142" t="s">
        <v>2705</v>
      </c>
      <c r="AV1063" s="142" t="s">
        <v>2705</v>
      </c>
      <c r="AW1063" s="142" t="s">
        <v>2398</v>
      </c>
      <c r="AX1063" s="142" t="s">
        <v>2705</v>
      </c>
      <c r="AY1063" s="142" t="s">
        <v>2398</v>
      </c>
      <c r="AZ1063" s="142" t="s">
        <v>2705</v>
      </c>
    </row>
    <row r="1064" spans="1:52" s="142" customFormat="1" ht="12.75" x14ac:dyDescent="0.2">
      <c r="A1064" s="151"/>
      <c r="B1064" s="152" t="s">
        <v>2398</v>
      </c>
      <c r="C1064" s="152" t="s">
        <v>2675</v>
      </c>
      <c r="D1064" s="152" t="s">
        <v>1435</v>
      </c>
      <c r="E1064" s="152" t="s">
        <v>1435</v>
      </c>
      <c r="F1064" s="152" t="s">
        <v>2398</v>
      </c>
      <c r="G1064" s="152" t="s">
        <v>2705</v>
      </c>
      <c r="H1064" s="152" t="s">
        <v>2705</v>
      </c>
      <c r="I1064" s="152" t="s">
        <v>2705</v>
      </c>
      <c r="J1064" s="152" t="s">
        <v>2398</v>
      </c>
      <c r="K1064" s="152" t="s">
        <v>2705</v>
      </c>
      <c r="L1064" s="152" t="s">
        <v>2675</v>
      </c>
      <c r="M1064" s="152" t="s">
        <v>2705</v>
      </c>
      <c r="N1064" s="152" t="s">
        <v>2675</v>
      </c>
      <c r="O1064" s="152" t="s">
        <v>2398</v>
      </c>
      <c r="P1064" s="152" t="s">
        <v>2705</v>
      </c>
      <c r="Q1064" s="152" t="s">
        <v>2705</v>
      </c>
      <c r="R1064" s="152" t="s">
        <v>1435</v>
      </c>
      <c r="S1064" s="152" t="s">
        <v>2705</v>
      </c>
      <c r="T1064" s="152" t="s">
        <v>2705</v>
      </c>
      <c r="U1064" s="152" t="s">
        <v>2398</v>
      </c>
      <c r="V1064" s="142" t="str" cm="1">
        <f t="array" ref="V1064">IF(A1064&lt;&gt;"",SUM(--(B1064:U1065 = "X")*$U$3,--(B1064:U1065 ="A")*$Q$3,--(B1064:U1065 ="B")*$R$3,--(B1064:U1065 ="C")*$S$3),"")</f>
        <v/>
      </c>
      <c r="AG1064" s="142" t="s">
        <v>2398</v>
      </c>
      <c r="AH1064" s="142" t="s">
        <v>2675</v>
      </c>
      <c r="AI1064" s="142" t="s">
        <v>1435</v>
      </c>
      <c r="AJ1064" s="142" t="s">
        <v>1435</v>
      </c>
      <c r="AK1064" s="142" t="s">
        <v>2398</v>
      </c>
      <c r="AL1064" s="142" t="s">
        <v>2705</v>
      </c>
      <c r="AM1064" s="142" t="s">
        <v>2705</v>
      </c>
      <c r="AN1064" s="142" t="s">
        <v>2705</v>
      </c>
      <c r="AO1064" s="142" t="s">
        <v>2398</v>
      </c>
      <c r="AP1064" s="142" t="s">
        <v>2705</v>
      </c>
      <c r="AQ1064" s="142" t="s">
        <v>2675</v>
      </c>
      <c r="AR1064" s="142" t="s">
        <v>2705</v>
      </c>
      <c r="AS1064" s="142" t="s">
        <v>2675</v>
      </c>
      <c r="AT1064" s="142" t="s">
        <v>2398</v>
      </c>
      <c r="AU1064" s="142" t="s">
        <v>2705</v>
      </c>
      <c r="AV1064" s="142" t="s">
        <v>2705</v>
      </c>
      <c r="AW1064" s="142" t="s">
        <v>1435</v>
      </c>
      <c r="AX1064" s="142" t="s">
        <v>2705</v>
      </c>
      <c r="AY1064" s="142" t="s">
        <v>2705</v>
      </c>
      <c r="AZ1064" s="142" t="s">
        <v>2398</v>
      </c>
    </row>
    <row r="1065" spans="1:52" s="142" customFormat="1" ht="12.75" x14ac:dyDescent="0.2">
      <c r="A1065" s="151" t="s">
        <v>7849</v>
      </c>
      <c r="B1065" s="152" t="s">
        <v>2705</v>
      </c>
      <c r="C1065" s="152" t="s">
        <v>2705</v>
      </c>
      <c r="D1065" s="152" t="s">
        <v>2397</v>
      </c>
      <c r="E1065" s="152" t="s">
        <v>2705</v>
      </c>
      <c r="F1065" s="152" t="s">
        <v>2398</v>
      </c>
      <c r="G1065" s="152" t="s">
        <v>2705</v>
      </c>
      <c r="H1065" s="152" t="s">
        <v>1435</v>
      </c>
      <c r="I1065" s="152" t="s">
        <v>2675</v>
      </c>
      <c r="J1065" s="152" t="s">
        <v>1435</v>
      </c>
      <c r="K1065" s="152" t="s">
        <v>2705</v>
      </c>
      <c r="L1065" s="152" t="s">
        <v>1435</v>
      </c>
      <c r="M1065" s="152" t="s">
        <v>2705</v>
      </c>
      <c r="N1065" s="152" t="s">
        <v>2397</v>
      </c>
      <c r="O1065" s="152" t="s">
        <v>2398</v>
      </c>
      <c r="P1065" s="152" t="s">
        <v>2705</v>
      </c>
      <c r="Q1065" s="152" t="s">
        <v>2705</v>
      </c>
      <c r="R1065" s="152" t="s">
        <v>1435</v>
      </c>
      <c r="S1065" s="152" t="s">
        <v>2705</v>
      </c>
      <c r="T1065" s="152" t="s">
        <v>2705</v>
      </c>
      <c r="U1065" s="152" t="s">
        <v>2705</v>
      </c>
      <c r="V1065" s="142" cm="1">
        <f t="array" ref="V1065">IF(A1065&lt;&gt;"",SUM(--(B1065:U1066 = "X")*$U$3,--(B1065:U1066 ="A")*$Q$3,--(B1065:U1066 ="B")*$R$3,--(B1065:U1066 ="C")*$S$3),"")</f>
        <v>12.5</v>
      </c>
      <c r="AF1065" s="142" t="s">
        <v>7849</v>
      </c>
      <c r="AG1065" s="142" t="s">
        <v>2705</v>
      </c>
      <c r="AH1065" s="142" t="s">
        <v>2705</v>
      </c>
      <c r="AI1065" s="142" t="s">
        <v>2397</v>
      </c>
      <c r="AJ1065" s="142" t="s">
        <v>2705</v>
      </c>
      <c r="AK1065" s="142" t="s">
        <v>2398</v>
      </c>
      <c r="AL1065" s="142" t="s">
        <v>2705</v>
      </c>
      <c r="AM1065" s="142" t="s">
        <v>1435</v>
      </c>
      <c r="AN1065" s="142" t="s">
        <v>2675</v>
      </c>
      <c r="AO1065" s="142" t="s">
        <v>1435</v>
      </c>
      <c r="AP1065" s="142" t="s">
        <v>2705</v>
      </c>
      <c r="AQ1065" s="142" t="s">
        <v>1435</v>
      </c>
      <c r="AR1065" s="142" t="s">
        <v>2705</v>
      </c>
      <c r="AS1065" s="142" t="s">
        <v>2397</v>
      </c>
      <c r="AT1065" s="142" t="s">
        <v>2398</v>
      </c>
      <c r="AU1065" s="142" t="s">
        <v>2705</v>
      </c>
      <c r="AV1065" s="142" t="s">
        <v>2705</v>
      </c>
      <c r="AW1065" s="142" t="s">
        <v>1435</v>
      </c>
      <c r="AX1065" s="142" t="s">
        <v>2705</v>
      </c>
      <c r="AY1065" s="142" t="s">
        <v>2705</v>
      </c>
      <c r="AZ1065" s="142" t="s">
        <v>2705</v>
      </c>
    </row>
    <row r="1066" spans="1:52" s="142" customFormat="1" ht="12.75" x14ac:dyDescent="0.2">
      <c r="A1066" s="151"/>
      <c r="B1066" s="152" t="s">
        <v>2398</v>
      </c>
      <c r="C1066" s="152" t="s">
        <v>2398</v>
      </c>
      <c r="D1066" s="152" t="s">
        <v>2705</v>
      </c>
      <c r="E1066" s="152" t="s">
        <v>2675</v>
      </c>
      <c r="F1066" s="152" t="s">
        <v>2398</v>
      </c>
      <c r="G1066" s="152" t="s">
        <v>2705</v>
      </c>
      <c r="H1066" s="152" t="s">
        <v>2675</v>
      </c>
      <c r="I1066" s="152" t="s">
        <v>2398</v>
      </c>
      <c r="J1066" s="152" t="s">
        <v>2397</v>
      </c>
      <c r="K1066" s="152" t="s">
        <v>2398</v>
      </c>
      <c r="L1066" s="152" t="s">
        <v>2398</v>
      </c>
      <c r="M1066" s="152" t="s">
        <v>2398</v>
      </c>
      <c r="N1066" s="152" t="s">
        <v>1435</v>
      </c>
      <c r="O1066" s="152" t="s">
        <v>2398</v>
      </c>
      <c r="P1066" s="152" t="s">
        <v>2705</v>
      </c>
      <c r="Q1066" s="152" t="s">
        <v>2398</v>
      </c>
      <c r="R1066" s="152" t="s">
        <v>2705</v>
      </c>
      <c r="S1066" s="152" t="s">
        <v>2705</v>
      </c>
      <c r="T1066" s="152" t="s">
        <v>2705</v>
      </c>
      <c r="U1066" s="152" t="s">
        <v>2675</v>
      </c>
      <c r="V1066" s="142" t="str" cm="1">
        <f t="array" ref="V1066">IF(A1066&lt;&gt;"",SUM(--(B1066:U1067 = "X")*$U$3,--(B1066:U1067 ="A")*$Q$3,--(B1066:U1067 ="B")*$R$3,--(B1066:U1067 ="C")*$S$3),"")</f>
        <v/>
      </c>
      <c r="AG1066" s="142" t="s">
        <v>2398</v>
      </c>
      <c r="AH1066" s="142" t="s">
        <v>2398</v>
      </c>
      <c r="AI1066" s="142" t="s">
        <v>2705</v>
      </c>
      <c r="AJ1066" s="142" t="s">
        <v>2675</v>
      </c>
      <c r="AK1066" s="142" t="s">
        <v>2398</v>
      </c>
      <c r="AL1066" s="142" t="s">
        <v>2705</v>
      </c>
      <c r="AM1066" s="142" t="s">
        <v>2675</v>
      </c>
      <c r="AN1066" s="142" t="s">
        <v>2398</v>
      </c>
      <c r="AO1066" s="142" t="s">
        <v>2397</v>
      </c>
      <c r="AP1066" s="142" t="s">
        <v>2398</v>
      </c>
      <c r="AQ1066" s="142" t="s">
        <v>2398</v>
      </c>
      <c r="AR1066" s="142" t="s">
        <v>2398</v>
      </c>
      <c r="AS1066" s="142" t="s">
        <v>1435</v>
      </c>
      <c r="AT1066" s="142" t="s">
        <v>2398</v>
      </c>
      <c r="AU1066" s="142" t="s">
        <v>2705</v>
      </c>
      <c r="AV1066" s="142" t="s">
        <v>2398</v>
      </c>
      <c r="AW1066" s="142" t="s">
        <v>2705</v>
      </c>
      <c r="AX1066" s="142" t="s">
        <v>2705</v>
      </c>
      <c r="AY1066" s="142" t="s">
        <v>2705</v>
      </c>
      <c r="AZ1066" s="142" t="s">
        <v>2675</v>
      </c>
    </row>
    <row r="1067" spans="1:52" s="142" customFormat="1" ht="12.75" x14ac:dyDescent="0.2">
      <c r="A1067" s="151" t="s">
        <v>7850</v>
      </c>
      <c r="B1067" s="152" t="s">
        <v>2705</v>
      </c>
      <c r="C1067" s="152" t="s">
        <v>2705</v>
      </c>
      <c r="D1067" s="152" t="s">
        <v>2705</v>
      </c>
      <c r="E1067" s="152" t="s">
        <v>2705</v>
      </c>
      <c r="F1067" s="152" t="s">
        <v>2398</v>
      </c>
      <c r="G1067" s="152" t="s">
        <v>2705</v>
      </c>
      <c r="H1067" s="152" t="s">
        <v>1435</v>
      </c>
      <c r="I1067" s="152" t="s">
        <v>2397</v>
      </c>
      <c r="J1067" s="152" t="s">
        <v>2398</v>
      </c>
      <c r="K1067" s="152" t="s">
        <v>2398</v>
      </c>
      <c r="L1067" s="152" t="s">
        <v>2398</v>
      </c>
      <c r="M1067" s="152" t="s">
        <v>1435</v>
      </c>
      <c r="N1067" s="152" t="s">
        <v>2705</v>
      </c>
      <c r="O1067" s="152" t="s">
        <v>1435</v>
      </c>
      <c r="P1067" s="152" t="s">
        <v>2397</v>
      </c>
      <c r="Q1067" s="152" t="s">
        <v>1435</v>
      </c>
      <c r="R1067" s="152" t="s">
        <v>2398</v>
      </c>
      <c r="S1067" s="152" t="s">
        <v>2398</v>
      </c>
      <c r="T1067" s="152" t="s">
        <v>2705</v>
      </c>
      <c r="U1067" s="152" t="s">
        <v>2398</v>
      </c>
      <c r="V1067" s="142" cm="1">
        <f t="array" ref="V1067">IF(A1067&lt;&gt;"",SUM(--(B1067:U1068 = "X")*$U$3,--(B1067:U1068 ="A")*$Q$3,--(B1067:U1068 ="B")*$R$3,--(B1067:U1068 ="C")*$S$3),"")</f>
        <v>4</v>
      </c>
      <c r="AF1067" s="142" t="s">
        <v>7850</v>
      </c>
      <c r="AG1067" s="142" t="s">
        <v>2705</v>
      </c>
      <c r="AH1067" s="142" t="s">
        <v>2705</v>
      </c>
      <c r="AI1067" s="142" t="s">
        <v>2705</v>
      </c>
      <c r="AJ1067" s="142" t="s">
        <v>2705</v>
      </c>
      <c r="AK1067" s="142" t="s">
        <v>2398</v>
      </c>
      <c r="AL1067" s="142" t="s">
        <v>2705</v>
      </c>
      <c r="AM1067" s="142" t="s">
        <v>1435</v>
      </c>
      <c r="AN1067" s="142" t="s">
        <v>2397</v>
      </c>
      <c r="AO1067" s="142" t="s">
        <v>2398</v>
      </c>
      <c r="AP1067" s="142" t="s">
        <v>2398</v>
      </c>
      <c r="AQ1067" s="142" t="s">
        <v>2398</v>
      </c>
      <c r="AR1067" s="142" t="s">
        <v>1435</v>
      </c>
      <c r="AS1067" s="142" t="s">
        <v>2705</v>
      </c>
      <c r="AT1067" s="142" t="s">
        <v>1435</v>
      </c>
      <c r="AU1067" s="142" t="s">
        <v>2397</v>
      </c>
      <c r="AV1067" s="142" t="s">
        <v>1435</v>
      </c>
      <c r="AW1067" s="142" t="s">
        <v>2398</v>
      </c>
      <c r="AX1067" s="142" t="s">
        <v>2398</v>
      </c>
      <c r="AY1067" s="142" t="s">
        <v>2705</v>
      </c>
      <c r="AZ1067" s="142" t="s">
        <v>2398</v>
      </c>
    </row>
    <row r="1068" spans="1:52" s="142" customFormat="1" ht="12.75" x14ac:dyDescent="0.2">
      <c r="A1068" s="151"/>
      <c r="B1068" s="152" t="s">
        <v>2398</v>
      </c>
      <c r="C1068" s="152" t="s">
        <v>1435</v>
      </c>
      <c r="D1068" s="152" t="s">
        <v>1435</v>
      </c>
      <c r="E1068" s="152" t="s">
        <v>2398</v>
      </c>
      <c r="F1068" s="152" t="s">
        <v>2398</v>
      </c>
      <c r="G1068" s="152" t="s">
        <v>1435</v>
      </c>
      <c r="H1068" s="152" t="s">
        <v>2398</v>
      </c>
      <c r="I1068" s="152" t="s">
        <v>2398</v>
      </c>
      <c r="J1068" s="152" t="s">
        <v>2398</v>
      </c>
      <c r="K1068" s="152" t="s">
        <v>2398</v>
      </c>
      <c r="L1068" s="152" t="s">
        <v>2705</v>
      </c>
      <c r="M1068" s="152" t="s">
        <v>2398</v>
      </c>
      <c r="N1068" s="152" t="s">
        <v>1435</v>
      </c>
      <c r="O1068" s="152" t="s">
        <v>2398</v>
      </c>
      <c r="P1068" s="152" t="s">
        <v>2398</v>
      </c>
      <c r="Q1068" s="152" t="s">
        <v>2705</v>
      </c>
      <c r="R1068" s="152" t="s">
        <v>2398</v>
      </c>
      <c r="S1068" s="152" t="s">
        <v>1435</v>
      </c>
      <c r="T1068" s="152" t="s">
        <v>2675</v>
      </c>
      <c r="U1068" s="152" t="s">
        <v>2398</v>
      </c>
      <c r="V1068" s="142" t="str" cm="1">
        <f t="array" ref="V1068">IF(A1068&lt;&gt;"",SUM(--(B1068:U1069 = "X")*$U$3,--(B1068:U1069 ="A")*$Q$3,--(B1068:U1069 ="B")*$R$3,--(B1068:U1069 ="C")*$S$3),"")</f>
        <v/>
      </c>
      <c r="AG1068" s="142" t="s">
        <v>2398</v>
      </c>
      <c r="AH1068" s="142" t="s">
        <v>1435</v>
      </c>
      <c r="AI1068" s="142" t="s">
        <v>1435</v>
      </c>
      <c r="AJ1068" s="142" t="s">
        <v>2398</v>
      </c>
      <c r="AK1068" s="142" t="s">
        <v>2398</v>
      </c>
      <c r="AL1068" s="142" t="s">
        <v>1435</v>
      </c>
      <c r="AM1068" s="142" t="s">
        <v>2398</v>
      </c>
      <c r="AN1068" s="142" t="s">
        <v>2398</v>
      </c>
      <c r="AO1068" s="142" t="s">
        <v>2398</v>
      </c>
      <c r="AP1068" s="142" t="s">
        <v>2398</v>
      </c>
      <c r="AQ1068" s="142" t="s">
        <v>2705</v>
      </c>
      <c r="AR1068" s="142" t="s">
        <v>2398</v>
      </c>
      <c r="AS1068" s="142" t="s">
        <v>1435</v>
      </c>
      <c r="AT1068" s="142" t="s">
        <v>2398</v>
      </c>
      <c r="AU1068" s="142" t="s">
        <v>2398</v>
      </c>
      <c r="AV1068" s="142" t="s">
        <v>2705</v>
      </c>
      <c r="AW1068" s="142" t="s">
        <v>2398</v>
      </c>
      <c r="AX1068" s="142" t="s">
        <v>1435</v>
      </c>
      <c r="AY1068" s="142" t="s">
        <v>2675</v>
      </c>
      <c r="AZ1068" s="142" t="s">
        <v>2398</v>
      </c>
    </row>
    <row r="1069" spans="1:52" s="142" customFormat="1" ht="12.75" x14ac:dyDescent="0.2">
      <c r="A1069" s="151" t="s">
        <v>7851</v>
      </c>
      <c r="B1069" s="152" t="s">
        <v>2398</v>
      </c>
      <c r="C1069" s="152" t="s">
        <v>2398</v>
      </c>
      <c r="D1069" s="152" t="s">
        <v>2675</v>
      </c>
      <c r="E1069" s="152" t="s">
        <v>2705</v>
      </c>
      <c r="F1069" s="152" t="s">
        <v>2398</v>
      </c>
      <c r="G1069" s="152" t="s">
        <v>2398</v>
      </c>
      <c r="H1069" s="152" t="s">
        <v>2398</v>
      </c>
      <c r="I1069" s="152" t="s">
        <v>2675</v>
      </c>
      <c r="J1069" s="152" t="s">
        <v>2675</v>
      </c>
      <c r="K1069" s="152" t="s">
        <v>2398</v>
      </c>
      <c r="L1069" s="152" t="s">
        <v>2675</v>
      </c>
      <c r="M1069" s="152" t="s">
        <v>2398</v>
      </c>
      <c r="N1069" s="152" t="s">
        <v>2398</v>
      </c>
      <c r="O1069" s="152" t="s">
        <v>2705</v>
      </c>
      <c r="P1069" s="152" t="s">
        <v>2705</v>
      </c>
      <c r="Q1069" s="152" t="s">
        <v>2398</v>
      </c>
      <c r="R1069" s="152" t="s">
        <v>2398</v>
      </c>
      <c r="S1069" s="152" t="s">
        <v>2705</v>
      </c>
      <c r="T1069" s="152" t="s">
        <v>2705</v>
      </c>
      <c r="U1069" s="152" t="s">
        <v>2398</v>
      </c>
      <c r="V1069" s="142" cm="1">
        <f t="array" ref="V1069">IF(A1069&lt;&gt;"",SUM(--(B1069:U1070 = "X")*$U$3,--(B1069:U1070 ="A")*$Q$3,--(B1069:U1070 ="B")*$R$3,--(B1069:U1070 ="C")*$S$3),"")</f>
        <v>6</v>
      </c>
      <c r="AF1069" s="142" t="s">
        <v>7851</v>
      </c>
      <c r="AG1069" s="142" t="s">
        <v>2398</v>
      </c>
      <c r="AH1069" s="142" t="s">
        <v>2398</v>
      </c>
      <c r="AI1069" s="142" t="s">
        <v>2675</v>
      </c>
      <c r="AJ1069" s="142" t="s">
        <v>2705</v>
      </c>
      <c r="AK1069" s="142" t="s">
        <v>2398</v>
      </c>
      <c r="AL1069" s="142" t="s">
        <v>2398</v>
      </c>
      <c r="AM1069" s="142" t="s">
        <v>2398</v>
      </c>
      <c r="AN1069" s="142" t="s">
        <v>2675</v>
      </c>
      <c r="AO1069" s="142" t="s">
        <v>2675</v>
      </c>
      <c r="AP1069" s="142" t="s">
        <v>2398</v>
      </c>
      <c r="AQ1069" s="142" t="s">
        <v>2675</v>
      </c>
      <c r="AR1069" s="142" t="s">
        <v>2398</v>
      </c>
      <c r="AS1069" s="142" t="s">
        <v>2398</v>
      </c>
      <c r="AT1069" s="142" t="s">
        <v>2705</v>
      </c>
      <c r="AU1069" s="142" t="s">
        <v>2705</v>
      </c>
      <c r="AV1069" s="142" t="s">
        <v>2398</v>
      </c>
      <c r="AW1069" s="142" t="s">
        <v>2398</v>
      </c>
      <c r="AX1069" s="142" t="s">
        <v>2705</v>
      </c>
      <c r="AY1069" s="142" t="s">
        <v>2705</v>
      </c>
      <c r="AZ1069" s="142" t="s">
        <v>2398</v>
      </c>
    </row>
    <row r="1070" spans="1:52" s="142" customFormat="1" ht="12.75" x14ac:dyDescent="0.2">
      <c r="A1070" s="151"/>
      <c r="B1070" s="152" t="s">
        <v>2705</v>
      </c>
      <c r="C1070" s="152" t="s">
        <v>2705</v>
      </c>
      <c r="D1070" s="152" t="s">
        <v>2705</v>
      </c>
      <c r="E1070" s="152" t="s">
        <v>2705</v>
      </c>
      <c r="F1070" s="152" t="s">
        <v>2705</v>
      </c>
      <c r="G1070" s="152" t="s">
        <v>2398</v>
      </c>
      <c r="H1070" s="152" t="s">
        <v>1435</v>
      </c>
      <c r="I1070" s="152" t="s">
        <v>2675</v>
      </c>
      <c r="J1070" s="152" t="s">
        <v>2397</v>
      </c>
      <c r="K1070" s="152" t="s">
        <v>2398</v>
      </c>
      <c r="L1070" s="152" t="s">
        <v>2398</v>
      </c>
      <c r="M1070" s="152" t="s">
        <v>1435</v>
      </c>
      <c r="N1070" s="152" t="s">
        <v>2675</v>
      </c>
      <c r="O1070" s="152" t="s">
        <v>1435</v>
      </c>
      <c r="P1070" s="152" t="s">
        <v>2398</v>
      </c>
      <c r="Q1070" s="152" t="s">
        <v>2398</v>
      </c>
      <c r="R1070" s="152" t="s">
        <v>2398</v>
      </c>
      <c r="S1070" s="152" t="s">
        <v>2705</v>
      </c>
      <c r="T1070" s="152" t="s">
        <v>2675</v>
      </c>
      <c r="U1070" s="152" t="s">
        <v>2397</v>
      </c>
      <c r="V1070" s="142" t="str" cm="1">
        <f t="array" ref="V1070">IF(A1070&lt;&gt;"",SUM(--(B1070:U1071 = "X")*$U$3,--(B1070:U1071 ="A")*$Q$3,--(B1070:U1071 ="B")*$R$3,--(B1070:U1071 ="C")*$S$3),"")</f>
        <v/>
      </c>
      <c r="AG1070" s="142" t="s">
        <v>2705</v>
      </c>
      <c r="AH1070" s="142" t="s">
        <v>2705</v>
      </c>
      <c r="AI1070" s="142" t="s">
        <v>2705</v>
      </c>
      <c r="AJ1070" s="142" t="s">
        <v>2705</v>
      </c>
      <c r="AK1070" s="142" t="s">
        <v>2705</v>
      </c>
      <c r="AL1070" s="142" t="s">
        <v>2398</v>
      </c>
      <c r="AM1070" s="142" t="s">
        <v>1435</v>
      </c>
      <c r="AN1070" s="142" t="s">
        <v>2675</v>
      </c>
      <c r="AO1070" s="142" t="s">
        <v>2397</v>
      </c>
      <c r="AP1070" s="142" t="s">
        <v>2398</v>
      </c>
      <c r="AQ1070" s="142" t="s">
        <v>2398</v>
      </c>
      <c r="AR1070" s="142" t="s">
        <v>1435</v>
      </c>
      <c r="AS1070" s="142" t="s">
        <v>2675</v>
      </c>
      <c r="AT1070" s="142" t="s">
        <v>1435</v>
      </c>
      <c r="AU1070" s="142" t="s">
        <v>2398</v>
      </c>
      <c r="AV1070" s="142" t="s">
        <v>2398</v>
      </c>
      <c r="AW1070" s="142" t="s">
        <v>2398</v>
      </c>
      <c r="AX1070" s="142" t="s">
        <v>2705</v>
      </c>
      <c r="AY1070" s="142" t="s">
        <v>2675</v>
      </c>
      <c r="AZ1070" s="142" t="s">
        <v>2397</v>
      </c>
    </row>
    <row r="1071" spans="1:52" s="142" customFormat="1" ht="12.75" x14ac:dyDescent="0.2">
      <c r="A1071" s="151" t="s">
        <v>7852</v>
      </c>
      <c r="B1071" s="152" t="s">
        <v>2705</v>
      </c>
      <c r="C1071" s="152" t="s">
        <v>2398</v>
      </c>
      <c r="D1071" s="152" t="s">
        <v>2705</v>
      </c>
      <c r="E1071" s="152" t="s">
        <v>2397</v>
      </c>
      <c r="F1071" s="152" t="s">
        <v>2398</v>
      </c>
      <c r="G1071" s="152" t="s">
        <v>2398</v>
      </c>
      <c r="H1071" s="152" t="s">
        <v>2705</v>
      </c>
      <c r="I1071" s="152" t="s">
        <v>2705</v>
      </c>
      <c r="J1071" s="152" t="s">
        <v>2705</v>
      </c>
      <c r="K1071" s="152" t="s">
        <v>2398</v>
      </c>
      <c r="L1071" s="152" t="s">
        <v>2398</v>
      </c>
      <c r="M1071" s="152" t="s">
        <v>2705</v>
      </c>
      <c r="N1071" s="152" t="s">
        <v>2398</v>
      </c>
      <c r="O1071" s="152" t="s">
        <v>1435</v>
      </c>
      <c r="P1071" s="152" t="s">
        <v>2675</v>
      </c>
      <c r="Q1071" s="152" t="s">
        <v>2705</v>
      </c>
      <c r="R1071" s="152" t="s">
        <v>2398</v>
      </c>
      <c r="S1071" s="152" t="s">
        <v>2398</v>
      </c>
      <c r="T1071" s="152" t="s">
        <v>2705</v>
      </c>
      <c r="U1071" s="152" t="s">
        <v>2705</v>
      </c>
      <c r="V1071" s="142" cm="1">
        <f t="array" ref="V1071">IF(A1071&lt;&gt;"",SUM(--(B1071:U1072 = "X")*$U$3,--(B1071:U1072 ="A")*$Q$3,--(B1071:U1072 ="B")*$R$3,--(B1071:U1072 ="C")*$S$3),"")</f>
        <v>11.5</v>
      </c>
      <c r="AF1071" s="142" t="s">
        <v>7852</v>
      </c>
      <c r="AG1071" s="142" t="s">
        <v>2705</v>
      </c>
      <c r="AH1071" s="142" t="s">
        <v>2398</v>
      </c>
      <c r="AI1071" s="142" t="s">
        <v>2705</v>
      </c>
      <c r="AJ1071" s="142" t="s">
        <v>2397</v>
      </c>
      <c r="AK1071" s="142" t="s">
        <v>2398</v>
      </c>
      <c r="AL1071" s="142" t="s">
        <v>2398</v>
      </c>
      <c r="AM1071" s="142" t="s">
        <v>2705</v>
      </c>
      <c r="AN1071" s="142" t="s">
        <v>2705</v>
      </c>
      <c r="AO1071" s="142" t="s">
        <v>2705</v>
      </c>
      <c r="AP1071" s="142" t="s">
        <v>2398</v>
      </c>
      <c r="AQ1071" s="142" t="s">
        <v>2398</v>
      </c>
      <c r="AR1071" s="142" t="s">
        <v>2705</v>
      </c>
      <c r="AS1071" s="142" t="s">
        <v>2398</v>
      </c>
      <c r="AT1071" s="142" t="s">
        <v>1435</v>
      </c>
      <c r="AU1071" s="142" t="s">
        <v>2675</v>
      </c>
      <c r="AV1071" s="142" t="s">
        <v>2705</v>
      </c>
      <c r="AW1071" s="142" t="s">
        <v>2398</v>
      </c>
      <c r="AX1071" s="142" t="s">
        <v>2398</v>
      </c>
      <c r="AY1071" s="142" t="s">
        <v>2705</v>
      </c>
      <c r="AZ1071" s="142" t="s">
        <v>2705</v>
      </c>
    </row>
    <row r="1072" spans="1:52" s="142" customFormat="1" ht="12.75" x14ac:dyDescent="0.2">
      <c r="A1072" s="151"/>
      <c r="B1072" s="152" t="s">
        <v>1435</v>
      </c>
      <c r="C1072" s="152" t="s">
        <v>1435</v>
      </c>
      <c r="D1072" s="152" t="s">
        <v>2397</v>
      </c>
      <c r="E1072" s="152" t="s">
        <v>2398</v>
      </c>
      <c r="F1072" s="152" t="s">
        <v>2675</v>
      </c>
      <c r="G1072" s="152" t="s">
        <v>2398</v>
      </c>
      <c r="H1072" s="152" t="s">
        <v>2675</v>
      </c>
      <c r="I1072" s="152" t="s">
        <v>2705</v>
      </c>
      <c r="J1072" s="152" t="s">
        <v>2398</v>
      </c>
      <c r="K1072" s="152" t="s">
        <v>2398</v>
      </c>
      <c r="L1072" s="152" t="s">
        <v>2705</v>
      </c>
      <c r="M1072" s="152" t="s">
        <v>2675</v>
      </c>
      <c r="N1072" s="152" t="s">
        <v>2705</v>
      </c>
      <c r="O1072" s="152" t="s">
        <v>2398</v>
      </c>
      <c r="P1072" s="152" t="s">
        <v>2705</v>
      </c>
      <c r="Q1072" s="152" t="s">
        <v>2705</v>
      </c>
      <c r="R1072" s="152" t="s">
        <v>2397</v>
      </c>
      <c r="S1072" s="152" t="s">
        <v>2398</v>
      </c>
      <c r="T1072" s="152" t="s">
        <v>2705</v>
      </c>
      <c r="U1072" s="152" t="s">
        <v>2397</v>
      </c>
      <c r="V1072" s="142" t="str" cm="1">
        <f t="array" ref="V1072">IF(A1072&lt;&gt;"",SUM(--(B1072:U1073 = "X")*$U$3,--(B1072:U1073 ="A")*$Q$3,--(B1072:U1073 ="B")*$R$3,--(B1072:U1073 ="C")*$S$3),"")</f>
        <v/>
      </c>
      <c r="AG1072" s="142" t="s">
        <v>1435</v>
      </c>
      <c r="AH1072" s="142" t="s">
        <v>1435</v>
      </c>
      <c r="AI1072" s="142" t="s">
        <v>2397</v>
      </c>
      <c r="AJ1072" s="142" t="s">
        <v>2398</v>
      </c>
      <c r="AK1072" s="142" t="s">
        <v>2675</v>
      </c>
      <c r="AL1072" s="142" t="s">
        <v>2398</v>
      </c>
      <c r="AM1072" s="142" t="s">
        <v>2675</v>
      </c>
      <c r="AN1072" s="142" t="s">
        <v>2705</v>
      </c>
      <c r="AO1072" s="142" t="s">
        <v>2398</v>
      </c>
      <c r="AP1072" s="142" t="s">
        <v>2398</v>
      </c>
      <c r="AQ1072" s="142" t="s">
        <v>2705</v>
      </c>
      <c r="AR1072" s="142" t="s">
        <v>2675</v>
      </c>
      <c r="AS1072" s="142" t="s">
        <v>2705</v>
      </c>
      <c r="AT1072" s="142" t="s">
        <v>2398</v>
      </c>
      <c r="AU1072" s="142" t="s">
        <v>2705</v>
      </c>
      <c r="AV1072" s="142" t="s">
        <v>2705</v>
      </c>
      <c r="AW1072" s="142" t="s">
        <v>2397</v>
      </c>
      <c r="AX1072" s="142" t="s">
        <v>2398</v>
      </c>
      <c r="AY1072" s="142" t="s">
        <v>2705</v>
      </c>
      <c r="AZ1072" s="142" t="s">
        <v>2397</v>
      </c>
    </row>
    <row r="1073" spans="1:52" s="142" customFormat="1" ht="12.75" x14ac:dyDescent="0.2">
      <c r="A1073" s="151" t="s">
        <v>7853</v>
      </c>
      <c r="B1073" s="152" t="s">
        <v>2705</v>
      </c>
      <c r="C1073" s="152" t="s">
        <v>2705</v>
      </c>
      <c r="D1073" s="152" t="s">
        <v>2705</v>
      </c>
      <c r="E1073" s="152" t="s">
        <v>2705</v>
      </c>
      <c r="F1073" s="152" t="s">
        <v>2705</v>
      </c>
      <c r="G1073" s="152" t="s">
        <v>2705</v>
      </c>
      <c r="H1073" s="152" t="s">
        <v>2705</v>
      </c>
      <c r="I1073" s="152" t="s">
        <v>2705</v>
      </c>
      <c r="J1073" s="152" t="s">
        <v>2705</v>
      </c>
      <c r="K1073" s="152" t="s">
        <v>2398</v>
      </c>
      <c r="L1073" s="152" t="s">
        <v>2398</v>
      </c>
      <c r="M1073" s="152" t="s">
        <v>2705</v>
      </c>
      <c r="N1073" s="152" t="s">
        <v>2705</v>
      </c>
      <c r="O1073" s="152" t="s">
        <v>2398</v>
      </c>
      <c r="P1073" s="152" t="s">
        <v>2705</v>
      </c>
      <c r="Q1073" s="152" t="s">
        <v>2705</v>
      </c>
      <c r="R1073" s="152" t="s">
        <v>2705</v>
      </c>
      <c r="S1073" s="152" t="s">
        <v>2705</v>
      </c>
      <c r="T1073" s="152" t="s">
        <v>2398</v>
      </c>
      <c r="U1073" s="152" t="s">
        <v>2705</v>
      </c>
      <c r="V1073" s="142" cm="1">
        <f t="array" ref="V1073">IF(A1073&lt;&gt;"",SUM(--(B1073:U1074 = "X")*$U$3,--(B1073:U1074 ="A")*$Q$3,--(B1073:U1074 ="B")*$R$3,--(B1073:U1074 ="C")*$S$3),"")</f>
        <v>30.5</v>
      </c>
      <c r="AF1073" s="142" t="s">
        <v>7853</v>
      </c>
      <c r="AG1073" s="142" t="s">
        <v>2705</v>
      </c>
      <c r="AH1073" s="142" t="s">
        <v>2705</v>
      </c>
      <c r="AI1073" s="142" t="s">
        <v>2705</v>
      </c>
      <c r="AJ1073" s="142" t="s">
        <v>2705</v>
      </c>
      <c r="AK1073" s="142" t="s">
        <v>2705</v>
      </c>
      <c r="AL1073" s="142" t="s">
        <v>2705</v>
      </c>
      <c r="AM1073" s="142" t="s">
        <v>2705</v>
      </c>
      <c r="AN1073" s="142" t="s">
        <v>2705</v>
      </c>
      <c r="AO1073" s="142" t="s">
        <v>2705</v>
      </c>
      <c r="AP1073" s="142" t="s">
        <v>2398</v>
      </c>
      <c r="AQ1073" s="142" t="s">
        <v>2398</v>
      </c>
      <c r="AR1073" s="142" t="s">
        <v>2705</v>
      </c>
      <c r="AS1073" s="142" t="s">
        <v>2705</v>
      </c>
      <c r="AT1073" s="142" t="s">
        <v>2398</v>
      </c>
      <c r="AU1073" s="142" t="s">
        <v>2705</v>
      </c>
      <c r="AV1073" s="142" t="s">
        <v>2705</v>
      </c>
      <c r="AW1073" s="142" t="s">
        <v>2705</v>
      </c>
      <c r="AX1073" s="142" t="s">
        <v>2705</v>
      </c>
      <c r="AY1073" s="142" t="s">
        <v>2398</v>
      </c>
      <c r="AZ1073" s="142" t="s">
        <v>2705</v>
      </c>
    </row>
    <row r="1074" spans="1:52" s="142" customFormat="1" ht="12.75" x14ac:dyDescent="0.2">
      <c r="A1074" s="151"/>
      <c r="B1074" s="152" t="s">
        <v>2705</v>
      </c>
      <c r="C1074" s="152" t="s">
        <v>2398</v>
      </c>
      <c r="D1074" s="152" t="s">
        <v>2398</v>
      </c>
      <c r="E1074" s="152" t="s">
        <v>2675</v>
      </c>
      <c r="F1074" s="152" t="s">
        <v>2705</v>
      </c>
      <c r="G1074" s="152" t="s">
        <v>2705</v>
      </c>
      <c r="H1074" s="152" t="s">
        <v>2705</v>
      </c>
      <c r="I1074" s="152" t="s">
        <v>2705</v>
      </c>
      <c r="J1074" s="152" t="s">
        <v>2398</v>
      </c>
      <c r="K1074" s="152" t="s">
        <v>2705</v>
      </c>
      <c r="L1074" s="152" t="s">
        <v>2705</v>
      </c>
      <c r="M1074" s="152" t="s">
        <v>2705</v>
      </c>
      <c r="N1074" s="152" t="s">
        <v>2705</v>
      </c>
      <c r="O1074" s="152" t="s">
        <v>2705</v>
      </c>
      <c r="P1074" s="152" t="s">
        <v>2398</v>
      </c>
      <c r="Q1074" s="152" t="s">
        <v>2705</v>
      </c>
      <c r="R1074" s="152" t="s">
        <v>2705</v>
      </c>
      <c r="S1074" s="152" t="s">
        <v>2705</v>
      </c>
      <c r="T1074" s="152" t="s">
        <v>2705</v>
      </c>
      <c r="U1074" s="152" t="s">
        <v>2705</v>
      </c>
      <c r="V1074" s="142" t="str" cm="1">
        <f t="array" ref="V1074">IF(A1074&lt;&gt;"",SUM(--(B1074:U1075 = "X")*$U$3,--(B1074:U1075 ="A")*$Q$3,--(B1074:U1075 ="B")*$R$3,--(B1074:U1075 ="C")*$S$3),"")</f>
        <v/>
      </c>
      <c r="AG1074" s="142" t="s">
        <v>2705</v>
      </c>
      <c r="AH1074" s="142" t="s">
        <v>2398</v>
      </c>
      <c r="AI1074" s="142" t="s">
        <v>2398</v>
      </c>
      <c r="AJ1074" s="142" t="s">
        <v>2675</v>
      </c>
      <c r="AK1074" s="142" t="s">
        <v>2705</v>
      </c>
      <c r="AL1074" s="142" t="s">
        <v>2705</v>
      </c>
      <c r="AM1074" s="142" t="s">
        <v>2705</v>
      </c>
      <c r="AN1074" s="142" t="s">
        <v>2705</v>
      </c>
      <c r="AO1074" s="142" t="s">
        <v>2398</v>
      </c>
      <c r="AP1074" s="142" t="s">
        <v>2705</v>
      </c>
      <c r="AQ1074" s="142" t="s">
        <v>2705</v>
      </c>
      <c r="AR1074" s="142" t="s">
        <v>2705</v>
      </c>
      <c r="AS1074" s="142" t="s">
        <v>2705</v>
      </c>
      <c r="AT1074" s="142" t="s">
        <v>2705</v>
      </c>
      <c r="AU1074" s="142" t="s">
        <v>2398</v>
      </c>
      <c r="AV1074" s="142" t="s">
        <v>2705</v>
      </c>
      <c r="AW1074" s="142" t="s">
        <v>2705</v>
      </c>
      <c r="AX1074" s="142" t="s">
        <v>2705</v>
      </c>
      <c r="AY1074" s="142" t="s">
        <v>2705</v>
      </c>
      <c r="AZ1074" s="142" t="s">
        <v>2705</v>
      </c>
    </row>
    <row r="1075" spans="1:52" s="142" customFormat="1" ht="12.75" x14ac:dyDescent="0.2">
      <c r="A1075" s="151" t="s">
        <v>7854</v>
      </c>
      <c r="B1075" s="152" t="s">
        <v>2705</v>
      </c>
      <c r="C1075" s="152" t="s">
        <v>2398</v>
      </c>
      <c r="D1075" s="152" t="s">
        <v>2705</v>
      </c>
      <c r="E1075" s="152" t="s">
        <v>2705</v>
      </c>
      <c r="F1075" s="152" t="s">
        <v>2705</v>
      </c>
      <c r="G1075" s="152" t="s">
        <v>2705</v>
      </c>
      <c r="H1075" s="152" t="s">
        <v>2705</v>
      </c>
      <c r="I1075" s="152" t="s">
        <v>2398</v>
      </c>
      <c r="J1075" s="152" t="s">
        <v>2705</v>
      </c>
      <c r="K1075" s="152" t="s">
        <v>2398</v>
      </c>
      <c r="L1075" s="152" t="s">
        <v>2705</v>
      </c>
      <c r="M1075" s="152" t="s">
        <v>2705</v>
      </c>
      <c r="N1075" s="152" t="s">
        <v>2705</v>
      </c>
      <c r="O1075" s="152" t="s">
        <v>2705</v>
      </c>
      <c r="P1075" s="152" t="s">
        <v>2675</v>
      </c>
      <c r="Q1075" s="152" t="s">
        <v>2705</v>
      </c>
      <c r="R1075" s="152" t="s">
        <v>2705</v>
      </c>
      <c r="S1075" s="152" t="s">
        <v>2398</v>
      </c>
      <c r="T1075" s="152" t="s">
        <v>2705</v>
      </c>
      <c r="U1075" s="152" t="s">
        <v>2705</v>
      </c>
      <c r="V1075" s="142" cm="1">
        <f t="array" ref="V1075">IF(A1075&lt;&gt;"",SUM(--(B1075:U1076 = "X")*$U$3,--(B1075:U1076 ="A")*$Q$3,--(B1075:U1076 ="B")*$R$3,--(B1075:U1076 ="C")*$S$3),"")</f>
        <v>27.5</v>
      </c>
      <c r="AF1075" s="142" t="s">
        <v>7854</v>
      </c>
      <c r="AG1075" s="142" t="s">
        <v>2705</v>
      </c>
      <c r="AH1075" s="142" t="s">
        <v>2398</v>
      </c>
      <c r="AI1075" s="142" t="s">
        <v>2705</v>
      </c>
      <c r="AJ1075" s="142" t="s">
        <v>2705</v>
      </c>
      <c r="AK1075" s="142" t="s">
        <v>2705</v>
      </c>
      <c r="AL1075" s="142" t="s">
        <v>2705</v>
      </c>
      <c r="AM1075" s="142" t="s">
        <v>2705</v>
      </c>
      <c r="AN1075" s="142" t="s">
        <v>2398</v>
      </c>
      <c r="AO1075" s="142" t="s">
        <v>2705</v>
      </c>
      <c r="AP1075" s="142" t="s">
        <v>2398</v>
      </c>
      <c r="AQ1075" s="142" t="s">
        <v>2705</v>
      </c>
      <c r="AR1075" s="142" t="s">
        <v>2705</v>
      </c>
      <c r="AS1075" s="142" t="s">
        <v>2705</v>
      </c>
      <c r="AT1075" s="142" t="s">
        <v>2705</v>
      </c>
      <c r="AU1075" s="142" t="s">
        <v>2675</v>
      </c>
      <c r="AV1075" s="142" t="s">
        <v>2705</v>
      </c>
      <c r="AW1075" s="142" t="s">
        <v>2705</v>
      </c>
      <c r="AX1075" s="142" t="s">
        <v>2398</v>
      </c>
      <c r="AY1075" s="142" t="s">
        <v>2705</v>
      </c>
      <c r="AZ1075" s="142" t="s">
        <v>2705</v>
      </c>
    </row>
    <row r="1076" spans="1:52" s="142" customFormat="1" ht="12.75" x14ac:dyDescent="0.2">
      <c r="A1076" s="151"/>
      <c r="B1076" s="152" t="s">
        <v>2705</v>
      </c>
      <c r="C1076" s="152" t="s">
        <v>2705</v>
      </c>
      <c r="D1076" s="152" t="s">
        <v>2705</v>
      </c>
      <c r="E1076" s="152" t="s">
        <v>2705</v>
      </c>
      <c r="F1076" s="152" t="s">
        <v>2705</v>
      </c>
      <c r="G1076" s="152" t="s">
        <v>2398</v>
      </c>
      <c r="H1076" s="152" t="s">
        <v>2398</v>
      </c>
      <c r="I1076" s="152" t="s">
        <v>2705</v>
      </c>
      <c r="J1076" s="152" t="s">
        <v>2705</v>
      </c>
      <c r="K1076" s="152" t="s">
        <v>2705</v>
      </c>
      <c r="L1076" s="152" t="s">
        <v>2398</v>
      </c>
      <c r="M1076" s="152" t="s">
        <v>2398</v>
      </c>
      <c r="N1076" s="152" t="s">
        <v>2398</v>
      </c>
      <c r="O1076" s="152" t="s">
        <v>2705</v>
      </c>
      <c r="P1076" s="152" t="s">
        <v>2705</v>
      </c>
      <c r="Q1076" s="152" t="s">
        <v>2705</v>
      </c>
      <c r="R1076" s="152" t="s">
        <v>2398</v>
      </c>
      <c r="S1076" s="152" t="s">
        <v>2398</v>
      </c>
      <c r="T1076" s="152" t="s">
        <v>2705</v>
      </c>
      <c r="U1076" s="152" t="s">
        <v>2705</v>
      </c>
      <c r="V1076" s="142" t="str" cm="1">
        <f t="array" ref="V1076">IF(A1076&lt;&gt;"",SUM(--(B1076:U1077 = "X")*$U$3,--(B1076:U1077 ="A")*$Q$3,--(B1076:U1077 ="B")*$R$3,--(B1076:U1077 ="C")*$S$3),"")</f>
        <v/>
      </c>
      <c r="AG1076" s="142" t="s">
        <v>2705</v>
      </c>
      <c r="AH1076" s="142" t="s">
        <v>2705</v>
      </c>
      <c r="AI1076" s="142" t="s">
        <v>2705</v>
      </c>
      <c r="AJ1076" s="142" t="s">
        <v>2705</v>
      </c>
      <c r="AK1076" s="142" t="s">
        <v>2705</v>
      </c>
      <c r="AL1076" s="142" t="s">
        <v>2398</v>
      </c>
      <c r="AM1076" s="142" t="s">
        <v>2398</v>
      </c>
      <c r="AN1076" s="142" t="s">
        <v>2705</v>
      </c>
      <c r="AO1076" s="142" t="s">
        <v>2705</v>
      </c>
      <c r="AP1076" s="142" t="s">
        <v>2705</v>
      </c>
      <c r="AQ1076" s="142" t="s">
        <v>2398</v>
      </c>
      <c r="AR1076" s="142" t="s">
        <v>2398</v>
      </c>
      <c r="AS1076" s="142" t="s">
        <v>2398</v>
      </c>
      <c r="AT1076" s="142" t="s">
        <v>2705</v>
      </c>
      <c r="AU1076" s="142" t="s">
        <v>2705</v>
      </c>
      <c r="AV1076" s="142" t="s">
        <v>2705</v>
      </c>
      <c r="AW1076" s="142" t="s">
        <v>2398</v>
      </c>
      <c r="AX1076" s="142" t="s">
        <v>2398</v>
      </c>
      <c r="AY1076" s="142" t="s">
        <v>2705</v>
      </c>
      <c r="AZ1076" s="142" t="s">
        <v>2705</v>
      </c>
    </row>
    <row r="1077" spans="1:52" s="142" customFormat="1" ht="12.75" x14ac:dyDescent="0.2">
      <c r="A1077" s="151" t="s">
        <v>7855</v>
      </c>
      <c r="B1077" s="152" t="s">
        <v>2398</v>
      </c>
      <c r="C1077" s="152" t="s">
        <v>1435</v>
      </c>
      <c r="D1077" s="152" t="s">
        <v>1435</v>
      </c>
      <c r="E1077" s="152" t="s">
        <v>2398</v>
      </c>
      <c r="F1077" s="152" t="s">
        <v>2675</v>
      </c>
      <c r="G1077" s="152" t="s">
        <v>2705</v>
      </c>
      <c r="H1077" s="152" t="s">
        <v>2398</v>
      </c>
      <c r="I1077" s="152" t="s">
        <v>2705</v>
      </c>
      <c r="J1077" s="152" t="s">
        <v>2705</v>
      </c>
      <c r="K1077" s="152" t="s">
        <v>1435</v>
      </c>
      <c r="L1077" s="152" t="s">
        <v>1435</v>
      </c>
      <c r="M1077" s="152" t="s">
        <v>2705</v>
      </c>
      <c r="N1077" s="152" t="s">
        <v>2675</v>
      </c>
      <c r="O1077" s="152" t="s">
        <v>2398</v>
      </c>
      <c r="P1077" s="152" t="s">
        <v>2397</v>
      </c>
      <c r="Q1077" s="152" t="s">
        <v>1435</v>
      </c>
      <c r="R1077" s="152" t="s">
        <v>1435</v>
      </c>
      <c r="S1077" s="152" t="s">
        <v>2705</v>
      </c>
      <c r="T1077" s="152" t="s">
        <v>2397</v>
      </c>
      <c r="U1077" s="152" t="s">
        <v>2675</v>
      </c>
      <c r="V1077" s="142" cm="1">
        <f t="array" ref="V1077">IF(A1077&lt;&gt;"",SUM(--(B1077:U1078 = "X")*$U$3,--(B1077:U1078 ="A")*$Q$3,--(B1077:U1078 ="B")*$R$3,--(B1077:U1078 ="C")*$S$3),"")</f>
        <v>4.5</v>
      </c>
      <c r="AF1077" s="142" t="s">
        <v>7855</v>
      </c>
      <c r="AG1077" s="142" t="s">
        <v>2398</v>
      </c>
      <c r="AH1077" s="142" t="s">
        <v>1435</v>
      </c>
      <c r="AI1077" s="142" t="s">
        <v>1435</v>
      </c>
      <c r="AJ1077" s="142" t="s">
        <v>2398</v>
      </c>
      <c r="AK1077" s="142" t="s">
        <v>2675</v>
      </c>
      <c r="AL1077" s="142" t="s">
        <v>2705</v>
      </c>
      <c r="AM1077" s="142" t="s">
        <v>2398</v>
      </c>
      <c r="AN1077" s="142" t="s">
        <v>2705</v>
      </c>
      <c r="AO1077" s="142" t="s">
        <v>2705</v>
      </c>
      <c r="AP1077" s="142" t="s">
        <v>1435</v>
      </c>
      <c r="AQ1077" s="142" t="s">
        <v>1435</v>
      </c>
      <c r="AR1077" s="142" t="s">
        <v>2705</v>
      </c>
      <c r="AS1077" s="142" t="s">
        <v>2675</v>
      </c>
      <c r="AT1077" s="142" t="s">
        <v>2398</v>
      </c>
      <c r="AU1077" s="142" t="s">
        <v>2397</v>
      </c>
      <c r="AV1077" s="142" t="s">
        <v>1435</v>
      </c>
      <c r="AW1077" s="142" t="s">
        <v>1435</v>
      </c>
      <c r="AX1077" s="142" t="s">
        <v>2705</v>
      </c>
      <c r="AY1077" s="142" t="s">
        <v>2397</v>
      </c>
      <c r="AZ1077" s="142" t="s">
        <v>2675</v>
      </c>
    </row>
    <row r="1078" spans="1:52" s="142" customFormat="1" ht="12.75" x14ac:dyDescent="0.2">
      <c r="A1078" s="151"/>
      <c r="B1078" s="152" t="s">
        <v>2705</v>
      </c>
      <c r="C1078" s="152" t="s">
        <v>2398</v>
      </c>
      <c r="D1078" s="152" t="s">
        <v>2398</v>
      </c>
      <c r="E1078" s="152" t="s">
        <v>2675</v>
      </c>
      <c r="F1078" s="152" t="s">
        <v>2398</v>
      </c>
      <c r="G1078" s="152" t="s">
        <v>2705</v>
      </c>
      <c r="H1078" s="152" t="s">
        <v>2398</v>
      </c>
      <c r="I1078" s="152" t="s">
        <v>2705</v>
      </c>
      <c r="J1078" s="152" t="s">
        <v>2705</v>
      </c>
      <c r="K1078" s="152" t="s">
        <v>2398</v>
      </c>
      <c r="L1078" s="152" t="s">
        <v>2398</v>
      </c>
      <c r="M1078" s="152" t="s">
        <v>2398</v>
      </c>
      <c r="N1078" s="152" t="s">
        <v>2398</v>
      </c>
      <c r="O1078" s="152" t="s">
        <v>2398</v>
      </c>
      <c r="P1078" s="152" t="s">
        <v>2398</v>
      </c>
      <c r="Q1078" s="152" t="s">
        <v>2675</v>
      </c>
      <c r="R1078" s="152" t="s">
        <v>2397</v>
      </c>
      <c r="S1078" s="152" t="s">
        <v>2705</v>
      </c>
      <c r="T1078" s="152" t="s">
        <v>2398</v>
      </c>
      <c r="U1078" s="152" t="s">
        <v>2398</v>
      </c>
      <c r="V1078" s="142" t="str" cm="1">
        <f t="array" ref="V1078">IF(A1078&lt;&gt;"",SUM(--(B1078:U1079 = "X")*$U$3,--(B1078:U1079 ="A")*$Q$3,--(B1078:U1079 ="B")*$R$3,--(B1078:U1079 ="C")*$S$3),"")</f>
        <v/>
      </c>
      <c r="AG1078" s="142" t="s">
        <v>2705</v>
      </c>
      <c r="AH1078" s="142" t="s">
        <v>2398</v>
      </c>
      <c r="AI1078" s="142" t="s">
        <v>2398</v>
      </c>
      <c r="AJ1078" s="142" t="s">
        <v>2675</v>
      </c>
      <c r="AK1078" s="142" t="s">
        <v>2398</v>
      </c>
      <c r="AL1078" s="142" t="s">
        <v>2705</v>
      </c>
      <c r="AM1078" s="142" t="s">
        <v>2398</v>
      </c>
      <c r="AN1078" s="142" t="s">
        <v>2705</v>
      </c>
      <c r="AO1078" s="142" t="s">
        <v>2705</v>
      </c>
      <c r="AP1078" s="142" t="s">
        <v>2398</v>
      </c>
      <c r="AQ1078" s="142" t="s">
        <v>2398</v>
      </c>
      <c r="AR1078" s="142" t="s">
        <v>2398</v>
      </c>
      <c r="AS1078" s="142" t="s">
        <v>2398</v>
      </c>
      <c r="AT1078" s="142" t="s">
        <v>2398</v>
      </c>
      <c r="AU1078" s="142" t="s">
        <v>2398</v>
      </c>
      <c r="AV1078" s="142" t="s">
        <v>2675</v>
      </c>
      <c r="AW1078" s="142" t="s">
        <v>2397</v>
      </c>
      <c r="AX1078" s="142" t="s">
        <v>2705</v>
      </c>
      <c r="AY1078" s="142" t="s">
        <v>2398</v>
      </c>
      <c r="AZ1078" s="142" t="s">
        <v>2398</v>
      </c>
    </row>
    <row r="1079" spans="1:52" s="142" customFormat="1" ht="12.75" x14ac:dyDescent="0.2">
      <c r="A1079" s="151" t="s">
        <v>7856</v>
      </c>
      <c r="B1079" s="152" t="s">
        <v>2397</v>
      </c>
      <c r="C1079" s="152" t="s">
        <v>1435</v>
      </c>
      <c r="D1079" s="152" t="s">
        <v>2705</v>
      </c>
      <c r="E1079" s="152" t="s">
        <v>2705</v>
      </c>
      <c r="F1079" s="152" t="s">
        <v>2398</v>
      </c>
      <c r="G1079" s="152" t="s">
        <v>2705</v>
      </c>
      <c r="H1079" s="152" t="s">
        <v>1435</v>
      </c>
      <c r="I1079" s="152" t="s">
        <v>2705</v>
      </c>
      <c r="J1079" s="152" t="s">
        <v>2705</v>
      </c>
      <c r="K1079" s="152" t="s">
        <v>2705</v>
      </c>
      <c r="L1079" s="152" t="s">
        <v>1435</v>
      </c>
      <c r="M1079" s="152" t="s">
        <v>2705</v>
      </c>
      <c r="N1079" s="152" t="s">
        <v>2398</v>
      </c>
      <c r="O1079" s="152" t="s">
        <v>2397</v>
      </c>
      <c r="P1079" s="152" t="s">
        <v>2397</v>
      </c>
      <c r="Q1079" s="152" t="s">
        <v>2398</v>
      </c>
      <c r="R1079" s="152" t="s">
        <v>2705</v>
      </c>
      <c r="S1079" s="152" t="s">
        <v>2398</v>
      </c>
      <c r="T1079" s="152" t="s">
        <v>2397</v>
      </c>
      <c r="U1079" s="152" t="s">
        <v>2705</v>
      </c>
      <c r="V1079" s="142" cm="1">
        <f t="array" ref="V1079">IF(A1079&lt;&gt;"",SUM(--(B1079:U1080 = "X")*$U$3,--(B1079:U1080 ="A")*$Q$3,--(B1079:U1080 ="B")*$R$3,--(B1079:U1080 ="C")*$S$3),"")</f>
        <v>8.5</v>
      </c>
      <c r="AF1079" s="142" t="s">
        <v>7856</v>
      </c>
      <c r="AG1079" s="142" t="s">
        <v>2397</v>
      </c>
      <c r="AH1079" s="142" t="s">
        <v>1435</v>
      </c>
      <c r="AI1079" s="142" t="s">
        <v>2705</v>
      </c>
      <c r="AJ1079" s="142" t="s">
        <v>2705</v>
      </c>
      <c r="AK1079" s="142" t="s">
        <v>2398</v>
      </c>
      <c r="AL1079" s="142" t="s">
        <v>2705</v>
      </c>
      <c r="AM1079" s="142" t="s">
        <v>1435</v>
      </c>
      <c r="AN1079" s="142" t="s">
        <v>2705</v>
      </c>
      <c r="AO1079" s="142" t="s">
        <v>2705</v>
      </c>
      <c r="AP1079" s="142" t="s">
        <v>2705</v>
      </c>
      <c r="AQ1079" s="142" t="s">
        <v>1435</v>
      </c>
      <c r="AR1079" s="142" t="s">
        <v>2705</v>
      </c>
      <c r="AS1079" s="142" t="s">
        <v>2398</v>
      </c>
      <c r="AT1079" s="142" t="s">
        <v>2397</v>
      </c>
      <c r="AU1079" s="142" t="s">
        <v>2397</v>
      </c>
      <c r="AV1079" s="142" t="s">
        <v>2398</v>
      </c>
      <c r="AW1079" s="142" t="s">
        <v>2705</v>
      </c>
      <c r="AX1079" s="142" t="s">
        <v>2398</v>
      </c>
      <c r="AY1079" s="142" t="s">
        <v>2397</v>
      </c>
      <c r="AZ1079" s="142" t="s">
        <v>2705</v>
      </c>
    </row>
    <row r="1080" spans="1:52" s="142" customFormat="1" ht="12.75" x14ac:dyDescent="0.2">
      <c r="A1080" s="151"/>
      <c r="B1080" s="152" t="s">
        <v>2398</v>
      </c>
      <c r="C1080" s="152" t="s">
        <v>2705</v>
      </c>
      <c r="D1080" s="152" t="s">
        <v>2675</v>
      </c>
      <c r="E1080" s="152" t="s">
        <v>2675</v>
      </c>
      <c r="F1080" s="152" t="s">
        <v>2398</v>
      </c>
      <c r="G1080" s="152" t="s">
        <v>1435</v>
      </c>
      <c r="H1080" s="152" t="s">
        <v>2705</v>
      </c>
      <c r="I1080" s="152" t="s">
        <v>2398</v>
      </c>
      <c r="J1080" s="152" t="s">
        <v>2398</v>
      </c>
      <c r="K1080" s="152" t="s">
        <v>2398</v>
      </c>
      <c r="L1080" s="152" t="s">
        <v>2398</v>
      </c>
      <c r="M1080" s="152" t="s">
        <v>2398</v>
      </c>
      <c r="N1080" s="152" t="s">
        <v>2398</v>
      </c>
      <c r="O1080" s="152" t="s">
        <v>2398</v>
      </c>
      <c r="P1080" s="152" t="s">
        <v>2398</v>
      </c>
      <c r="Q1080" s="152" t="s">
        <v>2398</v>
      </c>
      <c r="R1080" s="152" t="s">
        <v>2675</v>
      </c>
      <c r="S1080" s="152" t="s">
        <v>2705</v>
      </c>
      <c r="T1080" s="152" t="s">
        <v>2398</v>
      </c>
      <c r="U1080" s="152" t="s">
        <v>2398</v>
      </c>
      <c r="V1080" s="142" t="str" cm="1">
        <f t="array" ref="V1080">IF(A1080&lt;&gt;"",SUM(--(B1080:U1081 = "X")*$U$3,--(B1080:U1081 ="A")*$Q$3,--(B1080:U1081 ="B")*$R$3,--(B1080:U1081 ="C")*$S$3),"")</f>
        <v/>
      </c>
      <c r="AG1080" s="142" t="s">
        <v>2398</v>
      </c>
      <c r="AH1080" s="142" t="s">
        <v>2705</v>
      </c>
      <c r="AI1080" s="142" t="s">
        <v>2675</v>
      </c>
      <c r="AJ1080" s="142" t="s">
        <v>2675</v>
      </c>
      <c r="AK1080" s="142" t="s">
        <v>2398</v>
      </c>
      <c r="AL1080" s="142" t="s">
        <v>1435</v>
      </c>
      <c r="AM1080" s="142" t="s">
        <v>2705</v>
      </c>
      <c r="AN1080" s="142" t="s">
        <v>2398</v>
      </c>
      <c r="AO1080" s="142" t="s">
        <v>2398</v>
      </c>
      <c r="AP1080" s="142" t="s">
        <v>2398</v>
      </c>
      <c r="AQ1080" s="142" t="s">
        <v>2398</v>
      </c>
      <c r="AR1080" s="142" t="s">
        <v>2398</v>
      </c>
      <c r="AS1080" s="142" t="s">
        <v>2398</v>
      </c>
      <c r="AT1080" s="142" t="s">
        <v>2398</v>
      </c>
      <c r="AU1080" s="142" t="s">
        <v>2398</v>
      </c>
      <c r="AV1080" s="142" t="s">
        <v>2398</v>
      </c>
      <c r="AW1080" s="142" t="s">
        <v>2675</v>
      </c>
      <c r="AX1080" s="142" t="s">
        <v>2705</v>
      </c>
      <c r="AY1080" s="142" t="s">
        <v>2398</v>
      </c>
      <c r="AZ1080" s="142" t="s">
        <v>2398</v>
      </c>
    </row>
    <row r="1081" spans="1:52" s="142" customFormat="1" ht="12.75" x14ac:dyDescent="0.2">
      <c r="A1081" s="151" t="s">
        <v>7857</v>
      </c>
      <c r="B1081" s="152" t="s">
        <v>2705</v>
      </c>
      <c r="C1081" s="152" t="s">
        <v>2705</v>
      </c>
      <c r="D1081" s="152" t="s">
        <v>2705</v>
      </c>
      <c r="E1081" s="152" t="s">
        <v>2398</v>
      </c>
      <c r="F1081" s="152" t="s">
        <v>2705</v>
      </c>
      <c r="G1081" s="152" t="s">
        <v>2705</v>
      </c>
      <c r="H1081" s="152" t="s">
        <v>2705</v>
      </c>
      <c r="I1081" s="152" t="s">
        <v>2675</v>
      </c>
      <c r="J1081" s="152" t="s">
        <v>2675</v>
      </c>
      <c r="K1081" s="152" t="s">
        <v>2705</v>
      </c>
      <c r="L1081" s="152" t="s">
        <v>2705</v>
      </c>
      <c r="M1081" s="152" t="s">
        <v>2705</v>
      </c>
      <c r="N1081" s="152" t="s">
        <v>2675</v>
      </c>
      <c r="O1081" s="152" t="s">
        <v>2705</v>
      </c>
      <c r="P1081" s="152" t="s">
        <v>2705</v>
      </c>
      <c r="Q1081" s="152" t="s">
        <v>1435</v>
      </c>
      <c r="R1081" s="152" t="s">
        <v>2675</v>
      </c>
      <c r="S1081" s="152" t="s">
        <v>2705</v>
      </c>
      <c r="T1081" s="152" t="s">
        <v>2398</v>
      </c>
      <c r="U1081" s="152" t="s">
        <v>2675</v>
      </c>
      <c r="V1081" s="142" cm="1">
        <f t="array" ref="V1081">IF(A1081&lt;&gt;"",SUM(--(B1081:U1082 = "X")*$U$3,--(B1081:U1082 ="A")*$Q$3,--(B1081:U1082 ="B")*$R$3,--(B1081:U1082 ="C")*$S$3),"")</f>
        <v>10</v>
      </c>
      <c r="AF1081" s="142" t="s">
        <v>7857</v>
      </c>
      <c r="AG1081" s="142" t="s">
        <v>2705</v>
      </c>
      <c r="AH1081" s="142" t="s">
        <v>2705</v>
      </c>
      <c r="AI1081" s="142" t="s">
        <v>2705</v>
      </c>
      <c r="AJ1081" s="142" t="s">
        <v>2398</v>
      </c>
      <c r="AK1081" s="142" t="s">
        <v>2705</v>
      </c>
      <c r="AL1081" s="142" t="s">
        <v>2705</v>
      </c>
      <c r="AM1081" s="142" t="s">
        <v>2705</v>
      </c>
      <c r="AN1081" s="142" t="s">
        <v>2675</v>
      </c>
      <c r="AO1081" s="142" t="s">
        <v>2675</v>
      </c>
      <c r="AP1081" s="142" t="s">
        <v>2705</v>
      </c>
      <c r="AQ1081" s="142" t="s">
        <v>2705</v>
      </c>
      <c r="AR1081" s="142" t="s">
        <v>2705</v>
      </c>
      <c r="AS1081" s="142" t="s">
        <v>2675</v>
      </c>
      <c r="AT1081" s="142" t="s">
        <v>2705</v>
      </c>
      <c r="AU1081" s="142" t="s">
        <v>2705</v>
      </c>
      <c r="AV1081" s="142" t="s">
        <v>1435</v>
      </c>
      <c r="AW1081" s="142" t="s">
        <v>2675</v>
      </c>
      <c r="AX1081" s="142" t="s">
        <v>2705</v>
      </c>
      <c r="AY1081" s="142" t="s">
        <v>2398</v>
      </c>
      <c r="AZ1081" s="142" t="s">
        <v>2675</v>
      </c>
    </row>
    <row r="1082" spans="1:52" s="142" customFormat="1" ht="12.75" x14ac:dyDescent="0.2">
      <c r="A1082" s="151"/>
      <c r="B1082" s="152" t="s">
        <v>2398</v>
      </c>
      <c r="C1082" s="152" t="s">
        <v>1435</v>
      </c>
      <c r="D1082" s="152" t="s">
        <v>1435</v>
      </c>
      <c r="E1082" s="152" t="s">
        <v>2398</v>
      </c>
      <c r="F1082" s="152" t="s">
        <v>2705</v>
      </c>
      <c r="G1082" s="152" t="s">
        <v>2675</v>
      </c>
      <c r="H1082" s="152" t="s">
        <v>2398</v>
      </c>
      <c r="I1082" s="152" t="s">
        <v>2705</v>
      </c>
      <c r="J1082" s="152" t="s">
        <v>2705</v>
      </c>
      <c r="K1082" s="152" t="s">
        <v>2675</v>
      </c>
      <c r="L1082" s="152" t="s">
        <v>2705</v>
      </c>
      <c r="M1082" s="152" t="s">
        <v>2398</v>
      </c>
      <c r="N1082" s="152" t="s">
        <v>2397</v>
      </c>
      <c r="O1082" s="152" t="s">
        <v>2398</v>
      </c>
      <c r="P1082" s="152" t="s">
        <v>2675</v>
      </c>
      <c r="Q1082" s="152" t="s">
        <v>2675</v>
      </c>
      <c r="R1082" s="152" t="s">
        <v>2705</v>
      </c>
      <c r="S1082" s="152" t="s">
        <v>2398</v>
      </c>
      <c r="T1082" s="152" t="s">
        <v>2675</v>
      </c>
      <c r="U1082" s="152" t="s">
        <v>2675</v>
      </c>
      <c r="V1082" s="142" t="str" cm="1">
        <f t="array" ref="V1082">IF(A1082&lt;&gt;"",SUM(--(B1082:U1083 = "X")*$U$3,--(B1082:U1083 ="A")*$Q$3,--(B1082:U1083 ="B")*$R$3,--(B1082:U1083 ="C")*$S$3),"")</f>
        <v/>
      </c>
      <c r="AG1082" s="142" t="s">
        <v>2398</v>
      </c>
      <c r="AH1082" s="142" t="s">
        <v>1435</v>
      </c>
      <c r="AI1082" s="142" t="s">
        <v>1435</v>
      </c>
      <c r="AJ1082" s="142" t="s">
        <v>2398</v>
      </c>
      <c r="AK1082" s="142" t="s">
        <v>2705</v>
      </c>
      <c r="AL1082" s="142" t="s">
        <v>2675</v>
      </c>
      <c r="AM1082" s="142" t="s">
        <v>2398</v>
      </c>
      <c r="AN1082" s="142" t="s">
        <v>2705</v>
      </c>
      <c r="AO1082" s="142" t="s">
        <v>2705</v>
      </c>
      <c r="AP1082" s="142" t="s">
        <v>2675</v>
      </c>
      <c r="AQ1082" s="142" t="s">
        <v>2705</v>
      </c>
      <c r="AR1082" s="142" t="s">
        <v>2398</v>
      </c>
      <c r="AS1082" s="142" t="s">
        <v>2397</v>
      </c>
      <c r="AT1082" s="142" t="s">
        <v>2398</v>
      </c>
      <c r="AU1082" s="142" t="s">
        <v>2675</v>
      </c>
      <c r="AV1082" s="142" t="s">
        <v>2675</v>
      </c>
      <c r="AW1082" s="142" t="s">
        <v>2705</v>
      </c>
      <c r="AX1082" s="142" t="s">
        <v>2398</v>
      </c>
      <c r="AY1082" s="142" t="s">
        <v>2675</v>
      </c>
      <c r="AZ1082" s="142" t="s">
        <v>2675</v>
      </c>
    </row>
    <row r="1083" spans="1:52" s="142" customFormat="1" ht="12.75" x14ac:dyDescent="0.2">
      <c r="A1083" s="151" t="s">
        <v>7858</v>
      </c>
      <c r="B1083" s="152" t="s">
        <v>2398</v>
      </c>
      <c r="C1083" s="152" t="s">
        <v>2398</v>
      </c>
      <c r="D1083" s="152" t="s">
        <v>2705</v>
      </c>
      <c r="E1083" s="152" t="s">
        <v>2705</v>
      </c>
      <c r="F1083" s="152" t="s">
        <v>2397</v>
      </c>
      <c r="G1083" s="152" t="s">
        <v>2705</v>
      </c>
      <c r="H1083" s="152" t="s">
        <v>2675</v>
      </c>
      <c r="I1083" s="152" t="s">
        <v>2705</v>
      </c>
      <c r="J1083" s="152" t="s">
        <v>2705</v>
      </c>
      <c r="K1083" s="152" t="s">
        <v>2398</v>
      </c>
      <c r="L1083" s="152" t="s">
        <v>2675</v>
      </c>
      <c r="M1083" s="152" t="s">
        <v>2705</v>
      </c>
      <c r="N1083" s="152" t="s">
        <v>1435</v>
      </c>
      <c r="O1083" s="152" t="s">
        <v>2705</v>
      </c>
      <c r="P1083" s="152" t="s">
        <v>2705</v>
      </c>
      <c r="Q1083" s="152" t="s">
        <v>2705</v>
      </c>
      <c r="R1083" s="152" t="s">
        <v>1435</v>
      </c>
      <c r="S1083" s="152" t="s">
        <v>2705</v>
      </c>
      <c r="T1083" s="152" t="s">
        <v>2398</v>
      </c>
      <c r="U1083" s="152" t="s">
        <v>2398</v>
      </c>
      <c r="V1083" s="142" cm="1">
        <f t="array" ref="V1083">IF(A1083&lt;&gt;"",SUM(--(B1083:U1084 = "X")*$U$3,--(B1083:U1084 ="A")*$Q$3,--(B1083:U1084 ="B")*$R$3,--(B1083:U1084 ="C")*$S$3),"")</f>
        <v>11</v>
      </c>
      <c r="AF1083" s="142" t="s">
        <v>7858</v>
      </c>
      <c r="AG1083" s="142" t="s">
        <v>2398</v>
      </c>
      <c r="AH1083" s="142" t="s">
        <v>2398</v>
      </c>
      <c r="AI1083" s="142" t="s">
        <v>2705</v>
      </c>
      <c r="AJ1083" s="142" t="s">
        <v>2705</v>
      </c>
      <c r="AK1083" s="142" t="s">
        <v>2397</v>
      </c>
      <c r="AL1083" s="142" t="s">
        <v>2705</v>
      </c>
      <c r="AM1083" s="142" t="s">
        <v>2675</v>
      </c>
      <c r="AN1083" s="142" t="s">
        <v>2705</v>
      </c>
      <c r="AO1083" s="142" t="s">
        <v>2705</v>
      </c>
      <c r="AP1083" s="142" t="s">
        <v>2398</v>
      </c>
      <c r="AQ1083" s="142" t="s">
        <v>2675</v>
      </c>
      <c r="AR1083" s="142" t="s">
        <v>2705</v>
      </c>
      <c r="AS1083" s="142" t="s">
        <v>1435</v>
      </c>
      <c r="AT1083" s="142" t="s">
        <v>2705</v>
      </c>
      <c r="AU1083" s="142" t="s">
        <v>2705</v>
      </c>
      <c r="AV1083" s="142" t="s">
        <v>2705</v>
      </c>
      <c r="AW1083" s="142" t="s">
        <v>1435</v>
      </c>
      <c r="AX1083" s="142" t="s">
        <v>2705</v>
      </c>
      <c r="AY1083" s="142" t="s">
        <v>2398</v>
      </c>
      <c r="AZ1083" s="142" t="s">
        <v>2398</v>
      </c>
    </row>
    <row r="1084" spans="1:52" s="142" customFormat="1" ht="12.75" x14ac:dyDescent="0.2">
      <c r="A1084" s="151"/>
      <c r="B1084" s="152" t="s">
        <v>2705</v>
      </c>
      <c r="C1084" s="152" t="s">
        <v>2705</v>
      </c>
      <c r="D1084" s="152" t="s">
        <v>1435</v>
      </c>
      <c r="E1084" s="152" t="s">
        <v>2675</v>
      </c>
      <c r="F1084" s="152" t="s">
        <v>2675</v>
      </c>
      <c r="G1084" s="152" t="s">
        <v>2398</v>
      </c>
      <c r="H1084" s="152" t="s">
        <v>1435</v>
      </c>
      <c r="I1084" s="152" t="s">
        <v>2675</v>
      </c>
      <c r="J1084" s="152" t="s">
        <v>2397</v>
      </c>
      <c r="K1084" s="152" t="s">
        <v>2397</v>
      </c>
      <c r="L1084" s="152" t="s">
        <v>2675</v>
      </c>
      <c r="M1084" s="152" t="s">
        <v>2398</v>
      </c>
      <c r="N1084" s="152" t="s">
        <v>2705</v>
      </c>
      <c r="O1084" s="152" t="s">
        <v>2397</v>
      </c>
      <c r="P1084" s="152" t="s">
        <v>2705</v>
      </c>
      <c r="Q1084" s="152" t="s">
        <v>2398</v>
      </c>
      <c r="R1084" s="152" t="s">
        <v>2398</v>
      </c>
      <c r="S1084" s="152" t="s">
        <v>2705</v>
      </c>
      <c r="T1084" s="152" t="s">
        <v>2705</v>
      </c>
      <c r="U1084" s="152" t="s">
        <v>2398</v>
      </c>
      <c r="V1084" s="142" t="str" cm="1">
        <f t="array" ref="V1084">IF(A1084&lt;&gt;"",SUM(--(B1084:U1085 = "X")*$U$3,--(B1084:U1085 ="A")*$Q$3,--(B1084:U1085 ="B")*$R$3,--(B1084:U1085 ="C")*$S$3),"")</f>
        <v/>
      </c>
      <c r="AG1084" s="142" t="s">
        <v>2705</v>
      </c>
      <c r="AH1084" s="142" t="s">
        <v>2705</v>
      </c>
      <c r="AI1084" s="142" t="s">
        <v>1435</v>
      </c>
      <c r="AJ1084" s="142" t="s">
        <v>2675</v>
      </c>
      <c r="AK1084" s="142" t="s">
        <v>2675</v>
      </c>
      <c r="AL1084" s="142" t="s">
        <v>2398</v>
      </c>
      <c r="AM1084" s="142" t="s">
        <v>1435</v>
      </c>
      <c r="AN1084" s="142" t="s">
        <v>2675</v>
      </c>
      <c r="AO1084" s="142" t="s">
        <v>2397</v>
      </c>
      <c r="AP1084" s="142" t="s">
        <v>2397</v>
      </c>
      <c r="AQ1084" s="142" t="s">
        <v>2675</v>
      </c>
      <c r="AR1084" s="142" t="s">
        <v>2398</v>
      </c>
      <c r="AS1084" s="142" t="s">
        <v>2705</v>
      </c>
      <c r="AT1084" s="142" t="s">
        <v>2397</v>
      </c>
      <c r="AU1084" s="142" t="s">
        <v>2705</v>
      </c>
      <c r="AV1084" s="142" t="s">
        <v>2398</v>
      </c>
      <c r="AW1084" s="142" t="s">
        <v>2398</v>
      </c>
      <c r="AX1084" s="142" t="s">
        <v>2705</v>
      </c>
      <c r="AY1084" s="142" t="s">
        <v>2705</v>
      </c>
      <c r="AZ1084" s="142" t="s">
        <v>2398</v>
      </c>
    </row>
    <row r="1085" spans="1:52" s="142" customFormat="1" ht="12.75" x14ac:dyDescent="0.2">
      <c r="A1085" s="151" t="s">
        <v>7859</v>
      </c>
      <c r="B1085" s="152" t="s">
        <v>2398</v>
      </c>
      <c r="C1085" s="152" t="s">
        <v>2705</v>
      </c>
      <c r="D1085" s="152" t="s">
        <v>2675</v>
      </c>
      <c r="E1085" s="152" t="s">
        <v>2705</v>
      </c>
      <c r="F1085" s="152" t="s">
        <v>2705</v>
      </c>
      <c r="G1085" s="152" t="s">
        <v>2705</v>
      </c>
      <c r="H1085" s="152" t="s">
        <v>2705</v>
      </c>
      <c r="I1085" s="152" t="s">
        <v>2398</v>
      </c>
      <c r="J1085" s="152" t="s">
        <v>2398</v>
      </c>
      <c r="K1085" s="152" t="s">
        <v>1435</v>
      </c>
      <c r="L1085" s="152" t="s">
        <v>2705</v>
      </c>
      <c r="M1085" s="152" t="s">
        <v>2705</v>
      </c>
      <c r="N1085" s="152" t="s">
        <v>1435</v>
      </c>
      <c r="O1085" s="152" t="s">
        <v>2398</v>
      </c>
      <c r="P1085" s="152" t="s">
        <v>2705</v>
      </c>
      <c r="Q1085" s="152" t="s">
        <v>2705</v>
      </c>
      <c r="R1085" s="152" t="s">
        <v>2398</v>
      </c>
      <c r="S1085" s="152" t="s">
        <v>2705</v>
      </c>
      <c r="T1085" s="152" t="s">
        <v>2398</v>
      </c>
      <c r="U1085" s="152" t="s">
        <v>2398</v>
      </c>
      <c r="V1085" s="142" cm="1">
        <f t="array" ref="V1085">IF(A1085&lt;&gt;"",SUM(--(B1085:U1086 = "X")*$U$3,--(B1085:U1086 ="A")*$Q$3,--(B1085:U1086 ="B")*$R$3,--(B1085:U1086 ="C")*$S$3),"")</f>
        <v>22</v>
      </c>
      <c r="AF1085" s="142" t="s">
        <v>7859</v>
      </c>
      <c r="AG1085" s="142" t="s">
        <v>2398</v>
      </c>
      <c r="AH1085" s="142" t="s">
        <v>2705</v>
      </c>
      <c r="AI1085" s="142" t="s">
        <v>2675</v>
      </c>
      <c r="AJ1085" s="142" t="s">
        <v>2705</v>
      </c>
      <c r="AK1085" s="142" t="s">
        <v>2705</v>
      </c>
      <c r="AL1085" s="142" t="s">
        <v>2705</v>
      </c>
      <c r="AM1085" s="142" t="s">
        <v>2705</v>
      </c>
      <c r="AN1085" s="142" t="s">
        <v>2398</v>
      </c>
      <c r="AO1085" s="142" t="s">
        <v>2398</v>
      </c>
      <c r="AP1085" s="142" t="s">
        <v>1435</v>
      </c>
      <c r="AQ1085" s="142" t="s">
        <v>2705</v>
      </c>
      <c r="AR1085" s="142" t="s">
        <v>2705</v>
      </c>
      <c r="AS1085" s="142" t="s">
        <v>1435</v>
      </c>
      <c r="AT1085" s="142" t="s">
        <v>2398</v>
      </c>
      <c r="AU1085" s="142" t="s">
        <v>2705</v>
      </c>
      <c r="AV1085" s="142" t="s">
        <v>2705</v>
      </c>
      <c r="AW1085" s="142" t="s">
        <v>2398</v>
      </c>
      <c r="AX1085" s="142" t="s">
        <v>2705</v>
      </c>
      <c r="AY1085" s="142" t="s">
        <v>2398</v>
      </c>
      <c r="AZ1085" s="142" t="s">
        <v>2398</v>
      </c>
    </row>
    <row r="1086" spans="1:52" s="142" customFormat="1" ht="12.75" x14ac:dyDescent="0.2">
      <c r="A1086" s="151"/>
      <c r="B1086" s="152" t="s">
        <v>2398</v>
      </c>
      <c r="C1086" s="152" t="s">
        <v>2705</v>
      </c>
      <c r="D1086" s="152" t="s">
        <v>2705</v>
      </c>
      <c r="E1086" s="152" t="s">
        <v>2705</v>
      </c>
      <c r="F1086" s="152" t="s">
        <v>2705</v>
      </c>
      <c r="G1086" s="152" t="s">
        <v>2705</v>
      </c>
      <c r="H1086" s="152" t="s">
        <v>2398</v>
      </c>
      <c r="I1086" s="152" t="s">
        <v>2705</v>
      </c>
      <c r="J1086" s="152" t="s">
        <v>2705</v>
      </c>
      <c r="K1086" s="152" t="s">
        <v>2675</v>
      </c>
      <c r="L1086" s="152" t="s">
        <v>2398</v>
      </c>
      <c r="M1086" s="152" t="s">
        <v>2398</v>
      </c>
      <c r="N1086" s="152" t="s">
        <v>2705</v>
      </c>
      <c r="O1086" s="152" t="s">
        <v>2705</v>
      </c>
      <c r="P1086" s="152" t="s">
        <v>2398</v>
      </c>
      <c r="Q1086" s="152" t="s">
        <v>2705</v>
      </c>
      <c r="R1086" s="152" t="s">
        <v>2705</v>
      </c>
      <c r="S1086" s="152" t="s">
        <v>2705</v>
      </c>
      <c r="T1086" s="152" t="s">
        <v>2705</v>
      </c>
      <c r="U1086" s="152" t="s">
        <v>2705</v>
      </c>
      <c r="V1086" s="142" t="str" cm="1">
        <f t="array" ref="V1086">IF(A1086&lt;&gt;"",SUM(--(B1086:U1087 = "X")*$U$3,--(B1086:U1087 ="A")*$Q$3,--(B1086:U1087 ="B")*$R$3,--(B1086:U1087 ="C")*$S$3),"")</f>
        <v/>
      </c>
      <c r="AG1086" s="142" t="s">
        <v>2398</v>
      </c>
      <c r="AH1086" s="142" t="s">
        <v>2705</v>
      </c>
      <c r="AI1086" s="142" t="s">
        <v>2705</v>
      </c>
      <c r="AJ1086" s="142" t="s">
        <v>2705</v>
      </c>
      <c r="AK1086" s="142" t="s">
        <v>2705</v>
      </c>
      <c r="AL1086" s="142" t="s">
        <v>2705</v>
      </c>
      <c r="AM1086" s="142" t="s">
        <v>2398</v>
      </c>
      <c r="AN1086" s="142" t="s">
        <v>2705</v>
      </c>
      <c r="AO1086" s="142" t="s">
        <v>2705</v>
      </c>
      <c r="AP1086" s="142" t="s">
        <v>2675</v>
      </c>
      <c r="AQ1086" s="142" t="s">
        <v>2398</v>
      </c>
      <c r="AR1086" s="142" t="s">
        <v>2398</v>
      </c>
      <c r="AS1086" s="142" t="s">
        <v>2705</v>
      </c>
      <c r="AT1086" s="142" t="s">
        <v>2705</v>
      </c>
      <c r="AU1086" s="142" t="s">
        <v>2398</v>
      </c>
      <c r="AV1086" s="142" t="s">
        <v>2705</v>
      </c>
      <c r="AW1086" s="142" t="s">
        <v>2705</v>
      </c>
      <c r="AX1086" s="142" t="s">
        <v>2705</v>
      </c>
      <c r="AY1086" s="142" t="s">
        <v>2705</v>
      </c>
      <c r="AZ1086" s="142" t="s">
        <v>2705</v>
      </c>
    </row>
    <row r="1087" spans="1:52" s="142" customFormat="1" ht="12.75" x14ac:dyDescent="0.2">
      <c r="A1087" s="151" t="s">
        <v>7860</v>
      </c>
      <c r="B1087" s="152" t="s">
        <v>2398</v>
      </c>
      <c r="C1087" s="152" t="s">
        <v>2398</v>
      </c>
      <c r="D1087" s="152" t="s">
        <v>2675</v>
      </c>
      <c r="E1087" s="152" t="s">
        <v>2398</v>
      </c>
      <c r="F1087" s="152" t="s">
        <v>1435</v>
      </c>
      <c r="G1087" s="152" t="s">
        <v>1435</v>
      </c>
      <c r="H1087" s="152" t="s">
        <v>2675</v>
      </c>
      <c r="I1087" s="152" t="s">
        <v>2398</v>
      </c>
      <c r="J1087" s="152" t="s">
        <v>2675</v>
      </c>
      <c r="K1087" s="152" t="s">
        <v>2397</v>
      </c>
      <c r="L1087" s="152" t="s">
        <v>2398</v>
      </c>
      <c r="M1087" s="152" t="s">
        <v>2398</v>
      </c>
      <c r="N1087" s="152" t="s">
        <v>2705</v>
      </c>
      <c r="O1087" s="152" t="s">
        <v>2398</v>
      </c>
      <c r="P1087" s="152" t="s">
        <v>2398</v>
      </c>
      <c r="Q1087" s="152" t="s">
        <v>2675</v>
      </c>
      <c r="R1087" s="152" t="s">
        <v>2705</v>
      </c>
      <c r="S1087" s="152" t="s">
        <v>2705</v>
      </c>
      <c r="T1087" s="152" t="s">
        <v>2398</v>
      </c>
      <c r="U1087" s="152" t="s">
        <v>2398</v>
      </c>
      <c r="V1087" s="142" cm="1">
        <f t="array" ref="V1087">IF(A1087&lt;&gt;"",SUM(--(B1087:U1088 = "X")*$U$3,--(B1087:U1088 ="A")*$Q$3,--(B1087:U1088 ="B")*$R$3,--(B1087:U1088 ="C")*$S$3),"")</f>
        <v>5.5</v>
      </c>
      <c r="AF1087" s="142" t="s">
        <v>7860</v>
      </c>
      <c r="AG1087" s="142" t="s">
        <v>2398</v>
      </c>
      <c r="AH1087" s="142" t="s">
        <v>2398</v>
      </c>
      <c r="AI1087" s="142" t="s">
        <v>2675</v>
      </c>
      <c r="AJ1087" s="142" t="s">
        <v>2398</v>
      </c>
      <c r="AK1087" s="142" t="s">
        <v>1435</v>
      </c>
      <c r="AL1087" s="142" t="s">
        <v>1435</v>
      </c>
      <c r="AM1087" s="142" t="s">
        <v>2675</v>
      </c>
      <c r="AN1087" s="142" t="s">
        <v>2398</v>
      </c>
      <c r="AO1087" s="142" t="s">
        <v>2675</v>
      </c>
      <c r="AP1087" s="142" t="s">
        <v>2397</v>
      </c>
      <c r="AQ1087" s="142" t="s">
        <v>2398</v>
      </c>
      <c r="AR1087" s="142" t="s">
        <v>2398</v>
      </c>
      <c r="AS1087" s="142" t="s">
        <v>2705</v>
      </c>
      <c r="AT1087" s="142" t="s">
        <v>2398</v>
      </c>
      <c r="AU1087" s="142" t="s">
        <v>2398</v>
      </c>
      <c r="AV1087" s="142" t="s">
        <v>2675</v>
      </c>
      <c r="AW1087" s="142" t="s">
        <v>2705</v>
      </c>
      <c r="AX1087" s="142" t="s">
        <v>2705</v>
      </c>
      <c r="AY1087" s="142" t="s">
        <v>2398</v>
      </c>
      <c r="AZ1087" s="142" t="s">
        <v>2398</v>
      </c>
    </row>
    <row r="1088" spans="1:52" s="142" customFormat="1" ht="12.75" x14ac:dyDescent="0.2">
      <c r="A1088" s="151"/>
      <c r="B1088" s="152" t="s">
        <v>2705</v>
      </c>
      <c r="C1088" s="152" t="s">
        <v>2705</v>
      </c>
      <c r="D1088" s="152" t="s">
        <v>2398</v>
      </c>
      <c r="E1088" s="152" t="s">
        <v>2705</v>
      </c>
      <c r="F1088" s="152" t="s">
        <v>2398</v>
      </c>
      <c r="G1088" s="152" t="s">
        <v>2705</v>
      </c>
      <c r="H1088" s="152" t="s">
        <v>2705</v>
      </c>
      <c r="I1088" s="152" t="s">
        <v>2398</v>
      </c>
      <c r="J1088" s="152" t="s">
        <v>2675</v>
      </c>
      <c r="K1088" s="152" t="s">
        <v>1435</v>
      </c>
      <c r="L1088" s="152" t="s">
        <v>2675</v>
      </c>
      <c r="M1088" s="152" t="s">
        <v>2705</v>
      </c>
      <c r="N1088" s="152" t="s">
        <v>2705</v>
      </c>
      <c r="O1088" s="152" t="s">
        <v>2398</v>
      </c>
      <c r="P1088" s="152" t="s">
        <v>2398</v>
      </c>
      <c r="Q1088" s="152" t="s">
        <v>2705</v>
      </c>
      <c r="R1088" s="152" t="s">
        <v>1435</v>
      </c>
      <c r="S1088" s="152" t="s">
        <v>2398</v>
      </c>
      <c r="T1088" s="152" t="s">
        <v>2398</v>
      </c>
      <c r="U1088" s="152" t="s">
        <v>2675</v>
      </c>
      <c r="V1088" s="142" t="str" cm="1">
        <f t="array" ref="V1088">IF(A1088&lt;&gt;"",SUM(--(B1088:U1089 = "X")*$U$3,--(B1088:U1089 ="A")*$Q$3,--(B1088:U1089 ="B")*$R$3,--(B1088:U1089 ="C")*$S$3),"")</f>
        <v/>
      </c>
      <c r="AG1088" s="142" t="s">
        <v>2705</v>
      </c>
      <c r="AH1088" s="142" t="s">
        <v>2705</v>
      </c>
      <c r="AI1088" s="142" t="s">
        <v>2398</v>
      </c>
      <c r="AJ1088" s="142" t="s">
        <v>2705</v>
      </c>
      <c r="AK1088" s="142" t="s">
        <v>2398</v>
      </c>
      <c r="AL1088" s="142" t="s">
        <v>2705</v>
      </c>
      <c r="AM1088" s="142" t="s">
        <v>2705</v>
      </c>
      <c r="AN1088" s="142" t="s">
        <v>2398</v>
      </c>
      <c r="AO1088" s="142" t="s">
        <v>2675</v>
      </c>
      <c r="AP1088" s="142" t="s">
        <v>1435</v>
      </c>
      <c r="AQ1088" s="142" t="s">
        <v>2675</v>
      </c>
      <c r="AR1088" s="142" t="s">
        <v>2705</v>
      </c>
      <c r="AS1088" s="142" t="s">
        <v>2705</v>
      </c>
      <c r="AT1088" s="142" t="s">
        <v>2398</v>
      </c>
      <c r="AU1088" s="142" t="s">
        <v>2398</v>
      </c>
      <c r="AV1088" s="142" t="s">
        <v>2705</v>
      </c>
      <c r="AW1088" s="142" t="s">
        <v>1435</v>
      </c>
      <c r="AX1088" s="142" t="s">
        <v>2398</v>
      </c>
      <c r="AY1088" s="142" t="s">
        <v>2398</v>
      </c>
      <c r="AZ1088" s="142" t="s">
        <v>2675</v>
      </c>
    </row>
    <row r="1089" spans="1:52" s="142" customFormat="1" ht="12.75" x14ac:dyDescent="0.2">
      <c r="A1089" s="151" t="s">
        <v>7861</v>
      </c>
      <c r="B1089" s="152" t="s">
        <v>2705</v>
      </c>
      <c r="C1089" s="152" t="s">
        <v>2705</v>
      </c>
      <c r="D1089" s="152" t="s">
        <v>2705</v>
      </c>
      <c r="E1089" s="152" t="s">
        <v>2675</v>
      </c>
      <c r="F1089" s="152" t="s">
        <v>2705</v>
      </c>
      <c r="G1089" s="152" t="s">
        <v>2705</v>
      </c>
      <c r="H1089" s="152" t="s">
        <v>2705</v>
      </c>
      <c r="I1089" s="152" t="s">
        <v>2397</v>
      </c>
      <c r="J1089" s="152" t="s">
        <v>2675</v>
      </c>
      <c r="K1089" s="152" t="s">
        <v>2398</v>
      </c>
      <c r="L1089" s="152" t="s">
        <v>2705</v>
      </c>
      <c r="M1089" s="152" t="s">
        <v>1435</v>
      </c>
      <c r="N1089" s="152" t="s">
        <v>2705</v>
      </c>
      <c r="O1089" s="152" t="s">
        <v>2705</v>
      </c>
      <c r="P1089" s="152" t="s">
        <v>2398</v>
      </c>
      <c r="Q1089" s="152" t="s">
        <v>2705</v>
      </c>
      <c r="R1089" s="152" t="s">
        <v>2675</v>
      </c>
      <c r="S1089" s="152" t="s">
        <v>2398</v>
      </c>
      <c r="T1089" s="152" t="s">
        <v>2705</v>
      </c>
      <c r="U1089" s="152" t="s">
        <v>2675</v>
      </c>
      <c r="V1089" s="142" cm="1">
        <f t="array" ref="V1089">IF(A1089&lt;&gt;"",SUM(--(B1089:U1090 = "X")*$U$3,--(B1089:U1090 ="A")*$Q$3,--(B1089:U1090 ="B")*$R$3,--(B1089:U1090 ="C")*$S$3),"")</f>
        <v>10</v>
      </c>
      <c r="AF1089" s="142" t="s">
        <v>7861</v>
      </c>
      <c r="AG1089" s="142" t="s">
        <v>2705</v>
      </c>
      <c r="AH1089" s="142" t="s">
        <v>2705</v>
      </c>
      <c r="AI1089" s="142" t="s">
        <v>2705</v>
      </c>
      <c r="AJ1089" s="142" t="s">
        <v>2675</v>
      </c>
      <c r="AK1089" s="142" t="s">
        <v>2705</v>
      </c>
      <c r="AL1089" s="142" t="s">
        <v>2705</v>
      </c>
      <c r="AM1089" s="142" t="s">
        <v>2705</v>
      </c>
      <c r="AN1089" s="142" t="s">
        <v>2397</v>
      </c>
      <c r="AO1089" s="142" t="s">
        <v>2675</v>
      </c>
      <c r="AP1089" s="142" t="s">
        <v>2398</v>
      </c>
      <c r="AQ1089" s="142" t="s">
        <v>2705</v>
      </c>
      <c r="AR1089" s="142" t="s">
        <v>1435</v>
      </c>
      <c r="AS1089" s="142" t="s">
        <v>2705</v>
      </c>
      <c r="AT1089" s="142" t="s">
        <v>2705</v>
      </c>
      <c r="AU1089" s="142" t="s">
        <v>2398</v>
      </c>
      <c r="AV1089" s="142" t="s">
        <v>2705</v>
      </c>
      <c r="AW1089" s="142" t="s">
        <v>2675</v>
      </c>
      <c r="AX1089" s="142" t="s">
        <v>2398</v>
      </c>
      <c r="AY1089" s="142" t="s">
        <v>2705</v>
      </c>
      <c r="AZ1089" s="142" t="s">
        <v>2675</v>
      </c>
    </row>
    <row r="1090" spans="1:52" s="142" customFormat="1" ht="12.75" x14ac:dyDescent="0.2">
      <c r="A1090" s="151"/>
      <c r="B1090" s="152" t="s">
        <v>2705</v>
      </c>
      <c r="C1090" s="152" t="s">
        <v>2398</v>
      </c>
      <c r="D1090" s="152" t="s">
        <v>2675</v>
      </c>
      <c r="E1090" s="152" t="s">
        <v>2705</v>
      </c>
      <c r="F1090" s="152" t="s">
        <v>2675</v>
      </c>
      <c r="G1090" s="152" t="s">
        <v>2705</v>
      </c>
      <c r="H1090" s="152" t="s">
        <v>2398</v>
      </c>
      <c r="I1090" s="152" t="s">
        <v>2398</v>
      </c>
      <c r="J1090" s="152" t="s">
        <v>2398</v>
      </c>
      <c r="K1090" s="152" t="s">
        <v>2398</v>
      </c>
      <c r="L1090" s="152" t="s">
        <v>2398</v>
      </c>
      <c r="M1090" s="152" t="s">
        <v>2398</v>
      </c>
      <c r="N1090" s="152" t="s">
        <v>1435</v>
      </c>
      <c r="O1090" s="152" t="s">
        <v>2705</v>
      </c>
      <c r="P1090" s="152" t="s">
        <v>2398</v>
      </c>
      <c r="Q1090" s="152" t="s">
        <v>2398</v>
      </c>
      <c r="R1090" s="152" t="s">
        <v>2675</v>
      </c>
      <c r="S1090" s="152" t="s">
        <v>2398</v>
      </c>
      <c r="T1090" s="152" t="s">
        <v>2398</v>
      </c>
      <c r="U1090" s="152" t="s">
        <v>1435</v>
      </c>
      <c r="V1090" s="142" t="str" cm="1">
        <f t="array" ref="V1090">IF(A1090&lt;&gt;"",SUM(--(B1090:U1091 = "X")*$U$3,--(B1090:U1091 ="A")*$Q$3,--(B1090:U1091 ="B")*$R$3,--(B1090:U1091 ="C")*$S$3),"")</f>
        <v/>
      </c>
      <c r="AG1090" s="142" t="s">
        <v>2705</v>
      </c>
      <c r="AH1090" s="142" t="s">
        <v>2398</v>
      </c>
      <c r="AI1090" s="142" t="s">
        <v>2675</v>
      </c>
      <c r="AJ1090" s="142" t="s">
        <v>2705</v>
      </c>
      <c r="AK1090" s="142" t="s">
        <v>2675</v>
      </c>
      <c r="AL1090" s="142" t="s">
        <v>2705</v>
      </c>
      <c r="AM1090" s="142" t="s">
        <v>2398</v>
      </c>
      <c r="AN1090" s="142" t="s">
        <v>2398</v>
      </c>
      <c r="AO1090" s="142" t="s">
        <v>2398</v>
      </c>
      <c r="AP1090" s="142" t="s">
        <v>2398</v>
      </c>
      <c r="AQ1090" s="142" t="s">
        <v>2398</v>
      </c>
      <c r="AR1090" s="142" t="s">
        <v>2398</v>
      </c>
      <c r="AS1090" s="142" t="s">
        <v>1435</v>
      </c>
      <c r="AT1090" s="142" t="s">
        <v>2705</v>
      </c>
      <c r="AU1090" s="142" t="s">
        <v>2398</v>
      </c>
      <c r="AV1090" s="142" t="s">
        <v>2398</v>
      </c>
      <c r="AW1090" s="142" t="s">
        <v>2675</v>
      </c>
      <c r="AX1090" s="142" t="s">
        <v>2398</v>
      </c>
      <c r="AY1090" s="142" t="s">
        <v>2398</v>
      </c>
      <c r="AZ1090" s="142" t="s">
        <v>1435</v>
      </c>
    </row>
    <row r="1091" spans="1:52" s="142" customFormat="1" ht="12.75" x14ac:dyDescent="0.2">
      <c r="A1091" s="151" t="s">
        <v>7862</v>
      </c>
      <c r="B1091" s="152" t="s">
        <v>2398</v>
      </c>
      <c r="C1091" s="152" t="s">
        <v>2705</v>
      </c>
      <c r="D1091" s="152" t="s">
        <v>2397</v>
      </c>
      <c r="E1091" s="152" t="s">
        <v>2705</v>
      </c>
      <c r="F1091" s="152" t="s">
        <v>2705</v>
      </c>
      <c r="G1091" s="152" t="s">
        <v>2705</v>
      </c>
      <c r="H1091" s="152" t="s">
        <v>1435</v>
      </c>
      <c r="I1091" s="152" t="s">
        <v>2705</v>
      </c>
      <c r="J1091" s="152" t="s">
        <v>2705</v>
      </c>
      <c r="K1091" s="152" t="s">
        <v>2705</v>
      </c>
      <c r="L1091" s="152" t="s">
        <v>2705</v>
      </c>
      <c r="M1091" s="152" t="s">
        <v>2705</v>
      </c>
      <c r="N1091" s="152" t="s">
        <v>2397</v>
      </c>
      <c r="O1091" s="152" t="s">
        <v>2705</v>
      </c>
      <c r="P1091" s="152" t="s">
        <v>1435</v>
      </c>
      <c r="Q1091" s="152" t="s">
        <v>2705</v>
      </c>
      <c r="R1091" s="152" t="s">
        <v>2705</v>
      </c>
      <c r="S1091" s="152" t="s">
        <v>2705</v>
      </c>
      <c r="T1091" s="152" t="s">
        <v>2397</v>
      </c>
      <c r="U1091" s="152" t="s">
        <v>2705</v>
      </c>
      <c r="V1091" s="142" cm="1">
        <f t="array" ref="V1091">IF(A1091&lt;&gt;"",SUM(--(B1091:U1092 = "X")*$U$3,--(B1091:U1092 ="A")*$Q$3,--(B1091:U1092 ="B")*$R$3,--(B1091:U1092 ="C")*$S$3),"")</f>
        <v>23</v>
      </c>
      <c r="AF1091" s="142" t="s">
        <v>7862</v>
      </c>
      <c r="AG1091" s="142" t="s">
        <v>2398</v>
      </c>
      <c r="AH1091" s="142" t="s">
        <v>2705</v>
      </c>
      <c r="AI1091" s="142" t="s">
        <v>2397</v>
      </c>
      <c r="AJ1091" s="142" t="s">
        <v>2705</v>
      </c>
      <c r="AK1091" s="142" t="s">
        <v>2705</v>
      </c>
      <c r="AL1091" s="142" t="s">
        <v>2705</v>
      </c>
      <c r="AM1091" s="142" t="s">
        <v>1435</v>
      </c>
      <c r="AN1091" s="142" t="s">
        <v>2705</v>
      </c>
      <c r="AO1091" s="142" t="s">
        <v>2705</v>
      </c>
      <c r="AP1091" s="142" t="s">
        <v>2705</v>
      </c>
      <c r="AQ1091" s="142" t="s">
        <v>2705</v>
      </c>
      <c r="AR1091" s="142" t="s">
        <v>2705</v>
      </c>
      <c r="AS1091" s="142" t="s">
        <v>2397</v>
      </c>
      <c r="AT1091" s="142" t="s">
        <v>2705</v>
      </c>
      <c r="AU1091" s="142" t="s">
        <v>1435</v>
      </c>
      <c r="AV1091" s="142" t="s">
        <v>2705</v>
      </c>
      <c r="AW1091" s="142" t="s">
        <v>2705</v>
      </c>
      <c r="AX1091" s="142" t="s">
        <v>2705</v>
      </c>
      <c r="AY1091" s="142" t="s">
        <v>2397</v>
      </c>
      <c r="AZ1091" s="142" t="s">
        <v>2705</v>
      </c>
    </row>
    <row r="1092" spans="1:52" s="142" customFormat="1" ht="12.75" x14ac:dyDescent="0.2">
      <c r="A1092" s="151"/>
      <c r="B1092" s="152" t="s">
        <v>2398</v>
      </c>
      <c r="C1092" s="152" t="s">
        <v>2398</v>
      </c>
      <c r="D1092" s="152" t="s">
        <v>2705</v>
      </c>
      <c r="E1092" s="152" t="s">
        <v>2398</v>
      </c>
      <c r="F1092" s="152" t="s">
        <v>2705</v>
      </c>
      <c r="G1092" s="152" t="s">
        <v>2705</v>
      </c>
      <c r="H1092" s="152" t="s">
        <v>2705</v>
      </c>
      <c r="I1092" s="152" t="s">
        <v>2705</v>
      </c>
      <c r="J1092" s="152" t="s">
        <v>2397</v>
      </c>
      <c r="K1092" s="152" t="s">
        <v>2398</v>
      </c>
      <c r="L1092" s="152" t="s">
        <v>2398</v>
      </c>
      <c r="M1092" s="152" t="s">
        <v>2705</v>
      </c>
      <c r="N1092" s="152" t="s">
        <v>2398</v>
      </c>
      <c r="O1092" s="152" t="s">
        <v>2398</v>
      </c>
      <c r="P1092" s="152" t="s">
        <v>2705</v>
      </c>
      <c r="Q1092" s="152" t="s">
        <v>2705</v>
      </c>
      <c r="R1092" s="152" t="s">
        <v>2705</v>
      </c>
      <c r="S1092" s="152" t="s">
        <v>2705</v>
      </c>
      <c r="T1092" s="152" t="s">
        <v>2397</v>
      </c>
      <c r="U1092" s="152" t="s">
        <v>2398</v>
      </c>
      <c r="V1092" s="142" t="str" cm="1">
        <f t="array" ref="V1092">IF(A1092&lt;&gt;"",SUM(--(B1092:U1093 = "X")*$U$3,--(B1092:U1093 ="A")*$Q$3,--(B1092:U1093 ="B")*$R$3,--(B1092:U1093 ="C")*$S$3),"")</f>
        <v/>
      </c>
      <c r="AG1092" s="142" t="s">
        <v>2398</v>
      </c>
      <c r="AH1092" s="142" t="s">
        <v>2398</v>
      </c>
      <c r="AI1092" s="142" t="s">
        <v>2705</v>
      </c>
      <c r="AJ1092" s="142" t="s">
        <v>2398</v>
      </c>
      <c r="AK1092" s="142" t="s">
        <v>2705</v>
      </c>
      <c r="AL1092" s="142" t="s">
        <v>2705</v>
      </c>
      <c r="AM1092" s="142" t="s">
        <v>2705</v>
      </c>
      <c r="AN1092" s="142" t="s">
        <v>2705</v>
      </c>
      <c r="AO1092" s="142" t="s">
        <v>2397</v>
      </c>
      <c r="AP1092" s="142" t="s">
        <v>2398</v>
      </c>
      <c r="AQ1092" s="142" t="s">
        <v>2398</v>
      </c>
      <c r="AR1092" s="142" t="s">
        <v>2705</v>
      </c>
      <c r="AS1092" s="142" t="s">
        <v>2398</v>
      </c>
      <c r="AT1092" s="142" t="s">
        <v>2398</v>
      </c>
      <c r="AU1092" s="142" t="s">
        <v>2705</v>
      </c>
      <c r="AV1092" s="142" t="s">
        <v>2705</v>
      </c>
      <c r="AW1092" s="142" t="s">
        <v>2705</v>
      </c>
      <c r="AX1092" s="142" t="s">
        <v>2705</v>
      </c>
      <c r="AY1092" s="142" t="s">
        <v>2397</v>
      </c>
      <c r="AZ1092" s="142" t="s">
        <v>2398</v>
      </c>
    </row>
    <row r="1093" spans="1:52" s="142" customFormat="1" ht="12.75" x14ac:dyDescent="0.2">
      <c r="A1093" s="151" t="s">
        <v>7863</v>
      </c>
      <c r="B1093" s="152" t="s">
        <v>2705</v>
      </c>
      <c r="C1093" s="152" t="s">
        <v>2398</v>
      </c>
      <c r="D1093" s="152" t="s">
        <v>2705</v>
      </c>
      <c r="E1093" s="152" t="s">
        <v>2705</v>
      </c>
      <c r="F1093" s="152" t="s">
        <v>2705</v>
      </c>
      <c r="G1093" s="152" t="s">
        <v>2705</v>
      </c>
      <c r="H1093" s="152" t="s">
        <v>2675</v>
      </c>
      <c r="I1093" s="152" t="s">
        <v>2705</v>
      </c>
      <c r="J1093" s="152" t="s">
        <v>2675</v>
      </c>
      <c r="K1093" s="152" t="s">
        <v>2675</v>
      </c>
      <c r="L1093" s="152" t="s">
        <v>2398</v>
      </c>
      <c r="M1093" s="152" t="s">
        <v>2705</v>
      </c>
      <c r="N1093" s="152" t="s">
        <v>2398</v>
      </c>
      <c r="O1093" s="152" t="s">
        <v>1435</v>
      </c>
      <c r="P1093" s="152" t="s">
        <v>2705</v>
      </c>
      <c r="Q1093" s="152" t="s">
        <v>2705</v>
      </c>
      <c r="R1093" s="152" t="s">
        <v>2398</v>
      </c>
      <c r="S1093" s="152" t="s">
        <v>2705</v>
      </c>
      <c r="T1093" s="152" t="s">
        <v>2705</v>
      </c>
      <c r="U1093" s="152" t="s">
        <v>2705</v>
      </c>
      <c r="V1093" s="142" cm="1">
        <f t="array" ref="V1093">IF(A1093&lt;&gt;"",SUM(--(B1093:U1094 = "X")*$U$3,--(B1093:U1094 ="A")*$Q$3,--(B1093:U1094 ="B")*$R$3,--(B1093:U1094 ="C")*$S$3),"")</f>
        <v>12</v>
      </c>
      <c r="AF1093" s="142" t="s">
        <v>7863</v>
      </c>
      <c r="AG1093" s="142" t="s">
        <v>2705</v>
      </c>
      <c r="AH1093" s="142" t="s">
        <v>2398</v>
      </c>
      <c r="AI1093" s="142" t="s">
        <v>2705</v>
      </c>
      <c r="AJ1093" s="142" t="s">
        <v>2705</v>
      </c>
      <c r="AK1093" s="142" t="s">
        <v>2705</v>
      </c>
      <c r="AL1093" s="142" t="s">
        <v>2705</v>
      </c>
      <c r="AM1093" s="142" t="s">
        <v>2675</v>
      </c>
      <c r="AN1093" s="142" t="s">
        <v>2705</v>
      </c>
      <c r="AO1093" s="142" t="s">
        <v>2675</v>
      </c>
      <c r="AP1093" s="142" t="s">
        <v>2675</v>
      </c>
      <c r="AQ1093" s="142" t="s">
        <v>2398</v>
      </c>
      <c r="AR1093" s="142" t="s">
        <v>2705</v>
      </c>
      <c r="AS1093" s="142" t="s">
        <v>2398</v>
      </c>
      <c r="AT1093" s="142" t="s">
        <v>1435</v>
      </c>
      <c r="AU1093" s="142" t="s">
        <v>2705</v>
      </c>
      <c r="AV1093" s="142" t="s">
        <v>2705</v>
      </c>
      <c r="AW1093" s="142" t="s">
        <v>2398</v>
      </c>
      <c r="AX1093" s="142" t="s">
        <v>2705</v>
      </c>
      <c r="AY1093" s="142" t="s">
        <v>2705</v>
      </c>
      <c r="AZ1093" s="142" t="s">
        <v>2705</v>
      </c>
    </row>
    <row r="1094" spans="1:52" s="142" customFormat="1" ht="12.75" x14ac:dyDescent="0.2">
      <c r="A1094" s="151"/>
      <c r="B1094" s="152" t="s">
        <v>2398</v>
      </c>
      <c r="C1094" s="152" t="s">
        <v>2675</v>
      </c>
      <c r="D1094" s="152" t="s">
        <v>1435</v>
      </c>
      <c r="E1094" s="152" t="s">
        <v>2705</v>
      </c>
      <c r="F1094" s="152" t="s">
        <v>2705</v>
      </c>
      <c r="G1094" s="152" t="s">
        <v>1435</v>
      </c>
      <c r="H1094" s="152" t="s">
        <v>2705</v>
      </c>
      <c r="I1094" s="152" t="s">
        <v>2675</v>
      </c>
      <c r="J1094" s="152" t="s">
        <v>2398</v>
      </c>
      <c r="K1094" s="152" t="s">
        <v>2398</v>
      </c>
      <c r="L1094" s="152" t="s">
        <v>2705</v>
      </c>
      <c r="M1094" s="152" t="s">
        <v>1435</v>
      </c>
      <c r="N1094" s="152" t="s">
        <v>2397</v>
      </c>
      <c r="O1094" s="152" t="s">
        <v>1435</v>
      </c>
      <c r="P1094" s="152" t="s">
        <v>2675</v>
      </c>
      <c r="Q1094" s="152" t="s">
        <v>2705</v>
      </c>
      <c r="R1094" s="152" t="s">
        <v>1435</v>
      </c>
      <c r="S1094" s="152" t="s">
        <v>2397</v>
      </c>
      <c r="T1094" s="152" t="s">
        <v>2705</v>
      </c>
      <c r="U1094" s="152" t="s">
        <v>2398</v>
      </c>
      <c r="V1094" s="142" t="str" cm="1">
        <f t="array" ref="V1094">IF(A1094&lt;&gt;"",SUM(--(B1094:U1095 = "X")*$U$3,--(B1094:U1095 ="A")*$Q$3,--(B1094:U1095 ="B")*$R$3,--(B1094:U1095 ="C")*$S$3),"")</f>
        <v/>
      </c>
      <c r="AG1094" s="142" t="s">
        <v>2398</v>
      </c>
      <c r="AH1094" s="142" t="s">
        <v>2675</v>
      </c>
      <c r="AI1094" s="142" t="s">
        <v>1435</v>
      </c>
      <c r="AJ1094" s="142" t="s">
        <v>2705</v>
      </c>
      <c r="AK1094" s="142" t="s">
        <v>2705</v>
      </c>
      <c r="AL1094" s="142" t="s">
        <v>1435</v>
      </c>
      <c r="AM1094" s="142" t="s">
        <v>2705</v>
      </c>
      <c r="AN1094" s="142" t="s">
        <v>2675</v>
      </c>
      <c r="AO1094" s="142" t="s">
        <v>2398</v>
      </c>
      <c r="AP1094" s="142" t="s">
        <v>2398</v>
      </c>
      <c r="AQ1094" s="142" t="s">
        <v>2705</v>
      </c>
      <c r="AR1094" s="142" t="s">
        <v>1435</v>
      </c>
      <c r="AS1094" s="142" t="s">
        <v>2397</v>
      </c>
      <c r="AT1094" s="142" t="s">
        <v>1435</v>
      </c>
      <c r="AU1094" s="142" t="s">
        <v>2675</v>
      </c>
      <c r="AV1094" s="142" t="s">
        <v>2705</v>
      </c>
      <c r="AW1094" s="142" t="s">
        <v>1435</v>
      </c>
      <c r="AX1094" s="142" t="s">
        <v>2397</v>
      </c>
      <c r="AY1094" s="142" t="s">
        <v>2705</v>
      </c>
      <c r="AZ1094" s="142" t="s">
        <v>2398</v>
      </c>
    </row>
    <row r="1095" spans="1:52" s="142" customFormat="1" ht="12.75" x14ac:dyDescent="0.2">
      <c r="A1095" s="151" t="s">
        <v>7864</v>
      </c>
      <c r="B1095" s="152" t="s">
        <v>2705</v>
      </c>
      <c r="C1095" s="152" t="s">
        <v>2705</v>
      </c>
      <c r="D1095" s="152" t="s">
        <v>2675</v>
      </c>
      <c r="E1095" s="152" t="s">
        <v>2705</v>
      </c>
      <c r="F1095" s="152" t="s">
        <v>2705</v>
      </c>
      <c r="G1095" s="152" t="s">
        <v>2398</v>
      </c>
      <c r="H1095" s="152" t="s">
        <v>2705</v>
      </c>
      <c r="I1095" s="152" t="s">
        <v>2398</v>
      </c>
      <c r="J1095" s="152" t="s">
        <v>2398</v>
      </c>
      <c r="K1095" s="152" t="s">
        <v>2398</v>
      </c>
      <c r="L1095" s="152" t="s">
        <v>2705</v>
      </c>
      <c r="M1095" s="152" t="s">
        <v>2705</v>
      </c>
      <c r="N1095" s="152" t="s">
        <v>2705</v>
      </c>
      <c r="O1095" s="152" t="s">
        <v>2398</v>
      </c>
      <c r="P1095" s="152" t="s">
        <v>2398</v>
      </c>
      <c r="Q1095" s="152" t="s">
        <v>2398</v>
      </c>
      <c r="R1095" s="152" t="s">
        <v>2397</v>
      </c>
      <c r="S1095" s="152" t="s">
        <v>2398</v>
      </c>
      <c r="T1095" s="152" t="s">
        <v>2398</v>
      </c>
      <c r="U1095" s="152" t="s">
        <v>2398</v>
      </c>
      <c r="V1095" s="142" cm="1">
        <f t="array" ref="V1095">IF(A1095&lt;&gt;"",SUM(--(B1095:U1096 = "X")*$U$3,--(B1095:U1096 ="A")*$Q$3,--(B1095:U1096 ="B")*$R$3,--(B1095:U1096 ="C")*$S$3),"")</f>
        <v>13</v>
      </c>
      <c r="AF1095" s="142" t="s">
        <v>7864</v>
      </c>
      <c r="AG1095" s="142" t="s">
        <v>2705</v>
      </c>
      <c r="AH1095" s="142" t="s">
        <v>2705</v>
      </c>
      <c r="AI1095" s="142" t="s">
        <v>2675</v>
      </c>
      <c r="AJ1095" s="142" t="s">
        <v>2705</v>
      </c>
      <c r="AK1095" s="142" t="s">
        <v>2705</v>
      </c>
      <c r="AL1095" s="142" t="s">
        <v>2398</v>
      </c>
      <c r="AM1095" s="142" t="s">
        <v>2705</v>
      </c>
      <c r="AN1095" s="142" t="s">
        <v>2398</v>
      </c>
      <c r="AO1095" s="142" t="s">
        <v>2398</v>
      </c>
      <c r="AP1095" s="142" t="s">
        <v>2398</v>
      </c>
      <c r="AQ1095" s="142" t="s">
        <v>2705</v>
      </c>
      <c r="AR1095" s="142" t="s">
        <v>2705</v>
      </c>
      <c r="AS1095" s="142" t="s">
        <v>2705</v>
      </c>
      <c r="AT1095" s="142" t="s">
        <v>2398</v>
      </c>
      <c r="AU1095" s="142" t="s">
        <v>2398</v>
      </c>
      <c r="AV1095" s="142" t="s">
        <v>2398</v>
      </c>
      <c r="AW1095" s="142" t="s">
        <v>2397</v>
      </c>
      <c r="AX1095" s="142" t="s">
        <v>2398</v>
      </c>
      <c r="AY1095" s="142" t="s">
        <v>2398</v>
      </c>
      <c r="AZ1095" s="142" t="s">
        <v>2398</v>
      </c>
    </row>
    <row r="1096" spans="1:52" s="142" customFormat="1" ht="12.75" x14ac:dyDescent="0.2">
      <c r="A1096" s="151"/>
      <c r="B1096" s="152" t="s">
        <v>2398</v>
      </c>
      <c r="C1096" s="152" t="s">
        <v>2398</v>
      </c>
      <c r="D1096" s="152" t="s">
        <v>2705</v>
      </c>
      <c r="E1096" s="152" t="s">
        <v>2398</v>
      </c>
      <c r="F1096" s="152" t="s">
        <v>2398</v>
      </c>
      <c r="G1096" s="152" t="s">
        <v>2675</v>
      </c>
      <c r="H1096" s="152" t="s">
        <v>2398</v>
      </c>
      <c r="I1096" s="152" t="s">
        <v>2705</v>
      </c>
      <c r="J1096" s="152" t="s">
        <v>2398</v>
      </c>
      <c r="K1096" s="152" t="s">
        <v>2705</v>
      </c>
      <c r="L1096" s="152" t="s">
        <v>2705</v>
      </c>
      <c r="M1096" s="152" t="s">
        <v>2398</v>
      </c>
      <c r="N1096" s="152" t="s">
        <v>2705</v>
      </c>
      <c r="O1096" s="152" t="s">
        <v>2398</v>
      </c>
      <c r="P1096" s="152" t="s">
        <v>2398</v>
      </c>
      <c r="Q1096" s="152" t="s">
        <v>2705</v>
      </c>
      <c r="R1096" s="152" t="s">
        <v>2398</v>
      </c>
      <c r="S1096" s="152" t="s">
        <v>2398</v>
      </c>
      <c r="T1096" s="152" t="s">
        <v>2398</v>
      </c>
      <c r="U1096" s="152" t="s">
        <v>2398</v>
      </c>
      <c r="V1096" s="142" t="str" cm="1">
        <f t="array" ref="V1096">IF(A1096&lt;&gt;"",SUM(--(B1096:U1097 = "X")*$U$3,--(B1096:U1097 ="A")*$Q$3,--(B1096:U1097 ="B")*$R$3,--(B1096:U1097 ="C")*$S$3),"")</f>
        <v/>
      </c>
      <c r="AG1096" s="142" t="s">
        <v>2398</v>
      </c>
      <c r="AH1096" s="142" t="s">
        <v>2398</v>
      </c>
      <c r="AI1096" s="142" t="s">
        <v>2705</v>
      </c>
      <c r="AJ1096" s="142" t="s">
        <v>2398</v>
      </c>
      <c r="AK1096" s="142" t="s">
        <v>2398</v>
      </c>
      <c r="AL1096" s="142" t="s">
        <v>2675</v>
      </c>
      <c r="AM1096" s="142" t="s">
        <v>2398</v>
      </c>
      <c r="AN1096" s="142" t="s">
        <v>2705</v>
      </c>
      <c r="AO1096" s="142" t="s">
        <v>2398</v>
      </c>
      <c r="AP1096" s="142" t="s">
        <v>2705</v>
      </c>
      <c r="AQ1096" s="142" t="s">
        <v>2705</v>
      </c>
      <c r="AR1096" s="142" t="s">
        <v>2398</v>
      </c>
      <c r="AS1096" s="142" t="s">
        <v>2705</v>
      </c>
      <c r="AT1096" s="142" t="s">
        <v>2398</v>
      </c>
      <c r="AU1096" s="142" t="s">
        <v>2398</v>
      </c>
      <c r="AV1096" s="142" t="s">
        <v>2705</v>
      </c>
      <c r="AW1096" s="142" t="s">
        <v>2398</v>
      </c>
      <c r="AX1096" s="142" t="s">
        <v>2398</v>
      </c>
      <c r="AY1096" s="142" t="s">
        <v>2398</v>
      </c>
      <c r="AZ1096" s="142" t="s">
        <v>2398</v>
      </c>
    </row>
    <row r="1097" spans="1:52" s="142" customFormat="1" ht="12.75" x14ac:dyDescent="0.2">
      <c r="A1097" s="151" t="s">
        <v>7865</v>
      </c>
      <c r="B1097" s="152" t="s">
        <v>2398</v>
      </c>
      <c r="C1097" s="152" t="s">
        <v>1435</v>
      </c>
      <c r="D1097" s="152" t="s">
        <v>1435</v>
      </c>
      <c r="E1097" s="152" t="s">
        <v>1435</v>
      </c>
      <c r="F1097" s="152" t="s">
        <v>2398</v>
      </c>
      <c r="G1097" s="152" t="s">
        <v>2705</v>
      </c>
      <c r="H1097" s="152" t="s">
        <v>2397</v>
      </c>
      <c r="I1097" s="152" t="s">
        <v>2675</v>
      </c>
      <c r="J1097" s="152" t="s">
        <v>1435</v>
      </c>
      <c r="K1097" s="152" t="s">
        <v>2398</v>
      </c>
      <c r="L1097" s="152" t="s">
        <v>2398</v>
      </c>
      <c r="M1097" s="152" t="s">
        <v>2705</v>
      </c>
      <c r="N1097" s="152" t="s">
        <v>2397</v>
      </c>
      <c r="O1097" s="152" t="s">
        <v>2398</v>
      </c>
      <c r="P1097" s="152" t="s">
        <v>2398</v>
      </c>
      <c r="Q1097" s="152" t="s">
        <v>2398</v>
      </c>
      <c r="R1097" s="152" t="s">
        <v>2675</v>
      </c>
      <c r="S1097" s="152" t="s">
        <v>2705</v>
      </c>
      <c r="T1097" s="152" t="s">
        <v>2398</v>
      </c>
      <c r="U1097" s="152" t="s">
        <v>2398</v>
      </c>
      <c r="V1097" s="142" cm="1">
        <f t="array" ref="V1097">IF(A1097&lt;&gt;"",SUM(--(B1097:U1098 = "X")*$U$3,--(B1097:U1098 ="A")*$Q$3,--(B1097:U1098 ="B")*$R$3,--(B1097:U1098 ="C")*$S$3),"")</f>
        <v>4</v>
      </c>
      <c r="AF1097" s="142" t="s">
        <v>7865</v>
      </c>
      <c r="AG1097" s="142" t="s">
        <v>2398</v>
      </c>
      <c r="AH1097" s="142" t="s">
        <v>1435</v>
      </c>
      <c r="AI1097" s="142" t="s">
        <v>1435</v>
      </c>
      <c r="AJ1097" s="142" t="s">
        <v>1435</v>
      </c>
      <c r="AK1097" s="142" t="s">
        <v>2398</v>
      </c>
      <c r="AL1097" s="142" t="s">
        <v>2705</v>
      </c>
      <c r="AM1097" s="142" t="s">
        <v>2397</v>
      </c>
      <c r="AN1097" s="142" t="s">
        <v>2675</v>
      </c>
      <c r="AO1097" s="142" t="s">
        <v>1435</v>
      </c>
      <c r="AP1097" s="142" t="s">
        <v>2398</v>
      </c>
      <c r="AQ1097" s="142" t="s">
        <v>2398</v>
      </c>
      <c r="AR1097" s="142" t="s">
        <v>2705</v>
      </c>
      <c r="AS1097" s="142" t="s">
        <v>2397</v>
      </c>
      <c r="AT1097" s="142" t="s">
        <v>2398</v>
      </c>
      <c r="AU1097" s="142" t="s">
        <v>2398</v>
      </c>
      <c r="AV1097" s="142" t="s">
        <v>2398</v>
      </c>
      <c r="AW1097" s="142" t="s">
        <v>2675</v>
      </c>
      <c r="AX1097" s="142" t="s">
        <v>2705</v>
      </c>
      <c r="AY1097" s="142" t="s">
        <v>2398</v>
      </c>
      <c r="AZ1097" s="142" t="s">
        <v>2398</v>
      </c>
    </row>
    <row r="1098" spans="1:52" s="142" customFormat="1" ht="12.75" x14ac:dyDescent="0.2">
      <c r="A1098" s="151"/>
      <c r="B1098" s="152" t="s">
        <v>2705</v>
      </c>
      <c r="C1098" s="152" t="s">
        <v>2398</v>
      </c>
      <c r="D1098" s="152" t="s">
        <v>2398</v>
      </c>
      <c r="E1098" s="152" t="s">
        <v>2398</v>
      </c>
      <c r="F1098" s="152" t="s">
        <v>2705</v>
      </c>
      <c r="G1098" s="152" t="s">
        <v>2675</v>
      </c>
      <c r="H1098" s="152" t="s">
        <v>2398</v>
      </c>
      <c r="I1098" s="152" t="s">
        <v>2705</v>
      </c>
      <c r="J1098" s="152" t="s">
        <v>2398</v>
      </c>
      <c r="K1098" s="152" t="s">
        <v>2705</v>
      </c>
      <c r="L1098" s="152" t="s">
        <v>2675</v>
      </c>
      <c r="M1098" s="152" t="s">
        <v>2398</v>
      </c>
      <c r="N1098" s="152" t="s">
        <v>1435</v>
      </c>
      <c r="O1098" s="152" t="s">
        <v>2398</v>
      </c>
      <c r="P1098" s="152" t="s">
        <v>1435</v>
      </c>
      <c r="Q1098" s="152" t="s">
        <v>2705</v>
      </c>
      <c r="R1098" s="152" t="s">
        <v>2398</v>
      </c>
      <c r="S1098" s="152" t="s">
        <v>2705</v>
      </c>
      <c r="T1098" s="152" t="s">
        <v>2398</v>
      </c>
      <c r="U1098" s="152" t="s">
        <v>2398</v>
      </c>
      <c r="V1098" s="142" t="str" cm="1">
        <f t="array" ref="V1098">IF(A1098&lt;&gt;"",SUM(--(B1098:U1099 = "X")*$U$3,--(B1098:U1099 ="A")*$Q$3,--(B1098:U1099 ="B")*$R$3,--(B1098:U1099 ="C")*$S$3),"")</f>
        <v/>
      </c>
      <c r="AG1098" s="142" t="s">
        <v>2705</v>
      </c>
      <c r="AH1098" s="142" t="s">
        <v>2398</v>
      </c>
      <c r="AI1098" s="142" t="s">
        <v>2398</v>
      </c>
      <c r="AJ1098" s="142" t="s">
        <v>2398</v>
      </c>
      <c r="AK1098" s="142" t="s">
        <v>2705</v>
      </c>
      <c r="AL1098" s="142" t="s">
        <v>2675</v>
      </c>
      <c r="AM1098" s="142" t="s">
        <v>2398</v>
      </c>
      <c r="AN1098" s="142" t="s">
        <v>2705</v>
      </c>
      <c r="AO1098" s="142" t="s">
        <v>2398</v>
      </c>
      <c r="AP1098" s="142" t="s">
        <v>2705</v>
      </c>
      <c r="AQ1098" s="142" t="s">
        <v>2675</v>
      </c>
      <c r="AR1098" s="142" t="s">
        <v>2398</v>
      </c>
      <c r="AS1098" s="142" t="s">
        <v>1435</v>
      </c>
      <c r="AT1098" s="142" t="s">
        <v>2398</v>
      </c>
      <c r="AU1098" s="142" t="s">
        <v>1435</v>
      </c>
      <c r="AV1098" s="142" t="s">
        <v>2705</v>
      </c>
      <c r="AW1098" s="142" t="s">
        <v>2398</v>
      </c>
      <c r="AX1098" s="142" t="s">
        <v>2705</v>
      </c>
      <c r="AY1098" s="142" t="s">
        <v>2398</v>
      </c>
      <c r="AZ1098" s="142" t="s">
        <v>2398</v>
      </c>
    </row>
    <row r="1099" spans="1:52" s="142" customFormat="1" ht="12.75" x14ac:dyDescent="0.2">
      <c r="A1099" s="151" t="s">
        <v>7866</v>
      </c>
      <c r="B1099" s="152" t="s">
        <v>2398</v>
      </c>
      <c r="C1099" s="152" t="s">
        <v>2398</v>
      </c>
      <c r="D1099" s="152" t="s">
        <v>2398</v>
      </c>
      <c r="E1099" s="152" t="s">
        <v>2705</v>
      </c>
      <c r="F1099" s="152" t="s">
        <v>2398</v>
      </c>
      <c r="G1099" s="152" t="s">
        <v>2705</v>
      </c>
      <c r="H1099" s="152" t="s">
        <v>2675</v>
      </c>
      <c r="I1099" s="152" t="s">
        <v>2705</v>
      </c>
      <c r="J1099" s="152" t="s">
        <v>2705</v>
      </c>
      <c r="K1099" s="152" t="s">
        <v>2705</v>
      </c>
      <c r="L1099" s="152" t="s">
        <v>2675</v>
      </c>
      <c r="M1099" s="152" t="s">
        <v>2705</v>
      </c>
      <c r="N1099" s="152" t="s">
        <v>2705</v>
      </c>
      <c r="O1099" s="152" t="s">
        <v>2705</v>
      </c>
      <c r="P1099" s="152" t="s">
        <v>2705</v>
      </c>
      <c r="Q1099" s="152" t="s">
        <v>2705</v>
      </c>
      <c r="R1099" s="152" t="s">
        <v>2705</v>
      </c>
      <c r="S1099" s="152" t="s">
        <v>2705</v>
      </c>
      <c r="T1099" s="152" t="s">
        <v>2705</v>
      </c>
      <c r="U1099" s="152" t="s">
        <v>2398</v>
      </c>
      <c r="V1099" s="142" cm="1">
        <f t="array" ref="V1099">IF(A1099&lt;&gt;"",SUM(--(B1099:U1100 = "X")*$U$3,--(B1099:U1100 ="A")*$Q$3,--(B1099:U1100 ="B")*$R$3,--(B1099:U1100 ="C")*$S$3),"")</f>
        <v>24.5</v>
      </c>
      <c r="AF1099" s="142" t="s">
        <v>7866</v>
      </c>
      <c r="AG1099" s="142" t="s">
        <v>2398</v>
      </c>
      <c r="AH1099" s="142" t="s">
        <v>2398</v>
      </c>
      <c r="AI1099" s="142" t="s">
        <v>2398</v>
      </c>
      <c r="AJ1099" s="142" t="s">
        <v>2705</v>
      </c>
      <c r="AK1099" s="142" t="s">
        <v>2398</v>
      </c>
      <c r="AL1099" s="142" t="s">
        <v>2705</v>
      </c>
      <c r="AM1099" s="142" t="s">
        <v>2675</v>
      </c>
      <c r="AN1099" s="142" t="s">
        <v>2705</v>
      </c>
      <c r="AO1099" s="142" t="s">
        <v>2705</v>
      </c>
      <c r="AP1099" s="142" t="s">
        <v>2705</v>
      </c>
      <c r="AQ1099" s="142" t="s">
        <v>2675</v>
      </c>
      <c r="AR1099" s="142" t="s">
        <v>2705</v>
      </c>
      <c r="AS1099" s="142" t="s">
        <v>2705</v>
      </c>
      <c r="AT1099" s="142" t="s">
        <v>2705</v>
      </c>
      <c r="AU1099" s="142" t="s">
        <v>2705</v>
      </c>
      <c r="AV1099" s="142" t="s">
        <v>2705</v>
      </c>
      <c r="AW1099" s="142" t="s">
        <v>2705</v>
      </c>
      <c r="AX1099" s="142" t="s">
        <v>2705</v>
      </c>
      <c r="AY1099" s="142" t="s">
        <v>2705</v>
      </c>
      <c r="AZ1099" s="142" t="s">
        <v>2398</v>
      </c>
    </row>
    <row r="1100" spans="1:52" s="142" customFormat="1" ht="12.75" x14ac:dyDescent="0.2">
      <c r="A1100" s="151"/>
      <c r="B1100" s="152" t="s">
        <v>2705</v>
      </c>
      <c r="C1100" s="152" t="s">
        <v>2705</v>
      </c>
      <c r="D1100" s="152" t="s">
        <v>2398</v>
      </c>
      <c r="E1100" s="152" t="s">
        <v>2398</v>
      </c>
      <c r="F1100" s="152" t="s">
        <v>2705</v>
      </c>
      <c r="G1100" s="152" t="s">
        <v>2705</v>
      </c>
      <c r="H1100" s="152" t="s">
        <v>2705</v>
      </c>
      <c r="I1100" s="152" t="s">
        <v>2705</v>
      </c>
      <c r="J1100" s="152" t="s">
        <v>2705</v>
      </c>
      <c r="K1100" s="152" t="s">
        <v>2705</v>
      </c>
      <c r="L1100" s="152" t="s">
        <v>2398</v>
      </c>
      <c r="M1100" s="152" t="s">
        <v>2705</v>
      </c>
      <c r="N1100" s="152" t="s">
        <v>2705</v>
      </c>
      <c r="O1100" s="152" t="s">
        <v>2705</v>
      </c>
      <c r="P1100" s="152" t="s">
        <v>1435</v>
      </c>
      <c r="Q1100" s="152" t="s">
        <v>1435</v>
      </c>
      <c r="R1100" s="152" t="s">
        <v>1435</v>
      </c>
      <c r="S1100" s="152" t="s">
        <v>2705</v>
      </c>
      <c r="T1100" s="152" t="s">
        <v>2705</v>
      </c>
      <c r="U1100" s="152" t="s">
        <v>2705</v>
      </c>
      <c r="V1100" s="142" t="str" cm="1">
        <f t="array" ref="V1100">IF(A1100&lt;&gt;"",SUM(--(B1100:U1101 = "X")*$U$3,--(B1100:U1101 ="A")*$Q$3,--(B1100:U1101 ="B")*$R$3,--(B1100:U1101 ="C")*$S$3),"")</f>
        <v/>
      </c>
      <c r="AG1100" s="142" t="s">
        <v>2705</v>
      </c>
      <c r="AH1100" s="142" t="s">
        <v>2705</v>
      </c>
      <c r="AI1100" s="142" t="s">
        <v>2398</v>
      </c>
      <c r="AJ1100" s="142" t="s">
        <v>2398</v>
      </c>
      <c r="AK1100" s="142" t="s">
        <v>2705</v>
      </c>
      <c r="AL1100" s="142" t="s">
        <v>2705</v>
      </c>
      <c r="AM1100" s="142" t="s">
        <v>2705</v>
      </c>
      <c r="AN1100" s="142" t="s">
        <v>2705</v>
      </c>
      <c r="AO1100" s="142" t="s">
        <v>2705</v>
      </c>
      <c r="AP1100" s="142" t="s">
        <v>2705</v>
      </c>
      <c r="AQ1100" s="142" t="s">
        <v>2398</v>
      </c>
      <c r="AR1100" s="142" t="s">
        <v>2705</v>
      </c>
      <c r="AS1100" s="142" t="s">
        <v>2705</v>
      </c>
      <c r="AT1100" s="142" t="s">
        <v>2705</v>
      </c>
      <c r="AU1100" s="142" t="s">
        <v>1435</v>
      </c>
      <c r="AV1100" s="142" t="s">
        <v>1435</v>
      </c>
      <c r="AW1100" s="142" t="s">
        <v>1435</v>
      </c>
      <c r="AX1100" s="142" t="s">
        <v>2705</v>
      </c>
      <c r="AY1100" s="142" t="s">
        <v>2705</v>
      </c>
      <c r="AZ1100" s="142" t="s">
        <v>2705</v>
      </c>
    </row>
    <row r="1101" spans="1:52" s="142" customFormat="1" ht="12.75" x14ac:dyDescent="0.2">
      <c r="A1101" s="151" t="s">
        <v>7867</v>
      </c>
      <c r="B1101" s="152" t="s">
        <v>2398</v>
      </c>
      <c r="C1101" s="152" t="s">
        <v>2705</v>
      </c>
      <c r="D1101" s="152" t="s">
        <v>2398</v>
      </c>
      <c r="E1101" s="152" t="s">
        <v>2398</v>
      </c>
      <c r="F1101" s="152" t="s">
        <v>2675</v>
      </c>
      <c r="G1101" s="152" t="s">
        <v>2398</v>
      </c>
      <c r="H1101" s="152" t="s">
        <v>2705</v>
      </c>
      <c r="I1101" s="152" t="s">
        <v>2397</v>
      </c>
      <c r="J1101" s="152" t="s">
        <v>2675</v>
      </c>
      <c r="K1101" s="152" t="s">
        <v>2705</v>
      </c>
      <c r="L1101" s="152" t="s">
        <v>1435</v>
      </c>
      <c r="M1101" s="152" t="s">
        <v>2398</v>
      </c>
      <c r="N1101" s="152" t="s">
        <v>2705</v>
      </c>
      <c r="O1101" s="152" t="s">
        <v>2398</v>
      </c>
      <c r="P1101" s="152" t="s">
        <v>2398</v>
      </c>
      <c r="Q1101" s="152" t="s">
        <v>2705</v>
      </c>
      <c r="R1101" s="152" t="s">
        <v>2675</v>
      </c>
      <c r="S1101" s="152" t="s">
        <v>2675</v>
      </c>
      <c r="T1101" s="152" t="s">
        <v>2705</v>
      </c>
      <c r="U1101" s="152" t="s">
        <v>2675</v>
      </c>
      <c r="V1101" s="142" cm="1">
        <f t="array" ref="V1101">IF(A1101&lt;&gt;"",SUM(--(B1101:U1102 = "X")*$U$3,--(B1101:U1102 ="A")*$Q$3,--(B1101:U1102 ="B")*$R$3,--(B1101:U1102 ="C")*$S$3),"")</f>
        <v>8</v>
      </c>
      <c r="AF1101" s="142" t="s">
        <v>7867</v>
      </c>
      <c r="AG1101" s="142" t="s">
        <v>2398</v>
      </c>
      <c r="AH1101" s="142" t="s">
        <v>2705</v>
      </c>
      <c r="AI1101" s="142" t="s">
        <v>2398</v>
      </c>
      <c r="AJ1101" s="142" t="s">
        <v>2398</v>
      </c>
      <c r="AK1101" s="142" t="s">
        <v>2675</v>
      </c>
      <c r="AL1101" s="142" t="s">
        <v>2398</v>
      </c>
      <c r="AM1101" s="142" t="s">
        <v>2705</v>
      </c>
      <c r="AN1101" s="142" t="s">
        <v>2397</v>
      </c>
      <c r="AO1101" s="142" t="s">
        <v>2675</v>
      </c>
      <c r="AP1101" s="142" t="s">
        <v>2705</v>
      </c>
      <c r="AQ1101" s="142" t="s">
        <v>1435</v>
      </c>
      <c r="AR1101" s="142" t="s">
        <v>2398</v>
      </c>
      <c r="AS1101" s="142" t="s">
        <v>2705</v>
      </c>
      <c r="AT1101" s="142" t="s">
        <v>2398</v>
      </c>
      <c r="AU1101" s="142" t="s">
        <v>2398</v>
      </c>
      <c r="AV1101" s="142" t="s">
        <v>2705</v>
      </c>
      <c r="AW1101" s="142" t="s">
        <v>2675</v>
      </c>
      <c r="AX1101" s="142" t="s">
        <v>2675</v>
      </c>
      <c r="AY1101" s="142" t="s">
        <v>2705</v>
      </c>
      <c r="AZ1101" s="142" t="s">
        <v>2675</v>
      </c>
    </row>
    <row r="1102" spans="1:52" s="142" customFormat="1" ht="12.75" x14ac:dyDescent="0.2">
      <c r="A1102" s="151"/>
      <c r="B1102" s="152" t="s">
        <v>2705</v>
      </c>
      <c r="C1102" s="152" t="s">
        <v>2675</v>
      </c>
      <c r="D1102" s="152" t="s">
        <v>2675</v>
      </c>
      <c r="E1102" s="152" t="s">
        <v>2705</v>
      </c>
      <c r="F1102" s="152" t="s">
        <v>2398</v>
      </c>
      <c r="G1102" s="152" t="s">
        <v>2675</v>
      </c>
      <c r="H1102" s="152" t="s">
        <v>2397</v>
      </c>
      <c r="I1102" s="152" t="s">
        <v>2398</v>
      </c>
      <c r="J1102" s="152" t="s">
        <v>2398</v>
      </c>
      <c r="K1102" s="152" t="s">
        <v>2398</v>
      </c>
      <c r="L1102" s="152" t="s">
        <v>2398</v>
      </c>
      <c r="M1102" s="152" t="s">
        <v>2705</v>
      </c>
      <c r="N1102" s="152" t="s">
        <v>2705</v>
      </c>
      <c r="O1102" s="152" t="s">
        <v>2398</v>
      </c>
      <c r="P1102" s="152" t="s">
        <v>2675</v>
      </c>
      <c r="Q1102" s="152" t="s">
        <v>2705</v>
      </c>
      <c r="R1102" s="152" t="s">
        <v>2705</v>
      </c>
      <c r="S1102" s="152" t="s">
        <v>2397</v>
      </c>
      <c r="T1102" s="152" t="s">
        <v>2705</v>
      </c>
      <c r="U1102" s="152" t="s">
        <v>2398</v>
      </c>
      <c r="V1102" s="142" t="str" cm="1">
        <f t="array" ref="V1102">IF(A1102&lt;&gt;"",SUM(--(B1102:U1103 = "X")*$U$3,--(B1102:U1103 ="A")*$Q$3,--(B1102:U1103 ="B")*$R$3,--(B1102:U1103 ="C")*$S$3),"")</f>
        <v/>
      </c>
      <c r="AG1102" s="142" t="s">
        <v>2705</v>
      </c>
      <c r="AH1102" s="142" t="s">
        <v>2675</v>
      </c>
      <c r="AI1102" s="142" t="s">
        <v>2675</v>
      </c>
      <c r="AJ1102" s="142" t="s">
        <v>2705</v>
      </c>
      <c r="AK1102" s="142" t="s">
        <v>2398</v>
      </c>
      <c r="AL1102" s="142" t="s">
        <v>2675</v>
      </c>
      <c r="AM1102" s="142" t="s">
        <v>2397</v>
      </c>
      <c r="AN1102" s="142" t="s">
        <v>2398</v>
      </c>
      <c r="AO1102" s="142" t="s">
        <v>2398</v>
      </c>
      <c r="AP1102" s="142" t="s">
        <v>2398</v>
      </c>
      <c r="AQ1102" s="142" t="s">
        <v>2398</v>
      </c>
      <c r="AR1102" s="142" t="s">
        <v>2705</v>
      </c>
      <c r="AS1102" s="142" t="s">
        <v>2705</v>
      </c>
      <c r="AT1102" s="142" t="s">
        <v>2398</v>
      </c>
      <c r="AU1102" s="142" t="s">
        <v>2675</v>
      </c>
      <c r="AV1102" s="142" t="s">
        <v>2705</v>
      </c>
      <c r="AW1102" s="142" t="s">
        <v>2705</v>
      </c>
      <c r="AX1102" s="142" t="s">
        <v>2397</v>
      </c>
      <c r="AY1102" s="142" t="s">
        <v>2705</v>
      </c>
      <c r="AZ1102" s="142" t="s">
        <v>2398</v>
      </c>
    </row>
    <row r="1103" spans="1:52" s="142" customFormat="1" ht="12.75" x14ac:dyDescent="0.2">
      <c r="A1103" s="151" t="s">
        <v>7868</v>
      </c>
      <c r="B1103" s="152" t="s">
        <v>2705</v>
      </c>
      <c r="C1103" s="152" t="s">
        <v>2705</v>
      </c>
      <c r="D1103" s="152" t="s">
        <v>2398</v>
      </c>
      <c r="E1103" s="152" t="s">
        <v>2705</v>
      </c>
      <c r="F1103" s="152" t="s">
        <v>2398</v>
      </c>
      <c r="G1103" s="152" t="s">
        <v>2705</v>
      </c>
      <c r="H1103" s="152" t="s">
        <v>2705</v>
      </c>
      <c r="I1103" s="152" t="s">
        <v>2398</v>
      </c>
      <c r="J1103" s="152" t="s">
        <v>2705</v>
      </c>
      <c r="K1103" s="152" t="s">
        <v>2705</v>
      </c>
      <c r="L1103" s="152" t="s">
        <v>2398</v>
      </c>
      <c r="M1103" s="152" t="s">
        <v>2398</v>
      </c>
      <c r="N1103" s="152" t="s">
        <v>2705</v>
      </c>
      <c r="O1103" s="152" t="s">
        <v>2397</v>
      </c>
      <c r="P1103" s="152" t="s">
        <v>2398</v>
      </c>
      <c r="Q1103" s="152" t="s">
        <v>2398</v>
      </c>
      <c r="R1103" s="152" t="s">
        <v>2705</v>
      </c>
      <c r="S1103" s="152" t="s">
        <v>2397</v>
      </c>
      <c r="T1103" s="152" t="s">
        <v>2398</v>
      </c>
      <c r="U1103" s="152" t="s">
        <v>2398</v>
      </c>
      <c r="V1103" s="142" cm="1">
        <f t="array" ref="V1103">IF(A1103&lt;&gt;"",SUM(--(B1103:U1104 = "X")*$U$3,--(B1103:U1104 ="A")*$Q$3,--(B1103:U1104 ="B")*$R$3,--(B1103:U1104 ="C")*$S$3),"")</f>
        <v>18</v>
      </c>
      <c r="AF1103" s="142" t="s">
        <v>7868</v>
      </c>
      <c r="AG1103" s="142" t="s">
        <v>2705</v>
      </c>
      <c r="AH1103" s="142" t="s">
        <v>2705</v>
      </c>
      <c r="AI1103" s="142" t="s">
        <v>2398</v>
      </c>
      <c r="AJ1103" s="142" t="s">
        <v>2705</v>
      </c>
      <c r="AK1103" s="142" t="s">
        <v>2398</v>
      </c>
      <c r="AL1103" s="142" t="s">
        <v>2705</v>
      </c>
      <c r="AM1103" s="142" t="s">
        <v>2705</v>
      </c>
      <c r="AN1103" s="142" t="s">
        <v>2398</v>
      </c>
      <c r="AO1103" s="142" t="s">
        <v>2705</v>
      </c>
      <c r="AP1103" s="142" t="s">
        <v>2705</v>
      </c>
      <c r="AQ1103" s="142" t="s">
        <v>2398</v>
      </c>
      <c r="AR1103" s="142" t="s">
        <v>2398</v>
      </c>
      <c r="AS1103" s="142" t="s">
        <v>2705</v>
      </c>
      <c r="AT1103" s="142" t="s">
        <v>2397</v>
      </c>
      <c r="AU1103" s="142" t="s">
        <v>2398</v>
      </c>
      <c r="AV1103" s="142" t="s">
        <v>2398</v>
      </c>
      <c r="AW1103" s="142" t="s">
        <v>2705</v>
      </c>
      <c r="AX1103" s="142" t="s">
        <v>2397</v>
      </c>
      <c r="AY1103" s="142" t="s">
        <v>2398</v>
      </c>
      <c r="AZ1103" s="142" t="s">
        <v>2398</v>
      </c>
    </row>
    <row r="1104" spans="1:52" s="142" customFormat="1" ht="12.75" x14ac:dyDescent="0.2">
      <c r="A1104" s="151"/>
      <c r="B1104" s="152" t="s">
        <v>2705</v>
      </c>
      <c r="C1104" s="152" t="s">
        <v>2705</v>
      </c>
      <c r="D1104" s="152" t="s">
        <v>2705</v>
      </c>
      <c r="E1104" s="152" t="s">
        <v>2705</v>
      </c>
      <c r="F1104" s="152" t="s">
        <v>2705</v>
      </c>
      <c r="G1104" s="152" t="s">
        <v>2398</v>
      </c>
      <c r="H1104" s="152" t="s">
        <v>2398</v>
      </c>
      <c r="I1104" s="152" t="s">
        <v>2705</v>
      </c>
      <c r="J1104" s="152" t="s">
        <v>2705</v>
      </c>
      <c r="K1104" s="152" t="s">
        <v>2705</v>
      </c>
      <c r="L1104" s="152" t="s">
        <v>2705</v>
      </c>
      <c r="M1104" s="152" t="s">
        <v>1435</v>
      </c>
      <c r="N1104" s="152" t="s">
        <v>2398</v>
      </c>
      <c r="O1104" s="152" t="s">
        <v>1435</v>
      </c>
      <c r="P1104" s="152" t="s">
        <v>2398</v>
      </c>
      <c r="Q1104" s="152" t="s">
        <v>2705</v>
      </c>
      <c r="R1104" s="152" t="s">
        <v>1435</v>
      </c>
      <c r="S1104" s="152" t="s">
        <v>2675</v>
      </c>
      <c r="T1104" s="152" t="s">
        <v>2705</v>
      </c>
      <c r="U1104" s="152" t="s">
        <v>2398</v>
      </c>
      <c r="V1104" s="142" t="str" cm="1">
        <f t="array" ref="V1104">IF(A1104&lt;&gt;"",SUM(--(B1104:U1105 = "X")*$U$3,--(B1104:U1105 ="A")*$Q$3,--(B1104:U1105 ="B")*$R$3,--(B1104:U1105 ="C")*$S$3),"")</f>
        <v/>
      </c>
      <c r="AG1104" s="142" t="s">
        <v>2705</v>
      </c>
      <c r="AH1104" s="142" t="s">
        <v>2705</v>
      </c>
      <c r="AI1104" s="142" t="s">
        <v>2705</v>
      </c>
      <c r="AJ1104" s="142" t="s">
        <v>2705</v>
      </c>
      <c r="AK1104" s="142" t="s">
        <v>2705</v>
      </c>
      <c r="AL1104" s="142" t="s">
        <v>2398</v>
      </c>
      <c r="AM1104" s="142" t="s">
        <v>2398</v>
      </c>
      <c r="AN1104" s="142" t="s">
        <v>2705</v>
      </c>
      <c r="AO1104" s="142" t="s">
        <v>2705</v>
      </c>
      <c r="AP1104" s="142" t="s">
        <v>2705</v>
      </c>
      <c r="AQ1104" s="142" t="s">
        <v>2705</v>
      </c>
      <c r="AR1104" s="142" t="s">
        <v>1435</v>
      </c>
      <c r="AS1104" s="142" t="s">
        <v>2398</v>
      </c>
      <c r="AT1104" s="142" t="s">
        <v>1435</v>
      </c>
      <c r="AU1104" s="142" t="s">
        <v>2398</v>
      </c>
      <c r="AV1104" s="142" t="s">
        <v>2705</v>
      </c>
      <c r="AW1104" s="142" t="s">
        <v>1435</v>
      </c>
      <c r="AX1104" s="142" t="s">
        <v>2675</v>
      </c>
      <c r="AY1104" s="142" t="s">
        <v>2705</v>
      </c>
      <c r="AZ1104" s="142" t="s">
        <v>2398</v>
      </c>
    </row>
    <row r="1105" spans="1:52" s="142" customFormat="1" ht="12.75" x14ac:dyDescent="0.2">
      <c r="A1105" s="151" t="s">
        <v>7869</v>
      </c>
      <c r="B1105" s="152" t="s">
        <v>2705</v>
      </c>
      <c r="C1105" s="152" t="s">
        <v>2705</v>
      </c>
      <c r="D1105" s="152" t="s">
        <v>2705</v>
      </c>
      <c r="E1105" s="152" t="s">
        <v>1435</v>
      </c>
      <c r="F1105" s="152" t="s">
        <v>2705</v>
      </c>
      <c r="G1105" s="152" t="s">
        <v>2705</v>
      </c>
      <c r="H1105" s="152" t="s">
        <v>2705</v>
      </c>
      <c r="I1105" s="152" t="s">
        <v>2398</v>
      </c>
      <c r="J1105" s="152" t="s">
        <v>2398</v>
      </c>
      <c r="K1105" s="152" t="s">
        <v>2705</v>
      </c>
      <c r="L1105" s="152" t="s">
        <v>2705</v>
      </c>
      <c r="M1105" s="152" t="s">
        <v>2705</v>
      </c>
      <c r="N1105" s="152" t="s">
        <v>2705</v>
      </c>
      <c r="O1105" s="152" t="s">
        <v>1435</v>
      </c>
      <c r="P1105" s="152" t="s">
        <v>2705</v>
      </c>
      <c r="Q1105" s="152" t="s">
        <v>2705</v>
      </c>
      <c r="R1105" s="152" t="s">
        <v>2705</v>
      </c>
      <c r="S1105" s="152" t="s">
        <v>2705</v>
      </c>
      <c r="T1105" s="152" t="s">
        <v>2705</v>
      </c>
      <c r="U1105" s="152" t="s">
        <v>2675</v>
      </c>
      <c r="V1105" s="142" cm="1">
        <f t="array" ref="V1105">IF(A1105&lt;&gt;"",SUM(--(B1105:U1106 = "X")*$U$3,--(B1105:U1106 ="A")*$Q$3,--(B1105:U1106 ="B")*$R$3,--(B1105:U1106 ="C")*$S$3),"")</f>
        <v>21</v>
      </c>
      <c r="AF1105" s="142" t="s">
        <v>7869</v>
      </c>
      <c r="AG1105" s="142" t="s">
        <v>2705</v>
      </c>
      <c r="AH1105" s="142" t="s">
        <v>2705</v>
      </c>
      <c r="AI1105" s="142" t="s">
        <v>2705</v>
      </c>
      <c r="AJ1105" s="142" t="s">
        <v>1435</v>
      </c>
      <c r="AK1105" s="142" t="s">
        <v>2705</v>
      </c>
      <c r="AL1105" s="142" t="s">
        <v>2705</v>
      </c>
      <c r="AM1105" s="142" t="s">
        <v>2705</v>
      </c>
      <c r="AN1105" s="142" t="s">
        <v>2398</v>
      </c>
      <c r="AO1105" s="142" t="s">
        <v>2398</v>
      </c>
      <c r="AP1105" s="142" t="s">
        <v>2705</v>
      </c>
      <c r="AQ1105" s="142" t="s">
        <v>2705</v>
      </c>
      <c r="AR1105" s="142" t="s">
        <v>2705</v>
      </c>
      <c r="AS1105" s="142" t="s">
        <v>2705</v>
      </c>
      <c r="AT1105" s="142" t="s">
        <v>1435</v>
      </c>
      <c r="AU1105" s="142" t="s">
        <v>2705</v>
      </c>
      <c r="AV1105" s="142" t="s">
        <v>2705</v>
      </c>
      <c r="AW1105" s="142" t="s">
        <v>2705</v>
      </c>
      <c r="AX1105" s="142" t="s">
        <v>2705</v>
      </c>
      <c r="AY1105" s="142" t="s">
        <v>2705</v>
      </c>
      <c r="AZ1105" s="142" t="s">
        <v>2675</v>
      </c>
    </row>
    <row r="1106" spans="1:52" s="142" customFormat="1" ht="12.75" x14ac:dyDescent="0.2">
      <c r="A1106" s="151"/>
      <c r="B1106" s="152" t="s">
        <v>2705</v>
      </c>
      <c r="C1106" s="152" t="s">
        <v>2398</v>
      </c>
      <c r="D1106" s="152" t="s">
        <v>2705</v>
      </c>
      <c r="E1106" s="152" t="s">
        <v>1435</v>
      </c>
      <c r="F1106" s="152" t="s">
        <v>2705</v>
      </c>
      <c r="G1106" s="152" t="s">
        <v>2705</v>
      </c>
      <c r="H1106" s="152" t="s">
        <v>2705</v>
      </c>
      <c r="I1106" s="152" t="s">
        <v>2705</v>
      </c>
      <c r="J1106" s="152" t="s">
        <v>2675</v>
      </c>
      <c r="K1106" s="152" t="s">
        <v>2675</v>
      </c>
      <c r="L1106" s="152" t="s">
        <v>2398</v>
      </c>
      <c r="M1106" s="152" t="s">
        <v>2398</v>
      </c>
      <c r="N1106" s="152" t="s">
        <v>2398</v>
      </c>
      <c r="O1106" s="152" t="s">
        <v>2705</v>
      </c>
      <c r="P1106" s="152" t="s">
        <v>2705</v>
      </c>
      <c r="Q1106" s="152" t="s">
        <v>1435</v>
      </c>
      <c r="R1106" s="152" t="s">
        <v>2705</v>
      </c>
      <c r="S1106" s="152" t="s">
        <v>2705</v>
      </c>
      <c r="T1106" s="152" t="s">
        <v>2398</v>
      </c>
      <c r="U1106" s="152" t="s">
        <v>1435</v>
      </c>
      <c r="V1106" s="142" t="str" cm="1">
        <f t="array" ref="V1106">IF(A1106&lt;&gt;"",SUM(--(B1106:U1107 = "X")*$U$3,--(B1106:U1107 ="A")*$Q$3,--(B1106:U1107 ="B")*$R$3,--(B1106:U1107 ="C")*$S$3),"")</f>
        <v/>
      </c>
      <c r="AG1106" s="142" t="s">
        <v>2705</v>
      </c>
      <c r="AH1106" s="142" t="s">
        <v>2398</v>
      </c>
      <c r="AI1106" s="142" t="s">
        <v>2705</v>
      </c>
      <c r="AJ1106" s="142" t="s">
        <v>1435</v>
      </c>
      <c r="AK1106" s="142" t="s">
        <v>2705</v>
      </c>
      <c r="AL1106" s="142" t="s">
        <v>2705</v>
      </c>
      <c r="AM1106" s="142" t="s">
        <v>2705</v>
      </c>
      <c r="AN1106" s="142" t="s">
        <v>2705</v>
      </c>
      <c r="AO1106" s="142" t="s">
        <v>2675</v>
      </c>
      <c r="AP1106" s="142" t="s">
        <v>2675</v>
      </c>
      <c r="AQ1106" s="142" t="s">
        <v>2398</v>
      </c>
      <c r="AR1106" s="142" t="s">
        <v>2398</v>
      </c>
      <c r="AS1106" s="142" t="s">
        <v>2398</v>
      </c>
      <c r="AT1106" s="142" t="s">
        <v>2705</v>
      </c>
      <c r="AU1106" s="142" t="s">
        <v>2705</v>
      </c>
      <c r="AV1106" s="142" t="s">
        <v>1435</v>
      </c>
      <c r="AW1106" s="142" t="s">
        <v>2705</v>
      </c>
      <c r="AX1106" s="142" t="s">
        <v>2705</v>
      </c>
      <c r="AY1106" s="142" t="s">
        <v>2398</v>
      </c>
      <c r="AZ1106" s="142" t="s">
        <v>1435</v>
      </c>
    </row>
    <row r="1107" spans="1:52" s="142" customFormat="1" ht="12.75" x14ac:dyDescent="0.2">
      <c r="A1107" s="151" t="s">
        <v>7870</v>
      </c>
      <c r="B1107" s="152" t="s">
        <v>1435</v>
      </c>
      <c r="C1107" s="152" t="s">
        <v>2705</v>
      </c>
      <c r="D1107" s="152" t="s">
        <v>2398</v>
      </c>
      <c r="E1107" s="152" t="s">
        <v>2705</v>
      </c>
      <c r="F1107" s="152" t="s">
        <v>1435</v>
      </c>
      <c r="G1107" s="152" t="s">
        <v>2398</v>
      </c>
      <c r="H1107" s="152" t="s">
        <v>1435</v>
      </c>
      <c r="I1107" s="152" t="s">
        <v>2398</v>
      </c>
      <c r="J1107" s="152" t="s">
        <v>2398</v>
      </c>
      <c r="K1107" s="152" t="s">
        <v>2398</v>
      </c>
      <c r="L1107" s="152" t="s">
        <v>2705</v>
      </c>
      <c r="M1107" s="152" t="s">
        <v>2705</v>
      </c>
      <c r="N1107" s="152" t="s">
        <v>2705</v>
      </c>
      <c r="O1107" s="152" t="s">
        <v>2705</v>
      </c>
      <c r="P1107" s="152" t="s">
        <v>2398</v>
      </c>
      <c r="Q1107" s="152" t="s">
        <v>2398</v>
      </c>
      <c r="R1107" s="152" t="s">
        <v>2705</v>
      </c>
      <c r="S1107" s="152" t="s">
        <v>2705</v>
      </c>
      <c r="T1107" s="152" t="s">
        <v>2398</v>
      </c>
      <c r="U1107" s="152" t="s">
        <v>2398</v>
      </c>
      <c r="V1107" s="142" cm="1">
        <f t="array" ref="V1107">IF(A1107&lt;&gt;"",SUM(--(B1107:U1108 = "X")*$U$3,--(B1107:U1108 ="A")*$Q$3,--(B1107:U1108 ="B")*$R$3,--(B1107:U1108 ="C")*$S$3),"")</f>
        <v>14.5</v>
      </c>
      <c r="AF1107" s="142" t="s">
        <v>7870</v>
      </c>
      <c r="AG1107" s="142" t="s">
        <v>1435</v>
      </c>
      <c r="AH1107" s="142" t="s">
        <v>2705</v>
      </c>
      <c r="AI1107" s="142" t="s">
        <v>2398</v>
      </c>
      <c r="AJ1107" s="142" t="s">
        <v>2705</v>
      </c>
      <c r="AK1107" s="142" t="s">
        <v>1435</v>
      </c>
      <c r="AL1107" s="142" t="s">
        <v>2398</v>
      </c>
      <c r="AM1107" s="142" t="s">
        <v>1435</v>
      </c>
      <c r="AN1107" s="142" t="s">
        <v>2398</v>
      </c>
      <c r="AO1107" s="142" t="s">
        <v>2398</v>
      </c>
      <c r="AP1107" s="142" t="s">
        <v>2398</v>
      </c>
      <c r="AQ1107" s="142" t="s">
        <v>2705</v>
      </c>
      <c r="AR1107" s="142" t="s">
        <v>2705</v>
      </c>
      <c r="AS1107" s="142" t="s">
        <v>2705</v>
      </c>
      <c r="AT1107" s="142" t="s">
        <v>2705</v>
      </c>
      <c r="AU1107" s="142" t="s">
        <v>2398</v>
      </c>
      <c r="AV1107" s="142" t="s">
        <v>2398</v>
      </c>
      <c r="AW1107" s="142" t="s">
        <v>2705</v>
      </c>
      <c r="AX1107" s="142" t="s">
        <v>2705</v>
      </c>
      <c r="AY1107" s="142" t="s">
        <v>2398</v>
      </c>
      <c r="AZ1107" s="142" t="s">
        <v>2398</v>
      </c>
    </row>
    <row r="1108" spans="1:52" s="142" customFormat="1" ht="12.75" x14ac:dyDescent="0.2">
      <c r="A1108" s="151"/>
      <c r="B1108" s="152" t="s">
        <v>2398</v>
      </c>
      <c r="C1108" s="152" t="s">
        <v>2398</v>
      </c>
      <c r="D1108" s="152" t="s">
        <v>1435</v>
      </c>
      <c r="E1108" s="152" t="s">
        <v>2398</v>
      </c>
      <c r="F1108" s="152" t="s">
        <v>2705</v>
      </c>
      <c r="G1108" s="152" t="s">
        <v>2398</v>
      </c>
      <c r="H1108" s="152" t="s">
        <v>2705</v>
      </c>
      <c r="I1108" s="152" t="s">
        <v>2705</v>
      </c>
      <c r="J1108" s="152" t="s">
        <v>2705</v>
      </c>
      <c r="K1108" s="152" t="s">
        <v>2705</v>
      </c>
      <c r="L1108" s="152" t="s">
        <v>2398</v>
      </c>
      <c r="M1108" s="152" t="s">
        <v>2398</v>
      </c>
      <c r="N1108" s="152" t="s">
        <v>2705</v>
      </c>
      <c r="O1108" s="152" t="s">
        <v>2398</v>
      </c>
      <c r="P1108" s="152" t="s">
        <v>2398</v>
      </c>
      <c r="Q1108" s="152" t="s">
        <v>2705</v>
      </c>
      <c r="R1108" s="152" t="s">
        <v>2398</v>
      </c>
      <c r="S1108" s="152" t="s">
        <v>2705</v>
      </c>
      <c r="T1108" s="152" t="s">
        <v>2705</v>
      </c>
      <c r="U1108" s="152" t="s">
        <v>2675</v>
      </c>
      <c r="V1108" s="142" t="str" cm="1">
        <f t="array" ref="V1108">IF(A1108&lt;&gt;"",SUM(--(B1108:U1109 = "X")*$U$3,--(B1108:U1109 ="A")*$Q$3,--(B1108:U1109 ="B")*$R$3,--(B1108:U1109 ="C")*$S$3),"")</f>
        <v/>
      </c>
      <c r="AG1108" s="142" t="s">
        <v>2398</v>
      </c>
      <c r="AH1108" s="142" t="s">
        <v>2398</v>
      </c>
      <c r="AI1108" s="142" t="s">
        <v>1435</v>
      </c>
      <c r="AJ1108" s="142" t="s">
        <v>2398</v>
      </c>
      <c r="AK1108" s="142" t="s">
        <v>2705</v>
      </c>
      <c r="AL1108" s="142" t="s">
        <v>2398</v>
      </c>
      <c r="AM1108" s="142" t="s">
        <v>2705</v>
      </c>
      <c r="AN1108" s="142" t="s">
        <v>2705</v>
      </c>
      <c r="AO1108" s="142" t="s">
        <v>2705</v>
      </c>
      <c r="AP1108" s="142" t="s">
        <v>2705</v>
      </c>
      <c r="AQ1108" s="142" t="s">
        <v>2398</v>
      </c>
      <c r="AR1108" s="142" t="s">
        <v>2398</v>
      </c>
      <c r="AS1108" s="142" t="s">
        <v>2705</v>
      </c>
      <c r="AT1108" s="142" t="s">
        <v>2398</v>
      </c>
      <c r="AU1108" s="142" t="s">
        <v>2398</v>
      </c>
      <c r="AV1108" s="142" t="s">
        <v>2705</v>
      </c>
      <c r="AW1108" s="142" t="s">
        <v>2398</v>
      </c>
      <c r="AX1108" s="142" t="s">
        <v>2705</v>
      </c>
      <c r="AY1108" s="142" t="s">
        <v>2705</v>
      </c>
      <c r="AZ1108" s="142" t="s">
        <v>2675</v>
      </c>
    </row>
    <row r="1109" spans="1:52" s="142" customFormat="1" ht="12.75" x14ac:dyDescent="0.2">
      <c r="A1109" s="151" t="s">
        <v>7871</v>
      </c>
      <c r="B1109" s="152" t="s">
        <v>2705</v>
      </c>
      <c r="C1109" s="152" t="s">
        <v>2398</v>
      </c>
      <c r="D1109" s="152" t="s">
        <v>2705</v>
      </c>
      <c r="E1109" s="152" t="s">
        <v>1435</v>
      </c>
      <c r="F1109" s="152" t="s">
        <v>2398</v>
      </c>
      <c r="G1109" s="152" t="s">
        <v>2705</v>
      </c>
      <c r="H1109" s="152" t="s">
        <v>2398</v>
      </c>
      <c r="I1109" s="152" t="s">
        <v>2398</v>
      </c>
      <c r="J1109" s="152" t="s">
        <v>2705</v>
      </c>
      <c r="K1109" s="152" t="s">
        <v>2705</v>
      </c>
      <c r="L1109" s="152" t="s">
        <v>2705</v>
      </c>
      <c r="M1109" s="152" t="s">
        <v>2398</v>
      </c>
      <c r="N1109" s="152" t="s">
        <v>2705</v>
      </c>
      <c r="O1109" s="152" t="s">
        <v>2398</v>
      </c>
      <c r="P1109" s="152" t="s">
        <v>2675</v>
      </c>
      <c r="Q1109" s="152" t="s">
        <v>1435</v>
      </c>
      <c r="R1109" s="152" t="s">
        <v>2705</v>
      </c>
      <c r="S1109" s="152" t="s">
        <v>2705</v>
      </c>
      <c r="T1109" s="152" t="s">
        <v>2705</v>
      </c>
      <c r="U1109" s="152" t="s">
        <v>2705</v>
      </c>
      <c r="V1109" s="142" cm="1">
        <f t="array" ref="V1109">IF(A1109&lt;&gt;"",SUM(--(B1109:U1110 = "X")*$U$3,--(B1109:U1110 ="A")*$Q$3,--(B1109:U1110 ="B")*$R$3,--(B1109:U1110 ="C")*$S$3),"")</f>
        <v>14.5</v>
      </c>
      <c r="AF1109" s="142" t="s">
        <v>7871</v>
      </c>
      <c r="AG1109" s="142" t="s">
        <v>2705</v>
      </c>
      <c r="AH1109" s="142" t="s">
        <v>2398</v>
      </c>
      <c r="AI1109" s="142" t="s">
        <v>2705</v>
      </c>
      <c r="AJ1109" s="142" t="s">
        <v>1435</v>
      </c>
      <c r="AK1109" s="142" t="s">
        <v>2398</v>
      </c>
      <c r="AL1109" s="142" t="s">
        <v>2705</v>
      </c>
      <c r="AM1109" s="142" t="s">
        <v>2398</v>
      </c>
      <c r="AN1109" s="142" t="s">
        <v>2398</v>
      </c>
      <c r="AO1109" s="142" t="s">
        <v>2705</v>
      </c>
      <c r="AP1109" s="142" t="s">
        <v>2705</v>
      </c>
      <c r="AQ1109" s="142" t="s">
        <v>2705</v>
      </c>
      <c r="AR1109" s="142" t="s">
        <v>2398</v>
      </c>
      <c r="AS1109" s="142" t="s">
        <v>2705</v>
      </c>
      <c r="AT1109" s="142" t="s">
        <v>2398</v>
      </c>
      <c r="AU1109" s="142" t="s">
        <v>2675</v>
      </c>
      <c r="AV1109" s="142" t="s">
        <v>1435</v>
      </c>
      <c r="AW1109" s="142" t="s">
        <v>2705</v>
      </c>
      <c r="AX1109" s="142" t="s">
        <v>2705</v>
      </c>
      <c r="AY1109" s="142" t="s">
        <v>2705</v>
      </c>
      <c r="AZ1109" s="142" t="s">
        <v>2705</v>
      </c>
    </row>
    <row r="1110" spans="1:52" s="142" customFormat="1" ht="12.75" x14ac:dyDescent="0.2">
      <c r="A1110" s="151"/>
      <c r="B1110" s="152" t="s">
        <v>2705</v>
      </c>
      <c r="C1110" s="152" t="s">
        <v>2705</v>
      </c>
      <c r="D1110" s="152" t="s">
        <v>2675</v>
      </c>
      <c r="E1110" s="152" t="s">
        <v>1435</v>
      </c>
      <c r="F1110" s="152" t="s">
        <v>2398</v>
      </c>
      <c r="G1110" s="152" t="s">
        <v>2675</v>
      </c>
      <c r="H1110" s="152" t="s">
        <v>2705</v>
      </c>
      <c r="I1110" s="152" t="s">
        <v>2398</v>
      </c>
      <c r="J1110" s="152" t="s">
        <v>2705</v>
      </c>
      <c r="K1110" s="152" t="s">
        <v>2675</v>
      </c>
      <c r="L1110" s="152" t="s">
        <v>2705</v>
      </c>
      <c r="M1110" s="152" t="s">
        <v>2705</v>
      </c>
      <c r="N1110" s="152" t="s">
        <v>2398</v>
      </c>
      <c r="O1110" s="152" t="s">
        <v>2705</v>
      </c>
      <c r="P1110" s="152" t="s">
        <v>2398</v>
      </c>
      <c r="Q1110" s="152" t="s">
        <v>1435</v>
      </c>
      <c r="R1110" s="152" t="s">
        <v>2398</v>
      </c>
      <c r="S1110" s="152" t="s">
        <v>1435</v>
      </c>
      <c r="T1110" s="152" t="s">
        <v>2705</v>
      </c>
      <c r="U1110" s="152" t="s">
        <v>2398</v>
      </c>
      <c r="V1110" s="142" t="str" cm="1">
        <f t="array" ref="V1110">IF(A1110&lt;&gt;"",SUM(--(B1110:U1111 = "X")*$U$3,--(B1110:U1111 ="A")*$Q$3,--(B1110:U1111 ="B")*$R$3,--(B1110:U1111 ="C")*$S$3),"")</f>
        <v/>
      </c>
      <c r="AG1110" s="142" t="s">
        <v>2705</v>
      </c>
      <c r="AH1110" s="142" t="s">
        <v>2705</v>
      </c>
      <c r="AI1110" s="142" t="s">
        <v>2675</v>
      </c>
      <c r="AJ1110" s="142" t="s">
        <v>1435</v>
      </c>
      <c r="AK1110" s="142" t="s">
        <v>2398</v>
      </c>
      <c r="AL1110" s="142" t="s">
        <v>2675</v>
      </c>
      <c r="AM1110" s="142" t="s">
        <v>2705</v>
      </c>
      <c r="AN1110" s="142" t="s">
        <v>2398</v>
      </c>
      <c r="AO1110" s="142" t="s">
        <v>2705</v>
      </c>
      <c r="AP1110" s="142" t="s">
        <v>2675</v>
      </c>
      <c r="AQ1110" s="142" t="s">
        <v>2705</v>
      </c>
      <c r="AR1110" s="142" t="s">
        <v>2705</v>
      </c>
      <c r="AS1110" s="142" t="s">
        <v>2398</v>
      </c>
      <c r="AT1110" s="142" t="s">
        <v>2705</v>
      </c>
      <c r="AU1110" s="142" t="s">
        <v>2398</v>
      </c>
      <c r="AV1110" s="142" t="s">
        <v>1435</v>
      </c>
      <c r="AW1110" s="142" t="s">
        <v>2398</v>
      </c>
      <c r="AX1110" s="142" t="s">
        <v>1435</v>
      </c>
      <c r="AY1110" s="142" t="s">
        <v>2705</v>
      </c>
      <c r="AZ1110" s="142" t="s">
        <v>2398</v>
      </c>
    </row>
    <row r="1111" spans="1:52" s="142" customFormat="1" ht="12.75" x14ac:dyDescent="0.2">
      <c r="A1111" s="151" t="s">
        <v>7872</v>
      </c>
      <c r="B1111" s="152" t="s">
        <v>2398</v>
      </c>
      <c r="C1111" s="152" t="s">
        <v>2705</v>
      </c>
      <c r="D1111" s="152" t="s">
        <v>2398</v>
      </c>
      <c r="E1111" s="152" t="s">
        <v>2705</v>
      </c>
      <c r="F1111" s="152" t="s">
        <v>2398</v>
      </c>
      <c r="G1111" s="152" t="s">
        <v>2705</v>
      </c>
      <c r="H1111" s="152" t="s">
        <v>2398</v>
      </c>
      <c r="I1111" s="152" t="s">
        <v>2675</v>
      </c>
      <c r="J1111" s="152" t="s">
        <v>2398</v>
      </c>
      <c r="K1111" s="152" t="s">
        <v>2397</v>
      </c>
      <c r="L1111" s="152" t="s">
        <v>1435</v>
      </c>
      <c r="M1111" s="152" t="s">
        <v>2705</v>
      </c>
      <c r="N1111" s="152" t="s">
        <v>2398</v>
      </c>
      <c r="O1111" s="152" t="s">
        <v>2705</v>
      </c>
      <c r="P1111" s="152" t="s">
        <v>2705</v>
      </c>
      <c r="Q1111" s="152" t="s">
        <v>2705</v>
      </c>
      <c r="R1111" s="152" t="s">
        <v>2705</v>
      </c>
      <c r="S1111" s="152" t="s">
        <v>2675</v>
      </c>
      <c r="T1111" s="152" t="s">
        <v>2705</v>
      </c>
      <c r="U1111" s="152" t="s">
        <v>2397</v>
      </c>
      <c r="V1111" s="142" cm="1">
        <f t="array" ref="V1111">IF(A1111&lt;&gt;"",SUM(--(B1111:U1112 = "X")*$U$3,--(B1111:U1112 ="A")*$Q$3,--(B1111:U1112 ="B")*$R$3,--(B1111:U1112 ="C")*$S$3),"")</f>
        <v>12.5</v>
      </c>
      <c r="AF1111" s="142" t="s">
        <v>7872</v>
      </c>
      <c r="AG1111" s="142" t="s">
        <v>2398</v>
      </c>
      <c r="AH1111" s="142" t="s">
        <v>2705</v>
      </c>
      <c r="AI1111" s="142" t="s">
        <v>2398</v>
      </c>
      <c r="AJ1111" s="142" t="s">
        <v>2705</v>
      </c>
      <c r="AK1111" s="142" t="s">
        <v>2398</v>
      </c>
      <c r="AL1111" s="142" t="s">
        <v>2705</v>
      </c>
      <c r="AM1111" s="142" t="s">
        <v>2398</v>
      </c>
      <c r="AN1111" s="142" t="s">
        <v>2675</v>
      </c>
      <c r="AO1111" s="142" t="s">
        <v>2398</v>
      </c>
      <c r="AP1111" s="142" t="s">
        <v>2397</v>
      </c>
      <c r="AQ1111" s="142" t="s">
        <v>1435</v>
      </c>
      <c r="AR1111" s="142" t="s">
        <v>2705</v>
      </c>
      <c r="AS1111" s="142" t="s">
        <v>2398</v>
      </c>
      <c r="AT1111" s="142" t="s">
        <v>2705</v>
      </c>
      <c r="AU1111" s="142" t="s">
        <v>2705</v>
      </c>
      <c r="AV1111" s="142" t="s">
        <v>2705</v>
      </c>
      <c r="AW1111" s="142" t="s">
        <v>2705</v>
      </c>
      <c r="AX1111" s="142" t="s">
        <v>2675</v>
      </c>
      <c r="AY1111" s="142" t="s">
        <v>2705</v>
      </c>
      <c r="AZ1111" s="142" t="s">
        <v>2397</v>
      </c>
    </row>
    <row r="1112" spans="1:52" s="142" customFormat="1" ht="12.75" x14ac:dyDescent="0.2">
      <c r="A1112" s="151"/>
      <c r="B1112" s="152" t="s">
        <v>2675</v>
      </c>
      <c r="C1112" s="152" t="s">
        <v>2398</v>
      </c>
      <c r="D1112" s="152" t="s">
        <v>2675</v>
      </c>
      <c r="E1112" s="152" t="s">
        <v>2398</v>
      </c>
      <c r="F1112" s="152" t="s">
        <v>2705</v>
      </c>
      <c r="G1112" s="152" t="s">
        <v>2705</v>
      </c>
      <c r="H1112" s="152" t="s">
        <v>2397</v>
      </c>
      <c r="I1112" s="152" t="s">
        <v>2398</v>
      </c>
      <c r="J1112" s="152" t="s">
        <v>2398</v>
      </c>
      <c r="K1112" s="152" t="s">
        <v>2398</v>
      </c>
      <c r="L1112" s="152" t="s">
        <v>2398</v>
      </c>
      <c r="M1112" s="152" t="s">
        <v>2398</v>
      </c>
      <c r="N1112" s="152" t="s">
        <v>2705</v>
      </c>
      <c r="O1112" s="152" t="s">
        <v>2398</v>
      </c>
      <c r="P1112" s="152" t="s">
        <v>2398</v>
      </c>
      <c r="Q1112" s="152" t="s">
        <v>2398</v>
      </c>
      <c r="R1112" s="152" t="s">
        <v>2705</v>
      </c>
      <c r="S1112" s="152" t="s">
        <v>2705</v>
      </c>
      <c r="T1112" s="152" t="s">
        <v>2398</v>
      </c>
      <c r="U1112" s="152" t="s">
        <v>2705</v>
      </c>
      <c r="V1112" s="142" t="str" cm="1">
        <f t="array" ref="V1112">IF(A1112&lt;&gt;"",SUM(--(B1112:U1113 = "X")*$U$3,--(B1112:U1113 ="A")*$Q$3,--(B1112:U1113 ="B")*$R$3,--(B1112:U1113 ="C")*$S$3),"")</f>
        <v/>
      </c>
      <c r="AG1112" s="142" t="s">
        <v>2675</v>
      </c>
      <c r="AH1112" s="142" t="s">
        <v>2398</v>
      </c>
      <c r="AI1112" s="142" t="s">
        <v>2675</v>
      </c>
      <c r="AJ1112" s="142" t="s">
        <v>2398</v>
      </c>
      <c r="AK1112" s="142" t="s">
        <v>2705</v>
      </c>
      <c r="AL1112" s="142" t="s">
        <v>2705</v>
      </c>
      <c r="AM1112" s="142" t="s">
        <v>2397</v>
      </c>
      <c r="AN1112" s="142" t="s">
        <v>2398</v>
      </c>
      <c r="AO1112" s="142" t="s">
        <v>2398</v>
      </c>
      <c r="AP1112" s="142" t="s">
        <v>2398</v>
      </c>
      <c r="AQ1112" s="142" t="s">
        <v>2398</v>
      </c>
      <c r="AR1112" s="142" t="s">
        <v>2398</v>
      </c>
      <c r="AS1112" s="142" t="s">
        <v>2705</v>
      </c>
      <c r="AT1112" s="142" t="s">
        <v>2398</v>
      </c>
      <c r="AU1112" s="142" t="s">
        <v>2398</v>
      </c>
      <c r="AV1112" s="142" t="s">
        <v>2398</v>
      </c>
      <c r="AW1112" s="142" t="s">
        <v>2705</v>
      </c>
      <c r="AX1112" s="142" t="s">
        <v>2705</v>
      </c>
      <c r="AY1112" s="142" t="s">
        <v>2398</v>
      </c>
      <c r="AZ1112" s="142" t="s">
        <v>2705</v>
      </c>
    </row>
    <row r="1113" spans="1:52" s="142" customFormat="1" ht="12.75" x14ac:dyDescent="0.2">
      <c r="A1113" s="151" t="s">
        <v>7873</v>
      </c>
      <c r="B1113" s="152" t="s">
        <v>2705</v>
      </c>
      <c r="C1113" s="152" t="s">
        <v>2705</v>
      </c>
      <c r="D1113" s="152" t="s">
        <v>2705</v>
      </c>
      <c r="E1113" s="152" t="s">
        <v>2398</v>
      </c>
      <c r="F1113" s="152" t="s">
        <v>2705</v>
      </c>
      <c r="G1113" s="152" t="s">
        <v>2398</v>
      </c>
      <c r="H1113" s="152" t="s">
        <v>2705</v>
      </c>
      <c r="I1113" s="152" t="s">
        <v>2398</v>
      </c>
      <c r="J1113" s="152" t="s">
        <v>2398</v>
      </c>
      <c r="K1113" s="152" t="s">
        <v>2398</v>
      </c>
      <c r="L1113" s="152" t="s">
        <v>2705</v>
      </c>
      <c r="M1113" s="152" t="s">
        <v>2705</v>
      </c>
      <c r="N1113" s="152" t="s">
        <v>2705</v>
      </c>
      <c r="O1113" s="152" t="s">
        <v>2398</v>
      </c>
      <c r="P1113" s="152" t="s">
        <v>2705</v>
      </c>
      <c r="Q1113" s="152" t="s">
        <v>2398</v>
      </c>
      <c r="R1113" s="152" t="s">
        <v>2705</v>
      </c>
      <c r="S1113" s="152" t="s">
        <v>2705</v>
      </c>
      <c r="T1113" s="152" t="s">
        <v>2705</v>
      </c>
      <c r="U1113" s="152" t="s">
        <v>2675</v>
      </c>
      <c r="V1113" s="142" cm="1">
        <f t="array" ref="V1113">IF(A1113&lt;&gt;"",SUM(--(B1113:U1114 = "X")*$U$3,--(B1113:U1114 ="A")*$Q$3,--(B1113:U1114 ="B")*$R$3,--(B1113:U1114 ="C")*$S$3),"")</f>
        <v>21</v>
      </c>
      <c r="AF1113" s="142" t="s">
        <v>7873</v>
      </c>
      <c r="AG1113" s="142" t="s">
        <v>2705</v>
      </c>
      <c r="AH1113" s="142" t="s">
        <v>2705</v>
      </c>
      <c r="AI1113" s="142" t="s">
        <v>2705</v>
      </c>
      <c r="AJ1113" s="142" t="s">
        <v>2398</v>
      </c>
      <c r="AK1113" s="142" t="s">
        <v>2705</v>
      </c>
      <c r="AL1113" s="142" t="s">
        <v>2398</v>
      </c>
      <c r="AM1113" s="142" t="s">
        <v>2705</v>
      </c>
      <c r="AN1113" s="142" t="s">
        <v>2398</v>
      </c>
      <c r="AO1113" s="142" t="s">
        <v>2398</v>
      </c>
      <c r="AP1113" s="142" t="s">
        <v>2398</v>
      </c>
      <c r="AQ1113" s="142" t="s">
        <v>2705</v>
      </c>
      <c r="AR1113" s="142" t="s">
        <v>2705</v>
      </c>
      <c r="AS1113" s="142" t="s">
        <v>2705</v>
      </c>
      <c r="AT1113" s="142" t="s">
        <v>2398</v>
      </c>
      <c r="AU1113" s="142" t="s">
        <v>2705</v>
      </c>
      <c r="AV1113" s="142" t="s">
        <v>2398</v>
      </c>
      <c r="AW1113" s="142" t="s">
        <v>2705</v>
      </c>
      <c r="AX1113" s="142" t="s">
        <v>2705</v>
      </c>
      <c r="AY1113" s="142" t="s">
        <v>2705</v>
      </c>
      <c r="AZ1113" s="142" t="s">
        <v>2675</v>
      </c>
    </row>
    <row r="1114" spans="1:52" s="142" customFormat="1" ht="12.75" x14ac:dyDescent="0.2">
      <c r="A1114" s="151"/>
      <c r="B1114" s="152" t="s">
        <v>2398</v>
      </c>
      <c r="C1114" s="152" t="s">
        <v>2398</v>
      </c>
      <c r="D1114" s="152" t="s">
        <v>2705</v>
      </c>
      <c r="E1114" s="152" t="s">
        <v>2705</v>
      </c>
      <c r="F1114" s="152" t="s">
        <v>2398</v>
      </c>
      <c r="G1114" s="152" t="s">
        <v>2675</v>
      </c>
      <c r="H1114" s="152" t="s">
        <v>2398</v>
      </c>
      <c r="I1114" s="152" t="s">
        <v>2398</v>
      </c>
      <c r="J1114" s="152" t="s">
        <v>2705</v>
      </c>
      <c r="K1114" s="152" t="s">
        <v>2398</v>
      </c>
      <c r="L1114" s="152" t="s">
        <v>2705</v>
      </c>
      <c r="M1114" s="152" t="s">
        <v>2398</v>
      </c>
      <c r="N1114" s="152" t="s">
        <v>2398</v>
      </c>
      <c r="O1114" s="152" t="s">
        <v>2705</v>
      </c>
      <c r="P1114" s="152" t="s">
        <v>2705</v>
      </c>
      <c r="Q1114" s="152" t="s">
        <v>2705</v>
      </c>
      <c r="R1114" s="152" t="s">
        <v>2705</v>
      </c>
      <c r="S1114" s="152" t="s">
        <v>2705</v>
      </c>
      <c r="T1114" s="152" t="s">
        <v>2398</v>
      </c>
      <c r="U1114" s="152" t="s">
        <v>2705</v>
      </c>
      <c r="V1114" s="142" t="str" cm="1">
        <f t="array" ref="V1114">IF(A1114&lt;&gt;"",SUM(--(B1114:U1115 = "X")*$U$3,--(B1114:U1115 ="A")*$Q$3,--(B1114:U1115 ="B")*$R$3,--(B1114:U1115 ="C")*$S$3),"")</f>
        <v/>
      </c>
      <c r="AG1114" s="142" t="s">
        <v>2398</v>
      </c>
      <c r="AH1114" s="142" t="s">
        <v>2398</v>
      </c>
      <c r="AI1114" s="142" t="s">
        <v>2705</v>
      </c>
      <c r="AJ1114" s="142" t="s">
        <v>2705</v>
      </c>
      <c r="AK1114" s="142" t="s">
        <v>2398</v>
      </c>
      <c r="AL1114" s="142" t="s">
        <v>2675</v>
      </c>
      <c r="AM1114" s="142" t="s">
        <v>2398</v>
      </c>
      <c r="AN1114" s="142" t="s">
        <v>2398</v>
      </c>
      <c r="AO1114" s="142" t="s">
        <v>2705</v>
      </c>
      <c r="AP1114" s="142" t="s">
        <v>2398</v>
      </c>
      <c r="AQ1114" s="142" t="s">
        <v>2705</v>
      </c>
      <c r="AR1114" s="142" t="s">
        <v>2398</v>
      </c>
      <c r="AS1114" s="142" t="s">
        <v>2398</v>
      </c>
      <c r="AT1114" s="142" t="s">
        <v>2705</v>
      </c>
      <c r="AU1114" s="142" t="s">
        <v>2705</v>
      </c>
      <c r="AV1114" s="142" t="s">
        <v>2705</v>
      </c>
      <c r="AW1114" s="142" t="s">
        <v>2705</v>
      </c>
      <c r="AX1114" s="142" t="s">
        <v>2705</v>
      </c>
      <c r="AY1114" s="142" t="s">
        <v>2398</v>
      </c>
      <c r="AZ1114" s="142" t="s">
        <v>2705</v>
      </c>
    </row>
    <row r="1115" spans="1:52" s="142" customFormat="1" ht="12.75" x14ac:dyDescent="0.2">
      <c r="A1115" s="151" t="s">
        <v>7874</v>
      </c>
      <c r="B1115" s="152" t="s">
        <v>2705</v>
      </c>
      <c r="C1115" s="152" t="s">
        <v>1435</v>
      </c>
      <c r="D1115" s="152" t="s">
        <v>2705</v>
      </c>
      <c r="E1115" s="152" t="s">
        <v>2705</v>
      </c>
      <c r="F1115" s="152" t="s">
        <v>2398</v>
      </c>
      <c r="G1115" s="152" t="s">
        <v>1435</v>
      </c>
      <c r="H1115" s="152" t="s">
        <v>2705</v>
      </c>
      <c r="I1115" s="152" t="s">
        <v>2398</v>
      </c>
      <c r="J1115" s="152" t="s">
        <v>2675</v>
      </c>
      <c r="K1115" s="152" t="s">
        <v>2398</v>
      </c>
      <c r="L1115" s="152" t="s">
        <v>2398</v>
      </c>
      <c r="M1115" s="152" t="s">
        <v>2705</v>
      </c>
      <c r="N1115" s="152" t="s">
        <v>2705</v>
      </c>
      <c r="O1115" s="152" t="s">
        <v>2398</v>
      </c>
      <c r="P1115" s="152" t="s">
        <v>2675</v>
      </c>
      <c r="Q1115" s="152" t="s">
        <v>2705</v>
      </c>
      <c r="R1115" s="152" t="s">
        <v>2398</v>
      </c>
      <c r="S1115" s="152" t="s">
        <v>2398</v>
      </c>
      <c r="T1115" s="152" t="s">
        <v>2705</v>
      </c>
      <c r="U1115" s="152" t="s">
        <v>2398</v>
      </c>
      <c r="V1115" s="142" cm="1">
        <f t="array" ref="V1115">IF(A1115&lt;&gt;"",SUM(--(B1115:U1116 = "X")*$U$3,--(B1115:U1116 ="A")*$Q$3,--(B1115:U1116 ="B")*$R$3,--(B1115:U1116 ="C")*$S$3),"")</f>
        <v>10.5</v>
      </c>
      <c r="AF1115" s="142" t="s">
        <v>7874</v>
      </c>
      <c r="AG1115" s="142" t="s">
        <v>2705</v>
      </c>
      <c r="AH1115" s="142" t="s">
        <v>1435</v>
      </c>
      <c r="AI1115" s="142" t="s">
        <v>2705</v>
      </c>
      <c r="AJ1115" s="142" t="s">
        <v>2705</v>
      </c>
      <c r="AK1115" s="142" t="s">
        <v>2398</v>
      </c>
      <c r="AL1115" s="142" t="s">
        <v>1435</v>
      </c>
      <c r="AM1115" s="142" t="s">
        <v>2705</v>
      </c>
      <c r="AN1115" s="142" t="s">
        <v>2398</v>
      </c>
      <c r="AO1115" s="142" t="s">
        <v>2675</v>
      </c>
      <c r="AP1115" s="142" t="s">
        <v>2398</v>
      </c>
      <c r="AQ1115" s="142" t="s">
        <v>2398</v>
      </c>
      <c r="AR1115" s="142" t="s">
        <v>2705</v>
      </c>
      <c r="AS1115" s="142" t="s">
        <v>2705</v>
      </c>
      <c r="AT1115" s="142" t="s">
        <v>2398</v>
      </c>
      <c r="AU1115" s="142" t="s">
        <v>2675</v>
      </c>
      <c r="AV1115" s="142" t="s">
        <v>2705</v>
      </c>
      <c r="AW1115" s="142" t="s">
        <v>2398</v>
      </c>
      <c r="AX1115" s="142" t="s">
        <v>2398</v>
      </c>
      <c r="AY1115" s="142" t="s">
        <v>2705</v>
      </c>
      <c r="AZ1115" s="142" t="s">
        <v>2398</v>
      </c>
    </row>
    <row r="1116" spans="1:52" s="142" customFormat="1" ht="12.75" x14ac:dyDescent="0.2">
      <c r="A1116" s="151"/>
      <c r="B1116" s="152" t="s">
        <v>2398</v>
      </c>
      <c r="C1116" s="152" t="s">
        <v>2398</v>
      </c>
      <c r="D1116" s="152" t="s">
        <v>2705</v>
      </c>
      <c r="E1116" s="152" t="s">
        <v>2675</v>
      </c>
      <c r="F1116" s="152" t="s">
        <v>2705</v>
      </c>
      <c r="G1116" s="152" t="s">
        <v>2675</v>
      </c>
      <c r="H1116" s="152" t="s">
        <v>2675</v>
      </c>
      <c r="I1116" s="152" t="s">
        <v>2397</v>
      </c>
      <c r="J1116" s="152" t="s">
        <v>2398</v>
      </c>
      <c r="K1116" s="152" t="s">
        <v>2705</v>
      </c>
      <c r="L1116" s="152" t="s">
        <v>2398</v>
      </c>
      <c r="M1116" s="152" t="s">
        <v>2398</v>
      </c>
      <c r="N1116" s="152" t="s">
        <v>2397</v>
      </c>
      <c r="O1116" s="152" t="s">
        <v>2705</v>
      </c>
      <c r="P1116" s="152" t="s">
        <v>2398</v>
      </c>
      <c r="Q1116" s="152" t="s">
        <v>2398</v>
      </c>
      <c r="R1116" s="152" t="s">
        <v>2398</v>
      </c>
      <c r="S1116" s="152" t="s">
        <v>2705</v>
      </c>
      <c r="T1116" s="152" t="s">
        <v>2705</v>
      </c>
      <c r="U1116" s="152" t="s">
        <v>2398</v>
      </c>
      <c r="V1116" s="142" t="str" cm="1">
        <f t="array" ref="V1116">IF(A1116&lt;&gt;"",SUM(--(B1116:U1117 = "X")*$U$3,--(B1116:U1117 ="A")*$Q$3,--(B1116:U1117 ="B")*$R$3,--(B1116:U1117 ="C")*$S$3),"")</f>
        <v/>
      </c>
      <c r="AG1116" s="142" t="s">
        <v>2398</v>
      </c>
      <c r="AH1116" s="142" t="s">
        <v>2398</v>
      </c>
      <c r="AI1116" s="142" t="s">
        <v>2705</v>
      </c>
      <c r="AJ1116" s="142" t="s">
        <v>2675</v>
      </c>
      <c r="AK1116" s="142" t="s">
        <v>2705</v>
      </c>
      <c r="AL1116" s="142" t="s">
        <v>2675</v>
      </c>
      <c r="AM1116" s="142" t="s">
        <v>2675</v>
      </c>
      <c r="AN1116" s="142" t="s">
        <v>2397</v>
      </c>
      <c r="AO1116" s="142" t="s">
        <v>2398</v>
      </c>
      <c r="AP1116" s="142" t="s">
        <v>2705</v>
      </c>
      <c r="AQ1116" s="142" t="s">
        <v>2398</v>
      </c>
      <c r="AR1116" s="142" t="s">
        <v>2398</v>
      </c>
      <c r="AS1116" s="142" t="s">
        <v>2397</v>
      </c>
      <c r="AT1116" s="142" t="s">
        <v>2705</v>
      </c>
      <c r="AU1116" s="142" t="s">
        <v>2398</v>
      </c>
      <c r="AV1116" s="142" t="s">
        <v>2398</v>
      </c>
      <c r="AW1116" s="142" t="s">
        <v>2398</v>
      </c>
      <c r="AX1116" s="142" t="s">
        <v>2705</v>
      </c>
      <c r="AY1116" s="142" t="s">
        <v>2705</v>
      </c>
      <c r="AZ1116" s="142" t="s">
        <v>2398</v>
      </c>
    </row>
    <row r="1117" spans="1:52" s="142" customFormat="1" ht="12.75" x14ac:dyDescent="0.2">
      <c r="A1117" s="151" t="s">
        <v>7875</v>
      </c>
      <c r="B1117" s="152" t="s">
        <v>2705</v>
      </c>
      <c r="C1117" s="152" t="s">
        <v>2705</v>
      </c>
      <c r="D1117" s="152" t="s">
        <v>2705</v>
      </c>
      <c r="E1117" s="152" t="s">
        <v>2398</v>
      </c>
      <c r="F1117" s="152" t="s">
        <v>2705</v>
      </c>
      <c r="G1117" s="152" t="s">
        <v>2398</v>
      </c>
      <c r="H1117" s="152" t="s">
        <v>2705</v>
      </c>
      <c r="I1117" s="152" t="s">
        <v>2705</v>
      </c>
      <c r="J1117" s="152" t="s">
        <v>2398</v>
      </c>
      <c r="K1117" s="152" t="s">
        <v>2705</v>
      </c>
      <c r="L1117" s="152" t="s">
        <v>2705</v>
      </c>
      <c r="M1117" s="152" t="s">
        <v>2705</v>
      </c>
      <c r="N1117" s="152" t="s">
        <v>2705</v>
      </c>
      <c r="O1117" s="152" t="s">
        <v>2398</v>
      </c>
      <c r="P1117" s="152" t="s">
        <v>2705</v>
      </c>
      <c r="Q1117" s="152" t="s">
        <v>2398</v>
      </c>
      <c r="R1117" s="152" t="s">
        <v>2397</v>
      </c>
      <c r="S1117" s="152" t="s">
        <v>2705</v>
      </c>
      <c r="T1117" s="152" t="s">
        <v>2398</v>
      </c>
      <c r="U1117" s="152" t="s">
        <v>2705</v>
      </c>
      <c r="V1117" s="142" cm="1">
        <f t="array" ref="V1117">IF(A1117&lt;&gt;"",SUM(--(B1117:U1118 = "X")*$U$3,--(B1117:U1118 ="A")*$Q$3,--(B1117:U1118 ="B")*$R$3,--(B1117:U1118 ="C")*$S$3),"")</f>
        <v>25</v>
      </c>
      <c r="AF1117" s="142" t="s">
        <v>7875</v>
      </c>
      <c r="AG1117" s="142" t="s">
        <v>2705</v>
      </c>
      <c r="AH1117" s="142" t="s">
        <v>2705</v>
      </c>
      <c r="AI1117" s="142" t="s">
        <v>2705</v>
      </c>
      <c r="AJ1117" s="142" t="s">
        <v>2398</v>
      </c>
      <c r="AK1117" s="142" t="s">
        <v>2705</v>
      </c>
      <c r="AL1117" s="142" t="s">
        <v>2398</v>
      </c>
      <c r="AM1117" s="142" t="s">
        <v>2705</v>
      </c>
      <c r="AN1117" s="142" t="s">
        <v>2705</v>
      </c>
      <c r="AO1117" s="142" t="s">
        <v>2398</v>
      </c>
      <c r="AP1117" s="142" t="s">
        <v>2705</v>
      </c>
      <c r="AQ1117" s="142" t="s">
        <v>2705</v>
      </c>
      <c r="AR1117" s="142" t="s">
        <v>2705</v>
      </c>
      <c r="AS1117" s="142" t="s">
        <v>2705</v>
      </c>
      <c r="AT1117" s="142" t="s">
        <v>2398</v>
      </c>
      <c r="AU1117" s="142" t="s">
        <v>2705</v>
      </c>
      <c r="AV1117" s="142" t="s">
        <v>2398</v>
      </c>
      <c r="AW1117" s="142" t="s">
        <v>2397</v>
      </c>
      <c r="AX1117" s="142" t="s">
        <v>2705</v>
      </c>
      <c r="AY1117" s="142" t="s">
        <v>2398</v>
      </c>
      <c r="AZ1117" s="142" t="s">
        <v>2705</v>
      </c>
    </row>
    <row r="1118" spans="1:52" s="142" customFormat="1" ht="12.75" x14ac:dyDescent="0.2">
      <c r="A1118" s="151"/>
      <c r="B1118" s="152" t="s">
        <v>2398</v>
      </c>
      <c r="C1118" s="152" t="s">
        <v>2705</v>
      </c>
      <c r="D1118" s="152" t="s">
        <v>2705</v>
      </c>
      <c r="E1118" s="152" t="s">
        <v>2705</v>
      </c>
      <c r="F1118" s="152" t="s">
        <v>2705</v>
      </c>
      <c r="G1118" s="152" t="s">
        <v>2398</v>
      </c>
      <c r="H1118" s="152" t="s">
        <v>2705</v>
      </c>
      <c r="I1118" s="152" t="s">
        <v>2705</v>
      </c>
      <c r="J1118" s="152" t="s">
        <v>2398</v>
      </c>
      <c r="K1118" s="152" t="s">
        <v>2398</v>
      </c>
      <c r="L1118" s="152" t="s">
        <v>2705</v>
      </c>
      <c r="M1118" s="152" t="s">
        <v>2398</v>
      </c>
      <c r="N1118" s="152" t="s">
        <v>2398</v>
      </c>
      <c r="O1118" s="152" t="s">
        <v>2705</v>
      </c>
      <c r="P1118" s="152" t="s">
        <v>2398</v>
      </c>
      <c r="Q1118" s="152" t="s">
        <v>2705</v>
      </c>
      <c r="R1118" s="152" t="s">
        <v>2705</v>
      </c>
      <c r="S1118" s="152" t="s">
        <v>2705</v>
      </c>
      <c r="T1118" s="152" t="s">
        <v>2398</v>
      </c>
      <c r="U1118" s="152" t="s">
        <v>2705</v>
      </c>
      <c r="V1118" s="142" t="str" cm="1">
        <f t="array" ref="V1118">IF(A1118&lt;&gt;"",SUM(--(B1118:U1119 = "X")*$U$3,--(B1118:U1119 ="A")*$Q$3,--(B1118:U1119 ="B")*$R$3,--(B1118:U1119 ="C")*$S$3),"")</f>
        <v/>
      </c>
      <c r="AG1118" s="142" t="s">
        <v>2398</v>
      </c>
      <c r="AH1118" s="142" t="s">
        <v>2705</v>
      </c>
      <c r="AI1118" s="142" t="s">
        <v>2705</v>
      </c>
      <c r="AJ1118" s="142" t="s">
        <v>2705</v>
      </c>
      <c r="AK1118" s="142" t="s">
        <v>2705</v>
      </c>
      <c r="AL1118" s="142" t="s">
        <v>2398</v>
      </c>
      <c r="AM1118" s="142" t="s">
        <v>2705</v>
      </c>
      <c r="AN1118" s="142" t="s">
        <v>2705</v>
      </c>
      <c r="AO1118" s="142" t="s">
        <v>2398</v>
      </c>
      <c r="AP1118" s="142" t="s">
        <v>2398</v>
      </c>
      <c r="AQ1118" s="142" t="s">
        <v>2705</v>
      </c>
      <c r="AR1118" s="142" t="s">
        <v>2398</v>
      </c>
      <c r="AS1118" s="142" t="s">
        <v>2398</v>
      </c>
      <c r="AT1118" s="142" t="s">
        <v>2705</v>
      </c>
      <c r="AU1118" s="142" t="s">
        <v>2398</v>
      </c>
      <c r="AV1118" s="142" t="s">
        <v>2705</v>
      </c>
      <c r="AW1118" s="142" t="s">
        <v>2705</v>
      </c>
      <c r="AX1118" s="142" t="s">
        <v>2705</v>
      </c>
      <c r="AY1118" s="142" t="s">
        <v>2398</v>
      </c>
      <c r="AZ1118" s="142" t="s">
        <v>2705</v>
      </c>
    </row>
    <row r="1119" spans="1:52" s="142" customFormat="1" ht="12.75" x14ac:dyDescent="0.2">
      <c r="A1119" s="151" t="s">
        <v>7876</v>
      </c>
      <c r="B1119" s="152" t="s">
        <v>2705</v>
      </c>
      <c r="C1119" s="152" t="s">
        <v>2705</v>
      </c>
      <c r="D1119" s="152" t="s">
        <v>2705</v>
      </c>
      <c r="E1119" s="152" t="s">
        <v>2705</v>
      </c>
      <c r="F1119" s="152" t="s">
        <v>2705</v>
      </c>
      <c r="G1119" s="152" t="s">
        <v>2705</v>
      </c>
      <c r="H1119" s="152" t="s">
        <v>2705</v>
      </c>
      <c r="I1119" s="152" t="s">
        <v>2705</v>
      </c>
      <c r="J1119" s="152" t="s">
        <v>2398</v>
      </c>
      <c r="K1119" s="152" t="s">
        <v>1435</v>
      </c>
      <c r="L1119" s="152" t="s">
        <v>2705</v>
      </c>
      <c r="M1119" s="152" t="s">
        <v>2705</v>
      </c>
      <c r="N1119" s="152" t="s">
        <v>2398</v>
      </c>
      <c r="O1119" s="152" t="s">
        <v>2397</v>
      </c>
      <c r="P1119" s="152" t="s">
        <v>2398</v>
      </c>
      <c r="Q1119" s="152" t="s">
        <v>2397</v>
      </c>
      <c r="R1119" s="152" t="s">
        <v>2675</v>
      </c>
      <c r="S1119" s="152" t="s">
        <v>2398</v>
      </c>
      <c r="T1119" s="152" t="s">
        <v>2398</v>
      </c>
      <c r="U1119" s="152" t="s">
        <v>2398</v>
      </c>
      <c r="V1119" s="142" cm="1">
        <f t="array" ref="V1119">IF(A1119&lt;&gt;"",SUM(--(B1119:U1120 = "X")*$U$3,--(B1119:U1120 ="A")*$Q$3,--(B1119:U1120 ="B")*$R$3,--(B1119:U1120 ="C")*$S$3),"")</f>
        <v>18</v>
      </c>
      <c r="AF1119" s="142" t="s">
        <v>7876</v>
      </c>
      <c r="AG1119" s="142" t="s">
        <v>2705</v>
      </c>
      <c r="AH1119" s="142" t="s">
        <v>2705</v>
      </c>
      <c r="AI1119" s="142" t="s">
        <v>2705</v>
      </c>
      <c r="AJ1119" s="142" t="s">
        <v>2705</v>
      </c>
      <c r="AK1119" s="142" t="s">
        <v>2705</v>
      </c>
      <c r="AL1119" s="142" t="s">
        <v>2705</v>
      </c>
      <c r="AM1119" s="142" t="s">
        <v>2705</v>
      </c>
      <c r="AN1119" s="142" t="s">
        <v>2705</v>
      </c>
      <c r="AO1119" s="142" t="s">
        <v>2398</v>
      </c>
      <c r="AP1119" s="142" t="s">
        <v>1435</v>
      </c>
      <c r="AQ1119" s="142" t="s">
        <v>2705</v>
      </c>
      <c r="AR1119" s="142" t="s">
        <v>2705</v>
      </c>
      <c r="AS1119" s="142" t="s">
        <v>2398</v>
      </c>
      <c r="AT1119" s="142" t="s">
        <v>2397</v>
      </c>
      <c r="AU1119" s="142" t="s">
        <v>2398</v>
      </c>
      <c r="AV1119" s="142" t="s">
        <v>2397</v>
      </c>
      <c r="AW1119" s="142" t="s">
        <v>2675</v>
      </c>
      <c r="AX1119" s="142" t="s">
        <v>2398</v>
      </c>
      <c r="AY1119" s="142" t="s">
        <v>2398</v>
      </c>
      <c r="AZ1119" s="142" t="s">
        <v>2398</v>
      </c>
    </row>
    <row r="1120" spans="1:52" s="142" customFormat="1" ht="12.75" x14ac:dyDescent="0.2">
      <c r="A1120" s="151"/>
      <c r="B1120" s="152" t="s">
        <v>2705</v>
      </c>
      <c r="C1120" s="152" t="s">
        <v>2398</v>
      </c>
      <c r="D1120" s="152" t="s">
        <v>2675</v>
      </c>
      <c r="E1120" s="152" t="s">
        <v>1435</v>
      </c>
      <c r="F1120" s="152" t="s">
        <v>2705</v>
      </c>
      <c r="G1120" s="152" t="s">
        <v>2398</v>
      </c>
      <c r="H1120" s="152" t="s">
        <v>2398</v>
      </c>
      <c r="I1120" s="152" t="s">
        <v>2705</v>
      </c>
      <c r="J1120" s="152" t="s">
        <v>2705</v>
      </c>
      <c r="K1120" s="152" t="s">
        <v>2705</v>
      </c>
      <c r="L1120" s="152" t="s">
        <v>2397</v>
      </c>
      <c r="M1120" s="152" t="s">
        <v>2705</v>
      </c>
      <c r="N1120" s="152" t="s">
        <v>2398</v>
      </c>
      <c r="O1120" s="152" t="s">
        <v>2705</v>
      </c>
      <c r="P1120" s="152" t="s">
        <v>2398</v>
      </c>
      <c r="Q1120" s="152" t="s">
        <v>2398</v>
      </c>
      <c r="R1120" s="152" t="s">
        <v>2398</v>
      </c>
      <c r="S1120" s="152" t="s">
        <v>2705</v>
      </c>
      <c r="T1120" s="152" t="s">
        <v>2705</v>
      </c>
      <c r="U1120" s="152" t="s">
        <v>2705</v>
      </c>
      <c r="V1120" s="142" t="str" cm="1">
        <f t="array" ref="V1120">IF(A1120&lt;&gt;"",SUM(--(B1120:U1121 = "X")*$U$3,--(B1120:U1121 ="A")*$Q$3,--(B1120:U1121 ="B")*$R$3,--(B1120:U1121 ="C")*$S$3),"")</f>
        <v/>
      </c>
      <c r="AG1120" s="142" t="s">
        <v>2705</v>
      </c>
      <c r="AH1120" s="142" t="s">
        <v>2398</v>
      </c>
      <c r="AI1120" s="142" t="s">
        <v>2675</v>
      </c>
      <c r="AJ1120" s="142" t="s">
        <v>1435</v>
      </c>
      <c r="AK1120" s="142" t="s">
        <v>2705</v>
      </c>
      <c r="AL1120" s="142" t="s">
        <v>2398</v>
      </c>
      <c r="AM1120" s="142" t="s">
        <v>2398</v>
      </c>
      <c r="AN1120" s="142" t="s">
        <v>2705</v>
      </c>
      <c r="AO1120" s="142" t="s">
        <v>2705</v>
      </c>
      <c r="AP1120" s="142" t="s">
        <v>2705</v>
      </c>
      <c r="AQ1120" s="142" t="s">
        <v>2397</v>
      </c>
      <c r="AR1120" s="142" t="s">
        <v>2705</v>
      </c>
      <c r="AS1120" s="142" t="s">
        <v>2398</v>
      </c>
      <c r="AT1120" s="142" t="s">
        <v>2705</v>
      </c>
      <c r="AU1120" s="142" t="s">
        <v>2398</v>
      </c>
      <c r="AV1120" s="142" t="s">
        <v>2398</v>
      </c>
      <c r="AW1120" s="142" t="s">
        <v>2398</v>
      </c>
      <c r="AX1120" s="142" t="s">
        <v>2705</v>
      </c>
      <c r="AY1120" s="142" t="s">
        <v>2705</v>
      </c>
      <c r="AZ1120" s="142" t="s">
        <v>2705</v>
      </c>
    </row>
    <row r="1121" spans="1:52" s="142" customFormat="1" ht="12.75" x14ac:dyDescent="0.2">
      <c r="A1121" s="151" t="s">
        <v>7877</v>
      </c>
      <c r="B1121" s="152" t="s">
        <v>2398</v>
      </c>
      <c r="C1121" s="152" t="s">
        <v>2398</v>
      </c>
      <c r="D1121" s="152" t="s">
        <v>2398</v>
      </c>
      <c r="E1121" s="152" t="s">
        <v>2398</v>
      </c>
      <c r="F1121" s="152" t="s">
        <v>2675</v>
      </c>
      <c r="G1121" s="152" t="s">
        <v>2705</v>
      </c>
      <c r="H1121" s="152" t="s">
        <v>2705</v>
      </c>
      <c r="I1121" s="152" t="s">
        <v>2675</v>
      </c>
      <c r="J1121" s="152" t="s">
        <v>1435</v>
      </c>
      <c r="K1121" s="152" t="s">
        <v>2398</v>
      </c>
      <c r="L1121" s="152" t="s">
        <v>1435</v>
      </c>
      <c r="M1121" s="152" t="s">
        <v>1435</v>
      </c>
      <c r="N1121" s="152" t="s">
        <v>2398</v>
      </c>
      <c r="O1121" s="152" t="s">
        <v>2705</v>
      </c>
      <c r="P1121" s="152" t="s">
        <v>2705</v>
      </c>
      <c r="Q1121" s="152" t="s">
        <v>2705</v>
      </c>
      <c r="R1121" s="152" t="s">
        <v>1435</v>
      </c>
      <c r="S1121" s="152" t="s">
        <v>2675</v>
      </c>
      <c r="T1121" s="152" t="s">
        <v>2397</v>
      </c>
      <c r="U1121" s="152" t="s">
        <v>2675</v>
      </c>
      <c r="V1121" s="142" cm="1">
        <f t="array" ref="V1121">IF(A1121&lt;&gt;"",SUM(--(B1121:U1122 = "X")*$U$3,--(B1121:U1122 ="A")*$Q$3,--(B1121:U1122 ="B")*$R$3,--(B1121:U1122 ="C")*$S$3),"")</f>
        <v>9.5</v>
      </c>
      <c r="AF1121" s="142" t="s">
        <v>7877</v>
      </c>
      <c r="AG1121" s="142" t="s">
        <v>2398</v>
      </c>
      <c r="AH1121" s="142" t="s">
        <v>2398</v>
      </c>
      <c r="AI1121" s="142" t="s">
        <v>2398</v>
      </c>
      <c r="AJ1121" s="142" t="s">
        <v>2398</v>
      </c>
      <c r="AK1121" s="142" t="s">
        <v>2675</v>
      </c>
      <c r="AL1121" s="142" t="s">
        <v>2705</v>
      </c>
      <c r="AM1121" s="142" t="s">
        <v>2705</v>
      </c>
      <c r="AN1121" s="142" t="s">
        <v>2675</v>
      </c>
      <c r="AO1121" s="142" t="s">
        <v>1435</v>
      </c>
      <c r="AP1121" s="142" t="s">
        <v>2398</v>
      </c>
      <c r="AQ1121" s="142" t="s">
        <v>1435</v>
      </c>
      <c r="AR1121" s="142" t="s">
        <v>1435</v>
      </c>
      <c r="AS1121" s="142" t="s">
        <v>2398</v>
      </c>
      <c r="AT1121" s="142" t="s">
        <v>2705</v>
      </c>
      <c r="AU1121" s="142" t="s">
        <v>2705</v>
      </c>
      <c r="AV1121" s="142" t="s">
        <v>2705</v>
      </c>
      <c r="AW1121" s="142" t="s">
        <v>1435</v>
      </c>
      <c r="AX1121" s="142" t="s">
        <v>2675</v>
      </c>
      <c r="AY1121" s="142" t="s">
        <v>2397</v>
      </c>
      <c r="AZ1121" s="142" t="s">
        <v>2675</v>
      </c>
    </row>
    <row r="1122" spans="1:52" s="142" customFormat="1" ht="12.75" x14ac:dyDescent="0.2">
      <c r="A1122" s="151"/>
      <c r="B1122" s="152" t="s">
        <v>2705</v>
      </c>
      <c r="C1122" s="152" t="s">
        <v>2398</v>
      </c>
      <c r="D1122" s="152" t="s">
        <v>2398</v>
      </c>
      <c r="E1122" s="152" t="s">
        <v>2398</v>
      </c>
      <c r="F1122" s="152" t="s">
        <v>2705</v>
      </c>
      <c r="G1122" s="152" t="s">
        <v>2705</v>
      </c>
      <c r="H1122" s="152" t="s">
        <v>2705</v>
      </c>
      <c r="I1122" s="152" t="s">
        <v>2398</v>
      </c>
      <c r="J1122" s="152" t="s">
        <v>1435</v>
      </c>
      <c r="K1122" s="152" t="s">
        <v>2705</v>
      </c>
      <c r="L1122" s="152" t="s">
        <v>2705</v>
      </c>
      <c r="M1122" s="152" t="s">
        <v>2398</v>
      </c>
      <c r="N1122" s="152" t="s">
        <v>2705</v>
      </c>
      <c r="O1122" s="152" t="s">
        <v>2705</v>
      </c>
      <c r="P1122" s="152" t="s">
        <v>2675</v>
      </c>
      <c r="Q1122" s="152" t="s">
        <v>1435</v>
      </c>
      <c r="R1122" s="152" t="s">
        <v>2398</v>
      </c>
      <c r="S1122" s="152" t="s">
        <v>2705</v>
      </c>
      <c r="T1122" s="152" t="s">
        <v>2705</v>
      </c>
      <c r="U1122" s="152" t="s">
        <v>2398</v>
      </c>
      <c r="V1122" s="142" t="str" cm="1">
        <f t="array" ref="V1122">IF(A1122&lt;&gt;"",SUM(--(B1122:U1123 = "X")*$U$3,--(B1122:U1123 ="A")*$Q$3,--(B1122:U1123 ="B")*$R$3,--(B1122:U1123 ="C")*$S$3),"")</f>
        <v/>
      </c>
      <c r="AG1122" s="142" t="s">
        <v>2705</v>
      </c>
      <c r="AH1122" s="142" t="s">
        <v>2398</v>
      </c>
      <c r="AI1122" s="142" t="s">
        <v>2398</v>
      </c>
      <c r="AJ1122" s="142" t="s">
        <v>2398</v>
      </c>
      <c r="AK1122" s="142" t="s">
        <v>2705</v>
      </c>
      <c r="AL1122" s="142" t="s">
        <v>2705</v>
      </c>
      <c r="AM1122" s="142" t="s">
        <v>2705</v>
      </c>
      <c r="AN1122" s="142" t="s">
        <v>2398</v>
      </c>
      <c r="AO1122" s="142" t="s">
        <v>1435</v>
      </c>
      <c r="AP1122" s="142" t="s">
        <v>2705</v>
      </c>
      <c r="AQ1122" s="142" t="s">
        <v>2705</v>
      </c>
      <c r="AR1122" s="142" t="s">
        <v>2398</v>
      </c>
      <c r="AS1122" s="142" t="s">
        <v>2705</v>
      </c>
      <c r="AT1122" s="142" t="s">
        <v>2705</v>
      </c>
      <c r="AU1122" s="142" t="s">
        <v>2675</v>
      </c>
      <c r="AV1122" s="142" t="s">
        <v>1435</v>
      </c>
      <c r="AW1122" s="142" t="s">
        <v>2398</v>
      </c>
      <c r="AX1122" s="142" t="s">
        <v>2705</v>
      </c>
      <c r="AY1122" s="142" t="s">
        <v>2705</v>
      </c>
      <c r="AZ1122" s="142" t="s">
        <v>2398</v>
      </c>
    </row>
    <row r="1123" spans="1:52" s="142" customFormat="1" ht="12.75" x14ac:dyDescent="0.2">
      <c r="A1123" s="151" t="s">
        <v>7878</v>
      </c>
      <c r="B1123" s="152" t="s">
        <v>2705</v>
      </c>
      <c r="C1123" s="152" t="s">
        <v>2705</v>
      </c>
      <c r="D1123" s="152" t="s">
        <v>2705</v>
      </c>
      <c r="E1123" s="152" t="s">
        <v>2705</v>
      </c>
      <c r="F1123" s="152" t="s">
        <v>2705</v>
      </c>
      <c r="G1123" s="152" t="s">
        <v>2705</v>
      </c>
      <c r="H1123" s="152" t="s">
        <v>2705</v>
      </c>
      <c r="I1123" s="152" t="s">
        <v>2705</v>
      </c>
      <c r="J1123" s="152" t="s">
        <v>2705</v>
      </c>
      <c r="K1123" s="152" t="s">
        <v>2705</v>
      </c>
      <c r="L1123" s="152" t="s">
        <v>2705</v>
      </c>
      <c r="M1123" s="152" t="s">
        <v>2705</v>
      </c>
      <c r="N1123" s="152" t="s">
        <v>2705</v>
      </c>
      <c r="O1123" s="152" t="s">
        <v>2705</v>
      </c>
      <c r="P1123" s="152" t="s">
        <v>2675</v>
      </c>
      <c r="Q1123" s="152" t="s">
        <v>2398</v>
      </c>
      <c r="R1123" s="152" t="s">
        <v>2705</v>
      </c>
      <c r="S1123" s="152" t="s">
        <v>2705</v>
      </c>
      <c r="T1123" s="152" t="s">
        <v>2705</v>
      </c>
      <c r="U1123" s="152" t="s">
        <v>2705</v>
      </c>
      <c r="V1123" s="142" cm="1">
        <f t="array" ref="V1123">IF(A1123&lt;&gt;"",SUM(--(B1123:U1124 = "X")*$U$3,--(B1123:U1124 ="A")*$Q$3,--(B1123:U1124 ="B")*$R$3,--(B1123:U1124 ="C")*$S$3),"")</f>
        <v>31</v>
      </c>
      <c r="AF1123" s="142" t="s">
        <v>7878</v>
      </c>
      <c r="AG1123" s="142" t="s">
        <v>2705</v>
      </c>
      <c r="AH1123" s="142" t="s">
        <v>2705</v>
      </c>
      <c r="AI1123" s="142" t="s">
        <v>2705</v>
      </c>
      <c r="AJ1123" s="142" t="s">
        <v>2705</v>
      </c>
      <c r="AK1123" s="142" t="s">
        <v>2705</v>
      </c>
      <c r="AL1123" s="142" t="s">
        <v>2705</v>
      </c>
      <c r="AM1123" s="142" t="s">
        <v>2705</v>
      </c>
      <c r="AN1123" s="142" t="s">
        <v>2705</v>
      </c>
      <c r="AO1123" s="142" t="s">
        <v>2705</v>
      </c>
      <c r="AP1123" s="142" t="s">
        <v>2705</v>
      </c>
      <c r="AQ1123" s="142" t="s">
        <v>2705</v>
      </c>
      <c r="AR1123" s="142" t="s">
        <v>2705</v>
      </c>
      <c r="AS1123" s="142" t="s">
        <v>2705</v>
      </c>
      <c r="AT1123" s="142" t="s">
        <v>2705</v>
      </c>
      <c r="AU1123" s="142" t="s">
        <v>2675</v>
      </c>
      <c r="AV1123" s="142" t="s">
        <v>2398</v>
      </c>
      <c r="AW1123" s="142" t="s">
        <v>2705</v>
      </c>
      <c r="AX1123" s="142" t="s">
        <v>2705</v>
      </c>
      <c r="AY1123" s="142" t="s">
        <v>2705</v>
      </c>
      <c r="AZ1123" s="142" t="s">
        <v>2705</v>
      </c>
    </row>
    <row r="1124" spans="1:52" s="142" customFormat="1" ht="12.75" x14ac:dyDescent="0.2">
      <c r="A1124" s="151"/>
      <c r="B1124" s="152" t="s">
        <v>2705</v>
      </c>
      <c r="C1124" s="152" t="s">
        <v>2705</v>
      </c>
      <c r="D1124" s="152" t="s">
        <v>2705</v>
      </c>
      <c r="E1124" s="152" t="s">
        <v>2705</v>
      </c>
      <c r="F1124" s="152" t="s">
        <v>2705</v>
      </c>
      <c r="G1124" s="152" t="s">
        <v>2705</v>
      </c>
      <c r="H1124" s="152" t="s">
        <v>2705</v>
      </c>
      <c r="I1124" s="152" t="s">
        <v>2705</v>
      </c>
      <c r="J1124" s="152" t="s">
        <v>2705</v>
      </c>
      <c r="K1124" s="152" t="s">
        <v>2705</v>
      </c>
      <c r="L1124" s="152" t="s">
        <v>2397</v>
      </c>
      <c r="M1124" s="152" t="s">
        <v>2675</v>
      </c>
      <c r="N1124" s="152" t="s">
        <v>2705</v>
      </c>
      <c r="O1124" s="152" t="s">
        <v>2705</v>
      </c>
      <c r="P1124" s="152" t="s">
        <v>2705</v>
      </c>
      <c r="Q1124" s="152" t="s">
        <v>2705</v>
      </c>
      <c r="R1124" s="152" t="s">
        <v>2397</v>
      </c>
      <c r="S1124" s="152" t="s">
        <v>2398</v>
      </c>
      <c r="T1124" s="152" t="s">
        <v>2397</v>
      </c>
      <c r="U1124" s="152" t="s">
        <v>2397</v>
      </c>
      <c r="V1124" s="142" t="str" cm="1">
        <f t="array" ref="V1124">IF(A1124&lt;&gt;"",SUM(--(B1124:U1125 = "X")*$U$3,--(B1124:U1125 ="A")*$Q$3,--(B1124:U1125 ="B")*$R$3,--(B1124:U1125 ="C")*$S$3),"")</f>
        <v/>
      </c>
      <c r="AG1124" s="142" t="s">
        <v>2705</v>
      </c>
      <c r="AH1124" s="142" t="s">
        <v>2705</v>
      </c>
      <c r="AI1124" s="142" t="s">
        <v>2705</v>
      </c>
      <c r="AJ1124" s="142" t="s">
        <v>2705</v>
      </c>
      <c r="AK1124" s="142" t="s">
        <v>2705</v>
      </c>
      <c r="AL1124" s="142" t="s">
        <v>2705</v>
      </c>
      <c r="AM1124" s="142" t="s">
        <v>2705</v>
      </c>
      <c r="AN1124" s="142" t="s">
        <v>2705</v>
      </c>
      <c r="AO1124" s="142" t="s">
        <v>2705</v>
      </c>
      <c r="AP1124" s="142" t="s">
        <v>2705</v>
      </c>
      <c r="AQ1124" s="142" t="s">
        <v>2397</v>
      </c>
      <c r="AR1124" s="142" t="s">
        <v>2675</v>
      </c>
      <c r="AS1124" s="142" t="s">
        <v>2705</v>
      </c>
      <c r="AT1124" s="142" t="s">
        <v>2705</v>
      </c>
      <c r="AU1124" s="142" t="s">
        <v>2705</v>
      </c>
      <c r="AV1124" s="142" t="s">
        <v>2705</v>
      </c>
      <c r="AW1124" s="142" t="s">
        <v>2397</v>
      </c>
      <c r="AX1124" s="142" t="s">
        <v>2398</v>
      </c>
      <c r="AY1124" s="142" t="s">
        <v>2397</v>
      </c>
      <c r="AZ1124" s="142" t="s">
        <v>2397</v>
      </c>
    </row>
    <row r="1125" spans="1:52" s="142" customFormat="1" ht="12.75" x14ac:dyDescent="0.2">
      <c r="A1125" s="151" t="s">
        <v>7879</v>
      </c>
      <c r="B1125" s="152" t="s">
        <v>2705</v>
      </c>
      <c r="C1125" s="152" t="s">
        <v>2398</v>
      </c>
      <c r="D1125" s="152" t="s">
        <v>2398</v>
      </c>
      <c r="E1125" s="152" t="s">
        <v>2398</v>
      </c>
      <c r="F1125" s="152" t="s">
        <v>2705</v>
      </c>
      <c r="G1125" s="152" t="s">
        <v>2705</v>
      </c>
      <c r="H1125" s="152" t="s">
        <v>2398</v>
      </c>
      <c r="I1125" s="152" t="s">
        <v>2675</v>
      </c>
      <c r="J1125" s="152" t="s">
        <v>2705</v>
      </c>
      <c r="K1125" s="152" t="s">
        <v>2705</v>
      </c>
      <c r="L1125" s="152" t="s">
        <v>2705</v>
      </c>
      <c r="M1125" s="152" t="s">
        <v>2398</v>
      </c>
      <c r="N1125" s="152" t="s">
        <v>2705</v>
      </c>
      <c r="O1125" s="152" t="s">
        <v>2705</v>
      </c>
      <c r="P1125" s="152" t="s">
        <v>2675</v>
      </c>
      <c r="Q1125" s="152" t="s">
        <v>2398</v>
      </c>
      <c r="R1125" s="152" t="s">
        <v>2398</v>
      </c>
      <c r="S1125" s="152" t="s">
        <v>2398</v>
      </c>
      <c r="T1125" s="152" t="s">
        <v>2705</v>
      </c>
      <c r="U1125" s="152" t="s">
        <v>2398</v>
      </c>
      <c r="V1125" s="142" cm="1">
        <f t="array" ref="V1125">IF(A1125&lt;&gt;"",SUM(--(B1125:U1126 = "X")*$U$3,--(B1125:U1126 ="A")*$Q$3,--(B1125:U1126 ="B")*$R$3,--(B1125:U1126 ="C")*$S$3),"")</f>
        <v>13.5</v>
      </c>
      <c r="AF1125" s="142" t="s">
        <v>7879</v>
      </c>
      <c r="AG1125" s="142" t="s">
        <v>2705</v>
      </c>
      <c r="AH1125" s="142" t="s">
        <v>2398</v>
      </c>
      <c r="AI1125" s="142" t="s">
        <v>2398</v>
      </c>
      <c r="AJ1125" s="142" t="s">
        <v>2398</v>
      </c>
      <c r="AK1125" s="142" t="s">
        <v>2705</v>
      </c>
      <c r="AL1125" s="142" t="s">
        <v>2705</v>
      </c>
      <c r="AM1125" s="142" t="s">
        <v>2398</v>
      </c>
      <c r="AN1125" s="142" t="s">
        <v>2675</v>
      </c>
      <c r="AO1125" s="142" t="s">
        <v>2705</v>
      </c>
      <c r="AP1125" s="142" t="s">
        <v>2705</v>
      </c>
      <c r="AQ1125" s="142" t="s">
        <v>2705</v>
      </c>
      <c r="AR1125" s="142" t="s">
        <v>2398</v>
      </c>
      <c r="AS1125" s="142" t="s">
        <v>2705</v>
      </c>
      <c r="AT1125" s="142" t="s">
        <v>2705</v>
      </c>
      <c r="AU1125" s="142" t="s">
        <v>2675</v>
      </c>
      <c r="AV1125" s="142" t="s">
        <v>2398</v>
      </c>
      <c r="AW1125" s="142" t="s">
        <v>2398</v>
      </c>
      <c r="AX1125" s="142" t="s">
        <v>2398</v>
      </c>
      <c r="AY1125" s="142" t="s">
        <v>2705</v>
      </c>
      <c r="AZ1125" s="142" t="s">
        <v>2398</v>
      </c>
    </row>
    <row r="1126" spans="1:52" s="142" customFormat="1" ht="12.75" x14ac:dyDescent="0.2">
      <c r="A1126" s="151"/>
      <c r="B1126" s="152" t="s">
        <v>2705</v>
      </c>
      <c r="C1126" s="152" t="s">
        <v>2675</v>
      </c>
      <c r="D1126" s="152" t="s">
        <v>2705</v>
      </c>
      <c r="E1126" s="152" t="s">
        <v>2398</v>
      </c>
      <c r="F1126" s="152" t="s">
        <v>2705</v>
      </c>
      <c r="G1126" s="152" t="s">
        <v>2398</v>
      </c>
      <c r="H1126" s="152" t="s">
        <v>2398</v>
      </c>
      <c r="I1126" s="152" t="s">
        <v>2705</v>
      </c>
      <c r="J1126" s="152" t="s">
        <v>2398</v>
      </c>
      <c r="K1126" s="152" t="s">
        <v>2398</v>
      </c>
      <c r="L1126" s="152" t="s">
        <v>1435</v>
      </c>
      <c r="M1126" s="152" t="s">
        <v>2398</v>
      </c>
      <c r="N1126" s="152" t="s">
        <v>2398</v>
      </c>
      <c r="O1126" s="152" t="s">
        <v>2705</v>
      </c>
      <c r="P1126" s="152" t="s">
        <v>2675</v>
      </c>
      <c r="Q1126" s="152" t="s">
        <v>2705</v>
      </c>
      <c r="R1126" s="152" t="s">
        <v>2398</v>
      </c>
      <c r="S1126" s="152" t="s">
        <v>2398</v>
      </c>
      <c r="T1126" s="152" t="s">
        <v>2705</v>
      </c>
      <c r="U1126" s="152" t="s">
        <v>2398</v>
      </c>
      <c r="V1126" s="142" t="str" cm="1">
        <f t="array" ref="V1126">IF(A1126&lt;&gt;"",SUM(--(B1126:U1127 = "X")*$U$3,--(B1126:U1127 ="A")*$Q$3,--(B1126:U1127 ="B")*$R$3,--(B1126:U1127 ="C")*$S$3),"")</f>
        <v/>
      </c>
      <c r="AG1126" s="142" t="s">
        <v>2705</v>
      </c>
      <c r="AH1126" s="142" t="s">
        <v>2675</v>
      </c>
      <c r="AI1126" s="142" t="s">
        <v>2705</v>
      </c>
      <c r="AJ1126" s="142" t="s">
        <v>2398</v>
      </c>
      <c r="AK1126" s="142" t="s">
        <v>2705</v>
      </c>
      <c r="AL1126" s="142" t="s">
        <v>2398</v>
      </c>
      <c r="AM1126" s="142" t="s">
        <v>2398</v>
      </c>
      <c r="AN1126" s="142" t="s">
        <v>2705</v>
      </c>
      <c r="AO1126" s="142" t="s">
        <v>2398</v>
      </c>
      <c r="AP1126" s="142" t="s">
        <v>2398</v>
      </c>
      <c r="AQ1126" s="142" t="s">
        <v>1435</v>
      </c>
      <c r="AR1126" s="142" t="s">
        <v>2398</v>
      </c>
      <c r="AS1126" s="142" t="s">
        <v>2398</v>
      </c>
      <c r="AT1126" s="142" t="s">
        <v>2705</v>
      </c>
      <c r="AU1126" s="142" t="s">
        <v>2675</v>
      </c>
      <c r="AV1126" s="142" t="s">
        <v>2705</v>
      </c>
      <c r="AW1126" s="142" t="s">
        <v>2398</v>
      </c>
      <c r="AX1126" s="142" t="s">
        <v>2398</v>
      </c>
      <c r="AY1126" s="142" t="s">
        <v>2705</v>
      </c>
      <c r="AZ1126" s="142" t="s">
        <v>2398</v>
      </c>
    </row>
    <row r="1127" spans="1:52" s="142" customFormat="1" ht="12.75" x14ac:dyDescent="0.2">
      <c r="A1127" s="151" t="s">
        <v>7880</v>
      </c>
      <c r="B1127" s="152" t="s">
        <v>2705</v>
      </c>
      <c r="C1127" s="152" t="s">
        <v>2705</v>
      </c>
      <c r="D1127" s="152" t="s">
        <v>2398</v>
      </c>
      <c r="E1127" s="152" t="s">
        <v>2705</v>
      </c>
      <c r="F1127" s="152" t="s">
        <v>2705</v>
      </c>
      <c r="G1127" s="152" t="s">
        <v>2705</v>
      </c>
      <c r="H1127" s="152" t="s">
        <v>2705</v>
      </c>
      <c r="I1127" s="152" t="s">
        <v>2398</v>
      </c>
      <c r="J1127" s="152" t="s">
        <v>2705</v>
      </c>
      <c r="K1127" s="152" t="s">
        <v>2705</v>
      </c>
      <c r="L1127" s="152" t="s">
        <v>2705</v>
      </c>
      <c r="M1127" s="152" t="s">
        <v>2705</v>
      </c>
      <c r="N1127" s="152" t="s">
        <v>2705</v>
      </c>
      <c r="O1127" s="152" t="s">
        <v>2398</v>
      </c>
      <c r="P1127" s="152" t="s">
        <v>2398</v>
      </c>
      <c r="Q1127" s="152" t="s">
        <v>2675</v>
      </c>
      <c r="R1127" s="152" t="s">
        <v>2398</v>
      </c>
      <c r="S1127" s="152" t="s">
        <v>2398</v>
      </c>
      <c r="T1127" s="152" t="s">
        <v>2705</v>
      </c>
      <c r="U1127" s="152" t="s">
        <v>2398</v>
      </c>
      <c r="V1127" s="142" cm="1">
        <f t="array" ref="V1127">IF(A1127&lt;&gt;"",SUM(--(B1127:U1128 = "X")*$U$3,--(B1127:U1128 ="A")*$Q$3,--(B1127:U1128 ="B")*$R$3,--(B1127:U1128 ="C")*$S$3),"")</f>
        <v>20</v>
      </c>
      <c r="AF1127" s="142" t="s">
        <v>7880</v>
      </c>
      <c r="AG1127" s="142" t="s">
        <v>2705</v>
      </c>
      <c r="AH1127" s="142" t="s">
        <v>2705</v>
      </c>
      <c r="AI1127" s="142" t="s">
        <v>2398</v>
      </c>
      <c r="AJ1127" s="142" t="s">
        <v>2705</v>
      </c>
      <c r="AK1127" s="142" t="s">
        <v>2705</v>
      </c>
      <c r="AL1127" s="142" t="s">
        <v>2705</v>
      </c>
      <c r="AM1127" s="142" t="s">
        <v>2705</v>
      </c>
      <c r="AN1127" s="142" t="s">
        <v>2398</v>
      </c>
      <c r="AO1127" s="142" t="s">
        <v>2705</v>
      </c>
      <c r="AP1127" s="142" t="s">
        <v>2705</v>
      </c>
      <c r="AQ1127" s="142" t="s">
        <v>2705</v>
      </c>
      <c r="AR1127" s="142" t="s">
        <v>2705</v>
      </c>
      <c r="AS1127" s="142" t="s">
        <v>2705</v>
      </c>
      <c r="AT1127" s="142" t="s">
        <v>2398</v>
      </c>
      <c r="AU1127" s="142" t="s">
        <v>2398</v>
      </c>
      <c r="AV1127" s="142" t="s">
        <v>2675</v>
      </c>
      <c r="AW1127" s="142" t="s">
        <v>2398</v>
      </c>
      <c r="AX1127" s="142" t="s">
        <v>2398</v>
      </c>
      <c r="AY1127" s="142" t="s">
        <v>2705</v>
      </c>
      <c r="AZ1127" s="142" t="s">
        <v>2398</v>
      </c>
    </row>
    <row r="1128" spans="1:52" s="142" customFormat="1" ht="12.75" x14ac:dyDescent="0.2">
      <c r="A1128" s="151"/>
      <c r="B1128" s="152" t="s">
        <v>2705</v>
      </c>
      <c r="C1128" s="152" t="s">
        <v>2398</v>
      </c>
      <c r="D1128" s="152" t="s">
        <v>2705</v>
      </c>
      <c r="E1128" s="152" t="s">
        <v>2398</v>
      </c>
      <c r="F1128" s="152" t="s">
        <v>2705</v>
      </c>
      <c r="G1128" s="152" t="s">
        <v>2398</v>
      </c>
      <c r="H1128" s="152" t="s">
        <v>2398</v>
      </c>
      <c r="I1128" s="152" t="s">
        <v>2705</v>
      </c>
      <c r="J1128" s="152" t="s">
        <v>2705</v>
      </c>
      <c r="K1128" s="152" t="s">
        <v>2705</v>
      </c>
      <c r="L1128" s="152" t="s">
        <v>2398</v>
      </c>
      <c r="M1128" s="152" t="s">
        <v>2675</v>
      </c>
      <c r="N1128" s="152" t="s">
        <v>2705</v>
      </c>
      <c r="O1128" s="152" t="s">
        <v>2398</v>
      </c>
      <c r="P1128" s="152" t="s">
        <v>2675</v>
      </c>
      <c r="Q1128" s="152" t="s">
        <v>2705</v>
      </c>
      <c r="R1128" s="152" t="s">
        <v>1435</v>
      </c>
      <c r="S1128" s="152" t="s">
        <v>2397</v>
      </c>
      <c r="T1128" s="152" t="s">
        <v>2705</v>
      </c>
      <c r="U1128" s="152" t="s">
        <v>2705</v>
      </c>
      <c r="V1128" s="142" t="str" cm="1">
        <f t="array" ref="V1128">IF(A1128&lt;&gt;"",SUM(--(B1128:U1129 = "X")*$U$3,--(B1128:U1129 ="A")*$Q$3,--(B1128:U1129 ="B")*$R$3,--(B1128:U1129 ="C")*$S$3),"")</f>
        <v/>
      </c>
      <c r="AG1128" s="142" t="s">
        <v>2705</v>
      </c>
      <c r="AH1128" s="142" t="s">
        <v>2398</v>
      </c>
      <c r="AI1128" s="142" t="s">
        <v>2705</v>
      </c>
      <c r="AJ1128" s="142" t="s">
        <v>2398</v>
      </c>
      <c r="AK1128" s="142" t="s">
        <v>2705</v>
      </c>
      <c r="AL1128" s="142" t="s">
        <v>2398</v>
      </c>
      <c r="AM1128" s="142" t="s">
        <v>2398</v>
      </c>
      <c r="AN1128" s="142" t="s">
        <v>2705</v>
      </c>
      <c r="AO1128" s="142" t="s">
        <v>2705</v>
      </c>
      <c r="AP1128" s="142" t="s">
        <v>2705</v>
      </c>
      <c r="AQ1128" s="142" t="s">
        <v>2398</v>
      </c>
      <c r="AR1128" s="142" t="s">
        <v>2675</v>
      </c>
      <c r="AS1128" s="142" t="s">
        <v>2705</v>
      </c>
      <c r="AT1128" s="142" t="s">
        <v>2398</v>
      </c>
      <c r="AU1128" s="142" t="s">
        <v>2675</v>
      </c>
      <c r="AV1128" s="142" t="s">
        <v>2705</v>
      </c>
      <c r="AW1128" s="142" t="s">
        <v>1435</v>
      </c>
      <c r="AX1128" s="142" t="s">
        <v>2397</v>
      </c>
      <c r="AY1128" s="142" t="s">
        <v>2705</v>
      </c>
      <c r="AZ1128" s="142" t="s">
        <v>2705</v>
      </c>
    </row>
    <row r="1129" spans="1:52" s="142" customFormat="1" ht="12.75" x14ac:dyDescent="0.2">
      <c r="A1129" s="151" t="s">
        <v>7881</v>
      </c>
      <c r="B1129" s="152" t="s">
        <v>2705</v>
      </c>
      <c r="C1129" s="152" t="s">
        <v>2398</v>
      </c>
      <c r="D1129" s="152" t="s">
        <v>2398</v>
      </c>
      <c r="E1129" s="152" t="s">
        <v>1435</v>
      </c>
      <c r="F1129" s="152" t="s">
        <v>2398</v>
      </c>
      <c r="G1129" s="152" t="s">
        <v>2705</v>
      </c>
      <c r="H1129" s="152" t="s">
        <v>2705</v>
      </c>
      <c r="I1129" s="152" t="s">
        <v>2397</v>
      </c>
      <c r="J1129" s="152" t="s">
        <v>2705</v>
      </c>
      <c r="K1129" s="152" t="s">
        <v>2398</v>
      </c>
      <c r="L1129" s="152" t="s">
        <v>2398</v>
      </c>
      <c r="M1129" s="152" t="s">
        <v>2705</v>
      </c>
      <c r="N1129" s="152" t="s">
        <v>2398</v>
      </c>
      <c r="O1129" s="152" t="s">
        <v>2398</v>
      </c>
      <c r="P1129" s="152" t="s">
        <v>2705</v>
      </c>
      <c r="Q1129" s="152" t="s">
        <v>2705</v>
      </c>
      <c r="R1129" s="152" t="s">
        <v>1435</v>
      </c>
      <c r="S1129" s="152" t="s">
        <v>2705</v>
      </c>
      <c r="T1129" s="152" t="s">
        <v>1435</v>
      </c>
      <c r="U1129" s="152" t="s">
        <v>2705</v>
      </c>
      <c r="V1129" s="142" cm="1">
        <f t="array" ref="V1129">IF(A1129&lt;&gt;"",SUM(--(B1129:U1130 = "X")*$U$3,--(B1129:U1130 ="A")*$Q$3,--(B1129:U1130 ="B")*$R$3,--(B1129:U1130 ="C")*$S$3),"")</f>
        <v>18.5</v>
      </c>
      <c r="AF1129" s="142" t="s">
        <v>7881</v>
      </c>
      <c r="AG1129" s="142" t="s">
        <v>2705</v>
      </c>
      <c r="AH1129" s="142" t="s">
        <v>2398</v>
      </c>
      <c r="AI1129" s="142" t="s">
        <v>2398</v>
      </c>
      <c r="AJ1129" s="142" t="s">
        <v>1435</v>
      </c>
      <c r="AK1129" s="142" t="s">
        <v>2398</v>
      </c>
      <c r="AL1129" s="142" t="s">
        <v>2705</v>
      </c>
      <c r="AM1129" s="142" t="s">
        <v>2705</v>
      </c>
      <c r="AN1129" s="142" t="s">
        <v>2397</v>
      </c>
      <c r="AO1129" s="142" t="s">
        <v>2705</v>
      </c>
      <c r="AP1129" s="142" t="s">
        <v>2398</v>
      </c>
      <c r="AQ1129" s="142" t="s">
        <v>2398</v>
      </c>
      <c r="AR1129" s="142" t="s">
        <v>2705</v>
      </c>
      <c r="AS1129" s="142" t="s">
        <v>2398</v>
      </c>
      <c r="AT1129" s="142" t="s">
        <v>2398</v>
      </c>
      <c r="AU1129" s="142" t="s">
        <v>2705</v>
      </c>
      <c r="AV1129" s="142" t="s">
        <v>2705</v>
      </c>
      <c r="AW1129" s="142" t="s">
        <v>1435</v>
      </c>
      <c r="AX1129" s="142" t="s">
        <v>2705</v>
      </c>
      <c r="AY1129" s="142" t="s">
        <v>1435</v>
      </c>
      <c r="AZ1129" s="142" t="s">
        <v>2705</v>
      </c>
    </row>
    <row r="1130" spans="1:52" s="142" customFormat="1" ht="12.75" x14ac:dyDescent="0.2">
      <c r="A1130" s="151"/>
      <c r="B1130" s="152" t="s">
        <v>2705</v>
      </c>
      <c r="C1130" s="152" t="s">
        <v>2675</v>
      </c>
      <c r="D1130" s="152" t="s">
        <v>2705</v>
      </c>
      <c r="E1130" s="152" t="s">
        <v>2705</v>
      </c>
      <c r="F1130" s="152" t="s">
        <v>2705</v>
      </c>
      <c r="G1130" s="152" t="s">
        <v>2705</v>
      </c>
      <c r="H1130" s="152" t="s">
        <v>2705</v>
      </c>
      <c r="I1130" s="152" t="s">
        <v>2705</v>
      </c>
      <c r="J1130" s="152" t="s">
        <v>2398</v>
      </c>
      <c r="K1130" s="152" t="s">
        <v>2398</v>
      </c>
      <c r="L1130" s="152" t="s">
        <v>2675</v>
      </c>
      <c r="M1130" s="152" t="s">
        <v>2398</v>
      </c>
      <c r="N1130" s="152" t="s">
        <v>2705</v>
      </c>
      <c r="O1130" s="152" t="s">
        <v>2398</v>
      </c>
      <c r="P1130" s="152" t="s">
        <v>2705</v>
      </c>
      <c r="Q1130" s="152" t="s">
        <v>2705</v>
      </c>
      <c r="R1130" s="152" t="s">
        <v>2705</v>
      </c>
      <c r="S1130" s="152" t="s">
        <v>2705</v>
      </c>
      <c r="T1130" s="152" t="s">
        <v>2398</v>
      </c>
      <c r="U1130" s="152" t="s">
        <v>2398</v>
      </c>
      <c r="V1130" s="142" t="str" cm="1">
        <f t="array" ref="V1130">IF(A1130&lt;&gt;"",SUM(--(B1130:U1131 = "X")*$U$3,--(B1130:U1131 ="A")*$Q$3,--(B1130:U1131 ="B")*$R$3,--(B1130:U1131 ="C")*$S$3),"")</f>
        <v/>
      </c>
      <c r="AG1130" s="142" t="s">
        <v>2705</v>
      </c>
      <c r="AH1130" s="142" t="s">
        <v>2675</v>
      </c>
      <c r="AI1130" s="142" t="s">
        <v>2705</v>
      </c>
      <c r="AJ1130" s="142" t="s">
        <v>2705</v>
      </c>
      <c r="AK1130" s="142" t="s">
        <v>2705</v>
      </c>
      <c r="AL1130" s="142" t="s">
        <v>2705</v>
      </c>
      <c r="AM1130" s="142" t="s">
        <v>2705</v>
      </c>
      <c r="AN1130" s="142" t="s">
        <v>2705</v>
      </c>
      <c r="AO1130" s="142" t="s">
        <v>2398</v>
      </c>
      <c r="AP1130" s="142" t="s">
        <v>2398</v>
      </c>
      <c r="AQ1130" s="142" t="s">
        <v>2675</v>
      </c>
      <c r="AR1130" s="142" t="s">
        <v>2398</v>
      </c>
      <c r="AS1130" s="142" t="s">
        <v>2705</v>
      </c>
      <c r="AT1130" s="142" t="s">
        <v>2398</v>
      </c>
      <c r="AU1130" s="142" t="s">
        <v>2705</v>
      </c>
      <c r="AV1130" s="142" t="s">
        <v>2705</v>
      </c>
      <c r="AW1130" s="142" t="s">
        <v>2705</v>
      </c>
      <c r="AX1130" s="142" t="s">
        <v>2705</v>
      </c>
      <c r="AY1130" s="142" t="s">
        <v>2398</v>
      </c>
      <c r="AZ1130" s="142" t="s">
        <v>2398</v>
      </c>
    </row>
    <row r="1131" spans="1:52" s="142" customFormat="1" ht="12.75" x14ac:dyDescent="0.2">
      <c r="A1131" s="151" t="s">
        <v>7882</v>
      </c>
      <c r="B1131" s="152" t="s">
        <v>2705</v>
      </c>
      <c r="C1131" s="152" t="s">
        <v>2398</v>
      </c>
      <c r="D1131" s="152" t="s">
        <v>2675</v>
      </c>
      <c r="E1131" s="152" t="s">
        <v>2705</v>
      </c>
      <c r="F1131" s="152" t="s">
        <v>1435</v>
      </c>
      <c r="G1131" s="152" t="s">
        <v>2705</v>
      </c>
      <c r="H1131" s="152" t="s">
        <v>2675</v>
      </c>
      <c r="I1131" s="152" t="s">
        <v>2675</v>
      </c>
      <c r="J1131" s="152" t="s">
        <v>2705</v>
      </c>
      <c r="K1131" s="152" t="s">
        <v>2705</v>
      </c>
      <c r="L1131" s="152" t="s">
        <v>1435</v>
      </c>
      <c r="M1131" s="152" t="s">
        <v>2705</v>
      </c>
      <c r="N1131" s="152" t="s">
        <v>2705</v>
      </c>
      <c r="O1131" s="152" t="s">
        <v>2705</v>
      </c>
      <c r="P1131" s="152" t="s">
        <v>2705</v>
      </c>
      <c r="Q1131" s="152" t="s">
        <v>1435</v>
      </c>
      <c r="R1131" s="152" t="s">
        <v>2705</v>
      </c>
      <c r="S1131" s="152" t="s">
        <v>2705</v>
      </c>
      <c r="T1131" s="152" t="s">
        <v>1435</v>
      </c>
      <c r="U1131" s="152" t="s">
        <v>2398</v>
      </c>
      <c r="V1131" s="142" cm="1">
        <f t="array" ref="V1131">IF(A1131&lt;&gt;"",SUM(--(B1131:U1132 = "X")*$U$3,--(B1131:U1132 ="A")*$Q$3,--(B1131:U1132 ="B")*$R$3,--(B1131:U1132 ="C")*$S$3),"")</f>
        <v>9</v>
      </c>
      <c r="AF1131" s="142" t="s">
        <v>7882</v>
      </c>
      <c r="AG1131" s="142" t="s">
        <v>2705</v>
      </c>
      <c r="AH1131" s="142" t="s">
        <v>2398</v>
      </c>
      <c r="AI1131" s="142" t="s">
        <v>2675</v>
      </c>
      <c r="AJ1131" s="142" t="s">
        <v>2705</v>
      </c>
      <c r="AK1131" s="142" t="s">
        <v>1435</v>
      </c>
      <c r="AL1131" s="142" t="s">
        <v>2705</v>
      </c>
      <c r="AM1131" s="142" t="s">
        <v>2675</v>
      </c>
      <c r="AN1131" s="142" t="s">
        <v>2675</v>
      </c>
      <c r="AO1131" s="142" t="s">
        <v>2705</v>
      </c>
      <c r="AP1131" s="142" t="s">
        <v>2705</v>
      </c>
      <c r="AQ1131" s="142" t="s">
        <v>1435</v>
      </c>
      <c r="AR1131" s="142" t="s">
        <v>2705</v>
      </c>
      <c r="AS1131" s="142" t="s">
        <v>2705</v>
      </c>
      <c r="AT1131" s="142" t="s">
        <v>2705</v>
      </c>
      <c r="AU1131" s="142" t="s">
        <v>2705</v>
      </c>
      <c r="AV1131" s="142" t="s">
        <v>1435</v>
      </c>
      <c r="AW1131" s="142" t="s">
        <v>2705</v>
      </c>
      <c r="AX1131" s="142" t="s">
        <v>2705</v>
      </c>
      <c r="AY1131" s="142" t="s">
        <v>1435</v>
      </c>
      <c r="AZ1131" s="142" t="s">
        <v>2398</v>
      </c>
    </row>
    <row r="1132" spans="1:52" s="142" customFormat="1" ht="12.75" x14ac:dyDescent="0.2">
      <c r="A1132" s="151"/>
      <c r="B1132" s="152" t="s">
        <v>1435</v>
      </c>
      <c r="C1132" s="152" t="s">
        <v>2705</v>
      </c>
      <c r="D1132" s="152" t="s">
        <v>2705</v>
      </c>
      <c r="E1132" s="152" t="s">
        <v>1435</v>
      </c>
      <c r="F1132" s="152" t="s">
        <v>2398</v>
      </c>
      <c r="G1132" s="152" t="s">
        <v>2705</v>
      </c>
      <c r="H1132" s="152" t="s">
        <v>1435</v>
      </c>
      <c r="I1132" s="152" t="s">
        <v>2398</v>
      </c>
      <c r="J1132" s="152" t="s">
        <v>2398</v>
      </c>
      <c r="K1132" s="152" t="s">
        <v>2705</v>
      </c>
      <c r="L1132" s="152" t="s">
        <v>2398</v>
      </c>
      <c r="M1132" s="152" t="s">
        <v>1435</v>
      </c>
      <c r="N1132" s="152" t="s">
        <v>2705</v>
      </c>
      <c r="O1132" s="152" t="s">
        <v>1435</v>
      </c>
      <c r="P1132" s="152" t="s">
        <v>2398</v>
      </c>
      <c r="Q1132" s="152" t="s">
        <v>2398</v>
      </c>
      <c r="R1132" s="152" t="s">
        <v>1435</v>
      </c>
      <c r="S1132" s="152" t="s">
        <v>2397</v>
      </c>
      <c r="T1132" s="152" t="s">
        <v>2675</v>
      </c>
      <c r="U1132" s="152" t="s">
        <v>2397</v>
      </c>
      <c r="V1132" s="142" t="str" cm="1">
        <f t="array" ref="V1132">IF(A1132&lt;&gt;"",SUM(--(B1132:U1133 = "X")*$U$3,--(B1132:U1133 ="A")*$Q$3,--(B1132:U1133 ="B")*$R$3,--(B1132:U1133 ="C")*$S$3),"")</f>
        <v/>
      </c>
      <c r="AG1132" s="142" t="s">
        <v>1435</v>
      </c>
      <c r="AH1132" s="142" t="s">
        <v>2705</v>
      </c>
      <c r="AI1132" s="142" t="s">
        <v>2705</v>
      </c>
      <c r="AJ1132" s="142" t="s">
        <v>1435</v>
      </c>
      <c r="AK1132" s="142" t="s">
        <v>2398</v>
      </c>
      <c r="AL1132" s="142" t="s">
        <v>2705</v>
      </c>
      <c r="AM1132" s="142" t="s">
        <v>1435</v>
      </c>
      <c r="AN1132" s="142" t="s">
        <v>2398</v>
      </c>
      <c r="AO1132" s="142" t="s">
        <v>2398</v>
      </c>
      <c r="AP1132" s="142" t="s">
        <v>2705</v>
      </c>
      <c r="AQ1132" s="142" t="s">
        <v>2398</v>
      </c>
      <c r="AR1132" s="142" t="s">
        <v>1435</v>
      </c>
      <c r="AS1132" s="142" t="s">
        <v>2705</v>
      </c>
      <c r="AT1132" s="142" t="s">
        <v>1435</v>
      </c>
      <c r="AU1132" s="142" t="s">
        <v>2398</v>
      </c>
      <c r="AV1132" s="142" t="s">
        <v>2398</v>
      </c>
      <c r="AW1132" s="142" t="s">
        <v>1435</v>
      </c>
      <c r="AX1132" s="142" t="s">
        <v>2397</v>
      </c>
      <c r="AY1132" s="142" t="s">
        <v>2675</v>
      </c>
      <c r="AZ1132" s="142" t="s">
        <v>2397</v>
      </c>
    </row>
    <row r="1133" spans="1:52" s="142" customFormat="1" ht="12.75" x14ac:dyDescent="0.2">
      <c r="A1133" s="151" t="s">
        <v>7883</v>
      </c>
      <c r="B1133" s="152" t="s">
        <v>2705</v>
      </c>
      <c r="C1133" s="152" t="s">
        <v>2398</v>
      </c>
      <c r="D1133" s="152" t="s">
        <v>2398</v>
      </c>
      <c r="E1133" s="152" t="s">
        <v>2398</v>
      </c>
      <c r="F1133" s="152" t="s">
        <v>2705</v>
      </c>
      <c r="G1133" s="152" t="s">
        <v>2705</v>
      </c>
      <c r="H1133" s="152" t="s">
        <v>2705</v>
      </c>
      <c r="I1133" s="152" t="s">
        <v>2398</v>
      </c>
      <c r="J1133" s="152" t="s">
        <v>2705</v>
      </c>
      <c r="K1133" s="152" t="s">
        <v>2705</v>
      </c>
      <c r="L1133" s="152" t="s">
        <v>2398</v>
      </c>
      <c r="M1133" s="152" t="s">
        <v>2398</v>
      </c>
      <c r="N1133" s="152" t="s">
        <v>2705</v>
      </c>
      <c r="O1133" s="152" t="s">
        <v>2705</v>
      </c>
      <c r="P1133" s="152" t="s">
        <v>2398</v>
      </c>
      <c r="Q1133" s="152" t="s">
        <v>2705</v>
      </c>
      <c r="R1133" s="152" t="s">
        <v>2705</v>
      </c>
      <c r="S1133" s="152" t="s">
        <v>2675</v>
      </c>
      <c r="T1133" s="152" t="s">
        <v>2705</v>
      </c>
      <c r="U1133" s="152" t="s">
        <v>2705</v>
      </c>
      <c r="V1133" s="142" cm="1">
        <f t="array" ref="V1133">IF(A1133&lt;&gt;"",SUM(--(B1133:U1134 = "X")*$U$3,--(B1133:U1134 ="A")*$Q$3,--(B1133:U1134 ="B")*$R$3,--(B1133:U1134 ="C")*$S$3),"")</f>
        <v>18.5</v>
      </c>
      <c r="AF1133" s="142" t="s">
        <v>7883</v>
      </c>
      <c r="AG1133" s="142" t="s">
        <v>2705</v>
      </c>
      <c r="AH1133" s="142" t="s">
        <v>2398</v>
      </c>
      <c r="AI1133" s="142" t="s">
        <v>2398</v>
      </c>
      <c r="AJ1133" s="142" t="s">
        <v>2398</v>
      </c>
      <c r="AK1133" s="142" t="s">
        <v>2705</v>
      </c>
      <c r="AL1133" s="142" t="s">
        <v>2705</v>
      </c>
      <c r="AM1133" s="142" t="s">
        <v>2705</v>
      </c>
      <c r="AN1133" s="142" t="s">
        <v>2398</v>
      </c>
      <c r="AO1133" s="142" t="s">
        <v>2705</v>
      </c>
      <c r="AP1133" s="142" t="s">
        <v>2705</v>
      </c>
      <c r="AQ1133" s="142" t="s">
        <v>2398</v>
      </c>
      <c r="AR1133" s="142" t="s">
        <v>2398</v>
      </c>
      <c r="AS1133" s="142" t="s">
        <v>2705</v>
      </c>
      <c r="AT1133" s="142" t="s">
        <v>2705</v>
      </c>
      <c r="AU1133" s="142" t="s">
        <v>2398</v>
      </c>
      <c r="AV1133" s="142" t="s">
        <v>2705</v>
      </c>
      <c r="AW1133" s="142" t="s">
        <v>2705</v>
      </c>
      <c r="AX1133" s="142" t="s">
        <v>2675</v>
      </c>
      <c r="AY1133" s="142" t="s">
        <v>2705</v>
      </c>
      <c r="AZ1133" s="142" t="s">
        <v>2705</v>
      </c>
    </row>
    <row r="1134" spans="1:52" s="142" customFormat="1" ht="12.75" x14ac:dyDescent="0.2">
      <c r="A1134" s="151"/>
      <c r="B1134" s="152" t="s">
        <v>2705</v>
      </c>
      <c r="C1134" s="152" t="s">
        <v>2675</v>
      </c>
      <c r="D1134" s="152" t="s">
        <v>2705</v>
      </c>
      <c r="E1134" s="152" t="s">
        <v>2705</v>
      </c>
      <c r="F1134" s="152" t="s">
        <v>2675</v>
      </c>
      <c r="G1134" s="152" t="s">
        <v>1435</v>
      </c>
      <c r="H1134" s="152" t="s">
        <v>2705</v>
      </c>
      <c r="I1134" s="152" t="s">
        <v>2705</v>
      </c>
      <c r="J1134" s="152" t="s">
        <v>2705</v>
      </c>
      <c r="K1134" s="152" t="s">
        <v>2398</v>
      </c>
      <c r="L1134" s="152" t="s">
        <v>2398</v>
      </c>
      <c r="M1134" s="152" t="s">
        <v>2398</v>
      </c>
      <c r="N1134" s="152" t="s">
        <v>2398</v>
      </c>
      <c r="O1134" s="152" t="s">
        <v>2705</v>
      </c>
      <c r="P1134" s="152" t="s">
        <v>2705</v>
      </c>
      <c r="Q1134" s="152" t="s">
        <v>1435</v>
      </c>
      <c r="R1134" s="152" t="s">
        <v>2398</v>
      </c>
      <c r="S1134" s="152" t="s">
        <v>2398</v>
      </c>
      <c r="T1134" s="152" t="s">
        <v>2705</v>
      </c>
      <c r="U1134" s="152" t="s">
        <v>2398</v>
      </c>
      <c r="V1134" s="142" t="str" cm="1">
        <f t="array" ref="V1134">IF(A1134&lt;&gt;"",SUM(--(B1134:U1135 = "X")*$U$3,--(B1134:U1135 ="A")*$Q$3,--(B1134:U1135 ="B")*$R$3,--(B1134:U1135 ="C")*$S$3),"")</f>
        <v/>
      </c>
      <c r="AG1134" s="142" t="s">
        <v>2705</v>
      </c>
      <c r="AH1134" s="142" t="s">
        <v>2675</v>
      </c>
      <c r="AI1134" s="142" t="s">
        <v>2705</v>
      </c>
      <c r="AJ1134" s="142" t="s">
        <v>2705</v>
      </c>
      <c r="AK1134" s="142" t="s">
        <v>2675</v>
      </c>
      <c r="AL1134" s="142" t="s">
        <v>1435</v>
      </c>
      <c r="AM1134" s="142" t="s">
        <v>2705</v>
      </c>
      <c r="AN1134" s="142" t="s">
        <v>2705</v>
      </c>
      <c r="AO1134" s="142" t="s">
        <v>2705</v>
      </c>
      <c r="AP1134" s="142" t="s">
        <v>2398</v>
      </c>
      <c r="AQ1134" s="142" t="s">
        <v>2398</v>
      </c>
      <c r="AR1134" s="142" t="s">
        <v>2398</v>
      </c>
      <c r="AS1134" s="142" t="s">
        <v>2398</v>
      </c>
      <c r="AT1134" s="142" t="s">
        <v>2705</v>
      </c>
      <c r="AU1134" s="142" t="s">
        <v>2705</v>
      </c>
      <c r="AV1134" s="142" t="s">
        <v>1435</v>
      </c>
      <c r="AW1134" s="142" t="s">
        <v>2398</v>
      </c>
      <c r="AX1134" s="142" t="s">
        <v>2398</v>
      </c>
      <c r="AY1134" s="142" t="s">
        <v>2705</v>
      </c>
      <c r="AZ1134" s="142" t="s">
        <v>2398</v>
      </c>
    </row>
    <row r="1135" spans="1:52" s="142" customFormat="1" ht="12.75" x14ac:dyDescent="0.2">
      <c r="A1135" s="151" t="s">
        <v>7884</v>
      </c>
      <c r="B1135" s="152" t="s">
        <v>2398</v>
      </c>
      <c r="C1135" s="152" t="s">
        <v>2398</v>
      </c>
      <c r="D1135" s="152" t="s">
        <v>2398</v>
      </c>
      <c r="E1135" s="152" t="s">
        <v>2398</v>
      </c>
      <c r="F1135" s="152" t="s">
        <v>2398</v>
      </c>
      <c r="G1135" s="152" t="s">
        <v>2705</v>
      </c>
      <c r="H1135" s="152" t="s">
        <v>2705</v>
      </c>
      <c r="I1135" s="152" t="s">
        <v>2705</v>
      </c>
      <c r="J1135" s="152" t="s">
        <v>2398</v>
      </c>
      <c r="K1135" s="152" t="s">
        <v>2705</v>
      </c>
      <c r="L1135" s="152" t="s">
        <v>1435</v>
      </c>
      <c r="M1135" s="152" t="s">
        <v>2398</v>
      </c>
      <c r="N1135" s="152" t="s">
        <v>2398</v>
      </c>
      <c r="O1135" s="152" t="s">
        <v>2705</v>
      </c>
      <c r="P1135" s="152" t="s">
        <v>2398</v>
      </c>
      <c r="Q1135" s="152" t="s">
        <v>2705</v>
      </c>
      <c r="R1135" s="152" t="s">
        <v>2398</v>
      </c>
      <c r="S1135" s="152" t="s">
        <v>2675</v>
      </c>
      <c r="T1135" s="152" t="s">
        <v>2705</v>
      </c>
      <c r="U1135" s="152" t="s">
        <v>2705</v>
      </c>
      <c r="V1135" s="142" cm="1">
        <f t="array" ref="V1135">IF(A1135&lt;&gt;"",SUM(--(B1135:U1136 = "X")*$U$3,--(B1135:U1136 ="A")*$Q$3,--(B1135:U1136 ="B")*$R$3,--(B1135:U1136 ="C")*$S$3),"")</f>
        <v>17.5</v>
      </c>
      <c r="AF1135" s="142" t="s">
        <v>7884</v>
      </c>
      <c r="AG1135" s="142" t="s">
        <v>2398</v>
      </c>
      <c r="AH1135" s="142" t="s">
        <v>2398</v>
      </c>
      <c r="AI1135" s="142" t="s">
        <v>2398</v>
      </c>
      <c r="AJ1135" s="142" t="s">
        <v>2398</v>
      </c>
      <c r="AK1135" s="142" t="s">
        <v>2398</v>
      </c>
      <c r="AL1135" s="142" t="s">
        <v>2705</v>
      </c>
      <c r="AM1135" s="142" t="s">
        <v>2705</v>
      </c>
      <c r="AN1135" s="142" t="s">
        <v>2705</v>
      </c>
      <c r="AO1135" s="142" t="s">
        <v>2398</v>
      </c>
      <c r="AP1135" s="142" t="s">
        <v>2705</v>
      </c>
      <c r="AQ1135" s="142" t="s">
        <v>1435</v>
      </c>
      <c r="AR1135" s="142" t="s">
        <v>2398</v>
      </c>
      <c r="AS1135" s="142" t="s">
        <v>2398</v>
      </c>
      <c r="AT1135" s="142" t="s">
        <v>2705</v>
      </c>
      <c r="AU1135" s="142" t="s">
        <v>2398</v>
      </c>
      <c r="AV1135" s="142" t="s">
        <v>2705</v>
      </c>
      <c r="AW1135" s="142" t="s">
        <v>2398</v>
      </c>
      <c r="AX1135" s="142" t="s">
        <v>2675</v>
      </c>
      <c r="AY1135" s="142" t="s">
        <v>2705</v>
      </c>
      <c r="AZ1135" s="142" t="s">
        <v>2705</v>
      </c>
    </row>
    <row r="1136" spans="1:52" s="142" customFormat="1" ht="12.75" x14ac:dyDescent="0.2">
      <c r="A1136" s="151"/>
      <c r="B1136" s="152" t="s">
        <v>2705</v>
      </c>
      <c r="C1136" s="152" t="s">
        <v>2675</v>
      </c>
      <c r="D1136" s="152" t="s">
        <v>2705</v>
      </c>
      <c r="E1136" s="152" t="s">
        <v>2398</v>
      </c>
      <c r="F1136" s="152" t="s">
        <v>2705</v>
      </c>
      <c r="G1136" s="152" t="s">
        <v>2705</v>
      </c>
      <c r="H1136" s="152" t="s">
        <v>2675</v>
      </c>
      <c r="I1136" s="152" t="s">
        <v>2705</v>
      </c>
      <c r="J1136" s="152" t="s">
        <v>2705</v>
      </c>
      <c r="K1136" s="152" t="s">
        <v>2705</v>
      </c>
      <c r="L1136" s="152" t="s">
        <v>2398</v>
      </c>
      <c r="M1136" s="152" t="s">
        <v>2398</v>
      </c>
      <c r="N1136" s="152" t="s">
        <v>2705</v>
      </c>
      <c r="O1136" s="152" t="s">
        <v>2675</v>
      </c>
      <c r="P1136" s="152" t="s">
        <v>2398</v>
      </c>
      <c r="Q1136" s="152" t="s">
        <v>2705</v>
      </c>
      <c r="R1136" s="152" t="s">
        <v>2398</v>
      </c>
      <c r="S1136" s="152" t="s">
        <v>2705</v>
      </c>
      <c r="T1136" s="152" t="s">
        <v>2705</v>
      </c>
      <c r="U1136" s="152" t="s">
        <v>2705</v>
      </c>
      <c r="V1136" s="142" t="str" cm="1">
        <f t="array" ref="V1136">IF(A1136&lt;&gt;"",SUM(--(B1136:U1137 = "X")*$U$3,--(B1136:U1137 ="A")*$Q$3,--(B1136:U1137 ="B")*$R$3,--(B1136:U1137 ="C")*$S$3),"")</f>
        <v/>
      </c>
      <c r="AG1136" s="142" t="s">
        <v>2705</v>
      </c>
      <c r="AH1136" s="142" t="s">
        <v>2675</v>
      </c>
      <c r="AI1136" s="142" t="s">
        <v>2705</v>
      </c>
      <c r="AJ1136" s="142" t="s">
        <v>2398</v>
      </c>
      <c r="AK1136" s="142" t="s">
        <v>2705</v>
      </c>
      <c r="AL1136" s="142" t="s">
        <v>2705</v>
      </c>
      <c r="AM1136" s="142" t="s">
        <v>2675</v>
      </c>
      <c r="AN1136" s="142" t="s">
        <v>2705</v>
      </c>
      <c r="AO1136" s="142" t="s">
        <v>2705</v>
      </c>
      <c r="AP1136" s="142" t="s">
        <v>2705</v>
      </c>
      <c r="AQ1136" s="142" t="s">
        <v>2398</v>
      </c>
      <c r="AR1136" s="142" t="s">
        <v>2398</v>
      </c>
      <c r="AS1136" s="142" t="s">
        <v>2705</v>
      </c>
      <c r="AT1136" s="142" t="s">
        <v>2675</v>
      </c>
      <c r="AU1136" s="142" t="s">
        <v>2398</v>
      </c>
      <c r="AV1136" s="142" t="s">
        <v>2705</v>
      </c>
      <c r="AW1136" s="142" t="s">
        <v>2398</v>
      </c>
      <c r="AX1136" s="142" t="s">
        <v>2705</v>
      </c>
      <c r="AY1136" s="142" t="s">
        <v>2705</v>
      </c>
      <c r="AZ1136" s="142" t="s">
        <v>2705</v>
      </c>
    </row>
    <row r="1137" spans="1:52" s="142" customFormat="1" ht="12.75" x14ac:dyDescent="0.2">
      <c r="A1137" s="151" t="s">
        <v>7885</v>
      </c>
      <c r="B1137" s="152" t="s">
        <v>2705</v>
      </c>
      <c r="C1137" s="152" t="s">
        <v>2705</v>
      </c>
      <c r="D1137" s="152" t="s">
        <v>2675</v>
      </c>
      <c r="E1137" s="152" t="s">
        <v>2398</v>
      </c>
      <c r="F1137" s="152" t="s">
        <v>2705</v>
      </c>
      <c r="G1137" s="152" t="s">
        <v>2705</v>
      </c>
      <c r="H1137" s="152" t="s">
        <v>2705</v>
      </c>
      <c r="I1137" s="152" t="s">
        <v>2705</v>
      </c>
      <c r="J1137" s="152" t="s">
        <v>2675</v>
      </c>
      <c r="K1137" s="152" t="s">
        <v>2398</v>
      </c>
      <c r="L1137" s="152" t="s">
        <v>2705</v>
      </c>
      <c r="M1137" s="152" t="s">
        <v>2705</v>
      </c>
      <c r="N1137" s="152" t="s">
        <v>1435</v>
      </c>
      <c r="O1137" s="152" t="s">
        <v>2398</v>
      </c>
      <c r="P1137" s="152" t="s">
        <v>2705</v>
      </c>
      <c r="Q1137" s="152" t="s">
        <v>2398</v>
      </c>
      <c r="R1137" s="152" t="s">
        <v>2675</v>
      </c>
      <c r="S1137" s="152" t="s">
        <v>2398</v>
      </c>
      <c r="T1137" s="152" t="s">
        <v>2398</v>
      </c>
      <c r="U1137" s="152" t="s">
        <v>2705</v>
      </c>
      <c r="V1137" s="142" cm="1">
        <f t="array" ref="V1137">IF(A1137&lt;&gt;"",SUM(--(B1137:U1138 = "X")*$U$3,--(B1137:U1138 ="A")*$Q$3,--(B1137:U1138 ="B")*$R$3,--(B1137:U1138 ="C")*$S$3),"")</f>
        <v>19</v>
      </c>
      <c r="AF1137" s="142" t="s">
        <v>7885</v>
      </c>
      <c r="AG1137" s="142" t="s">
        <v>2705</v>
      </c>
      <c r="AH1137" s="142" t="s">
        <v>2705</v>
      </c>
      <c r="AI1137" s="142" t="s">
        <v>2675</v>
      </c>
      <c r="AJ1137" s="142" t="s">
        <v>2398</v>
      </c>
      <c r="AK1137" s="142" t="s">
        <v>2705</v>
      </c>
      <c r="AL1137" s="142" t="s">
        <v>2705</v>
      </c>
      <c r="AM1137" s="142" t="s">
        <v>2705</v>
      </c>
      <c r="AN1137" s="142" t="s">
        <v>2705</v>
      </c>
      <c r="AO1137" s="142" t="s">
        <v>2675</v>
      </c>
      <c r="AP1137" s="142" t="s">
        <v>2398</v>
      </c>
      <c r="AQ1137" s="142" t="s">
        <v>2705</v>
      </c>
      <c r="AR1137" s="142" t="s">
        <v>2705</v>
      </c>
      <c r="AS1137" s="142" t="s">
        <v>1435</v>
      </c>
      <c r="AT1137" s="142" t="s">
        <v>2398</v>
      </c>
      <c r="AU1137" s="142" t="s">
        <v>2705</v>
      </c>
      <c r="AV1137" s="142" t="s">
        <v>2398</v>
      </c>
      <c r="AW1137" s="142" t="s">
        <v>2675</v>
      </c>
      <c r="AX1137" s="142" t="s">
        <v>2398</v>
      </c>
      <c r="AY1137" s="142" t="s">
        <v>2398</v>
      </c>
      <c r="AZ1137" s="142" t="s">
        <v>2705</v>
      </c>
    </row>
    <row r="1138" spans="1:52" s="142" customFormat="1" ht="12.75" x14ac:dyDescent="0.2">
      <c r="A1138" s="151"/>
      <c r="B1138" s="152" t="s">
        <v>2398</v>
      </c>
      <c r="C1138" s="152" t="s">
        <v>2398</v>
      </c>
      <c r="D1138" s="152" t="s">
        <v>2398</v>
      </c>
      <c r="E1138" s="152" t="s">
        <v>2705</v>
      </c>
      <c r="F1138" s="152" t="s">
        <v>2705</v>
      </c>
      <c r="G1138" s="152" t="s">
        <v>2398</v>
      </c>
      <c r="H1138" s="152" t="s">
        <v>2398</v>
      </c>
      <c r="I1138" s="152" t="s">
        <v>2398</v>
      </c>
      <c r="J1138" s="152" t="s">
        <v>2398</v>
      </c>
      <c r="K1138" s="152" t="s">
        <v>2398</v>
      </c>
      <c r="L1138" s="152" t="s">
        <v>2705</v>
      </c>
      <c r="M1138" s="152" t="s">
        <v>2705</v>
      </c>
      <c r="N1138" s="152" t="s">
        <v>2705</v>
      </c>
      <c r="O1138" s="152" t="s">
        <v>2705</v>
      </c>
      <c r="P1138" s="152" t="s">
        <v>2398</v>
      </c>
      <c r="Q1138" s="152" t="s">
        <v>2705</v>
      </c>
      <c r="R1138" s="152" t="s">
        <v>2705</v>
      </c>
      <c r="S1138" s="152" t="s">
        <v>2705</v>
      </c>
      <c r="T1138" s="152" t="s">
        <v>2705</v>
      </c>
      <c r="U1138" s="152" t="s">
        <v>2705</v>
      </c>
      <c r="V1138" s="142" t="str" cm="1">
        <f t="array" ref="V1138">IF(A1138&lt;&gt;"",SUM(--(B1138:U1139 = "X")*$U$3,--(B1138:U1139 ="A")*$Q$3,--(B1138:U1139 ="B")*$R$3,--(B1138:U1139 ="C")*$S$3),"")</f>
        <v/>
      </c>
      <c r="AG1138" s="142" t="s">
        <v>2398</v>
      </c>
      <c r="AH1138" s="142" t="s">
        <v>2398</v>
      </c>
      <c r="AI1138" s="142" t="s">
        <v>2398</v>
      </c>
      <c r="AJ1138" s="142" t="s">
        <v>2705</v>
      </c>
      <c r="AK1138" s="142" t="s">
        <v>2705</v>
      </c>
      <c r="AL1138" s="142" t="s">
        <v>2398</v>
      </c>
      <c r="AM1138" s="142" t="s">
        <v>2398</v>
      </c>
      <c r="AN1138" s="142" t="s">
        <v>2398</v>
      </c>
      <c r="AO1138" s="142" t="s">
        <v>2398</v>
      </c>
      <c r="AP1138" s="142" t="s">
        <v>2398</v>
      </c>
      <c r="AQ1138" s="142" t="s">
        <v>2705</v>
      </c>
      <c r="AR1138" s="142" t="s">
        <v>2705</v>
      </c>
      <c r="AS1138" s="142" t="s">
        <v>2705</v>
      </c>
      <c r="AT1138" s="142" t="s">
        <v>2705</v>
      </c>
      <c r="AU1138" s="142" t="s">
        <v>2398</v>
      </c>
      <c r="AV1138" s="142" t="s">
        <v>2705</v>
      </c>
      <c r="AW1138" s="142" t="s">
        <v>2705</v>
      </c>
      <c r="AX1138" s="142" t="s">
        <v>2705</v>
      </c>
      <c r="AY1138" s="142" t="s">
        <v>2705</v>
      </c>
      <c r="AZ1138" s="142" t="s">
        <v>2705</v>
      </c>
    </row>
    <row r="1139" spans="1:52" s="142" customFormat="1" ht="12.75" x14ac:dyDescent="0.2">
      <c r="A1139" s="151" t="s">
        <v>7886</v>
      </c>
      <c r="B1139" s="152" t="s">
        <v>2705</v>
      </c>
      <c r="C1139" s="152" t="s">
        <v>2705</v>
      </c>
      <c r="D1139" s="152" t="s">
        <v>2705</v>
      </c>
      <c r="E1139" s="152" t="s">
        <v>2398</v>
      </c>
      <c r="F1139" s="152" t="s">
        <v>2705</v>
      </c>
      <c r="G1139" s="152" t="s">
        <v>2705</v>
      </c>
      <c r="H1139" s="152" t="s">
        <v>2705</v>
      </c>
      <c r="I1139" s="152" t="s">
        <v>2705</v>
      </c>
      <c r="J1139" s="152" t="s">
        <v>2705</v>
      </c>
      <c r="K1139" s="152" t="s">
        <v>2705</v>
      </c>
      <c r="L1139" s="152" t="s">
        <v>2705</v>
      </c>
      <c r="M1139" s="152" t="s">
        <v>2398</v>
      </c>
      <c r="N1139" s="152" t="s">
        <v>2705</v>
      </c>
      <c r="O1139" s="152" t="s">
        <v>2705</v>
      </c>
      <c r="P1139" s="152" t="s">
        <v>2398</v>
      </c>
      <c r="Q1139" s="152" t="s">
        <v>2675</v>
      </c>
      <c r="R1139" s="152" t="s">
        <v>2398</v>
      </c>
      <c r="S1139" s="152" t="s">
        <v>2398</v>
      </c>
      <c r="T1139" s="152" t="s">
        <v>2705</v>
      </c>
      <c r="U1139" s="152" t="s">
        <v>2398</v>
      </c>
      <c r="V1139" s="142" cm="1">
        <f t="array" ref="V1139">IF(A1139&lt;&gt;"",SUM(--(B1139:U1140 = "X")*$U$3,--(B1139:U1140 ="A")*$Q$3,--(B1139:U1140 ="B")*$R$3,--(B1139:U1140 ="C")*$S$3),"")</f>
        <v>21.5</v>
      </c>
      <c r="AF1139" s="142" t="s">
        <v>7886</v>
      </c>
      <c r="AG1139" s="142" t="s">
        <v>2705</v>
      </c>
      <c r="AH1139" s="142" t="s">
        <v>2705</v>
      </c>
      <c r="AI1139" s="142" t="s">
        <v>2705</v>
      </c>
      <c r="AJ1139" s="142" t="s">
        <v>2398</v>
      </c>
      <c r="AK1139" s="142" t="s">
        <v>2705</v>
      </c>
      <c r="AL1139" s="142" t="s">
        <v>2705</v>
      </c>
      <c r="AM1139" s="142" t="s">
        <v>2705</v>
      </c>
      <c r="AN1139" s="142" t="s">
        <v>2705</v>
      </c>
      <c r="AO1139" s="142" t="s">
        <v>2705</v>
      </c>
      <c r="AP1139" s="142" t="s">
        <v>2705</v>
      </c>
      <c r="AQ1139" s="142" t="s">
        <v>2705</v>
      </c>
      <c r="AR1139" s="142" t="s">
        <v>2398</v>
      </c>
      <c r="AS1139" s="142" t="s">
        <v>2705</v>
      </c>
      <c r="AT1139" s="142" t="s">
        <v>2705</v>
      </c>
      <c r="AU1139" s="142" t="s">
        <v>2398</v>
      </c>
      <c r="AV1139" s="142" t="s">
        <v>2675</v>
      </c>
      <c r="AW1139" s="142" t="s">
        <v>2398</v>
      </c>
      <c r="AX1139" s="142" t="s">
        <v>2398</v>
      </c>
      <c r="AY1139" s="142" t="s">
        <v>2705</v>
      </c>
      <c r="AZ1139" s="142" t="s">
        <v>2398</v>
      </c>
    </row>
    <row r="1140" spans="1:52" s="142" customFormat="1" ht="12.75" x14ac:dyDescent="0.2">
      <c r="A1140" s="151"/>
      <c r="B1140" s="152" t="s">
        <v>2398</v>
      </c>
      <c r="C1140" s="152" t="s">
        <v>2398</v>
      </c>
      <c r="D1140" s="152" t="s">
        <v>2705</v>
      </c>
      <c r="E1140" s="152" t="s">
        <v>2705</v>
      </c>
      <c r="F1140" s="152" t="s">
        <v>2705</v>
      </c>
      <c r="G1140" s="152" t="s">
        <v>2705</v>
      </c>
      <c r="H1140" s="152" t="s">
        <v>2398</v>
      </c>
      <c r="I1140" s="152" t="s">
        <v>2398</v>
      </c>
      <c r="J1140" s="152" t="s">
        <v>2705</v>
      </c>
      <c r="K1140" s="152" t="s">
        <v>1435</v>
      </c>
      <c r="L1140" s="152" t="s">
        <v>2705</v>
      </c>
      <c r="M1140" s="152" t="s">
        <v>2705</v>
      </c>
      <c r="N1140" s="152" t="s">
        <v>2398</v>
      </c>
      <c r="O1140" s="152" t="s">
        <v>2705</v>
      </c>
      <c r="P1140" s="152" t="s">
        <v>2398</v>
      </c>
      <c r="Q1140" s="152" t="s">
        <v>2705</v>
      </c>
      <c r="R1140" s="152" t="s">
        <v>1435</v>
      </c>
      <c r="S1140" s="152" t="s">
        <v>2398</v>
      </c>
      <c r="T1140" s="152" t="s">
        <v>2705</v>
      </c>
      <c r="U1140" s="152" t="s">
        <v>2398</v>
      </c>
      <c r="V1140" s="142" t="str" cm="1">
        <f t="array" ref="V1140">IF(A1140&lt;&gt;"",SUM(--(B1140:U1141 = "X")*$U$3,--(B1140:U1141 ="A")*$Q$3,--(B1140:U1141 ="B")*$R$3,--(B1140:U1141 ="C")*$S$3),"")</f>
        <v/>
      </c>
      <c r="AG1140" s="142" t="s">
        <v>2398</v>
      </c>
      <c r="AH1140" s="142" t="s">
        <v>2398</v>
      </c>
      <c r="AI1140" s="142" t="s">
        <v>2705</v>
      </c>
      <c r="AJ1140" s="142" t="s">
        <v>2705</v>
      </c>
      <c r="AK1140" s="142" t="s">
        <v>2705</v>
      </c>
      <c r="AL1140" s="142" t="s">
        <v>2705</v>
      </c>
      <c r="AM1140" s="142" t="s">
        <v>2398</v>
      </c>
      <c r="AN1140" s="142" t="s">
        <v>2398</v>
      </c>
      <c r="AO1140" s="142" t="s">
        <v>2705</v>
      </c>
      <c r="AP1140" s="142" t="s">
        <v>1435</v>
      </c>
      <c r="AQ1140" s="142" t="s">
        <v>2705</v>
      </c>
      <c r="AR1140" s="142" t="s">
        <v>2705</v>
      </c>
      <c r="AS1140" s="142" t="s">
        <v>2398</v>
      </c>
      <c r="AT1140" s="142" t="s">
        <v>2705</v>
      </c>
      <c r="AU1140" s="142" t="s">
        <v>2398</v>
      </c>
      <c r="AV1140" s="142" t="s">
        <v>2705</v>
      </c>
      <c r="AW1140" s="142" t="s">
        <v>1435</v>
      </c>
      <c r="AX1140" s="142" t="s">
        <v>2398</v>
      </c>
      <c r="AY1140" s="142" t="s">
        <v>2705</v>
      </c>
      <c r="AZ1140" s="142" t="s">
        <v>2398</v>
      </c>
    </row>
    <row r="1141" spans="1:52" s="142" customFormat="1" ht="12.75" x14ac:dyDescent="0.2">
      <c r="A1141" s="151" t="s">
        <v>7887</v>
      </c>
      <c r="B1141" s="152" t="s">
        <v>2398</v>
      </c>
      <c r="C1141" s="152" t="s">
        <v>2675</v>
      </c>
      <c r="D1141" s="152" t="s">
        <v>2398</v>
      </c>
      <c r="E1141" s="152" t="s">
        <v>2705</v>
      </c>
      <c r="F1141" s="152" t="s">
        <v>1435</v>
      </c>
      <c r="G1141" s="152" t="s">
        <v>2398</v>
      </c>
      <c r="H1141" s="152" t="s">
        <v>2705</v>
      </c>
      <c r="I1141" s="152" t="s">
        <v>2705</v>
      </c>
      <c r="J1141" s="152" t="s">
        <v>2675</v>
      </c>
      <c r="K1141" s="152" t="s">
        <v>1435</v>
      </c>
      <c r="L1141" s="152" t="s">
        <v>2705</v>
      </c>
      <c r="M1141" s="152" t="s">
        <v>2398</v>
      </c>
      <c r="N1141" s="152" t="s">
        <v>2705</v>
      </c>
      <c r="O1141" s="152" t="s">
        <v>2705</v>
      </c>
      <c r="P1141" s="152" t="s">
        <v>2675</v>
      </c>
      <c r="Q1141" s="152" t="s">
        <v>2398</v>
      </c>
      <c r="R1141" s="152" t="s">
        <v>2398</v>
      </c>
      <c r="S1141" s="152" t="s">
        <v>2397</v>
      </c>
      <c r="T1141" s="152" t="s">
        <v>2398</v>
      </c>
      <c r="U1141" s="152" t="s">
        <v>2398</v>
      </c>
      <c r="V1141" s="142" cm="1">
        <f t="array" ref="V1141">IF(A1141&lt;&gt;"",SUM(--(B1141:U1142 = "X")*$U$3,--(B1141:U1142 ="A")*$Q$3,--(B1141:U1142 ="B")*$R$3,--(B1141:U1142 ="C")*$S$3),"")</f>
        <v>10</v>
      </c>
      <c r="AF1141" s="142" t="s">
        <v>7887</v>
      </c>
      <c r="AG1141" s="142" t="s">
        <v>2398</v>
      </c>
      <c r="AH1141" s="142" t="s">
        <v>2675</v>
      </c>
      <c r="AI1141" s="142" t="s">
        <v>2398</v>
      </c>
      <c r="AJ1141" s="142" t="s">
        <v>2705</v>
      </c>
      <c r="AK1141" s="142" t="s">
        <v>1435</v>
      </c>
      <c r="AL1141" s="142" t="s">
        <v>2398</v>
      </c>
      <c r="AM1141" s="142" t="s">
        <v>2705</v>
      </c>
      <c r="AN1141" s="142" t="s">
        <v>2705</v>
      </c>
      <c r="AO1141" s="142" t="s">
        <v>2675</v>
      </c>
      <c r="AP1141" s="142" t="s">
        <v>1435</v>
      </c>
      <c r="AQ1141" s="142" t="s">
        <v>2705</v>
      </c>
      <c r="AR1141" s="142" t="s">
        <v>2398</v>
      </c>
      <c r="AS1141" s="142" t="s">
        <v>2705</v>
      </c>
      <c r="AT1141" s="142" t="s">
        <v>2705</v>
      </c>
      <c r="AU1141" s="142" t="s">
        <v>2675</v>
      </c>
      <c r="AV1141" s="142" t="s">
        <v>2398</v>
      </c>
      <c r="AW1141" s="142" t="s">
        <v>2398</v>
      </c>
      <c r="AX1141" s="142" t="s">
        <v>2397</v>
      </c>
      <c r="AY1141" s="142" t="s">
        <v>2398</v>
      </c>
      <c r="AZ1141" s="142" t="s">
        <v>2398</v>
      </c>
    </row>
    <row r="1142" spans="1:52" s="142" customFormat="1" ht="12.75" x14ac:dyDescent="0.2">
      <c r="A1142" s="151"/>
      <c r="B1142" s="152" t="s">
        <v>2397</v>
      </c>
      <c r="C1142" s="152" t="s">
        <v>1435</v>
      </c>
      <c r="D1142" s="152" t="s">
        <v>2705</v>
      </c>
      <c r="E1142" s="152" t="s">
        <v>2398</v>
      </c>
      <c r="F1142" s="152" t="s">
        <v>2705</v>
      </c>
      <c r="G1142" s="152" t="s">
        <v>2398</v>
      </c>
      <c r="H1142" s="152" t="s">
        <v>2675</v>
      </c>
      <c r="I1142" s="152" t="s">
        <v>2397</v>
      </c>
      <c r="J1142" s="152" t="s">
        <v>2705</v>
      </c>
      <c r="K1142" s="152" t="s">
        <v>2705</v>
      </c>
      <c r="L1142" s="152" t="s">
        <v>2398</v>
      </c>
      <c r="M1142" s="152" t="s">
        <v>2705</v>
      </c>
      <c r="N1142" s="152" t="s">
        <v>2398</v>
      </c>
      <c r="O1142" s="152" t="s">
        <v>2398</v>
      </c>
      <c r="P1142" s="152" t="s">
        <v>2705</v>
      </c>
      <c r="Q1142" s="152" t="s">
        <v>2705</v>
      </c>
      <c r="R1142" s="152" t="s">
        <v>2398</v>
      </c>
      <c r="S1142" s="152" t="s">
        <v>2675</v>
      </c>
      <c r="T1142" s="152" t="s">
        <v>2397</v>
      </c>
      <c r="U1142" s="152" t="s">
        <v>2705</v>
      </c>
      <c r="V1142" s="142" t="str" cm="1">
        <f t="array" ref="V1142">IF(A1142&lt;&gt;"",SUM(--(B1142:U1143 = "X")*$U$3,--(B1142:U1143 ="A")*$Q$3,--(B1142:U1143 ="B")*$R$3,--(B1142:U1143 ="C")*$S$3),"")</f>
        <v/>
      </c>
      <c r="AG1142" s="142" t="s">
        <v>2397</v>
      </c>
      <c r="AH1142" s="142" t="s">
        <v>1435</v>
      </c>
      <c r="AI1142" s="142" t="s">
        <v>2705</v>
      </c>
      <c r="AJ1142" s="142" t="s">
        <v>2398</v>
      </c>
      <c r="AK1142" s="142" t="s">
        <v>2705</v>
      </c>
      <c r="AL1142" s="142" t="s">
        <v>2398</v>
      </c>
      <c r="AM1142" s="142" t="s">
        <v>2675</v>
      </c>
      <c r="AN1142" s="142" t="s">
        <v>2397</v>
      </c>
      <c r="AO1142" s="142" t="s">
        <v>2705</v>
      </c>
      <c r="AP1142" s="142" t="s">
        <v>2705</v>
      </c>
      <c r="AQ1142" s="142" t="s">
        <v>2398</v>
      </c>
      <c r="AR1142" s="142" t="s">
        <v>2705</v>
      </c>
      <c r="AS1142" s="142" t="s">
        <v>2398</v>
      </c>
      <c r="AT1142" s="142" t="s">
        <v>2398</v>
      </c>
      <c r="AU1142" s="142" t="s">
        <v>2705</v>
      </c>
      <c r="AV1142" s="142" t="s">
        <v>2705</v>
      </c>
      <c r="AW1142" s="142" t="s">
        <v>2398</v>
      </c>
      <c r="AX1142" s="142" t="s">
        <v>2675</v>
      </c>
      <c r="AY1142" s="142" t="s">
        <v>2397</v>
      </c>
      <c r="AZ1142" s="142" t="s">
        <v>2705</v>
      </c>
    </row>
    <row r="1143" spans="1:52" s="142" customFormat="1" ht="12.75" x14ac:dyDescent="0.2">
      <c r="A1143" s="151" t="s">
        <v>7888</v>
      </c>
      <c r="B1143" s="152" t="s">
        <v>2705</v>
      </c>
      <c r="C1143" s="152" t="s">
        <v>2705</v>
      </c>
      <c r="D1143" s="152" t="s">
        <v>2675</v>
      </c>
      <c r="E1143" s="152" t="s">
        <v>2705</v>
      </c>
      <c r="F1143" s="152" t="s">
        <v>2705</v>
      </c>
      <c r="G1143" s="152" t="s">
        <v>2705</v>
      </c>
      <c r="H1143" s="152" t="s">
        <v>2705</v>
      </c>
      <c r="I1143" s="152" t="s">
        <v>2705</v>
      </c>
      <c r="J1143" s="152" t="s">
        <v>2398</v>
      </c>
      <c r="K1143" s="152" t="s">
        <v>2398</v>
      </c>
      <c r="L1143" s="152" t="s">
        <v>2705</v>
      </c>
      <c r="M1143" s="152" t="s">
        <v>2705</v>
      </c>
      <c r="N1143" s="152" t="s">
        <v>2398</v>
      </c>
      <c r="O1143" s="152" t="s">
        <v>2705</v>
      </c>
      <c r="P1143" s="152" t="s">
        <v>2398</v>
      </c>
      <c r="Q1143" s="152" t="s">
        <v>2398</v>
      </c>
      <c r="R1143" s="152" t="s">
        <v>2398</v>
      </c>
      <c r="S1143" s="152" t="s">
        <v>2398</v>
      </c>
      <c r="T1143" s="152" t="s">
        <v>2398</v>
      </c>
      <c r="U1143" s="152" t="s">
        <v>2705</v>
      </c>
      <c r="V1143" s="142" cm="1">
        <f t="array" ref="V1143">IF(A1143&lt;&gt;"",SUM(--(B1143:U1144 = "X")*$U$3,--(B1143:U1144 ="A")*$Q$3,--(B1143:U1144 ="B")*$R$3,--(B1143:U1144 ="C")*$S$3),"")</f>
        <v>21.5</v>
      </c>
      <c r="AF1143" s="142" t="s">
        <v>7888</v>
      </c>
      <c r="AG1143" s="142" t="s">
        <v>2705</v>
      </c>
      <c r="AH1143" s="142" t="s">
        <v>2705</v>
      </c>
      <c r="AI1143" s="142" t="s">
        <v>2675</v>
      </c>
      <c r="AJ1143" s="142" t="s">
        <v>2705</v>
      </c>
      <c r="AK1143" s="142" t="s">
        <v>2705</v>
      </c>
      <c r="AL1143" s="142" t="s">
        <v>2705</v>
      </c>
      <c r="AM1143" s="142" t="s">
        <v>2705</v>
      </c>
      <c r="AN1143" s="142" t="s">
        <v>2705</v>
      </c>
      <c r="AO1143" s="142" t="s">
        <v>2398</v>
      </c>
      <c r="AP1143" s="142" t="s">
        <v>2398</v>
      </c>
      <c r="AQ1143" s="142" t="s">
        <v>2705</v>
      </c>
      <c r="AR1143" s="142" t="s">
        <v>2705</v>
      </c>
      <c r="AS1143" s="142" t="s">
        <v>2398</v>
      </c>
      <c r="AT1143" s="142" t="s">
        <v>2705</v>
      </c>
      <c r="AU1143" s="142" t="s">
        <v>2398</v>
      </c>
      <c r="AV1143" s="142" t="s">
        <v>2398</v>
      </c>
      <c r="AW1143" s="142" t="s">
        <v>2398</v>
      </c>
      <c r="AX1143" s="142" t="s">
        <v>2398</v>
      </c>
      <c r="AY1143" s="142" t="s">
        <v>2398</v>
      </c>
      <c r="AZ1143" s="142" t="s">
        <v>2705</v>
      </c>
    </row>
    <row r="1144" spans="1:52" s="142" customFormat="1" ht="12.75" x14ac:dyDescent="0.2">
      <c r="A1144" s="151"/>
      <c r="B1144" s="152" t="s">
        <v>2398</v>
      </c>
      <c r="C1144" s="152" t="s">
        <v>2398</v>
      </c>
      <c r="D1144" s="152" t="s">
        <v>2705</v>
      </c>
      <c r="E1144" s="152" t="s">
        <v>2705</v>
      </c>
      <c r="F1144" s="152" t="s">
        <v>2705</v>
      </c>
      <c r="G1144" s="152" t="s">
        <v>2705</v>
      </c>
      <c r="H1144" s="152" t="s">
        <v>2705</v>
      </c>
      <c r="I1144" s="152" t="s">
        <v>2705</v>
      </c>
      <c r="J1144" s="152" t="s">
        <v>2398</v>
      </c>
      <c r="K1144" s="152" t="s">
        <v>2398</v>
      </c>
      <c r="L1144" s="152" t="s">
        <v>2705</v>
      </c>
      <c r="M1144" s="152" t="s">
        <v>2675</v>
      </c>
      <c r="N1144" s="152" t="s">
        <v>2705</v>
      </c>
      <c r="O1144" s="152" t="s">
        <v>2705</v>
      </c>
      <c r="P1144" s="152" t="s">
        <v>2398</v>
      </c>
      <c r="Q1144" s="152" t="s">
        <v>2398</v>
      </c>
      <c r="R1144" s="152" t="s">
        <v>2705</v>
      </c>
      <c r="S1144" s="152" t="s">
        <v>2705</v>
      </c>
      <c r="T1144" s="152" t="s">
        <v>2705</v>
      </c>
      <c r="U1144" s="152" t="s">
        <v>2675</v>
      </c>
      <c r="V1144" s="142" t="str" cm="1">
        <f t="array" ref="V1144">IF(A1144&lt;&gt;"",SUM(--(B1144:U1145 = "X")*$U$3,--(B1144:U1145 ="A")*$Q$3,--(B1144:U1145 ="B")*$R$3,--(B1144:U1145 ="C")*$S$3),"")</f>
        <v/>
      </c>
      <c r="AG1144" s="142" t="s">
        <v>2398</v>
      </c>
      <c r="AH1144" s="142" t="s">
        <v>2398</v>
      </c>
      <c r="AI1144" s="142" t="s">
        <v>2705</v>
      </c>
      <c r="AJ1144" s="142" t="s">
        <v>2705</v>
      </c>
      <c r="AK1144" s="142" t="s">
        <v>2705</v>
      </c>
      <c r="AL1144" s="142" t="s">
        <v>2705</v>
      </c>
      <c r="AM1144" s="142" t="s">
        <v>2705</v>
      </c>
      <c r="AN1144" s="142" t="s">
        <v>2705</v>
      </c>
      <c r="AO1144" s="142" t="s">
        <v>2398</v>
      </c>
      <c r="AP1144" s="142" t="s">
        <v>2398</v>
      </c>
      <c r="AQ1144" s="142" t="s">
        <v>2705</v>
      </c>
      <c r="AR1144" s="142" t="s">
        <v>2675</v>
      </c>
      <c r="AS1144" s="142" t="s">
        <v>2705</v>
      </c>
      <c r="AT1144" s="142" t="s">
        <v>2705</v>
      </c>
      <c r="AU1144" s="142" t="s">
        <v>2398</v>
      </c>
      <c r="AV1144" s="142" t="s">
        <v>2398</v>
      </c>
      <c r="AW1144" s="142" t="s">
        <v>2705</v>
      </c>
      <c r="AX1144" s="142" t="s">
        <v>2705</v>
      </c>
      <c r="AY1144" s="142" t="s">
        <v>2705</v>
      </c>
      <c r="AZ1144" s="142" t="s">
        <v>2675</v>
      </c>
    </row>
    <row r="1145" spans="1:52" s="142" customFormat="1" ht="12.75" x14ac:dyDescent="0.2">
      <c r="A1145" s="151" t="s">
        <v>7889</v>
      </c>
      <c r="B1145" s="152" t="s">
        <v>2398</v>
      </c>
      <c r="C1145" s="152" t="s">
        <v>2705</v>
      </c>
      <c r="D1145" s="152" t="s">
        <v>2397</v>
      </c>
      <c r="E1145" s="152" t="s">
        <v>2705</v>
      </c>
      <c r="F1145" s="152" t="s">
        <v>2705</v>
      </c>
      <c r="G1145" s="152" t="s">
        <v>2705</v>
      </c>
      <c r="H1145" s="152" t="s">
        <v>2705</v>
      </c>
      <c r="I1145" s="152" t="s">
        <v>2398</v>
      </c>
      <c r="J1145" s="152" t="s">
        <v>2705</v>
      </c>
      <c r="K1145" s="152" t="s">
        <v>2705</v>
      </c>
      <c r="L1145" s="152" t="s">
        <v>2398</v>
      </c>
      <c r="M1145" s="152" t="s">
        <v>2705</v>
      </c>
      <c r="N1145" s="152" t="s">
        <v>2705</v>
      </c>
      <c r="O1145" s="152" t="s">
        <v>2705</v>
      </c>
      <c r="P1145" s="152" t="s">
        <v>2705</v>
      </c>
      <c r="Q1145" s="152" t="s">
        <v>2705</v>
      </c>
      <c r="R1145" s="152" t="s">
        <v>1435</v>
      </c>
      <c r="S1145" s="152" t="s">
        <v>2705</v>
      </c>
      <c r="T1145" s="152" t="s">
        <v>1435</v>
      </c>
      <c r="U1145" s="152" t="s">
        <v>2705</v>
      </c>
      <c r="V1145" s="142" cm="1">
        <f t="array" ref="V1145">IF(A1145&lt;&gt;"",SUM(--(B1145:U1146 = "X")*$U$3,--(B1145:U1146 ="A")*$Q$3,--(B1145:U1146 ="B")*$R$3,--(B1145:U1146 ="C")*$S$3),"")</f>
        <v>25.5</v>
      </c>
      <c r="AF1145" s="142" t="s">
        <v>7889</v>
      </c>
      <c r="AG1145" s="142" t="s">
        <v>2398</v>
      </c>
      <c r="AH1145" s="142" t="s">
        <v>2705</v>
      </c>
      <c r="AI1145" s="142" t="s">
        <v>2397</v>
      </c>
      <c r="AJ1145" s="142" t="s">
        <v>2705</v>
      </c>
      <c r="AK1145" s="142" t="s">
        <v>2705</v>
      </c>
      <c r="AL1145" s="142" t="s">
        <v>2705</v>
      </c>
      <c r="AM1145" s="142" t="s">
        <v>2705</v>
      </c>
      <c r="AN1145" s="142" t="s">
        <v>2398</v>
      </c>
      <c r="AO1145" s="142" t="s">
        <v>2705</v>
      </c>
      <c r="AP1145" s="142" t="s">
        <v>2705</v>
      </c>
      <c r="AQ1145" s="142" t="s">
        <v>2398</v>
      </c>
      <c r="AR1145" s="142" t="s">
        <v>2705</v>
      </c>
      <c r="AS1145" s="142" t="s">
        <v>2705</v>
      </c>
      <c r="AT1145" s="142" t="s">
        <v>2705</v>
      </c>
      <c r="AU1145" s="142" t="s">
        <v>2705</v>
      </c>
      <c r="AV1145" s="142" t="s">
        <v>2705</v>
      </c>
      <c r="AW1145" s="142" t="s">
        <v>1435</v>
      </c>
      <c r="AX1145" s="142" t="s">
        <v>2705</v>
      </c>
      <c r="AY1145" s="142" t="s">
        <v>1435</v>
      </c>
      <c r="AZ1145" s="142" t="s">
        <v>2705</v>
      </c>
    </row>
    <row r="1146" spans="1:52" s="142" customFormat="1" ht="12.75" x14ac:dyDescent="0.2">
      <c r="A1146" s="151"/>
      <c r="B1146" s="152" t="s">
        <v>2705</v>
      </c>
      <c r="C1146" s="152" t="s">
        <v>2705</v>
      </c>
      <c r="D1146" s="152" t="s">
        <v>2398</v>
      </c>
      <c r="E1146" s="152" t="s">
        <v>2705</v>
      </c>
      <c r="F1146" s="152" t="s">
        <v>2705</v>
      </c>
      <c r="G1146" s="152" t="s">
        <v>1435</v>
      </c>
      <c r="H1146" s="152" t="s">
        <v>2398</v>
      </c>
      <c r="I1146" s="152" t="s">
        <v>2398</v>
      </c>
      <c r="J1146" s="152" t="s">
        <v>2705</v>
      </c>
      <c r="K1146" s="152" t="s">
        <v>2705</v>
      </c>
      <c r="L1146" s="152" t="s">
        <v>2705</v>
      </c>
      <c r="M1146" s="152" t="s">
        <v>2705</v>
      </c>
      <c r="N1146" s="152" t="s">
        <v>2705</v>
      </c>
      <c r="O1146" s="152" t="s">
        <v>2705</v>
      </c>
      <c r="P1146" s="152" t="s">
        <v>2398</v>
      </c>
      <c r="Q1146" s="152" t="s">
        <v>2705</v>
      </c>
      <c r="R1146" s="152" t="s">
        <v>2398</v>
      </c>
      <c r="S1146" s="152" t="s">
        <v>2705</v>
      </c>
      <c r="T1146" s="152" t="s">
        <v>2398</v>
      </c>
      <c r="U1146" s="152" t="s">
        <v>2705</v>
      </c>
      <c r="V1146" s="142" t="str" cm="1">
        <f t="array" ref="V1146">IF(A1146&lt;&gt;"",SUM(--(B1146:U1147 = "X")*$U$3,--(B1146:U1147 ="A")*$Q$3,--(B1146:U1147 ="B")*$R$3,--(B1146:U1147 ="C")*$S$3),"")</f>
        <v/>
      </c>
      <c r="AG1146" s="142" t="s">
        <v>2705</v>
      </c>
      <c r="AH1146" s="142" t="s">
        <v>2705</v>
      </c>
      <c r="AI1146" s="142" t="s">
        <v>2398</v>
      </c>
      <c r="AJ1146" s="142" t="s">
        <v>2705</v>
      </c>
      <c r="AK1146" s="142" t="s">
        <v>2705</v>
      </c>
      <c r="AL1146" s="142" t="s">
        <v>1435</v>
      </c>
      <c r="AM1146" s="142" t="s">
        <v>2398</v>
      </c>
      <c r="AN1146" s="142" t="s">
        <v>2398</v>
      </c>
      <c r="AO1146" s="142" t="s">
        <v>2705</v>
      </c>
      <c r="AP1146" s="142" t="s">
        <v>2705</v>
      </c>
      <c r="AQ1146" s="142" t="s">
        <v>2705</v>
      </c>
      <c r="AR1146" s="142" t="s">
        <v>2705</v>
      </c>
      <c r="AS1146" s="142" t="s">
        <v>2705</v>
      </c>
      <c r="AT1146" s="142" t="s">
        <v>2705</v>
      </c>
      <c r="AU1146" s="142" t="s">
        <v>2398</v>
      </c>
      <c r="AV1146" s="142" t="s">
        <v>2705</v>
      </c>
      <c r="AW1146" s="142" t="s">
        <v>2398</v>
      </c>
      <c r="AX1146" s="142" t="s">
        <v>2705</v>
      </c>
      <c r="AY1146" s="142" t="s">
        <v>2398</v>
      </c>
      <c r="AZ1146" s="142" t="s">
        <v>2705</v>
      </c>
    </row>
    <row r="1147" spans="1:52" s="142" customFormat="1" ht="12.75" x14ac:dyDescent="0.2">
      <c r="A1147" s="151" t="s">
        <v>7890</v>
      </c>
      <c r="B1147" s="152" t="s">
        <v>2398</v>
      </c>
      <c r="C1147" s="152" t="s">
        <v>2398</v>
      </c>
      <c r="D1147" s="152" t="s">
        <v>2675</v>
      </c>
      <c r="E1147" s="152" t="s">
        <v>2705</v>
      </c>
      <c r="F1147" s="152" t="s">
        <v>1435</v>
      </c>
      <c r="G1147" s="152" t="s">
        <v>2398</v>
      </c>
      <c r="H1147" s="152" t="s">
        <v>2705</v>
      </c>
      <c r="I1147" s="152" t="s">
        <v>2705</v>
      </c>
      <c r="J1147" s="152" t="s">
        <v>2705</v>
      </c>
      <c r="K1147" s="152" t="s">
        <v>2705</v>
      </c>
      <c r="L1147" s="152" t="s">
        <v>2705</v>
      </c>
      <c r="M1147" s="152" t="s">
        <v>2398</v>
      </c>
      <c r="N1147" s="152" t="s">
        <v>2705</v>
      </c>
      <c r="O1147" s="152" t="s">
        <v>1435</v>
      </c>
      <c r="P1147" s="152" t="s">
        <v>2675</v>
      </c>
      <c r="Q1147" s="152" t="s">
        <v>2705</v>
      </c>
      <c r="R1147" s="152" t="s">
        <v>2398</v>
      </c>
      <c r="S1147" s="152" t="s">
        <v>2398</v>
      </c>
      <c r="T1147" s="152" t="s">
        <v>2675</v>
      </c>
      <c r="U1147" s="152" t="s">
        <v>2398</v>
      </c>
      <c r="V1147" s="142" cm="1">
        <f t="array" ref="V1147">IF(A1147&lt;&gt;"",SUM(--(B1147:U1148 = "X")*$U$3,--(B1147:U1148 ="A")*$Q$3,--(B1147:U1148 ="B")*$R$3,--(B1147:U1148 ="C")*$S$3),"")</f>
        <v>12.5</v>
      </c>
      <c r="AF1147" s="142" t="s">
        <v>7890</v>
      </c>
      <c r="AG1147" s="142" t="s">
        <v>2398</v>
      </c>
      <c r="AH1147" s="142" t="s">
        <v>2398</v>
      </c>
      <c r="AI1147" s="142" t="s">
        <v>2675</v>
      </c>
      <c r="AJ1147" s="142" t="s">
        <v>2705</v>
      </c>
      <c r="AK1147" s="142" t="s">
        <v>1435</v>
      </c>
      <c r="AL1147" s="142" t="s">
        <v>2398</v>
      </c>
      <c r="AM1147" s="142" t="s">
        <v>2705</v>
      </c>
      <c r="AN1147" s="142" t="s">
        <v>2705</v>
      </c>
      <c r="AO1147" s="142" t="s">
        <v>2705</v>
      </c>
      <c r="AP1147" s="142" t="s">
        <v>2705</v>
      </c>
      <c r="AQ1147" s="142" t="s">
        <v>2705</v>
      </c>
      <c r="AR1147" s="142" t="s">
        <v>2398</v>
      </c>
      <c r="AS1147" s="142" t="s">
        <v>2705</v>
      </c>
      <c r="AT1147" s="142" t="s">
        <v>1435</v>
      </c>
      <c r="AU1147" s="142" t="s">
        <v>2675</v>
      </c>
      <c r="AV1147" s="142" t="s">
        <v>2705</v>
      </c>
      <c r="AW1147" s="142" t="s">
        <v>2398</v>
      </c>
      <c r="AX1147" s="142" t="s">
        <v>2398</v>
      </c>
      <c r="AY1147" s="142" t="s">
        <v>2675</v>
      </c>
      <c r="AZ1147" s="142" t="s">
        <v>2398</v>
      </c>
    </row>
    <row r="1148" spans="1:52" s="142" customFormat="1" ht="12.75" x14ac:dyDescent="0.2">
      <c r="A1148" s="151"/>
      <c r="B1148" s="152" t="s">
        <v>2705</v>
      </c>
      <c r="C1148" s="152" t="s">
        <v>2675</v>
      </c>
      <c r="D1148" s="152" t="s">
        <v>2705</v>
      </c>
      <c r="E1148" s="152" t="s">
        <v>2398</v>
      </c>
      <c r="F1148" s="152" t="s">
        <v>2705</v>
      </c>
      <c r="G1148" s="152" t="s">
        <v>2398</v>
      </c>
      <c r="H1148" s="152" t="s">
        <v>2397</v>
      </c>
      <c r="I1148" s="152" t="s">
        <v>2705</v>
      </c>
      <c r="J1148" s="152" t="s">
        <v>2705</v>
      </c>
      <c r="K1148" s="152" t="s">
        <v>2705</v>
      </c>
      <c r="L1148" s="152" t="s">
        <v>1435</v>
      </c>
      <c r="M1148" s="152" t="s">
        <v>1435</v>
      </c>
      <c r="N1148" s="152" t="s">
        <v>2398</v>
      </c>
      <c r="O1148" s="152" t="s">
        <v>2397</v>
      </c>
      <c r="P1148" s="152" t="s">
        <v>2705</v>
      </c>
      <c r="Q1148" s="152" t="s">
        <v>2705</v>
      </c>
      <c r="R1148" s="152" t="s">
        <v>2397</v>
      </c>
      <c r="S1148" s="152" t="s">
        <v>2675</v>
      </c>
      <c r="T1148" s="152" t="s">
        <v>2398</v>
      </c>
      <c r="U1148" s="152" t="s">
        <v>2705</v>
      </c>
      <c r="V1148" s="142" t="str" cm="1">
        <f t="array" ref="V1148">IF(A1148&lt;&gt;"",SUM(--(B1148:U1149 = "X")*$U$3,--(B1148:U1149 ="A")*$Q$3,--(B1148:U1149 ="B")*$R$3,--(B1148:U1149 ="C")*$S$3),"")</f>
        <v/>
      </c>
      <c r="AG1148" s="142" t="s">
        <v>2705</v>
      </c>
      <c r="AH1148" s="142" t="s">
        <v>2675</v>
      </c>
      <c r="AI1148" s="142" t="s">
        <v>2705</v>
      </c>
      <c r="AJ1148" s="142" t="s">
        <v>2398</v>
      </c>
      <c r="AK1148" s="142" t="s">
        <v>2705</v>
      </c>
      <c r="AL1148" s="142" t="s">
        <v>2398</v>
      </c>
      <c r="AM1148" s="142" t="s">
        <v>2397</v>
      </c>
      <c r="AN1148" s="142" t="s">
        <v>2705</v>
      </c>
      <c r="AO1148" s="142" t="s">
        <v>2705</v>
      </c>
      <c r="AP1148" s="142" t="s">
        <v>2705</v>
      </c>
      <c r="AQ1148" s="142" t="s">
        <v>1435</v>
      </c>
      <c r="AR1148" s="142" t="s">
        <v>1435</v>
      </c>
      <c r="AS1148" s="142" t="s">
        <v>2398</v>
      </c>
      <c r="AT1148" s="142" t="s">
        <v>2397</v>
      </c>
      <c r="AU1148" s="142" t="s">
        <v>2705</v>
      </c>
      <c r="AV1148" s="142" t="s">
        <v>2705</v>
      </c>
      <c r="AW1148" s="142" t="s">
        <v>2397</v>
      </c>
      <c r="AX1148" s="142" t="s">
        <v>2675</v>
      </c>
      <c r="AY1148" s="142" t="s">
        <v>2398</v>
      </c>
      <c r="AZ1148" s="142" t="s">
        <v>2705</v>
      </c>
    </row>
    <row r="1149" spans="1:52" s="142" customFormat="1" ht="12.75" x14ac:dyDescent="0.2">
      <c r="A1149" s="151" t="s">
        <v>7891</v>
      </c>
      <c r="B1149" s="152" t="s">
        <v>2705</v>
      </c>
      <c r="C1149" s="152" t="s">
        <v>2705</v>
      </c>
      <c r="D1149" s="152" t="s">
        <v>2705</v>
      </c>
      <c r="E1149" s="152" t="s">
        <v>2397</v>
      </c>
      <c r="F1149" s="152" t="s">
        <v>2705</v>
      </c>
      <c r="G1149" s="152" t="s">
        <v>2705</v>
      </c>
      <c r="H1149" s="152" t="s">
        <v>2398</v>
      </c>
      <c r="I1149" s="152" t="s">
        <v>2705</v>
      </c>
      <c r="J1149" s="152" t="s">
        <v>2398</v>
      </c>
      <c r="K1149" s="152" t="s">
        <v>2705</v>
      </c>
      <c r="L1149" s="152" t="s">
        <v>2705</v>
      </c>
      <c r="M1149" s="152" t="s">
        <v>2705</v>
      </c>
      <c r="N1149" s="152" t="s">
        <v>2705</v>
      </c>
      <c r="O1149" s="152" t="s">
        <v>2398</v>
      </c>
      <c r="P1149" s="152" t="s">
        <v>2675</v>
      </c>
      <c r="Q1149" s="152" t="s">
        <v>2398</v>
      </c>
      <c r="R1149" s="152" t="s">
        <v>2398</v>
      </c>
      <c r="S1149" s="152" t="s">
        <v>2398</v>
      </c>
      <c r="T1149" s="152" t="s">
        <v>2705</v>
      </c>
      <c r="U1149" s="152" t="s">
        <v>2705</v>
      </c>
      <c r="V1149" s="142" cm="1">
        <f t="array" ref="V1149">IF(A1149&lt;&gt;"",SUM(--(B1149:U1150 = "X")*$U$3,--(B1149:U1150 ="A")*$Q$3,--(B1149:U1150 ="B")*$R$3,--(B1149:U1150 ="C")*$S$3),"")</f>
        <v>26.5</v>
      </c>
      <c r="AF1149" s="142" t="s">
        <v>7891</v>
      </c>
      <c r="AG1149" s="142" t="s">
        <v>2705</v>
      </c>
      <c r="AH1149" s="142" t="s">
        <v>2705</v>
      </c>
      <c r="AI1149" s="142" t="s">
        <v>2705</v>
      </c>
      <c r="AJ1149" s="142" t="s">
        <v>2397</v>
      </c>
      <c r="AK1149" s="142" t="s">
        <v>2705</v>
      </c>
      <c r="AL1149" s="142" t="s">
        <v>2705</v>
      </c>
      <c r="AM1149" s="142" t="s">
        <v>2398</v>
      </c>
      <c r="AN1149" s="142" t="s">
        <v>2705</v>
      </c>
      <c r="AO1149" s="142" t="s">
        <v>2398</v>
      </c>
      <c r="AP1149" s="142" t="s">
        <v>2705</v>
      </c>
      <c r="AQ1149" s="142" t="s">
        <v>2705</v>
      </c>
      <c r="AR1149" s="142" t="s">
        <v>2705</v>
      </c>
      <c r="AS1149" s="142" t="s">
        <v>2705</v>
      </c>
      <c r="AT1149" s="142" t="s">
        <v>2398</v>
      </c>
      <c r="AU1149" s="142" t="s">
        <v>2675</v>
      </c>
      <c r="AV1149" s="142" t="s">
        <v>2398</v>
      </c>
      <c r="AW1149" s="142" t="s">
        <v>2398</v>
      </c>
      <c r="AX1149" s="142" t="s">
        <v>2398</v>
      </c>
      <c r="AY1149" s="142" t="s">
        <v>2705</v>
      </c>
      <c r="AZ1149" s="142" t="s">
        <v>2705</v>
      </c>
    </row>
    <row r="1150" spans="1:52" s="142" customFormat="1" ht="12.75" x14ac:dyDescent="0.2">
      <c r="A1150" s="151"/>
      <c r="B1150" s="152" t="s">
        <v>2705</v>
      </c>
      <c r="C1150" s="152" t="s">
        <v>2705</v>
      </c>
      <c r="D1150" s="152" t="s">
        <v>2705</v>
      </c>
      <c r="E1150" s="152" t="s">
        <v>2705</v>
      </c>
      <c r="F1150" s="152" t="s">
        <v>2705</v>
      </c>
      <c r="G1150" s="152" t="s">
        <v>2398</v>
      </c>
      <c r="H1150" s="152" t="s">
        <v>2705</v>
      </c>
      <c r="I1150" s="152" t="s">
        <v>2705</v>
      </c>
      <c r="J1150" s="152" t="s">
        <v>2705</v>
      </c>
      <c r="K1150" s="152" t="s">
        <v>2705</v>
      </c>
      <c r="L1150" s="152" t="s">
        <v>2398</v>
      </c>
      <c r="M1150" s="152" t="s">
        <v>2705</v>
      </c>
      <c r="N1150" s="152" t="s">
        <v>2398</v>
      </c>
      <c r="O1150" s="152" t="s">
        <v>2705</v>
      </c>
      <c r="P1150" s="152" t="s">
        <v>2705</v>
      </c>
      <c r="Q1150" s="152" t="s">
        <v>2705</v>
      </c>
      <c r="R1150" s="152" t="s">
        <v>2398</v>
      </c>
      <c r="S1150" s="152" t="s">
        <v>2398</v>
      </c>
      <c r="T1150" s="152" t="s">
        <v>2705</v>
      </c>
      <c r="U1150" s="152" t="s">
        <v>2705</v>
      </c>
      <c r="V1150" s="142" t="str" cm="1">
        <f t="array" ref="V1150">IF(A1150&lt;&gt;"",SUM(--(B1150:U1151 = "X")*$U$3,--(B1150:U1151 ="A")*$Q$3,--(B1150:U1151 ="B")*$R$3,--(B1150:U1151 ="C")*$S$3),"")</f>
        <v/>
      </c>
      <c r="AG1150" s="142" t="s">
        <v>2705</v>
      </c>
      <c r="AH1150" s="142" t="s">
        <v>2705</v>
      </c>
      <c r="AI1150" s="142" t="s">
        <v>2705</v>
      </c>
      <c r="AJ1150" s="142" t="s">
        <v>2705</v>
      </c>
      <c r="AK1150" s="142" t="s">
        <v>2705</v>
      </c>
      <c r="AL1150" s="142" t="s">
        <v>2398</v>
      </c>
      <c r="AM1150" s="142" t="s">
        <v>2705</v>
      </c>
      <c r="AN1150" s="142" t="s">
        <v>2705</v>
      </c>
      <c r="AO1150" s="142" t="s">
        <v>2705</v>
      </c>
      <c r="AP1150" s="142" t="s">
        <v>2705</v>
      </c>
      <c r="AQ1150" s="142" t="s">
        <v>2398</v>
      </c>
      <c r="AR1150" s="142" t="s">
        <v>2705</v>
      </c>
      <c r="AS1150" s="142" t="s">
        <v>2398</v>
      </c>
      <c r="AT1150" s="142" t="s">
        <v>2705</v>
      </c>
      <c r="AU1150" s="142" t="s">
        <v>2705</v>
      </c>
      <c r="AV1150" s="142" t="s">
        <v>2705</v>
      </c>
      <c r="AW1150" s="142" t="s">
        <v>2398</v>
      </c>
      <c r="AX1150" s="142" t="s">
        <v>2398</v>
      </c>
      <c r="AY1150" s="142" t="s">
        <v>2705</v>
      </c>
      <c r="AZ1150" s="142" t="s">
        <v>2705</v>
      </c>
    </row>
    <row r="1151" spans="1:52" s="142" customFormat="1" ht="12.75" x14ac:dyDescent="0.2">
      <c r="A1151" s="151" t="s">
        <v>7892</v>
      </c>
      <c r="B1151" s="152" t="s">
        <v>2398</v>
      </c>
      <c r="C1151" s="152" t="s">
        <v>2398</v>
      </c>
      <c r="D1151" s="152" t="s">
        <v>1435</v>
      </c>
      <c r="E1151" s="152" t="s">
        <v>2705</v>
      </c>
      <c r="F1151" s="152" t="s">
        <v>2675</v>
      </c>
      <c r="G1151" s="152" t="s">
        <v>2705</v>
      </c>
      <c r="H1151" s="152" t="s">
        <v>2705</v>
      </c>
      <c r="I1151" s="152" t="s">
        <v>2398</v>
      </c>
      <c r="J1151" s="152" t="s">
        <v>2675</v>
      </c>
      <c r="K1151" s="152" t="s">
        <v>2705</v>
      </c>
      <c r="L1151" s="152" t="s">
        <v>2397</v>
      </c>
      <c r="M1151" s="152" t="s">
        <v>2398</v>
      </c>
      <c r="N1151" s="152" t="s">
        <v>2705</v>
      </c>
      <c r="O1151" s="152" t="s">
        <v>2675</v>
      </c>
      <c r="P1151" s="152" t="s">
        <v>2705</v>
      </c>
      <c r="Q1151" s="152" t="s">
        <v>2705</v>
      </c>
      <c r="R1151" s="152" t="s">
        <v>1435</v>
      </c>
      <c r="S1151" s="152" t="s">
        <v>2705</v>
      </c>
      <c r="T1151" s="152" t="s">
        <v>2705</v>
      </c>
      <c r="U1151" s="152" t="s">
        <v>2705</v>
      </c>
      <c r="V1151" s="142" cm="1">
        <f t="array" ref="V1151">IF(A1151&lt;&gt;"",SUM(--(B1151:U1152 = "X")*$U$3,--(B1151:U1152 ="A")*$Q$3,--(B1151:U1152 ="B")*$R$3,--(B1151:U1152 ="C")*$S$3),"")</f>
        <v>16</v>
      </c>
      <c r="AF1151" s="142" t="s">
        <v>7892</v>
      </c>
      <c r="AG1151" s="142" t="s">
        <v>2398</v>
      </c>
      <c r="AH1151" s="142" t="s">
        <v>2398</v>
      </c>
      <c r="AI1151" s="142" t="s">
        <v>1435</v>
      </c>
      <c r="AJ1151" s="142" t="s">
        <v>2705</v>
      </c>
      <c r="AK1151" s="142" t="s">
        <v>2675</v>
      </c>
      <c r="AL1151" s="142" t="s">
        <v>2705</v>
      </c>
      <c r="AM1151" s="142" t="s">
        <v>2705</v>
      </c>
      <c r="AN1151" s="142" t="s">
        <v>2398</v>
      </c>
      <c r="AO1151" s="142" t="s">
        <v>2675</v>
      </c>
      <c r="AP1151" s="142" t="s">
        <v>2705</v>
      </c>
      <c r="AQ1151" s="142" t="s">
        <v>2397</v>
      </c>
      <c r="AR1151" s="142" t="s">
        <v>2398</v>
      </c>
      <c r="AS1151" s="142" t="s">
        <v>2705</v>
      </c>
      <c r="AT1151" s="142" t="s">
        <v>2675</v>
      </c>
      <c r="AU1151" s="142" t="s">
        <v>2705</v>
      </c>
      <c r="AV1151" s="142" t="s">
        <v>2705</v>
      </c>
      <c r="AW1151" s="142" t="s">
        <v>1435</v>
      </c>
      <c r="AX1151" s="142" t="s">
        <v>2705</v>
      </c>
      <c r="AY1151" s="142" t="s">
        <v>2705</v>
      </c>
      <c r="AZ1151" s="142" t="s">
        <v>2705</v>
      </c>
    </row>
    <row r="1152" spans="1:52" s="142" customFormat="1" ht="12.75" x14ac:dyDescent="0.2">
      <c r="A1152" s="151"/>
      <c r="B1152" s="152" t="s">
        <v>2675</v>
      </c>
      <c r="C1152" s="152" t="s">
        <v>2398</v>
      </c>
      <c r="D1152" s="152" t="s">
        <v>2705</v>
      </c>
      <c r="E1152" s="152" t="s">
        <v>2398</v>
      </c>
      <c r="F1152" s="152" t="s">
        <v>2705</v>
      </c>
      <c r="G1152" s="152" t="s">
        <v>2705</v>
      </c>
      <c r="H1152" s="152" t="s">
        <v>2397</v>
      </c>
      <c r="I1152" s="152" t="s">
        <v>1435</v>
      </c>
      <c r="J1152" s="152" t="s">
        <v>1435</v>
      </c>
      <c r="K1152" s="152" t="s">
        <v>2398</v>
      </c>
      <c r="L1152" s="152" t="s">
        <v>2705</v>
      </c>
      <c r="M1152" s="152" t="s">
        <v>2398</v>
      </c>
      <c r="N1152" s="152" t="s">
        <v>2705</v>
      </c>
      <c r="O1152" s="152" t="s">
        <v>2705</v>
      </c>
      <c r="P1152" s="152" t="s">
        <v>2705</v>
      </c>
      <c r="Q1152" s="152" t="s">
        <v>2705</v>
      </c>
      <c r="R1152" s="152" t="s">
        <v>2705</v>
      </c>
      <c r="S1152" s="152" t="s">
        <v>2705</v>
      </c>
      <c r="T1152" s="152" t="s">
        <v>2398</v>
      </c>
      <c r="U1152" s="152" t="s">
        <v>2398</v>
      </c>
      <c r="V1152" s="142" t="str" cm="1">
        <f t="array" ref="V1152">IF(A1152&lt;&gt;"",SUM(--(B1152:U1153 = "X")*$U$3,--(B1152:U1153 ="A")*$Q$3,--(B1152:U1153 ="B")*$R$3,--(B1152:U1153 ="C")*$S$3),"")</f>
        <v/>
      </c>
      <c r="AG1152" s="142" t="s">
        <v>2675</v>
      </c>
      <c r="AH1152" s="142" t="s">
        <v>2398</v>
      </c>
      <c r="AI1152" s="142" t="s">
        <v>2705</v>
      </c>
      <c r="AJ1152" s="142" t="s">
        <v>2398</v>
      </c>
      <c r="AK1152" s="142" t="s">
        <v>2705</v>
      </c>
      <c r="AL1152" s="142" t="s">
        <v>2705</v>
      </c>
      <c r="AM1152" s="142" t="s">
        <v>2397</v>
      </c>
      <c r="AN1152" s="142" t="s">
        <v>1435</v>
      </c>
      <c r="AO1152" s="142" t="s">
        <v>1435</v>
      </c>
      <c r="AP1152" s="142" t="s">
        <v>2398</v>
      </c>
      <c r="AQ1152" s="142" t="s">
        <v>2705</v>
      </c>
      <c r="AR1152" s="142" t="s">
        <v>2398</v>
      </c>
      <c r="AS1152" s="142" t="s">
        <v>2705</v>
      </c>
      <c r="AT1152" s="142" t="s">
        <v>2705</v>
      </c>
      <c r="AU1152" s="142" t="s">
        <v>2705</v>
      </c>
      <c r="AV1152" s="142" t="s">
        <v>2705</v>
      </c>
      <c r="AW1152" s="142" t="s">
        <v>2705</v>
      </c>
      <c r="AX1152" s="142" t="s">
        <v>2705</v>
      </c>
      <c r="AY1152" s="142" t="s">
        <v>2398</v>
      </c>
      <c r="AZ1152" s="142" t="s">
        <v>2398</v>
      </c>
    </row>
    <row r="1153" spans="1:52" s="142" customFormat="1" ht="12.75" x14ac:dyDescent="0.2">
      <c r="A1153" s="151" t="s">
        <v>7893</v>
      </c>
      <c r="B1153" s="152" t="s">
        <v>2397</v>
      </c>
      <c r="C1153" s="152" t="s">
        <v>2398</v>
      </c>
      <c r="D1153" s="152" t="s">
        <v>2675</v>
      </c>
      <c r="E1153" s="152" t="s">
        <v>2397</v>
      </c>
      <c r="F1153" s="152" t="s">
        <v>2705</v>
      </c>
      <c r="G1153" s="152" t="s">
        <v>2398</v>
      </c>
      <c r="H1153" s="152" t="s">
        <v>2705</v>
      </c>
      <c r="I1153" s="152" t="s">
        <v>2397</v>
      </c>
      <c r="J1153" s="152" t="s">
        <v>2675</v>
      </c>
      <c r="K1153" s="152" t="s">
        <v>2398</v>
      </c>
      <c r="L1153" s="152" t="s">
        <v>2675</v>
      </c>
      <c r="M1153" s="152" t="s">
        <v>2675</v>
      </c>
      <c r="N1153" s="152" t="s">
        <v>2705</v>
      </c>
      <c r="O1153" s="152" t="s">
        <v>1435</v>
      </c>
      <c r="P1153" s="152" t="s">
        <v>2705</v>
      </c>
      <c r="Q1153" s="152" t="s">
        <v>2705</v>
      </c>
      <c r="R1153" s="152" t="s">
        <v>2398</v>
      </c>
      <c r="S1153" s="152" t="s">
        <v>2705</v>
      </c>
      <c r="T1153" s="152" t="s">
        <v>2675</v>
      </c>
      <c r="U1153" s="152" t="s">
        <v>2705</v>
      </c>
      <c r="V1153" s="142" cm="1">
        <f t="array" ref="V1153">IF(A1153&lt;&gt;"",SUM(--(B1153:U1154 = "X")*$U$3,--(B1153:U1154 ="A")*$Q$3,--(B1153:U1154 ="B")*$R$3,--(B1153:U1154 ="C")*$S$3),"")</f>
        <v>10</v>
      </c>
      <c r="AF1153" s="142" t="s">
        <v>7893</v>
      </c>
      <c r="AG1153" s="142" t="s">
        <v>2397</v>
      </c>
      <c r="AH1153" s="142" t="s">
        <v>2398</v>
      </c>
      <c r="AI1153" s="142" t="s">
        <v>2675</v>
      </c>
      <c r="AJ1153" s="142" t="s">
        <v>2397</v>
      </c>
      <c r="AK1153" s="142" t="s">
        <v>2705</v>
      </c>
      <c r="AL1153" s="142" t="s">
        <v>2398</v>
      </c>
      <c r="AM1153" s="142" t="s">
        <v>2705</v>
      </c>
      <c r="AN1153" s="142" t="s">
        <v>2397</v>
      </c>
      <c r="AO1153" s="142" t="s">
        <v>2675</v>
      </c>
      <c r="AP1153" s="142" t="s">
        <v>2398</v>
      </c>
      <c r="AQ1153" s="142" t="s">
        <v>2675</v>
      </c>
      <c r="AR1153" s="142" t="s">
        <v>2675</v>
      </c>
      <c r="AS1153" s="142" t="s">
        <v>2705</v>
      </c>
      <c r="AT1153" s="142" t="s">
        <v>1435</v>
      </c>
      <c r="AU1153" s="142" t="s">
        <v>2705</v>
      </c>
      <c r="AV1153" s="142" t="s">
        <v>2705</v>
      </c>
      <c r="AW1153" s="142" t="s">
        <v>2398</v>
      </c>
      <c r="AX1153" s="142" t="s">
        <v>2705</v>
      </c>
      <c r="AY1153" s="142" t="s">
        <v>2675</v>
      </c>
      <c r="AZ1153" s="142" t="s">
        <v>2705</v>
      </c>
    </row>
    <row r="1154" spans="1:52" s="142" customFormat="1" ht="12.75" x14ac:dyDescent="0.2">
      <c r="A1154" s="151"/>
      <c r="B1154" s="152" t="s">
        <v>1435</v>
      </c>
      <c r="C1154" s="152" t="s">
        <v>2398</v>
      </c>
      <c r="D1154" s="152" t="s">
        <v>1435</v>
      </c>
      <c r="E1154" s="152" t="s">
        <v>2705</v>
      </c>
      <c r="F1154" s="152" t="s">
        <v>2705</v>
      </c>
      <c r="G1154" s="152" t="s">
        <v>2705</v>
      </c>
      <c r="H1154" s="152" t="s">
        <v>2705</v>
      </c>
      <c r="I1154" s="152" t="s">
        <v>2675</v>
      </c>
      <c r="J1154" s="152" t="s">
        <v>2398</v>
      </c>
      <c r="K1154" s="152" t="s">
        <v>2705</v>
      </c>
      <c r="L1154" s="152" t="s">
        <v>2397</v>
      </c>
      <c r="M1154" s="152" t="s">
        <v>2705</v>
      </c>
      <c r="N1154" s="152" t="s">
        <v>2675</v>
      </c>
      <c r="O1154" s="152" t="s">
        <v>2705</v>
      </c>
      <c r="P1154" s="152" t="s">
        <v>1435</v>
      </c>
      <c r="Q1154" s="152" t="s">
        <v>2398</v>
      </c>
      <c r="R1154" s="152" t="s">
        <v>1435</v>
      </c>
      <c r="S1154" s="152" t="s">
        <v>2705</v>
      </c>
      <c r="T1154" s="152" t="s">
        <v>2705</v>
      </c>
      <c r="U1154" s="152" t="s">
        <v>2397</v>
      </c>
      <c r="V1154" s="142" t="str" cm="1">
        <f t="array" ref="V1154">IF(A1154&lt;&gt;"",SUM(--(B1154:U1155 = "X")*$U$3,--(B1154:U1155 ="A")*$Q$3,--(B1154:U1155 ="B")*$R$3,--(B1154:U1155 ="C")*$S$3),"")</f>
        <v/>
      </c>
      <c r="AG1154" s="142" t="s">
        <v>1435</v>
      </c>
      <c r="AH1154" s="142" t="s">
        <v>2398</v>
      </c>
      <c r="AI1154" s="142" t="s">
        <v>1435</v>
      </c>
      <c r="AJ1154" s="142" t="s">
        <v>2705</v>
      </c>
      <c r="AK1154" s="142" t="s">
        <v>2705</v>
      </c>
      <c r="AL1154" s="142" t="s">
        <v>2705</v>
      </c>
      <c r="AM1154" s="142" t="s">
        <v>2705</v>
      </c>
      <c r="AN1154" s="142" t="s">
        <v>2675</v>
      </c>
      <c r="AO1154" s="142" t="s">
        <v>2398</v>
      </c>
      <c r="AP1154" s="142" t="s">
        <v>2705</v>
      </c>
      <c r="AQ1154" s="142" t="s">
        <v>2397</v>
      </c>
      <c r="AR1154" s="142" t="s">
        <v>2705</v>
      </c>
      <c r="AS1154" s="142" t="s">
        <v>2675</v>
      </c>
      <c r="AT1154" s="142" t="s">
        <v>2705</v>
      </c>
      <c r="AU1154" s="142" t="s">
        <v>1435</v>
      </c>
      <c r="AV1154" s="142" t="s">
        <v>2398</v>
      </c>
      <c r="AW1154" s="142" t="s">
        <v>1435</v>
      </c>
      <c r="AX1154" s="142" t="s">
        <v>2705</v>
      </c>
      <c r="AY1154" s="142" t="s">
        <v>2705</v>
      </c>
      <c r="AZ1154" s="142" t="s">
        <v>2397</v>
      </c>
    </row>
    <row r="1155" spans="1:52" s="142" customFormat="1" ht="12.75" x14ac:dyDescent="0.2">
      <c r="A1155" s="151" t="s">
        <v>7894</v>
      </c>
      <c r="B1155" s="152" t="s">
        <v>2398</v>
      </c>
      <c r="C1155" s="152" t="s">
        <v>2705</v>
      </c>
      <c r="D1155" s="152" t="s">
        <v>2398</v>
      </c>
      <c r="E1155" s="152" t="s">
        <v>2705</v>
      </c>
      <c r="F1155" s="152" t="s">
        <v>2705</v>
      </c>
      <c r="G1155" s="152" t="s">
        <v>2705</v>
      </c>
      <c r="H1155" s="152" t="s">
        <v>2398</v>
      </c>
      <c r="I1155" s="152" t="s">
        <v>2675</v>
      </c>
      <c r="J1155" s="152" t="s">
        <v>2675</v>
      </c>
      <c r="K1155" s="152" t="s">
        <v>2705</v>
      </c>
      <c r="L1155" s="152" t="s">
        <v>1435</v>
      </c>
      <c r="M1155" s="152" t="s">
        <v>2705</v>
      </c>
      <c r="N1155" s="152" t="s">
        <v>2705</v>
      </c>
      <c r="O1155" s="152" t="s">
        <v>2705</v>
      </c>
      <c r="P1155" s="152" t="s">
        <v>2705</v>
      </c>
      <c r="Q1155" s="152" t="s">
        <v>2705</v>
      </c>
      <c r="R1155" s="152" t="s">
        <v>1435</v>
      </c>
      <c r="S1155" s="152" t="s">
        <v>2705</v>
      </c>
      <c r="T1155" s="152" t="s">
        <v>2705</v>
      </c>
      <c r="U1155" s="152" t="s">
        <v>2705</v>
      </c>
      <c r="V1155" s="142" cm="1">
        <f t="array" ref="V1155">IF(A1155&lt;&gt;"",SUM(--(B1155:U1156 = "X")*$U$3,--(B1155:U1156 ="A")*$Q$3,--(B1155:U1156 ="B")*$R$3,--(B1155:U1156 ="C")*$S$3),"")</f>
        <v>25.5</v>
      </c>
      <c r="AF1155" s="142" t="s">
        <v>7894</v>
      </c>
      <c r="AG1155" s="142" t="s">
        <v>2398</v>
      </c>
      <c r="AH1155" s="142" t="s">
        <v>2705</v>
      </c>
      <c r="AI1155" s="142" t="s">
        <v>2398</v>
      </c>
      <c r="AJ1155" s="142" t="s">
        <v>2705</v>
      </c>
      <c r="AK1155" s="142" t="s">
        <v>2705</v>
      </c>
      <c r="AL1155" s="142" t="s">
        <v>2705</v>
      </c>
      <c r="AM1155" s="142" t="s">
        <v>2398</v>
      </c>
      <c r="AN1155" s="142" t="s">
        <v>2675</v>
      </c>
      <c r="AO1155" s="142" t="s">
        <v>2675</v>
      </c>
      <c r="AP1155" s="142" t="s">
        <v>2705</v>
      </c>
      <c r="AQ1155" s="142" t="s">
        <v>1435</v>
      </c>
      <c r="AR1155" s="142" t="s">
        <v>2705</v>
      </c>
      <c r="AS1155" s="142" t="s">
        <v>2705</v>
      </c>
      <c r="AT1155" s="142" t="s">
        <v>2705</v>
      </c>
      <c r="AU1155" s="142" t="s">
        <v>2705</v>
      </c>
      <c r="AV1155" s="142" t="s">
        <v>2705</v>
      </c>
      <c r="AW1155" s="142" t="s">
        <v>1435</v>
      </c>
      <c r="AX1155" s="142" t="s">
        <v>2705</v>
      </c>
      <c r="AY1155" s="142" t="s">
        <v>2705</v>
      </c>
      <c r="AZ1155" s="142" t="s">
        <v>2705</v>
      </c>
    </row>
    <row r="1156" spans="1:52" s="142" customFormat="1" ht="12.75" x14ac:dyDescent="0.2">
      <c r="A1156" s="151"/>
      <c r="B1156" s="152" t="s">
        <v>2705</v>
      </c>
      <c r="C1156" s="152" t="s">
        <v>2398</v>
      </c>
      <c r="D1156" s="152" t="s">
        <v>2705</v>
      </c>
      <c r="E1156" s="152" t="s">
        <v>2705</v>
      </c>
      <c r="F1156" s="152" t="s">
        <v>2705</v>
      </c>
      <c r="G1156" s="152" t="s">
        <v>2705</v>
      </c>
      <c r="H1156" s="152" t="s">
        <v>2397</v>
      </c>
      <c r="I1156" s="152" t="s">
        <v>2705</v>
      </c>
      <c r="J1156" s="152" t="s">
        <v>2398</v>
      </c>
      <c r="K1156" s="152" t="s">
        <v>2705</v>
      </c>
      <c r="L1156" s="152" t="s">
        <v>2705</v>
      </c>
      <c r="M1156" s="152" t="s">
        <v>2705</v>
      </c>
      <c r="N1156" s="152" t="s">
        <v>2705</v>
      </c>
      <c r="O1156" s="152" t="s">
        <v>2398</v>
      </c>
      <c r="P1156" s="152" t="s">
        <v>2675</v>
      </c>
      <c r="Q1156" s="152" t="s">
        <v>2705</v>
      </c>
      <c r="R1156" s="152" t="s">
        <v>2705</v>
      </c>
      <c r="S1156" s="152" t="s">
        <v>2705</v>
      </c>
      <c r="T1156" s="152" t="s">
        <v>2705</v>
      </c>
      <c r="U1156" s="152" t="s">
        <v>2705</v>
      </c>
      <c r="V1156" s="142" t="str" cm="1">
        <f t="array" ref="V1156">IF(A1156&lt;&gt;"",SUM(--(B1156:U1157 = "X")*$U$3,--(B1156:U1157 ="A")*$Q$3,--(B1156:U1157 ="B")*$R$3,--(B1156:U1157 ="C")*$S$3),"")</f>
        <v/>
      </c>
      <c r="AG1156" s="142" t="s">
        <v>2705</v>
      </c>
      <c r="AH1156" s="142" t="s">
        <v>2398</v>
      </c>
      <c r="AI1156" s="142" t="s">
        <v>2705</v>
      </c>
      <c r="AJ1156" s="142" t="s">
        <v>2705</v>
      </c>
      <c r="AK1156" s="142" t="s">
        <v>2705</v>
      </c>
      <c r="AL1156" s="142" t="s">
        <v>2705</v>
      </c>
      <c r="AM1156" s="142" t="s">
        <v>2397</v>
      </c>
      <c r="AN1156" s="142" t="s">
        <v>2705</v>
      </c>
      <c r="AO1156" s="142" t="s">
        <v>2398</v>
      </c>
      <c r="AP1156" s="142" t="s">
        <v>2705</v>
      </c>
      <c r="AQ1156" s="142" t="s">
        <v>2705</v>
      </c>
      <c r="AR1156" s="142" t="s">
        <v>2705</v>
      </c>
      <c r="AS1156" s="142" t="s">
        <v>2705</v>
      </c>
      <c r="AT1156" s="142" t="s">
        <v>2398</v>
      </c>
      <c r="AU1156" s="142" t="s">
        <v>2675</v>
      </c>
      <c r="AV1156" s="142" t="s">
        <v>2705</v>
      </c>
      <c r="AW1156" s="142" t="s">
        <v>2705</v>
      </c>
      <c r="AX1156" s="142" t="s">
        <v>2705</v>
      </c>
      <c r="AY1156" s="142" t="s">
        <v>2705</v>
      </c>
      <c r="AZ1156" s="142" t="s">
        <v>2705</v>
      </c>
    </row>
    <row r="1157" spans="1:52" s="142" customFormat="1" ht="12.75" x14ac:dyDescent="0.2">
      <c r="A1157" s="151" t="s">
        <v>7895</v>
      </c>
      <c r="B1157" s="152" t="s">
        <v>2398</v>
      </c>
      <c r="C1157" s="152" t="s">
        <v>2398</v>
      </c>
      <c r="D1157" s="152" t="s">
        <v>2398</v>
      </c>
      <c r="E1157" s="152" t="s">
        <v>2398</v>
      </c>
      <c r="F1157" s="152" t="s">
        <v>2705</v>
      </c>
      <c r="G1157" s="152" t="s">
        <v>2705</v>
      </c>
      <c r="H1157" s="152" t="s">
        <v>2705</v>
      </c>
      <c r="I1157" s="152" t="s">
        <v>2705</v>
      </c>
      <c r="J1157" s="152" t="s">
        <v>1435</v>
      </c>
      <c r="K1157" s="152" t="s">
        <v>2398</v>
      </c>
      <c r="L1157" s="152" t="s">
        <v>2705</v>
      </c>
      <c r="M1157" s="152" t="s">
        <v>2705</v>
      </c>
      <c r="N1157" s="152" t="s">
        <v>2705</v>
      </c>
      <c r="O1157" s="152" t="s">
        <v>2398</v>
      </c>
      <c r="P1157" s="152" t="s">
        <v>2705</v>
      </c>
      <c r="Q1157" s="152" t="s">
        <v>2705</v>
      </c>
      <c r="R1157" s="152" t="s">
        <v>2705</v>
      </c>
      <c r="S1157" s="152" t="s">
        <v>2705</v>
      </c>
      <c r="T1157" s="152" t="s">
        <v>2705</v>
      </c>
      <c r="U1157" s="152" t="s">
        <v>2397</v>
      </c>
      <c r="V1157" s="142" cm="1">
        <f t="array" ref="V1157">IF(A1157&lt;&gt;"",SUM(--(B1157:U1158 = "X")*$U$3,--(B1157:U1158 ="A")*$Q$3,--(B1157:U1158 ="B")*$R$3,--(B1157:U1158 ="C")*$S$3),"")</f>
        <v>22</v>
      </c>
      <c r="AF1157" s="142" t="s">
        <v>7895</v>
      </c>
      <c r="AG1157" s="142" t="s">
        <v>2398</v>
      </c>
      <c r="AH1157" s="142" t="s">
        <v>2398</v>
      </c>
      <c r="AI1157" s="142" t="s">
        <v>2398</v>
      </c>
      <c r="AJ1157" s="142" t="s">
        <v>2398</v>
      </c>
      <c r="AK1157" s="142" t="s">
        <v>2705</v>
      </c>
      <c r="AL1157" s="142" t="s">
        <v>2705</v>
      </c>
      <c r="AM1157" s="142" t="s">
        <v>2705</v>
      </c>
      <c r="AN1157" s="142" t="s">
        <v>2705</v>
      </c>
      <c r="AO1157" s="142" t="s">
        <v>1435</v>
      </c>
      <c r="AP1157" s="142" t="s">
        <v>2398</v>
      </c>
      <c r="AQ1157" s="142" t="s">
        <v>2705</v>
      </c>
      <c r="AR1157" s="142" t="s">
        <v>2705</v>
      </c>
      <c r="AS1157" s="142" t="s">
        <v>2705</v>
      </c>
      <c r="AT1157" s="142" t="s">
        <v>2398</v>
      </c>
      <c r="AU1157" s="142" t="s">
        <v>2705</v>
      </c>
      <c r="AV1157" s="142" t="s">
        <v>2705</v>
      </c>
      <c r="AW1157" s="142" t="s">
        <v>2705</v>
      </c>
      <c r="AX1157" s="142" t="s">
        <v>2705</v>
      </c>
      <c r="AY1157" s="142" t="s">
        <v>2705</v>
      </c>
      <c r="AZ1157" s="142" t="s">
        <v>2397</v>
      </c>
    </row>
    <row r="1158" spans="1:52" s="142" customFormat="1" ht="12.75" x14ac:dyDescent="0.2">
      <c r="A1158" s="151"/>
      <c r="B1158" s="152" t="s">
        <v>2705</v>
      </c>
      <c r="C1158" s="152" t="s">
        <v>2705</v>
      </c>
      <c r="D1158" s="152" t="s">
        <v>2398</v>
      </c>
      <c r="E1158" s="152" t="s">
        <v>2398</v>
      </c>
      <c r="F1158" s="152" t="s">
        <v>2705</v>
      </c>
      <c r="G1158" s="152" t="s">
        <v>2705</v>
      </c>
      <c r="H1158" s="152" t="s">
        <v>2398</v>
      </c>
      <c r="I1158" s="152" t="s">
        <v>2398</v>
      </c>
      <c r="J1158" s="152" t="s">
        <v>2705</v>
      </c>
      <c r="K1158" s="152" t="s">
        <v>2705</v>
      </c>
      <c r="L1158" s="152" t="s">
        <v>2705</v>
      </c>
      <c r="M1158" s="152" t="s">
        <v>2398</v>
      </c>
      <c r="N1158" s="152" t="s">
        <v>2705</v>
      </c>
      <c r="O1158" s="152" t="s">
        <v>2705</v>
      </c>
      <c r="P1158" s="152" t="s">
        <v>2675</v>
      </c>
      <c r="Q1158" s="152" t="s">
        <v>2398</v>
      </c>
      <c r="R1158" s="152" t="s">
        <v>2398</v>
      </c>
      <c r="S1158" s="152" t="s">
        <v>2705</v>
      </c>
      <c r="T1158" s="152" t="s">
        <v>2705</v>
      </c>
      <c r="U1158" s="152" t="s">
        <v>2398</v>
      </c>
      <c r="V1158" s="142" t="str" cm="1">
        <f t="array" ref="V1158">IF(A1158&lt;&gt;"",SUM(--(B1158:U1159 = "X")*$U$3,--(B1158:U1159 ="A")*$Q$3,--(B1158:U1159 ="B")*$R$3,--(B1158:U1159 ="C")*$S$3),"")</f>
        <v/>
      </c>
      <c r="AG1158" s="142" t="s">
        <v>2705</v>
      </c>
      <c r="AH1158" s="142" t="s">
        <v>2705</v>
      </c>
      <c r="AI1158" s="142" t="s">
        <v>2398</v>
      </c>
      <c r="AJ1158" s="142" t="s">
        <v>2398</v>
      </c>
      <c r="AK1158" s="142" t="s">
        <v>2705</v>
      </c>
      <c r="AL1158" s="142" t="s">
        <v>2705</v>
      </c>
      <c r="AM1158" s="142" t="s">
        <v>2398</v>
      </c>
      <c r="AN1158" s="142" t="s">
        <v>2398</v>
      </c>
      <c r="AO1158" s="142" t="s">
        <v>2705</v>
      </c>
      <c r="AP1158" s="142" t="s">
        <v>2705</v>
      </c>
      <c r="AQ1158" s="142" t="s">
        <v>2705</v>
      </c>
      <c r="AR1158" s="142" t="s">
        <v>2398</v>
      </c>
      <c r="AS1158" s="142" t="s">
        <v>2705</v>
      </c>
      <c r="AT1158" s="142" t="s">
        <v>2705</v>
      </c>
      <c r="AU1158" s="142" t="s">
        <v>2675</v>
      </c>
      <c r="AV1158" s="142" t="s">
        <v>2398</v>
      </c>
      <c r="AW1158" s="142" t="s">
        <v>2398</v>
      </c>
      <c r="AX1158" s="142" t="s">
        <v>2705</v>
      </c>
      <c r="AY1158" s="142" t="s">
        <v>2705</v>
      </c>
      <c r="AZ1158" s="142" t="s">
        <v>2398</v>
      </c>
    </row>
    <row r="1159" spans="1:52" s="142" customFormat="1" ht="12.75" x14ac:dyDescent="0.2">
      <c r="A1159" s="151" t="s">
        <v>7896</v>
      </c>
      <c r="B1159" s="152" t="s">
        <v>2398</v>
      </c>
      <c r="C1159" s="152" t="s">
        <v>2398</v>
      </c>
      <c r="D1159" s="152" t="s">
        <v>2705</v>
      </c>
      <c r="E1159" s="152" t="s">
        <v>1435</v>
      </c>
      <c r="F1159" s="152" t="s">
        <v>2675</v>
      </c>
      <c r="G1159" s="152" t="s">
        <v>2705</v>
      </c>
      <c r="H1159" s="152" t="s">
        <v>2705</v>
      </c>
      <c r="I1159" s="152" t="s">
        <v>2398</v>
      </c>
      <c r="J1159" s="152" t="s">
        <v>2398</v>
      </c>
      <c r="K1159" s="152" t="s">
        <v>2398</v>
      </c>
      <c r="L1159" s="152" t="s">
        <v>1435</v>
      </c>
      <c r="M1159" s="152" t="s">
        <v>2705</v>
      </c>
      <c r="N1159" s="152" t="s">
        <v>2398</v>
      </c>
      <c r="O1159" s="152" t="s">
        <v>2705</v>
      </c>
      <c r="P1159" s="152" t="s">
        <v>2705</v>
      </c>
      <c r="Q1159" s="152" t="s">
        <v>2705</v>
      </c>
      <c r="R1159" s="152" t="s">
        <v>1435</v>
      </c>
      <c r="S1159" s="152" t="s">
        <v>2705</v>
      </c>
      <c r="T1159" s="152" t="s">
        <v>1435</v>
      </c>
      <c r="U1159" s="152" t="s">
        <v>2398</v>
      </c>
      <c r="V1159" s="142" cm="1">
        <f t="array" ref="V1159">IF(A1159&lt;&gt;"",SUM(--(B1159:U1160 = "X")*$U$3,--(B1159:U1160 ="A")*$Q$3,--(B1159:U1160 ="B")*$R$3,--(B1159:U1160 ="C")*$S$3),"")</f>
        <v>15.5</v>
      </c>
      <c r="AF1159" s="142" t="s">
        <v>7896</v>
      </c>
      <c r="AG1159" s="142" t="s">
        <v>2398</v>
      </c>
      <c r="AH1159" s="142" t="s">
        <v>2398</v>
      </c>
      <c r="AI1159" s="142" t="s">
        <v>2705</v>
      </c>
      <c r="AJ1159" s="142" t="s">
        <v>1435</v>
      </c>
      <c r="AK1159" s="142" t="s">
        <v>2675</v>
      </c>
      <c r="AL1159" s="142" t="s">
        <v>2705</v>
      </c>
      <c r="AM1159" s="142" t="s">
        <v>2705</v>
      </c>
      <c r="AN1159" s="142" t="s">
        <v>2398</v>
      </c>
      <c r="AO1159" s="142" t="s">
        <v>2398</v>
      </c>
      <c r="AP1159" s="142" t="s">
        <v>2398</v>
      </c>
      <c r="AQ1159" s="142" t="s">
        <v>1435</v>
      </c>
      <c r="AR1159" s="142" t="s">
        <v>2705</v>
      </c>
      <c r="AS1159" s="142" t="s">
        <v>2398</v>
      </c>
      <c r="AT1159" s="142" t="s">
        <v>2705</v>
      </c>
      <c r="AU1159" s="142" t="s">
        <v>2705</v>
      </c>
      <c r="AV1159" s="142" t="s">
        <v>2705</v>
      </c>
      <c r="AW1159" s="142" t="s">
        <v>1435</v>
      </c>
      <c r="AX1159" s="142" t="s">
        <v>2705</v>
      </c>
      <c r="AY1159" s="142" t="s">
        <v>1435</v>
      </c>
      <c r="AZ1159" s="142" t="s">
        <v>2398</v>
      </c>
    </row>
    <row r="1160" spans="1:52" s="142" customFormat="1" ht="12.75" x14ac:dyDescent="0.2">
      <c r="A1160" s="151"/>
      <c r="B1160" s="152" t="s">
        <v>2705</v>
      </c>
      <c r="C1160" s="152" t="s">
        <v>2398</v>
      </c>
      <c r="D1160" s="152" t="s">
        <v>2398</v>
      </c>
      <c r="E1160" s="152" t="s">
        <v>2398</v>
      </c>
      <c r="F1160" s="152" t="s">
        <v>2705</v>
      </c>
      <c r="G1160" s="152" t="s">
        <v>2705</v>
      </c>
      <c r="H1160" s="152" t="s">
        <v>2705</v>
      </c>
      <c r="I1160" s="152" t="s">
        <v>2398</v>
      </c>
      <c r="J1160" s="152" t="s">
        <v>2398</v>
      </c>
      <c r="K1160" s="152" t="s">
        <v>2398</v>
      </c>
      <c r="L1160" s="152" t="s">
        <v>2398</v>
      </c>
      <c r="M1160" s="152" t="s">
        <v>2705</v>
      </c>
      <c r="N1160" s="152" t="s">
        <v>2705</v>
      </c>
      <c r="O1160" s="152" t="s">
        <v>2398</v>
      </c>
      <c r="P1160" s="152" t="s">
        <v>2398</v>
      </c>
      <c r="Q1160" s="152" t="s">
        <v>2705</v>
      </c>
      <c r="R1160" s="152" t="s">
        <v>2705</v>
      </c>
      <c r="S1160" s="152" t="s">
        <v>2705</v>
      </c>
      <c r="T1160" s="152" t="s">
        <v>2398</v>
      </c>
      <c r="U1160" s="152" t="s">
        <v>2705</v>
      </c>
      <c r="V1160" s="142" t="str" cm="1">
        <f t="array" ref="V1160">IF(A1160&lt;&gt;"",SUM(--(B1160:U1161 = "X")*$U$3,--(B1160:U1161 ="A")*$Q$3,--(B1160:U1161 ="B")*$R$3,--(B1160:U1161 ="C")*$S$3),"")</f>
        <v/>
      </c>
      <c r="AG1160" s="142" t="s">
        <v>2705</v>
      </c>
      <c r="AH1160" s="142" t="s">
        <v>2398</v>
      </c>
      <c r="AI1160" s="142" t="s">
        <v>2398</v>
      </c>
      <c r="AJ1160" s="142" t="s">
        <v>2398</v>
      </c>
      <c r="AK1160" s="142" t="s">
        <v>2705</v>
      </c>
      <c r="AL1160" s="142" t="s">
        <v>2705</v>
      </c>
      <c r="AM1160" s="142" t="s">
        <v>2705</v>
      </c>
      <c r="AN1160" s="142" t="s">
        <v>2398</v>
      </c>
      <c r="AO1160" s="142" t="s">
        <v>2398</v>
      </c>
      <c r="AP1160" s="142" t="s">
        <v>2398</v>
      </c>
      <c r="AQ1160" s="142" t="s">
        <v>2398</v>
      </c>
      <c r="AR1160" s="142" t="s">
        <v>2705</v>
      </c>
      <c r="AS1160" s="142" t="s">
        <v>2705</v>
      </c>
      <c r="AT1160" s="142" t="s">
        <v>2398</v>
      </c>
      <c r="AU1160" s="142" t="s">
        <v>2398</v>
      </c>
      <c r="AV1160" s="142" t="s">
        <v>2705</v>
      </c>
      <c r="AW1160" s="142" t="s">
        <v>2705</v>
      </c>
      <c r="AX1160" s="142" t="s">
        <v>2705</v>
      </c>
      <c r="AY1160" s="142" t="s">
        <v>2398</v>
      </c>
      <c r="AZ1160" s="142" t="s">
        <v>2705</v>
      </c>
    </row>
    <row r="1161" spans="1:52" s="142" customFormat="1" ht="12.75" x14ac:dyDescent="0.2">
      <c r="A1161" s="151" t="s">
        <v>7897</v>
      </c>
      <c r="B1161" s="152" t="s">
        <v>2398</v>
      </c>
      <c r="C1161" s="152" t="s">
        <v>2705</v>
      </c>
      <c r="D1161" s="152" t="s">
        <v>2675</v>
      </c>
      <c r="E1161" s="152" t="s">
        <v>2705</v>
      </c>
      <c r="F1161" s="152" t="s">
        <v>2705</v>
      </c>
      <c r="G1161" s="152" t="s">
        <v>2705</v>
      </c>
      <c r="H1161" s="152" t="s">
        <v>2705</v>
      </c>
      <c r="I1161" s="152" t="s">
        <v>2398</v>
      </c>
      <c r="J1161" s="152" t="s">
        <v>2398</v>
      </c>
      <c r="K1161" s="152" t="s">
        <v>2398</v>
      </c>
      <c r="L1161" s="152" t="s">
        <v>2398</v>
      </c>
      <c r="M1161" s="152" t="s">
        <v>2705</v>
      </c>
      <c r="N1161" s="152" t="s">
        <v>2398</v>
      </c>
      <c r="O1161" s="152" t="s">
        <v>1435</v>
      </c>
      <c r="P1161" s="152" t="s">
        <v>2398</v>
      </c>
      <c r="Q1161" s="152" t="s">
        <v>2398</v>
      </c>
      <c r="R1161" s="152" t="s">
        <v>1435</v>
      </c>
      <c r="S1161" s="152" t="s">
        <v>2705</v>
      </c>
      <c r="T1161" s="152" t="s">
        <v>2705</v>
      </c>
      <c r="U1161" s="152" t="s">
        <v>2705</v>
      </c>
      <c r="V1161" s="142" cm="1">
        <f t="array" ref="V1161">IF(A1161&lt;&gt;"",SUM(--(B1161:U1162 = "X")*$U$3,--(B1161:U1162 ="A")*$Q$3,--(B1161:U1162 ="B")*$R$3,--(B1161:U1162 ="C")*$S$3),"")</f>
        <v>19</v>
      </c>
      <c r="AF1161" s="142" t="s">
        <v>7897</v>
      </c>
      <c r="AG1161" s="142" t="s">
        <v>2398</v>
      </c>
      <c r="AH1161" s="142" t="s">
        <v>2705</v>
      </c>
      <c r="AI1161" s="142" t="s">
        <v>2675</v>
      </c>
      <c r="AJ1161" s="142" t="s">
        <v>2705</v>
      </c>
      <c r="AK1161" s="142" t="s">
        <v>2705</v>
      </c>
      <c r="AL1161" s="142" t="s">
        <v>2705</v>
      </c>
      <c r="AM1161" s="142" t="s">
        <v>2705</v>
      </c>
      <c r="AN1161" s="142" t="s">
        <v>2398</v>
      </c>
      <c r="AO1161" s="142" t="s">
        <v>2398</v>
      </c>
      <c r="AP1161" s="142" t="s">
        <v>2398</v>
      </c>
      <c r="AQ1161" s="142" t="s">
        <v>2398</v>
      </c>
      <c r="AR1161" s="142" t="s">
        <v>2705</v>
      </c>
      <c r="AS1161" s="142" t="s">
        <v>2398</v>
      </c>
      <c r="AT1161" s="142" t="s">
        <v>1435</v>
      </c>
      <c r="AU1161" s="142" t="s">
        <v>2398</v>
      </c>
      <c r="AV1161" s="142" t="s">
        <v>2398</v>
      </c>
      <c r="AW1161" s="142" t="s">
        <v>1435</v>
      </c>
      <c r="AX1161" s="142" t="s">
        <v>2705</v>
      </c>
      <c r="AY1161" s="142" t="s">
        <v>2705</v>
      </c>
      <c r="AZ1161" s="142" t="s">
        <v>2705</v>
      </c>
    </row>
    <row r="1162" spans="1:52" s="142" customFormat="1" ht="12.75" x14ac:dyDescent="0.2">
      <c r="A1162" s="151"/>
      <c r="B1162" s="152" t="s">
        <v>2398</v>
      </c>
      <c r="C1162" s="152" t="s">
        <v>2398</v>
      </c>
      <c r="D1162" s="152" t="s">
        <v>2398</v>
      </c>
      <c r="E1162" s="152" t="s">
        <v>1435</v>
      </c>
      <c r="F1162" s="152" t="s">
        <v>2398</v>
      </c>
      <c r="G1162" s="152" t="s">
        <v>2705</v>
      </c>
      <c r="H1162" s="152" t="s">
        <v>2705</v>
      </c>
      <c r="I1162" s="152" t="s">
        <v>2705</v>
      </c>
      <c r="J1162" s="152" t="s">
        <v>2705</v>
      </c>
      <c r="K1162" s="152" t="s">
        <v>2705</v>
      </c>
      <c r="L1162" s="152" t="s">
        <v>2705</v>
      </c>
      <c r="M1162" s="152" t="s">
        <v>2705</v>
      </c>
      <c r="N1162" s="152" t="s">
        <v>2705</v>
      </c>
      <c r="O1162" s="152" t="s">
        <v>1435</v>
      </c>
      <c r="P1162" s="152" t="s">
        <v>2705</v>
      </c>
      <c r="Q1162" s="152" t="s">
        <v>2705</v>
      </c>
      <c r="R1162" s="152" t="s">
        <v>1435</v>
      </c>
      <c r="S1162" s="152" t="s">
        <v>2705</v>
      </c>
      <c r="T1162" s="152" t="s">
        <v>2705</v>
      </c>
      <c r="U1162" s="152" t="s">
        <v>2705</v>
      </c>
      <c r="V1162" s="142" t="str" cm="1">
        <f t="array" ref="V1162">IF(A1162&lt;&gt;"",SUM(--(B1162:U1163 = "X")*$U$3,--(B1162:U1163 ="A")*$Q$3,--(B1162:U1163 ="B")*$R$3,--(B1162:U1163 ="C")*$S$3),"")</f>
        <v/>
      </c>
      <c r="AG1162" s="142" t="s">
        <v>2398</v>
      </c>
      <c r="AH1162" s="142" t="s">
        <v>2398</v>
      </c>
      <c r="AI1162" s="142" t="s">
        <v>2398</v>
      </c>
      <c r="AJ1162" s="142" t="s">
        <v>1435</v>
      </c>
      <c r="AK1162" s="142" t="s">
        <v>2398</v>
      </c>
      <c r="AL1162" s="142" t="s">
        <v>2705</v>
      </c>
      <c r="AM1162" s="142" t="s">
        <v>2705</v>
      </c>
      <c r="AN1162" s="142" t="s">
        <v>2705</v>
      </c>
      <c r="AO1162" s="142" t="s">
        <v>2705</v>
      </c>
      <c r="AP1162" s="142" t="s">
        <v>2705</v>
      </c>
      <c r="AQ1162" s="142" t="s">
        <v>2705</v>
      </c>
      <c r="AR1162" s="142" t="s">
        <v>2705</v>
      </c>
      <c r="AS1162" s="142" t="s">
        <v>2705</v>
      </c>
      <c r="AT1162" s="142" t="s">
        <v>1435</v>
      </c>
      <c r="AU1162" s="142" t="s">
        <v>2705</v>
      </c>
      <c r="AV1162" s="142" t="s">
        <v>2705</v>
      </c>
      <c r="AW1162" s="142" t="s">
        <v>1435</v>
      </c>
      <c r="AX1162" s="142" t="s">
        <v>2705</v>
      </c>
      <c r="AY1162" s="142" t="s">
        <v>2705</v>
      </c>
      <c r="AZ1162" s="142" t="s">
        <v>2705</v>
      </c>
    </row>
    <row r="1163" spans="1:52" s="142" customFormat="1" ht="12.75" x14ac:dyDescent="0.2">
      <c r="A1163" s="151" t="s">
        <v>7898</v>
      </c>
      <c r="B1163" s="152" t="s">
        <v>2398</v>
      </c>
      <c r="C1163" s="152" t="s">
        <v>2705</v>
      </c>
      <c r="D1163" s="152" t="s">
        <v>2705</v>
      </c>
      <c r="E1163" s="152" t="s">
        <v>2398</v>
      </c>
      <c r="F1163" s="152" t="s">
        <v>2705</v>
      </c>
      <c r="G1163" s="152" t="s">
        <v>2705</v>
      </c>
      <c r="H1163" s="152" t="s">
        <v>2705</v>
      </c>
      <c r="I1163" s="152" t="s">
        <v>2705</v>
      </c>
      <c r="J1163" s="152" t="s">
        <v>2705</v>
      </c>
      <c r="K1163" s="152" t="s">
        <v>2705</v>
      </c>
      <c r="L1163" s="152" t="s">
        <v>2705</v>
      </c>
      <c r="M1163" s="152" t="s">
        <v>2705</v>
      </c>
      <c r="N1163" s="152" t="s">
        <v>2705</v>
      </c>
      <c r="O1163" s="152" t="s">
        <v>2705</v>
      </c>
      <c r="P1163" s="152" t="s">
        <v>2675</v>
      </c>
      <c r="Q1163" s="152" t="s">
        <v>2398</v>
      </c>
      <c r="R1163" s="152" t="s">
        <v>2398</v>
      </c>
      <c r="S1163" s="152" t="s">
        <v>2398</v>
      </c>
      <c r="T1163" s="152" t="s">
        <v>2398</v>
      </c>
      <c r="U1163" s="152" t="s">
        <v>2705</v>
      </c>
      <c r="V1163" s="142" cm="1">
        <f t="array" ref="V1163">IF(A1163&lt;&gt;"",SUM(--(B1163:U1164 = "X")*$U$3,--(B1163:U1164 ="A")*$Q$3,--(B1163:U1164 ="B")*$R$3,--(B1163:U1164 ="C")*$S$3),"")</f>
        <v>27</v>
      </c>
      <c r="AF1163" s="142" t="s">
        <v>7898</v>
      </c>
      <c r="AG1163" s="142" t="s">
        <v>2398</v>
      </c>
      <c r="AH1163" s="142" t="s">
        <v>2705</v>
      </c>
      <c r="AI1163" s="142" t="s">
        <v>2705</v>
      </c>
      <c r="AJ1163" s="142" t="s">
        <v>2398</v>
      </c>
      <c r="AK1163" s="142" t="s">
        <v>2705</v>
      </c>
      <c r="AL1163" s="142" t="s">
        <v>2705</v>
      </c>
      <c r="AM1163" s="142" t="s">
        <v>2705</v>
      </c>
      <c r="AN1163" s="142" t="s">
        <v>2705</v>
      </c>
      <c r="AO1163" s="142" t="s">
        <v>2705</v>
      </c>
      <c r="AP1163" s="142" t="s">
        <v>2705</v>
      </c>
      <c r="AQ1163" s="142" t="s">
        <v>2705</v>
      </c>
      <c r="AR1163" s="142" t="s">
        <v>2705</v>
      </c>
      <c r="AS1163" s="142" t="s">
        <v>2705</v>
      </c>
      <c r="AT1163" s="142" t="s">
        <v>2705</v>
      </c>
      <c r="AU1163" s="142" t="s">
        <v>2675</v>
      </c>
      <c r="AV1163" s="142" t="s">
        <v>2398</v>
      </c>
      <c r="AW1163" s="142" t="s">
        <v>2398</v>
      </c>
      <c r="AX1163" s="142" t="s">
        <v>2398</v>
      </c>
      <c r="AY1163" s="142" t="s">
        <v>2398</v>
      </c>
      <c r="AZ1163" s="142" t="s">
        <v>2705</v>
      </c>
    </row>
    <row r="1164" spans="1:52" s="142" customFormat="1" ht="12.75" x14ac:dyDescent="0.2">
      <c r="A1164" s="151"/>
      <c r="B1164" s="152" t="s">
        <v>2705</v>
      </c>
      <c r="C1164" s="152" t="s">
        <v>2705</v>
      </c>
      <c r="D1164" s="152" t="s">
        <v>2705</v>
      </c>
      <c r="E1164" s="152" t="s">
        <v>2705</v>
      </c>
      <c r="F1164" s="152" t="s">
        <v>2705</v>
      </c>
      <c r="G1164" s="152" t="s">
        <v>2705</v>
      </c>
      <c r="H1164" s="152" t="s">
        <v>2705</v>
      </c>
      <c r="I1164" s="152" t="s">
        <v>2705</v>
      </c>
      <c r="J1164" s="152" t="s">
        <v>2705</v>
      </c>
      <c r="K1164" s="152" t="s">
        <v>2705</v>
      </c>
      <c r="L1164" s="152" t="s">
        <v>2398</v>
      </c>
      <c r="M1164" s="152" t="s">
        <v>2398</v>
      </c>
      <c r="N1164" s="152" t="s">
        <v>2705</v>
      </c>
      <c r="O1164" s="152" t="s">
        <v>2398</v>
      </c>
      <c r="P1164" s="152" t="s">
        <v>2705</v>
      </c>
      <c r="Q1164" s="152" t="s">
        <v>2705</v>
      </c>
      <c r="R1164" s="152" t="s">
        <v>2398</v>
      </c>
      <c r="S1164" s="152" t="s">
        <v>2675</v>
      </c>
      <c r="T1164" s="152" t="s">
        <v>2705</v>
      </c>
      <c r="U1164" s="152" t="s">
        <v>2705</v>
      </c>
      <c r="V1164" s="142" t="str" cm="1">
        <f t="array" ref="V1164">IF(A1164&lt;&gt;"",SUM(--(B1164:U1165 = "X")*$U$3,--(B1164:U1165 ="A")*$Q$3,--(B1164:U1165 ="B")*$R$3,--(B1164:U1165 ="C")*$S$3),"")</f>
        <v/>
      </c>
      <c r="AG1164" s="142" t="s">
        <v>2705</v>
      </c>
      <c r="AH1164" s="142" t="s">
        <v>2705</v>
      </c>
      <c r="AI1164" s="142" t="s">
        <v>2705</v>
      </c>
      <c r="AJ1164" s="142" t="s">
        <v>2705</v>
      </c>
      <c r="AK1164" s="142" t="s">
        <v>2705</v>
      </c>
      <c r="AL1164" s="142" t="s">
        <v>2705</v>
      </c>
      <c r="AM1164" s="142" t="s">
        <v>2705</v>
      </c>
      <c r="AN1164" s="142" t="s">
        <v>2705</v>
      </c>
      <c r="AO1164" s="142" t="s">
        <v>2705</v>
      </c>
      <c r="AP1164" s="142" t="s">
        <v>2705</v>
      </c>
      <c r="AQ1164" s="142" t="s">
        <v>2398</v>
      </c>
      <c r="AR1164" s="142" t="s">
        <v>2398</v>
      </c>
      <c r="AS1164" s="142" t="s">
        <v>2705</v>
      </c>
      <c r="AT1164" s="142" t="s">
        <v>2398</v>
      </c>
      <c r="AU1164" s="142" t="s">
        <v>2705</v>
      </c>
      <c r="AV1164" s="142" t="s">
        <v>2705</v>
      </c>
      <c r="AW1164" s="142" t="s">
        <v>2398</v>
      </c>
      <c r="AX1164" s="142" t="s">
        <v>2675</v>
      </c>
      <c r="AY1164" s="142" t="s">
        <v>2705</v>
      </c>
      <c r="AZ1164" s="142" t="s">
        <v>2705</v>
      </c>
    </row>
    <row r="1165" spans="1:52" s="142" customFormat="1" ht="12.75" x14ac:dyDescent="0.2">
      <c r="A1165" s="151" t="s">
        <v>7899</v>
      </c>
      <c r="B1165" s="152" t="s">
        <v>2705</v>
      </c>
      <c r="C1165" s="152" t="s">
        <v>2705</v>
      </c>
      <c r="D1165" s="152" t="s">
        <v>2675</v>
      </c>
      <c r="E1165" s="152" t="s">
        <v>2705</v>
      </c>
      <c r="F1165" s="152" t="s">
        <v>2398</v>
      </c>
      <c r="G1165" s="152" t="s">
        <v>2705</v>
      </c>
      <c r="H1165" s="152" t="s">
        <v>2398</v>
      </c>
      <c r="I1165" s="152" t="s">
        <v>2705</v>
      </c>
      <c r="J1165" s="152" t="s">
        <v>2705</v>
      </c>
      <c r="K1165" s="152" t="s">
        <v>2398</v>
      </c>
      <c r="L1165" s="152" t="s">
        <v>2398</v>
      </c>
      <c r="M1165" s="152" t="s">
        <v>2398</v>
      </c>
      <c r="N1165" s="152" t="s">
        <v>2705</v>
      </c>
      <c r="O1165" s="152" t="s">
        <v>2398</v>
      </c>
      <c r="P1165" s="152" t="s">
        <v>2398</v>
      </c>
      <c r="Q1165" s="152" t="s">
        <v>2705</v>
      </c>
      <c r="R1165" s="152" t="s">
        <v>2398</v>
      </c>
      <c r="S1165" s="152" t="s">
        <v>2705</v>
      </c>
      <c r="T1165" s="152" t="s">
        <v>2398</v>
      </c>
      <c r="U1165" s="152" t="s">
        <v>2705</v>
      </c>
      <c r="V1165" s="142" cm="1">
        <f t="array" ref="V1165">IF(A1165&lt;&gt;"",SUM(--(B1165:U1166 = "X")*$U$3,--(B1165:U1166 ="A")*$Q$3,--(B1165:U1166 ="B")*$R$3,--(B1165:U1166 ="C")*$S$3),"")</f>
        <v>20</v>
      </c>
      <c r="AF1165" s="142" t="s">
        <v>7899</v>
      </c>
      <c r="AG1165" s="142" t="s">
        <v>2705</v>
      </c>
      <c r="AH1165" s="142" t="s">
        <v>2705</v>
      </c>
      <c r="AI1165" s="142" t="s">
        <v>2675</v>
      </c>
      <c r="AJ1165" s="142" t="s">
        <v>2705</v>
      </c>
      <c r="AK1165" s="142" t="s">
        <v>2398</v>
      </c>
      <c r="AL1165" s="142" t="s">
        <v>2705</v>
      </c>
      <c r="AM1165" s="142" t="s">
        <v>2398</v>
      </c>
      <c r="AN1165" s="142" t="s">
        <v>2705</v>
      </c>
      <c r="AO1165" s="142" t="s">
        <v>2705</v>
      </c>
      <c r="AP1165" s="142" t="s">
        <v>2398</v>
      </c>
      <c r="AQ1165" s="142" t="s">
        <v>2398</v>
      </c>
      <c r="AR1165" s="142" t="s">
        <v>2398</v>
      </c>
      <c r="AS1165" s="142" t="s">
        <v>2705</v>
      </c>
      <c r="AT1165" s="142" t="s">
        <v>2398</v>
      </c>
      <c r="AU1165" s="142" t="s">
        <v>2398</v>
      </c>
      <c r="AV1165" s="142" t="s">
        <v>2705</v>
      </c>
      <c r="AW1165" s="142" t="s">
        <v>2398</v>
      </c>
      <c r="AX1165" s="142" t="s">
        <v>2705</v>
      </c>
      <c r="AY1165" s="142" t="s">
        <v>2398</v>
      </c>
      <c r="AZ1165" s="142" t="s">
        <v>2705</v>
      </c>
    </row>
    <row r="1166" spans="1:52" s="142" customFormat="1" ht="12.75" x14ac:dyDescent="0.2">
      <c r="A1166" s="151"/>
      <c r="B1166" s="152" t="s">
        <v>2398</v>
      </c>
      <c r="C1166" s="152" t="s">
        <v>2705</v>
      </c>
      <c r="D1166" s="152" t="s">
        <v>2398</v>
      </c>
      <c r="E1166" s="152" t="s">
        <v>2398</v>
      </c>
      <c r="F1166" s="152" t="s">
        <v>2675</v>
      </c>
      <c r="G1166" s="152" t="s">
        <v>2705</v>
      </c>
      <c r="H1166" s="152" t="s">
        <v>2705</v>
      </c>
      <c r="I1166" s="152" t="s">
        <v>2398</v>
      </c>
      <c r="J1166" s="152" t="s">
        <v>2705</v>
      </c>
      <c r="K1166" s="152" t="s">
        <v>2705</v>
      </c>
      <c r="L1166" s="152" t="s">
        <v>2398</v>
      </c>
      <c r="M1166" s="152" t="s">
        <v>2705</v>
      </c>
      <c r="N1166" s="152" t="s">
        <v>2705</v>
      </c>
      <c r="O1166" s="152" t="s">
        <v>2705</v>
      </c>
      <c r="P1166" s="152" t="s">
        <v>2398</v>
      </c>
      <c r="Q1166" s="152" t="s">
        <v>2705</v>
      </c>
      <c r="R1166" s="152" t="s">
        <v>2398</v>
      </c>
      <c r="S1166" s="152" t="s">
        <v>2705</v>
      </c>
      <c r="T1166" s="152" t="s">
        <v>2705</v>
      </c>
      <c r="U1166" s="152" t="s">
        <v>2398</v>
      </c>
      <c r="V1166" s="142" t="str" cm="1">
        <f t="array" ref="V1166">IF(A1166&lt;&gt;"",SUM(--(B1166:U1167 = "X")*$U$3,--(B1166:U1167 ="A")*$Q$3,--(B1166:U1167 ="B")*$R$3,--(B1166:U1167 ="C")*$S$3),"")</f>
        <v/>
      </c>
      <c r="AG1166" s="142" t="s">
        <v>2398</v>
      </c>
      <c r="AH1166" s="142" t="s">
        <v>2705</v>
      </c>
      <c r="AI1166" s="142" t="s">
        <v>2398</v>
      </c>
      <c r="AJ1166" s="142" t="s">
        <v>2398</v>
      </c>
      <c r="AK1166" s="142" t="s">
        <v>2675</v>
      </c>
      <c r="AL1166" s="142" t="s">
        <v>2705</v>
      </c>
      <c r="AM1166" s="142" t="s">
        <v>2705</v>
      </c>
      <c r="AN1166" s="142" t="s">
        <v>2398</v>
      </c>
      <c r="AO1166" s="142" t="s">
        <v>2705</v>
      </c>
      <c r="AP1166" s="142" t="s">
        <v>2705</v>
      </c>
      <c r="AQ1166" s="142" t="s">
        <v>2398</v>
      </c>
      <c r="AR1166" s="142" t="s">
        <v>2705</v>
      </c>
      <c r="AS1166" s="142" t="s">
        <v>2705</v>
      </c>
      <c r="AT1166" s="142" t="s">
        <v>2705</v>
      </c>
      <c r="AU1166" s="142" t="s">
        <v>2398</v>
      </c>
      <c r="AV1166" s="142" t="s">
        <v>2705</v>
      </c>
      <c r="AW1166" s="142" t="s">
        <v>2398</v>
      </c>
      <c r="AX1166" s="142" t="s">
        <v>2705</v>
      </c>
      <c r="AY1166" s="142" t="s">
        <v>2705</v>
      </c>
      <c r="AZ1166" s="142" t="s">
        <v>2398</v>
      </c>
    </row>
    <row r="1167" spans="1:52" s="142" customFormat="1" ht="12.75" x14ac:dyDescent="0.2">
      <c r="A1167" s="151" t="s">
        <v>7900</v>
      </c>
      <c r="B1167" s="152" t="s">
        <v>2398</v>
      </c>
      <c r="C1167" s="152" t="s">
        <v>2675</v>
      </c>
      <c r="D1167" s="152" t="s">
        <v>2398</v>
      </c>
      <c r="E1167" s="152" t="s">
        <v>2398</v>
      </c>
      <c r="F1167" s="152" t="s">
        <v>2705</v>
      </c>
      <c r="G1167" s="152" t="s">
        <v>2705</v>
      </c>
      <c r="H1167" s="152" t="s">
        <v>2705</v>
      </c>
      <c r="I1167" s="152" t="s">
        <v>2397</v>
      </c>
      <c r="J1167" s="152" t="s">
        <v>1435</v>
      </c>
      <c r="K1167" s="152" t="s">
        <v>2398</v>
      </c>
      <c r="L1167" s="152" t="s">
        <v>1435</v>
      </c>
      <c r="M1167" s="152" t="s">
        <v>2705</v>
      </c>
      <c r="N1167" s="152" t="s">
        <v>2705</v>
      </c>
      <c r="O1167" s="152" t="s">
        <v>2398</v>
      </c>
      <c r="P1167" s="152" t="s">
        <v>2705</v>
      </c>
      <c r="Q1167" s="152" t="s">
        <v>2705</v>
      </c>
      <c r="R1167" s="152" t="s">
        <v>2705</v>
      </c>
      <c r="S1167" s="152" t="s">
        <v>2705</v>
      </c>
      <c r="T1167" s="152" t="s">
        <v>1435</v>
      </c>
      <c r="U1167" s="152" t="s">
        <v>2705</v>
      </c>
      <c r="V1167" s="142" cm="1">
        <f t="array" ref="V1167">IF(A1167&lt;&gt;"",SUM(--(B1167:U1168 = "X")*$U$3,--(B1167:U1168 ="A")*$Q$3,--(B1167:U1168 ="B")*$R$3,--(B1167:U1168 ="C")*$S$3),"")</f>
        <v>20.5</v>
      </c>
      <c r="AF1167" s="142" t="s">
        <v>7900</v>
      </c>
      <c r="AG1167" s="142" t="s">
        <v>2398</v>
      </c>
      <c r="AH1167" s="142" t="s">
        <v>2675</v>
      </c>
      <c r="AI1167" s="142" t="s">
        <v>2398</v>
      </c>
      <c r="AJ1167" s="142" t="s">
        <v>2398</v>
      </c>
      <c r="AK1167" s="142" t="s">
        <v>2705</v>
      </c>
      <c r="AL1167" s="142" t="s">
        <v>2705</v>
      </c>
      <c r="AM1167" s="142" t="s">
        <v>2705</v>
      </c>
      <c r="AN1167" s="142" t="s">
        <v>2397</v>
      </c>
      <c r="AO1167" s="142" t="s">
        <v>1435</v>
      </c>
      <c r="AP1167" s="142" t="s">
        <v>2398</v>
      </c>
      <c r="AQ1167" s="142" t="s">
        <v>1435</v>
      </c>
      <c r="AR1167" s="142" t="s">
        <v>2705</v>
      </c>
      <c r="AS1167" s="142" t="s">
        <v>2705</v>
      </c>
      <c r="AT1167" s="142" t="s">
        <v>2398</v>
      </c>
      <c r="AU1167" s="142" t="s">
        <v>2705</v>
      </c>
      <c r="AV1167" s="142" t="s">
        <v>2705</v>
      </c>
      <c r="AW1167" s="142" t="s">
        <v>2705</v>
      </c>
      <c r="AX1167" s="142" t="s">
        <v>2705</v>
      </c>
      <c r="AY1167" s="142" t="s">
        <v>1435</v>
      </c>
      <c r="AZ1167" s="142" t="s">
        <v>2705</v>
      </c>
    </row>
    <row r="1168" spans="1:52" s="142" customFormat="1" ht="12.75" x14ac:dyDescent="0.2">
      <c r="A1168" s="151"/>
      <c r="B1168" s="152" t="s">
        <v>2675</v>
      </c>
      <c r="C1168" s="152" t="s">
        <v>2675</v>
      </c>
      <c r="D1168" s="152" t="s">
        <v>2398</v>
      </c>
      <c r="E1168" s="152" t="s">
        <v>2675</v>
      </c>
      <c r="F1168" s="152" t="s">
        <v>2705</v>
      </c>
      <c r="G1168" s="152" t="s">
        <v>2705</v>
      </c>
      <c r="H1168" s="152" t="s">
        <v>2398</v>
      </c>
      <c r="I1168" s="152" t="s">
        <v>2705</v>
      </c>
      <c r="J1168" s="152" t="s">
        <v>2705</v>
      </c>
      <c r="K1168" s="152" t="s">
        <v>2705</v>
      </c>
      <c r="L1168" s="152" t="s">
        <v>2398</v>
      </c>
      <c r="M1168" s="152" t="s">
        <v>2705</v>
      </c>
      <c r="N1168" s="152" t="s">
        <v>2705</v>
      </c>
      <c r="O1168" s="152" t="s">
        <v>2705</v>
      </c>
      <c r="P1168" s="152" t="s">
        <v>2705</v>
      </c>
      <c r="Q1168" s="152" t="s">
        <v>2705</v>
      </c>
      <c r="R1168" s="152" t="s">
        <v>2705</v>
      </c>
      <c r="S1168" s="152" t="s">
        <v>2705</v>
      </c>
      <c r="T1168" s="152" t="s">
        <v>2705</v>
      </c>
      <c r="U1168" s="152" t="s">
        <v>2705</v>
      </c>
      <c r="V1168" s="142" t="str" cm="1">
        <f t="array" ref="V1168">IF(A1168&lt;&gt;"",SUM(--(B1168:U1169 = "X")*$U$3,--(B1168:U1169 ="A")*$Q$3,--(B1168:U1169 ="B")*$R$3,--(B1168:U1169 ="C")*$S$3),"")</f>
        <v/>
      </c>
      <c r="AG1168" s="142" t="s">
        <v>2675</v>
      </c>
      <c r="AH1168" s="142" t="s">
        <v>2675</v>
      </c>
      <c r="AI1168" s="142" t="s">
        <v>2398</v>
      </c>
      <c r="AJ1168" s="142" t="s">
        <v>2675</v>
      </c>
      <c r="AK1168" s="142" t="s">
        <v>2705</v>
      </c>
      <c r="AL1168" s="142" t="s">
        <v>2705</v>
      </c>
      <c r="AM1168" s="142" t="s">
        <v>2398</v>
      </c>
      <c r="AN1168" s="142" t="s">
        <v>2705</v>
      </c>
      <c r="AO1168" s="142" t="s">
        <v>2705</v>
      </c>
      <c r="AP1168" s="142" t="s">
        <v>2705</v>
      </c>
      <c r="AQ1168" s="142" t="s">
        <v>2398</v>
      </c>
      <c r="AR1168" s="142" t="s">
        <v>2705</v>
      </c>
      <c r="AS1168" s="142" t="s">
        <v>2705</v>
      </c>
      <c r="AT1168" s="142" t="s">
        <v>2705</v>
      </c>
      <c r="AU1168" s="142" t="s">
        <v>2705</v>
      </c>
      <c r="AV1168" s="142" t="s">
        <v>2705</v>
      </c>
      <c r="AW1168" s="142" t="s">
        <v>2705</v>
      </c>
      <c r="AX1168" s="142" t="s">
        <v>2705</v>
      </c>
      <c r="AY1168" s="142" t="s">
        <v>2705</v>
      </c>
      <c r="AZ1168" s="142" t="s">
        <v>2705</v>
      </c>
    </row>
    <row r="1169" spans="1:52" s="142" customFormat="1" ht="12.75" x14ac:dyDescent="0.2">
      <c r="A1169" s="151" t="s">
        <v>7901</v>
      </c>
      <c r="B1169" s="152" t="s">
        <v>2705</v>
      </c>
      <c r="C1169" s="152" t="s">
        <v>2398</v>
      </c>
      <c r="D1169" s="152" t="s">
        <v>2398</v>
      </c>
      <c r="E1169" s="152" t="s">
        <v>1435</v>
      </c>
      <c r="F1169" s="152" t="s">
        <v>2705</v>
      </c>
      <c r="G1169" s="152" t="s">
        <v>2705</v>
      </c>
      <c r="H1169" s="152" t="s">
        <v>2705</v>
      </c>
      <c r="I1169" s="152" t="s">
        <v>2397</v>
      </c>
      <c r="J1169" s="152" t="s">
        <v>2675</v>
      </c>
      <c r="K1169" s="152" t="s">
        <v>2705</v>
      </c>
      <c r="L1169" s="152" t="s">
        <v>1435</v>
      </c>
      <c r="M1169" s="152" t="s">
        <v>2705</v>
      </c>
      <c r="N1169" s="152" t="s">
        <v>2705</v>
      </c>
      <c r="O1169" s="152" t="s">
        <v>2705</v>
      </c>
      <c r="P1169" s="152" t="s">
        <v>2705</v>
      </c>
      <c r="Q1169" s="152" t="s">
        <v>2705</v>
      </c>
      <c r="R1169" s="152" t="s">
        <v>2705</v>
      </c>
      <c r="S1169" s="152" t="s">
        <v>2705</v>
      </c>
      <c r="T1169" s="152" t="s">
        <v>2705</v>
      </c>
      <c r="U1169" s="152" t="s">
        <v>2397</v>
      </c>
      <c r="V1169" s="142" cm="1">
        <f t="array" ref="V1169">IF(A1169&lt;&gt;"",SUM(--(B1169:U1170 = "X")*$U$3,--(B1169:U1170 ="A")*$Q$3,--(B1169:U1170 ="B")*$R$3,--(B1169:U1170 ="C")*$S$3),"")</f>
        <v>22.5</v>
      </c>
      <c r="AF1169" s="142" t="s">
        <v>7901</v>
      </c>
      <c r="AG1169" s="142" t="s">
        <v>2705</v>
      </c>
      <c r="AH1169" s="142" t="s">
        <v>2398</v>
      </c>
      <c r="AI1169" s="142" t="s">
        <v>2398</v>
      </c>
      <c r="AJ1169" s="142" t="s">
        <v>1435</v>
      </c>
      <c r="AK1169" s="142" t="s">
        <v>2705</v>
      </c>
      <c r="AL1169" s="142" t="s">
        <v>2705</v>
      </c>
      <c r="AM1169" s="142" t="s">
        <v>2705</v>
      </c>
      <c r="AN1169" s="142" t="s">
        <v>2397</v>
      </c>
      <c r="AO1169" s="142" t="s">
        <v>2675</v>
      </c>
      <c r="AP1169" s="142" t="s">
        <v>2705</v>
      </c>
      <c r="AQ1169" s="142" t="s">
        <v>1435</v>
      </c>
      <c r="AR1169" s="142" t="s">
        <v>2705</v>
      </c>
      <c r="AS1169" s="142" t="s">
        <v>2705</v>
      </c>
      <c r="AT1169" s="142" t="s">
        <v>2705</v>
      </c>
      <c r="AU1169" s="142" t="s">
        <v>2705</v>
      </c>
      <c r="AV1169" s="142" t="s">
        <v>2705</v>
      </c>
      <c r="AW1169" s="142" t="s">
        <v>2705</v>
      </c>
      <c r="AX1169" s="142" t="s">
        <v>2705</v>
      </c>
      <c r="AY1169" s="142" t="s">
        <v>2705</v>
      </c>
      <c r="AZ1169" s="142" t="s">
        <v>2397</v>
      </c>
    </row>
    <row r="1170" spans="1:52" s="142" customFormat="1" ht="12.75" x14ac:dyDescent="0.2">
      <c r="A1170" s="151"/>
      <c r="B1170" s="152" t="s">
        <v>2705</v>
      </c>
      <c r="C1170" s="152" t="s">
        <v>2398</v>
      </c>
      <c r="D1170" s="152" t="s">
        <v>2705</v>
      </c>
      <c r="E1170" s="152" t="s">
        <v>2398</v>
      </c>
      <c r="F1170" s="152" t="s">
        <v>2705</v>
      </c>
      <c r="G1170" s="152" t="s">
        <v>2675</v>
      </c>
      <c r="H1170" s="152" t="s">
        <v>2397</v>
      </c>
      <c r="I1170" s="152" t="s">
        <v>2705</v>
      </c>
      <c r="J1170" s="152" t="s">
        <v>2705</v>
      </c>
      <c r="K1170" s="152" t="s">
        <v>2398</v>
      </c>
      <c r="L1170" s="152" t="s">
        <v>2398</v>
      </c>
      <c r="M1170" s="152" t="s">
        <v>2705</v>
      </c>
      <c r="N1170" s="152" t="s">
        <v>2705</v>
      </c>
      <c r="O1170" s="152" t="s">
        <v>2705</v>
      </c>
      <c r="P1170" s="152" t="s">
        <v>2675</v>
      </c>
      <c r="Q1170" s="152" t="s">
        <v>2705</v>
      </c>
      <c r="R1170" s="152" t="s">
        <v>2705</v>
      </c>
      <c r="S1170" s="152" t="s">
        <v>2705</v>
      </c>
      <c r="T1170" s="152" t="s">
        <v>2705</v>
      </c>
      <c r="U1170" s="152" t="s">
        <v>2398</v>
      </c>
      <c r="V1170" s="142" t="str" cm="1">
        <f t="array" ref="V1170">IF(A1170&lt;&gt;"",SUM(--(B1170:U1171 = "X")*$U$3,--(B1170:U1171 ="A")*$Q$3,--(B1170:U1171 ="B")*$R$3,--(B1170:U1171 ="C")*$S$3),"")</f>
        <v/>
      </c>
      <c r="AG1170" s="142" t="s">
        <v>2705</v>
      </c>
      <c r="AH1170" s="142" t="s">
        <v>2398</v>
      </c>
      <c r="AI1170" s="142" t="s">
        <v>2705</v>
      </c>
      <c r="AJ1170" s="142" t="s">
        <v>2398</v>
      </c>
      <c r="AK1170" s="142" t="s">
        <v>2705</v>
      </c>
      <c r="AL1170" s="142" t="s">
        <v>2675</v>
      </c>
      <c r="AM1170" s="142" t="s">
        <v>2397</v>
      </c>
      <c r="AN1170" s="142" t="s">
        <v>2705</v>
      </c>
      <c r="AO1170" s="142" t="s">
        <v>2705</v>
      </c>
      <c r="AP1170" s="142" t="s">
        <v>2398</v>
      </c>
      <c r="AQ1170" s="142" t="s">
        <v>2398</v>
      </c>
      <c r="AR1170" s="142" t="s">
        <v>2705</v>
      </c>
      <c r="AS1170" s="142" t="s">
        <v>2705</v>
      </c>
      <c r="AT1170" s="142" t="s">
        <v>2705</v>
      </c>
      <c r="AU1170" s="142" t="s">
        <v>2675</v>
      </c>
      <c r="AV1170" s="142" t="s">
        <v>2705</v>
      </c>
      <c r="AW1170" s="142" t="s">
        <v>2705</v>
      </c>
      <c r="AX1170" s="142" t="s">
        <v>2705</v>
      </c>
      <c r="AY1170" s="142" t="s">
        <v>2705</v>
      </c>
      <c r="AZ1170" s="142" t="s">
        <v>2398</v>
      </c>
    </row>
    <row r="1171" spans="1:52" s="142" customFormat="1" ht="12.75" x14ac:dyDescent="0.2">
      <c r="A1171" s="151" t="s">
        <v>7902</v>
      </c>
      <c r="B1171" s="152" t="s">
        <v>2398</v>
      </c>
      <c r="C1171" s="152" t="s">
        <v>2705</v>
      </c>
      <c r="D1171" s="152" t="s">
        <v>2705</v>
      </c>
      <c r="E1171" s="152" t="s">
        <v>2398</v>
      </c>
      <c r="F1171" s="152" t="s">
        <v>2705</v>
      </c>
      <c r="G1171" s="152" t="s">
        <v>2705</v>
      </c>
      <c r="H1171" s="152" t="s">
        <v>2705</v>
      </c>
      <c r="I1171" s="152" t="s">
        <v>2705</v>
      </c>
      <c r="J1171" s="152" t="s">
        <v>2705</v>
      </c>
      <c r="K1171" s="152" t="s">
        <v>1435</v>
      </c>
      <c r="L1171" s="152" t="s">
        <v>2705</v>
      </c>
      <c r="M1171" s="152" t="s">
        <v>2705</v>
      </c>
      <c r="N1171" s="152" t="s">
        <v>2398</v>
      </c>
      <c r="O1171" s="152" t="s">
        <v>2398</v>
      </c>
      <c r="P1171" s="152" t="s">
        <v>2705</v>
      </c>
      <c r="Q1171" s="152" t="s">
        <v>2705</v>
      </c>
      <c r="R1171" s="152" t="s">
        <v>2397</v>
      </c>
      <c r="S1171" s="152" t="s">
        <v>2398</v>
      </c>
      <c r="T1171" s="152" t="s">
        <v>2705</v>
      </c>
      <c r="U1171" s="152" t="s">
        <v>2398</v>
      </c>
      <c r="V1171" s="142" cm="1">
        <f t="array" ref="V1171">IF(A1171&lt;&gt;"",SUM(--(B1171:U1172 = "X")*$U$3,--(B1171:U1172 ="A")*$Q$3,--(B1171:U1172 ="B")*$R$3,--(B1171:U1172 ="C")*$S$3),"")</f>
        <v>25.5</v>
      </c>
      <c r="AF1171" s="142" t="s">
        <v>7902</v>
      </c>
      <c r="AG1171" s="142" t="s">
        <v>2398</v>
      </c>
      <c r="AH1171" s="142" t="s">
        <v>2705</v>
      </c>
      <c r="AI1171" s="142" t="s">
        <v>2705</v>
      </c>
      <c r="AJ1171" s="142" t="s">
        <v>2398</v>
      </c>
      <c r="AK1171" s="142" t="s">
        <v>2705</v>
      </c>
      <c r="AL1171" s="142" t="s">
        <v>2705</v>
      </c>
      <c r="AM1171" s="142" t="s">
        <v>2705</v>
      </c>
      <c r="AN1171" s="142" t="s">
        <v>2705</v>
      </c>
      <c r="AO1171" s="142" t="s">
        <v>2705</v>
      </c>
      <c r="AP1171" s="142" t="s">
        <v>1435</v>
      </c>
      <c r="AQ1171" s="142" t="s">
        <v>2705</v>
      </c>
      <c r="AR1171" s="142" t="s">
        <v>2705</v>
      </c>
      <c r="AS1171" s="142" t="s">
        <v>2398</v>
      </c>
      <c r="AT1171" s="142" t="s">
        <v>2398</v>
      </c>
      <c r="AU1171" s="142" t="s">
        <v>2705</v>
      </c>
      <c r="AV1171" s="142" t="s">
        <v>2705</v>
      </c>
      <c r="AW1171" s="142" t="s">
        <v>2397</v>
      </c>
      <c r="AX1171" s="142" t="s">
        <v>2398</v>
      </c>
      <c r="AY1171" s="142" t="s">
        <v>2705</v>
      </c>
      <c r="AZ1171" s="142" t="s">
        <v>2398</v>
      </c>
    </row>
    <row r="1172" spans="1:52" s="142" customFormat="1" ht="12.75" x14ac:dyDescent="0.2">
      <c r="A1172" s="151"/>
      <c r="B1172" s="152" t="s">
        <v>2705</v>
      </c>
      <c r="C1172" s="152" t="s">
        <v>2705</v>
      </c>
      <c r="D1172" s="152" t="s">
        <v>2398</v>
      </c>
      <c r="E1172" s="152" t="s">
        <v>2705</v>
      </c>
      <c r="F1172" s="152" t="s">
        <v>2705</v>
      </c>
      <c r="G1172" s="152" t="s">
        <v>2398</v>
      </c>
      <c r="H1172" s="152" t="s">
        <v>2705</v>
      </c>
      <c r="I1172" s="152" t="s">
        <v>2705</v>
      </c>
      <c r="J1172" s="152" t="s">
        <v>2705</v>
      </c>
      <c r="K1172" s="152" t="s">
        <v>2398</v>
      </c>
      <c r="L1172" s="152" t="s">
        <v>2705</v>
      </c>
      <c r="M1172" s="152" t="s">
        <v>2705</v>
      </c>
      <c r="N1172" s="152" t="s">
        <v>2705</v>
      </c>
      <c r="O1172" s="152" t="s">
        <v>2705</v>
      </c>
      <c r="P1172" s="152" t="s">
        <v>2398</v>
      </c>
      <c r="Q1172" s="152" t="s">
        <v>2398</v>
      </c>
      <c r="R1172" s="152" t="s">
        <v>2398</v>
      </c>
      <c r="S1172" s="152" t="s">
        <v>2705</v>
      </c>
      <c r="T1172" s="152" t="s">
        <v>2705</v>
      </c>
      <c r="U1172" s="152" t="s">
        <v>2705</v>
      </c>
      <c r="V1172" s="142" t="str" cm="1">
        <f t="array" ref="V1172">IF(A1172&lt;&gt;"",SUM(--(B1172:U1173 = "X")*$U$3,--(B1172:U1173 ="A")*$Q$3,--(B1172:U1173 ="B")*$R$3,--(B1172:U1173 ="C")*$S$3),"")</f>
        <v/>
      </c>
      <c r="AG1172" s="142" t="s">
        <v>2705</v>
      </c>
      <c r="AH1172" s="142" t="s">
        <v>2705</v>
      </c>
      <c r="AI1172" s="142" t="s">
        <v>2398</v>
      </c>
      <c r="AJ1172" s="142" t="s">
        <v>2705</v>
      </c>
      <c r="AK1172" s="142" t="s">
        <v>2705</v>
      </c>
      <c r="AL1172" s="142" t="s">
        <v>2398</v>
      </c>
      <c r="AM1172" s="142" t="s">
        <v>2705</v>
      </c>
      <c r="AN1172" s="142" t="s">
        <v>2705</v>
      </c>
      <c r="AO1172" s="142" t="s">
        <v>2705</v>
      </c>
      <c r="AP1172" s="142" t="s">
        <v>2398</v>
      </c>
      <c r="AQ1172" s="142" t="s">
        <v>2705</v>
      </c>
      <c r="AR1172" s="142" t="s">
        <v>2705</v>
      </c>
      <c r="AS1172" s="142" t="s">
        <v>2705</v>
      </c>
      <c r="AT1172" s="142" t="s">
        <v>2705</v>
      </c>
      <c r="AU1172" s="142" t="s">
        <v>2398</v>
      </c>
      <c r="AV1172" s="142" t="s">
        <v>2398</v>
      </c>
      <c r="AW1172" s="142" t="s">
        <v>2398</v>
      </c>
      <c r="AX1172" s="142" t="s">
        <v>2705</v>
      </c>
      <c r="AY1172" s="142" t="s">
        <v>2705</v>
      </c>
      <c r="AZ1172" s="142" t="s">
        <v>2705</v>
      </c>
    </row>
    <row r="1173" spans="1:52" s="142" customFormat="1" ht="12.75" x14ac:dyDescent="0.2">
      <c r="A1173" s="151" t="s">
        <v>7903</v>
      </c>
      <c r="B1173" s="152" t="s">
        <v>2705</v>
      </c>
      <c r="C1173" s="152" t="s">
        <v>2675</v>
      </c>
      <c r="D1173" s="152" t="s">
        <v>2705</v>
      </c>
      <c r="E1173" s="152" t="s">
        <v>2705</v>
      </c>
      <c r="F1173" s="152" t="s">
        <v>2705</v>
      </c>
      <c r="G1173" s="152" t="s">
        <v>1435</v>
      </c>
      <c r="H1173" s="152" t="s">
        <v>1435</v>
      </c>
      <c r="I1173" s="152" t="s">
        <v>2705</v>
      </c>
      <c r="J1173" s="152" t="s">
        <v>2675</v>
      </c>
      <c r="K1173" s="152" t="s">
        <v>1435</v>
      </c>
      <c r="L1173" s="152" t="s">
        <v>2705</v>
      </c>
      <c r="M1173" s="152" t="s">
        <v>2398</v>
      </c>
      <c r="N1173" s="152" t="s">
        <v>2705</v>
      </c>
      <c r="O1173" s="152" t="s">
        <v>2705</v>
      </c>
      <c r="P1173" s="152" t="s">
        <v>2705</v>
      </c>
      <c r="Q1173" s="152" t="s">
        <v>2675</v>
      </c>
      <c r="R1173" s="152" t="s">
        <v>2675</v>
      </c>
      <c r="S1173" s="152" t="s">
        <v>2675</v>
      </c>
      <c r="T1173" s="152" t="s">
        <v>2675</v>
      </c>
      <c r="U1173" s="152" t="s">
        <v>2398</v>
      </c>
      <c r="V1173" s="142" cm="1">
        <f t="array" ref="V1173">IF(A1173&lt;&gt;"",SUM(--(B1173:U1174 = "X")*$U$3,--(B1173:U1174 ="A")*$Q$3,--(B1173:U1174 ="B")*$R$3,--(B1173:U1174 ="C")*$S$3),"")</f>
        <v>15.5</v>
      </c>
      <c r="AF1173" s="142" t="s">
        <v>7903</v>
      </c>
      <c r="AG1173" s="142" t="s">
        <v>2705</v>
      </c>
      <c r="AH1173" s="142" t="s">
        <v>2675</v>
      </c>
      <c r="AI1173" s="142" t="s">
        <v>2705</v>
      </c>
      <c r="AJ1173" s="142" t="s">
        <v>2705</v>
      </c>
      <c r="AK1173" s="142" t="s">
        <v>2705</v>
      </c>
      <c r="AL1173" s="142" t="s">
        <v>1435</v>
      </c>
      <c r="AM1173" s="142" t="s">
        <v>1435</v>
      </c>
      <c r="AN1173" s="142" t="s">
        <v>2705</v>
      </c>
      <c r="AO1173" s="142" t="s">
        <v>2675</v>
      </c>
      <c r="AP1173" s="142" t="s">
        <v>1435</v>
      </c>
      <c r="AQ1173" s="142" t="s">
        <v>2705</v>
      </c>
      <c r="AR1173" s="142" t="s">
        <v>2398</v>
      </c>
      <c r="AS1173" s="142" t="s">
        <v>2705</v>
      </c>
      <c r="AT1173" s="142" t="s">
        <v>2705</v>
      </c>
      <c r="AU1173" s="142" t="s">
        <v>2705</v>
      </c>
      <c r="AV1173" s="142" t="s">
        <v>2675</v>
      </c>
      <c r="AW1173" s="142" t="s">
        <v>2675</v>
      </c>
      <c r="AX1173" s="142" t="s">
        <v>2675</v>
      </c>
      <c r="AY1173" s="142" t="s">
        <v>2675</v>
      </c>
      <c r="AZ1173" s="142" t="s">
        <v>2398</v>
      </c>
    </row>
    <row r="1174" spans="1:52" s="142" customFormat="1" ht="12.75" x14ac:dyDescent="0.2">
      <c r="A1174" s="151"/>
      <c r="B1174" s="152" t="s">
        <v>1435</v>
      </c>
      <c r="C1174" s="152" t="s">
        <v>2675</v>
      </c>
      <c r="D1174" s="152" t="s">
        <v>2705</v>
      </c>
      <c r="E1174" s="152" t="s">
        <v>2705</v>
      </c>
      <c r="F1174" s="152" t="s">
        <v>2705</v>
      </c>
      <c r="G1174" s="152" t="s">
        <v>1435</v>
      </c>
      <c r="H1174" s="152" t="s">
        <v>2675</v>
      </c>
      <c r="I1174" s="152" t="s">
        <v>2705</v>
      </c>
      <c r="J1174" s="152" t="s">
        <v>2705</v>
      </c>
      <c r="K1174" s="152" t="s">
        <v>1435</v>
      </c>
      <c r="L1174" s="152" t="s">
        <v>2705</v>
      </c>
      <c r="M1174" s="152" t="s">
        <v>2705</v>
      </c>
      <c r="N1174" s="152" t="s">
        <v>2705</v>
      </c>
      <c r="O1174" s="152" t="s">
        <v>2705</v>
      </c>
      <c r="P1174" s="152" t="s">
        <v>2705</v>
      </c>
      <c r="Q1174" s="152" t="s">
        <v>2705</v>
      </c>
      <c r="R1174" s="152" t="s">
        <v>2705</v>
      </c>
      <c r="S1174" s="152" t="s">
        <v>2675</v>
      </c>
      <c r="T1174" s="152" t="s">
        <v>2705</v>
      </c>
      <c r="U1174" s="152" t="s">
        <v>2705</v>
      </c>
      <c r="V1174" s="142" t="str" cm="1">
        <f t="array" ref="V1174">IF(A1174&lt;&gt;"",SUM(--(B1174:U1175 = "X")*$U$3,--(B1174:U1175 ="A")*$Q$3,--(B1174:U1175 ="B")*$R$3,--(B1174:U1175 ="C")*$S$3),"")</f>
        <v/>
      </c>
      <c r="AG1174" s="142" t="s">
        <v>1435</v>
      </c>
      <c r="AH1174" s="142" t="s">
        <v>2675</v>
      </c>
      <c r="AI1174" s="142" t="s">
        <v>2705</v>
      </c>
      <c r="AJ1174" s="142" t="s">
        <v>2705</v>
      </c>
      <c r="AK1174" s="142" t="s">
        <v>2705</v>
      </c>
      <c r="AL1174" s="142" t="s">
        <v>1435</v>
      </c>
      <c r="AM1174" s="142" t="s">
        <v>2675</v>
      </c>
      <c r="AN1174" s="142" t="s">
        <v>2705</v>
      </c>
      <c r="AO1174" s="142" t="s">
        <v>2705</v>
      </c>
      <c r="AP1174" s="142" t="s">
        <v>1435</v>
      </c>
      <c r="AQ1174" s="142" t="s">
        <v>2705</v>
      </c>
      <c r="AR1174" s="142" t="s">
        <v>2705</v>
      </c>
      <c r="AS1174" s="142" t="s">
        <v>2705</v>
      </c>
      <c r="AT1174" s="142" t="s">
        <v>2705</v>
      </c>
      <c r="AU1174" s="142" t="s">
        <v>2705</v>
      </c>
      <c r="AV1174" s="142" t="s">
        <v>2705</v>
      </c>
      <c r="AW1174" s="142" t="s">
        <v>2705</v>
      </c>
      <c r="AX1174" s="142" t="s">
        <v>2675</v>
      </c>
      <c r="AY1174" s="142" t="s">
        <v>2705</v>
      </c>
      <c r="AZ1174" s="142" t="s">
        <v>2705</v>
      </c>
    </row>
    <row r="1175" spans="1:52" s="142" customFormat="1" ht="12.75" x14ac:dyDescent="0.2">
      <c r="A1175" s="151" t="s">
        <v>7904</v>
      </c>
      <c r="B1175" s="152" t="s">
        <v>2398</v>
      </c>
      <c r="C1175" s="152" t="s">
        <v>1435</v>
      </c>
      <c r="D1175" s="152" t="s">
        <v>2705</v>
      </c>
      <c r="E1175" s="152" t="s">
        <v>2397</v>
      </c>
      <c r="F1175" s="152" t="s">
        <v>2705</v>
      </c>
      <c r="G1175" s="152" t="s">
        <v>2705</v>
      </c>
      <c r="H1175" s="152" t="s">
        <v>2398</v>
      </c>
      <c r="I1175" s="152" t="s">
        <v>2675</v>
      </c>
      <c r="J1175" s="152" t="s">
        <v>2705</v>
      </c>
      <c r="K1175" s="152" t="s">
        <v>2705</v>
      </c>
      <c r="L1175" s="152" t="s">
        <v>1435</v>
      </c>
      <c r="M1175" s="152" t="s">
        <v>2705</v>
      </c>
      <c r="N1175" s="152" t="s">
        <v>2675</v>
      </c>
      <c r="O1175" s="152" t="s">
        <v>2398</v>
      </c>
      <c r="P1175" s="152" t="s">
        <v>2398</v>
      </c>
      <c r="Q1175" s="152" t="s">
        <v>2398</v>
      </c>
      <c r="R1175" s="152" t="s">
        <v>1435</v>
      </c>
      <c r="S1175" s="152" t="s">
        <v>2705</v>
      </c>
      <c r="T1175" s="152" t="s">
        <v>2397</v>
      </c>
      <c r="U1175" s="152" t="s">
        <v>2397</v>
      </c>
      <c r="V1175" s="142" cm="1">
        <f t="array" ref="V1175">IF(A1175&lt;&gt;"",SUM(--(B1175:U1176 = "X")*$U$3,--(B1175:U1176 ="A")*$Q$3,--(B1175:U1176 ="B")*$R$3,--(B1175:U1176 ="C")*$S$3),"")</f>
        <v>9.5</v>
      </c>
      <c r="AF1175" s="142" t="s">
        <v>7904</v>
      </c>
      <c r="AG1175" s="142" t="s">
        <v>2398</v>
      </c>
      <c r="AH1175" s="142" t="s">
        <v>1435</v>
      </c>
      <c r="AI1175" s="142" t="s">
        <v>2705</v>
      </c>
      <c r="AJ1175" s="142" t="s">
        <v>2397</v>
      </c>
      <c r="AK1175" s="142" t="s">
        <v>2705</v>
      </c>
      <c r="AL1175" s="142" t="s">
        <v>2705</v>
      </c>
      <c r="AM1175" s="142" t="s">
        <v>2398</v>
      </c>
      <c r="AN1175" s="142" t="s">
        <v>2675</v>
      </c>
      <c r="AO1175" s="142" t="s">
        <v>2705</v>
      </c>
      <c r="AP1175" s="142" t="s">
        <v>2705</v>
      </c>
      <c r="AQ1175" s="142" t="s">
        <v>1435</v>
      </c>
      <c r="AR1175" s="142" t="s">
        <v>2705</v>
      </c>
      <c r="AS1175" s="142" t="s">
        <v>2675</v>
      </c>
      <c r="AT1175" s="142" t="s">
        <v>2398</v>
      </c>
      <c r="AU1175" s="142" t="s">
        <v>2398</v>
      </c>
      <c r="AV1175" s="142" t="s">
        <v>2398</v>
      </c>
      <c r="AW1175" s="142" t="s">
        <v>1435</v>
      </c>
      <c r="AX1175" s="142" t="s">
        <v>2705</v>
      </c>
      <c r="AY1175" s="142" t="s">
        <v>2397</v>
      </c>
      <c r="AZ1175" s="142" t="s">
        <v>2397</v>
      </c>
    </row>
    <row r="1176" spans="1:52" s="142" customFormat="1" ht="12.75" x14ac:dyDescent="0.2">
      <c r="A1176" s="151"/>
      <c r="B1176" s="152" t="s">
        <v>2398</v>
      </c>
      <c r="C1176" s="152" t="s">
        <v>2675</v>
      </c>
      <c r="D1176" s="152" t="s">
        <v>2705</v>
      </c>
      <c r="E1176" s="152" t="s">
        <v>2398</v>
      </c>
      <c r="F1176" s="152" t="s">
        <v>2398</v>
      </c>
      <c r="G1176" s="152" t="s">
        <v>2398</v>
      </c>
      <c r="H1176" s="152" t="s">
        <v>2398</v>
      </c>
      <c r="I1176" s="152" t="s">
        <v>1435</v>
      </c>
      <c r="J1176" s="152" t="s">
        <v>2398</v>
      </c>
      <c r="K1176" s="152" t="s">
        <v>2398</v>
      </c>
      <c r="L1176" s="152" t="s">
        <v>2705</v>
      </c>
      <c r="M1176" s="152" t="s">
        <v>2397</v>
      </c>
      <c r="N1176" s="152" t="s">
        <v>2705</v>
      </c>
      <c r="O1176" s="152" t="s">
        <v>2398</v>
      </c>
      <c r="P1176" s="152" t="s">
        <v>2705</v>
      </c>
      <c r="Q1176" s="152" t="s">
        <v>2398</v>
      </c>
      <c r="R1176" s="152" t="s">
        <v>2705</v>
      </c>
      <c r="S1176" s="152" t="s">
        <v>2705</v>
      </c>
      <c r="T1176" s="152" t="s">
        <v>2398</v>
      </c>
      <c r="U1176" s="152" t="s">
        <v>2398</v>
      </c>
      <c r="V1176" s="142" t="str" cm="1">
        <f t="array" ref="V1176">IF(A1176&lt;&gt;"",SUM(--(B1176:U1177 = "X")*$U$3,--(B1176:U1177 ="A")*$Q$3,--(B1176:U1177 ="B")*$R$3,--(B1176:U1177 ="C")*$S$3),"")</f>
        <v/>
      </c>
      <c r="AG1176" s="142" t="s">
        <v>2398</v>
      </c>
      <c r="AH1176" s="142" t="s">
        <v>2675</v>
      </c>
      <c r="AI1176" s="142" t="s">
        <v>2705</v>
      </c>
      <c r="AJ1176" s="142" t="s">
        <v>2398</v>
      </c>
      <c r="AK1176" s="142" t="s">
        <v>2398</v>
      </c>
      <c r="AL1176" s="142" t="s">
        <v>2398</v>
      </c>
      <c r="AM1176" s="142" t="s">
        <v>2398</v>
      </c>
      <c r="AN1176" s="142" t="s">
        <v>1435</v>
      </c>
      <c r="AO1176" s="142" t="s">
        <v>2398</v>
      </c>
      <c r="AP1176" s="142" t="s">
        <v>2398</v>
      </c>
      <c r="AQ1176" s="142" t="s">
        <v>2705</v>
      </c>
      <c r="AR1176" s="142" t="s">
        <v>2397</v>
      </c>
      <c r="AS1176" s="142" t="s">
        <v>2705</v>
      </c>
      <c r="AT1176" s="142" t="s">
        <v>2398</v>
      </c>
      <c r="AU1176" s="142" t="s">
        <v>2705</v>
      </c>
      <c r="AV1176" s="142" t="s">
        <v>2398</v>
      </c>
      <c r="AW1176" s="142" t="s">
        <v>2705</v>
      </c>
      <c r="AX1176" s="142" t="s">
        <v>2705</v>
      </c>
      <c r="AY1176" s="142" t="s">
        <v>2398</v>
      </c>
      <c r="AZ1176" s="142" t="s">
        <v>2398</v>
      </c>
    </row>
    <row r="1177" spans="1:52" s="142" customFormat="1" ht="12.75" x14ac:dyDescent="0.2">
      <c r="A1177" s="151" t="s">
        <v>7905</v>
      </c>
      <c r="B1177" s="152" t="s">
        <v>2398</v>
      </c>
      <c r="C1177" s="152" t="s">
        <v>2675</v>
      </c>
      <c r="D1177" s="152" t="s">
        <v>2398</v>
      </c>
      <c r="E1177" s="152" t="s">
        <v>2705</v>
      </c>
      <c r="F1177" s="152" t="s">
        <v>2705</v>
      </c>
      <c r="G1177" s="152" t="s">
        <v>2705</v>
      </c>
      <c r="H1177" s="152" t="s">
        <v>1435</v>
      </c>
      <c r="I1177" s="152" t="s">
        <v>2398</v>
      </c>
      <c r="J1177" s="152" t="s">
        <v>2705</v>
      </c>
      <c r="K1177" s="152" t="s">
        <v>2705</v>
      </c>
      <c r="L1177" s="152" t="s">
        <v>2705</v>
      </c>
      <c r="M1177" s="152" t="s">
        <v>2705</v>
      </c>
      <c r="N1177" s="152" t="s">
        <v>2705</v>
      </c>
      <c r="O1177" s="152" t="s">
        <v>2398</v>
      </c>
      <c r="P1177" s="152" t="s">
        <v>2398</v>
      </c>
      <c r="Q1177" s="152" t="s">
        <v>2705</v>
      </c>
      <c r="R1177" s="152" t="s">
        <v>2398</v>
      </c>
      <c r="S1177" s="152" t="s">
        <v>2398</v>
      </c>
      <c r="T1177" s="152" t="s">
        <v>2705</v>
      </c>
      <c r="U1177" s="152" t="s">
        <v>2675</v>
      </c>
      <c r="V1177" s="142" cm="1">
        <f t="array" ref="V1177">IF(A1177&lt;&gt;"",SUM(--(B1177:U1178 = "X")*$U$3,--(B1177:U1178 ="A")*$Q$3,--(B1177:U1178 ="B")*$R$3,--(B1177:U1178 ="C")*$S$3),"")</f>
        <v>23</v>
      </c>
      <c r="AF1177" s="142" t="s">
        <v>7905</v>
      </c>
      <c r="AG1177" s="142" t="s">
        <v>2398</v>
      </c>
      <c r="AH1177" s="142" t="s">
        <v>2675</v>
      </c>
      <c r="AI1177" s="142" t="s">
        <v>2398</v>
      </c>
      <c r="AJ1177" s="142" t="s">
        <v>2705</v>
      </c>
      <c r="AK1177" s="142" t="s">
        <v>2705</v>
      </c>
      <c r="AL1177" s="142" t="s">
        <v>2705</v>
      </c>
      <c r="AM1177" s="142" t="s">
        <v>1435</v>
      </c>
      <c r="AN1177" s="142" t="s">
        <v>2398</v>
      </c>
      <c r="AO1177" s="142" t="s">
        <v>2705</v>
      </c>
      <c r="AP1177" s="142" t="s">
        <v>2705</v>
      </c>
      <c r="AQ1177" s="142" t="s">
        <v>2705</v>
      </c>
      <c r="AR1177" s="142" t="s">
        <v>2705</v>
      </c>
      <c r="AS1177" s="142" t="s">
        <v>2705</v>
      </c>
      <c r="AT1177" s="142" t="s">
        <v>2398</v>
      </c>
      <c r="AU1177" s="142" t="s">
        <v>2398</v>
      </c>
      <c r="AV1177" s="142" t="s">
        <v>2705</v>
      </c>
      <c r="AW1177" s="142" t="s">
        <v>2398</v>
      </c>
      <c r="AX1177" s="142" t="s">
        <v>2398</v>
      </c>
      <c r="AY1177" s="142" t="s">
        <v>2705</v>
      </c>
      <c r="AZ1177" s="142" t="s">
        <v>2675</v>
      </c>
    </row>
    <row r="1178" spans="1:52" s="142" customFormat="1" ht="12.75" x14ac:dyDescent="0.2">
      <c r="A1178" s="151"/>
      <c r="B1178" s="152" t="s">
        <v>2705</v>
      </c>
      <c r="C1178" s="152" t="s">
        <v>2705</v>
      </c>
      <c r="D1178" s="152" t="s">
        <v>2705</v>
      </c>
      <c r="E1178" s="152" t="s">
        <v>2705</v>
      </c>
      <c r="F1178" s="152" t="s">
        <v>2705</v>
      </c>
      <c r="G1178" s="152" t="s">
        <v>2705</v>
      </c>
      <c r="H1178" s="152" t="s">
        <v>2705</v>
      </c>
      <c r="I1178" s="152" t="s">
        <v>2705</v>
      </c>
      <c r="J1178" s="152" t="s">
        <v>2705</v>
      </c>
      <c r="K1178" s="152" t="s">
        <v>2705</v>
      </c>
      <c r="L1178" s="152" t="s">
        <v>2398</v>
      </c>
      <c r="M1178" s="152" t="s">
        <v>1435</v>
      </c>
      <c r="N1178" s="152" t="s">
        <v>2705</v>
      </c>
      <c r="O1178" s="152" t="s">
        <v>2705</v>
      </c>
      <c r="P1178" s="152" t="s">
        <v>2398</v>
      </c>
      <c r="Q1178" s="152" t="s">
        <v>2705</v>
      </c>
      <c r="R1178" s="152" t="s">
        <v>2398</v>
      </c>
      <c r="S1178" s="152" t="s">
        <v>2398</v>
      </c>
      <c r="T1178" s="152" t="s">
        <v>2705</v>
      </c>
      <c r="U1178" s="152" t="s">
        <v>2705</v>
      </c>
      <c r="V1178" s="142" t="str" cm="1">
        <f t="array" ref="V1178">IF(A1178&lt;&gt;"",SUM(--(B1178:U1179 = "X")*$U$3,--(B1178:U1179 ="A")*$Q$3,--(B1178:U1179 ="B")*$R$3,--(B1178:U1179 ="C")*$S$3),"")</f>
        <v/>
      </c>
      <c r="AG1178" s="142" t="s">
        <v>2705</v>
      </c>
      <c r="AH1178" s="142" t="s">
        <v>2705</v>
      </c>
      <c r="AI1178" s="142" t="s">
        <v>2705</v>
      </c>
      <c r="AJ1178" s="142" t="s">
        <v>2705</v>
      </c>
      <c r="AK1178" s="142" t="s">
        <v>2705</v>
      </c>
      <c r="AL1178" s="142" t="s">
        <v>2705</v>
      </c>
      <c r="AM1178" s="142" t="s">
        <v>2705</v>
      </c>
      <c r="AN1178" s="142" t="s">
        <v>2705</v>
      </c>
      <c r="AO1178" s="142" t="s">
        <v>2705</v>
      </c>
      <c r="AP1178" s="142" t="s">
        <v>2705</v>
      </c>
      <c r="AQ1178" s="142" t="s">
        <v>2398</v>
      </c>
      <c r="AR1178" s="142" t="s">
        <v>1435</v>
      </c>
      <c r="AS1178" s="142" t="s">
        <v>2705</v>
      </c>
      <c r="AT1178" s="142" t="s">
        <v>2705</v>
      </c>
      <c r="AU1178" s="142" t="s">
        <v>2398</v>
      </c>
      <c r="AV1178" s="142" t="s">
        <v>2705</v>
      </c>
      <c r="AW1178" s="142" t="s">
        <v>2398</v>
      </c>
      <c r="AX1178" s="142" t="s">
        <v>2398</v>
      </c>
      <c r="AY1178" s="142" t="s">
        <v>2705</v>
      </c>
      <c r="AZ1178" s="142" t="s">
        <v>2705</v>
      </c>
    </row>
    <row r="1179" spans="1:52" s="142" customFormat="1" ht="12.75" x14ac:dyDescent="0.2">
      <c r="A1179" s="151" t="s">
        <v>7906</v>
      </c>
      <c r="B1179" s="152" t="s">
        <v>2705</v>
      </c>
      <c r="C1179" s="152" t="s">
        <v>2705</v>
      </c>
      <c r="D1179" s="152" t="s">
        <v>2705</v>
      </c>
      <c r="E1179" s="152" t="s">
        <v>2705</v>
      </c>
      <c r="F1179" s="152" t="s">
        <v>2705</v>
      </c>
      <c r="G1179" s="152" t="s">
        <v>2705</v>
      </c>
      <c r="H1179" s="152" t="s">
        <v>2705</v>
      </c>
      <c r="I1179" s="152" t="s">
        <v>2398</v>
      </c>
      <c r="J1179" s="152" t="s">
        <v>2705</v>
      </c>
      <c r="K1179" s="152" t="s">
        <v>2705</v>
      </c>
      <c r="L1179" s="152" t="s">
        <v>2705</v>
      </c>
      <c r="M1179" s="152" t="s">
        <v>2705</v>
      </c>
      <c r="N1179" s="152" t="s">
        <v>2705</v>
      </c>
      <c r="O1179" s="152" t="s">
        <v>2705</v>
      </c>
      <c r="P1179" s="152" t="s">
        <v>2705</v>
      </c>
      <c r="Q1179" s="152" t="s">
        <v>2705</v>
      </c>
      <c r="R1179" s="152" t="s">
        <v>2705</v>
      </c>
      <c r="S1179" s="152" t="s">
        <v>2705</v>
      </c>
      <c r="T1179" s="152" t="s">
        <v>2705</v>
      </c>
      <c r="U1179" s="152" t="s">
        <v>2398</v>
      </c>
      <c r="V1179" s="142" cm="1">
        <f t="array" ref="V1179">IF(A1179&lt;&gt;"",SUM(--(B1179:U1180 = "X")*$U$3,--(B1179:U1180 ="A")*$Q$3,--(B1179:U1180 ="B")*$R$3,--(B1179:U1180 ="C")*$S$3),"")</f>
        <v>33.5</v>
      </c>
      <c r="AF1179" s="142" t="s">
        <v>7906</v>
      </c>
      <c r="AG1179" s="142" t="s">
        <v>2705</v>
      </c>
      <c r="AH1179" s="142" t="s">
        <v>2705</v>
      </c>
      <c r="AI1179" s="142" t="s">
        <v>2705</v>
      </c>
      <c r="AJ1179" s="142" t="s">
        <v>2705</v>
      </c>
      <c r="AK1179" s="142" t="s">
        <v>2705</v>
      </c>
      <c r="AL1179" s="142" t="s">
        <v>2705</v>
      </c>
      <c r="AM1179" s="142" t="s">
        <v>2705</v>
      </c>
      <c r="AN1179" s="142" t="s">
        <v>2398</v>
      </c>
      <c r="AO1179" s="142" t="s">
        <v>2705</v>
      </c>
      <c r="AP1179" s="142" t="s">
        <v>2705</v>
      </c>
      <c r="AQ1179" s="142" t="s">
        <v>2705</v>
      </c>
      <c r="AR1179" s="142" t="s">
        <v>2705</v>
      </c>
      <c r="AS1179" s="142" t="s">
        <v>2705</v>
      </c>
      <c r="AT1179" s="142" t="s">
        <v>2705</v>
      </c>
      <c r="AU1179" s="142" t="s">
        <v>2705</v>
      </c>
      <c r="AV1179" s="142" t="s">
        <v>2705</v>
      </c>
      <c r="AW1179" s="142" t="s">
        <v>2705</v>
      </c>
      <c r="AX1179" s="142" t="s">
        <v>2705</v>
      </c>
      <c r="AY1179" s="142" t="s">
        <v>2705</v>
      </c>
      <c r="AZ1179" s="142" t="s">
        <v>2398</v>
      </c>
    </row>
    <row r="1180" spans="1:52" s="142" customFormat="1" ht="12.75" x14ac:dyDescent="0.2">
      <c r="A1180" s="151"/>
      <c r="B1180" s="152" t="s">
        <v>2705</v>
      </c>
      <c r="C1180" s="152" t="s">
        <v>2705</v>
      </c>
      <c r="D1180" s="152" t="s">
        <v>2705</v>
      </c>
      <c r="E1180" s="152" t="s">
        <v>2705</v>
      </c>
      <c r="F1180" s="152" t="s">
        <v>2705</v>
      </c>
      <c r="G1180" s="152" t="s">
        <v>2705</v>
      </c>
      <c r="H1180" s="152" t="s">
        <v>2705</v>
      </c>
      <c r="I1180" s="152" t="s">
        <v>2705</v>
      </c>
      <c r="J1180" s="152" t="s">
        <v>2705</v>
      </c>
      <c r="K1180" s="152" t="s">
        <v>2705</v>
      </c>
      <c r="L1180" s="152" t="s">
        <v>2398</v>
      </c>
      <c r="M1180" s="152" t="s">
        <v>2398</v>
      </c>
      <c r="N1180" s="152" t="s">
        <v>2398</v>
      </c>
      <c r="O1180" s="152" t="s">
        <v>2705</v>
      </c>
      <c r="P1180" s="152" t="s">
        <v>2705</v>
      </c>
      <c r="Q1180" s="152" t="s">
        <v>2705</v>
      </c>
      <c r="R1180" s="152" t="s">
        <v>2705</v>
      </c>
      <c r="S1180" s="152" t="s">
        <v>2675</v>
      </c>
      <c r="T1180" s="152" t="s">
        <v>2705</v>
      </c>
      <c r="U1180" s="152" t="s">
        <v>2705</v>
      </c>
      <c r="V1180" s="142" t="str" cm="1">
        <f t="array" ref="V1180">IF(A1180&lt;&gt;"",SUM(--(B1180:U1181 = "X")*$U$3,--(B1180:U1181 ="A")*$Q$3,--(B1180:U1181 ="B")*$R$3,--(B1180:U1181 ="C")*$S$3),"")</f>
        <v/>
      </c>
      <c r="AG1180" s="142" t="s">
        <v>2705</v>
      </c>
      <c r="AH1180" s="142" t="s">
        <v>2705</v>
      </c>
      <c r="AI1180" s="142" t="s">
        <v>2705</v>
      </c>
      <c r="AJ1180" s="142" t="s">
        <v>2705</v>
      </c>
      <c r="AK1180" s="142" t="s">
        <v>2705</v>
      </c>
      <c r="AL1180" s="142" t="s">
        <v>2705</v>
      </c>
      <c r="AM1180" s="142" t="s">
        <v>2705</v>
      </c>
      <c r="AN1180" s="142" t="s">
        <v>2705</v>
      </c>
      <c r="AO1180" s="142" t="s">
        <v>2705</v>
      </c>
      <c r="AP1180" s="142" t="s">
        <v>2705</v>
      </c>
      <c r="AQ1180" s="142" t="s">
        <v>2398</v>
      </c>
      <c r="AR1180" s="142" t="s">
        <v>2398</v>
      </c>
      <c r="AS1180" s="142" t="s">
        <v>2398</v>
      </c>
      <c r="AT1180" s="142" t="s">
        <v>2705</v>
      </c>
      <c r="AU1180" s="142" t="s">
        <v>2705</v>
      </c>
      <c r="AV1180" s="142" t="s">
        <v>2705</v>
      </c>
      <c r="AW1180" s="142" t="s">
        <v>2705</v>
      </c>
      <c r="AX1180" s="142" t="s">
        <v>2675</v>
      </c>
      <c r="AY1180" s="142" t="s">
        <v>2705</v>
      </c>
      <c r="AZ1180" s="142" t="s">
        <v>2705</v>
      </c>
    </row>
    <row r="1181" spans="1:52" s="142" customFormat="1" ht="12.75" x14ac:dyDescent="0.2">
      <c r="A1181" s="151" t="s">
        <v>7907</v>
      </c>
      <c r="B1181" s="152" t="s">
        <v>2398</v>
      </c>
      <c r="C1181" s="152" t="s">
        <v>2398</v>
      </c>
      <c r="D1181" s="152" t="s">
        <v>2705</v>
      </c>
      <c r="E1181" s="152" t="s">
        <v>2705</v>
      </c>
      <c r="F1181" s="152" t="s">
        <v>2398</v>
      </c>
      <c r="G1181" s="152" t="s">
        <v>2398</v>
      </c>
      <c r="H1181" s="152" t="s">
        <v>2705</v>
      </c>
      <c r="I1181" s="152" t="s">
        <v>2398</v>
      </c>
      <c r="J1181" s="152" t="s">
        <v>2705</v>
      </c>
      <c r="K1181" s="152" t="s">
        <v>2398</v>
      </c>
      <c r="L1181" s="152" t="s">
        <v>2675</v>
      </c>
      <c r="M1181" s="152" t="s">
        <v>2675</v>
      </c>
      <c r="N1181" s="152" t="s">
        <v>2398</v>
      </c>
      <c r="O1181" s="152" t="s">
        <v>1435</v>
      </c>
      <c r="P1181" s="152" t="s">
        <v>2705</v>
      </c>
      <c r="Q1181" s="152" t="s">
        <v>2398</v>
      </c>
      <c r="R1181" s="152" t="s">
        <v>2705</v>
      </c>
      <c r="S1181" s="152" t="s">
        <v>2705</v>
      </c>
      <c r="T1181" s="152" t="s">
        <v>2398</v>
      </c>
      <c r="U1181" s="152" t="s">
        <v>2705</v>
      </c>
      <c r="V1181" s="142" cm="1">
        <f t="array" ref="V1181">IF(A1181&lt;&gt;"",SUM(--(B1181:U1182 = "X")*$U$3,--(B1181:U1182 ="A")*$Q$3,--(B1181:U1182 ="B")*$R$3,--(B1181:U1182 ="C")*$S$3),"")</f>
        <v>15</v>
      </c>
      <c r="AF1181" s="142" t="s">
        <v>7907</v>
      </c>
      <c r="AG1181" s="142" t="s">
        <v>2398</v>
      </c>
      <c r="AH1181" s="142" t="s">
        <v>2398</v>
      </c>
      <c r="AI1181" s="142" t="s">
        <v>2705</v>
      </c>
      <c r="AJ1181" s="142" t="s">
        <v>2705</v>
      </c>
      <c r="AK1181" s="142" t="s">
        <v>2398</v>
      </c>
      <c r="AL1181" s="142" t="s">
        <v>2398</v>
      </c>
      <c r="AM1181" s="142" t="s">
        <v>2705</v>
      </c>
      <c r="AN1181" s="142" t="s">
        <v>2398</v>
      </c>
      <c r="AO1181" s="142" t="s">
        <v>2705</v>
      </c>
      <c r="AP1181" s="142" t="s">
        <v>2398</v>
      </c>
      <c r="AQ1181" s="142" t="s">
        <v>2675</v>
      </c>
      <c r="AR1181" s="142" t="s">
        <v>2675</v>
      </c>
      <c r="AS1181" s="142" t="s">
        <v>2398</v>
      </c>
      <c r="AT1181" s="142" t="s">
        <v>1435</v>
      </c>
      <c r="AU1181" s="142" t="s">
        <v>2705</v>
      </c>
      <c r="AV1181" s="142" t="s">
        <v>2398</v>
      </c>
      <c r="AW1181" s="142" t="s">
        <v>2705</v>
      </c>
      <c r="AX1181" s="142" t="s">
        <v>2705</v>
      </c>
      <c r="AY1181" s="142" t="s">
        <v>2398</v>
      </c>
      <c r="AZ1181" s="142" t="s">
        <v>2705</v>
      </c>
    </row>
    <row r="1182" spans="1:52" s="142" customFormat="1" ht="12.75" x14ac:dyDescent="0.2">
      <c r="A1182" s="151"/>
      <c r="B1182" s="152" t="s">
        <v>2705</v>
      </c>
      <c r="C1182" s="152" t="s">
        <v>2397</v>
      </c>
      <c r="D1182" s="152" t="s">
        <v>1435</v>
      </c>
      <c r="E1182" s="152" t="s">
        <v>2675</v>
      </c>
      <c r="F1182" s="152" t="s">
        <v>2705</v>
      </c>
      <c r="G1182" s="152" t="s">
        <v>2705</v>
      </c>
      <c r="H1182" s="152" t="s">
        <v>2705</v>
      </c>
      <c r="I1182" s="152" t="s">
        <v>2705</v>
      </c>
      <c r="J1182" s="152" t="s">
        <v>2398</v>
      </c>
      <c r="K1182" s="152" t="s">
        <v>1435</v>
      </c>
      <c r="L1182" s="152" t="s">
        <v>2705</v>
      </c>
      <c r="M1182" s="152" t="s">
        <v>2705</v>
      </c>
      <c r="N1182" s="152" t="s">
        <v>2397</v>
      </c>
      <c r="O1182" s="152" t="s">
        <v>2398</v>
      </c>
      <c r="P1182" s="152" t="s">
        <v>2675</v>
      </c>
      <c r="Q1182" s="152" t="s">
        <v>2705</v>
      </c>
      <c r="R1182" s="152" t="s">
        <v>1435</v>
      </c>
      <c r="S1182" s="152" t="s">
        <v>2705</v>
      </c>
      <c r="T1182" s="152" t="s">
        <v>2705</v>
      </c>
      <c r="U1182" s="152" t="s">
        <v>2705</v>
      </c>
      <c r="V1182" s="142" t="str" cm="1">
        <f t="array" ref="V1182">IF(A1182&lt;&gt;"",SUM(--(B1182:U1183 = "X")*$U$3,--(B1182:U1183 ="A")*$Q$3,--(B1182:U1183 ="B")*$R$3,--(B1182:U1183 ="C")*$S$3),"")</f>
        <v/>
      </c>
      <c r="AG1182" s="142" t="s">
        <v>2705</v>
      </c>
      <c r="AH1182" s="142" t="s">
        <v>2397</v>
      </c>
      <c r="AI1182" s="142" t="s">
        <v>1435</v>
      </c>
      <c r="AJ1182" s="142" t="s">
        <v>2675</v>
      </c>
      <c r="AK1182" s="142" t="s">
        <v>2705</v>
      </c>
      <c r="AL1182" s="142" t="s">
        <v>2705</v>
      </c>
      <c r="AM1182" s="142" t="s">
        <v>2705</v>
      </c>
      <c r="AN1182" s="142" t="s">
        <v>2705</v>
      </c>
      <c r="AO1182" s="142" t="s">
        <v>2398</v>
      </c>
      <c r="AP1182" s="142" t="s">
        <v>1435</v>
      </c>
      <c r="AQ1182" s="142" t="s">
        <v>2705</v>
      </c>
      <c r="AR1182" s="142" t="s">
        <v>2705</v>
      </c>
      <c r="AS1182" s="142" t="s">
        <v>2397</v>
      </c>
      <c r="AT1182" s="142" t="s">
        <v>2398</v>
      </c>
      <c r="AU1182" s="142" t="s">
        <v>2675</v>
      </c>
      <c r="AV1182" s="142" t="s">
        <v>2705</v>
      </c>
      <c r="AW1182" s="142" t="s">
        <v>1435</v>
      </c>
      <c r="AX1182" s="142" t="s">
        <v>2705</v>
      </c>
      <c r="AY1182" s="142" t="s">
        <v>2705</v>
      </c>
      <c r="AZ1182" s="142" t="s">
        <v>2705</v>
      </c>
    </row>
    <row r="1183" spans="1:52" s="142" customFormat="1" ht="12.75" x14ac:dyDescent="0.2">
      <c r="A1183" s="151" t="s">
        <v>7908</v>
      </c>
      <c r="B1183" s="152" t="s">
        <v>2705</v>
      </c>
      <c r="C1183" s="152" t="s">
        <v>2705</v>
      </c>
      <c r="D1183" s="152" t="s">
        <v>2705</v>
      </c>
      <c r="E1183" s="152" t="s">
        <v>2705</v>
      </c>
      <c r="F1183" s="152" t="s">
        <v>2398</v>
      </c>
      <c r="G1183" s="152" t="s">
        <v>2705</v>
      </c>
      <c r="H1183" s="152" t="s">
        <v>2398</v>
      </c>
      <c r="I1183" s="152" t="s">
        <v>2398</v>
      </c>
      <c r="J1183" s="152" t="s">
        <v>2705</v>
      </c>
      <c r="K1183" s="152" t="s">
        <v>2705</v>
      </c>
      <c r="L1183" s="152" t="s">
        <v>2705</v>
      </c>
      <c r="M1183" s="152" t="s">
        <v>2705</v>
      </c>
      <c r="N1183" s="152" t="s">
        <v>2705</v>
      </c>
      <c r="O1183" s="152" t="s">
        <v>1435</v>
      </c>
      <c r="P1183" s="152" t="s">
        <v>2397</v>
      </c>
      <c r="Q1183" s="152" t="s">
        <v>2705</v>
      </c>
      <c r="R1183" s="152" t="s">
        <v>2397</v>
      </c>
      <c r="S1183" s="152" t="s">
        <v>2398</v>
      </c>
      <c r="T1183" s="152" t="s">
        <v>2398</v>
      </c>
      <c r="U1183" s="152" t="s">
        <v>2675</v>
      </c>
      <c r="V1183" s="142" cm="1">
        <f t="array" ref="V1183">IF(A1183&lt;&gt;"",SUM(--(B1183:U1184 = "X")*$U$3,--(B1183:U1184 ="A")*$Q$3,--(B1183:U1184 ="B")*$R$3,--(B1183:U1184 ="C")*$S$3),"")</f>
        <v>18</v>
      </c>
      <c r="AF1183" s="142" t="s">
        <v>7908</v>
      </c>
      <c r="AG1183" s="142" t="s">
        <v>2705</v>
      </c>
      <c r="AH1183" s="142" t="s">
        <v>2705</v>
      </c>
      <c r="AI1183" s="142" t="s">
        <v>2705</v>
      </c>
      <c r="AJ1183" s="142" t="s">
        <v>2705</v>
      </c>
      <c r="AK1183" s="142" t="s">
        <v>2398</v>
      </c>
      <c r="AL1183" s="142" t="s">
        <v>2705</v>
      </c>
      <c r="AM1183" s="142" t="s">
        <v>2398</v>
      </c>
      <c r="AN1183" s="142" t="s">
        <v>2398</v>
      </c>
      <c r="AO1183" s="142" t="s">
        <v>2705</v>
      </c>
      <c r="AP1183" s="142" t="s">
        <v>2705</v>
      </c>
      <c r="AQ1183" s="142" t="s">
        <v>2705</v>
      </c>
      <c r="AR1183" s="142" t="s">
        <v>2705</v>
      </c>
      <c r="AS1183" s="142" t="s">
        <v>2705</v>
      </c>
      <c r="AT1183" s="142" t="s">
        <v>1435</v>
      </c>
      <c r="AU1183" s="142" t="s">
        <v>2397</v>
      </c>
      <c r="AV1183" s="142" t="s">
        <v>2705</v>
      </c>
      <c r="AW1183" s="142" t="s">
        <v>2397</v>
      </c>
      <c r="AX1183" s="142" t="s">
        <v>2398</v>
      </c>
      <c r="AY1183" s="142" t="s">
        <v>2398</v>
      </c>
      <c r="AZ1183" s="142" t="s">
        <v>2675</v>
      </c>
    </row>
    <row r="1184" spans="1:52" s="142" customFormat="1" ht="12.75" x14ac:dyDescent="0.2">
      <c r="A1184" s="151"/>
      <c r="B1184" s="152" t="s">
        <v>2397</v>
      </c>
      <c r="C1184" s="152" t="s">
        <v>2398</v>
      </c>
      <c r="D1184" s="152" t="s">
        <v>2705</v>
      </c>
      <c r="E1184" s="152" t="s">
        <v>2675</v>
      </c>
      <c r="F1184" s="152" t="s">
        <v>2705</v>
      </c>
      <c r="G1184" s="152" t="s">
        <v>2675</v>
      </c>
      <c r="H1184" s="152" t="s">
        <v>2398</v>
      </c>
      <c r="I1184" s="152" t="s">
        <v>2705</v>
      </c>
      <c r="J1184" s="152" t="s">
        <v>2705</v>
      </c>
      <c r="K1184" s="152" t="s">
        <v>2675</v>
      </c>
      <c r="L1184" s="152" t="s">
        <v>2705</v>
      </c>
      <c r="M1184" s="152" t="s">
        <v>2398</v>
      </c>
      <c r="N1184" s="152" t="s">
        <v>2398</v>
      </c>
      <c r="O1184" s="152" t="s">
        <v>2705</v>
      </c>
      <c r="P1184" s="152" t="s">
        <v>2675</v>
      </c>
      <c r="Q1184" s="152" t="s">
        <v>2705</v>
      </c>
      <c r="R1184" s="152" t="s">
        <v>2398</v>
      </c>
      <c r="S1184" s="152" t="s">
        <v>2705</v>
      </c>
      <c r="T1184" s="152" t="s">
        <v>2705</v>
      </c>
      <c r="U1184" s="152" t="s">
        <v>2705</v>
      </c>
      <c r="V1184" s="142" t="str" cm="1">
        <f t="array" ref="V1184">IF(A1184&lt;&gt;"",SUM(--(B1184:U1185 = "X")*$U$3,--(B1184:U1185 ="A")*$Q$3,--(B1184:U1185 ="B")*$R$3,--(B1184:U1185 ="C")*$S$3),"")</f>
        <v/>
      </c>
      <c r="AG1184" s="142" t="s">
        <v>2397</v>
      </c>
      <c r="AH1184" s="142" t="s">
        <v>2398</v>
      </c>
      <c r="AI1184" s="142" t="s">
        <v>2705</v>
      </c>
      <c r="AJ1184" s="142" t="s">
        <v>2675</v>
      </c>
      <c r="AK1184" s="142" t="s">
        <v>2705</v>
      </c>
      <c r="AL1184" s="142" t="s">
        <v>2675</v>
      </c>
      <c r="AM1184" s="142" t="s">
        <v>2398</v>
      </c>
      <c r="AN1184" s="142" t="s">
        <v>2705</v>
      </c>
      <c r="AO1184" s="142" t="s">
        <v>2705</v>
      </c>
      <c r="AP1184" s="142" t="s">
        <v>2675</v>
      </c>
      <c r="AQ1184" s="142" t="s">
        <v>2705</v>
      </c>
      <c r="AR1184" s="142" t="s">
        <v>2398</v>
      </c>
      <c r="AS1184" s="142" t="s">
        <v>2398</v>
      </c>
      <c r="AT1184" s="142" t="s">
        <v>2705</v>
      </c>
      <c r="AU1184" s="142" t="s">
        <v>2675</v>
      </c>
      <c r="AV1184" s="142" t="s">
        <v>2705</v>
      </c>
      <c r="AW1184" s="142" t="s">
        <v>2398</v>
      </c>
      <c r="AX1184" s="142" t="s">
        <v>2705</v>
      </c>
      <c r="AY1184" s="142" t="s">
        <v>2705</v>
      </c>
      <c r="AZ1184" s="142" t="s">
        <v>2705</v>
      </c>
    </row>
    <row r="1185" spans="1:52" s="142" customFormat="1" ht="12.75" x14ac:dyDescent="0.2">
      <c r="A1185" s="151" t="s">
        <v>7909</v>
      </c>
      <c r="B1185" s="152" t="s">
        <v>2705</v>
      </c>
      <c r="C1185" s="152" t="s">
        <v>2398</v>
      </c>
      <c r="D1185" s="152" t="s">
        <v>2398</v>
      </c>
      <c r="E1185" s="152" t="s">
        <v>2705</v>
      </c>
      <c r="F1185" s="152" t="s">
        <v>2398</v>
      </c>
      <c r="G1185" s="152" t="s">
        <v>1435</v>
      </c>
      <c r="H1185" s="152" t="s">
        <v>2398</v>
      </c>
      <c r="I1185" s="152" t="s">
        <v>2398</v>
      </c>
      <c r="J1185" s="152" t="s">
        <v>2398</v>
      </c>
      <c r="K1185" s="152" t="s">
        <v>2398</v>
      </c>
      <c r="L1185" s="152" t="s">
        <v>2675</v>
      </c>
      <c r="M1185" s="152" t="s">
        <v>2398</v>
      </c>
      <c r="N1185" s="152" t="s">
        <v>2705</v>
      </c>
      <c r="O1185" s="152" t="s">
        <v>2398</v>
      </c>
      <c r="P1185" s="152" t="s">
        <v>2398</v>
      </c>
      <c r="Q1185" s="152" t="s">
        <v>2398</v>
      </c>
      <c r="R1185" s="152" t="s">
        <v>2705</v>
      </c>
      <c r="S1185" s="152" t="s">
        <v>2705</v>
      </c>
      <c r="T1185" s="152" t="s">
        <v>2398</v>
      </c>
      <c r="U1185" s="152" t="s">
        <v>2398</v>
      </c>
      <c r="V1185" s="142" cm="1">
        <f t="array" ref="V1185">IF(A1185&lt;&gt;"",SUM(--(B1185:U1186 = "X")*$U$3,--(B1185:U1186 ="A")*$Q$3,--(B1185:U1186 ="B")*$R$3,--(B1185:U1186 ="C")*$S$3),"")</f>
        <v>18.5</v>
      </c>
      <c r="AF1185" s="142" t="s">
        <v>7909</v>
      </c>
      <c r="AG1185" s="142" t="s">
        <v>2705</v>
      </c>
      <c r="AH1185" s="142" t="s">
        <v>2398</v>
      </c>
      <c r="AI1185" s="142" t="s">
        <v>2398</v>
      </c>
      <c r="AJ1185" s="142" t="s">
        <v>2705</v>
      </c>
      <c r="AK1185" s="142" t="s">
        <v>2398</v>
      </c>
      <c r="AL1185" s="142" t="s">
        <v>1435</v>
      </c>
      <c r="AM1185" s="142" t="s">
        <v>2398</v>
      </c>
      <c r="AN1185" s="142" t="s">
        <v>2398</v>
      </c>
      <c r="AO1185" s="142" t="s">
        <v>2398</v>
      </c>
      <c r="AP1185" s="142" t="s">
        <v>2398</v>
      </c>
      <c r="AQ1185" s="142" t="s">
        <v>2675</v>
      </c>
      <c r="AR1185" s="142" t="s">
        <v>2398</v>
      </c>
      <c r="AS1185" s="142" t="s">
        <v>2705</v>
      </c>
      <c r="AT1185" s="142" t="s">
        <v>2398</v>
      </c>
      <c r="AU1185" s="142" t="s">
        <v>2398</v>
      </c>
      <c r="AV1185" s="142" t="s">
        <v>2398</v>
      </c>
      <c r="AW1185" s="142" t="s">
        <v>2705</v>
      </c>
      <c r="AX1185" s="142" t="s">
        <v>2705</v>
      </c>
      <c r="AY1185" s="142" t="s">
        <v>2398</v>
      </c>
      <c r="AZ1185" s="142" t="s">
        <v>2398</v>
      </c>
    </row>
    <row r="1186" spans="1:52" s="142" customFormat="1" ht="12.75" x14ac:dyDescent="0.2">
      <c r="A1186" s="151"/>
      <c r="B1186" s="152" t="s">
        <v>2398</v>
      </c>
      <c r="C1186" s="152" t="s">
        <v>2397</v>
      </c>
      <c r="D1186" s="152" t="s">
        <v>2398</v>
      </c>
      <c r="E1186" s="152" t="s">
        <v>2705</v>
      </c>
      <c r="F1186" s="152" t="s">
        <v>2705</v>
      </c>
      <c r="G1186" s="152" t="s">
        <v>2705</v>
      </c>
      <c r="H1186" s="152" t="s">
        <v>2705</v>
      </c>
      <c r="I1186" s="152" t="s">
        <v>2705</v>
      </c>
      <c r="J1186" s="152" t="s">
        <v>2705</v>
      </c>
      <c r="K1186" s="152" t="s">
        <v>2705</v>
      </c>
      <c r="L1186" s="152" t="s">
        <v>2705</v>
      </c>
      <c r="M1186" s="152" t="s">
        <v>2705</v>
      </c>
      <c r="N1186" s="152" t="s">
        <v>2675</v>
      </c>
      <c r="O1186" s="152" t="s">
        <v>2705</v>
      </c>
      <c r="P1186" s="152" t="s">
        <v>2705</v>
      </c>
      <c r="Q1186" s="152" t="s">
        <v>2705</v>
      </c>
      <c r="R1186" s="152" t="s">
        <v>2398</v>
      </c>
      <c r="S1186" s="152" t="s">
        <v>2705</v>
      </c>
      <c r="T1186" s="152" t="s">
        <v>2705</v>
      </c>
      <c r="U1186" s="152" t="s">
        <v>2705</v>
      </c>
      <c r="V1186" s="142" t="str" cm="1">
        <f t="array" ref="V1186">IF(A1186&lt;&gt;"",SUM(--(B1186:U1187 = "X")*$U$3,--(B1186:U1187 ="A")*$Q$3,--(B1186:U1187 ="B")*$R$3,--(B1186:U1187 ="C")*$S$3),"")</f>
        <v/>
      </c>
      <c r="AG1186" s="142" t="s">
        <v>2398</v>
      </c>
      <c r="AH1186" s="142" t="s">
        <v>2397</v>
      </c>
      <c r="AI1186" s="142" t="s">
        <v>2398</v>
      </c>
      <c r="AJ1186" s="142" t="s">
        <v>2705</v>
      </c>
      <c r="AK1186" s="142" t="s">
        <v>2705</v>
      </c>
      <c r="AL1186" s="142" t="s">
        <v>2705</v>
      </c>
      <c r="AM1186" s="142" t="s">
        <v>2705</v>
      </c>
      <c r="AN1186" s="142" t="s">
        <v>2705</v>
      </c>
      <c r="AO1186" s="142" t="s">
        <v>2705</v>
      </c>
      <c r="AP1186" s="142" t="s">
        <v>2705</v>
      </c>
      <c r="AQ1186" s="142" t="s">
        <v>2705</v>
      </c>
      <c r="AR1186" s="142" t="s">
        <v>2705</v>
      </c>
      <c r="AS1186" s="142" t="s">
        <v>2675</v>
      </c>
      <c r="AT1186" s="142" t="s">
        <v>2705</v>
      </c>
      <c r="AU1186" s="142" t="s">
        <v>2705</v>
      </c>
      <c r="AV1186" s="142" t="s">
        <v>2705</v>
      </c>
      <c r="AW1186" s="142" t="s">
        <v>2398</v>
      </c>
      <c r="AX1186" s="142" t="s">
        <v>2705</v>
      </c>
      <c r="AY1186" s="142" t="s">
        <v>2705</v>
      </c>
      <c r="AZ1186" s="142" t="s">
        <v>2705</v>
      </c>
    </row>
    <row r="1187" spans="1:52" s="142" customFormat="1" ht="12.75" x14ac:dyDescent="0.2">
      <c r="A1187" s="151" t="s">
        <v>7910</v>
      </c>
      <c r="B1187" s="152" t="s">
        <v>2705</v>
      </c>
      <c r="C1187" s="152" t="s">
        <v>2705</v>
      </c>
      <c r="D1187" s="152" t="s">
        <v>2705</v>
      </c>
      <c r="E1187" s="152" t="s">
        <v>2398</v>
      </c>
      <c r="F1187" s="152" t="s">
        <v>2705</v>
      </c>
      <c r="G1187" s="152" t="s">
        <v>2705</v>
      </c>
      <c r="H1187" s="152" t="s">
        <v>2398</v>
      </c>
      <c r="I1187" s="152" t="s">
        <v>2398</v>
      </c>
      <c r="J1187" s="152" t="s">
        <v>2705</v>
      </c>
      <c r="K1187" s="152" t="s">
        <v>2705</v>
      </c>
      <c r="L1187" s="152" t="s">
        <v>2705</v>
      </c>
      <c r="M1187" s="152" t="s">
        <v>2398</v>
      </c>
      <c r="N1187" s="152" t="s">
        <v>2705</v>
      </c>
      <c r="O1187" s="152" t="s">
        <v>2705</v>
      </c>
      <c r="P1187" s="152" t="s">
        <v>2397</v>
      </c>
      <c r="Q1187" s="152" t="s">
        <v>2705</v>
      </c>
      <c r="R1187" s="152" t="s">
        <v>2397</v>
      </c>
      <c r="S1187" s="152" t="s">
        <v>2705</v>
      </c>
      <c r="T1187" s="152" t="s">
        <v>2397</v>
      </c>
      <c r="U1187" s="152" t="s">
        <v>2398</v>
      </c>
      <c r="V1187" s="142" cm="1">
        <f t="array" ref="V1187">IF(A1187&lt;&gt;"",SUM(--(B1187:U1188 = "X")*$U$3,--(B1187:U1188 ="A")*$Q$3,--(B1187:U1188 ="B")*$R$3,--(B1187:U1188 ="C")*$S$3),"")</f>
        <v>20</v>
      </c>
      <c r="AF1187" s="142" t="s">
        <v>7910</v>
      </c>
      <c r="AG1187" s="142" t="s">
        <v>2705</v>
      </c>
      <c r="AH1187" s="142" t="s">
        <v>2705</v>
      </c>
      <c r="AI1187" s="142" t="s">
        <v>2705</v>
      </c>
      <c r="AJ1187" s="142" t="s">
        <v>2398</v>
      </c>
      <c r="AK1187" s="142" t="s">
        <v>2705</v>
      </c>
      <c r="AL1187" s="142" t="s">
        <v>2705</v>
      </c>
      <c r="AM1187" s="142" t="s">
        <v>2398</v>
      </c>
      <c r="AN1187" s="142" t="s">
        <v>2398</v>
      </c>
      <c r="AO1187" s="142" t="s">
        <v>2705</v>
      </c>
      <c r="AP1187" s="142" t="s">
        <v>2705</v>
      </c>
      <c r="AQ1187" s="142" t="s">
        <v>2705</v>
      </c>
      <c r="AR1187" s="142" t="s">
        <v>2398</v>
      </c>
      <c r="AS1187" s="142" t="s">
        <v>2705</v>
      </c>
      <c r="AT1187" s="142" t="s">
        <v>2705</v>
      </c>
      <c r="AU1187" s="142" t="s">
        <v>2397</v>
      </c>
      <c r="AV1187" s="142" t="s">
        <v>2705</v>
      </c>
      <c r="AW1187" s="142" t="s">
        <v>2397</v>
      </c>
      <c r="AX1187" s="142" t="s">
        <v>2705</v>
      </c>
      <c r="AY1187" s="142" t="s">
        <v>2397</v>
      </c>
      <c r="AZ1187" s="142" t="s">
        <v>2398</v>
      </c>
    </row>
    <row r="1188" spans="1:52" s="142" customFormat="1" ht="12.75" x14ac:dyDescent="0.2">
      <c r="A1188" s="151"/>
      <c r="B1188" s="152" t="s">
        <v>2397</v>
      </c>
      <c r="C1188" s="152" t="s">
        <v>2398</v>
      </c>
      <c r="D1188" s="152" t="s">
        <v>2675</v>
      </c>
      <c r="E1188" s="152" t="s">
        <v>2705</v>
      </c>
      <c r="F1188" s="152" t="s">
        <v>2675</v>
      </c>
      <c r="G1188" s="152" t="s">
        <v>2705</v>
      </c>
      <c r="H1188" s="152" t="s">
        <v>2398</v>
      </c>
      <c r="I1188" s="152" t="s">
        <v>2705</v>
      </c>
      <c r="J1188" s="152" t="s">
        <v>2705</v>
      </c>
      <c r="K1188" s="152" t="s">
        <v>2398</v>
      </c>
      <c r="L1188" s="152" t="s">
        <v>2705</v>
      </c>
      <c r="M1188" s="152" t="s">
        <v>2398</v>
      </c>
      <c r="N1188" s="152" t="s">
        <v>2705</v>
      </c>
      <c r="O1188" s="152" t="s">
        <v>2705</v>
      </c>
      <c r="P1188" s="152" t="s">
        <v>2705</v>
      </c>
      <c r="Q1188" s="152" t="s">
        <v>2398</v>
      </c>
      <c r="R1188" s="152" t="s">
        <v>2398</v>
      </c>
      <c r="S1188" s="152" t="s">
        <v>2398</v>
      </c>
      <c r="T1188" s="152" t="s">
        <v>2705</v>
      </c>
      <c r="U1188" s="152" t="s">
        <v>2398</v>
      </c>
      <c r="V1188" s="142" t="str" cm="1">
        <f t="array" ref="V1188">IF(A1188&lt;&gt;"",SUM(--(B1188:U1189 = "X")*$U$3,--(B1188:U1189 ="A")*$Q$3,--(B1188:U1189 ="B")*$R$3,--(B1188:U1189 ="C")*$S$3),"")</f>
        <v/>
      </c>
      <c r="AG1188" s="142" t="s">
        <v>2397</v>
      </c>
      <c r="AH1188" s="142" t="s">
        <v>2398</v>
      </c>
      <c r="AI1188" s="142" t="s">
        <v>2675</v>
      </c>
      <c r="AJ1188" s="142" t="s">
        <v>2705</v>
      </c>
      <c r="AK1188" s="142" t="s">
        <v>2675</v>
      </c>
      <c r="AL1188" s="142" t="s">
        <v>2705</v>
      </c>
      <c r="AM1188" s="142" t="s">
        <v>2398</v>
      </c>
      <c r="AN1188" s="142" t="s">
        <v>2705</v>
      </c>
      <c r="AO1188" s="142" t="s">
        <v>2705</v>
      </c>
      <c r="AP1188" s="142" t="s">
        <v>2398</v>
      </c>
      <c r="AQ1188" s="142" t="s">
        <v>2705</v>
      </c>
      <c r="AR1188" s="142" t="s">
        <v>2398</v>
      </c>
      <c r="AS1188" s="142" t="s">
        <v>2705</v>
      </c>
      <c r="AT1188" s="142" t="s">
        <v>2705</v>
      </c>
      <c r="AU1188" s="142" t="s">
        <v>2705</v>
      </c>
      <c r="AV1188" s="142" t="s">
        <v>2398</v>
      </c>
      <c r="AW1188" s="142" t="s">
        <v>2398</v>
      </c>
      <c r="AX1188" s="142" t="s">
        <v>2398</v>
      </c>
      <c r="AY1188" s="142" t="s">
        <v>2705</v>
      </c>
      <c r="AZ1188" s="142" t="s">
        <v>2398</v>
      </c>
    </row>
    <row r="1189" spans="1:52" s="142" customFormat="1" ht="12.75" x14ac:dyDescent="0.2">
      <c r="A1189" s="151" t="s">
        <v>7911</v>
      </c>
      <c r="B1189" s="152" t="s">
        <v>2705</v>
      </c>
      <c r="C1189" s="152" t="s">
        <v>2705</v>
      </c>
      <c r="D1189" s="152" t="s">
        <v>2705</v>
      </c>
      <c r="E1189" s="152" t="s">
        <v>2398</v>
      </c>
      <c r="F1189" s="152" t="s">
        <v>1435</v>
      </c>
      <c r="G1189" s="152" t="s">
        <v>1435</v>
      </c>
      <c r="H1189" s="152" t="s">
        <v>2705</v>
      </c>
      <c r="I1189" s="152" t="s">
        <v>2398</v>
      </c>
      <c r="J1189" s="152" t="s">
        <v>2705</v>
      </c>
      <c r="K1189" s="152" t="s">
        <v>1435</v>
      </c>
      <c r="L1189" s="152" t="s">
        <v>2705</v>
      </c>
      <c r="M1189" s="152" t="s">
        <v>2705</v>
      </c>
      <c r="N1189" s="152" t="s">
        <v>1435</v>
      </c>
      <c r="O1189" s="152" t="s">
        <v>2398</v>
      </c>
      <c r="P1189" s="152" t="s">
        <v>2398</v>
      </c>
      <c r="Q1189" s="152" t="s">
        <v>1435</v>
      </c>
      <c r="R1189" s="152" t="s">
        <v>2398</v>
      </c>
      <c r="S1189" s="152" t="s">
        <v>2705</v>
      </c>
      <c r="T1189" s="152" t="s">
        <v>2705</v>
      </c>
      <c r="U1189" s="152" t="s">
        <v>2398</v>
      </c>
      <c r="V1189" s="142" cm="1">
        <f t="array" ref="V1189">IF(A1189&lt;&gt;"",SUM(--(B1189:U1190 = "X")*$U$3,--(B1189:U1190 ="A")*$Q$3,--(B1189:U1190 ="B")*$R$3,--(B1189:U1190 ="C")*$S$3),"")</f>
        <v>13</v>
      </c>
      <c r="AF1189" s="142" t="s">
        <v>7911</v>
      </c>
      <c r="AG1189" s="142" t="s">
        <v>2705</v>
      </c>
      <c r="AH1189" s="142" t="s">
        <v>2705</v>
      </c>
      <c r="AI1189" s="142" t="s">
        <v>2705</v>
      </c>
      <c r="AJ1189" s="142" t="s">
        <v>2398</v>
      </c>
      <c r="AK1189" s="142" t="s">
        <v>1435</v>
      </c>
      <c r="AL1189" s="142" t="s">
        <v>1435</v>
      </c>
      <c r="AM1189" s="142" t="s">
        <v>2705</v>
      </c>
      <c r="AN1189" s="142" t="s">
        <v>2398</v>
      </c>
      <c r="AO1189" s="142" t="s">
        <v>2705</v>
      </c>
      <c r="AP1189" s="142" t="s">
        <v>1435</v>
      </c>
      <c r="AQ1189" s="142" t="s">
        <v>2705</v>
      </c>
      <c r="AR1189" s="142" t="s">
        <v>2705</v>
      </c>
      <c r="AS1189" s="142" t="s">
        <v>1435</v>
      </c>
      <c r="AT1189" s="142" t="s">
        <v>2398</v>
      </c>
      <c r="AU1189" s="142" t="s">
        <v>2398</v>
      </c>
      <c r="AV1189" s="142" t="s">
        <v>1435</v>
      </c>
      <c r="AW1189" s="142" t="s">
        <v>2398</v>
      </c>
      <c r="AX1189" s="142" t="s">
        <v>2705</v>
      </c>
      <c r="AY1189" s="142" t="s">
        <v>2705</v>
      </c>
      <c r="AZ1189" s="142" t="s">
        <v>2398</v>
      </c>
    </row>
    <row r="1190" spans="1:52" s="142" customFormat="1" ht="12.75" x14ac:dyDescent="0.2">
      <c r="A1190" s="151"/>
      <c r="B1190" s="152" t="s">
        <v>2398</v>
      </c>
      <c r="C1190" s="152" t="s">
        <v>2397</v>
      </c>
      <c r="D1190" s="152" t="s">
        <v>2705</v>
      </c>
      <c r="E1190" s="152" t="s">
        <v>2398</v>
      </c>
      <c r="F1190" s="152" t="s">
        <v>2705</v>
      </c>
      <c r="G1190" s="152" t="s">
        <v>2398</v>
      </c>
      <c r="H1190" s="152" t="s">
        <v>2675</v>
      </c>
      <c r="I1190" s="152" t="s">
        <v>2705</v>
      </c>
      <c r="J1190" s="152" t="s">
        <v>2398</v>
      </c>
      <c r="K1190" s="152" t="s">
        <v>2398</v>
      </c>
      <c r="L1190" s="152" t="s">
        <v>2398</v>
      </c>
      <c r="M1190" s="152" t="s">
        <v>2398</v>
      </c>
      <c r="N1190" s="152" t="s">
        <v>2398</v>
      </c>
      <c r="O1190" s="152" t="s">
        <v>2705</v>
      </c>
      <c r="P1190" s="152" t="s">
        <v>2705</v>
      </c>
      <c r="Q1190" s="152" t="s">
        <v>2398</v>
      </c>
      <c r="R1190" s="152" t="s">
        <v>2398</v>
      </c>
      <c r="S1190" s="152" t="s">
        <v>2705</v>
      </c>
      <c r="T1190" s="152" t="s">
        <v>2398</v>
      </c>
      <c r="U1190" s="152" t="s">
        <v>2705</v>
      </c>
      <c r="V1190" s="142" t="str" cm="1">
        <f t="array" ref="V1190">IF(A1190&lt;&gt;"",SUM(--(B1190:U1191 = "X")*$U$3,--(B1190:U1191 ="A")*$Q$3,--(B1190:U1191 ="B")*$R$3,--(B1190:U1191 ="C")*$S$3),"")</f>
        <v/>
      </c>
      <c r="AG1190" s="142" t="s">
        <v>2398</v>
      </c>
      <c r="AH1190" s="142" t="s">
        <v>2397</v>
      </c>
      <c r="AI1190" s="142" t="s">
        <v>2705</v>
      </c>
      <c r="AJ1190" s="142" t="s">
        <v>2398</v>
      </c>
      <c r="AK1190" s="142" t="s">
        <v>2705</v>
      </c>
      <c r="AL1190" s="142" t="s">
        <v>2398</v>
      </c>
      <c r="AM1190" s="142" t="s">
        <v>2675</v>
      </c>
      <c r="AN1190" s="142" t="s">
        <v>2705</v>
      </c>
      <c r="AO1190" s="142" t="s">
        <v>2398</v>
      </c>
      <c r="AP1190" s="142" t="s">
        <v>2398</v>
      </c>
      <c r="AQ1190" s="142" t="s">
        <v>2398</v>
      </c>
      <c r="AR1190" s="142" t="s">
        <v>2398</v>
      </c>
      <c r="AS1190" s="142" t="s">
        <v>2398</v>
      </c>
      <c r="AT1190" s="142" t="s">
        <v>2705</v>
      </c>
      <c r="AU1190" s="142" t="s">
        <v>2705</v>
      </c>
      <c r="AV1190" s="142" t="s">
        <v>2398</v>
      </c>
      <c r="AW1190" s="142" t="s">
        <v>2398</v>
      </c>
      <c r="AX1190" s="142" t="s">
        <v>2705</v>
      </c>
      <c r="AY1190" s="142" t="s">
        <v>2398</v>
      </c>
      <c r="AZ1190" s="142" t="s">
        <v>2705</v>
      </c>
    </row>
    <row r="1191" spans="1:52" s="142" customFormat="1" ht="12.75" x14ac:dyDescent="0.2">
      <c r="A1191" s="151" t="s">
        <v>7912</v>
      </c>
      <c r="B1191" s="152" t="s">
        <v>2705</v>
      </c>
      <c r="C1191" s="152" t="s">
        <v>1435</v>
      </c>
      <c r="D1191" s="152" t="s">
        <v>2705</v>
      </c>
      <c r="E1191" s="152" t="s">
        <v>1435</v>
      </c>
      <c r="F1191" s="152" t="s">
        <v>2705</v>
      </c>
      <c r="G1191" s="152" t="s">
        <v>2705</v>
      </c>
      <c r="H1191" s="152" t="s">
        <v>2705</v>
      </c>
      <c r="I1191" s="152" t="s">
        <v>2705</v>
      </c>
      <c r="J1191" s="152" t="s">
        <v>2675</v>
      </c>
      <c r="K1191" s="152" t="s">
        <v>2398</v>
      </c>
      <c r="L1191" s="152" t="s">
        <v>2705</v>
      </c>
      <c r="M1191" s="152" t="s">
        <v>2398</v>
      </c>
      <c r="N1191" s="152" t="s">
        <v>2398</v>
      </c>
      <c r="O1191" s="152" t="s">
        <v>2705</v>
      </c>
      <c r="P1191" s="152" t="s">
        <v>2705</v>
      </c>
      <c r="Q1191" s="152" t="s">
        <v>2397</v>
      </c>
      <c r="R1191" s="152" t="s">
        <v>2675</v>
      </c>
      <c r="S1191" s="152" t="s">
        <v>2398</v>
      </c>
      <c r="T1191" s="152" t="s">
        <v>2398</v>
      </c>
      <c r="U1191" s="152" t="s">
        <v>2705</v>
      </c>
      <c r="V1191" s="142" cm="1">
        <f t="array" ref="V1191">IF(A1191&lt;&gt;"",SUM(--(B1191:U1192 = "X")*$U$3,--(B1191:U1192 ="A")*$Q$3,--(B1191:U1192 ="B")*$R$3,--(B1191:U1192 ="C")*$S$3),"")</f>
        <v>14.5</v>
      </c>
      <c r="AF1191" s="142" t="s">
        <v>7912</v>
      </c>
      <c r="AG1191" s="142" t="s">
        <v>2705</v>
      </c>
      <c r="AH1191" s="142" t="s">
        <v>1435</v>
      </c>
      <c r="AI1191" s="142" t="s">
        <v>2705</v>
      </c>
      <c r="AJ1191" s="142" t="s">
        <v>1435</v>
      </c>
      <c r="AK1191" s="142" t="s">
        <v>2705</v>
      </c>
      <c r="AL1191" s="142" t="s">
        <v>2705</v>
      </c>
      <c r="AM1191" s="142" t="s">
        <v>2705</v>
      </c>
      <c r="AN1191" s="142" t="s">
        <v>2705</v>
      </c>
      <c r="AO1191" s="142" t="s">
        <v>2675</v>
      </c>
      <c r="AP1191" s="142" t="s">
        <v>2398</v>
      </c>
      <c r="AQ1191" s="142" t="s">
        <v>2705</v>
      </c>
      <c r="AR1191" s="142" t="s">
        <v>2398</v>
      </c>
      <c r="AS1191" s="142" t="s">
        <v>2398</v>
      </c>
      <c r="AT1191" s="142" t="s">
        <v>2705</v>
      </c>
      <c r="AU1191" s="142" t="s">
        <v>2705</v>
      </c>
      <c r="AV1191" s="142" t="s">
        <v>2397</v>
      </c>
      <c r="AW1191" s="142" t="s">
        <v>2675</v>
      </c>
      <c r="AX1191" s="142" t="s">
        <v>2398</v>
      </c>
      <c r="AY1191" s="142" t="s">
        <v>2398</v>
      </c>
      <c r="AZ1191" s="142" t="s">
        <v>2705</v>
      </c>
    </row>
    <row r="1192" spans="1:52" s="142" customFormat="1" ht="12.75" x14ac:dyDescent="0.2">
      <c r="A1192" s="151"/>
      <c r="B1192" s="152" t="s">
        <v>2398</v>
      </c>
      <c r="C1192" s="152" t="s">
        <v>2705</v>
      </c>
      <c r="D1192" s="152" t="s">
        <v>2705</v>
      </c>
      <c r="E1192" s="152" t="s">
        <v>2705</v>
      </c>
      <c r="F1192" s="152" t="s">
        <v>2705</v>
      </c>
      <c r="G1192" s="152" t="s">
        <v>2398</v>
      </c>
      <c r="H1192" s="152" t="s">
        <v>2675</v>
      </c>
      <c r="I1192" s="152" t="s">
        <v>2705</v>
      </c>
      <c r="J1192" s="152" t="s">
        <v>2675</v>
      </c>
      <c r="K1192" s="152" t="s">
        <v>1435</v>
      </c>
      <c r="L1192" s="152" t="s">
        <v>2705</v>
      </c>
      <c r="M1192" s="152" t="s">
        <v>2398</v>
      </c>
      <c r="N1192" s="152" t="s">
        <v>2398</v>
      </c>
      <c r="O1192" s="152" t="s">
        <v>2705</v>
      </c>
      <c r="P1192" s="152" t="s">
        <v>2398</v>
      </c>
      <c r="Q1192" s="152" t="s">
        <v>1435</v>
      </c>
      <c r="R1192" s="152" t="s">
        <v>2398</v>
      </c>
      <c r="S1192" s="152" t="s">
        <v>2705</v>
      </c>
      <c r="T1192" s="152" t="s">
        <v>2705</v>
      </c>
      <c r="U1192" s="152" t="s">
        <v>1435</v>
      </c>
      <c r="V1192" s="142" t="str" cm="1">
        <f t="array" ref="V1192">IF(A1192&lt;&gt;"",SUM(--(B1192:U1193 = "X")*$U$3,--(B1192:U1193 ="A")*$Q$3,--(B1192:U1193 ="B")*$R$3,--(B1192:U1193 ="C")*$S$3),"")</f>
        <v/>
      </c>
      <c r="AG1192" s="142" t="s">
        <v>2398</v>
      </c>
      <c r="AH1192" s="142" t="s">
        <v>2705</v>
      </c>
      <c r="AI1192" s="142" t="s">
        <v>2705</v>
      </c>
      <c r="AJ1192" s="142" t="s">
        <v>2705</v>
      </c>
      <c r="AK1192" s="142" t="s">
        <v>2705</v>
      </c>
      <c r="AL1192" s="142" t="s">
        <v>2398</v>
      </c>
      <c r="AM1192" s="142" t="s">
        <v>2675</v>
      </c>
      <c r="AN1192" s="142" t="s">
        <v>2705</v>
      </c>
      <c r="AO1192" s="142" t="s">
        <v>2675</v>
      </c>
      <c r="AP1192" s="142" t="s">
        <v>1435</v>
      </c>
      <c r="AQ1192" s="142" t="s">
        <v>2705</v>
      </c>
      <c r="AR1192" s="142" t="s">
        <v>2398</v>
      </c>
      <c r="AS1192" s="142" t="s">
        <v>2398</v>
      </c>
      <c r="AT1192" s="142" t="s">
        <v>2705</v>
      </c>
      <c r="AU1192" s="142" t="s">
        <v>2398</v>
      </c>
      <c r="AV1192" s="142" t="s">
        <v>1435</v>
      </c>
      <c r="AW1192" s="142" t="s">
        <v>2398</v>
      </c>
      <c r="AX1192" s="142" t="s">
        <v>2705</v>
      </c>
      <c r="AY1192" s="142" t="s">
        <v>2705</v>
      </c>
      <c r="AZ1192" s="142" t="s">
        <v>1435</v>
      </c>
    </row>
    <row r="1193" spans="1:52" s="142" customFormat="1" ht="12.75" x14ac:dyDescent="0.2">
      <c r="A1193" s="151" t="s">
        <v>7913</v>
      </c>
      <c r="B1193" s="152" t="s">
        <v>1435</v>
      </c>
      <c r="C1193" s="152" t="s">
        <v>2705</v>
      </c>
      <c r="D1193" s="152" t="s">
        <v>2398</v>
      </c>
      <c r="E1193" s="152" t="s">
        <v>2705</v>
      </c>
      <c r="F1193" s="152" t="s">
        <v>2705</v>
      </c>
      <c r="G1193" s="152" t="s">
        <v>2705</v>
      </c>
      <c r="H1193" s="152" t="s">
        <v>2705</v>
      </c>
      <c r="I1193" s="152" t="s">
        <v>2705</v>
      </c>
      <c r="J1193" s="152" t="s">
        <v>2675</v>
      </c>
      <c r="K1193" s="152" t="s">
        <v>2705</v>
      </c>
      <c r="L1193" s="152" t="s">
        <v>2705</v>
      </c>
      <c r="M1193" s="152" t="s">
        <v>2705</v>
      </c>
      <c r="N1193" s="152" t="s">
        <v>2705</v>
      </c>
      <c r="O1193" s="152" t="s">
        <v>2705</v>
      </c>
      <c r="P1193" s="152" t="s">
        <v>2705</v>
      </c>
      <c r="Q1193" s="152" t="s">
        <v>2705</v>
      </c>
      <c r="R1193" s="152" t="s">
        <v>2705</v>
      </c>
      <c r="S1193" s="152" t="s">
        <v>2705</v>
      </c>
      <c r="T1193" s="152" t="s">
        <v>2398</v>
      </c>
      <c r="U1193" s="152" t="s">
        <v>2705</v>
      </c>
      <c r="V1193" s="142" cm="1">
        <f t="array" ref="V1193">IF(A1193&lt;&gt;"",SUM(--(B1193:U1194 = "X")*$U$3,--(B1193:U1194 ="A")*$Q$3,--(B1193:U1194 ="B")*$R$3,--(B1193:U1194 ="C")*$S$3),"")</f>
        <v>25.5</v>
      </c>
      <c r="AF1193" s="142" t="s">
        <v>7913</v>
      </c>
      <c r="AG1193" s="142" t="s">
        <v>1435</v>
      </c>
      <c r="AH1193" s="142" t="s">
        <v>2705</v>
      </c>
      <c r="AI1193" s="142" t="s">
        <v>2398</v>
      </c>
      <c r="AJ1193" s="142" t="s">
        <v>2705</v>
      </c>
      <c r="AK1193" s="142" t="s">
        <v>2705</v>
      </c>
      <c r="AL1193" s="142" t="s">
        <v>2705</v>
      </c>
      <c r="AM1193" s="142" t="s">
        <v>2705</v>
      </c>
      <c r="AN1193" s="142" t="s">
        <v>2705</v>
      </c>
      <c r="AO1193" s="142" t="s">
        <v>2675</v>
      </c>
      <c r="AP1193" s="142" t="s">
        <v>2705</v>
      </c>
      <c r="AQ1193" s="142" t="s">
        <v>2705</v>
      </c>
      <c r="AR1193" s="142" t="s">
        <v>2705</v>
      </c>
      <c r="AS1193" s="142" t="s">
        <v>2705</v>
      </c>
      <c r="AT1193" s="142" t="s">
        <v>2705</v>
      </c>
      <c r="AU1193" s="142" t="s">
        <v>2705</v>
      </c>
      <c r="AV1193" s="142" t="s">
        <v>2705</v>
      </c>
      <c r="AW1193" s="142" t="s">
        <v>2705</v>
      </c>
      <c r="AX1193" s="142" t="s">
        <v>2705</v>
      </c>
      <c r="AY1193" s="142" t="s">
        <v>2398</v>
      </c>
      <c r="AZ1193" s="142" t="s">
        <v>2705</v>
      </c>
    </row>
    <row r="1194" spans="1:52" s="142" customFormat="1" ht="12.75" x14ac:dyDescent="0.2">
      <c r="A1194" s="151"/>
      <c r="B1194" s="152" t="s">
        <v>1435</v>
      </c>
      <c r="C1194" s="152" t="s">
        <v>2397</v>
      </c>
      <c r="D1194" s="152" t="s">
        <v>2705</v>
      </c>
      <c r="E1194" s="152" t="s">
        <v>1435</v>
      </c>
      <c r="F1194" s="152" t="s">
        <v>2705</v>
      </c>
      <c r="G1194" s="152" t="s">
        <v>2705</v>
      </c>
      <c r="H1194" s="152" t="s">
        <v>2705</v>
      </c>
      <c r="I1194" s="152" t="s">
        <v>2675</v>
      </c>
      <c r="J1194" s="152" t="s">
        <v>2675</v>
      </c>
      <c r="K1194" s="152" t="s">
        <v>2705</v>
      </c>
      <c r="L1194" s="152" t="s">
        <v>2705</v>
      </c>
      <c r="M1194" s="152" t="s">
        <v>2705</v>
      </c>
      <c r="N1194" s="152" t="s">
        <v>2705</v>
      </c>
      <c r="O1194" s="152" t="s">
        <v>2705</v>
      </c>
      <c r="P1194" s="152" t="s">
        <v>2705</v>
      </c>
      <c r="Q1194" s="152" t="s">
        <v>2705</v>
      </c>
      <c r="R1194" s="152" t="s">
        <v>1435</v>
      </c>
      <c r="S1194" s="152" t="s">
        <v>2705</v>
      </c>
      <c r="T1194" s="152" t="s">
        <v>2705</v>
      </c>
      <c r="U1194" s="152" t="s">
        <v>2397</v>
      </c>
      <c r="V1194" s="142" t="str" cm="1">
        <f t="array" ref="V1194">IF(A1194&lt;&gt;"",SUM(--(B1194:U1195 = "X")*$U$3,--(B1194:U1195 ="A")*$Q$3,--(B1194:U1195 ="B")*$R$3,--(B1194:U1195 ="C")*$S$3),"")</f>
        <v/>
      </c>
      <c r="AG1194" s="142" t="s">
        <v>1435</v>
      </c>
      <c r="AH1194" s="142" t="s">
        <v>2397</v>
      </c>
      <c r="AI1194" s="142" t="s">
        <v>2705</v>
      </c>
      <c r="AJ1194" s="142" t="s">
        <v>1435</v>
      </c>
      <c r="AK1194" s="142" t="s">
        <v>2705</v>
      </c>
      <c r="AL1194" s="142" t="s">
        <v>2705</v>
      </c>
      <c r="AM1194" s="142" t="s">
        <v>2705</v>
      </c>
      <c r="AN1194" s="142" t="s">
        <v>2675</v>
      </c>
      <c r="AO1194" s="142" t="s">
        <v>2675</v>
      </c>
      <c r="AP1194" s="142" t="s">
        <v>2705</v>
      </c>
      <c r="AQ1194" s="142" t="s">
        <v>2705</v>
      </c>
      <c r="AR1194" s="142" t="s">
        <v>2705</v>
      </c>
      <c r="AS1194" s="142" t="s">
        <v>2705</v>
      </c>
      <c r="AT1194" s="142" t="s">
        <v>2705</v>
      </c>
      <c r="AU1194" s="142" t="s">
        <v>2705</v>
      </c>
      <c r="AV1194" s="142" t="s">
        <v>2705</v>
      </c>
      <c r="AW1194" s="142" t="s">
        <v>1435</v>
      </c>
      <c r="AX1194" s="142" t="s">
        <v>2705</v>
      </c>
      <c r="AY1194" s="142" t="s">
        <v>2705</v>
      </c>
      <c r="AZ1194" s="142" t="s">
        <v>2397</v>
      </c>
    </row>
    <row r="1195" spans="1:52" s="142" customFormat="1" ht="12.75" x14ac:dyDescent="0.2">
      <c r="A1195" s="151" t="s">
        <v>7914</v>
      </c>
      <c r="B1195" s="152" t="s">
        <v>2705</v>
      </c>
      <c r="C1195" s="152" t="s">
        <v>2705</v>
      </c>
      <c r="D1195" s="152" t="s">
        <v>2705</v>
      </c>
      <c r="E1195" s="152" t="s">
        <v>2705</v>
      </c>
      <c r="F1195" s="152" t="s">
        <v>2705</v>
      </c>
      <c r="G1195" s="152" t="s">
        <v>2705</v>
      </c>
      <c r="H1195" s="152" t="s">
        <v>2705</v>
      </c>
      <c r="I1195" s="152" t="s">
        <v>2398</v>
      </c>
      <c r="J1195" s="152" t="s">
        <v>2675</v>
      </c>
      <c r="K1195" s="152" t="s">
        <v>1435</v>
      </c>
      <c r="L1195" s="152" t="s">
        <v>2705</v>
      </c>
      <c r="M1195" s="152" t="s">
        <v>2398</v>
      </c>
      <c r="N1195" s="152" t="s">
        <v>2675</v>
      </c>
      <c r="O1195" s="152" t="s">
        <v>2398</v>
      </c>
      <c r="P1195" s="152" t="s">
        <v>2705</v>
      </c>
      <c r="Q1195" s="152" t="s">
        <v>2398</v>
      </c>
      <c r="R1195" s="152" t="s">
        <v>2675</v>
      </c>
      <c r="S1195" s="152" t="s">
        <v>2398</v>
      </c>
      <c r="T1195" s="152" t="s">
        <v>2705</v>
      </c>
      <c r="U1195" s="152" t="s">
        <v>2705</v>
      </c>
      <c r="V1195" s="142" cm="1">
        <f t="array" ref="V1195">IF(A1195&lt;&gt;"",SUM(--(B1195:U1196 = "X")*$U$3,--(B1195:U1196 ="A")*$Q$3,--(B1195:U1196 ="B")*$R$3,--(B1195:U1196 ="C")*$S$3),"")</f>
        <v>16.5</v>
      </c>
      <c r="AF1195" s="142" t="s">
        <v>7914</v>
      </c>
      <c r="AG1195" s="142" t="s">
        <v>2705</v>
      </c>
      <c r="AH1195" s="142" t="s">
        <v>2705</v>
      </c>
      <c r="AI1195" s="142" t="s">
        <v>2705</v>
      </c>
      <c r="AJ1195" s="142" t="s">
        <v>2705</v>
      </c>
      <c r="AK1195" s="142" t="s">
        <v>2705</v>
      </c>
      <c r="AL1195" s="142" t="s">
        <v>2705</v>
      </c>
      <c r="AM1195" s="142" t="s">
        <v>2705</v>
      </c>
      <c r="AN1195" s="142" t="s">
        <v>2398</v>
      </c>
      <c r="AO1195" s="142" t="s">
        <v>2675</v>
      </c>
      <c r="AP1195" s="142" t="s">
        <v>1435</v>
      </c>
      <c r="AQ1195" s="142" t="s">
        <v>2705</v>
      </c>
      <c r="AR1195" s="142" t="s">
        <v>2398</v>
      </c>
      <c r="AS1195" s="142" t="s">
        <v>2675</v>
      </c>
      <c r="AT1195" s="142" t="s">
        <v>2398</v>
      </c>
      <c r="AU1195" s="142" t="s">
        <v>2705</v>
      </c>
      <c r="AV1195" s="142" t="s">
        <v>2398</v>
      </c>
      <c r="AW1195" s="142" t="s">
        <v>2675</v>
      </c>
      <c r="AX1195" s="142" t="s">
        <v>2398</v>
      </c>
      <c r="AY1195" s="142" t="s">
        <v>2705</v>
      </c>
      <c r="AZ1195" s="142" t="s">
        <v>2705</v>
      </c>
    </row>
    <row r="1196" spans="1:52" s="142" customFormat="1" ht="12.75" x14ac:dyDescent="0.2">
      <c r="A1196" s="151"/>
      <c r="B1196" s="152" t="s">
        <v>2398</v>
      </c>
      <c r="C1196" s="152" t="s">
        <v>2398</v>
      </c>
      <c r="D1196" s="152" t="s">
        <v>2705</v>
      </c>
      <c r="E1196" s="152" t="s">
        <v>2705</v>
      </c>
      <c r="F1196" s="152" t="s">
        <v>2705</v>
      </c>
      <c r="G1196" s="152" t="s">
        <v>2675</v>
      </c>
      <c r="H1196" s="152" t="s">
        <v>2398</v>
      </c>
      <c r="I1196" s="152" t="s">
        <v>2705</v>
      </c>
      <c r="J1196" s="152" t="s">
        <v>2398</v>
      </c>
      <c r="K1196" s="152" t="s">
        <v>2398</v>
      </c>
      <c r="L1196" s="152" t="s">
        <v>2705</v>
      </c>
      <c r="M1196" s="152" t="s">
        <v>2398</v>
      </c>
      <c r="N1196" s="152" t="s">
        <v>2397</v>
      </c>
      <c r="O1196" s="152" t="s">
        <v>2705</v>
      </c>
      <c r="P1196" s="152" t="s">
        <v>2398</v>
      </c>
      <c r="Q1196" s="152" t="s">
        <v>2398</v>
      </c>
      <c r="R1196" s="152" t="s">
        <v>2398</v>
      </c>
      <c r="S1196" s="152" t="s">
        <v>2705</v>
      </c>
      <c r="T1196" s="152" t="s">
        <v>2398</v>
      </c>
      <c r="U1196" s="152" t="s">
        <v>2705</v>
      </c>
      <c r="V1196" s="142" t="str" cm="1">
        <f t="array" ref="V1196">IF(A1196&lt;&gt;"",SUM(--(B1196:U1197 = "X")*$U$3,--(B1196:U1197 ="A")*$Q$3,--(B1196:U1197 ="B")*$R$3,--(B1196:U1197 ="C")*$S$3),"")</f>
        <v/>
      </c>
      <c r="AG1196" s="142" t="s">
        <v>2398</v>
      </c>
      <c r="AH1196" s="142" t="s">
        <v>2398</v>
      </c>
      <c r="AI1196" s="142" t="s">
        <v>2705</v>
      </c>
      <c r="AJ1196" s="142" t="s">
        <v>2705</v>
      </c>
      <c r="AK1196" s="142" t="s">
        <v>2705</v>
      </c>
      <c r="AL1196" s="142" t="s">
        <v>2675</v>
      </c>
      <c r="AM1196" s="142" t="s">
        <v>2398</v>
      </c>
      <c r="AN1196" s="142" t="s">
        <v>2705</v>
      </c>
      <c r="AO1196" s="142" t="s">
        <v>2398</v>
      </c>
      <c r="AP1196" s="142" t="s">
        <v>2398</v>
      </c>
      <c r="AQ1196" s="142" t="s">
        <v>2705</v>
      </c>
      <c r="AR1196" s="142" t="s">
        <v>2398</v>
      </c>
      <c r="AS1196" s="142" t="s">
        <v>2397</v>
      </c>
      <c r="AT1196" s="142" t="s">
        <v>2705</v>
      </c>
      <c r="AU1196" s="142" t="s">
        <v>2398</v>
      </c>
      <c r="AV1196" s="142" t="s">
        <v>2398</v>
      </c>
      <c r="AW1196" s="142" t="s">
        <v>2398</v>
      </c>
      <c r="AX1196" s="142" t="s">
        <v>2705</v>
      </c>
      <c r="AY1196" s="142" t="s">
        <v>2398</v>
      </c>
      <c r="AZ1196" s="142" t="s">
        <v>2705</v>
      </c>
    </row>
    <row r="1197" spans="1:52" s="142" customFormat="1" ht="12.75" x14ac:dyDescent="0.2">
      <c r="A1197" s="151" t="s">
        <v>7915</v>
      </c>
      <c r="B1197" s="152" t="s">
        <v>2705</v>
      </c>
      <c r="C1197" s="152" t="s">
        <v>2705</v>
      </c>
      <c r="D1197" s="152" t="s">
        <v>2675</v>
      </c>
      <c r="E1197" s="152" t="s">
        <v>2398</v>
      </c>
      <c r="F1197" s="152" t="s">
        <v>2705</v>
      </c>
      <c r="G1197" s="152" t="s">
        <v>2705</v>
      </c>
      <c r="H1197" s="152" t="s">
        <v>2705</v>
      </c>
      <c r="I1197" s="152" t="s">
        <v>2398</v>
      </c>
      <c r="J1197" s="152" t="s">
        <v>2675</v>
      </c>
      <c r="K1197" s="152" t="s">
        <v>2705</v>
      </c>
      <c r="L1197" s="152" t="s">
        <v>2705</v>
      </c>
      <c r="M1197" s="152" t="s">
        <v>2705</v>
      </c>
      <c r="N1197" s="152" t="s">
        <v>2705</v>
      </c>
      <c r="O1197" s="152" t="s">
        <v>2398</v>
      </c>
      <c r="P1197" s="152" t="s">
        <v>2398</v>
      </c>
      <c r="Q1197" s="152" t="s">
        <v>2705</v>
      </c>
      <c r="R1197" s="152" t="s">
        <v>2398</v>
      </c>
      <c r="S1197" s="152" t="s">
        <v>2398</v>
      </c>
      <c r="T1197" s="152" t="s">
        <v>1435</v>
      </c>
      <c r="U1197" s="152" t="s">
        <v>2398</v>
      </c>
      <c r="V1197" s="142" cm="1">
        <f t="array" ref="V1197">IF(A1197&lt;&gt;"",SUM(--(B1197:U1198 = "X")*$U$3,--(B1197:U1198 ="A")*$Q$3,--(B1197:U1198 ="B")*$R$3,--(B1197:U1198 ="C")*$S$3),"")</f>
        <v>13</v>
      </c>
      <c r="AF1197" s="142" t="s">
        <v>7915</v>
      </c>
      <c r="AG1197" s="142" t="s">
        <v>2705</v>
      </c>
      <c r="AH1197" s="142" t="s">
        <v>2705</v>
      </c>
      <c r="AI1197" s="142" t="s">
        <v>2675</v>
      </c>
      <c r="AJ1197" s="142" t="s">
        <v>2398</v>
      </c>
      <c r="AK1197" s="142" t="s">
        <v>2705</v>
      </c>
      <c r="AL1197" s="142" t="s">
        <v>2705</v>
      </c>
      <c r="AM1197" s="142" t="s">
        <v>2705</v>
      </c>
      <c r="AN1197" s="142" t="s">
        <v>2398</v>
      </c>
      <c r="AO1197" s="142" t="s">
        <v>2675</v>
      </c>
      <c r="AP1197" s="142" t="s">
        <v>2705</v>
      </c>
      <c r="AQ1197" s="142" t="s">
        <v>2705</v>
      </c>
      <c r="AR1197" s="142" t="s">
        <v>2705</v>
      </c>
      <c r="AS1197" s="142" t="s">
        <v>2705</v>
      </c>
      <c r="AT1197" s="142" t="s">
        <v>2398</v>
      </c>
      <c r="AU1197" s="142" t="s">
        <v>2398</v>
      </c>
      <c r="AV1197" s="142" t="s">
        <v>2705</v>
      </c>
      <c r="AW1197" s="142" t="s">
        <v>2398</v>
      </c>
      <c r="AX1197" s="142" t="s">
        <v>2398</v>
      </c>
      <c r="AY1197" s="142" t="s">
        <v>1435</v>
      </c>
      <c r="AZ1197" s="142" t="s">
        <v>2398</v>
      </c>
    </row>
    <row r="1198" spans="1:52" s="142" customFormat="1" ht="12.75" x14ac:dyDescent="0.2">
      <c r="A1198" s="151"/>
      <c r="B1198" s="152" t="s">
        <v>2398</v>
      </c>
      <c r="C1198" s="152" t="s">
        <v>2398</v>
      </c>
      <c r="D1198" s="152" t="s">
        <v>2398</v>
      </c>
      <c r="E1198" s="152" t="s">
        <v>2398</v>
      </c>
      <c r="F1198" s="152" t="s">
        <v>2675</v>
      </c>
      <c r="G1198" s="152" t="s">
        <v>1435</v>
      </c>
      <c r="H1198" s="152" t="s">
        <v>2398</v>
      </c>
      <c r="I1198" s="152" t="s">
        <v>2705</v>
      </c>
      <c r="J1198" s="152" t="s">
        <v>2705</v>
      </c>
      <c r="K1198" s="152" t="s">
        <v>1435</v>
      </c>
      <c r="L1198" s="152" t="s">
        <v>2398</v>
      </c>
      <c r="M1198" s="152" t="s">
        <v>2398</v>
      </c>
      <c r="N1198" s="152" t="s">
        <v>2398</v>
      </c>
      <c r="O1198" s="152" t="s">
        <v>2705</v>
      </c>
      <c r="P1198" s="152" t="s">
        <v>2705</v>
      </c>
      <c r="Q1198" s="152" t="s">
        <v>2705</v>
      </c>
      <c r="R1198" s="152" t="s">
        <v>2398</v>
      </c>
      <c r="S1198" s="152" t="s">
        <v>2398</v>
      </c>
      <c r="T1198" s="152" t="s">
        <v>2705</v>
      </c>
      <c r="U1198" s="152" t="s">
        <v>2398</v>
      </c>
      <c r="V1198" s="142" t="str" cm="1">
        <f t="array" ref="V1198">IF(A1198&lt;&gt;"",SUM(--(B1198:U1199 = "X")*$U$3,--(B1198:U1199 ="A")*$Q$3,--(B1198:U1199 ="B")*$R$3,--(B1198:U1199 ="C")*$S$3),"")</f>
        <v/>
      </c>
      <c r="AG1198" s="142" t="s">
        <v>2398</v>
      </c>
      <c r="AH1198" s="142" t="s">
        <v>2398</v>
      </c>
      <c r="AI1198" s="142" t="s">
        <v>2398</v>
      </c>
      <c r="AJ1198" s="142" t="s">
        <v>2398</v>
      </c>
      <c r="AK1198" s="142" t="s">
        <v>2675</v>
      </c>
      <c r="AL1198" s="142" t="s">
        <v>1435</v>
      </c>
      <c r="AM1198" s="142" t="s">
        <v>2398</v>
      </c>
      <c r="AN1198" s="142" t="s">
        <v>2705</v>
      </c>
      <c r="AO1198" s="142" t="s">
        <v>2705</v>
      </c>
      <c r="AP1198" s="142" t="s">
        <v>1435</v>
      </c>
      <c r="AQ1198" s="142" t="s">
        <v>2398</v>
      </c>
      <c r="AR1198" s="142" t="s">
        <v>2398</v>
      </c>
      <c r="AS1198" s="142" t="s">
        <v>2398</v>
      </c>
      <c r="AT1198" s="142" t="s">
        <v>2705</v>
      </c>
      <c r="AU1198" s="142" t="s">
        <v>2705</v>
      </c>
      <c r="AV1198" s="142" t="s">
        <v>2705</v>
      </c>
      <c r="AW1198" s="142" t="s">
        <v>2398</v>
      </c>
      <c r="AX1198" s="142" t="s">
        <v>2398</v>
      </c>
      <c r="AY1198" s="142" t="s">
        <v>2705</v>
      </c>
      <c r="AZ1198" s="142" t="s">
        <v>2398</v>
      </c>
    </row>
    <row r="1199" spans="1:52" s="142" customFormat="1" ht="12.75" x14ac:dyDescent="0.2">
      <c r="A1199" s="151" t="s">
        <v>7916</v>
      </c>
      <c r="B1199" s="152" t="s">
        <v>2705</v>
      </c>
      <c r="C1199" s="152" t="s">
        <v>2705</v>
      </c>
      <c r="D1199" s="152" t="s">
        <v>2705</v>
      </c>
      <c r="E1199" s="152" t="s">
        <v>2705</v>
      </c>
      <c r="F1199" s="152" t="s">
        <v>2705</v>
      </c>
      <c r="G1199" s="152" t="s">
        <v>2705</v>
      </c>
      <c r="H1199" s="152" t="s">
        <v>2705</v>
      </c>
      <c r="I1199" s="152" t="s">
        <v>2398</v>
      </c>
      <c r="J1199" s="152" t="s">
        <v>2705</v>
      </c>
      <c r="K1199" s="152" t="s">
        <v>2705</v>
      </c>
      <c r="L1199" s="152" t="s">
        <v>2705</v>
      </c>
      <c r="M1199" s="152" t="s">
        <v>2398</v>
      </c>
      <c r="N1199" s="152" t="s">
        <v>2705</v>
      </c>
      <c r="O1199" s="152" t="s">
        <v>2705</v>
      </c>
      <c r="P1199" s="152" t="s">
        <v>2398</v>
      </c>
      <c r="Q1199" s="152" t="s">
        <v>2398</v>
      </c>
      <c r="R1199" s="152" t="s">
        <v>2705</v>
      </c>
      <c r="S1199" s="152" t="s">
        <v>2705</v>
      </c>
      <c r="T1199" s="152" t="s">
        <v>2398</v>
      </c>
      <c r="U1199" s="152" t="s">
        <v>2398</v>
      </c>
      <c r="V1199" s="142" cm="1">
        <f t="array" ref="V1199">IF(A1199&lt;&gt;"",SUM(--(B1199:U1200 = "X")*$U$3,--(B1199:U1200 ="A")*$Q$3,--(B1199:U1200 ="B")*$R$3,--(B1199:U1200 ="C")*$S$3),"")</f>
        <v>28.5</v>
      </c>
      <c r="AF1199" s="142" t="s">
        <v>7916</v>
      </c>
      <c r="AG1199" s="142" t="s">
        <v>2705</v>
      </c>
      <c r="AH1199" s="142" t="s">
        <v>2705</v>
      </c>
      <c r="AI1199" s="142" t="s">
        <v>2705</v>
      </c>
      <c r="AJ1199" s="142" t="s">
        <v>2705</v>
      </c>
      <c r="AK1199" s="142" t="s">
        <v>2705</v>
      </c>
      <c r="AL1199" s="142" t="s">
        <v>2705</v>
      </c>
      <c r="AM1199" s="142" t="s">
        <v>2705</v>
      </c>
      <c r="AN1199" s="142" t="s">
        <v>2398</v>
      </c>
      <c r="AO1199" s="142" t="s">
        <v>2705</v>
      </c>
      <c r="AP1199" s="142" t="s">
        <v>2705</v>
      </c>
      <c r="AQ1199" s="142" t="s">
        <v>2705</v>
      </c>
      <c r="AR1199" s="142" t="s">
        <v>2398</v>
      </c>
      <c r="AS1199" s="142" t="s">
        <v>2705</v>
      </c>
      <c r="AT1199" s="142" t="s">
        <v>2705</v>
      </c>
      <c r="AU1199" s="142" t="s">
        <v>2398</v>
      </c>
      <c r="AV1199" s="142" t="s">
        <v>2398</v>
      </c>
      <c r="AW1199" s="142" t="s">
        <v>2705</v>
      </c>
      <c r="AX1199" s="142" t="s">
        <v>2705</v>
      </c>
      <c r="AY1199" s="142" t="s">
        <v>2398</v>
      </c>
      <c r="AZ1199" s="142" t="s">
        <v>2398</v>
      </c>
    </row>
    <row r="1200" spans="1:52" s="142" customFormat="1" ht="12.75" x14ac:dyDescent="0.2">
      <c r="A1200" s="151"/>
      <c r="B1200" s="152" t="s">
        <v>2398</v>
      </c>
      <c r="C1200" s="152" t="s">
        <v>2705</v>
      </c>
      <c r="D1200" s="152" t="s">
        <v>2705</v>
      </c>
      <c r="E1200" s="152" t="s">
        <v>2398</v>
      </c>
      <c r="F1200" s="152" t="s">
        <v>2705</v>
      </c>
      <c r="G1200" s="152" t="s">
        <v>2705</v>
      </c>
      <c r="H1200" s="152" t="s">
        <v>2705</v>
      </c>
      <c r="I1200" s="152" t="s">
        <v>2705</v>
      </c>
      <c r="J1200" s="152" t="s">
        <v>2705</v>
      </c>
      <c r="K1200" s="152" t="s">
        <v>2705</v>
      </c>
      <c r="L1200" s="152" t="s">
        <v>2398</v>
      </c>
      <c r="M1200" s="152" t="s">
        <v>1435</v>
      </c>
      <c r="N1200" s="152" t="s">
        <v>2705</v>
      </c>
      <c r="O1200" s="152" t="s">
        <v>2705</v>
      </c>
      <c r="P1200" s="152" t="s">
        <v>2705</v>
      </c>
      <c r="Q1200" s="152" t="s">
        <v>2705</v>
      </c>
      <c r="R1200" s="152" t="s">
        <v>2398</v>
      </c>
      <c r="S1200" s="152" t="s">
        <v>2705</v>
      </c>
      <c r="T1200" s="152" t="s">
        <v>2705</v>
      </c>
      <c r="U1200" s="152" t="s">
        <v>2705</v>
      </c>
      <c r="V1200" s="142" t="str" cm="1">
        <f t="array" ref="V1200">IF(A1200&lt;&gt;"",SUM(--(B1200:U1201 = "X")*$U$3,--(B1200:U1201 ="A")*$Q$3,--(B1200:U1201 ="B")*$R$3,--(B1200:U1201 ="C")*$S$3),"")</f>
        <v/>
      </c>
      <c r="AG1200" s="142" t="s">
        <v>2398</v>
      </c>
      <c r="AH1200" s="142" t="s">
        <v>2705</v>
      </c>
      <c r="AI1200" s="142" t="s">
        <v>2705</v>
      </c>
      <c r="AJ1200" s="142" t="s">
        <v>2398</v>
      </c>
      <c r="AK1200" s="142" t="s">
        <v>2705</v>
      </c>
      <c r="AL1200" s="142" t="s">
        <v>2705</v>
      </c>
      <c r="AM1200" s="142" t="s">
        <v>2705</v>
      </c>
      <c r="AN1200" s="142" t="s">
        <v>2705</v>
      </c>
      <c r="AO1200" s="142" t="s">
        <v>2705</v>
      </c>
      <c r="AP1200" s="142" t="s">
        <v>2705</v>
      </c>
      <c r="AQ1200" s="142" t="s">
        <v>2398</v>
      </c>
      <c r="AR1200" s="142" t="s">
        <v>1435</v>
      </c>
      <c r="AS1200" s="142" t="s">
        <v>2705</v>
      </c>
      <c r="AT1200" s="142" t="s">
        <v>2705</v>
      </c>
      <c r="AU1200" s="142" t="s">
        <v>2705</v>
      </c>
      <c r="AV1200" s="142" t="s">
        <v>2705</v>
      </c>
      <c r="AW1200" s="142" t="s">
        <v>2398</v>
      </c>
      <c r="AX1200" s="142" t="s">
        <v>2705</v>
      </c>
      <c r="AY1200" s="142" t="s">
        <v>2705</v>
      </c>
      <c r="AZ1200" s="142" t="s">
        <v>2705</v>
      </c>
    </row>
    <row r="1201" spans="1:52" s="142" customFormat="1" ht="12.75" x14ac:dyDescent="0.2">
      <c r="A1201" s="151" t="s">
        <v>7917</v>
      </c>
      <c r="B1201" s="152" t="s">
        <v>2398</v>
      </c>
      <c r="C1201" s="152" t="s">
        <v>2398</v>
      </c>
      <c r="D1201" s="152" t="s">
        <v>1435</v>
      </c>
      <c r="E1201" s="152" t="s">
        <v>2398</v>
      </c>
      <c r="F1201" s="152" t="s">
        <v>2398</v>
      </c>
      <c r="G1201" s="152" t="s">
        <v>2705</v>
      </c>
      <c r="H1201" s="152" t="s">
        <v>2705</v>
      </c>
      <c r="I1201" s="152" t="s">
        <v>2705</v>
      </c>
      <c r="J1201" s="152" t="s">
        <v>2675</v>
      </c>
      <c r="K1201" s="152" t="s">
        <v>2398</v>
      </c>
      <c r="L1201" s="152" t="s">
        <v>2398</v>
      </c>
      <c r="M1201" s="152" t="s">
        <v>2705</v>
      </c>
      <c r="N1201" s="152" t="s">
        <v>2397</v>
      </c>
      <c r="O1201" s="152" t="s">
        <v>2705</v>
      </c>
      <c r="P1201" s="152" t="s">
        <v>2705</v>
      </c>
      <c r="Q1201" s="152" t="s">
        <v>2705</v>
      </c>
      <c r="R1201" s="152" t="s">
        <v>2398</v>
      </c>
      <c r="S1201" s="152" t="s">
        <v>2705</v>
      </c>
      <c r="T1201" s="152" t="s">
        <v>2397</v>
      </c>
      <c r="U1201" s="152" t="s">
        <v>2705</v>
      </c>
      <c r="V1201" s="142" cm="1">
        <f t="array" ref="V1201">IF(A1201&lt;&gt;"",SUM(--(B1201:U1202 = "X")*$U$3,--(B1201:U1202 ="A")*$Q$3,--(B1201:U1202 ="B")*$R$3,--(B1201:U1202 ="C")*$S$3),"")</f>
        <v>17</v>
      </c>
      <c r="AF1201" s="142" t="s">
        <v>7917</v>
      </c>
      <c r="AG1201" s="142" t="s">
        <v>2398</v>
      </c>
      <c r="AH1201" s="142" t="s">
        <v>2398</v>
      </c>
      <c r="AI1201" s="142" t="s">
        <v>1435</v>
      </c>
      <c r="AJ1201" s="142" t="s">
        <v>2398</v>
      </c>
      <c r="AK1201" s="142" t="s">
        <v>2398</v>
      </c>
      <c r="AL1201" s="142" t="s">
        <v>2705</v>
      </c>
      <c r="AM1201" s="142" t="s">
        <v>2705</v>
      </c>
      <c r="AN1201" s="142" t="s">
        <v>2705</v>
      </c>
      <c r="AO1201" s="142" t="s">
        <v>2675</v>
      </c>
      <c r="AP1201" s="142" t="s">
        <v>2398</v>
      </c>
      <c r="AQ1201" s="142" t="s">
        <v>2398</v>
      </c>
      <c r="AR1201" s="142" t="s">
        <v>2705</v>
      </c>
      <c r="AS1201" s="142" t="s">
        <v>2397</v>
      </c>
      <c r="AT1201" s="142" t="s">
        <v>2705</v>
      </c>
      <c r="AU1201" s="142" t="s">
        <v>2705</v>
      </c>
      <c r="AV1201" s="142" t="s">
        <v>2705</v>
      </c>
      <c r="AW1201" s="142" t="s">
        <v>2398</v>
      </c>
      <c r="AX1201" s="142" t="s">
        <v>2705</v>
      </c>
      <c r="AY1201" s="142" t="s">
        <v>2397</v>
      </c>
      <c r="AZ1201" s="142" t="s">
        <v>2705</v>
      </c>
    </row>
    <row r="1202" spans="1:52" s="142" customFormat="1" ht="12.75" x14ac:dyDescent="0.2">
      <c r="A1202" s="151"/>
      <c r="B1202" s="152" t="s">
        <v>2705</v>
      </c>
      <c r="C1202" s="152" t="s">
        <v>2398</v>
      </c>
      <c r="D1202" s="152" t="s">
        <v>2398</v>
      </c>
      <c r="E1202" s="152" t="s">
        <v>2675</v>
      </c>
      <c r="F1202" s="152" t="s">
        <v>2398</v>
      </c>
      <c r="G1202" s="152" t="s">
        <v>2398</v>
      </c>
      <c r="H1202" s="152" t="s">
        <v>2705</v>
      </c>
      <c r="I1202" s="152" t="s">
        <v>2705</v>
      </c>
      <c r="J1202" s="152" t="s">
        <v>2705</v>
      </c>
      <c r="K1202" s="152" t="s">
        <v>2398</v>
      </c>
      <c r="L1202" s="152" t="s">
        <v>2705</v>
      </c>
      <c r="M1202" s="152" t="s">
        <v>2398</v>
      </c>
      <c r="N1202" s="152" t="s">
        <v>2705</v>
      </c>
      <c r="O1202" s="152" t="s">
        <v>2705</v>
      </c>
      <c r="P1202" s="152" t="s">
        <v>2675</v>
      </c>
      <c r="Q1202" s="152" t="s">
        <v>2705</v>
      </c>
      <c r="R1202" s="152" t="s">
        <v>2705</v>
      </c>
      <c r="S1202" s="152" t="s">
        <v>2705</v>
      </c>
      <c r="T1202" s="152" t="s">
        <v>2398</v>
      </c>
      <c r="U1202" s="152" t="s">
        <v>2398</v>
      </c>
      <c r="V1202" s="142" t="str" cm="1">
        <f t="array" ref="V1202">IF(A1202&lt;&gt;"",SUM(--(B1202:U1203 = "X")*$U$3,--(B1202:U1203 ="A")*$Q$3,--(B1202:U1203 ="B")*$R$3,--(B1202:U1203 ="C")*$S$3),"")</f>
        <v/>
      </c>
      <c r="AG1202" s="142" t="s">
        <v>2705</v>
      </c>
      <c r="AH1202" s="142" t="s">
        <v>2398</v>
      </c>
      <c r="AI1202" s="142" t="s">
        <v>2398</v>
      </c>
      <c r="AJ1202" s="142" t="s">
        <v>2675</v>
      </c>
      <c r="AK1202" s="142" t="s">
        <v>2398</v>
      </c>
      <c r="AL1202" s="142" t="s">
        <v>2398</v>
      </c>
      <c r="AM1202" s="142" t="s">
        <v>2705</v>
      </c>
      <c r="AN1202" s="142" t="s">
        <v>2705</v>
      </c>
      <c r="AO1202" s="142" t="s">
        <v>2705</v>
      </c>
      <c r="AP1202" s="142" t="s">
        <v>2398</v>
      </c>
      <c r="AQ1202" s="142" t="s">
        <v>2705</v>
      </c>
      <c r="AR1202" s="142" t="s">
        <v>2398</v>
      </c>
      <c r="AS1202" s="142" t="s">
        <v>2705</v>
      </c>
      <c r="AT1202" s="142" t="s">
        <v>2705</v>
      </c>
      <c r="AU1202" s="142" t="s">
        <v>2675</v>
      </c>
      <c r="AV1202" s="142" t="s">
        <v>2705</v>
      </c>
      <c r="AW1202" s="142" t="s">
        <v>2705</v>
      </c>
      <c r="AX1202" s="142" t="s">
        <v>2705</v>
      </c>
      <c r="AY1202" s="142" t="s">
        <v>2398</v>
      </c>
      <c r="AZ1202" s="142" t="s">
        <v>2398</v>
      </c>
    </row>
    <row r="1203" spans="1:52" s="142" customFormat="1" ht="12.75" x14ac:dyDescent="0.2">
      <c r="A1203" s="151" t="s">
        <v>7918</v>
      </c>
      <c r="B1203" s="152" t="s">
        <v>2705</v>
      </c>
      <c r="C1203" s="152" t="s">
        <v>2398</v>
      </c>
      <c r="D1203" s="152" t="s">
        <v>2675</v>
      </c>
      <c r="E1203" s="152" t="s">
        <v>2398</v>
      </c>
      <c r="F1203" s="152" t="s">
        <v>1435</v>
      </c>
      <c r="G1203" s="152" t="s">
        <v>2705</v>
      </c>
      <c r="H1203" s="152" t="s">
        <v>2705</v>
      </c>
      <c r="I1203" s="152" t="s">
        <v>2398</v>
      </c>
      <c r="J1203" s="152" t="s">
        <v>2397</v>
      </c>
      <c r="K1203" s="152" t="s">
        <v>2705</v>
      </c>
      <c r="L1203" s="152" t="s">
        <v>2675</v>
      </c>
      <c r="M1203" s="152" t="s">
        <v>2675</v>
      </c>
      <c r="N1203" s="152" t="s">
        <v>2675</v>
      </c>
      <c r="O1203" s="152" t="s">
        <v>1435</v>
      </c>
      <c r="P1203" s="152" t="s">
        <v>2397</v>
      </c>
      <c r="Q1203" s="152" t="s">
        <v>1435</v>
      </c>
      <c r="R1203" s="152" t="s">
        <v>2705</v>
      </c>
      <c r="S1203" s="152" t="s">
        <v>2705</v>
      </c>
      <c r="T1203" s="152" t="s">
        <v>2398</v>
      </c>
      <c r="U1203" s="152" t="s">
        <v>2705</v>
      </c>
      <c r="V1203" s="142" cm="1">
        <f t="array" ref="V1203">IF(A1203&lt;&gt;"",SUM(--(B1203:U1204 = "X")*$U$3,--(B1203:U1204 ="A")*$Q$3,--(B1203:U1204 ="B")*$R$3,--(B1203:U1204 ="C")*$S$3),"")</f>
        <v>3</v>
      </c>
      <c r="AF1203" s="142" t="s">
        <v>7918</v>
      </c>
      <c r="AG1203" s="142" t="s">
        <v>2705</v>
      </c>
      <c r="AH1203" s="142" t="s">
        <v>2398</v>
      </c>
      <c r="AI1203" s="142" t="s">
        <v>2675</v>
      </c>
      <c r="AJ1203" s="142" t="s">
        <v>2398</v>
      </c>
      <c r="AK1203" s="142" t="s">
        <v>1435</v>
      </c>
      <c r="AL1203" s="142" t="s">
        <v>2705</v>
      </c>
      <c r="AM1203" s="142" t="s">
        <v>2705</v>
      </c>
      <c r="AN1203" s="142" t="s">
        <v>2398</v>
      </c>
      <c r="AO1203" s="142" t="s">
        <v>2397</v>
      </c>
      <c r="AP1203" s="142" t="s">
        <v>2705</v>
      </c>
      <c r="AQ1203" s="142" t="s">
        <v>2675</v>
      </c>
      <c r="AR1203" s="142" t="s">
        <v>2675</v>
      </c>
      <c r="AS1203" s="142" t="s">
        <v>2675</v>
      </c>
      <c r="AT1203" s="142" t="s">
        <v>1435</v>
      </c>
      <c r="AU1203" s="142" t="s">
        <v>2397</v>
      </c>
      <c r="AV1203" s="142" t="s">
        <v>1435</v>
      </c>
      <c r="AW1203" s="142" t="s">
        <v>2705</v>
      </c>
      <c r="AX1203" s="142" t="s">
        <v>2705</v>
      </c>
      <c r="AY1203" s="142" t="s">
        <v>2398</v>
      </c>
      <c r="AZ1203" s="142" t="s">
        <v>2705</v>
      </c>
    </row>
    <row r="1204" spans="1:52" s="142" customFormat="1" ht="12.75" x14ac:dyDescent="0.2">
      <c r="A1204" s="151"/>
      <c r="B1204" s="152" t="s">
        <v>2398</v>
      </c>
      <c r="C1204" s="152" t="s">
        <v>2675</v>
      </c>
      <c r="D1204" s="152" t="s">
        <v>2397</v>
      </c>
      <c r="E1204" s="152" t="s">
        <v>2675</v>
      </c>
      <c r="F1204" s="152" t="s">
        <v>2705</v>
      </c>
      <c r="G1204" s="152" t="s">
        <v>2705</v>
      </c>
      <c r="H1204" s="152" t="s">
        <v>2705</v>
      </c>
      <c r="I1204" s="152" t="s">
        <v>2398</v>
      </c>
      <c r="J1204" s="152" t="s">
        <v>2397</v>
      </c>
      <c r="K1204" s="152" t="s">
        <v>1435</v>
      </c>
      <c r="L1204" s="152" t="s">
        <v>2397</v>
      </c>
      <c r="M1204" s="152" t="s">
        <v>1435</v>
      </c>
      <c r="N1204" s="152" t="s">
        <v>2675</v>
      </c>
      <c r="O1204" s="152" t="s">
        <v>2397</v>
      </c>
      <c r="P1204" s="152" t="s">
        <v>1435</v>
      </c>
      <c r="Q1204" s="152" t="s">
        <v>2705</v>
      </c>
      <c r="R1204" s="152" t="s">
        <v>1435</v>
      </c>
      <c r="S1204" s="152" t="s">
        <v>2397</v>
      </c>
      <c r="T1204" s="152" t="s">
        <v>2675</v>
      </c>
      <c r="U1204" s="152" t="s">
        <v>2675</v>
      </c>
      <c r="V1204" s="142" t="str" cm="1">
        <f t="array" ref="V1204">IF(A1204&lt;&gt;"",SUM(--(B1204:U1205 = "X")*$U$3,--(B1204:U1205 ="A")*$Q$3,--(B1204:U1205 ="B")*$R$3,--(B1204:U1205 ="C")*$S$3),"")</f>
        <v/>
      </c>
      <c r="AG1204" s="142" t="s">
        <v>2398</v>
      </c>
      <c r="AH1204" s="142" t="s">
        <v>2675</v>
      </c>
      <c r="AI1204" s="142" t="s">
        <v>2397</v>
      </c>
      <c r="AJ1204" s="142" t="s">
        <v>2675</v>
      </c>
      <c r="AK1204" s="142" t="s">
        <v>2705</v>
      </c>
      <c r="AL1204" s="142" t="s">
        <v>2705</v>
      </c>
      <c r="AM1204" s="142" t="s">
        <v>2705</v>
      </c>
      <c r="AN1204" s="142" t="s">
        <v>2398</v>
      </c>
      <c r="AO1204" s="142" t="s">
        <v>2397</v>
      </c>
      <c r="AP1204" s="142" t="s">
        <v>1435</v>
      </c>
      <c r="AQ1204" s="142" t="s">
        <v>2397</v>
      </c>
      <c r="AR1204" s="142" t="s">
        <v>1435</v>
      </c>
      <c r="AS1204" s="142" t="s">
        <v>2675</v>
      </c>
      <c r="AT1204" s="142" t="s">
        <v>2397</v>
      </c>
      <c r="AU1204" s="142" t="s">
        <v>1435</v>
      </c>
      <c r="AV1204" s="142" t="s">
        <v>2705</v>
      </c>
      <c r="AW1204" s="142" t="s">
        <v>1435</v>
      </c>
      <c r="AX1204" s="142" t="s">
        <v>2397</v>
      </c>
      <c r="AY1204" s="142" t="s">
        <v>2675</v>
      </c>
      <c r="AZ1204" s="142" t="s">
        <v>2675</v>
      </c>
    </row>
    <row r="1205" spans="1:52" s="142" customFormat="1" ht="12.75" x14ac:dyDescent="0.2">
      <c r="A1205" s="151" t="s">
        <v>7919</v>
      </c>
      <c r="B1205" s="152" t="s">
        <v>2705</v>
      </c>
      <c r="C1205" s="152" t="s">
        <v>2705</v>
      </c>
      <c r="D1205" s="152" t="s">
        <v>2398</v>
      </c>
      <c r="E1205" s="152" t="s">
        <v>2705</v>
      </c>
      <c r="F1205" s="152" t="s">
        <v>2398</v>
      </c>
      <c r="G1205" s="152" t="s">
        <v>2705</v>
      </c>
      <c r="H1205" s="152" t="s">
        <v>1435</v>
      </c>
      <c r="I1205" s="152" t="s">
        <v>2705</v>
      </c>
      <c r="J1205" s="152" t="s">
        <v>2398</v>
      </c>
      <c r="K1205" s="152" t="s">
        <v>2705</v>
      </c>
      <c r="L1205" s="152" t="s">
        <v>2705</v>
      </c>
      <c r="M1205" s="152" t="s">
        <v>2705</v>
      </c>
      <c r="N1205" s="152" t="s">
        <v>2705</v>
      </c>
      <c r="O1205" s="152" t="s">
        <v>2705</v>
      </c>
      <c r="P1205" s="152" t="s">
        <v>2398</v>
      </c>
      <c r="Q1205" s="152" t="s">
        <v>2675</v>
      </c>
      <c r="R1205" s="152" t="s">
        <v>2398</v>
      </c>
      <c r="S1205" s="152" t="s">
        <v>2398</v>
      </c>
      <c r="T1205" s="152" t="s">
        <v>2705</v>
      </c>
      <c r="U1205" s="152" t="s">
        <v>2398</v>
      </c>
      <c r="V1205" s="142" cm="1">
        <f t="array" ref="V1205">IF(A1205&lt;&gt;"",SUM(--(B1205:U1206 = "X")*$U$3,--(B1205:U1206 ="A")*$Q$3,--(B1205:U1206 ="B")*$R$3,--(B1205:U1206 ="C")*$S$3),"")</f>
        <v>21</v>
      </c>
      <c r="AF1205" s="142" t="s">
        <v>7919</v>
      </c>
      <c r="AG1205" s="142" t="s">
        <v>2705</v>
      </c>
      <c r="AH1205" s="142" t="s">
        <v>2705</v>
      </c>
      <c r="AI1205" s="142" t="s">
        <v>2398</v>
      </c>
      <c r="AJ1205" s="142" t="s">
        <v>2705</v>
      </c>
      <c r="AK1205" s="142" t="s">
        <v>2398</v>
      </c>
      <c r="AL1205" s="142" t="s">
        <v>2705</v>
      </c>
      <c r="AM1205" s="142" t="s">
        <v>1435</v>
      </c>
      <c r="AN1205" s="142" t="s">
        <v>2705</v>
      </c>
      <c r="AO1205" s="142" t="s">
        <v>2398</v>
      </c>
      <c r="AP1205" s="142" t="s">
        <v>2705</v>
      </c>
      <c r="AQ1205" s="142" t="s">
        <v>2705</v>
      </c>
      <c r="AR1205" s="142" t="s">
        <v>2705</v>
      </c>
      <c r="AS1205" s="142" t="s">
        <v>2705</v>
      </c>
      <c r="AT1205" s="142" t="s">
        <v>2705</v>
      </c>
      <c r="AU1205" s="142" t="s">
        <v>2398</v>
      </c>
      <c r="AV1205" s="142" t="s">
        <v>2675</v>
      </c>
      <c r="AW1205" s="142" t="s">
        <v>2398</v>
      </c>
      <c r="AX1205" s="142" t="s">
        <v>2398</v>
      </c>
      <c r="AY1205" s="142" t="s">
        <v>2705</v>
      </c>
      <c r="AZ1205" s="142" t="s">
        <v>2398</v>
      </c>
    </row>
    <row r="1206" spans="1:52" s="142" customFormat="1" ht="12.75" x14ac:dyDescent="0.2">
      <c r="A1206" s="151"/>
      <c r="B1206" s="152" t="s">
        <v>2705</v>
      </c>
      <c r="C1206" s="152" t="s">
        <v>2705</v>
      </c>
      <c r="D1206" s="152" t="s">
        <v>2398</v>
      </c>
      <c r="E1206" s="152" t="s">
        <v>2398</v>
      </c>
      <c r="F1206" s="152" t="s">
        <v>2705</v>
      </c>
      <c r="G1206" s="152" t="s">
        <v>2398</v>
      </c>
      <c r="H1206" s="152" t="s">
        <v>2398</v>
      </c>
      <c r="I1206" s="152" t="s">
        <v>2705</v>
      </c>
      <c r="J1206" s="152" t="s">
        <v>2705</v>
      </c>
      <c r="K1206" s="152" t="s">
        <v>2705</v>
      </c>
      <c r="L1206" s="152" t="s">
        <v>2397</v>
      </c>
      <c r="M1206" s="152" t="s">
        <v>2398</v>
      </c>
      <c r="N1206" s="152" t="s">
        <v>2398</v>
      </c>
      <c r="O1206" s="152" t="s">
        <v>2705</v>
      </c>
      <c r="P1206" s="152" t="s">
        <v>2705</v>
      </c>
      <c r="Q1206" s="152" t="s">
        <v>2705</v>
      </c>
      <c r="R1206" s="152" t="s">
        <v>2398</v>
      </c>
      <c r="S1206" s="152" t="s">
        <v>2398</v>
      </c>
      <c r="T1206" s="152" t="s">
        <v>2705</v>
      </c>
      <c r="U1206" s="152" t="s">
        <v>2705</v>
      </c>
      <c r="V1206" s="142" t="str" cm="1">
        <f t="array" ref="V1206">IF(A1206&lt;&gt;"",SUM(--(B1206:U1207 = "X")*$U$3,--(B1206:U1207 ="A")*$Q$3,--(B1206:U1207 ="B")*$R$3,--(B1206:U1207 ="C")*$S$3),"")</f>
        <v/>
      </c>
      <c r="AG1206" s="142" t="s">
        <v>2705</v>
      </c>
      <c r="AH1206" s="142" t="s">
        <v>2705</v>
      </c>
      <c r="AI1206" s="142" t="s">
        <v>2398</v>
      </c>
      <c r="AJ1206" s="142" t="s">
        <v>2398</v>
      </c>
      <c r="AK1206" s="142" t="s">
        <v>2705</v>
      </c>
      <c r="AL1206" s="142" t="s">
        <v>2398</v>
      </c>
      <c r="AM1206" s="142" t="s">
        <v>2398</v>
      </c>
      <c r="AN1206" s="142" t="s">
        <v>2705</v>
      </c>
      <c r="AO1206" s="142" t="s">
        <v>2705</v>
      </c>
      <c r="AP1206" s="142" t="s">
        <v>2705</v>
      </c>
      <c r="AQ1206" s="142" t="s">
        <v>2397</v>
      </c>
      <c r="AR1206" s="142" t="s">
        <v>2398</v>
      </c>
      <c r="AS1206" s="142" t="s">
        <v>2398</v>
      </c>
      <c r="AT1206" s="142" t="s">
        <v>2705</v>
      </c>
      <c r="AU1206" s="142" t="s">
        <v>2705</v>
      </c>
      <c r="AV1206" s="142" t="s">
        <v>2705</v>
      </c>
      <c r="AW1206" s="142" t="s">
        <v>2398</v>
      </c>
      <c r="AX1206" s="142" t="s">
        <v>2398</v>
      </c>
      <c r="AY1206" s="142" t="s">
        <v>2705</v>
      </c>
      <c r="AZ1206" s="142" t="s">
        <v>2705</v>
      </c>
    </row>
    <row r="1207" spans="1:52" s="142" customFormat="1" ht="12.75" x14ac:dyDescent="0.2">
      <c r="A1207" s="151" t="s">
        <v>7920</v>
      </c>
      <c r="B1207" s="152" t="s">
        <v>2705</v>
      </c>
      <c r="C1207" s="152" t="s">
        <v>2705</v>
      </c>
      <c r="D1207" s="152" t="s">
        <v>2705</v>
      </c>
      <c r="E1207" s="152" t="s">
        <v>2398</v>
      </c>
      <c r="F1207" s="152" t="s">
        <v>2705</v>
      </c>
      <c r="G1207" s="152" t="s">
        <v>1435</v>
      </c>
      <c r="H1207" s="152" t="s">
        <v>2705</v>
      </c>
      <c r="I1207" s="152" t="s">
        <v>2675</v>
      </c>
      <c r="J1207" s="152" t="s">
        <v>2705</v>
      </c>
      <c r="K1207" s="152" t="s">
        <v>2705</v>
      </c>
      <c r="L1207" s="152" t="s">
        <v>2705</v>
      </c>
      <c r="M1207" s="152" t="s">
        <v>2705</v>
      </c>
      <c r="N1207" s="152" t="s">
        <v>1435</v>
      </c>
      <c r="O1207" s="152" t="s">
        <v>2705</v>
      </c>
      <c r="P1207" s="152" t="s">
        <v>2705</v>
      </c>
      <c r="Q1207" s="152" t="s">
        <v>2397</v>
      </c>
      <c r="R1207" s="152" t="s">
        <v>2398</v>
      </c>
      <c r="S1207" s="152" t="s">
        <v>2705</v>
      </c>
      <c r="T1207" s="152" t="s">
        <v>2705</v>
      </c>
      <c r="U1207" s="152" t="s">
        <v>2705</v>
      </c>
      <c r="V1207" s="142" cm="1">
        <f t="array" ref="V1207">IF(A1207&lt;&gt;"",SUM(--(B1207:U1208 = "X")*$U$3,--(B1207:U1208 ="A")*$Q$3,--(B1207:U1208 ="B")*$R$3,--(B1207:U1208 ="C")*$S$3),"")</f>
        <v>20.5</v>
      </c>
      <c r="AF1207" s="142" t="s">
        <v>7920</v>
      </c>
      <c r="AG1207" s="142" t="s">
        <v>2705</v>
      </c>
      <c r="AH1207" s="142" t="s">
        <v>2705</v>
      </c>
      <c r="AI1207" s="142" t="s">
        <v>2705</v>
      </c>
      <c r="AJ1207" s="142" t="s">
        <v>2398</v>
      </c>
      <c r="AK1207" s="142" t="s">
        <v>2705</v>
      </c>
      <c r="AL1207" s="142" t="s">
        <v>1435</v>
      </c>
      <c r="AM1207" s="142" t="s">
        <v>2705</v>
      </c>
      <c r="AN1207" s="142" t="s">
        <v>2675</v>
      </c>
      <c r="AO1207" s="142" t="s">
        <v>2705</v>
      </c>
      <c r="AP1207" s="142" t="s">
        <v>2705</v>
      </c>
      <c r="AQ1207" s="142" t="s">
        <v>2705</v>
      </c>
      <c r="AR1207" s="142" t="s">
        <v>2705</v>
      </c>
      <c r="AS1207" s="142" t="s">
        <v>1435</v>
      </c>
      <c r="AT1207" s="142" t="s">
        <v>2705</v>
      </c>
      <c r="AU1207" s="142" t="s">
        <v>2705</v>
      </c>
      <c r="AV1207" s="142" t="s">
        <v>2397</v>
      </c>
      <c r="AW1207" s="142" t="s">
        <v>2398</v>
      </c>
      <c r="AX1207" s="142" t="s">
        <v>2705</v>
      </c>
      <c r="AY1207" s="142" t="s">
        <v>2705</v>
      </c>
      <c r="AZ1207" s="142" t="s">
        <v>2705</v>
      </c>
    </row>
    <row r="1208" spans="1:52" s="142" customFormat="1" ht="12.75" x14ac:dyDescent="0.2">
      <c r="A1208" s="151"/>
      <c r="B1208" s="152" t="s">
        <v>2398</v>
      </c>
      <c r="C1208" s="152" t="s">
        <v>2705</v>
      </c>
      <c r="D1208" s="152" t="s">
        <v>2705</v>
      </c>
      <c r="E1208" s="152" t="s">
        <v>2705</v>
      </c>
      <c r="F1208" s="152" t="s">
        <v>2675</v>
      </c>
      <c r="G1208" s="152" t="s">
        <v>2675</v>
      </c>
      <c r="H1208" s="152" t="s">
        <v>2398</v>
      </c>
      <c r="I1208" s="152" t="s">
        <v>2397</v>
      </c>
      <c r="J1208" s="152" t="s">
        <v>2705</v>
      </c>
      <c r="K1208" s="152" t="s">
        <v>2675</v>
      </c>
      <c r="L1208" s="152" t="s">
        <v>2398</v>
      </c>
      <c r="M1208" s="152" t="s">
        <v>2398</v>
      </c>
      <c r="N1208" s="152" t="s">
        <v>2705</v>
      </c>
      <c r="O1208" s="152" t="s">
        <v>2705</v>
      </c>
      <c r="P1208" s="152" t="s">
        <v>2398</v>
      </c>
      <c r="Q1208" s="152" t="s">
        <v>2705</v>
      </c>
      <c r="R1208" s="152" t="s">
        <v>2705</v>
      </c>
      <c r="S1208" s="152" t="s">
        <v>2705</v>
      </c>
      <c r="T1208" s="152" t="s">
        <v>1435</v>
      </c>
      <c r="U1208" s="152" t="s">
        <v>2705</v>
      </c>
      <c r="V1208" s="142" t="str" cm="1">
        <f t="array" ref="V1208">IF(A1208&lt;&gt;"",SUM(--(B1208:U1209 = "X")*$U$3,--(B1208:U1209 ="A")*$Q$3,--(B1208:U1209 ="B")*$R$3,--(B1208:U1209 ="C")*$S$3),"")</f>
        <v/>
      </c>
      <c r="AG1208" s="142" t="s">
        <v>2398</v>
      </c>
      <c r="AH1208" s="142" t="s">
        <v>2705</v>
      </c>
      <c r="AI1208" s="142" t="s">
        <v>2705</v>
      </c>
      <c r="AJ1208" s="142" t="s">
        <v>2705</v>
      </c>
      <c r="AK1208" s="142" t="s">
        <v>2675</v>
      </c>
      <c r="AL1208" s="142" t="s">
        <v>2675</v>
      </c>
      <c r="AM1208" s="142" t="s">
        <v>2398</v>
      </c>
      <c r="AN1208" s="142" t="s">
        <v>2397</v>
      </c>
      <c r="AO1208" s="142" t="s">
        <v>2705</v>
      </c>
      <c r="AP1208" s="142" t="s">
        <v>2675</v>
      </c>
      <c r="AQ1208" s="142" t="s">
        <v>2398</v>
      </c>
      <c r="AR1208" s="142" t="s">
        <v>2398</v>
      </c>
      <c r="AS1208" s="142" t="s">
        <v>2705</v>
      </c>
      <c r="AT1208" s="142" t="s">
        <v>2705</v>
      </c>
      <c r="AU1208" s="142" t="s">
        <v>2398</v>
      </c>
      <c r="AV1208" s="142" t="s">
        <v>2705</v>
      </c>
      <c r="AW1208" s="142" t="s">
        <v>2705</v>
      </c>
      <c r="AX1208" s="142" t="s">
        <v>2705</v>
      </c>
      <c r="AY1208" s="142" t="s">
        <v>1435</v>
      </c>
      <c r="AZ1208" s="142" t="s">
        <v>2705</v>
      </c>
    </row>
    <row r="1209" spans="1:52" s="142" customFormat="1" ht="12.75" x14ac:dyDescent="0.2">
      <c r="A1209" s="151" t="s">
        <v>7921</v>
      </c>
      <c r="B1209" s="152" t="s">
        <v>2705</v>
      </c>
      <c r="C1209" s="152" t="s">
        <v>2705</v>
      </c>
      <c r="D1209" s="152" t="s">
        <v>2705</v>
      </c>
      <c r="E1209" s="152" t="s">
        <v>1435</v>
      </c>
      <c r="F1209" s="152" t="s">
        <v>2705</v>
      </c>
      <c r="G1209" s="152" t="s">
        <v>2705</v>
      </c>
      <c r="H1209" s="152" t="s">
        <v>2705</v>
      </c>
      <c r="I1209" s="152" t="s">
        <v>2398</v>
      </c>
      <c r="J1209" s="152" t="s">
        <v>2398</v>
      </c>
      <c r="K1209" s="152" t="s">
        <v>2398</v>
      </c>
      <c r="L1209" s="152" t="s">
        <v>2705</v>
      </c>
      <c r="M1209" s="152" t="s">
        <v>2705</v>
      </c>
      <c r="N1209" s="152" t="s">
        <v>2398</v>
      </c>
      <c r="O1209" s="152" t="s">
        <v>2705</v>
      </c>
      <c r="P1209" s="152" t="s">
        <v>2705</v>
      </c>
      <c r="Q1209" s="152" t="s">
        <v>2705</v>
      </c>
      <c r="R1209" s="152" t="s">
        <v>2675</v>
      </c>
      <c r="S1209" s="152" t="s">
        <v>2398</v>
      </c>
      <c r="T1209" s="152" t="s">
        <v>2398</v>
      </c>
      <c r="U1209" s="152" t="s">
        <v>2398</v>
      </c>
      <c r="V1209" s="142" cm="1">
        <f t="array" ref="V1209">IF(A1209&lt;&gt;"",SUM(--(B1209:U1210 = "X")*$U$3,--(B1209:U1210 ="A")*$Q$3,--(B1209:U1210 ="B")*$R$3,--(B1209:U1210 ="C")*$S$3),"")</f>
        <v>13.5</v>
      </c>
      <c r="AF1209" s="142" t="s">
        <v>7921</v>
      </c>
      <c r="AG1209" s="142" t="s">
        <v>2705</v>
      </c>
      <c r="AH1209" s="142" t="s">
        <v>2705</v>
      </c>
      <c r="AI1209" s="142" t="s">
        <v>2705</v>
      </c>
      <c r="AJ1209" s="142" t="s">
        <v>1435</v>
      </c>
      <c r="AK1209" s="142" t="s">
        <v>2705</v>
      </c>
      <c r="AL1209" s="142" t="s">
        <v>2705</v>
      </c>
      <c r="AM1209" s="142" t="s">
        <v>2705</v>
      </c>
      <c r="AN1209" s="142" t="s">
        <v>2398</v>
      </c>
      <c r="AO1209" s="142" t="s">
        <v>2398</v>
      </c>
      <c r="AP1209" s="142" t="s">
        <v>2398</v>
      </c>
      <c r="AQ1209" s="142" t="s">
        <v>2705</v>
      </c>
      <c r="AR1209" s="142" t="s">
        <v>2705</v>
      </c>
      <c r="AS1209" s="142" t="s">
        <v>2398</v>
      </c>
      <c r="AT1209" s="142" t="s">
        <v>2705</v>
      </c>
      <c r="AU1209" s="142" t="s">
        <v>2705</v>
      </c>
      <c r="AV1209" s="142" t="s">
        <v>2705</v>
      </c>
      <c r="AW1209" s="142" t="s">
        <v>2675</v>
      </c>
      <c r="AX1209" s="142" t="s">
        <v>2398</v>
      </c>
      <c r="AY1209" s="142" t="s">
        <v>2398</v>
      </c>
      <c r="AZ1209" s="142" t="s">
        <v>2398</v>
      </c>
    </row>
    <row r="1210" spans="1:52" s="142" customFormat="1" ht="12.75" x14ac:dyDescent="0.2">
      <c r="A1210" s="151"/>
      <c r="B1210" s="152" t="s">
        <v>2398</v>
      </c>
      <c r="C1210" s="152" t="s">
        <v>2705</v>
      </c>
      <c r="D1210" s="152" t="s">
        <v>2675</v>
      </c>
      <c r="E1210" s="152" t="s">
        <v>2398</v>
      </c>
      <c r="F1210" s="152" t="s">
        <v>2675</v>
      </c>
      <c r="G1210" s="152" t="s">
        <v>1435</v>
      </c>
      <c r="H1210" s="152" t="s">
        <v>2398</v>
      </c>
      <c r="I1210" s="152" t="s">
        <v>2705</v>
      </c>
      <c r="J1210" s="152" t="s">
        <v>2675</v>
      </c>
      <c r="K1210" s="152" t="s">
        <v>2675</v>
      </c>
      <c r="L1210" s="152" t="s">
        <v>2705</v>
      </c>
      <c r="M1210" s="152" t="s">
        <v>2398</v>
      </c>
      <c r="N1210" s="152" t="s">
        <v>1435</v>
      </c>
      <c r="O1210" s="152" t="s">
        <v>2705</v>
      </c>
      <c r="P1210" s="152" t="s">
        <v>2705</v>
      </c>
      <c r="Q1210" s="152" t="s">
        <v>2705</v>
      </c>
      <c r="R1210" s="152" t="s">
        <v>2398</v>
      </c>
      <c r="S1210" s="152" t="s">
        <v>2705</v>
      </c>
      <c r="T1210" s="152" t="s">
        <v>2675</v>
      </c>
      <c r="U1210" s="152" t="s">
        <v>2398</v>
      </c>
      <c r="V1210" s="142" t="str" cm="1">
        <f t="array" ref="V1210">IF(A1210&lt;&gt;"",SUM(--(B1210:U1211 = "X")*$U$3,--(B1210:U1211 ="A")*$Q$3,--(B1210:U1211 ="B")*$R$3,--(B1210:U1211 ="C")*$S$3),"")</f>
        <v/>
      </c>
      <c r="AG1210" s="142" t="s">
        <v>2398</v>
      </c>
      <c r="AH1210" s="142" t="s">
        <v>2705</v>
      </c>
      <c r="AI1210" s="142" t="s">
        <v>2675</v>
      </c>
      <c r="AJ1210" s="142" t="s">
        <v>2398</v>
      </c>
      <c r="AK1210" s="142" t="s">
        <v>2675</v>
      </c>
      <c r="AL1210" s="142" t="s">
        <v>1435</v>
      </c>
      <c r="AM1210" s="142" t="s">
        <v>2398</v>
      </c>
      <c r="AN1210" s="142" t="s">
        <v>2705</v>
      </c>
      <c r="AO1210" s="142" t="s">
        <v>2675</v>
      </c>
      <c r="AP1210" s="142" t="s">
        <v>2675</v>
      </c>
      <c r="AQ1210" s="142" t="s">
        <v>2705</v>
      </c>
      <c r="AR1210" s="142" t="s">
        <v>2398</v>
      </c>
      <c r="AS1210" s="142" t="s">
        <v>1435</v>
      </c>
      <c r="AT1210" s="142" t="s">
        <v>2705</v>
      </c>
      <c r="AU1210" s="142" t="s">
        <v>2705</v>
      </c>
      <c r="AV1210" s="142" t="s">
        <v>2705</v>
      </c>
      <c r="AW1210" s="142" t="s">
        <v>2398</v>
      </c>
      <c r="AX1210" s="142" t="s">
        <v>2705</v>
      </c>
      <c r="AY1210" s="142" t="s">
        <v>2675</v>
      </c>
      <c r="AZ1210" s="142" t="s">
        <v>2398</v>
      </c>
    </row>
    <row r="1211" spans="1:52" s="142" customFormat="1" ht="12.75" x14ac:dyDescent="0.2">
      <c r="A1211" s="151" t="s">
        <v>7922</v>
      </c>
      <c r="B1211" s="152" t="s">
        <v>2398</v>
      </c>
      <c r="C1211" s="152" t="s">
        <v>2398</v>
      </c>
      <c r="D1211" s="152" t="s">
        <v>2398</v>
      </c>
      <c r="E1211" s="152" t="s">
        <v>2398</v>
      </c>
      <c r="F1211" s="152" t="s">
        <v>2705</v>
      </c>
      <c r="G1211" s="152" t="s">
        <v>2398</v>
      </c>
      <c r="H1211" s="152" t="s">
        <v>2705</v>
      </c>
      <c r="I1211" s="152" t="s">
        <v>2705</v>
      </c>
      <c r="J1211" s="152" t="s">
        <v>2705</v>
      </c>
      <c r="K1211" s="152" t="s">
        <v>2398</v>
      </c>
      <c r="L1211" s="152" t="s">
        <v>2398</v>
      </c>
      <c r="M1211" s="152" t="s">
        <v>2398</v>
      </c>
      <c r="N1211" s="152" t="s">
        <v>2398</v>
      </c>
      <c r="O1211" s="152" t="s">
        <v>2398</v>
      </c>
      <c r="P1211" s="152" t="s">
        <v>2398</v>
      </c>
      <c r="Q1211" s="152" t="s">
        <v>2398</v>
      </c>
      <c r="R1211" s="152" t="s">
        <v>2705</v>
      </c>
      <c r="S1211" s="152" t="s">
        <v>2705</v>
      </c>
      <c r="T1211" s="152" t="s">
        <v>2398</v>
      </c>
      <c r="U1211" s="152" t="s">
        <v>2705</v>
      </c>
      <c r="V1211" s="142" cm="1">
        <f t="array" ref="V1211">IF(A1211&lt;&gt;"",SUM(--(B1211:U1212 = "X")*$U$3,--(B1211:U1212 ="A")*$Q$3,--(B1211:U1212 ="B")*$R$3,--(B1211:U1212 ="C")*$S$3),"")</f>
        <v>17</v>
      </c>
      <c r="AF1211" s="142" t="s">
        <v>7922</v>
      </c>
      <c r="AG1211" s="142" t="s">
        <v>2398</v>
      </c>
      <c r="AH1211" s="142" t="s">
        <v>2398</v>
      </c>
      <c r="AI1211" s="142" t="s">
        <v>2398</v>
      </c>
      <c r="AJ1211" s="142" t="s">
        <v>2398</v>
      </c>
      <c r="AK1211" s="142" t="s">
        <v>2705</v>
      </c>
      <c r="AL1211" s="142" t="s">
        <v>2398</v>
      </c>
      <c r="AM1211" s="142" t="s">
        <v>2705</v>
      </c>
      <c r="AN1211" s="142" t="s">
        <v>2705</v>
      </c>
      <c r="AO1211" s="142" t="s">
        <v>2705</v>
      </c>
      <c r="AP1211" s="142" t="s">
        <v>2398</v>
      </c>
      <c r="AQ1211" s="142" t="s">
        <v>2398</v>
      </c>
      <c r="AR1211" s="142" t="s">
        <v>2398</v>
      </c>
      <c r="AS1211" s="142" t="s">
        <v>2398</v>
      </c>
      <c r="AT1211" s="142" t="s">
        <v>2398</v>
      </c>
      <c r="AU1211" s="142" t="s">
        <v>2398</v>
      </c>
      <c r="AV1211" s="142" t="s">
        <v>2398</v>
      </c>
      <c r="AW1211" s="142" t="s">
        <v>2705</v>
      </c>
      <c r="AX1211" s="142" t="s">
        <v>2705</v>
      </c>
      <c r="AY1211" s="142" t="s">
        <v>2398</v>
      </c>
      <c r="AZ1211" s="142" t="s">
        <v>2705</v>
      </c>
    </row>
    <row r="1212" spans="1:52" s="142" customFormat="1" ht="12.75" x14ac:dyDescent="0.2">
      <c r="A1212" s="151"/>
      <c r="B1212" s="152" t="s">
        <v>2705</v>
      </c>
      <c r="C1212" s="152" t="s">
        <v>2397</v>
      </c>
      <c r="D1212" s="152" t="s">
        <v>2398</v>
      </c>
      <c r="E1212" s="152" t="s">
        <v>2705</v>
      </c>
      <c r="F1212" s="152" t="s">
        <v>2675</v>
      </c>
      <c r="G1212" s="152" t="s">
        <v>2705</v>
      </c>
      <c r="H1212" s="152" t="s">
        <v>2705</v>
      </c>
      <c r="I1212" s="152" t="s">
        <v>2398</v>
      </c>
      <c r="J1212" s="152" t="s">
        <v>2705</v>
      </c>
      <c r="K1212" s="152" t="s">
        <v>2705</v>
      </c>
      <c r="L1212" s="152" t="s">
        <v>2398</v>
      </c>
      <c r="M1212" s="152" t="s">
        <v>2705</v>
      </c>
      <c r="N1212" s="152" t="s">
        <v>2675</v>
      </c>
      <c r="O1212" s="152" t="s">
        <v>2705</v>
      </c>
      <c r="P1212" s="152" t="s">
        <v>2398</v>
      </c>
      <c r="Q1212" s="152" t="s">
        <v>2705</v>
      </c>
      <c r="R1212" s="152" t="s">
        <v>2398</v>
      </c>
      <c r="S1212" s="152" t="s">
        <v>2398</v>
      </c>
      <c r="T1212" s="152" t="s">
        <v>2705</v>
      </c>
      <c r="U1212" s="152" t="s">
        <v>2705</v>
      </c>
      <c r="V1212" s="142" t="str" cm="1">
        <f t="array" ref="V1212">IF(A1212&lt;&gt;"",SUM(--(B1212:U1213 = "X")*$U$3,--(B1212:U1213 ="A")*$Q$3,--(B1212:U1213 ="B")*$R$3,--(B1212:U1213 ="C")*$S$3),"")</f>
        <v/>
      </c>
      <c r="AG1212" s="142" t="s">
        <v>2705</v>
      </c>
      <c r="AH1212" s="142" t="s">
        <v>2397</v>
      </c>
      <c r="AI1212" s="142" t="s">
        <v>2398</v>
      </c>
      <c r="AJ1212" s="142" t="s">
        <v>2705</v>
      </c>
      <c r="AK1212" s="142" t="s">
        <v>2675</v>
      </c>
      <c r="AL1212" s="142" t="s">
        <v>2705</v>
      </c>
      <c r="AM1212" s="142" t="s">
        <v>2705</v>
      </c>
      <c r="AN1212" s="142" t="s">
        <v>2398</v>
      </c>
      <c r="AO1212" s="142" t="s">
        <v>2705</v>
      </c>
      <c r="AP1212" s="142" t="s">
        <v>2705</v>
      </c>
      <c r="AQ1212" s="142" t="s">
        <v>2398</v>
      </c>
      <c r="AR1212" s="142" t="s">
        <v>2705</v>
      </c>
      <c r="AS1212" s="142" t="s">
        <v>2675</v>
      </c>
      <c r="AT1212" s="142" t="s">
        <v>2705</v>
      </c>
      <c r="AU1212" s="142" t="s">
        <v>2398</v>
      </c>
      <c r="AV1212" s="142" t="s">
        <v>2705</v>
      </c>
      <c r="AW1212" s="142" t="s">
        <v>2398</v>
      </c>
      <c r="AX1212" s="142" t="s">
        <v>2398</v>
      </c>
      <c r="AY1212" s="142" t="s">
        <v>2705</v>
      </c>
      <c r="AZ1212" s="142" t="s">
        <v>2705</v>
      </c>
    </row>
    <row r="1213" spans="1:52" s="142" customFormat="1" ht="12.75" x14ac:dyDescent="0.2">
      <c r="A1213" s="151" t="s">
        <v>7923</v>
      </c>
      <c r="B1213" s="152" t="s">
        <v>2397</v>
      </c>
      <c r="C1213" s="152" t="s">
        <v>2705</v>
      </c>
      <c r="D1213" s="152" t="s">
        <v>2705</v>
      </c>
      <c r="E1213" s="152" t="s">
        <v>2705</v>
      </c>
      <c r="F1213" s="152" t="s">
        <v>2397</v>
      </c>
      <c r="G1213" s="152" t="s">
        <v>2398</v>
      </c>
      <c r="H1213" s="152" t="s">
        <v>2397</v>
      </c>
      <c r="I1213" s="152" t="s">
        <v>2397</v>
      </c>
      <c r="J1213" s="152" t="s">
        <v>2398</v>
      </c>
      <c r="K1213" s="152" t="s">
        <v>1435</v>
      </c>
      <c r="L1213" s="152" t="s">
        <v>2705</v>
      </c>
      <c r="M1213" s="152" t="s">
        <v>2705</v>
      </c>
      <c r="N1213" s="152" t="s">
        <v>2705</v>
      </c>
      <c r="O1213" s="152" t="s">
        <v>2705</v>
      </c>
      <c r="P1213" s="152" t="s">
        <v>2675</v>
      </c>
      <c r="Q1213" s="152" t="s">
        <v>1435</v>
      </c>
      <c r="R1213" s="152" t="s">
        <v>2675</v>
      </c>
      <c r="S1213" s="152" t="s">
        <v>2705</v>
      </c>
      <c r="T1213" s="152" t="s">
        <v>2398</v>
      </c>
      <c r="U1213" s="152" t="s">
        <v>1435</v>
      </c>
      <c r="V1213" s="142" cm="1">
        <f t="array" ref="V1213">IF(A1213&lt;&gt;"",SUM(--(B1213:U1214 = "X")*$U$3,--(B1213:U1214 ="A")*$Q$3,--(B1213:U1214 ="B")*$R$3,--(B1213:U1214 ="C")*$S$3),"")</f>
        <v>12</v>
      </c>
      <c r="AF1213" s="142" t="s">
        <v>7923</v>
      </c>
      <c r="AG1213" s="142" t="s">
        <v>2397</v>
      </c>
      <c r="AH1213" s="142" t="s">
        <v>2705</v>
      </c>
      <c r="AI1213" s="142" t="s">
        <v>2705</v>
      </c>
      <c r="AJ1213" s="142" t="s">
        <v>2705</v>
      </c>
      <c r="AK1213" s="142" t="s">
        <v>2397</v>
      </c>
      <c r="AL1213" s="142" t="s">
        <v>2398</v>
      </c>
      <c r="AM1213" s="142" t="s">
        <v>2397</v>
      </c>
      <c r="AN1213" s="142" t="s">
        <v>2397</v>
      </c>
      <c r="AO1213" s="142" t="s">
        <v>2398</v>
      </c>
      <c r="AP1213" s="142" t="s">
        <v>1435</v>
      </c>
      <c r="AQ1213" s="142" t="s">
        <v>2705</v>
      </c>
      <c r="AR1213" s="142" t="s">
        <v>2705</v>
      </c>
      <c r="AS1213" s="142" t="s">
        <v>2705</v>
      </c>
      <c r="AT1213" s="142" t="s">
        <v>2705</v>
      </c>
      <c r="AU1213" s="142" t="s">
        <v>2675</v>
      </c>
      <c r="AV1213" s="142" t="s">
        <v>1435</v>
      </c>
      <c r="AW1213" s="142" t="s">
        <v>2675</v>
      </c>
      <c r="AX1213" s="142" t="s">
        <v>2705</v>
      </c>
      <c r="AY1213" s="142" t="s">
        <v>2398</v>
      </c>
      <c r="AZ1213" s="142" t="s">
        <v>1435</v>
      </c>
    </row>
    <row r="1214" spans="1:52" s="142" customFormat="1" ht="12.75" x14ac:dyDescent="0.2">
      <c r="A1214" s="151"/>
      <c r="B1214" s="152" t="s">
        <v>2398</v>
      </c>
      <c r="C1214" s="152" t="s">
        <v>2398</v>
      </c>
      <c r="D1214" s="152" t="s">
        <v>2675</v>
      </c>
      <c r="E1214" s="152" t="s">
        <v>2398</v>
      </c>
      <c r="F1214" s="152" t="s">
        <v>2398</v>
      </c>
      <c r="G1214" s="152" t="s">
        <v>2705</v>
      </c>
      <c r="H1214" s="152" t="s">
        <v>2398</v>
      </c>
      <c r="I1214" s="152" t="s">
        <v>2398</v>
      </c>
      <c r="J1214" s="152" t="s">
        <v>2398</v>
      </c>
      <c r="K1214" s="152" t="s">
        <v>2705</v>
      </c>
      <c r="L1214" s="152" t="s">
        <v>2705</v>
      </c>
      <c r="M1214" s="152" t="s">
        <v>2398</v>
      </c>
      <c r="N1214" s="152" t="s">
        <v>2705</v>
      </c>
      <c r="O1214" s="152" t="s">
        <v>2675</v>
      </c>
      <c r="P1214" s="152" t="s">
        <v>2398</v>
      </c>
      <c r="Q1214" s="152" t="s">
        <v>2705</v>
      </c>
      <c r="R1214" s="152" t="s">
        <v>2705</v>
      </c>
      <c r="S1214" s="152" t="s">
        <v>2705</v>
      </c>
      <c r="T1214" s="152" t="s">
        <v>2705</v>
      </c>
      <c r="U1214" s="152" t="s">
        <v>2675</v>
      </c>
      <c r="V1214" s="142" t="str" cm="1">
        <f t="array" ref="V1214">IF(A1214&lt;&gt;"",SUM(--(B1214:U1215 = "X")*$U$3,--(B1214:U1215 ="A")*$Q$3,--(B1214:U1215 ="B")*$R$3,--(B1214:U1215 ="C")*$S$3),"")</f>
        <v/>
      </c>
      <c r="AG1214" s="142" t="s">
        <v>2398</v>
      </c>
      <c r="AH1214" s="142" t="s">
        <v>2398</v>
      </c>
      <c r="AI1214" s="142" t="s">
        <v>2675</v>
      </c>
      <c r="AJ1214" s="142" t="s">
        <v>2398</v>
      </c>
      <c r="AK1214" s="142" t="s">
        <v>2398</v>
      </c>
      <c r="AL1214" s="142" t="s">
        <v>2705</v>
      </c>
      <c r="AM1214" s="142" t="s">
        <v>2398</v>
      </c>
      <c r="AN1214" s="142" t="s">
        <v>2398</v>
      </c>
      <c r="AO1214" s="142" t="s">
        <v>2398</v>
      </c>
      <c r="AP1214" s="142" t="s">
        <v>2705</v>
      </c>
      <c r="AQ1214" s="142" t="s">
        <v>2705</v>
      </c>
      <c r="AR1214" s="142" t="s">
        <v>2398</v>
      </c>
      <c r="AS1214" s="142" t="s">
        <v>2705</v>
      </c>
      <c r="AT1214" s="142" t="s">
        <v>2675</v>
      </c>
      <c r="AU1214" s="142" t="s">
        <v>2398</v>
      </c>
      <c r="AV1214" s="142" t="s">
        <v>2705</v>
      </c>
      <c r="AW1214" s="142" t="s">
        <v>2705</v>
      </c>
      <c r="AX1214" s="142" t="s">
        <v>2705</v>
      </c>
      <c r="AY1214" s="142" t="s">
        <v>2705</v>
      </c>
      <c r="AZ1214" s="142" t="s">
        <v>2675</v>
      </c>
    </row>
    <row r="1215" spans="1:52" s="142" customFormat="1" ht="12.75" x14ac:dyDescent="0.2">
      <c r="A1215" s="151" t="s">
        <v>7924</v>
      </c>
      <c r="B1215" s="152" t="s">
        <v>2675</v>
      </c>
      <c r="C1215" s="152" t="s">
        <v>2398</v>
      </c>
      <c r="D1215" s="152" t="s">
        <v>2675</v>
      </c>
      <c r="E1215" s="152" t="s">
        <v>2705</v>
      </c>
      <c r="F1215" s="152" t="s">
        <v>2398</v>
      </c>
      <c r="G1215" s="152" t="s">
        <v>1435</v>
      </c>
      <c r="H1215" s="152" t="s">
        <v>2398</v>
      </c>
      <c r="I1215" s="152" t="s">
        <v>2397</v>
      </c>
      <c r="J1215" s="152" t="s">
        <v>2398</v>
      </c>
      <c r="K1215" s="152" t="s">
        <v>2398</v>
      </c>
      <c r="L1215" s="152" t="s">
        <v>2675</v>
      </c>
      <c r="M1215" s="152" t="s">
        <v>2705</v>
      </c>
      <c r="N1215" s="152" t="s">
        <v>2398</v>
      </c>
      <c r="O1215" s="152" t="s">
        <v>2705</v>
      </c>
      <c r="P1215" s="152" t="s">
        <v>2397</v>
      </c>
      <c r="Q1215" s="152" t="s">
        <v>1435</v>
      </c>
      <c r="R1215" s="152" t="s">
        <v>2705</v>
      </c>
      <c r="S1215" s="152" t="s">
        <v>2398</v>
      </c>
      <c r="T1215" s="152" t="s">
        <v>1435</v>
      </c>
      <c r="U1215" s="152" t="s">
        <v>1435</v>
      </c>
      <c r="V1215" s="142" cm="1">
        <f t="array" ref="V1215">IF(A1215&lt;&gt;"",SUM(--(B1215:U1216 = "X")*$U$3,--(B1215:U1216 ="A")*$Q$3,--(B1215:U1216 ="B")*$R$3,--(B1215:U1216 ="C")*$S$3),"")</f>
        <v>4</v>
      </c>
      <c r="AF1215" s="142" t="s">
        <v>7924</v>
      </c>
      <c r="AG1215" s="142" t="s">
        <v>2675</v>
      </c>
      <c r="AH1215" s="142" t="s">
        <v>2398</v>
      </c>
      <c r="AI1215" s="142" t="s">
        <v>2675</v>
      </c>
      <c r="AJ1215" s="142" t="s">
        <v>2705</v>
      </c>
      <c r="AK1215" s="142" t="s">
        <v>2398</v>
      </c>
      <c r="AL1215" s="142" t="s">
        <v>1435</v>
      </c>
      <c r="AM1215" s="142" t="s">
        <v>2398</v>
      </c>
      <c r="AN1215" s="142" t="s">
        <v>2397</v>
      </c>
      <c r="AO1215" s="142" t="s">
        <v>2398</v>
      </c>
      <c r="AP1215" s="142" t="s">
        <v>2398</v>
      </c>
      <c r="AQ1215" s="142" t="s">
        <v>2675</v>
      </c>
      <c r="AR1215" s="142" t="s">
        <v>2705</v>
      </c>
      <c r="AS1215" s="142" t="s">
        <v>2398</v>
      </c>
      <c r="AT1215" s="142" t="s">
        <v>2705</v>
      </c>
      <c r="AU1215" s="142" t="s">
        <v>2397</v>
      </c>
      <c r="AV1215" s="142" t="s">
        <v>1435</v>
      </c>
      <c r="AW1215" s="142" t="s">
        <v>2705</v>
      </c>
      <c r="AX1215" s="142" t="s">
        <v>2398</v>
      </c>
      <c r="AY1215" s="142" t="s">
        <v>1435</v>
      </c>
      <c r="AZ1215" s="142" t="s">
        <v>1435</v>
      </c>
    </row>
    <row r="1216" spans="1:52" s="142" customFormat="1" ht="12.75" x14ac:dyDescent="0.2">
      <c r="A1216" s="151"/>
      <c r="B1216" s="152" t="s">
        <v>2675</v>
      </c>
      <c r="C1216" s="152" t="s">
        <v>1435</v>
      </c>
      <c r="D1216" s="152" t="s">
        <v>2675</v>
      </c>
      <c r="E1216" s="152" t="s">
        <v>2398</v>
      </c>
      <c r="F1216" s="152" t="s">
        <v>2705</v>
      </c>
      <c r="G1216" s="152" t="s">
        <v>1435</v>
      </c>
      <c r="H1216" s="152" t="s">
        <v>2398</v>
      </c>
      <c r="I1216" s="152" t="s">
        <v>2705</v>
      </c>
      <c r="J1216" s="152" t="s">
        <v>2398</v>
      </c>
      <c r="K1216" s="152" t="s">
        <v>2705</v>
      </c>
      <c r="L1216" s="152" t="s">
        <v>2398</v>
      </c>
      <c r="M1216" s="152" t="s">
        <v>2398</v>
      </c>
      <c r="N1216" s="152" t="s">
        <v>1435</v>
      </c>
      <c r="O1216" s="152" t="s">
        <v>2705</v>
      </c>
      <c r="P1216" s="152" t="s">
        <v>2398</v>
      </c>
      <c r="Q1216" s="152" t="s">
        <v>2705</v>
      </c>
      <c r="R1216" s="152" t="s">
        <v>2398</v>
      </c>
      <c r="S1216" s="152" t="s">
        <v>2398</v>
      </c>
      <c r="T1216" s="152" t="s">
        <v>2705</v>
      </c>
      <c r="U1216" s="152" t="s">
        <v>2398</v>
      </c>
      <c r="V1216" s="142" t="str" cm="1">
        <f t="array" ref="V1216">IF(A1216&lt;&gt;"",SUM(--(B1216:U1217 = "X")*$U$3,--(B1216:U1217 ="A")*$Q$3,--(B1216:U1217 ="B")*$R$3,--(B1216:U1217 ="C")*$S$3),"")</f>
        <v/>
      </c>
      <c r="AG1216" s="142" t="s">
        <v>2675</v>
      </c>
      <c r="AH1216" s="142" t="s">
        <v>1435</v>
      </c>
      <c r="AI1216" s="142" t="s">
        <v>2675</v>
      </c>
      <c r="AJ1216" s="142" t="s">
        <v>2398</v>
      </c>
      <c r="AK1216" s="142" t="s">
        <v>2705</v>
      </c>
      <c r="AL1216" s="142" t="s">
        <v>1435</v>
      </c>
      <c r="AM1216" s="142" t="s">
        <v>2398</v>
      </c>
      <c r="AN1216" s="142" t="s">
        <v>2705</v>
      </c>
      <c r="AO1216" s="142" t="s">
        <v>2398</v>
      </c>
      <c r="AP1216" s="142" t="s">
        <v>2705</v>
      </c>
      <c r="AQ1216" s="142" t="s">
        <v>2398</v>
      </c>
      <c r="AR1216" s="142" t="s">
        <v>2398</v>
      </c>
      <c r="AS1216" s="142" t="s">
        <v>1435</v>
      </c>
      <c r="AT1216" s="142" t="s">
        <v>2705</v>
      </c>
      <c r="AU1216" s="142" t="s">
        <v>2398</v>
      </c>
      <c r="AV1216" s="142" t="s">
        <v>2705</v>
      </c>
      <c r="AW1216" s="142" t="s">
        <v>2398</v>
      </c>
      <c r="AX1216" s="142" t="s">
        <v>2398</v>
      </c>
      <c r="AY1216" s="142" t="s">
        <v>2705</v>
      </c>
      <c r="AZ1216" s="142" t="s">
        <v>2398</v>
      </c>
    </row>
    <row r="1217" spans="1:52" s="142" customFormat="1" ht="12.75" x14ac:dyDescent="0.2">
      <c r="A1217" s="151" t="s">
        <v>7925</v>
      </c>
      <c r="B1217" s="152" t="s">
        <v>2398</v>
      </c>
      <c r="C1217" s="152" t="s">
        <v>2705</v>
      </c>
      <c r="D1217" s="152" t="s">
        <v>2397</v>
      </c>
      <c r="E1217" s="152" t="s">
        <v>2398</v>
      </c>
      <c r="F1217" s="152" t="s">
        <v>2705</v>
      </c>
      <c r="G1217" s="152" t="s">
        <v>2705</v>
      </c>
      <c r="H1217" s="152" t="s">
        <v>2398</v>
      </c>
      <c r="I1217" s="152" t="s">
        <v>2398</v>
      </c>
      <c r="J1217" s="152" t="s">
        <v>2398</v>
      </c>
      <c r="K1217" s="152" t="s">
        <v>2705</v>
      </c>
      <c r="L1217" s="152" t="s">
        <v>2397</v>
      </c>
      <c r="M1217" s="152" t="s">
        <v>1435</v>
      </c>
      <c r="N1217" s="152" t="s">
        <v>2705</v>
      </c>
      <c r="O1217" s="152" t="s">
        <v>2705</v>
      </c>
      <c r="P1217" s="152" t="s">
        <v>2705</v>
      </c>
      <c r="Q1217" s="152" t="s">
        <v>2705</v>
      </c>
      <c r="R1217" s="152" t="s">
        <v>2705</v>
      </c>
      <c r="S1217" s="152" t="s">
        <v>2398</v>
      </c>
      <c r="T1217" s="152" t="s">
        <v>2705</v>
      </c>
      <c r="U1217" s="152" t="s">
        <v>2705</v>
      </c>
      <c r="V1217" s="142" cm="1">
        <f t="array" ref="V1217">IF(A1217&lt;&gt;"",SUM(--(B1217:U1218 = "X")*$U$3,--(B1217:U1218 ="A")*$Q$3,--(B1217:U1218 ="B")*$R$3,--(B1217:U1218 ="C")*$S$3),"")</f>
        <v>21.5</v>
      </c>
      <c r="AF1217" s="142" t="s">
        <v>7925</v>
      </c>
      <c r="AG1217" s="142" t="s">
        <v>2398</v>
      </c>
      <c r="AH1217" s="142" t="s">
        <v>2705</v>
      </c>
      <c r="AI1217" s="142" t="s">
        <v>2397</v>
      </c>
      <c r="AJ1217" s="142" t="s">
        <v>2398</v>
      </c>
      <c r="AK1217" s="142" t="s">
        <v>2705</v>
      </c>
      <c r="AL1217" s="142" t="s">
        <v>2705</v>
      </c>
      <c r="AM1217" s="142" t="s">
        <v>2398</v>
      </c>
      <c r="AN1217" s="142" t="s">
        <v>2398</v>
      </c>
      <c r="AO1217" s="142" t="s">
        <v>2398</v>
      </c>
      <c r="AP1217" s="142" t="s">
        <v>2705</v>
      </c>
      <c r="AQ1217" s="142" t="s">
        <v>2397</v>
      </c>
      <c r="AR1217" s="142" t="s">
        <v>1435</v>
      </c>
      <c r="AS1217" s="142" t="s">
        <v>2705</v>
      </c>
      <c r="AT1217" s="142" t="s">
        <v>2705</v>
      </c>
      <c r="AU1217" s="142" t="s">
        <v>2705</v>
      </c>
      <c r="AV1217" s="142" t="s">
        <v>2705</v>
      </c>
      <c r="AW1217" s="142" t="s">
        <v>2705</v>
      </c>
      <c r="AX1217" s="142" t="s">
        <v>2398</v>
      </c>
      <c r="AY1217" s="142" t="s">
        <v>2705</v>
      </c>
      <c r="AZ1217" s="142" t="s">
        <v>2705</v>
      </c>
    </row>
    <row r="1218" spans="1:52" s="142" customFormat="1" ht="12.75" x14ac:dyDescent="0.2">
      <c r="A1218" s="151"/>
      <c r="B1218" s="152" t="s">
        <v>2675</v>
      </c>
      <c r="C1218" s="152" t="s">
        <v>2398</v>
      </c>
      <c r="D1218" s="152" t="s">
        <v>2705</v>
      </c>
      <c r="E1218" s="152" t="s">
        <v>2705</v>
      </c>
      <c r="F1218" s="152" t="s">
        <v>2705</v>
      </c>
      <c r="G1218" s="152" t="s">
        <v>2398</v>
      </c>
      <c r="H1218" s="152" t="s">
        <v>2705</v>
      </c>
      <c r="I1218" s="152" t="s">
        <v>2705</v>
      </c>
      <c r="J1218" s="152" t="s">
        <v>2705</v>
      </c>
      <c r="K1218" s="152" t="s">
        <v>2398</v>
      </c>
      <c r="L1218" s="152" t="s">
        <v>2398</v>
      </c>
      <c r="M1218" s="152" t="s">
        <v>2705</v>
      </c>
      <c r="N1218" s="152" t="s">
        <v>1435</v>
      </c>
      <c r="O1218" s="152" t="s">
        <v>2398</v>
      </c>
      <c r="P1218" s="152" t="s">
        <v>2398</v>
      </c>
      <c r="Q1218" s="152" t="s">
        <v>2705</v>
      </c>
      <c r="R1218" s="152" t="s">
        <v>2705</v>
      </c>
      <c r="S1218" s="152" t="s">
        <v>2705</v>
      </c>
      <c r="T1218" s="152" t="s">
        <v>2705</v>
      </c>
      <c r="U1218" s="152" t="s">
        <v>2705</v>
      </c>
      <c r="V1218" s="142" t="str" cm="1">
        <f t="array" ref="V1218">IF(A1218&lt;&gt;"",SUM(--(B1218:U1219 = "X")*$U$3,--(B1218:U1219 ="A")*$Q$3,--(B1218:U1219 ="B")*$R$3,--(B1218:U1219 ="C")*$S$3),"")</f>
        <v/>
      </c>
      <c r="AG1218" s="142" t="s">
        <v>2675</v>
      </c>
      <c r="AH1218" s="142" t="s">
        <v>2398</v>
      </c>
      <c r="AI1218" s="142" t="s">
        <v>2705</v>
      </c>
      <c r="AJ1218" s="142" t="s">
        <v>2705</v>
      </c>
      <c r="AK1218" s="142" t="s">
        <v>2705</v>
      </c>
      <c r="AL1218" s="142" t="s">
        <v>2398</v>
      </c>
      <c r="AM1218" s="142" t="s">
        <v>2705</v>
      </c>
      <c r="AN1218" s="142" t="s">
        <v>2705</v>
      </c>
      <c r="AO1218" s="142" t="s">
        <v>2705</v>
      </c>
      <c r="AP1218" s="142" t="s">
        <v>2398</v>
      </c>
      <c r="AQ1218" s="142" t="s">
        <v>2398</v>
      </c>
      <c r="AR1218" s="142" t="s">
        <v>2705</v>
      </c>
      <c r="AS1218" s="142" t="s">
        <v>1435</v>
      </c>
      <c r="AT1218" s="142" t="s">
        <v>2398</v>
      </c>
      <c r="AU1218" s="142" t="s">
        <v>2398</v>
      </c>
      <c r="AV1218" s="142" t="s">
        <v>2705</v>
      </c>
      <c r="AW1218" s="142" t="s">
        <v>2705</v>
      </c>
      <c r="AX1218" s="142" t="s">
        <v>2705</v>
      </c>
      <c r="AY1218" s="142" t="s">
        <v>2705</v>
      </c>
      <c r="AZ1218" s="142" t="s">
        <v>2705</v>
      </c>
    </row>
    <row r="1219" spans="1:52" s="142" customFormat="1" ht="12.75" x14ac:dyDescent="0.2">
      <c r="A1219" s="151" t="s">
        <v>7926</v>
      </c>
      <c r="B1219" s="152" t="s">
        <v>1435</v>
      </c>
      <c r="C1219" s="152" t="s">
        <v>2398</v>
      </c>
      <c r="D1219" s="152" t="s">
        <v>2397</v>
      </c>
      <c r="E1219" s="152" t="s">
        <v>2398</v>
      </c>
      <c r="F1219" s="152" t="s">
        <v>1435</v>
      </c>
      <c r="G1219" s="152" t="s">
        <v>2705</v>
      </c>
      <c r="H1219" s="152" t="s">
        <v>1435</v>
      </c>
      <c r="I1219" s="152" t="s">
        <v>1435</v>
      </c>
      <c r="J1219" s="152" t="s">
        <v>2705</v>
      </c>
      <c r="K1219" s="152" t="s">
        <v>2397</v>
      </c>
      <c r="L1219" s="152" t="s">
        <v>2397</v>
      </c>
      <c r="M1219" s="152" t="s">
        <v>2398</v>
      </c>
      <c r="N1219" s="152" t="s">
        <v>2675</v>
      </c>
      <c r="O1219" s="152" t="s">
        <v>2398</v>
      </c>
      <c r="P1219" s="152" t="s">
        <v>2675</v>
      </c>
      <c r="Q1219" s="152" t="s">
        <v>2675</v>
      </c>
      <c r="R1219" s="152" t="s">
        <v>2675</v>
      </c>
      <c r="S1219" s="152" t="s">
        <v>2398</v>
      </c>
      <c r="T1219" s="152" t="s">
        <v>2675</v>
      </c>
      <c r="U1219" s="152" t="s">
        <v>2398</v>
      </c>
      <c r="V1219" s="142" cm="1">
        <f t="array" ref="V1219">IF(A1219&lt;&gt;"",SUM(--(B1219:U1220 = "X")*$U$3,--(B1219:U1220 ="A")*$Q$3,--(B1219:U1220 ="B")*$R$3,--(B1219:U1220 ="C")*$S$3),"")</f>
        <v>1.5</v>
      </c>
      <c r="AF1219" s="142" t="s">
        <v>7926</v>
      </c>
      <c r="AG1219" s="142" t="s">
        <v>1435</v>
      </c>
      <c r="AH1219" s="142" t="s">
        <v>2398</v>
      </c>
      <c r="AI1219" s="142" t="s">
        <v>2397</v>
      </c>
      <c r="AJ1219" s="142" t="s">
        <v>2398</v>
      </c>
      <c r="AK1219" s="142" t="s">
        <v>1435</v>
      </c>
      <c r="AL1219" s="142" t="s">
        <v>2705</v>
      </c>
      <c r="AM1219" s="142" t="s">
        <v>1435</v>
      </c>
      <c r="AN1219" s="142" t="s">
        <v>1435</v>
      </c>
      <c r="AO1219" s="142" t="s">
        <v>2705</v>
      </c>
      <c r="AP1219" s="142" t="s">
        <v>2397</v>
      </c>
      <c r="AQ1219" s="142" t="s">
        <v>2397</v>
      </c>
      <c r="AR1219" s="142" t="s">
        <v>2398</v>
      </c>
      <c r="AS1219" s="142" t="s">
        <v>2675</v>
      </c>
      <c r="AT1219" s="142" t="s">
        <v>2398</v>
      </c>
      <c r="AU1219" s="142" t="s">
        <v>2675</v>
      </c>
      <c r="AV1219" s="142" t="s">
        <v>2675</v>
      </c>
      <c r="AW1219" s="142" t="s">
        <v>2675</v>
      </c>
      <c r="AX1219" s="142" t="s">
        <v>2398</v>
      </c>
      <c r="AY1219" s="142" t="s">
        <v>2675</v>
      </c>
      <c r="AZ1219" s="142" t="s">
        <v>2398</v>
      </c>
    </row>
    <row r="1220" spans="1:52" s="142" customFormat="1" ht="12.75" x14ac:dyDescent="0.2">
      <c r="A1220" s="151"/>
      <c r="B1220" s="152" t="s">
        <v>2398</v>
      </c>
      <c r="C1220" s="152" t="s">
        <v>1435</v>
      </c>
      <c r="D1220" s="152" t="s">
        <v>2675</v>
      </c>
      <c r="E1220" s="152" t="s">
        <v>2397</v>
      </c>
      <c r="F1220" s="152" t="s">
        <v>2705</v>
      </c>
      <c r="G1220" s="152" t="s">
        <v>2705</v>
      </c>
      <c r="H1220" s="152" t="s">
        <v>2398</v>
      </c>
      <c r="I1220" s="152" t="s">
        <v>2705</v>
      </c>
      <c r="J1220" s="152" t="s">
        <v>2398</v>
      </c>
      <c r="K1220" s="152" t="s">
        <v>2398</v>
      </c>
      <c r="L1220" s="152" t="s">
        <v>2705</v>
      </c>
      <c r="M1220" s="152" t="s">
        <v>2675</v>
      </c>
      <c r="N1220" s="152" t="s">
        <v>2398</v>
      </c>
      <c r="O1220" s="152" t="s">
        <v>2398</v>
      </c>
      <c r="P1220" s="152" t="s">
        <v>2398</v>
      </c>
      <c r="Q1220" s="152" t="s">
        <v>2705</v>
      </c>
      <c r="R1220" s="152" t="s">
        <v>2398</v>
      </c>
      <c r="S1220" s="152" t="s">
        <v>2675</v>
      </c>
      <c r="T1220" s="152" t="s">
        <v>2705</v>
      </c>
      <c r="U1220" s="152" t="s">
        <v>2398</v>
      </c>
      <c r="V1220" s="142" t="str" cm="1">
        <f t="array" ref="V1220">IF(A1220&lt;&gt;"",SUM(--(B1220:U1221 = "X")*$U$3,--(B1220:U1221 ="A")*$Q$3,--(B1220:U1221 ="B")*$R$3,--(B1220:U1221 ="C")*$S$3),"")</f>
        <v/>
      </c>
      <c r="AG1220" s="142" t="s">
        <v>2398</v>
      </c>
      <c r="AH1220" s="142" t="s">
        <v>1435</v>
      </c>
      <c r="AI1220" s="142" t="s">
        <v>2675</v>
      </c>
      <c r="AJ1220" s="142" t="s">
        <v>2397</v>
      </c>
      <c r="AK1220" s="142" t="s">
        <v>2705</v>
      </c>
      <c r="AL1220" s="142" t="s">
        <v>2705</v>
      </c>
      <c r="AM1220" s="142" t="s">
        <v>2398</v>
      </c>
      <c r="AN1220" s="142" t="s">
        <v>2705</v>
      </c>
      <c r="AO1220" s="142" t="s">
        <v>2398</v>
      </c>
      <c r="AP1220" s="142" t="s">
        <v>2398</v>
      </c>
      <c r="AQ1220" s="142" t="s">
        <v>2705</v>
      </c>
      <c r="AR1220" s="142" t="s">
        <v>2675</v>
      </c>
      <c r="AS1220" s="142" t="s">
        <v>2398</v>
      </c>
      <c r="AT1220" s="142" t="s">
        <v>2398</v>
      </c>
      <c r="AU1220" s="142" t="s">
        <v>2398</v>
      </c>
      <c r="AV1220" s="142" t="s">
        <v>2705</v>
      </c>
      <c r="AW1220" s="142" t="s">
        <v>2398</v>
      </c>
      <c r="AX1220" s="142" t="s">
        <v>2675</v>
      </c>
      <c r="AY1220" s="142" t="s">
        <v>2705</v>
      </c>
      <c r="AZ1220" s="142" t="s">
        <v>2398</v>
      </c>
    </row>
    <row r="1221" spans="1:52" s="142" customFormat="1" ht="12.75" x14ac:dyDescent="0.2">
      <c r="A1221" s="151" t="s">
        <v>7927</v>
      </c>
      <c r="B1221" s="152" t="s">
        <v>2705</v>
      </c>
      <c r="C1221" s="152" t="s">
        <v>2705</v>
      </c>
      <c r="D1221" s="152" t="s">
        <v>2675</v>
      </c>
      <c r="E1221" s="152" t="s">
        <v>2705</v>
      </c>
      <c r="F1221" s="152" t="s">
        <v>2398</v>
      </c>
      <c r="G1221" s="152" t="s">
        <v>2398</v>
      </c>
      <c r="H1221" s="152" t="s">
        <v>2705</v>
      </c>
      <c r="I1221" s="152" t="s">
        <v>2705</v>
      </c>
      <c r="J1221" s="152" t="s">
        <v>2398</v>
      </c>
      <c r="K1221" s="152" t="s">
        <v>2398</v>
      </c>
      <c r="L1221" s="152" t="s">
        <v>2675</v>
      </c>
      <c r="M1221" s="152" t="s">
        <v>2705</v>
      </c>
      <c r="N1221" s="152" t="s">
        <v>2398</v>
      </c>
      <c r="O1221" s="152" t="s">
        <v>2705</v>
      </c>
      <c r="P1221" s="152" t="s">
        <v>2397</v>
      </c>
      <c r="Q1221" s="152" t="s">
        <v>2398</v>
      </c>
      <c r="R1221" s="152" t="s">
        <v>2705</v>
      </c>
      <c r="S1221" s="152" t="s">
        <v>2705</v>
      </c>
      <c r="T1221" s="152" t="s">
        <v>2398</v>
      </c>
      <c r="U1221" s="152" t="s">
        <v>2705</v>
      </c>
      <c r="V1221" s="142" cm="1">
        <f t="array" ref="V1221">IF(A1221&lt;&gt;"",SUM(--(B1221:U1222 = "X")*$U$3,--(B1221:U1222 ="A")*$Q$3,--(B1221:U1222 ="B")*$R$3,--(B1221:U1222 ="C")*$S$3),"")</f>
        <v>16</v>
      </c>
      <c r="AF1221" s="142" t="s">
        <v>7927</v>
      </c>
      <c r="AG1221" s="142" t="s">
        <v>2705</v>
      </c>
      <c r="AH1221" s="142" t="s">
        <v>2705</v>
      </c>
      <c r="AI1221" s="142" t="s">
        <v>2675</v>
      </c>
      <c r="AJ1221" s="142" t="s">
        <v>2705</v>
      </c>
      <c r="AK1221" s="142" t="s">
        <v>2398</v>
      </c>
      <c r="AL1221" s="142" t="s">
        <v>2398</v>
      </c>
      <c r="AM1221" s="142" t="s">
        <v>2705</v>
      </c>
      <c r="AN1221" s="142" t="s">
        <v>2705</v>
      </c>
      <c r="AO1221" s="142" t="s">
        <v>2398</v>
      </c>
      <c r="AP1221" s="142" t="s">
        <v>2398</v>
      </c>
      <c r="AQ1221" s="142" t="s">
        <v>2675</v>
      </c>
      <c r="AR1221" s="142" t="s">
        <v>2705</v>
      </c>
      <c r="AS1221" s="142" t="s">
        <v>2398</v>
      </c>
      <c r="AT1221" s="142" t="s">
        <v>2705</v>
      </c>
      <c r="AU1221" s="142" t="s">
        <v>2397</v>
      </c>
      <c r="AV1221" s="142" t="s">
        <v>2398</v>
      </c>
      <c r="AW1221" s="142" t="s">
        <v>2705</v>
      </c>
      <c r="AX1221" s="142" t="s">
        <v>2705</v>
      </c>
      <c r="AY1221" s="142" t="s">
        <v>2398</v>
      </c>
      <c r="AZ1221" s="142" t="s">
        <v>2705</v>
      </c>
    </row>
    <row r="1222" spans="1:52" s="142" customFormat="1" ht="12.75" x14ac:dyDescent="0.2">
      <c r="A1222" s="151"/>
      <c r="B1222" s="152" t="s">
        <v>2398</v>
      </c>
      <c r="C1222" s="152" t="s">
        <v>2398</v>
      </c>
      <c r="D1222" s="152" t="s">
        <v>2398</v>
      </c>
      <c r="E1222" s="152" t="s">
        <v>2398</v>
      </c>
      <c r="F1222" s="152" t="s">
        <v>2398</v>
      </c>
      <c r="G1222" s="152" t="s">
        <v>2398</v>
      </c>
      <c r="H1222" s="152" t="s">
        <v>2705</v>
      </c>
      <c r="I1222" s="152" t="s">
        <v>2398</v>
      </c>
      <c r="J1222" s="152" t="s">
        <v>2705</v>
      </c>
      <c r="K1222" s="152" t="s">
        <v>2705</v>
      </c>
      <c r="L1222" s="152" t="s">
        <v>2398</v>
      </c>
      <c r="M1222" s="152" t="s">
        <v>2398</v>
      </c>
      <c r="N1222" s="152" t="s">
        <v>2675</v>
      </c>
      <c r="O1222" s="152" t="s">
        <v>2705</v>
      </c>
      <c r="P1222" s="152" t="s">
        <v>2705</v>
      </c>
      <c r="Q1222" s="152" t="s">
        <v>2705</v>
      </c>
      <c r="R1222" s="152" t="s">
        <v>2398</v>
      </c>
      <c r="S1222" s="152" t="s">
        <v>2705</v>
      </c>
      <c r="T1222" s="152" t="s">
        <v>2705</v>
      </c>
      <c r="U1222" s="152" t="s">
        <v>2675</v>
      </c>
      <c r="V1222" s="142" t="str" cm="1">
        <f t="array" ref="V1222">IF(A1222&lt;&gt;"",SUM(--(B1222:U1223 = "X")*$U$3,--(B1222:U1223 ="A")*$Q$3,--(B1222:U1223 ="B")*$R$3,--(B1222:U1223 ="C")*$S$3),"")</f>
        <v/>
      </c>
      <c r="AG1222" s="142" t="s">
        <v>2398</v>
      </c>
      <c r="AH1222" s="142" t="s">
        <v>2398</v>
      </c>
      <c r="AI1222" s="142" t="s">
        <v>2398</v>
      </c>
      <c r="AJ1222" s="142" t="s">
        <v>2398</v>
      </c>
      <c r="AK1222" s="142" t="s">
        <v>2398</v>
      </c>
      <c r="AL1222" s="142" t="s">
        <v>2398</v>
      </c>
      <c r="AM1222" s="142" t="s">
        <v>2705</v>
      </c>
      <c r="AN1222" s="142" t="s">
        <v>2398</v>
      </c>
      <c r="AO1222" s="142" t="s">
        <v>2705</v>
      </c>
      <c r="AP1222" s="142" t="s">
        <v>2705</v>
      </c>
      <c r="AQ1222" s="142" t="s">
        <v>2398</v>
      </c>
      <c r="AR1222" s="142" t="s">
        <v>2398</v>
      </c>
      <c r="AS1222" s="142" t="s">
        <v>2675</v>
      </c>
      <c r="AT1222" s="142" t="s">
        <v>2705</v>
      </c>
      <c r="AU1222" s="142" t="s">
        <v>2705</v>
      </c>
      <c r="AV1222" s="142" t="s">
        <v>2705</v>
      </c>
      <c r="AW1222" s="142" t="s">
        <v>2398</v>
      </c>
      <c r="AX1222" s="142" t="s">
        <v>2705</v>
      </c>
      <c r="AY1222" s="142" t="s">
        <v>2705</v>
      </c>
      <c r="AZ1222" s="142" t="s">
        <v>2675</v>
      </c>
    </row>
    <row r="1223" spans="1:52" s="142" customFormat="1" ht="12.75" x14ac:dyDescent="0.2">
      <c r="A1223" s="151" t="s">
        <v>7928</v>
      </c>
      <c r="B1223" s="152" t="s">
        <v>2705</v>
      </c>
      <c r="C1223" s="152" t="s">
        <v>2705</v>
      </c>
      <c r="D1223" s="152" t="s">
        <v>2705</v>
      </c>
      <c r="E1223" s="152" t="s">
        <v>2705</v>
      </c>
      <c r="F1223" s="152" t="s">
        <v>2705</v>
      </c>
      <c r="G1223" s="152" t="s">
        <v>2705</v>
      </c>
      <c r="H1223" s="152" t="s">
        <v>2705</v>
      </c>
      <c r="I1223" s="152" t="s">
        <v>2705</v>
      </c>
      <c r="J1223" s="152" t="s">
        <v>2705</v>
      </c>
      <c r="K1223" s="152" t="s">
        <v>2705</v>
      </c>
      <c r="L1223" s="152" t="s">
        <v>2705</v>
      </c>
      <c r="M1223" s="152" t="s">
        <v>2398</v>
      </c>
      <c r="N1223" s="152" t="s">
        <v>2705</v>
      </c>
      <c r="O1223" s="152" t="s">
        <v>2705</v>
      </c>
      <c r="P1223" s="152" t="s">
        <v>2705</v>
      </c>
      <c r="Q1223" s="152" t="s">
        <v>2675</v>
      </c>
      <c r="R1223" s="152" t="s">
        <v>2705</v>
      </c>
      <c r="S1223" s="152" t="s">
        <v>2397</v>
      </c>
      <c r="T1223" s="152" t="s">
        <v>2705</v>
      </c>
      <c r="U1223" s="152" t="s">
        <v>2705</v>
      </c>
      <c r="V1223" s="142" cm="1">
        <f t="array" ref="V1223">IF(A1223&lt;&gt;"",SUM(--(B1223:U1224 = "X")*$U$3,--(B1223:U1224 ="A")*$Q$3,--(B1223:U1224 ="B")*$R$3,--(B1223:U1224 ="C")*$S$3),"")</f>
        <v>27.5</v>
      </c>
      <c r="AF1223" s="142" t="s">
        <v>7928</v>
      </c>
      <c r="AG1223" s="142" t="s">
        <v>2705</v>
      </c>
      <c r="AH1223" s="142" t="s">
        <v>2705</v>
      </c>
      <c r="AI1223" s="142" t="s">
        <v>2705</v>
      </c>
      <c r="AJ1223" s="142" t="s">
        <v>2705</v>
      </c>
      <c r="AK1223" s="142" t="s">
        <v>2705</v>
      </c>
      <c r="AL1223" s="142" t="s">
        <v>2705</v>
      </c>
      <c r="AM1223" s="142" t="s">
        <v>2705</v>
      </c>
      <c r="AN1223" s="142" t="s">
        <v>2705</v>
      </c>
      <c r="AO1223" s="142" t="s">
        <v>2705</v>
      </c>
      <c r="AP1223" s="142" t="s">
        <v>2705</v>
      </c>
      <c r="AQ1223" s="142" t="s">
        <v>2705</v>
      </c>
      <c r="AR1223" s="142" t="s">
        <v>2398</v>
      </c>
      <c r="AS1223" s="142" t="s">
        <v>2705</v>
      </c>
      <c r="AT1223" s="142" t="s">
        <v>2705</v>
      </c>
      <c r="AU1223" s="142" t="s">
        <v>2705</v>
      </c>
      <c r="AV1223" s="142" t="s">
        <v>2675</v>
      </c>
      <c r="AW1223" s="142" t="s">
        <v>2705</v>
      </c>
      <c r="AX1223" s="142" t="s">
        <v>2397</v>
      </c>
      <c r="AY1223" s="142" t="s">
        <v>2705</v>
      </c>
      <c r="AZ1223" s="142" t="s">
        <v>2705</v>
      </c>
    </row>
    <row r="1224" spans="1:52" s="142" customFormat="1" ht="12.75" x14ac:dyDescent="0.2">
      <c r="A1224" s="151"/>
      <c r="B1224" s="152" t="s">
        <v>2397</v>
      </c>
      <c r="C1224" s="152" t="s">
        <v>2705</v>
      </c>
      <c r="D1224" s="152" t="s">
        <v>2705</v>
      </c>
      <c r="E1224" s="152" t="s">
        <v>2705</v>
      </c>
      <c r="F1224" s="152" t="s">
        <v>2675</v>
      </c>
      <c r="G1224" s="152" t="s">
        <v>1435</v>
      </c>
      <c r="H1224" s="152" t="s">
        <v>2705</v>
      </c>
      <c r="I1224" s="152" t="s">
        <v>2705</v>
      </c>
      <c r="J1224" s="152" t="s">
        <v>2705</v>
      </c>
      <c r="K1224" s="152" t="s">
        <v>2705</v>
      </c>
      <c r="L1224" s="152" t="s">
        <v>2398</v>
      </c>
      <c r="M1224" s="152" t="s">
        <v>2705</v>
      </c>
      <c r="N1224" s="152" t="s">
        <v>2705</v>
      </c>
      <c r="O1224" s="152" t="s">
        <v>2705</v>
      </c>
      <c r="P1224" s="152" t="s">
        <v>2675</v>
      </c>
      <c r="Q1224" s="152" t="s">
        <v>2705</v>
      </c>
      <c r="R1224" s="152" t="s">
        <v>1435</v>
      </c>
      <c r="S1224" s="152" t="s">
        <v>2705</v>
      </c>
      <c r="T1224" s="152" t="s">
        <v>2705</v>
      </c>
      <c r="U1224" s="152" t="s">
        <v>2397</v>
      </c>
      <c r="V1224" s="142" t="str" cm="1">
        <f t="array" ref="V1224">IF(A1224&lt;&gt;"",SUM(--(B1224:U1225 = "X")*$U$3,--(B1224:U1225 ="A")*$Q$3,--(B1224:U1225 ="B")*$R$3,--(B1224:U1225 ="C")*$S$3),"")</f>
        <v/>
      </c>
      <c r="AG1224" s="142" t="s">
        <v>2397</v>
      </c>
      <c r="AH1224" s="142" t="s">
        <v>2705</v>
      </c>
      <c r="AI1224" s="142" t="s">
        <v>2705</v>
      </c>
      <c r="AJ1224" s="142" t="s">
        <v>2705</v>
      </c>
      <c r="AK1224" s="142" t="s">
        <v>2675</v>
      </c>
      <c r="AL1224" s="142" t="s">
        <v>1435</v>
      </c>
      <c r="AM1224" s="142" t="s">
        <v>2705</v>
      </c>
      <c r="AN1224" s="142" t="s">
        <v>2705</v>
      </c>
      <c r="AO1224" s="142" t="s">
        <v>2705</v>
      </c>
      <c r="AP1224" s="142" t="s">
        <v>2705</v>
      </c>
      <c r="AQ1224" s="142" t="s">
        <v>2398</v>
      </c>
      <c r="AR1224" s="142" t="s">
        <v>2705</v>
      </c>
      <c r="AS1224" s="142" t="s">
        <v>2705</v>
      </c>
      <c r="AT1224" s="142" t="s">
        <v>2705</v>
      </c>
      <c r="AU1224" s="142" t="s">
        <v>2675</v>
      </c>
      <c r="AV1224" s="142" t="s">
        <v>2705</v>
      </c>
      <c r="AW1224" s="142" t="s">
        <v>1435</v>
      </c>
      <c r="AX1224" s="142" t="s">
        <v>2705</v>
      </c>
      <c r="AY1224" s="142" t="s">
        <v>2705</v>
      </c>
      <c r="AZ1224" s="142" t="s">
        <v>2397</v>
      </c>
    </row>
    <row r="1225" spans="1:52" s="142" customFormat="1" ht="12.75" x14ac:dyDescent="0.2">
      <c r="A1225" s="151" t="s">
        <v>7929</v>
      </c>
      <c r="B1225" s="152" t="s">
        <v>2398</v>
      </c>
      <c r="C1225" s="152" t="s">
        <v>2398</v>
      </c>
      <c r="D1225" s="152" t="s">
        <v>2398</v>
      </c>
      <c r="E1225" s="152" t="s">
        <v>1435</v>
      </c>
      <c r="F1225" s="152" t="s">
        <v>2398</v>
      </c>
      <c r="G1225" s="152" t="s">
        <v>2705</v>
      </c>
      <c r="H1225" s="152" t="s">
        <v>2705</v>
      </c>
      <c r="I1225" s="152" t="s">
        <v>2398</v>
      </c>
      <c r="J1225" s="152" t="s">
        <v>1435</v>
      </c>
      <c r="K1225" s="152" t="s">
        <v>2398</v>
      </c>
      <c r="L1225" s="152" t="s">
        <v>2705</v>
      </c>
      <c r="M1225" s="152" t="s">
        <v>2705</v>
      </c>
      <c r="N1225" s="152" t="s">
        <v>2398</v>
      </c>
      <c r="O1225" s="152" t="s">
        <v>2705</v>
      </c>
      <c r="P1225" s="152" t="s">
        <v>2705</v>
      </c>
      <c r="Q1225" s="152" t="s">
        <v>2705</v>
      </c>
      <c r="R1225" s="152" t="s">
        <v>2398</v>
      </c>
      <c r="S1225" s="152" t="s">
        <v>2675</v>
      </c>
      <c r="T1225" s="152" t="s">
        <v>2398</v>
      </c>
      <c r="U1225" s="152" t="s">
        <v>2705</v>
      </c>
      <c r="V1225" s="142" cm="1">
        <f t="array" ref="V1225">IF(A1225&lt;&gt;"",SUM(--(B1225:U1226 = "X")*$U$3,--(B1225:U1226 ="A")*$Q$3,--(B1225:U1226 ="B")*$R$3,--(B1225:U1226 ="C")*$S$3),"")</f>
        <v>14</v>
      </c>
      <c r="AF1225" s="142" t="s">
        <v>7929</v>
      </c>
      <c r="AG1225" s="142" t="s">
        <v>2398</v>
      </c>
      <c r="AH1225" s="142" t="s">
        <v>2398</v>
      </c>
      <c r="AI1225" s="142" t="s">
        <v>2398</v>
      </c>
      <c r="AJ1225" s="142" t="s">
        <v>1435</v>
      </c>
      <c r="AK1225" s="142" t="s">
        <v>2398</v>
      </c>
      <c r="AL1225" s="142" t="s">
        <v>2705</v>
      </c>
      <c r="AM1225" s="142" t="s">
        <v>2705</v>
      </c>
      <c r="AN1225" s="142" t="s">
        <v>2398</v>
      </c>
      <c r="AO1225" s="142" t="s">
        <v>1435</v>
      </c>
      <c r="AP1225" s="142" t="s">
        <v>2398</v>
      </c>
      <c r="AQ1225" s="142" t="s">
        <v>2705</v>
      </c>
      <c r="AR1225" s="142" t="s">
        <v>2705</v>
      </c>
      <c r="AS1225" s="142" t="s">
        <v>2398</v>
      </c>
      <c r="AT1225" s="142" t="s">
        <v>2705</v>
      </c>
      <c r="AU1225" s="142" t="s">
        <v>2705</v>
      </c>
      <c r="AV1225" s="142" t="s">
        <v>2705</v>
      </c>
      <c r="AW1225" s="142" t="s">
        <v>2398</v>
      </c>
      <c r="AX1225" s="142" t="s">
        <v>2675</v>
      </c>
      <c r="AY1225" s="142" t="s">
        <v>2398</v>
      </c>
      <c r="AZ1225" s="142" t="s">
        <v>2705</v>
      </c>
    </row>
    <row r="1226" spans="1:52" s="142" customFormat="1" ht="12.75" x14ac:dyDescent="0.2">
      <c r="A1226" s="151"/>
      <c r="B1226" s="152" t="s">
        <v>2675</v>
      </c>
      <c r="C1226" s="152" t="s">
        <v>2398</v>
      </c>
      <c r="D1226" s="152" t="s">
        <v>2398</v>
      </c>
      <c r="E1226" s="152" t="s">
        <v>2398</v>
      </c>
      <c r="F1226" s="152" t="s">
        <v>2705</v>
      </c>
      <c r="G1226" s="152" t="s">
        <v>2705</v>
      </c>
      <c r="H1226" s="152" t="s">
        <v>2398</v>
      </c>
      <c r="I1226" s="152" t="s">
        <v>2705</v>
      </c>
      <c r="J1226" s="152" t="s">
        <v>2398</v>
      </c>
      <c r="K1226" s="152" t="s">
        <v>1435</v>
      </c>
      <c r="L1226" s="152" t="s">
        <v>2705</v>
      </c>
      <c r="M1226" s="152" t="s">
        <v>2398</v>
      </c>
      <c r="N1226" s="152" t="s">
        <v>2705</v>
      </c>
      <c r="O1226" s="152" t="s">
        <v>2398</v>
      </c>
      <c r="P1226" s="152" t="s">
        <v>2675</v>
      </c>
      <c r="Q1226" s="152" t="s">
        <v>2705</v>
      </c>
      <c r="R1226" s="152" t="s">
        <v>2705</v>
      </c>
      <c r="S1226" s="152" t="s">
        <v>2705</v>
      </c>
      <c r="T1226" s="152" t="s">
        <v>2705</v>
      </c>
      <c r="U1226" s="152" t="s">
        <v>2398</v>
      </c>
      <c r="V1226" s="142" t="str" cm="1">
        <f t="array" ref="V1226">IF(A1226&lt;&gt;"",SUM(--(B1226:U1227 = "X")*$U$3,--(B1226:U1227 ="A")*$Q$3,--(B1226:U1227 ="B")*$R$3,--(B1226:U1227 ="C")*$S$3),"")</f>
        <v/>
      </c>
      <c r="AG1226" s="142" t="s">
        <v>2675</v>
      </c>
      <c r="AH1226" s="142" t="s">
        <v>2398</v>
      </c>
      <c r="AI1226" s="142" t="s">
        <v>2398</v>
      </c>
      <c r="AJ1226" s="142" t="s">
        <v>2398</v>
      </c>
      <c r="AK1226" s="142" t="s">
        <v>2705</v>
      </c>
      <c r="AL1226" s="142" t="s">
        <v>2705</v>
      </c>
      <c r="AM1226" s="142" t="s">
        <v>2398</v>
      </c>
      <c r="AN1226" s="142" t="s">
        <v>2705</v>
      </c>
      <c r="AO1226" s="142" t="s">
        <v>2398</v>
      </c>
      <c r="AP1226" s="142" t="s">
        <v>1435</v>
      </c>
      <c r="AQ1226" s="142" t="s">
        <v>2705</v>
      </c>
      <c r="AR1226" s="142" t="s">
        <v>2398</v>
      </c>
      <c r="AS1226" s="142" t="s">
        <v>2705</v>
      </c>
      <c r="AT1226" s="142" t="s">
        <v>2398</v>
      </c>
      <c r="AU1226" s="142" t="s">
        <v>2675</v>
      </c>
      <c r="AV1226" s="142" t="s">
        <v>2705</v>
      </c>
      <c r="AW1226" s="142" t="s">
        <v>2705</v>
      </c>
      <c r="AX1226" s="142" t="s">
        <v>2705</v>
      </c>
      <c r="AY1226" s="142" t="s">
        <v>2705</v>
      </c>
      <c r="AZ1226" s="142" t="s">
        <v>2398</v>
      </c>
    </row>
    <row r="1227" spans="1:52" s="142" customFormat="1" ht="12.75" x14ac:dyDescent="0.2">
      <c r="A1227" s="151" t="s">
        <v>7930</v>
      </c>
      <c r="B1227" s="152" t="s">
        <v>2398</v>
      </c>
      <c r="C1227" s="152" t="s">
        <v>2398</v>
      </c>
      <c r="D1227" s="152" t="s">
        <v>2705</v>
      </c>
      <c r="E1227" s="152" t="s">
        <v>2705</v>
      </c>
      <c r="F1227" s="152" t="s">
        <v>2397</v>
      </c>
      <c r="G1227" s="152" t="s">
        <v>1435</v>
      </c>
      <c r="H1227" s="152" t="s">
        <v>2675</v>
      </c>
      <c r="I1227" s="152" t="s">
        <v>2398</v>
      </c>
      <c r="J1227" s="152" t="s">
        <v>2675</v>
      </c>
      <c r="K1227" s="152" t="s">
        <v>2397</v>
      </c>
      <c r="L1227" s="152" t="s">
        <v>2705</v>
      </c>
      <c r="M1227" s="152" t="s">
        <v>1435</v>
      </c>
      <c r="N1227" s="152" t="s">
        <v>2705</v>
      </c>
      <c r="O1227" s="152" t="s">
        <v>2705</v>
      </c>
      <c r="P1227" s="152" t="s">
        <v>2705</v>
      </c>
      <c r="Q1227" s="152" t="s">
        <v>2705</v>
      </c>
      <c r="R1227" s="152" t="s">
        <v>2397</v>
      </c>
      <c r="S1227" s="152" t="s">
        <v>2705</v>
      </c>
      <c r="T1227" s="152" t="s">
        <v>2675</v>
      </c>
      <c r="U1227" s="152" t="s">
        <v>2397</v>
      </c>
      <c r="V1227" s="142" cm="1">
        <f t="array" ref="V1227">IF(A1227&lt;&gt;"",SUM(--(B1227:U1228 = "X")*$U$3,--(B1227:U1228 ="A")*$Q$3,--(B1227:U1228 ="B")*$R$3,--(B1227:U1228 ="C")*$S$3),"")</f>
        <v>12.5</v>
      </c>
      <c r="AF1227" s="142" t="s">
        <v>7930</v>
      </c>
      <c r="AG1227" s="142" t="s">
        <v>2398</v>
      </c>
      <c r="AH1227" s="142" t="s">
        <v>2398</v>
      </c>
      <c r="AI1227" s="142" t="s">
        <v>2705</v>
      </c>
      <c r="AJ1227" s="142" t="s">
        <v>2705</v>
      </c>
      <c r="AK1227" s="142" t="s">
        <v>2397</v>
      </c>
      <c r="AL1227" s="142" t="s">
        <v>1435</v>
      </c>
      <c r="AM1227" s="142" t="s">
        <v>2675</v>
      </c>
      <c r="AN1227" s="142" t="s">
        <v>2398</v>
      </c>
      <c r="AO1227" s="142" t="s">
        <v>2675</v>
      </c>
      <c r="AP1227" s="142" t="s">
        <v>2397</v>
      </c>
      <c r="AQ1227" s="142" t="s">
        <v>2705</v>
      </c>
      <c r="AR1227" s="142" t="s">
        <v>1435</v>
      </c>
      <c r="AS1227" s="142" t="s">
        <v>2705</v>
      </c>
      <c r="AT1227" s="142" t="s">
        <v>2705</v>
      </c>
      <c r="AU1227" s="142" t="s">
        <v>2705</v>
      </c>
      <c r="AV1227" s="142" t="s">
        <v>2705</v>
      </c>
      <c r="AW1227" s="142" t="s">
        <v>2397</v>
      </c>
      <c r="AX1227" s="142" t="s">
        <v>2705</v>
      </c>
      <c r="AY1227" s="142" t="s">
        <v>2675</v>
      </c>
      <c r="AZ1227" s="142" t="s">
        <v>2397</v>
      </c>
    </row>
    <row r="1228" spans="1:52" s="142" customFormat="1" ht="12.75" x14ac:dyDescent="0.2">
      <c r="A1228" s="151"/>
      <c r="B1228" s="152" t="s">
        <v>1435</v>
      </c>
      <c r="C1228" s="152" t="s">
        <v>2705</v>
      </c>
      <c r="D1228" s="152" t="s">
        <v>1435</v>
      </c>
      <c r="E1228" s="152" t="s">
        <v>2705</v>
      </c>
      <c r="F1228" s="152" t="s">
        <v>2398</v>
      </c>
      <c r="G1228" s="152" t="s">
        <v>2705</v>
      </c>
      <c r="H1228" s="152" t="s">
        <v>2705</v>
      </c>
      <c r="I1228" s="152" t="s">
        <v>2705</v>
      </c>
      <c r="J1228" s="152" t="s">
        <v>2397</v>
      </c>
      <c r="K1228" s="152" t="s">
        <v>2705</v>
      </c>
      <c r="L1228" s="152" t="s">
        <v>2398</v>
      </c>
      <c r="M1228" s="152" t="s">
        <v>2397</v>
      </c>
      <c r="N1228" s="152" t="s">
        <v>2675</v>
      </c>
      <c r="O1228" s="152" t="s">
        <v>2397</v>
      </c>
      <c r="P1228" s="152" t="s">
        <v>2705</v>
      </c>
      <c r="Q1228" s="152" t="s">
        <v>2705</v>
      </c>
      <c r="R1228" s="152" t="s">
        <v>1435</v>
      </c>
      <c r="S1228" s="152" t="s">
        <v>2397</v>
      </c>
      <c r="T1228" s="152" t="s">
        <v>2705</v>
      </c>
      <c r="U1228" s="152" t="s">
        <v>2398</v>
      </c>
      <c r="V1228" s="142" t="str" cm="1">
        <f t="array" ref="V1228">IF(A1228&lt;&gt;"",SUM(--(B1228:U1229 = "X")*$U$3,--(B1228:U1229 ="A")*$Q$3,--(B1228:U1229 ="B")*$R$3,--(B1228:U1229 ="C")*$S$3),"")</f>
        <v/>
      </c>
      <c r="AG1228" s="142" t="s">
        <v>1435</v>
      </c>
      <c r="AH1228" s="142" t="s">
        <v>2705</v>
      </c>
      <c r="AI1228" s="142" t="s">
        <v>1435</v>
      </c>
      <c r="AJ1228" s="142" t="s">
        <v>2705</v>
      </c>
      <c r="AK1228" s="142" t="s">
        <v>2398</v>
      </c>
      <c r="AL1228" s="142" t="s">
        <v>2705</v>
      </c>
      <c r="AM1228" s="142" t="s">
        <v>2705</v>
      </c>
      <c r="AN1228" s="142" t="s">
        <v>2705</v>
      </c>
      <c r="AO1228" s="142" t="s">
        <v>2397</v>
      </c>
      <c r="AP1228" s="142" t="s">
        <v>2705</v>
      </c>
      <c r="AQ1228" s="142" t="s">
        <v>2398</v>
      </c>
      <c r="AR1228" s="142" t="s">
        <v>2397</v>
      </c>
      <c r="AS1228" s="142" t="s">
        <v>2675</v>
      </c>
      <c r="AT1228" s="142" t="s">
        <v>2397</v>
      </c>
      <c r="AU1228" s="142" t="s">
        <v>2705</v>
      </c>
      <c r="AV1228" s="142" t="s">
        <v>2705</v>
      </c>
      <c r="AW1228" s="142" t="s">
        <v>1435</v>
      </c>
      <c r="AX1228" s="142" t="s">
        <v>2397</v>
      </c>
      <c r="AY1228" s="142" t="s">
        <v>2705</v>
      </c>
      <c r="AZ1228" s="142" t="s">
        <v>2398</v>
      </c>
    </row>
    <row r="1229" spans="1:52" s="142" customFormat="1" ht="12.75" x14ac:dyDescent="0.2">
      <c r="A1229" s="151" t="s">
        <v>7931</v>
      </c>
      <c r="B1229" s="152" t="s">
        <v>2397</v>
      </c>
      <c r="C1229" s="152" t="s">
        <v>2675</v>
      </c>
      <c r="D1229" s="152" t="s">
        <v>2705</v>
      </c>
      <c r="E1229" s="152" t="s">
        <v>2397</v>
      </c>
      <c r="F1229" s="152" t="s">
        <v>2397</v>
      </c>
      <c r="G1229" s="152" t="s">
        <v>1435</v>
      </c>
      <c r="H1229" s="152" t="s">
        <v>2397</v>
      </c>
      <c r="I1229" s="152" t="s">
        <v>2397</v>
      </c>
      <c r="J1229" s="152" t="s">
        <v>2675</v>
      </c>
      <c r="K1229" s="152" t="s">
        <v>2397</v>
      </c>
      <c r="L1229" s="152" t="s">
        <v>2398</v>
      </c>
      <c r="M1229" s="152" t="s">
        <v>2397</v>
      </c>
      <c r="N1229" s="152" t="s">
        <v>2397</v>
      </c>
      <c r="O1229" s="152" t="s">
        <v>2398</v>
      </c>
      <c r="P1229" s="152" t="s">
        <v>2397</v>
      </c>
      <c r="Q1229" s="152" t="s">
        <v>2705</v>
      </c>
      <c r="R1229" s="152" t="s">
        <v>2705</v>
      </c>
      <c r="S1229" s="152" t="s">
        <v>2675</v>
      </c>
      <c r="T1229" s="152" t="s">
        <v>2705</v>
      </c>
      <c r="U1229" s="152" t="s">
        <v>2705</v>
      </c>
      <c r="V1229" s="142" cm="1">
        <f t="array" ref="V1229">IF(A1229&lt;&gt;"",SUM(--(B1229:U1230 = "X")*$U$3,--(B1229:U1230 ="A")*$Q$3,--(B1229:U1230 ="B")*$R$3,--(B1229:U1230 ="C")*$S$3),"")</f>
        <v>6.5</v>
      </c>
      <c r="AF1229" s="142" t="s">
        <v>7931</v>
      </c>
      <c r="AG1229" s="142" t="s">
        <v>2397</v>
      </c>
      <c r="AH1229" s="142" t="s">
        <v>2675</v>
      </c>
      <c r="AI1229" s="142" t="s">
        <v>2705</v>
      </c>
      <c r="AJ1229" s="142" t="s">
        <v>2397</v>
      </c>
      <c r="AK1229" s="142" t="s">
        <v>2397</v>
      </c>
      <c r="AL1229" s="142" t="s">
        <v>1435</v>
      </c>
      <c r="AM1229" s="142" t="s">
        <v>2397</v>
      </c>
      <c r="AN1229" s="142" t="s">
        <v>2397</v>
      </c>
      <c r="AO1229" s="142" t="s">
        <v>2675</v>
      </c>
      <c r="AP1229" s="142" t="s">
        <v>2397</v>
      </c>
      <c r="AQ1229" s="142" t="s">
        <v>2398</v>
      </c>
      <c r="AR1229" s="142" t="s">
        <v>2397</v>
      </c>
      <c r="AS1229" s="142" t="s">
        <v>2397</v>
      </c>
      <c r="AT1229" s="142" t="s">
        <v>2398</v>
      </c>
      <c r="AU1229" s="142" t="s">
        <v>2397</v>
      </c>
      <c r="AV1229" s="142" t="s">
        <v>2705</v>
      </c>
      <c r="AW1229" s="142" t="s">
        <v>2705</v>
      </c>
      <c r="AX1229" s="142" t="s">
        <v>2675</v>
      </c>
      <c r="AY1229" s="142" t="s">
        <v>2705</v>
      </c>
      <c r="AZ1229" s="142" t="s">
        <v>2705</v>
      </c>
    </row>
    <row r="1230" spans="1:52" s="142" customFormat="1" ht="12.75" x14ac:dyDescent="0.2">
      <c r="A1230" s="151"/>
      <c r="B1230" s="152" t="s">
        <v>2397</v>
      </c>
      <c r="C1230" s="152" t="s">
        <v>2675</v>
      </c>
      <c r="D1230" s="152" t="s">
        <v>2398</v>
      </c>
      <c r="E1230" s="152" t="s">
        <v>2398</v>
      </c>
      <c r="F1230" s="152" t="s">
        <v>2398</v>
      </c>
      <c r="G1230" s="152" t="s">
        <v>2675</v>
      </c>
      <c r="H1230" s="152" t="s">
        <v>2398</v>
      </c>
      <c r="I1230" s="152" t="s">
        <v>1435</v>
      </c>
      <c r="J1230" s="152" t="s">
        <v>2705</v>
      </c>
      <c r="K1230" s="152" t="s">
        <v>2705</v>
      </c>
      <c r="L1230" s="152" t="s">
        <v>2705</v>
      </c>
      <c r="M1230" s="152" t="s">
        <v>1435</v>
      </c>
      <c r="N1230" s="152" t="s">
        <v>2397</v>
      </c>
      <c r="O1230" s="152" t="s">
        <v>2398</v>
      </c>
      <c r="P1230" s="152" t="s">
        <v>2705</v>
      </c>
      <c r="Q1230" s="152" t="s">
        <v>2398</v>
      </c>
      <c r="R1230" s="152" t="s">
        <v>2398</v>
      </c>
      <c r="S1230" s="152" t="s">
        <v>2705</v>
      </c>
      <c r="T1230" s="152" t="s">
        <v>2705</v>
      </c>
      <c r="U1230" s="152" t="s">
        <v>2675</v>
      </c>
      <c r="V1230" s="142" t="str" cm="1">
        <f t="array" ref="V1230">IF(A1230&lt;&gt;"",SUM(--(B1230:U1231 = "X")*$U$3,--(B1230:U1231 ="A")*$Q$3,--(B1230:U1231 ="B")*$R$3,--(B1230:U1231 ="C")*$S$3),"")</f>
        <v/>
      </c>
      <c r="AG1230" s="142" t="s">
        <v>2397</v>
      </c>
      <c r="AH1230" s="142" t="s">
        <v>2675</v>
      </c>
      <c r="AI1230" s="142" t="s">
        <v>2398</v>
      </c>
      <c r="AJ1230" s="142" t="s">
        <v>2398</v>
      </c>
      <c r="AK1230" s="142" t="s">
        <v>2398</v>
      </c>
      <c r="AL1230" s="142" t="s">
        <v>2675</v>
      </c>
      <c r="AM1230" s="142" t="s">
        <v>2398</v>
      </c>
      <c r="AN1230" s="142" t="s">
        <v>1435</v>
      </c>
      <c r="AO1230" s="142" t="s">
        <v>2705</v>
      </c>
      <c r="AP1230" s="142" t="s">
        <v>2705</v>
      </c>
      <c r="AQ1230" s="142" t="s">
        <v>2705</v>
      </c>
      <c r="AR1230" s="142" t="s">
        <v>1435</v>
      </c>
      <c r="AS1230" s="142" t="s">
        <v>2397</v>
      </c>
      <c r="AT1230" s="142" t="s">
        <v>2398</v>
      </c>
      <c r="AU1230" s="142" t="s">
        <v>2705</v>
      </c>
      <c r="AV1230" s="142" t="s">
        <v>2398</v>
      </c>
      <c r="AW1230" s="142" t="s">
        <v>2398</v>
      </c>
      <c r="AX1230" s="142" t="s">
        <v>2705</v>
      </c>
      <c r="AY1230" s="142" t="s">
        <v>2705</v>
      </c>
      <c r="AZ1230" s="142" t="s">
        <v>2675</v>
      </c>
    </row>
    <row r="1231" spans="1:52" s="142" customFormat="1" ht="12.75" x14ac:dyDescent="0.2">
      <c r="A1231" s="151" t="s">
        <v>7932</v>
      </c>
      <c r="B1231" s="152" t="s">
        <v>2705</v>
      </c>
      <c r="C1231" s="152" t="s">
        <v>2398</v>
      </c>
      <c r="D1231" s="152" t="s">
        <v>2675</v>
      </c>
      <c r="E1231" s="152" t="s">
        <v>2705</v>
      </c>
      <c r="F1231" s="152" t="s">
        <v>2397</v>
      </c>
      <c r="G1231" s="152" t="s">
        <v>1435</v>
      </c>
      <c r="H1231" s="152" t="s">
        <v>2675</v>
      </c>
      <c r="I1231" s="152" t="s">
        <v>2398</v>
      </c>
      <c r="J1231" s="152" t="s">
        <v>2705</v>
      </c>
      <c r="K1231" s="152" t="s">
        <v>2397</v>
      </c>
      <c r="L1231" s="152" t="s">
        <v>2675</v>
      </c>
      <c r="M1231" s="152" t="s">
        <v>2398</v>
      </c>
      <c r="N1231" s="152" t="s">
        <v>2705</v>
      </c>
      <c r="O1231" s="152" t="s">
        <v>1435</v>
      </c>
      <c r="P1231" s="152" t="s">
        <v>2705</v>
      </c>
      <c r="Q1231" s="152" t="s">
        <v>2675</v>
      </c>
      <c r="R1231" s="152" t="s">
        <v>2397</v>
      </c>
      <c r="S1231" s="152" t="s">
        <v>2705</v>
      </c>
      <c r="T1231" s="152" t="s">
        <v>2398</v>
      </c>
      <c r="U1231" s="152" t="s">
        <v>2398</v>
      </c>
      <c r="V1231" s="142" cm="1">
        <f t="array" ref="V1231">IF(A1231&lt;&gt;"",SUM(--(B1231:U1232 = "X")*$U$3,--(B1231:U1232 ="A")*$Q$3,--(B1231:U1232 ="B")*$R$3,--(B1231:U1232 ="C")*$S$3),"")</f>
        <v>3</v>
      </c>
      <c r="AF1231" s="142" t="s">
        <v>7932</v>
      </c>
      <c r="AG1231" s="142" t="s">
        <v>2705</v>
      </c>
      <c r="AH1231" s="142" t="s">
        <v>2398</v>
      </c>
      <c r="AI1231" s="142" t="s">
        <v>2675</v>
      </c>
      <c r="AJ1231" s="142" t="s">
        <v>2705</v>
      </c>
      <c r="AK1231" s="142" t="s">
        <v>2397</v>
      </c>
      <c r="AL1231" s="142" t="s">
        <v>1435</v>
      </c>
      <c r="AM1231" s="142" t="s">
        <v>2675</v>
      </c>
      <c r="AN1231" s="142" t="s">
        <v>2398</v>
      </c>
      <c r="AO1231" s="142" t="s">
        <v>2705</v>
      </c>
      <c r="AP1231" s="142" t="s">
        <v>2397</v>
      </c>
      <c r="AQ1231" s="142" t="s">
        <v>2675</v>
      </c>
      <c r="AR1231" s="142" t="s">
        <v>2398</v>
      </c>
      <c r="AS1231" s="142" t="s">
        <v>2705</v>
      </c>
      <c r="AT1231" s="142" t="s">
        <v>1435</v>
      </c>
      <c r="AU1231" s="142" t="s">
        <v>2705</v>
      </c>
      <c r="AV1231" s="142" t="s">
        <v>2675</v>
      </c>
      <c r="AW1231" s="142" t="s">
        <v>2397</v>
      </c>
      <c r="AX1231" s="142" t="s">
        <v>2705</v>
      </c>
      <c r="AY1231" s="142" t="s">
        <v>2398</v>
      </c>
      <c r="AZ1231" s="142" t="s">
        <v>2398</v>
      </c>
    </row>
    <row r="1232" spans="1:52" s="142" customFormat="1" ht="12.75" x14ac:dyDescent="0.2">
      <c r="A1232" s="151"/>
      <c r="B1232" s="152" t="s">
        <v>2705</v>
      </c>
      <c r="C1232" s="152" t="s">
        <v>2397</v>
      </c>
      <c r="D1232" s="152" t="s">
        <v>2705</v>
      </c>
      <c r="E1232" s="152" t="s">
        <v>2675</v>
      </c>
      <c r="F1232" s="152" t="s">
        <v>2398</v>
      </c>
      <c r="G1232" s="152" t="s">
        <v>2398</v>
      </c>
      <c r="H1232" s="152" t="s">
        <v>1435</v>
      </c>
      <c r="I1232" s="152" t="s">
        <v>2675</v>
      </c>
      <c r="J1232" s="152" t="s">
        <v>2398</v>
      </c>
      <c r="K1232" s="152" t="s">
        <v>2398</v>
      </c>
      <c r="L1232" s="152" t="s">
        <v>2675</v>
      </c>
      <c r="M1232" s="152" t="s">
        <v>2398</v>
      </c>
      <c r="N1232" s="152" t="s">
        <v>2675</v>
      </c>
      <c r="O1232" s="152" t="s">
        <v>1435</v>
      </c>
      <c r="P1232" s="152" t="s">
        <v>1435</v>
      </c>
      <c r="Q1232" s="152" t="s">
        <v>2705</v>
      </c>
      <c r="R1232" s="152" t="s">
        <v>1435</v>
      </c>
      <c r="S1232" s="152" t="s">
        <v>2397</v>
      </c>
      <c r="T1232" s="152" t="s">
        <v>2705</v>
      </c>
      <c r="U1232" s="152" t="s">
        <v>2398</v>
      </c>
      <c r="V1232" s="142" t="str" cm="1">
        <f t="array" ref="V1232">IF(A1232&lt;&gt;"",SUM(--(B1232:U1233 = "X")*$U$3,--(B1232:U1233 ="A")*$Q$3,--(B1232:U1233 ="B")*$R$3,--(B1232:U1233 ="C")*$S$3),"")</f>
        <v/>
      </c>
      <c r="AG1232" s="142" t="s">
        <v>2705</v>
      </c>
      <c r="AH1232" s="142" t="s">
        <v>2397</v>
      </c>
      <c r="AI1232" s="142" t="s">
        <v>2705</v>
      </c>
      <c r="AJ1232" s="142" t="s">
        <v>2675</v>
      </c>
      <c r="AK1232" s="142" t="s">
        <v>2398</v>
      </c>
      <c r="AL1232" s="142" t="s">
        <v>2398</v>
      </c>
      <c r="AM1232" s="142" t="s">
        <v>1435</v>
      </c>
      <c r="AN1232" s="142" t="s">
        <v>2675</v>
      </c>
      <c r="AO1232" s="142" t="s">
        <v>2398</v>
      </c>
      <c r="AP1232" s="142" t="s">
        <v>2398</v>
      </c>
      <c r="AQ1232" s="142" t="s">
        <v>2675</v>
      </c>
      <c r="AR1232" s="142" t="s">
        <v>2398</v>
      </c>
      <c r="AS1232" s="142" t="s">
        <v>2675</v>
      </c>
      <c r="AT1232" s="142" t="s">
        <v>1435</v>
      </c>
      <c r="AU1232" s="142" t="s">
        <v>1435</v>
      </c>
      <c r="AV1232" s="142" t="s">
        <v>2705</v>
      </c>
      <c r="AW1232" s="142" t="s">
        <v>1435</v>
      </c>
      <c r="AX1232" s="142" t="s">
        <v>2397</v>
      </c>
      <c r="AY1232" s="142" t="s">
        <v>2705</v>
      </c>
      <c r="AZ1232" s="142" t="s">
        <v>2398</v>
      </c>
    </row>
    <row r="1233" spans="1:52" s="142" customFormat="1" ht="12.75" x14ac:dyDescent="0.2">
      <c r="A1233" s="151" t="s">
        <v>7933</v>
      </c>
      <c r="B1233" s="152" t="s">
        <v>2398</v>
      </c>
      <c r="C1233" s="152" t="s">
        <v>2705</v>
      </c>
      <c r="D1233" s="152" t="s">
        <v>2398</v>
      </c>
      <c r="E1233" s="152" t="s">
        <v>2398</v>
      </c>
      <c r="F1233" s="152" t="s">
        <v>2398</v>
      </c>
      <c r="G1233" s="152" t="s">
        <v>2705</v>
      </c>
      <c r="H1233" s="152" t="s">
        <v>2398</v>
      </c>
      <c r="I1233" s="152" t="s">
        <v>2705</v>
      </c>
      <c r="J1233" s="152" t="s">
        <v>2705</v>
      </c>
      <c r="K1233" s="152" t="s">
        <v>2705</v>
      </c>
      <c r="L1233" s="152" t="s">
        <v>2705</v>
      </c>
      <c r="M1233" s="152" t="s">
        <v>2705</v>
      </c>
      <c r="N1233" s="152" t="s">
        <v>2705</v>
      </c>
      <c r="O1233" s="152" t="s">
        <v>2398</v>
      </c>
      <c r="P1233" s="152" t="s">
        <v>2398</v>
      </c>
      <c r="Q1233" s="152" t="s">
        <v>2705</v>
      </c>
      <c r="R1233" s="152" t="s">
        <v>2705</v>
      </c>
      <c r="S1233" s="152" t="s">
        <v>2398</v>
      </c>
      <c r="T1233" s="152" t="s">
        <v>2398</v>
      </c>
      <c r="U1233" s="152" t="s">
        <v>2705</v>
      </c>
      <c r="V1233" s="142" cm="1">
        <f t="array" ref="V1233">IF(A1233&lt;&gt;"",SUM(--(B1233:U1234 = "X")*$U$3,--(B1233:U1234 ="A")*$Q$3,--(B1233:U1234 ="B")*$R$3,--(B1233:U1234 ="C")*$S$3),"")</f>
        <v>15</v>
      </c>
      <c r="AF1233" s="142" t="s">
        <v>7933</v>
      </c>
      <c r="AG1233" s="142" t="s">
        <v>2398</v>
      </c>
      <c r="AH1233" s="142" t="s">
        <v>2705</v>
      </c>
      <c r="AI1233" s="142" t="s">
        <v>2398</v>
      </c>
      <c r="AJ1233" s="142" t="s">
        <v>2398</v>
      </c>
      <c r="AK1233" s="142" t="s">
        <v>2398</v>
      </c>
      <c r="AL1233" s="142" t="s">
        <v>2705</v>
      </c>
      <c r="AM1233" s="142" t="s">
        <v>2398</v>
      </c>
      <c r="AN1233" s="142" t="s">
        <v>2705</v>
      </c>
      <c r="AO1233" s="142" t="s">
        <v>2705</v>
      </c>
      <c r="AP1233" s="142" t="s">
        <v>2705</v>
      </c>
      <c r="AQ1233" s="142" t="s">
        <v>2705</v>
      </c>
      <c r="AR1233" s="142" t="s">
        <v>2705</v>
      </c>
      <c r="AS1233" s="142" t="s">
        <v>2705</v>
      </c>
      <c r="AT1233" s="142" t="s">
        <v>2398</v>
      </c>
      <c r="AU1233" s="142" t="s">
        <v>2398</v>
      </c>
      <c r="AV1233" s="142" t="s">
        <v>2705</v>
      </c>
      <c r="AW1233" s="142" t="s">
        <v>2705</v>
      </c>
      <c r="AX1233" s="142" t="s">
        <v>2398</v>
      </c>
      <c r="AY1233" s="142" t="s">
        <v>2398</v>
      </c>
      <c r="AZ1233" s="142" t="s">
        <v>2705</v>
      </c>
    </row>
    <row r="1234" spans="1:52" s="142" customFormat="1" ht="12.75" x14ac:dyDescent="0.2">
      <c r="A1234" s="151"/>
      <c r="B1234" s="152" t="s">
        <v>2398</v>
      </c>
      <c r="C1234" s="152" t="s">
        <v>1435</v>
      </c>
      <c r="D1234" s="152" t="s">
        <v>2398</v>
      </c>
      <c r="E1234" s="152" t="s">
        <v>2398</v>
      </c>
      <c r="F1234" s="152" t="s">
        <v>2705</v>
      </c>
      <c r="G1234" s="152" t="s">
        <v>1435</v>
      </c>
      <c r="H1234" s="152" t="s">
        <v>2398</v>
      </c>
      <c r="I1234" s="152" t="s">
        <v>2705</v>
      </c>
      <c r="J1234" s="152" t="s">
        <v>2705</v>
      </c>
      <c r="K1234" s="152" t="s">
        <v>2398</v>
      </c>
      <c r="L1234" s="152" t="s">
        <v>2397</v>
      </c>
      <c r="M1234" s="152" t="s">
        <v>2675</v>
      </c>
      <c r="N1234" s="152" t="s">
        <v>2675</v>
      </c>
      <c r="O1234" s="152" t="s">
        <v>2705</v>
      </c>
      <c r="P1234" s="152" t="s">
        <v>2705</v>
      </c>
      <c r="Q1234" s="152" t="s">
        <v>2705</v>
      </c>
      <c r="R1234" s="152" t="s">
        <v>1435</v>
      </c>
      <c r="S1234" s="152" t="s">
        <v>2675</v>
      </c>
      <c r="T1234" s="152" t="s">
        <v>2705</v>
      </c>
      <c r="U1234" s="152" t="s">
        <v>2397</v>
      </c>
      <c r="V1234" s="142" t="str" cm="1">
        <f t="array" ref="V1234">IF(A1234&lt;&gt;"",SUM(--(B1234:U1235 = "X")*$U$3,--(B1234:U1235 ="A")*$Q$3,--(B1234:U1235 ="B")*$R$3,--(B1234:U1235 ="C")*$S$3),"")</f>
        <v/>
      </c>
      <c r="AG1234" s="142" t="s">
        <v>2398</v>
      </c>
      <c r="AH1234" s="142" t="s">
        <v>1435</v>
      </c>
      <c r="AI1234" s="142" t="s">
        <v>2398</v>
      </c>
      <c r="AJ1234" s="142" t="s">
        <v>2398</v>
      </c>
      <c r="AK1234" s="142" t="s">
        <v>2705</v>
      </c>
      <c r="AL1234" s="142" t="s">
        <v>1435</v>
      </c>
      <c r="AM1234" s="142" t="s">
        <v>2398</v>
      </c>
      <c r="AN1234" s="142" t="s">
        <v>2705</v>
      </c>
      <c r="AO1234" s="142" t="s">
        <v>2705</v>
      </c>
      <c r="AP1234" s="142" t="s">
        <v>2398</v>
      </c>
      <c r="AQ1234" s="142" t="s">
        <v>2397</v>
      </c>
      <c r="AR1234" s="142" t="s">
        <v>2675</v>
      </c>
      <c r="AS1234" s="142" t="s">
        <v>2675</v>
      </c>
      <c r="AT1234" s="142" t="s">
        <v>2705</v>
      </c>
      <c r="AU1234" s="142" t="s">
        <v>2705</v>
      </c>
      <c r="AV1234" s="142" t="s">
        <v>2705</v>
      </c>
      <c r="AW1234" s="142" t="s">
        <v>1435</v>
      </c>
      <c r="AX1234" s="142" t="s">
        <v>2675</v>
      </c>
      <c r="AY1234" s="142" t="s">
        <v>2705</v>
      </c>
      <c r="AZ1234" s="142" t="s">
        <v>2397</v>
      </c>
    </row>
    <row r="1235" spans="1:52" s="142" customFormat="1" ht="12.75" x14ac:dyDescent="0.2">
      <c r="A1235" s="151" t="s">
        <v>7934</v>
      </c>
      <c r="B1235" s="152" t="s">
        <v>2705</v>
      </c>
      <c r="C1235" s="152" t="s">
        <v>2705</v>
      </c>
      <c r="D1235" s="152" t="s">
        <v>2705</v>
      </c>
      <c r="E1235" s="152" t="s">
        <v>2398</v>
      </c>
      <c r="F1235" s="152" t="s">
        <v>2398</v>
      </c>
      <c r="G1235" s="152" t="s">
        <v>2705</v>
      </c>
      <c r="H1235" s="152" t="s">
        <v>2398</v>
      </c>
      <c r="I1235" s="152" t="s">
        <v>2398</v>
      </c>
      <c r="J1235" s="152" t="s">
        <v>2705</v>
      </c>
      <c r="K1235" s="152" t="s">
        <v>2705</v>
      </c>
      <c r="L1235" s="152" t="s">
        <v>2705</v>
      </c>
      <c r="M1235" s="152" t="s">
        <v>2398</v>
      </c>
      <c r="N1235" s="152" t="s">
        <v>2705</v>
      </c>
      <c r="O1235" s="152" t="s">
        <v>2398</v>
      </c>
      <c r="P1235" s="152" t="s">
        <v>2398</v>
      </c>
      <c r="Q1235" s="152" t="s">
        <v>2398</v>
      </c>
      <c r="R1235" s="152" t="s">
        <v>2705</v>
      </c>
      <c r="S1235" s="152" t="s">
        <v>2398</v>
      </c>
      <c r="T1235" s="152" t="s">
        <v>1435</v>
      </c>
      <c r="U1235" s="152" t="s">
        <v>2705</v>
      </c>
      <c r="V1235" s="142" cm="1">
        <f t="array" ref="V1235">IF(A1235&lt;&gt;"",SUM(--(B1235:U1236 = "X")*$U$3,--(B1235:U1236 ="A")*$Q$3,--(B1235:U1236 ="B")*$R$3,--(B1235:U1236 ="C")*$S$3),"")</f>
        <v>16</v>
      </c>
      <c r="AF1235" s="142" t="s">
        <v>7934</v>
      </c>
      <c r="AG1235" s="142" t="s">
        <v>2705</v>
      </c>
      <c r="AH1235" s="142" t="s">
        <v>2705</v>
      </c>
      <c r="AI1235" s="142" t="s">
        <v>2705</v>
      </c>
      <c r="AJ1235" s="142" t="s">
        <v>2398</v>
      </c>
      <c r="AK1235" s="142" t="s">
        <v>2398</v>
      </c>
      <c r="AL1235" s="142" t="s">
        <v>2705</v>
      </c>
      <c r="AM1235" s="142" t="s">
        <v>2398</v>
      </c>
      <c r="AN1235" s="142" t="s">
        <v>2398</v>
      </c>
      <c r="AO1235" s="142" t="s">
        <v>2705</v>
      </c>
      <c r="AP1235" s="142" t="s">
        <v>2705</v>
      </c>
      <c r="AQ1235" s="142" t="s">
        <v>2705</v>
      </c>
      <c r="AR1235" s="142" t="s">
        <v>2398</v>
      </c>
      <c r="AS1235" s="142" t="s">
        <v>2705</v>
      </c>
      <c r="AT1235" s="142" t="s">
        <v>2398</v>
      </c>
      <c r="AU1235" s="142" t="s">
        <v>2398</v>
      </c>
      <c r="AV1235" s="142" t="s">
        <v>2398</v>
      </c>
      <c r="AW1235" s="142" t="s">
        <v>2705</v>
      </c>
      <c r="AX1235" s="142" t="s">
        <v>2398</v>
      </c>
      <c r="AY1235" s="142" t="s">
        <v>1435</v>
      </c>
      <c r="AZ1235" s="142" t="s">
        <v>2705</v>
      </c>
    </row>
    <row r="1236" spans="1:52" s="142" customFormat="1" ht="12.75" x14ac:dyDescent="0.2">
      <c r="A1236" s="151"/>
      <c r="B1236" s="152" t="s">
        <v>2398</v>
      </c>
      <c r="C1236" s="152" t="s">
        <v>2398</v>
      </c>
      <c r="D1236" s="152" t="s">
        <v>2705</v>
      </c>
      <c r="E1236" s="152" t="s">
        <v>2398</v>
      </c>
      <c r="F1236" s="152" t="s">
        <v>2675</v>
      </c>
      <c r="G1236" s="152" t="s">
        <v>1435</v>
      </c>
      <c r="H1236" s="152" t="s">
        <v>2398</v>
      </c>
      <c r="I1236" s="152" t="s">
        <v>2705</v>
      </c>
      <c r="J1236" s="152" t="s">
        <v>2705</v>
      </c>
      <c r="K1236" s="152" t="s">
        <v>2705</v>
      </c>
      <c r="L1236" s="152" t="s">
        <v>2398</v>
      </c>
      <c r="M1236" s="152" t="s">
        <v>1435</v>
      </c>
      <c r="N1236" s="152" t="s">
        <v>2398</v>
      </c>
      <c r="O1236" s="152" t="s">
        <v>2705</v>
      </c>
      <c r="P1236" s="152" t="s">
        <v>2398</v>
      </c>
      <c r="Q1236" s="152" t="s">
        <v>2705</v>
      </c>
      <c r="R1236" s="152" t="s">
        <v>2398</v>
      </c>
      <c r="S1236" s="152" t="s">
        <v>2397</v>
      </c>
      <c r="T1236" s="152" t="s">
        <v>2705</v>
      </c>
      <c r="U1236" s="152" t="s">
        <v>2705</v>
      </c>
      <c r="V1236" s="142" t="str" cm="1">
        <f t="array" ref="V1236">IF(A1236&lt;&gt;"",SUM(--(B1236:U1237 = "X")*$U$3,--(B1236:U1237 ="A")*$Q$3,--(B1236:U1237 ="B")*$R$3,--(B1236:U1237 ="C")*$S$3),"")</f>
        <v/>
      </c>
      <c r="AG1236" s="142" t="s">
        <v>2398</v>
      </c>
      <c r="AH1236" s="142" t="s">
        <v>2398</v>
      </c>
      <c r="AI1236" s="142" t="s">
        <v>2705</v>
      </c>
      <c r="AJ1236" s="142" t="s">
        <v>2398</v>
      </c>
      <c r="AK1236" s="142" t="s">
        <v>2675</v>
      </c>
      <c r="AL1236" s="142" t="s">
        <v>1435</v>
      </c>
      <c r="AM1236" s="142" t="s">
        <v>2398</v>
      </c>
      <c r="AN1236" s="142" t="s">
        <v>2705</v>
      </c>
      <c r="AO1236" s="142" t="s">
        <v>2705</v>
      </c>
      <c r="AP1236" s="142" t="s">
        <v>2705</v>
      </c>
      <c r="AQ1236" s="142" t="s">
        <v>2398</v>
      </c>
      <c r="AR1236" s="142" t="s">
        <v>1435</v>
      </c>
      <c r="AS1236" s="142" t="s">
        <v>2398</v>
      </c>
      <c r="AT1236" s="142" t="s">
        <v>2705</v>
      </c>
      <c r="AU1236" s="142" t="s">
        <v>2398</v>
      </c>
      <c r="AV1236" s="142" t="s">
        <v>2705</v>
      </c>
      <c r="AW1236" s="142" t="s">
        <v>2398</v>
      </c>
      <c r="AX1236" s="142" t="s">
        <v>2397</v>
      </c>
      <c r="AY1236" s="142" t="s">
        <v>2705</v>
      </c>
      <c r="AZ1236" s="142" t="s">
        <v>2705</v>
      </c>
    </row>
    <row r="1237" spans="1:52" s="142" customFormat="1" ht="12.75" x14ac:dyDescent="0.2">
      <c r="A1237" s="151" t="s">
        <v>7935</v>
      </c>
      <c r="B1237" s="152" t="s">
        <v>2705</v>
      </c>
      <c r="C1237" s="152" t="s">
        <v>2675</v>
      </c>
      <c r="D1237" s="152" t="s">
        <v>2705</v>
      </c>
      <c r="E1237" s="152" t="s">
        <v>2705</v>
      </c>
      <c r="F1237" s="152" t="s">
        <v>2398</v>
      </c>
      <c r="G1237" s="152" t="s">
        <v>2705</v>
      </c>
      <c r="H1237" s="152" t="s">
        <v>2705</v>
      </c>
      <c r="I1237" s="152" t="s">
        <v>2705</v>
      </c>
      <c r="J1237" s="152" t="s">
        <v>2705</v>
      </c>
      <c r="K1237" s="152" t="s">
        <v>2705</v>
      </c>
      <c r="L1237" s="152" t="s">
        <v>2705</v>
      </c>
      <c r="M1237" s="152" t="s">
        <v>2705</v>
      </c>
      <c r="N1237" s="152" t="s">
        <v>2705</v>
      </c>
      <c r="O1237" s="152" t="s">
        <v>2705</v>
      </c>
      <c r="P1237" s="152" t="s">
        <v>2398</v>
      </c>
      <c r="Q1237" s="152" t="s">
        <v>2675</v>
      </c>
      <c r="R1237" s="152" t="s">
        <v>2398</v>
      </c>
      <c r="S1237" s="152" t="s">
        <v>2398</v>
      </c>
      <c r="T1237" s="152" t="s">
        <v>2705</v>
      </c>
      <c r="U1237" s="152" t="s">
        <v>2705</v>
      </c>
      <c r="V1237" s="142" cm="1">
        <f t="array" ref="V1237">IF(A1237&lt;&gt;"",SUM(--(B1237:U1238 = "X")*$U$3,--(B1237:U1238 ="A")*$Q$3,--(B1237:U1238 ="B")*$R$3,--(B1237:U1238 ="C")*$S$3),"")</f>
        <v>25.5</v>
      </c>
      <c r="AF1237" s="142" t="s">
        <v>7935</v>
      </c>
      <c r="AG1237" s="142" t="s">
        <v>2705</v>
      </c>
      <c r="AH1237" s="142" t="s">
        <v>2675</v>
      </c>
      <c r="AI1237" s="142" t="s">
        <v>2705</v>
      </c>
      <c r="AJ1237" s="142" t="s">
        <v>2705</v>
      </c>
      <c r="AK1237" s="142" t="s">
        <v>2398</v>
      </c>
      <c r="AL1237" s="142" t="s">
        <v>2705</v>
      </c>
      <c r="AM1237" s="142" t="s">
        <v>2705</v>
      </c>
      <c r="AN1237" s="142" t="s">
        <v>2705</v>
      </c>
      <c r="AO1237" s="142" t="s">
        <v>2705</v>
      </c>
      <c r="AP1237" s="142" t="s">
        <v>2705</v>
      </c>
      <c r="AQ1237" s="142" t="s">
        <v>2705</v>
      </c>
      <c r="AR1237" s="142" t="s">
        <v>2705</v>
      </c>
      <c r="AS1237" s="142" t="s">
        <v>2705</v>
      </c>
      <c r="AT1237" s="142" t="s">
        <v>2705</v>
      </c>
      <c r="AU1237" s="142" t="s">
        <v>2398</v>
      </c>
      <c r="AV1237" s="142" t="s">
        <v>2675</v>
      </c>
      <c r="AW1237" s="142" t="s">
        <v>2398</v>
      </c>
      <c r="AX1237" s="142" t="s">
        <v>2398</v>
      </c>
      <c r="AY1237" s="142" t="s">
        <v>2705</v>
      </c>
      <c r="AZ1237" s="142" t="s">
        <v>2705</v>
      </c>
    </row>
    <row r="1238" spans="1:52" s="142" customFormat="1" ht="12.75" x14ac:dyDescent="0.2">
      <c r="A1238" s="151"/>
      <c r="B1238" s="152" t="s">
        <v>2705</v>
      </c>
      <c r="C1238" s="152" t="s">
        <v>2398</v>
      </c>
      <c r="D1238" s="152" t="s">
        <v>2705</v>
      </c>
      <c r="E1238" s="152" t="s">
        <v>2705</v>
      </c>
      <c r="F1238" s="152" t="s">
        <v>2705</v>
      </c>
      <c r="G1238" s="152" t="s">
        <v>1435</v>
      </c>
      <c r="H1238" s="152" t="s">
        <v>2705</v>
      </c>
      <c r="I1238" s="152" t="s">
        <v>2705</v>
      </c>
      <c r="J1238" s="152" t="s">
        <v>2705</v>
      </c>
      <c r="K1238" s="152" t="s">
        <v>2398</v>
      </c>
      <c r="L1238" s="152" t="s">
        <v>2398</v>
      </c>
      <c r="M1238" s="152" t="s">
        <v>2705</v>
      </c>
      <c r="N1238" s="152" t="s">
        <v>2705</v>
      </c>
      <c r="O1238" s="152" t="s">
        <v>2398</v>
      </c>
      <c r="P1238" s="152" t="s">
        <v>2705</v>
      </c>
      <c r="Q1238" s="152" t="s">
        <v>2705</v>
      </c>
      <c r="R1238" s="152" t="s">
        <v>2398</v>
      </c>
      <c r="S1238" s="152" t="s">
        <v>2398</v>
      </c>
      <c r="T1238" s="152" t="s">
        <v>2705</v>
      </c>
      <c r="U1238" s="152" t="s">
        <v>2705</v>
      </c>
      <c r="V1238" s="142" t="str" cm="1">
        <f t="array" ref="V1238">IF(A1238&lt;&gt;"",SUM(--(B1238:U1239 = "X")*$U$3,--(B1238:U1239 ="A")*$Q$3,--(B1238:U1239 ="B")*$R$3,--(B1238:U1239 ="C")*$S$3),"")</f>
        <v/>
      </c>
      <c r="AG1238" s="142" t="s">
        <v>2705</v>
      </c>
      <c r="AH1238" s="142" t="s">
        <v>2398</v>
      </c>
      <c r="AI1238" s="142" t="s">
        <v>2705</v>
      </c>
      <c r="AJ1238" s="142" t="s">
        <v>2705</v>
      </c>
      <c r="AK1238" s="142" t="s">
        <v>2705</v>
      </c>
      <c r="AL1238" s="142" t="s">
        <v>1435</v>
      </c>
      <c r="AM1238" s="142" t="s">
        <v>2705</v>
      </c>
      <c r="AN1238" s="142" t="s">
        <v>2705</v>
      </c>
      <c r="AO1238" s="142" t="s">
        <v>2705</v>
      </c>
      <c r="AP1238" s="142" t="s">
        <v>2398</v>
      </c>
      <c r="AQ1238" s="142" t="s">
        <v>2398</v>
      </c>
      <c r="AR1238" s="142" t="s">
        <v>2705</v>
      </c>
      <c r="AS1238" s="142" t="s">
        <v>2705</v>
      </c>
      <c r="AT1238" s="142" t="s">
        <v>2398</v>
      </c>
      <c r="AU1238" s="142" t="s">
        <v>2705</v>
      </c>
      <c r="AV1238" s="142" t="s">
        <v>2705</v>
      </c>
      <c r="AW1238" s="142" t="s">
        <v>2398</v>
      </c>
      <c r="AX1238" s="142" t="s">
        <v>2398</v>
      </c>
      <c r="AY1238" s="142" t="s">
        <v>2705</v>
      </c>
      <c r="AZ1238" s="142" t="s">
        <v>2705</v>
      </c>
    </row>
    <row r="1239" spans="1:52" s="142" customFormat="1" ht="12.75" x14ac:dyDescent="0.2">
      <c r="A1239" s="151" t="s">
        <v>7936</v>
      </c>
      <c r="B1239" s="152" t="s">
        <v>2398</v>
      </c>
      <c r="C1239" s="152" t="s">
        <v>2398</v>
      </c>
      <c r="D1239" s="152" t="s">
        <v>2398</v>
      </c>
      <c r="E1239" s="152" t="s">
        <v>2398</v>
      </c>
      <c r="F1239" s="152" t="s">
        <v>2398</v>
      </c>
      <c r="G1239" s="152" t="s">
        <v>2398</v>
      </c>
      <c r="H1239" s="152" t="s">
        <v>2705</v>
      </c>
      <c r="I1239" s="152" t="s">
        <v>2705</v>
      </c>
      <c r="J1239" s="152" t="s">
        <v>2675</v>
      </c>
      <c r="K1239" s="152" t="s">
        <v>2398</v>
      </c>
      <c r="L1239" s="152" t="s">
        <v>2398</v>
      </c>
      <c r="M1239" s="152" t="s">
        <v>2398</v>
      </c>
      <c r="N1239" s="152" t="s">
        <v>2398</v>
      </c>
      <c r="O1239" s="152" t="s">
        <v>2705</v>
      </c>
      <c r="P1239" s="152" t="s">
        <v>1435</v>
      </c>
      <c r="Q1239" s="152" t="s">
        <v>2705</v>
      </c>
      <c r="R1239" s="152" t="s">
        <v>2398</v>
      </c>
      <c r="S1239" s="152" t="s">
        <v>2705</v>
      </c>
      <c r="T1239" s="152" t="s">
        <v>2398</v>
      </c>
      <c r="U1239" s="152" t="s">
        <v>2398</v>
      </c>
      <c r="V1239" s="142" cm="1">
        <f t="array" ref="V1239">IF(A1239&lt;&gt;"",SUM(--(B1239:U1240 = "X")*$U$3,--(B1239:U1240 ="A")*$Q$3,--(B1239:U1240 ="B")*$R$3,--(B1239:U1240 ="C")*$S$3),"")</f>
        <v>11</v>
      </c>
      <c r="AF1239" s="142" t="s">
        <v>7936</v>
      </c>
      <c r="AG1239" s="142" t="s">
        <v>2398</v>
      </c>
      <c r="AH1239" s="142" t="s">
        <v>2398</v>
      </c>
      <c r="AI1239" s="142" t="s">
        <v>2398</v>
      </c>
      <c r="AJ1239" s="142" t="s">
        <v>2398</v>
      </c>
      <c r="AK1239" s="142" t="s">
        <v>2398</v>
      </c>
      <c r="AL1239" s="142" t="s">
        <v>2398</v>
      </c>
      <c r="AM1239" s="142" t="s">
        <v>2705</v>
      </c>
      <c r="AN1239" s="142" t="s">
        <v>2705</v>
      </c>
      <c r="AO1239" s="142" t="s">
        <v>2675</v>
      </c>
      <c r="AP1239" s="142" t="s">
        <v>2398</v>
      </c>
      <c r="AQ1239" s="142" t="s">
        <v>2398</v>
      </c>
      <c r="AR1239" s="142" t="s">
        <v>2398</v>
      </c>
      <c r="AS1239" s="142" t="s">
        <v>2398</v>
      </c>
      <c r="AT1239" s="142" t="s">
        <v>2705</v>
      </c>
      <c r="AU1239" s="142" t="s">
        <v>1435</v>
      </c>
      <c r="AV1239" s="142" t="s">
        <v>2705</v>
      </c>
      <c r="AW1239" s="142" t="s">
        <v>2398</v>
      </c>
      <c r="AX1239" s="142" t="s">
        <v>2705</v>
      </c>
      <c r="AY1239" s="142" t="s">
        <v>2398</v>
      </c>
      <c r="AZ1239" s="142" t="s">
        <v>2398</v>
      </c>
    </row>
    <row r="1240" spans="1:52" s="142" customFormat="1" ht="12.75" x14ac:dyDescent="0.2">
      <c r="A1240" s="151"/>
      <c r="B1240" s="152" t="s">
        <v>2705</v>
      </c>
      <c r="C1240" s="152" t="s">
        <v>2397</v>
      </c>
      <c r="D1240" s="152" t="s">
        <v>2705</v>
      </c>
      <c r="E1240" s="152" t="s">
        <v>2675</v>
      </c>
      <c r="F1240" s="152" t="s">
        <v>2398</v>
      </c>
      <c r="G1240" s="152" t="s">
        <v>2705</v>
      </c>
      <c r="H1240" s="152" t="s">
        <v>1435</v>
      </c>
      <c r="I1240" s="152" t="s">
        <v>2705</v>
      </c>
      <c r="J1240" s="152" t="s">
        <v>2397</v>
      </c>
      <c r="K1240" s="152" t="s">
        <v>1435</v>
      </c>
      <c r="L1240" s="152" t="s">
        <v>2705</v>
      </c>
      <c r="M1240" s="152" t="s">
        <v>2705</v>
      </c>
      <c r="N1240" s="152" t="s">
        <v>2705</v>
      </c>
      <c r="O1240" s="152" t="s">
        <v>2398</v>
      </c>
      <c r="P1240" s="152" t="s">
        <v>2675</v>
      </c>
      <c r="Q1240" s="152" t="s">
        <v>2398</v>
      </c>
      <c r="R1240" s="152" t="s">
        <v>2398</v>
      </c>
      <c r="S1240" s="152" t="s">
        <v>2705</v>
      </c>
      <c r="T1240" s="152" t="s">
        <v>2705</v>
      </c>
      <c r="U1240" s="152" t="s">
        <v>2398</v>
      </c>
      <c r="V1240" s="142" t="str" cm="1">
        <f t="array" ref="V1240">IF(A1240&lt;&gt;"",SUM(--(B1240:U1241 = "X")*$U$3,--(B1240:U1241 ="A")*$Q$3,--(B1240:U1241 ="B")*$R$3,--(B1240:U1241 ="C")*$S$3),"")</f>
        <v/>
      </c>
      <c r="AG1240" s="142" t="s">
        <v>2705</v>
      </c>
      <c r="AH1240" s="142" t="s">
        <v>2397</v>
      </c>
      <c r="AI1240" s="142" t="s">
        <v>2705</v>
      </c>
      <c r="AJ1240" s="142" t="s">
        <v>2675</v>
      </c>
      <c r="AK1240" s="142" t="s">
        <v>2398</v>
      </c>
      <c r="AL1240" s="142" t="s">
        <v>2705</v>
      </c>
      <c r="AM1240" s="142" t="s">
        <v>1435</v>
      </c>
      <c r="AN1240" s="142" t="s">
        <v>2705</v>
      </c>
      <c r="AO1240" s="142" t="s">
        <v>2397</v>
      </c>
      <c r="AP1240" s="142" t="s">
        <v>1435</v>
      </c>
      <c r="AQ1240" s="142" t="s">
        <v>2705</v>
      </c>
      <c r="AR1240" s="142" t="s">
        <v>2705</v>
      </c>
      <c r="AS1240" s="142" t="s">
        <v>2705</v>
      </c>
      <c r="AT1240" s="142" t="s">
        <v>2398</v>
      </c>
      <c r="AU1240" s="142" t="s">
        <v>2675</v>
      </c>
      <c r="AV1240" s="142" t="s">
        <v>2398</v>
      </c>
      <c r="AW1240" s="142" t="s">
        <v>2398</v>
      </c>
      <c r="AX1240" s="142" t="s">
        <v>2705</v>
      </c>
      <c r="AY1240" s="142" t="s">
        <v>2705</v>
      </c>
      <c r="AZ1240" s="142" t="s">
        <v>2398</v>
      </c>
    </row>
    <row r="1241" spans="1:52" s="142" customFormat="1" ht="12.75" x14ac:dyDescent="0.2">
      <c r="A1241" s="151" t="s">
        <v>7937</v>
      </c>
      <c r="B1241" s="152" t="s">
        <v>2397</v>
      </c>
      <c r="C1241" s="152" t="s">
        <v>2705</v>
      </c>
      <c r="D1241" s="152" t="s">
        <v>2398</v>
      </c>
      <c r="E1241" s="152" t="s">
        <v>2398</v>
      </c>
      <c r="F1241" s="152" t="s">
        <v>1435</v>
      </c>
      <c r="G1241" s="152" t="s">
        <v>2705</v>
      </c>
      <c r="H1241" s="152" t="s">
        <v>2705</v>
      </c>
      <c r="I1241" s="152" t="s">
        <v>2398</v>
      </c>
      <c r="J1241" s="152" t="s">
        <v>2705</v>
      </c>
      <c r="K1241" s="152" t="s">
        <v>2398</v>
      </c>
      <c r="L1241" s="152" t="s">
        <v>2398</v>
      </c>
      <c r="M1241" s="152" t="s">
        <v>2705</v>
      </c>
      <c r="N1241" s="152" t="s">
        <v>2705</v>
      </c>
      <c r="O1241" s="152" t="s">
        <v>1435</v>
      </c>
      <c r="P1241" s="152" t="s">
        <v>2705</v>
      </c>
      <c r="Q1241" s="152" t="s">
        <v>2705</v>
      </c>
      <c r="R1241" s="152" t="s">
        <v>2705</v>
      </c>
      <c r="S1241" s="152" t="s">
        <v>2705</v>
      </c>
      <c r="T1241" s="152" t="s">
        <v>2398</v>
      </c>
      <c r="U1241" s="152" t="s">
        <v>2398</v>
      </c>
      <c r="V1241" s="142" cm="1">
        <f t="array" ref="V1241">IF(A1241&lt;&gt;"",SUM(--(B1241:U1242 = "X")*$U$3,--(B1241:U1242 ="A")*$Q$3,--(B1241:U1242 ="B")*$R$3,--(B1241:U1242 ="C")*$S$3),"")</f>
        <v>22</v>
      </c>
      <c r="AF1241" s="142" t="s">
        <v>7937</v>
      </c>
      <c r="AG1241" s="142" t="s">
        <v>2397</v>
      </c>
      <c r="AH1241" s="142" t="s">
        <v>2705</v>
      </c>
      <c r="AI1241" s="142" t="s">
        <v>2398</v>
      </c>
      <c r="AJ1241" s="142" t="s">
        <v>2398</v>
      </c>
      <c r="AK1241" s="142" t="s">
        <v>1435</v>
      </c>
      <c r="AL1241" s="142" t="s">
        <v>2705</v>
      </c>
      <c r="AM1241" s="142" t="s">
        <v>2705</v>
      </c>
      <c r="AN1241" s="142" t="s">
        <v>2398</v>
      </c>
      <c r="AO1241" s="142" t="s">
        <v>2705</v>
      </c>
      <c r="AP1241" s="142" t="s">
        <v>2398</v>
      </c>
      <c r="AQ1241" s="142" t="s">
        <v>2398</v>
      </c>
      <c r="AR1241" s="142" t="s">
        <v>2705</v>
      </c>
      <c r="AS1241" s="142" t="s">
        <v>2705</v>
      </c>
      <c r="AT1241" s="142" t="s">
        <v>1435</v>
      </c>
      <c r="AU1241" s="142" t="s">
        <v>2705</v>
      </c>
      <c r="AV1241" s="142" t="s">
        <v>2705</v>
      </c>
      <c r="AW1241" s="142" t="s">
        <v>2705</v>
      </c>
      <c r="AX1241" s="142" t="s">
        <v>2705</v>
      </c>
      <c r="AY1241" s="142" t="s">
        <v>2398</v>
      </c>
      <c r="AZ1241" s="142" t="s">
        <v>2398</v>
      </c>
    </row>
    <row r="1242" spans="1:52" s="142" customFormat="1" ht="12.75" x14ac:dyDescent="0.2">
      <c r="A1242" s="151"/>
      <c r="B1242" s="152" t="s">
        <v>2398</v>
      </c>
      <c r="C1242" s="152" t="s">
        <v>2398</v>
      </c>
      <c r="D1242" s="152" t="s">
        <v>2705</v>
      </c>
      <c r="E1242" s="152" t="s">
        <v>1435</v>
      </c>
      <c r="F1242" s="152" t="s">
        <v>2398</v>
      </c>
      <c r="G1242" s="152" t="s">
        <v>2705</v>
      </c>
      <c r="H1242" s="152" t="s">
        <v>2705</v>
      </c>
      <c r="I1242" s="152" t="s">
        <v>2705</v>
      </c>
      <c r="J1242" s="152" t="s">
        <v>2705</v>
      </c>
      <c r="K1242" s="152" t="s">
        <v>2705</v>
      </c>
      <c r="L1242" s="152" t="s">
        <v>2705</v>
      </c>
      <c r="M1242" s="152" t="s">
        <v>2705</v>
      </c>
      <c r="N1242" s="152" t="s">
        <v>2705</v>
      </c>
      <c r="O1242" s="152" t="s">
        <v>2398</v>
      </c>
      <c r="P1242" s="152" t="s">
        <v>2705</v>
      </c>
      <c r="Q1242" s="152" t="s">
        <v>2705</v>
      </c>
      <c r="R1242" s="152" t="s">
        <v>2705</v>
      </c>
      <c r="S1242" s="152" t="s">
        <v>2705</v>
      </c>
      <c r="T1242" s="152" t="s">
        <v>2705</v>
      </c>
      <c r="U1242" s="152" t="s">
        <v>2675</v>
      </c>
      <c r="V1242" s="142" t="str" cm="1">
        <f t="array" ref="V1242">IF(A1242&lt;&gt;"",SUM(--(B1242:U1243 = "X")*$U$3,--(B1242:U1243 ="A")*$Q$3,--(B1242:U1243 ="B")*$R$3,--(B1242:U1243 ="C")*$S$3),"")</f>
        <v/>
      </c>
      <c r="AG1242" s="142" t="s">
        <v>2398</v>
      </c>
      <c r="AH1242" s="142" t="s">
        <v>2398</v>
      </c>
      <c r="AI1242" s="142" t="s">
        <v>2705</v>
      </c>
      <c r="AJ1242" s="142" t="s">
        <v>1435</v>
      </c>
      <c r="AK1242" s="142" t="s">
        <v>2398</v>
      </c>
      <c r="AL1242" s="142" t="s">
        <v>2705</v>
      </c>
      <c r="AM1242" s="142" t="s">
        <v>2705</v>
      </c>
      <c r="AN1242" s="142" t="s">
        <v>2705</v>
      </c>
      <c r="AO1242" s="142" t="s">
        <v>2705</v>
      </c>
      <c r="AP1242" s="142" t="s">
        <v>2705</v>
      </c>
      <c r="AQ1242" s="142" t="s">
        <v>2705</v>
      </c>
      <c r="AR1242" s="142" t="s">
        <v>2705</v>
      </c>
      <c r="AS1242" s="142" t="s">
        <v>2705</v>
      </c>
      <c r="AT1242" s="142" t="s">
        <v>2398</v>
      </c>
      <c r="AU1242" s="142" t="s">
        <v>2705</v>
      </c>
      <c r="AV1242" s="142" t="s">
        <v>2705</v>
      </c>
      <c r="AW1242" s="142" t="s">
        <v>2705</v>
      </c>
      <c r="AX1242" s="142" t="s">
        <v>2705</v>
      </c>
      <c r="AY1242" s="142" t="s">
        <v>2705</v>
      </c>
      <c r="AZ1242" s="142" t="s">
        <v>2675</v>
      </c>
    </row>
    <row r="1243" spans="1:52" s="142" customFormat="1" ht="12.75" x14ac:dyDescent="0.2">
      <c r="A1243" s="151" t="s">
        <v>7938</v>
      </c>
      <c r="B1243" s="152" t="s">
        <v>2398</v>
      </c>
      <c r="C1243" s="152" t="s">
        <v>2705</v>
      </c>
      <c r="D1243" s="152" t="s">
        <v>2705</v>
      </c>
      <c r="E1243" s="152" t="s">
        <v>2705</v>
      </c>
      <c r="F1243" s="152" t="s">
        <v>2398</v>
      </c>
      <c r="G1243" s="152" t="s">
        <v>2705</v>
      </c>
      <c r="H1243" s="152" t="s">
        <v>2705</v>
      </c>
      <c r="I1243" s="152" t="s">
        <v>2398</v>
      </c>
      <c r="J1243" s="152" t="s">
        <v>2705</v>
      </c>
      <c r="K1243" s="152" t="s">
        <v>2397</v>
      </c>
      <c r="L1243" s="152" t="s">
        <v>2398</v>
      </c>
      <c r="M1243" s="152" t="s">
        <v>2398</v>
      </c>
      <c r="N1243" s="152" t="s">
        <v>2705</v>
      </c>
      <c r="O1243" s="152" t="s">
        <v>2705</v>
      </c>
      <c r="P1243" s="152" t="s">
        <v>2705</v>
      </c>
      <c r="Q1243" s="152" t="s">
        <v>2398</v>
      </c>
      <c r="R1243" s="152" t="s">
        <v>2398</v>
      </c>
      <c r="S1243" s="152" t="s">
        <v>2705</v>
      </c>
      <c r="T1243" s="152" t="s">
        <v>2398</v>
      </c>
      <c r="U1243" s="152" t="s">
        <v>2705</v>
      </c>
      <c r="V1243" s="142" cm="1">
        <f t="array" ref="V1243">IF(A1243&lt;&gt;"",SUM(--(B1243:U1244 = "X")*$U$3,--(B1243:U1244 ="A")*$Q$3,--(B1243:U1244 ="B")*$R$3,--(B1243:U1244 ="C")*$S$3),"")</f>
        <v>23.5</v>
      </c>
      <c r="AF1243" s="142" t="s">
        <v>7938</v>
      </c>
      <c r="AG1243" s="142" t="s">
        <v>2398</v>
      </c>
      <c r="AH1243" s="142" t="s">
        <v>2705</v>
      </c>
      <c r="AI1243" s="142" t="s">
        <v>2705</v>
      </c>
      <c r="AJ1243" s="142" t="s">
        <v>2705</v>
      </c>
      <c r="AK1243" s="142" t="s">
        <v>2398</v>
      </c>
      <c r="AL1243" s="142" t="s">
        <v>2705</v>
      </c>
      <c r="AM1243" s="142" t="s">
        <v>2705</v>
      </c>
      <c r="AN1243" s="142" t="s">
        <v>2398</v>
      </c>
      <c r="AO1243" s="142" t="s">
        <v>2705</v>
      </c>
      <c r="AP1243" s="142" t="s">
        <v>2397</v>
      </c>
      <c r="AQ1243" s="142" t="s">
        <v>2398</v>
      </c>
      <c r="AR1243" s="142" t="s">
        <v>2398</v>
      </c>
      <c r="AS1243" s="142" t="s">
        <v>2705</v>
      </c>
      <c r="AT1243" s="142" t="s">
        <v>2705</v>
      </c>
      <c r="AU1243" s="142" t="s">
        <v>2705</v>
      </c>
      <c r="AV1243" s="142" t="s">
        <v>2398</v>
      </c>
      <c r="AW1243" s="142" t="s">
        <v>2398</v>
      </c>
      <c r="AX1243" s="142" t="s">
        <v>2705</v>
      </c>
      <c r="AY1243" s="142" t="s">
        <v>2398</v>
      </c>
      <c r="AZ1243" s="142" t="s">
        <v>2705</v>
      </c>
    </row>
    <row r="1244" spans="1:52" s="142" customFormat="1" ht="12.75" x14ac:dyDescent="0.2">
      <c r="A1244" s="151"/>
      <c r="B1244" s="152" t="s">
        <v>2398</v>
      </c>
      <c r="C1244" s="152" t="s">
        <v>2398</v>
      </c>
      <c r="D1244" s="152" t="s">
        <v>1435</v>
      </c>
      <c r="E1244" s="152" t="s">
        <v>2398</v>
      </c>
      <c r="F1244" s="152" t="s">
        <v>2705</v>
      </c>
      <c r="G1244" s="152" t="s">
        <v>2398</v>
      </c>
      <c r="H1244" s="152" t="s">
        <v>2705</v>
      </c>
      <c r="I1244" s="152" t="s">
        <v>2705</v>
      </c>
      <c r="J1244" s="152" t="s">
        <v>2705</v>
      </c>
      <c r="K1244" s="152" t="s">
        <v>2705</v>
      </c>
      <c r="L1244" s="152" t="s">
        <v>2705</v>
      </c>
      <c r="M1244" s="152" t="s">
        <v>2705</v>
      </c>
      <c r="N1244" s="152" t="s">
        <v>2705</v>
      </c>
      <c r="O1244" s="152" t="s">
        <v>2705</v>
      </c>
      <c r="P1244" s="152" t="s">
        <v>2398</v>
      </c>
      <c r="Q1244" s="152" t="s">
        <v>2705</v>
      </c>
      <c r="R1244" s="152" t="s">
        <v>2398</v>
      </c>
      <c r="S1244" s="152" t="s">
        <v>2705</v>
      </c>
      <c r="T1244" s="152" t="s">
        <v>2705</v>
      </c>
      <c r="U1244" s="152" t="s">
        <v>2705</v>
      </c>
      <c r="V1244" s="142" t="str" cm="1">
        <f t="array" ref="V1244">IF(A1244&lt;&gt;"",SUM(--(B1244:U1245 = "X")*$U$3,--(B1244:U1245 ="A")*$Q$3,--(B1244:U1245 ="B")*$R$3,--(B1244:U1245 ="C")*$S$3),"")</f>
        <v/>
      </c>
      <c r="AG1244" s="142" t="s">
        <v>2398</v>
      </c>
      <c r="AH1244" s="142" t="s">
        <v>2398</v>
      </c>
      <c r="AI1244" s="142" t="s">
        <v>1435</v>
      </c>
      <c r="AJ1244" s="142" t="s">
        <v>2398</v>
      </c>
      <c r="AK1244" s="142" t="s">
        <v>2705</v>
      </c>
      <c r="AL1244" s="142" t="s">
        <v>2398</v>
      </c>
      <c r="AM1244" s="142" t="s">
        <v>2705</v>
      </c>
      <c r="AN1244" s="142" t="s">
        <v>2705</v>
      </c>
      <c r="AO1244" s="142" t="s">
        <v>2705</v>
      </c>
      <c r="AP1244" s="142" t="s">
        <v>2705</v>
      </c>
      <c r="AQ1244" s="142" t="s">
        <v>2705</v>
      </c>
      <c r="AR1244" s="142" t="s">
        <v>2705</v>
      </c>
      <c r="AS1244" s="142" t="s">
        <v>2705</v>
      </c>
      <c r="AT1244" s="142" t="s">
        <v>2705</v>
      </c>
      <c r="AU1244" s="142" t="s">
        <v>2398</v>
      </c>
      <c r="AV1244" s="142" t="s">
        <v>2705</v>
      </c>
      <c r="AW1244" s="142" t="s">
        <v>2398</v>
      </c>
      <c r="AX1244" s="142" t="s">
        <v>2705</v>
      </c>
      <c r="AY1244" s="142" t="s">
        <v>2705</v>
      </c>
      <c r="AZ1244" s="142" t="s">
        <v>2705</v>
      </c>
    </row>
    <row r="1245" spans="1:52" s="142" customFormat="1" ht="12.75" x14ac:dyDescent="0.2">
      <c r="A1245" s="151" t="s">
        <v>7939</v>
      </c>
      <c r="B1245" s="152" t="s">
        <v>2705</v>
      </c>
      <c r="C1245" s="152" t="s">
        <v>2398</v>
      </c>
      <c r="D1245" s="152" t="s">
        <v>2705</v>
      </c>
      <c r="E1245" s="152" t="s">
        <v>2705</v>
      </c>
      <c r="F1245" s="152" t="s">
        <v>2705</v>
      </c>
      <c r="G1245" s="152" t="s">
        <v>2705</v>
      </c>
      <c r="H1245" s="152" t="s">
        <v>2705</v>
      </c>
      <c r="I1245" s="152" t="s">
        <v>2705</v>
      </c>
      <c r="J1245" s="152" t="s">
        <v>2705</v>
      </c>
      <c r="K1245" s="152" t="s">
        <v>1435</v>
      </c>
      <c r="L1245" s="152" t="s">
        <v>2398</v>
      </c>
      <c r="M1245" s="152" t="s">
        <v>2705</v>
      </c>
      <c r="N1245" s="152" t="s">
        <v>2675</v>
      </c>
      <c r="O1245" s="152" t="s">
        <v>2398</v>
      </c>
      <c r="P1245" s="152" t="s">
        <v>2705</v>
      </c>
      <c r="Q1245" s="152" t="s">
        <v>2398</v>
      </c>
      <c r="R1245" s="152" t="s">
        <v>2675</v>
      </c>
      <c r="S1245" s="152" t="s">
        <v>2398</v>
      </c>
      <c r="T1245" s="152" t="s">
        <v>2705</v>
      </c>
      <c r="U1245" s="152" t="s">
        <v>2398</v>
      </c>
      <c r="V1245" s="142" cm="1">
        <f t="array" ref="V1245">IF(A1245&lt;&gt;"",SUM(--(B1245:U1246 = "X")*$U$3,--(B1245:U1246 ="A")*$Q$3,--(B1245:U1246 ="B")*$R$3,--(B1245:U1246 ="C")*$S$3),"")</f>
        <v>19</v>
      </c>
      <c r="AF1245" s="142" t="s">
        <v>7939</v>
      </c>
      <c r="AG1245" s="142" t="s">
        <v>2705</v>
      </c>
      <c r="AH1245" s="142" t="s">
        <v>2398</v>
      </c>
      <c r="AI1245" s="142" t="s">
        <v>2705</v>
      </c>
      <c r="AJ1245" s="142" t="s">
        <v>2705</v>
      </c>
      <c r="AK1245" s="142" t="s">
        <v>2705</v>
      </c>
      <c r="AL1245" s="142" t="s">
        <v>2705</v>
      </c>
      <c r="AM1245" s="142" t="s">
        <v>2705</v>
      </c>
      <c r="AN1245" s="142" t="s">
        <v>2705</v>
      </c>
      <c r="AO1245" s="142" t="s">
        <v>2705</v>
      </c>
      <c r="AP1245" s="142" t="s">
        <v>1435</v>
      </c>
      <c r="AQ1245" s="142" t="s">
        <v>2398</v>
      </c>
      <c r="AR1245" s="142" t="s">
        <v>2705</v>
      </c>
      <c r="AS1245" s="142" t="s">
        <v>2675</v>
      </c>
      <c r="AT1245" s="142" t="s">
        <v>2398</v>
      </c>
      <c r="AU1245" s="142" t="s">
        <v>2705</v>
      </c>
      <c r="AV1245" s="142" t="s">
        <v>2398</v>
      </c>
      <c r="AW1245" s="142" t="s">
        <v>2675</v>
      </c>
      <c r="AX1245" s="142" t="s">
        <v>2398</v>
      </c>
      <c r="AY1245" s="142" t="s">
        <v>2705</v>
      </c>
      <c r="AZ1245" s="142" t="s">
        <v>2398</v>
      </c>
    </row>
    <row r="1246" spans="1:52" s="142" customFormat="1" ht="12.75" x14ac:dyDescent="0.2">
      <c r="A1246" s="151"/>
      <c r="B1246" s="152" t="s">
        <v>2397</v>
      </c>
      <c r="C1246" s="152" t="s">
        <v>2705</v>
      </c>
      <c r="D1246" s="152" t="s">
        <v>2705</v>
      </c>
      <c r="E1246" s="152" t="s">
        <v>2705</v>
      </c>
      <c r="F1246" s="152" t="s">
        <v>2705</v>
      </c>
      <c r="G1246" s="152" t="s">
        <v>2675</v>
      </c>
      <c r="H1246" s="152" t="s">
        <v>2675</v>
      </c>
      <c r="I1246" s="152" t="s">
        <v>2705</v>
      </c>
      <c r="J1246" s="152" t="s">
        <v>2705</v>
      </c>
      <c r="K1246" s="152" t="s">
        <v>2398</v>
      </c>
      <c r="L1246" s="152" t="s">
        <v>2705</v>
      </c>
      <c r="M1246" s="152" t="s">
        <v>2398</v>
      </c>
      <c r="N1246" s="152" t="s">
        <v>2398</v>
      </c>
      <c r="O1246" s="152" t="s">
        <v>2705</v>
      </c>
      <c r="P1246" s="152" t="s">
        <v>2398</v>
      </c>
      <c r="Q1246" s="152" t="s">
        <v>1435</v>
      </c>
      <c r="R1246" s="152" t="s">
        <v>2705</v>
      </c>
      <c r="S1246" s="152" t="s">
        <v>2705</v>
      </c>
      <c r="T1246" s="152" t="s">
        <v>2398</v>
      </c>
      <c r="U1246" s="152" t="s">
        <v>2705</v>
      </c>
      <c r="V1246" s="142" t="str" cm="1">
        <f t="array" ref="V1246">IF(A1246&lt;&gt;"",SUM(--(B1246:U1247 = "X")*$U$3,--(B1246:U1247 ="A")*$Q$3,--(B1246:U1247 ="B")*$R$3,--(B1246:U1247 ="C")*$S$3),"")</f>
        <v/>
      </c>
      <c r="AG1246" s="142" t="s">
        <v>2397</v>
      </c>
      <c r="AH1246" s="142" t="s">
        <v>2705</v>
      </c>
      <c r="AI1246" s="142" t="s">
        <v>2705</v>
      </c>
      <c r="AJ1246" s="142" t="s">
        <v>2705</v>
      </c>
      <c r="AK1246" s="142" t="s">
        <v>2705</v>
      </c>
      <c r="AL1246" s="142" t="s">
        <v>2675</v>
      </c>
      <c r="AM1246" s="142" t="s">
        <v>2675</v>
      </c>
      <c r="AN1246" s="142" t="s">
        <v>2705</v>
      </c>
      <c r="AO1246" s="142" t="s">
        <v>2705</v>
      </c>
      <c r="AP1246" s="142" t="s">
        <v>2398</v>
      </c>
      <c r="AQ1246" s="142" t="s">
        <v>2705</v>
      </c>
      <c r="AR1246" s="142" t="s">
        <v>2398</v>
      </c>
      <c r="AS1246" s="142" t="s">
        <v>2398</v>
      </c>
      <c r="AT1246" s="142" t="s">
        <v>2705</v>
      </c>
      <c r="AU1246" s="142" t="s">
        <v>2398</v>
      </c>
      <c r="AV1246" s="142" t="s">
        <v>1435</v>
      </c>
      <c r="AW1246" s="142" t="s">
        <v>2705</v>
      </c>
      <c r="AX1246" s="142" t="s">
        <v>2705</v>
      </c>
      <c r="AY1246" s="142" t="s">
        <v>2398</v>
      </c>
      <c r="AZ1246" s="142" t="s">
        <v>2705</v>
      </c>
    </row>
    <row r="1247" spans="1:52" s="142" customFormat="1" ht="12.75" x14ac:dyDescent="0.2">
      <c r="A1247" s="151" t="s">
        <v>7940</v>
      </c>
      <c r="B1247" s="152" t="s">
        <v>2705</v>
      </c>
      <c r="C1247" s="152" t="s">
        <v>2398</v>
      </c>
      <c r="D1247" s="152" t="s">
        <v>2705</v>
      </c>
      <c r="E1247" s="152" t="s">
        <v>2398</v>
      </c>
      <c r="F1247" s="152" t="s">
        <v>2398</v>
      </c>
      <c r="G1247" s="152" t="s">
        <v>2705</v>
      </c>
      <c r="H1247" s="152" t="s">
        <v>2398</v>
      </c>
      <c r="I1247" s="152" t="s">
        <v>1435</v>
      </c>
      <c r="J1247" s="152" t="s">
        <v>2705</v>
      </c>
      <c r="K1247" s="152" t="s">
        <v>2705</v>
      </c>
      <c r="L1247" s="152" t="s">
        <v>2705</v>
      </c>
      <c r="M1247" s="152" t="s">
        <v>2398</v>
      </c>
      <c r="N1247" s="152" t="s">
        <v>2705</v>
      </c>
      <c r="O1247" s="152" t="s">
        <v>2397</v>
      </c>
      <c r="P1247" s="152" t="s">
        <v>2705</v>
      </c>
      <c r="Q1247" s="152" t="s">
        <v>2705</v>
      </c>
      <c r="R1247" s="152" t="s">
        <v>2398</v>
      </c>
      <c r="S1247" s="152" t="s">
        <v>2398</v>
      </c>
      <c r="T1247" s="152" t="s">
        <v>2675</v>
      </c>
      <c r="U1247" s="152" t="s">
        <v>2675</v>
      </c>
      <c r="V1247" s="142" cm="1">
        <f t="array" ref="V1247">IF(A1247&lt;&gt;"",SUM(--(B1247:U1248 = "X")*$U$3,--(B1247:U1248 ="A")*$Q$3,--(B1247:U1248 ="B")*$R$3,--(B1247:U1248 ="C")*$S$3),"")</f>
        <v>8.5</v>
      </c>
      <c r="AF1247" s="142" t="s">
        <v>7940</v>
      </c>
      <c r="AG1247" s="142" t="s">
        <v>2705</v>
      </c>
      <c r="AH1247" s="142" t="s">
        <v>2398</v>
      </c>
      <c r="AI1247" s="142" t="s">
        <v>2705</v>
      </c>
      <c r="AJ1247" s="142" t="s">
        <v>2398</v>
      </c>
      <c r="AK1247" s="142" t="s">
        <v>2398</v>
      </c>
      <c r="AL1247" s="142" t="s">
        <v>2705</v>
      </c>
      <c r="AM1247" s="142" t="s">
        <v>2398</v>
      </c>
      <c r="AN1247" s="142" t="s">
        <v>1435</v>
      </c>
      <c r="AO1247" s="142" t="s">
        <v>2705</v>
      </c>
      <c r="AP1247" s="142" t="s">
        <v>2705</v>
      </c>
      <c r="AQ1247" s="142" t="s">
        <v>2705</v>
      </c>
      <c r="AR1247" s="142" t="s">
        <v>2398</v>
      </c>
      <c r="AS1247" s="142" t="s">
        <v>2705</v>
      </c>
      <c r="AT1247" s="142" t="s">
        <v>2397</v>
      </c>
      <c r="AU1247" s="142" t="s">
        <v>2705</v>
      </c>
      <c r="AV1247" s="142" t="s">
        <v>2705</v>
      </c>
      <c r="AW1247" s="142" t="s">
        <v>2398</v>
      </c>
      <c r="AX1247" s="142" t="s">
        <v>2398</v>
      </c>
      <c r="AY1247" s="142" t="s">
        <v>2675</v>
      </c>
      <c r="AZ1247" s="142" t="s">
        <v>2675</v>
      </c>
    </row>
    <row r="1248" spans="1:52" s="142" customFormat="1" ht="12.75" x14ac:dyDescent="0.2">
      <c r="A1248" s="151"/>
      <c r="B1248" s="152" t="s">
        <v>2705</v>
      </c>
      <c r="C1248" s="152" t="s">
        <v>2398</v>
      </c>
      <c r="D1248" s="152" t="s">
        <v>2705</v>
      </c>
      <c r="E1248" s="152" t="s">
        <v>2398</v>
      </c>
      <c r="F1248" s="152" t="s">
        <v>2675</v>
      </c>
      <c r="G1248" s="152" t="s">
        <v>2398</v>
      </c>
      <c r="H1248" s="152" t="s">
        <v>2675</v>
      </c>
      <c r="I1248" s="152" t="s">
        <v>2398</v>
      </c>
      <c r="J1248" s="152" t="s">
        <v>2398</v>
      </c>
      <c r="K1248" s="152" t="s">
        <v>2705</v>
      </c>
      <c r="L1248" s="152" t="s">
        <v>2398</v>
      </c>
      <c r="M1248" s="152" t="s">
        <v>2675</v>
      </c>
      <c r="N1248" s="152" t="s">
        <v>2398</v>
      </c>
      <c r="O1248" s="152" t="s">
        <v>2398</v>
      </c>
      <c r="P1248" s="152" t="s">
        <v>1435</v>
      </c>
      <c r="Q1248" s="152" t="s">
        <v>2705</v>
      </c>
      <c r="R1248" s="152" t="s">
        <v>2398</v>
      </c>
      <c r="S1248" s="152" t="s">
        <v>2675</v>
      </c>
      <c r="T1248" s="152" t="s">
        <v>1435</v>
      </c>
      <c r="U1248" s="152" t="s">
        <v>2398</v>
      </c>
      <c r="V1248" s="142" t="str" cm="1">
        <f t="array" ref="V1248">IF(A1248&lt;&gt;"",SUM(--(B1248:U1249 = "X")*$U$3,--(B1248:U1249 ="A")*$Q$3,--(B1248:U1249 ="B")*$R$3,--(B1248:U1249 ="C")*$S$3),"")</f>
        <v/>
      </c>
      <c r="AG1248" s="142" t="s">
        <v>2705</v>
      </c>
      <c r="AH1248" s="142" t="s">
        <v>2398</v>
      </c>
      <c r="AI1248" s="142" t="s">
        <v>2705</v>
      </c>
      <c r="AJ1248" s="142" t="s">
        <v>2398</v>
      </c>
      <c r="AK1248" s="142" t="s">
        <v>2675</v>
      </c>
      <c r="AL1248" s="142" t="s">
        <v>2398</v>
      </c>
      <c r="AM1248" s="142" t="s">
        <v>2675</v>
      </c>
      <c r="AN1248" s="142" t="s">
        <v>2398</v>
      </c>
      <c r="AO1248" s="142" t="s">
        <v>2398</v>
      </c>
      <c r="AP1248" s="142" t="s">
        <v>2705</v>
      </c>
      <c r="AQ1248" s="142" t="s">
        <v>2398</v>
      </c>
      <c r="AR1248" s="142" t="s">
        <v>2675</v>
      </c>
      <c r="AS1248" s="142" t="s">
        <v>2398</v>
      </c>
      <c r="AT1248" s="142" t="s">
        <v>2398</v>
      </c>
      <c r="AU1248" s="142" t="s">
        <v>1435</v>
      </c>
      <c r="AV1248" s="142" t="s">
        <v>2705</v>
      </c>
      <c r="AW1248" s="142" t="s">
        <v>2398</v>
      </c>
      <c r="AX1248" s="142" t="s">
        <v>2675</v>
      </c>
      <c r="AY1248" s="142" t="s">
        <v>1435</v>
      </c>
      <c r="AZ1248" s="142" t="s">
        <v>2398</v>
      </c>
    </row>
    <row r="1249" spans="1:52" s="142" customFormat="1" ht="12.75" x14ac:dyDescent="0.2">
      <c r="A1249" s="151" t="s">
        <v>7941</v>
      </c>
      <c r="B1249" s="152" t="s">
        <v>2398</v>
      </c>
      <c r="C1249" s="152" t="s">
        <v>2397</v>
      </c>
      <c r="D1249" s="152" t="s">
        <v>2705</v>
      </c>
      <c r="E1249" s="152" t="s">
        <v>2705</v>
      </c>
      <c r="F1249" s="152" t="s">
        <v>2705</v>
      </c>
      <c r="G1249" s="152" t="s">
        <v>2705</v>
      </c>
      <c r="H1249" s="152" t="s">
        <v>2398</v>
      </c>
      <c r="I1249" s="152" t="s">
        <v>2397</v>
      </c>
      <c r="J1249" s="152" t="s">
        <v>2398</v>
      </c>
      <c r="K1249" s="152" t="s">
        <v>1435</v>
      </c>
      <c r="L1249" s="152" t="s">
        <v>2705</v>
      </c>
      <c r="M1249" s="152" t="s">
        <v>2397</v>
      </c>
      <c r="N1249" s="152" t="s">
        <v>2675</v>
      </c>
      <c r="O1249" s="152" t="s">
        <v>2705</v>
      </c>
      <c r="P1249" s="152" t="s">
        <v>2397</v>
      </c>
      <c r="Q1249" s="152" t="s">
        <v>2705</v>
      </c>
      <c r="R1249" s="152" t="s">
        <v>2705</v>
      </c>
      <c r="S1249" s="152" t="s">
        <v>2705</v>
      </c>
      <c r="T1249" s="152" t="s">
        <v>2397</v>
      </c>
      <c r="U1249" s="152" t="s">
        <v>2705</v>
      </c>
      <c r="V1249" s="142" cm="1">
        <f t="array" ref="V1249">IF(A1249&lt;&gt;"",SUM(--(B1249:U1250 = "X")*$U$3,--(B1249:U1250 ="A")*$Q$3,--(B1249:U1250 ="B")*$R$3,--(B1249:U1250 ="C")*$S$3),"")</f>
        <v>10.5</v>
      </c>
      <c r="AF1249" s="142" t="s">
        <v>7941</v>
      </c>
      <c r="AG1249" s="142" t="s">
        <v>2398</v>
      </c>
      <c r="AH1249" s="142" t="s">
        <v>2397</v>
      </c>
      <c r="AI1249" s="142" t="s">
        <v>2705</v>
      </c>
      <c r="AJ1249" s="142" t="s">
        <v>2705</v>
      </c>
      <c r="AK1249" s="142" t="s">
        <v>2705</v>
      </c>
      <c r="AL1249" s="142" t="s">
        <v>2705</v>
      </c>
      <c r="AM1249" s="142" t="s">
        <v>2398</v>
      </c>
      <c r="AN1249" s="142" t="s">
        <v>2397</v>
      </c>
      <c r="AO1249" s="142" t="s">
        <v>2398</v>
      </c>
      <c r="AP1249" s="142" t="s">
        <v>1435</v>
      </c>
      <c r="AQ1249" s="142" t="s">
        <v>2705</v>
      </c>
      <c r="AR1249" s="142" t="s">
        <v>2397</v>
      </c>
      <c r="AS1249" s="142" t="s">
        <v>2675</v>
      </c>
      <c r="AT1249" s="142" t="s">
        <v>2705</v>
      </c>
      <c r="AU1249" s="142" t="s">
        <v>2397</v>
      </c>
      <c r="AV1249" s="142" t="s">
        <v>2705</v>
      </c>
      <c r="AW1249" s="142" t="s">
        <v>2705</v>
      </c>
      <c r="AX1249" s="142" t="s">
        <v>2705</v>
      </c>
      <c r="AY1249" s="142" t="s">
        <v>2397</v>
      </c>
      <c r="AZ1249" s="142" t="s">
        <v>2705</v>
      </c>
    </row>
    <row r="1250" spans="1:52" s="142" customFormat="1" ht="12.75" x14ac:dyDescent="0.2">
      <c r="A1250" s="151"/>
      <c r="B1250" s="152" t="s">
        <v>2398</v>
      </c>
      <c r="C1250" s="152" t="s">
        <v>1435</v>
      </c>
      <c r="D1250" s="152" t="s">
        <v>2705</v>
      </c>
      <c r="E1250" s="152" t="s">
        <v>2398</v>
      </c>
      <c r="F1250" s="152" t="s">
        <v>2398</v>
      </c>
      <c r="G1250" s="152" t="s">
        <v>2705</v>
      </c>
      <c r="H1250" s="152" t="s">
        <v>1435</v>
      </c>
      <c r="I1250" s="152" t="s">
        <v>2398</v>
      </c>
      <c r="J1250" s="152" t="s">
        <v>2398</v>
      </c>
      <c r="K1250" s="152" t="s">
        <v>2398</v>
      </c>
      <c r="L1250" s="152" t="s">
        <v>2705</v>
      </c>
      <c r="M1250" s="152" t="s">
        <v>2398</v>
      </c>
      <c r="N1250" s="152" t="s">
        <v>2398</v>
      </c>
      <c r="O1250" s="152" t="s">
        <v>2397</v>
      </c>
      <c r="P1250" s="152" t="s">
        <v>2398</v>
      </c>
      <c r="Q1250" s="152" t="s">
        <v>1435</v>
      </c>
      <c r="R1250" s="152" t="s">
        <v>2398</v>
      </c>
      <c r="S1250" s="152" t="s">
        <v>2397</v>
      </c>
      <c r="T1250" s="152" t="s">
        <v>2398</v>
      </c>
      <c r="U1250" s="152" t="s">
        <v>2398</v>
      </c>
      <c r="V1250" s="142" t="str" cm="1">
        <f t="array" ref="V1250">IF(A1250&lt;&gt;"",SUM(--(B1250:U1251 = "X")*$U$3,--(B1250:U1251 ="A")*$Q$3,--(B1250:U1251 ="B")*$R$3,--(B1250:U1251 ="C")*$S$3),"")</f>
        <v/>
      </c>
      <c r="AG1250" s="142" t="s">
        <v>2398</v>
      </c>
      <c r="AH1250" s="142" t="s">
        <v>1435</v>
      </c>
      <c r="AI1250" s="142" t="s">
        <v>2705</v>
      </c>
      <c r="AJ1250" s="142" t="s">
        <v>2398</v>
      </c>
      <c r="AK1250" s="142" t="s">
        <v>2398</v>
      </c>
      <c r="AL1250" s="142" t="s">
        <v>2705</v>
      </c>
      <c r="AM1250" s="142" t="s">
        <v>1435</v>
      </c>
      <c r="AN1250" s="142" t="s">
        <v>2398</v>
      </c>
      <c r="AO1250" s="142" t="s">
        <v>2398</v>
      </c>
      <c r="AP1250" s="142" t="s">
        <v>2398</v>
      </c>
      <c r="AQ1250" s="142" t="s">
        <v>2705</v>
      </c>
      <c r="AR1250" s="142" t="s">
        <v>2398</v>
      </c>
      <c r="AS1250" s="142" t="s">
        <v>2398</v>
      </c>
      <c r="AT1250" s="142" t="s">
        <v>2397</v>
      </c>
      <c r="AU1250" s="142" t="s">
        <v>2398</v>
      </c>
      <c r="AV1250" s="142" t="s">
        <v>1435</v>
      </c>
      <c r="AW1250" s="142" t="s">
        <v>2398</v>
      </c>
      <c r="AX1250" s="142" t="s">
        <v>2397</v>
      </c>
      <c r="AY1250" s="142" t="s">
        <v>2398</v>
      </c>
      <c r="AZ1250" s="142" t="s">
        <v>2398</v>
      </c>
    </row>
    <row r="1251" spans="1:52" s="142" customFormat="1" ht="12.75" x14ac:dyDescent="0.2">
      <c r="A1251" s="151" t="s">
        <v>7942</v>
      </c>
      <c r="B1251" s="152" t="s">
        <v>2705</v>
      </c>
      <c r="C1251" s="152" t="s">
        <v>2705</v>
      </c>
      <c r="D1251" s="152" t="s">
        <v>2705</v>
      </c>
      <c r="E1251" s="152" t="s">
        <v>2705</v>
      </c>
      <c r="F1251" s="152" t="s">
        <v>2398</v>
      </c>
      <c r="G1251" s="152" t="s">
        <v>2705</v>
      </c>
      <c r="H1251" s="152" t="s">
        <v>2705</v>
      </c>
      <c r="I1251" s="152" t="s">
        <v>2705</v>
      </c>
      <c r="J1251" s="152" t="s">
        <v>2705</v>
      </c>
      <c r="K1251" s="152" t="s">
        <v>2398</v>
      </c>
      <c r="L1251" s="152" t="s">
        <v>2705</v>
      </c>
      <c r="M1251" s="152" t="s">
        <v>2705</v>
      </c>
      <c r="N1251" s="152" t="s">
        <v>2705</v>
      </c>
      <c r="O1251" s="152" t="s">
        <v>2398</v>
      </c>
      <c r="P1251" s="152" t="s">
        <v>2705</v>
      </c>
      <c r="Q1251" s="152" t="s">
        <v>2705</v>
      </c>
      <c r="R1251" s="152" t="s">
        <v>2398</v>
      </c>
      <c r="S1251" s="152" t="s">
        <v>2705</v>
      </c>
      <c r="T1251" s="152" t="s">
        <v>2398</v>
      </c>
      <c r="U1251" s="152" t="s">
        <v>2398</v>
      </c>
      <c r="V1251" s="142" cm="1">
        <f t="array" ref="V1251">IF(A1251&lt;&gt;"",SUM(--(B1251:U1252 = "X")*$U$3,--(B1251:U1252 ="A")*$Q$3,--(B1251:U1252 ="B")*$R$3,--(B1251:U1252 ="C")*$S$3),"")</f>
        <v>26</v>
      </c>
      <c r="AF1251" s="142" t="s">
        <v>7942</v>
      </c>
      <c r="AG1251" s="142" t="s">
        <v>2705</v>
      </c>
      <c r="AH1251" s="142" t="s">
        <v>2705</v>
      </c>
      <c r="AI1251" s="142" t="s">
        <v>2705</v>
      </c>
      <c r="AJ1251" s="142" t="s">
        <v>2705</v>
      </c>
      <c r="AK1251" s="142" t="s">
        <v>2398</v>
      </c>
      <c r="AL1251" s="142" t="s">
        <v>2705</v>
      </c>
      <c r="AM1251" s="142" t="s">
        <v>2705</v>
      </c>
      <c r="AN1251" s="142" t="s">
        <v>2705</v>
      </c>
      <c r="AO1251" s="142" t="s">
        <v>2705</v>
      </c>
      <c r="AP1251" s="142" t="s">
        <v>2398</v>
      </c>
      <c r="AQ1251" s="142" t="s">
        <v>2705</v>
      </c>
      <c r="AR1251" s="142" t="s">
        <v>2705</v>
      </c>
      <c r="AS1251" s="142" t="s">
        <v>2705</v>
      </c>
      <c r="AT1251" s="142" t="s">
        <v>2398</v>
      </c>
      <c r="AU1251" s="142" t="s">
        <v>2705</v>
      </c>
      <c r="AV1251" s="142" t="s">
        <v>2705</v>
      </c>
      <c r="AW1251" s="142" t="s">
        <v>2398</v>
      </c>
      <c r="AX1251" s="142" t="s">
        <v>2705</v>
      </c>
      <c r="AY1251" s="142" t="s">
        <v>2398</v>
      </c>
      <c r="AZ1251" s="142" t="s">
        <v>2398</v>
      </c>
    </row>
    <row r="1252" spans="1:52" s="142" customFormat="1" ht="12.75" x14ac:dyDescent="0.2">
      <c r="A1252" s="151"/>
      <c r="B1252" s="152" t="s">
        <v>2398</v>
      </c>
      <c r="C1252" s="152" t="s">
        <v>2398</v>
      </c>
      <c r="D1252" s="152" t="s">
        <v>1435</v>
      </c>
      <c r="E1252" s="152" t="s">
        <v>2675</v>
      </c>
      <c r="F1252" s="152" t="s">
        <v>2705</v>
      </c>
      <c r="G1252" s="152" t="s">
        <v>2398</v>
      </c>
      <c r="H1252" s="152" t="s">
        <v>2705</v>
      </c>
      <c r="I1252" s="152" t="s">
        <v>2705</v>
      </c>
      <c r="J1252" s="152" t="s">
        <v>2705</v>
      </c>
      <c r="K1252" s="152" t="s">
        <v>2705</v>
      </c>
      <c r="L1252" s="152" t="s">
        <v>2705</v>
      </c>
      <c r="M1252" s="152" t="s">
        <v>2705</v>
      </c>
      <c r="N1252" s="152" t="s">
        <v>2705</v>
      </c>
      <c r="O1252" s="152" t="s">
        <v>2705</v>
      </c>
      <c r="P1252" s="152" t="s">
        <v>2398</v>
      </c>
      <c r="Q1252" s="152" t="s">
        <v>2705</v>
      </c>
      <c r="R1252" s="152" t="s">
        <v>2398</v>
      </c>
      <c r="S1252" s="152" t="s">
        <v>2705</v>
      </c>
      <c r="T1252" s="152" t="s">
        <v>2705</v>
      </c>
      <c r="U1252" s="152" t="s">
        <v>2705</v>
      </c>
      <c r="V1252" s="142" t="str" cm="1">
        <f t="array" ref="V1252">IF(A1252&lt;&gt;"",SUM(--(B1252:U1253 = "X")*$U$3,--(B1252:U1253 ="A")*$Q$3,--(B1252:U1253 ="B")*$R$3,--(B1252:U1253 ="C")*$S$3),"")</f>
        <v/>
      </c>
      <c r="AG1252" s="142" t="s">
        <v>2398</v>
      </c>
      <c r="AH1252" s="142" t="s">
        <v>2398</v>
      </c>
      <c r="AI1252" s="142" t="s">
        <v>1435</v>
      </c>
      <c r="AJ1252" s="142" t="s">
        <v>2675</v>
      </c>
      <c r="AK1252" s="142" t="s">
        <v>2705</v>
      </c>
      <c r="AL1252" s="142" t="s">
        <v>2398</v>
      </c>
      <c r="AM1252" s="142" t="s">
        <v>2705</v>
      </c>
      <c r="AN1252" s="142" t="s">
        <v>2705</v>
      </c>
      <c r="AO1252" s="142" t="s">
        <v>2705</v>
      </c>
      <c r="AP1252" s="142" t="s">
        <v>2705</v>
      </c>
      <c r="AQ1252" s="142" t="s">
        <v>2705</v>
      </c>
      <c r="AR1252" s="142" t="s">
        <v>2705</v>
      </c>
      <c r="AS1252" s="142" t="s">
        <v>2705</v>
      </c>
      <c r="AT1252" s="142" t="s">
        <v>2705</v>
      </c>
      <c r="AU1252" s="142" t="s">
        <v>2398</v>
      </c>
      <c r="AV1252" s="142" t="s">
        <v>2705</v>
      </c>
      <c r="AW1252" s="142" t="s">
        <v>2398</v>
      </c>
      <c r="AX1252" s="142" t="s">
        <v>2705</v>
      </c>
      <c r="AY1252" s="142" t="s">
        <v>2705</v>
      </c>
      <c r="AZ1252" s="142" t="s">
        <v>2705</v>
      </c>
    </row>
    <row r="1253" spans="1:52" s="142" customFormat="1" ht="12.75" x14ac:dyDescent="0.2">
      <c r="A1253" s="151" t="s">
        <v>7943</v>
      </c>
      <c r="B1253" s="152" t="s">
        <v>2705</v>
      </c>
      <c r="C1253" s="152" t="s">
        <v>2398</v>
      </c>
      <c r="D1253" s="152" t="s">
        <v>2705</v>
      </c>
      <c r="E1253" s="152" t="s">
        <v>2705</v>
      </c>
      <c r="F1253" s="152" t="s">
        <v>2398</v>
      </c>
      <c r="G1253" s="152" t="s">
        <v>2705</v>
      </c>
      <c r="H1253" s="152" t="s">
        <v>2705</v>
      </c>
      <c r="I1253" s="152" t="s">
        <v>2398</v>
      </c>
      <c r="J1253" s="152" t="s">
        <v>2675</v>
      </c>
      <c r="K1253" s="152" t="s">
        <v>2705</v>
      </c>
      <c r="L1253" s="152" t="s">
        <v>2398</v>
      </c>
      <c r="M1253" s="152" t="s">
        <v>2705</v>
      </c>
      <c r="N1253" s="152" t="s">
        <v>2705</v>
      </c>
      <c r="O1253" s="152" t="s">
        <v>2705</v>
      </c>
      <c r="P1253" s="152" t="s">
        <v>2398</v>
      </c>
      <c r="Q1253" s="152" t="s">
        <v>2705</v>
      </c>
      <c r="R1253" s="152" t="s">
        <v>2705</v>
      </c>
      <c r="S1253" s="152" t="s">
        <v>2705</v>
      </c>
      <c r="T1253" s="152" t="s">
        <v>2705</v>
      </c>
      <c r="U1253" s="152" t="s">
        <v>2398</v>
      </c>
      <c r="V1253" s="142" cm="1">
        <f t="array" ref="V1253">IF(A1253&lt;&gt;"",SUM(--(B1253:U1254 = "X")*$U$3,--(B1253:U1254 ="A")*$Q$3,--(B1253:U1254 ="B")*$R$3,--(B1253:U1254 ="C")*$S$3),"")</f>
        <v>20</v>
      </c>
      <c r="AF1253" s="142" t="s">
        <v>7943</v>
      </c>
      <c r="AG1253" s="142" t="s">
        <v>2705</v>
      </c>
      <c r="AH1253" s="142" t="s">
        <v>2398</v>
      </c>
      <c r="AI1253" s="142" t="s">
        <v>2705</v>
      </c>
      <c r="AJ1253" s="142" t="s">
        <v>2705</v>
      </c>
      <c r="AK1253" s="142" t="s">
        <v>2398</v>
      </c>
      <c r="AL1253" s="142" t="s">
        <v>2705</v>
      </c>
      <c r="AM1253" s="142" t="s">
        <v>2705</v>
      </c>
      <c r="AN1253" s="142" t="s">
        <v>2398</v>
      </c>
      <c r="AO1253" s="142" t="s">
        <v>2675</v>
      </c>
      <c r="AP1253" s="142" t="s">
        <v>2705</v>
      </c>
      <c r="AQ1253" s="142" t="s">
        <v>2398</v>
      </c>
      <c r="AR1253" s="142" t="s">
        <v>2705</v>
      </c>
      <c r="AS1253" s="142" t="s">
        <v>2705</v>
      </c>
      <c r="AT1253" s="142" t="s">
        <v>2705</v>
      </c>
      <c r="AU1253" s="142" t="s">
        <v>2398</v>
      </c>
      <c r="AV1253" s="142" t="s">
        <v>2705</v>
      </c>
      <c r="AW1253" s="142" t="s">
        <v>2705</v>
      </c>
      <c r="AX1253" s="142" t="s">
        <v>2705</v>
      </c>
      <c r="AY1253" s="142" t="s">
        <v>2705</v>
      </c>
      <c r="AZ1253" s="142" t="s">
        <v>2398</v>
      </c>
    </row>
    <row r="1254" spans="1:52" s="142" customFormat="1" ht="12.75" x14ac:dyDescent="0.2">
      <c r="A1254" s="151"/>
      <c r="B1254" s="152" t="s">
        <v>2705</v>
      </c>
      <c r="C1254" s="152" t="s">
        <v>2675</v>
      </c>
      <c r="D1254" s="152" t="s">
        <v>1435</v>
      </c>
      <c r="E1254" s="152" t="s">
        <v>1435</v>
      </c>
      <c r="F1254" s="152" t="s">
        <v>2705</v>
      </c>
      <c r="G1254" s="152" t="s">
        <v>2397</v>
      </c>
      <c r="H1254" s="152" t="s">
        <v>2705</v>
      </c>
      <c r="I1254" s="152" t="s">
        <v>2705</v>
      </c>
      <c r="J1254" s="152" t="s">
        <v>2675</v>
      </c>
      <c r="K1254" s="152" t="s">
        <v>2705</v>
      </c>
      <c r="L1254" s="152" t="s">
        <v>2705</v>
      </c>
      <c r="M1254" s="152" t="s">
        <v>1435</v>
      </c>
      <c r="N1254" s="152" t="s">
        <v>2705</v>
      </c>
      <c r="O1254" s="152" t="s">
        <v>2398</v>
      </c>
      <c r="P1254" s="152" t="s">
        <v>2705</v>
      </c>
      <c r="Q1254" s="152" t="s">
        <v>2705</v>
      </c>
      <c r="R1254" s="152" t="s">
        <v>1435</v>
      </c>
      <c r="S1254" s="152" t="s">
        <v>2705</v>
      </c>
      <c r="T1254" s="152" t="s">
        <v>2675</v>
      </c>
      <c r="U1254" s="152" t="s">
        <v>2705</v>
      </c>
      <c r="V1254" s="142" t="str" cm="1">
        <f t="array" ref="V1254">IF(A1254&lt;&gt;"",SUM(--(B1254:U1255 = "X")*$U$3,--(B1254:U1255 ="A")*$Q$3,--(B1254:U1255 ="B")*$R$3,--(B1254:U1255 ="C")*$S$3),"")</f>
        <v/>
      </c>
      <c r="AG1254" s="142" t="s">
        <v>2705</v>
      </c>
      <c r="AH1254" s="142" t="s">
        <v>2675</v>
      </c>
      <c r="AI1254" s="142" t="s">
        <v>1435</v>
      </c>
      <c r="AJ1254" s="142" t="s">
        <v>1435</v>
      </c>
      <c r="AK1254" s="142" t="s">
        <v>2705</v>
      </c>
      <c r="AL1254" s="142" t="s">
        <v>2397</v>
      </c>
      <c r="AM1254" s="142" t="s">
        <v>2705</v>
      </c>
      <c r="AN1254" s="142" t="s">
        <v>2705</v>
      </c>
      <c r="AO1254" s="142" t="s">
        <v>2675</v>
      </c>
      <c r="AP1254" s="142" t="s">
        <v>2705</v>
      </c>
      <c r="AQ1254" s="142" t="s">
        <v>2705</v>
      </c>
      <c r="AR1254" s="142" t="s">
        <v>1435</v>
      </c>
      <c r="AS1254" s="142" t="s">
        <v>2705</v>
      </c>
      <c r="AT1254" s="142" t="s">
        <v>2398</v>
      </c>
      <c r="AU1254" s="142" t="s">
        <v>2705</v>
      </c>
      <c r="AV1254" s="142" t="s">
        <v>2705</v>
      </c>
      <c r="AW1254" s="142" t="s">
        <v>1435</v>
      </c>
      <c r="AX1254" s="142" t="s">
        <v>2705</v>
      </c>
      <c r="AY1254" s="142" t="s">
        <v>2675</v>
      </c>
      <c r="AZ1254" s="142" t="s">
        <v>2705</v>
      </c>
    </row>
    <row r="1255" spans="1:52" s="142" customFormat="1" ht="12.75" x14ac:dyDescent="0.2">
      <c r="A1255" s="151" t="s">
        <v>7944</v>
      </c>
      <c r="B1255" s="152" t="s">
        <v>2705</v>
      </c>
      <c r="C1255" s="152" t="s">
        <v>2397</v>
      </c>
      <c r="D1255" s="152" t="s">
        <v>2705</v>
      </c>
      <c r="E1255" s="152" t="s">
        <v>2705</v>
      </c>
      <c r="F1255" s="152" t="s">
        <v>2705</v>
      </c>
      <c r="G1255" s="152" t="s">
        <v>2705</v>
      </c>
      <c r="H1255" s="152" t="s">
        <v>2705</v>
      </c>
      <c r="I1255" s="152" t="s">
        <v>2398</v>
      </c>
      <c r="J1255" s="152" t="s">
        <v>2705</v>
      </c>
      <c r="K1255" s="152" t="s">
        <v>1435</v>
      </c>
      <c r="L1255" s="152" t="s">
        <v>2705</v>
      </c>
      <c r="M1255" s="152" t="s">
        <v>2705</v>
      </c>
      <c r="N1255" s="152" t="s">
        <v>2705</v>
      </c>
      <c r="O1255" s="152" t="s">
        <v>2397</v>
      </c>
      <c r="P1255" s="152" t="s">
        <v>2675</v>
      </c>
      <c r="Q1255" s="152" t="s">
        <v>1435</v>
      </c>
      <c r="R1255" s="152" t="s">
        <v>2705</v>
      </c>
      <c r="S1255" s="152" t="s">
        <v>2705</v>
      </c>
      <c r="T1255" s="152" t="s">
        <v>1435</v>
      </c>
      <c r="U1255" s="152" t="s">
        <v>2398</v>
      </c>
      <c r="V1255" s="142" cm="1">
        <f t="array" ref="V1255">IF(A1255&lt;&gt;"",SUM(--(B1255:U1256 = "X")*$U$3,--(B1255:U1256 ="A")*$Q$3,--(B1255:U1256 ="B")*$R$3,--(B1255:U1256 ="C")*$S$3),"")</f>
        <v>22</v>
      </c>
      <c r="AF1255" s="142" t="s">
        <v>7944</v>
      </c>
      <c r="AG1255" s="142" t="s">
        <v>2705</v>
      </c>
      <c r="AH1255" s="142" t="s">
        <v>2397</v>
      </c>
      <c r="AI1255" s="142" t="s">
        <v>2705</v>
      </c>
      <c r="AJ1255" s="142" t="s">
        <v>2705</v>
      </c>
      <c r="AK1255" s="142" t="s">
        <v>2705</v>
      </c>
      <c r="AL1255" s="142" t="s">
        <v>2705</v>
      </c>
      <c r="AM1255" s="142" t="s">
        <v>2705</v>
      </c>
      <c r="AN1255" s="142" t="s">
        <v>2398</v>
      </c>
      <c r="AO1255" s="142" t="s">
        <v>2705</v>
      </c>
      <c r="AP1255" s="142" t="s">
        <v>1435</v>
      </c>
      <c r="AQ1255" s="142" t="s">
        <v>2705</v>
      </c>
      <c r="AR1255" s="142" t="s">
        <v>2705</v>
      </c>
      <c r="AS1255" s="142" t="s">
        <v>2705</v>
      </c>
      <c r="AT1255" s="142" t="s">
        <v>2397</v>
      </c>
      <c r="AU1255" s="142" t="s">
        <v>2675</v>
      </c>
      <c r="AV1255" s="142" t="s">
        <v>1435</v>
      </c>
      <c r="AW1255" s="142" t="s">
        <v>2705</v>
      </c>
      <c r="AX1255" s="142" t="s">
        <v>2705</v>
      </c>
      <c r="AY1255" s="142" t="s">
        <v>1435</v>
      </c>
      <c r="AZ1255" s="142" t="s">
        <v>2398</v>
      </c>
    </row>
    <row r="1256" spans="1:52" s="142" customFormat="1" ht="12.75" x14ac:dyDescent="0.2">
      <c r="A1256" s="151"/>
      <c r="B1256" s="152" t="s">
        <v>2398</v>
      </c>
      <c r="C1256" s="152" t="s">
        <v>2705</v>
      </c>
      <c r="D1256" s="152" t="s">
        <v>2705</v>
      </c>
      <c r="E1256" s="152" t="s">
        <v>2705</v>
      </c>
      <c r="F1256" s="152" t="s">
        <v>2705</v>
      </c>
      <c r="G1256" s="152" t="s">
        <v>2398</v>
      </c>
      <c r="H1256" s="152" t="s">
        <v>2705</v>
      </c>
      <c r="I1256" s="152" t="s">
        <v>2705</v>
      </c>
      <c r="J1256" s="152" t="s">
        <v>2705</v>
      </c>
      <c r="K1256" s="152" t="s">
        <v>2705</v>
      </c>
      <c r="L1256" s="152" t="s">
        <v>2705</v>
      </c>
      <c r="M1256" s="152" t="s">
        <v>2398</v>
      </c>
      <c r="N1256" s="152" t="s">
        <v>2397</v>
      </c>
      <c r="O1256" s="152" t="s">
        <v>2705</v>
      </c>
      <c r="P1256" s="152" t="s">
        <v>2705</v>
      </c>
      <c r="Q1256" s="152" t="s">
        <v>1435</v>
      </c>
      <c r="R1256" s="152" t="s">
        <v>2675</v>
      </c>
      <c r="S1256" s="152" t="s">
        <v>2705</v>
      </c>
      <c r="T1256" s="152" t="s">
        <v>2398</v>
      </c>
      <c r="U1256" s="152" t="s">
        <v>2705</v>
      </c>
      <c r="V1256" s="142" t="str" cm="1">
        <f t="array" ref="V1256">IF(A1256&lt;&gt;"",SUM(--(B1256:U1257 = "X")*$U$3,--(B1256:U1257 ="A")*$Q$3,--(B1256:U1257 ="B")*$R$3,--(B1256:U1257 ="C")*$S$3),"")</f>
        <v/>
      </c>
      <c r="AG1256" s="142" t="s">
        <v>2398</v>
      </c>
      <c r="AH1256" s="142" t="s">
        <v>2705</v>
      </c>
      <c r="AI1256" s="142" t="s">
        <v>2705</v>
      </c>
      <c r="AJ1256" s="142" t="s">
        <v>2705</v>
      </c>
      <c r="AK1256" s="142" t="s">
        <v>2705</v>
      </c>
      <c r="AL1256" s="142" t="s">
        <v>2398</v>
      </c>
      <c r="AM1256" s="142" t="s">
        <v>2705</v>
      </c>
      <c r="AN1256" s="142" t="s">
        <v>2705</v>
      </c>
      <c r="AO1256" s="142" t="s">
        <v>2705</v>
      </c>
      <c r="AP1256" s="142" t="s">
        <v>2705</v>
      </c>
      <c r="AQ1256" s="142" t="s">
        <v>2705</v>
      </c>
      <c r="AR1256" s="142" t="s">
        <v>2398</v>
      </c>
      <c r="AS1256" s="142" t="s">
        <v>2397</v>
      </c>
      <c r="AT1256" s="142" t="s">
        <v>2705</v>
      </c>
      <c r="AU1256" s="142" t="s">
        <v>2705</v>
      </c>
      <c r="AV1256" s="142" t="s">
        <v>1435</v>
      </c>
      <c r="AW1256" s="142" t="s">
        <v>2675</v>
      </c>
      <c r="AX1256" s="142" t="s">
        <v>2705</v>
      </c>
      <c r="AY1256" s="142" t="s">
        <v>2398</v>
      </c>
      <c r="AZ1256" s="142" t="s">
        <v>2705</v>
      </c>
    </row>
    <row r="1257" spans="1:52" s="142" customFormat="1" ht="12.75" x14ac:dyDescent="0.2">
      <c r="A1257" s="151" t="s">
        <v>7945</v>
      </c>
      <c r="B1257" s="152" t="s">
        <v>2705</v>
      </c>
      <c r="C1257" s="152" t="s">
        <v>2398</v>
      </c>
      <c r="D1257" s="152" t="s">
        <v>2398</v>
      </c>
      <c r="E1257" s="152" t="s">
        <v>2705</v>
      </c>
      <c r="F1257" s="152" t="s">
        <v>2705</v>
      </c>
      <c r="G1257" s="152" t="s">
        <v>2705</v>
      </c>
      <c r="H1257" s="152" t="s">
        <v>2705</v>
      </c>
      <c r="I1257" s="152" t="s">
        <v>2705</v>
      </c>
      <c r="J1257" s="152" t="s">
        <v>2705</v>
      </c>
      <c r="K1257" s="152" t="s">
        <v>2398</v>
      </c>
      <c r="L1257" s="152" t="s">
        <v>2398</v>
      </c>
      <c r="M1257" s="152" t="s">
        <v>2705</v>
      </c>
      <c r="N1257" s="152" t="s">
        <v>2705</v>
      </c>
      <c r="O1257" s="152" t="s">
        <v>1435</v>
      </c>
      <c r="P1257" s="152" t="s">
        <v>2705</v>
      </c>
      <c r="Q1257" s="152" t="s">
        <v>2705</v>
      </c>
      <c r="R1257" s="152" t="s">
        <v>2705</v>
      </c>
      <c r="S1257" s="152" t="s">
        <v>2705</v>
      </c>
      <c r="T1257" s="152" t="s">
        <v>2705</v>
      </c>
      <c r="U1257" s="152" t="s">
        <v>2705</v>
      </c>
      <c r="V1257" s="142" cm="1">
        <f t="array" ref="V1257">IF(A1257&lt;&gt;"",SUM(--(B1257:U1258 = "X")*$U$3,--(B1257:U1258 ="A")*$Q$3,--(B1257:U1258 ="B")*$R$3,--(B1257:U1258 ="C")*$S$3),"")</f>
        <v>23</v>
      </c>
      <c r="AF1257" s="142" t="s">
        <v>7945</v>
      </c>
      <c r="AG1257" s="142" t="s">
        <v>2705</v>
      </c>
      <c r="AH1257" s="142" t="s">
        <v>2398</v>
      </c>
      <c r="AI1257" s="142" t="s">
        <v>2398</v>
      </c>
      <c r="AJ1257" s="142" t="s">
        <v>2705</v>
      </c>
      <c r="AK1257" s="142" t="s">
        <v>2705</v>
      </c>
      <c r="AL1257" s="142" t="s">
        <v>2705</v>
      </c>
      <c r="AM1257" s="142" t="s">
        <v>2705</v>
      </c>
      <c r="AN1257" s="142" t="s">
        <v>2705</v>
      </c>
      <c r="AO1257" s="142" t="s">
        <v>2705</v>
      </c>
      <c r="AP1257" s="142" t="s">
        <v>2398</v>
      </c>
      <c r="AQ1257" s="142" t="s">
        <v>2398</v>
      </c>
      <c r="AR1257" s="142" t="s">
        <v>2705</v>
      </c>
      <c r="AS1257" s="142" t="s">
        <v>2705</v>
      </c>
      <c r="AT1257" s="142" t="s">
        <v>1435</v>
      </c>
      <c r="AU1257" s="142" t="s">
        <v>2705</v>
      </c>
      <c r="AV1257" s="142" t="s">
        <v>2705</v>
      </c>
      <c r="AW1257" s="142" t="s">
        <v>2705</v>
      </c>
      <c r="AX1257" s="142" t="s">
        <v>2705</v>
      </c>
      <c r="AY1257" s="142" t="s">
        <v>2705</v>
      </c>
      <c r="AZ1257" s="142" t="s">
        <v>2705</v>
      </c>
    </row>
    <row r="1258" spans="1:52" s="142" customFormat="1" ht="12.75" x14ac:dyDescent="0.2">
      <c r="A1258" s="151"/>
      <c r="B1258" s="152" t="s">
        <v>2398</v>
      </c>
      <c r="C1258" s="152" t="s">
        <v>2705</v>
      </c>
      <c r="D1258" s="152" t="s">
        <v>2398</v>
      </c>
      <c r="E1258" s="152" t="s">
        <v>2675</v>
      </c>
      <c r="F1258" s="152" t="s">
        <v>2398</v>
      </c>
      <c r="G1258" s="152" t="s">
        <v>2705</v>
      </c>
      <c r="H1258" s="152" t="s">
        <v>2705</v>
      </c>
      <c r="I1258" s="152" t="s">
        <v>2398</v>
      </c>
      <c r="J1258" s="152" t="s">
        <v>2397</v>
      </c>
      <c r="K1258" s="152" t="s">
        <v>2705</v>
      </c>
      <c r="L1258" s="152" t="s">
        <v>2705</v>
      </c>
      <c r="M1258" s="152" t="s">
        <v>2705</v>
      </c>
      <c r="N1258" s="152" t="s">
        <v>2675</v>
      </c>
      <c r="O1258" s="152" t="s">
        <v>2397</v>
      </c>
      <c r="P1258" s="152" t="s">
        <v>2398</v>
      </c>
      <c r="Q1258" s="152" t="s">
        <v>2705</v>
      </c>
      <c r="R1258" s="152" t="s">
        <v>1435</v>
      </c>
      <c r="S1258" s="152" t="s">
        <v>2705</v>
      </c>
      <c r="T1258" s="152" t="s">
        <v>2705</v>
      </c>
      <c r="U1258" s="152" t="s">
        <v>2705</v>
      </c>
      <c r="V1258" s="142" t="str" cm="1">
        <f t="array" ref="V1258">IF(A1258&lt;&gt;"",SUM(--(B1258:U1259 = "X")*$U$3,--(B1258:U1259 ="A")*$Q$3,--(B1258:U1259 ="B")*$R$3,--(B1258:U1259 ="C")*$S$3),"")</f>
        <v/>
      </c>
      <c r="AG1258" s="142" t="s">
        <v>2398</v>
      </c>
      <c r="AH1258" s="142" t="s">
        <v>2705</v>
      </c>
      <c r="AI1258" s="142" t="s">
        <v>2398</v>
      </c>
      <c r="AJ1258" s="142" t="s">
        <v>2675</v>
      </c>
      <c r="AK1258" s="142" t="s">
        <v>2398</v>
      </c>
      <c r="AL1258" s="142" t="s">
        <v>2705</v>
      </c>
      <c r="AM1258" s="142" t="s">
        <v>2705</v>
      </c>
      <c r="AN1258" s="142" t="s">
        <v>2398</v>
      </c>
      <c r="AO1258" s="142" t="s">
        <v>2397</v>
      </c>
      <c r="AP1258" s="142" t="s">
        <v>2705</v>
      </c>
      <c r="AQ1258" s="142" t="s">
        <v>2705</v>
      </c>
      <c r="AR1258" s="142" t="s">
        <v>2705</v>
      </c>
      <c r="AS1258" s="142" t="s">
        <v>2675</v>
      </c>
      <c r="AT1258" s="142" t="s">
        <v>2397</v>
      </c>
      <c r="AU1258" s="142" t="s">
        <v>2398</v>
      </c>
      <c r="AV1258" s="142" t="s">
        <v>2705</v>
      </c>
      <c r="AW1258" s="142" t="s">
        <v>1435</v>
      </c>
      <c r="AX1258" s="142" t="s">
        <v>2705</v>
      </c>
      <c r="AY1258" s="142" t="s">
        <v>2705</v>
      </c>
      <c r="AZ1258" s="142" t="s">
        <v>2705</v>
      </c>
    </row>
    <row r="1259" spans="1:52" s="142" customFormat="1" ht="12.75" x14ac:dyDescent="0.2">
      <c r="A1259" s="151" t="s">
        <v>7946</v>
      </c>
      <c r="B1259" s="152" t="s">
        <v>2398</v>
      </c>
      <c r="C1259" s="152" t="s">
        <v>2705</v>
      </c>
      <c r="D1259" s="152" t="s">
        <v>2705</v>
      </c>
      <c r="E1259" s="152" t="s">
        <v>1435</v>
      </c>
      <c r="F1259" s="152" t="s">
        <v>2398</v>
      </c>
      <c r="G1259" s="152" t="s">
        <v>2705</v>
      </c>
      <c r="H1259" s="152" t="s">
        <v>2705</v>
      </c>
      <c r="I1259" s="152" t="s">
        <v>2398</v>
      </c>
      <c r="J1259" s="152" t="s">
        <v>2398</v>
      </c>
      <c r="K1259" s="152" t="s">
        <v>2705</v>
      </c>
      <c r="L1259" s="152" t="s">
        <v>2705</v>
      </c>
      <c r="M1259" s="152" t="s">
        <v>2705</v>
      </c>
      <c r="N1259" s="152" t="s">
        <v>2397</v>
      </c>
      <c r="O1259" s="152" t="s">
        <v>2705</v>
      </c>
      <c r="P1259" s="152" t="s">
        <v>2705</v>
      </c>
      <c r="Q1259" s="152" t="s">
        <v>2705</v>
      </c>
      <c r="R1259" s="152" t="s">
        <v>2705</v>
      </c>
      <c r="S1259" s="152" t="s">
        <v>2705</v>
      </c>
      <c r="T1259" s="152" t="s">
        <v>2705</v>
      </c>
      <c r="U1259" s="152" t="s">
        <v>2705</v>
      </c>
      <c r="V1259" s="142" cm="1">
        <f t="array" ref="V1259">IF(A1259&lt;&gt;"",SUM(--(B1259:U1260 = "X")*$U$3,--(B1259:U1260 ="A")*$Q$3,--(B1259:U1260 ="B")*$R$3,--(B1259:U1260 ="C")*$S$3),"")</f>
        <v>23.5</v>
      </c>
      <c r="AF1259" s="142" t="s">
        <v>7946</v>
      </c>
      <c r="AG1259" s="142" t="s">
        <v>2398</v>
      </c>
      <c r="AH1259" s="142" t="s">
        <v>2705</v>
      </c>
      <c r="AI1259" s="142" t="s">
        <v>2705</v>
      </c>
      <c r="AJ1259" s="142" t="s">
        <v>1435</v>
      </c>
      <c r="AK1259" s="142" t="s">
        <v>2398</v>
      </c>
      <c r="AL1259" s="142" t="s">
        <v>2705</v>
      </c>
      <c r="AM1259" s="142" t="s">
        <v>2705</v>
      </c>
      <c r="AN1259" s="142" t="s">
        <v>2398</v>
      </c>
      <c r="AO1259" s="142" t="s">
        <v>2398</v>
      </c>
      <c r="AP1259" s="142" t="s">
        <v>2705</v>
      </c>
      <c r="AQ1259" s="142" t="s">
        <v>2705</v>
      </c>
      <c r="AR1259" s="142" t="s">
        <v>2705</v>
      </c>
      <c r="AS1259" s="142" t="s">
        <v>2397</v>
      </c>
      <c r="AT1259" s="142" t="s">
        <v>2705</v>
      </c>
      <c r="AU1259" s="142" t="s">
        <v>2705</v>
      </c>
      <c r="AV1259" s="142" t="s">
        <v>2705</v>
      </c>
      <c r="AW1259" s="142" t="s">
        <v>2705</v>
      </c>
      <c r="AX1259" s="142" t="s">
        <v>2705</v>
      </c>
      <c r="AY1259" s="142" t="s">
        <v>2705</v>
      </c>
      <c r="AZ1259" s="142" t="s">
        <v>2705</v>
      </c>
    </row>
    <row r="1260" spans="1:52" s="142" customFormat="1" ht="12.75" x14ac:dyDescent="0.2">
      <c r="A1260" s="151"/>
      <c r="B1260" s="152" t="s">
        <v>2705</v>
      </c>
      <c r="C1260" s="152" t="s">
        <v>2675</v>
      </c>
      <c r="D1260" s="152" t="s">
        <v>2705</v>
      </c>
      <c r="E1260" s="152" t="s">
        <v>2705</v>
      </c>
      <c r="F1260" s="152" t="s">
        <v>2705</v>
      </c>
      <c r="G1260" s="152" t="s">
        <v>2705</v>
      </c>
      <c r="H1260" s="152" t="s">
        <v>2398</v>
      </c>
      <c r="I1260" s="152" t="s">
        <v>2705</v>
      </c>
      <c r="J1260" s="152" t="s">
        <v>2398</v>
      </c>
      <c r="K1260" s="152" t="s">
        <v>1435</v>
      </c>
      <c r="L1260" s="152" t="s">
        <v>2705</v>
      </c>
      <c r="M1260" s="152" t="s">
        <v>2705</v>
      </c>
      <c r="N1260" s="152" t="s">
        <v>2398</v>
      </c>
      <c r="O1260" s="152" t="s">
        <v>2398</v>
      </c>
      <c r="P1260" s="152" t="s">
        <v>2398</v>
      </c>
      <c r="Q1260" s="152" t="s">
        <v>2705</v>
      </c>
      <c r="R1260" s="152" t="s">
        <v>2705</v>
      </c>
      <c r="S1260" s="152" t="s">
        <v>2705</v>
      </c>
      <c r="T1260" s="152" t="s">
        <v>2398</v>
      </c>
      <c r="U1260" s="152" t="s">
        <v>2398</v>
      </c>
      <c r="V1260" s="142" t="str" cm="1">
        <f t="array" ref="V1260">IF(A1260&lt;&gt;"",SUM(--(B1260:U1261 = "X")*$U$3,--(B1260:U1261 ="A")*$Q$3,--(B1260:U1261 ="B")*$R$3,--(B1260:U1261 ="C")*$S$3),"")</f>
        <v/>
      </c>
      <c r="AG1260" s="142" t="s">
        <v>2705</v>
      </c>
      <c r="AH1260" s="142" t="s">
        <v>2675</v>
      </c>
      <c r="AI1260" s="142" t="s">
        <v>2705</v>
      </c>
      <c r="AJ1260" s="142" t="s">
        <v>2705</v>
      </c>
      <c r="AK1260" s="142" t="s">
        <v>2705</v>
      </c>
      <c r="AL1260" s="142" t="s">
        <v>2705</v>
      </c>
      <c r="AM1260" s="142" t="s">
        <v>2398</v>
      </c>
      <c r="AN1260" s="142" t="s">
        <v>2705</v>
      </c>
      <c r="AO1260" s="142" t="s">
        <v>2398</v>
      </c>
      <c r="AP1260" s="142" t="s">
        <v>1435</v>
      </c>
      <c r="AQ1260" s="142" t="s">
        <v>2705</v>
      </c>
      <c r="AR1260" s="142" t="s">
        <v>2705</v>
      </c>
      <c r="AS1260" s="142" t="s">
        <v>2398</v>
      </c>
      <c r="AT1260" s="142" t="s">
        <v>2398</v>
      </c>
      <c r="AU1260" s="142" t="s">
        <v>2398</v>
      </c>
      <c r="AV1260" s="142" t="s">
        <v>2705</v>
      </c>
      <c r="AW1260" s="142" t="s">
        <v>2705</v>
      </c>
      <c r="AX1260" s="142" t="s">
        <v>2705</v>
      </c>
      <c r="AY1260" s="142" t="s">
        <v>2398</v>
      </c>
      <c r="AZ1260" s="142" t="s">
        <v>2398</v>
      </c>
    </row>
    <row r="1261" spans="1:52" s="142" customFormat="1" ht="12.75" x14ac:dyDescent="0.2">
      <c r="A1261" s="151" t="s">
        <v>7947</v>
      </c>
      <c r="B1261" s="152" t="s">
        <v>2398</v>
      </c>
      <c r="C1261" s="152" t="s">
        <v>2705</v>
      </c>
      <c r="D1261" s="152" t="s">
        <v>2398</v>
      </c>
      <c r="E1261" s="152" t="s">
        <v>2705</v>
      </c>
      <c r="F1261" s="152" t="s">
        <v>2398</v>
      </c>
      <c r="G1261" s="152" t="s">
        <v>1435</v>
      </c>
      <c r="H1261" s="152" t="s">
        <v>2705</v>
      </c>
      <c r="I1261" s="152" t="s">
        <v>2705</v>
      </c>
      <c r="J1261" s="152" t="s">
        <v>1435</v>
      </c>
      <c r="K1261" s="152" t="s">
        <v>2397</v>
      </c>
      <c r="L1261" s="152" t="s">
        <v>2675</v>
      </c>
      <c r="M1261" s="152" t="s">
        <v>2398</v>
      </c>
      <c r="N1261" s="152" t="s">
        <v>2705</v>
      </c>
      <c r="O1261" s="152" t="s">
        <v>2397</v>
      </c>
      <c r="P1261" s="152" t="s">
        <v>2705</v>
      </c>
      <c r="Q1261" s="152" t="s">
        <v>1435</v>
      </c>
      <c r="R1261" s="152" t="s">
        <v>2675</v>
      </c>
      <c r="S1261" s="152" t="s">
        <v>2398</v>
      </c>
      <c r="T1261" s="152" t="s">
        <v>2675</v>
      </c>
      <c r="U1261" s="152" t="s">
        <v>2398</v>
      </c>
      <c r="V1261" s="142" cm="1">
        <f t="array" ref="V1261">IF(A1261&lt;&gt;"",SUM(--(B1261:U1262 = "X")*$U$3,--(B1261:U1262 ="A")*$Q$3,--(B1261:U1262 ="B")*$R$3,--(B1261:U1262 ="C")*$S$3),"")</f>
        <v>7</v>
      </c>
      <c r="AF1261" s="142" t="s">
        <v>7947</v>
      </c>
      <c r="AG1261" s="142" t="s">
        <v>2398</v>
      </c>
      <c r="AH1261" s="142" t="s">
        <v>2705</v>
      </c>
      <c r="AI1261" s="142" t="s">
        <v>2398</v>
      </c>
      <c r="AJ1261" s="142" t="s">
        <v>2705</v>
      </c>
      <c r="AK1261" s="142" t="s">
        <v>2398</v>
      </c>
      <c r="AL1261" s="142" t="s">
        <v>1435</v>
      </c>
      <c r="AM1261" s="142" t="s">
        <v>2705</v>
      </c>
      <c r="AN1261" s="142" t="s">
        <v>2705</v>
      </c>
      <c r="AO1261" s="142" t="s">
        <v>1435</v>
      </c>
      <c r="AP1261" s="142" t="s">
        <v>2397</v>
      </c>
      <c r="AQ1261" s="142" t="s">
        <v>2675</v>
      </c>
      <c r="AR1261" s="142" t="s">
        <v>2398</v>
      </c>
      <c r="AS1261" s="142" t="s">
        <v>2705</v>
      </c>
      <c r="AT1261" s="142" t="s">
        <v>2397</v>
      </c>
      <c r="AU1261" s="142" t="s">
        <v>2705</v>
      </c>
      <c r="AV1261" s="142" t="s">
        <v>1435</v>
      </c>
      <c r="AW1261" s="142" t="s">
        <v>2675</v>
      </c>
      <c r="AX1261" s="142" t="s">
        <v>2398</v>
      </c>
      <c r="AY1261" s="142" t="s">
        <v>2675</v>
      </c>
      <c r="AZ1261" s="142" t="s">
        <v>2398</v>
      </c>
    </row>
    <row r="1262" spans="1:52" s="142" customFormat="1" ht="12.75" x14ac:dyDescent="0.2">
      <c r="A1262" s="151"/>
      <c r="B1262" s="152" t="s">
        <v>2705</v>
      </c>
      <c r="C1262" s="152" t="s">
        <v>2705</v>
      </c>
      <c r="D1262" s="152" t="s">
        <v>2675</v>
      </c>
      <c r="E1262" s="152" t="s">
        <v>2398</v>
      </c>
      <c r="F1262" s="152" t="s">
        <v>2675</v>
      </c>
      <c r="G1262" s="152" t="s">
        <v>2398</v>
      </c>
      <c r="H1262" s="152" t="s">
        <v>2397</v>
      </c>
      <c r="I1262" s="152" t="s">
        <v>2705</v>
      </c>
      <c r="J1262" s="152" t="s">
        <v>1435</v>
      </c>
      <c r="K1262" s="152" t="s">
        <v>2705</v>
      </c>
      <c r="L1262" s="152" t="s">
        <v>2705</v>
      </c>
      <c r="M1262" s="152" t="s">
        <v>1435</v>
      </c>
      <c r="N1262" s="152" t="s">
        <v>2705</v>
      </c>
      <c r="O1262" s="152" t="s">
        <v>2705</v>
      </c>
      <c r="P1262" s="152" t="s">
        <v>2675</v>
      </c>
      <c r="Q1262" s="152" t="s">
        <v>1435</v>
      </c>
      <c r="R1262" s="152" t="s">
        <v>2397</v>
      </c>
      <c r="S1262" s="152" t="s">
        <v>2397</v>
      </c>
      <c r="T1262" s="152" t="s">
        <v>2398</v>
      </c>
      <c r="U1262" s="152" t="s">
        <v>2397</v>
      </c>
      <c r="V1262" s="142" t="str" cm="1">
        <f t="array" ref="V1262">IF(A1262&lt;&gt;"",SUM(--(B1262:U1263 = "X")*$U$3,--(B1262:U1263 ="A")*$Q$3,--(B1262:U1263 ="B")*$R$3,--(B1262:U1263 ="C")*$S$3),"")</f>
        <v/>
      </c>
      <c r="AG1262" s="142" t="s">
        <v>2705</v>
      </c>
      <c r="AH1262" s="142" t="s">
        <v>2705</v>
      </c>
      <c r="AI1262" s="142" t="s">
        <v>2675</v>
      </c>
      <c r="AJ1262" s="142" t="s">
        <v>2398</v>
      </c>
      <c r="AK1262" s="142" t="s">
        <v>2675</v>
      </c>
      <c r="AL1262" s="142" t="s">
        <v>2398</v>
      </c>
      <c r="AM1262" s="142" t="s">
        <v>2397</v>
      </c>
      <c r="AN1262" s="142" t="s">
        <v>2705</v>
      </c>
      <c r="AO1262" s="142" t="s">
        <v>1435</v>
      </c>
      <c r="AP1262" s="142" t="s">
        <v>2705</v>
      </c>
      <c r="AQ1262" s="142" t="s">
        <v>2705</v>
      </c>
      <c r="AR1262" s="142" t="s">
        <v>1435</v>
      </c>
      <c r="AS1262" s="142" t="s">
        <v>2705</v>
      </c>
      <c r="AT1262" s="142" t="s">
        <v>2705</v>
      </c>
      <c r="AU1262" s="142" t="s">
        <v>2675</v>
      </c>
      <c r="AV1262" s="142" t="s">
        <v>1435</v>
      </c>
      <c r="AW1262" s="142" t="s">
        <v>2397</v>
      </c>
      <c r="AX1262" s="142" t="s">
        <v>2397</v>
      </c>
      <c r="AY1262" s="142" t="s">
        <v>2398</v>
      </c>
      <c r="AZ1262" s="142" t="s">
        <v>2397</v>
      </c>
    </row>
    <row r="1263" spans="1:52" s="142" customFormat="1" ht="12.75" x14ac:dyDescent="0.2">
      <c r="A1263" s="151" t="s">
        <v>7948</v>
      </c>
      <c r="B1263" s="152" t="s">
        <v>2398</v>
      </c>
      <c r="C1263" s="152" t="s">
        <v>2398</v>
      </c>
      <c r="D1263" s="152" t="s">
        <v>1435</v>
      </c>
      <c r="E1263" s="152" t="s">
        <v>2398</v>
      </c>
      <c r="F1263" s="152" t="s">
        <v>2675</v>
      </c>
      <c r="G1263" s="152" t="s">
        <v>2705</v>
      </c>
      <c r="H1263" s="152" t="s">
        <v>2705</v>
      </c>
      <c r="I1263" s="152" t="s">
        <v>2398</v>
      </c>
      <c r="J1263" s="152" t="s">
        <v>2675</v>
      </c>
      <c r="K1263" s="152" t="s">
        <v>2705</v>
      </c>
      <c r="L1263" s="152" t="s">
        <v>1435</v>
      </c>
      <c r="M1263" s="152" t="s">
        <v>1435</v>
      </c>
      <c r="N1263" s="152" t="s">
        <v>2705</v>
      </c>
      <c r="O1263" s="152" t="s">
        <v>2675</v>
      </c>
      <c r="P1263" s="152" t="s">
        <v>1435</v>
      </c>
      <c r="Q1263" s="152" t="s">
        <v>2705</v>
      </c>
      <c r="R1263" s="152" t="s">
        <v>2398</v>
      </c>
      <c r="S1263" s="152" t="s">
        <v>2705</v>
      </c>
      <c r="T1263" s="152" t="s">
        <v>2705</v>
      </c>
      <c r="U1263" s="152" t="s">
        <v>2705</v>
      </c>
      <c r="V1263" s="142" cm="1">
        <f t="array" ref="V1263">IF(A1263&lt;&gt;"",SUM(--(B1263:U1264 = "X")*$U$3,--(B1263:U1264 ="A")*$Q$3,--(B1263:U1264 ="B")*$R$3,--(B1263:U1264 ="C")*$S$3),"")</f>
        <v>10</v>
      </c>
      <c r="AF1263" s="142" t="s">
        <v>7948</v>
      </c>
      <c r="AG1263" s="142" t="s">
        <v>2398</v>
      </c>
      <c r="AH1263" s="142" t="s">
        <v>2398</v>
      </c>
      <c r="AI1263" s="142" t="s">
        <v>1435</v>
      </c>
      <c r="AJ1263" s="142" t="s">
        <v>2398</v>
      </c>
      <c r="AK1263" s="142" t="s">
        <v>2675</v>
      </c>
      <c r="AL1263" s="142" t="s">
        <v>2705</v>
      </c>
      <c r="AM1263" s="142" t="s">
        <v>2705</v>
      </c>
      <c r="AN1263" s="142" t="s">
        <v>2398</v>
      </c>
      <c r="AO1263" s="142" t="s">
        <v>2675</v>
      </c>
      <c r="AP1263" s="142" t="s">
        <v>2705</v>
      </c>
      <c r="AQ1263" s="142" t="s">
        <v>1435</v>
      </c>
      <c r="AR1263" s="142" t="s">
        <v>1435</v>
      </c>
      <c r="AS1263" s="142" t="s">
        <v>2705</v>
      </c>
      <c r="AT1263" s="142" t="s">
        <v>2675</v>
      </c>
      <c r="AU1263" s="142" t="s">
        <v>1435</v>
      </c>
      <c r="AV1263" s="142" t="s">
        <v>2705</v>
      </c>
      <c r="AW1263" s="142" t="s">
        <v>2398</v>
      </c>
      <c r="AX1263" s="142" t="s">
        <v>2705</v>
      </c>
      <c r="AY1263" s="142" t="s">
        <v>2705</v>
      </c>
      <c r="AZ1263" s="142" t="s">
        <v>2705</v>
      </c>
    </row>
    <row r="1264" spans="1:52" s="142" customFormat="1" ht="12.75" x14ac:dyDescent="0.2">
      <c r="A1264" s="151"/>
      <c r="B1264" s="152" t="s">
        <v>2398</v>
      </c>
      <c r="C1264" s="152" t="s">
        <v>2398</v>
      </c>
      <c r="D1264" s="152" t="s">
        <v>2705</v>
      </c>
      <c r="E1264" s="152" t="s">
        <v>2398</v>
      </c>
      <c r="F1264" s="152" t="s">
        <v>2398</v>
      </c>
      <c r="G1264" s="152" t="s">
        <v>2705</v>
      </c>
      <c r="H1264" s="152" t="s">
        <v>2397</v>
      </c>
      <c r="I1264" s="152" t="s">
        <v>1435</v>
      </c>
      <c r="J1264" s="152" t="s">
        <v>1435</v>
      </c>
      <c r="K1264" s="152" t="s">
        <v>2705</v>
      </c>
      <c r="L1264" s="152" t="s">
        <v>2398</v>
      </c>
      <c r="M1264" s="152" t="s">
        <v>2705</v>
      </c>
      <c r="N1264" s="152" t="s">
        <v>2705</v>
      </c>
      <c r="O1264" s="152" t="s">
        <v>2398</v>
      </c>
      <c r="P1264" s="152" t="s">
        <v>2398</v>
      </c>
      <c r="Q1264" s="152" t="s">
        <v>2705</v>
      </c>
      <c r="R1264" s="152" t="s">
        <v>2675</v>
      </c>
      <c r="S1264" s="152" t="s">
        <v>2705</v>
      </c>
      <c r="T1264" s="152" t="s">
        <v>2398</v>
      </c>
      <c r="U1264" s="152" t="s">
        <v>2398</v>
      </c>
      <c r="V1264" s="142" t="str" cm="1">
        <f t="array" ref="V1264">IF(A1264&lt;&gt;"",SUM(--(B1264:U1265 = "X")*$U$3,--(B1264:U1265 ="A")*$Q$3,--(B1264:U1265 ="B")*$R$3,--(B1264:U1265 ="C")*$S$3),"")</f>
        <v/>
      </c>
      <c r="AG1264" s="142" t="s">
        <v>2398</v>
      </c>
      <c r="AH1264" s="142" t="s">
        <v>2398</v>
      </c>
      <c r="AI1264" s="142" t="s">
        <v>2705</v>
      </c>
      <c r="AJ1264" s="142" t="s">
        <v>2398</v>
      </c>
      <c r="AK1264" s="142" t="s">
        <v>2398</v>
      </c>
      <c r="AL1264" s="142" t="s">
        <v>2705</v>
      </c>
      <c r="AM1264" s="142" t="s">
        <v>2397</v>
      </c>
      <c r="AN1264" s="142" t="s">
        <v>1435</v>
      </c>
      <c r="AO1264" s="142" t="s">
        <v>1435</v>
      </c>
      <c r="AP1264" s="142" t="s">
        <v>2705</v>
      </c>
      <c r="AQ1264" s="142" t="s">
        <v>2398</v>
      </c>
      <c r="AR1264" s="142" t="s">
        <v>2705</v>
      </c>
      <c r="AS1264" s="142" t="s">
        <v>2705</v>
      </c>
      <c r="AT1264" s="142" t="s">
        <v>2398</v>
      </c>
      <c r="AU1264" s="142" t="s">
        <v>2398</v>
      </c>
      <c r="AV1264" s="142" t="s">
        <v>2705</v>
      </c>
      <c r="AW1264" s="142" t="s">
        <v>2675</v>
      </c>
      <c r="AX1264" s="142" t="s">
        <v>2705</v>
      </c>
      <c r="AY1264" s="142" t="s">
        <v>2398</v>
      </c>
      <c r="AZ1264" s="142" t="s">
        <v>2398</v>
      </c>
    </row>
    <row r="1265" spans="1:52" s="142" customFormat="1" ht="12.75" x14ac:dyDescent="0.2">
      <c r="A1265" s="151" t="s">
        <v>7949</v>
      </c>
      <c r="B1265" s="152" t="s">
        <v>1435</v>
      </c>
      <c r="C1265" s="152" t="s">
        <v>2705</v>
      </c>
      <c r="D1265" s="152" t="s">
        <v>2675</v>
      </c>
      <c r="E1265" s="152" t="s">
        <v>2705</v>
      </c>
      <c r="F1265" s="152" t="s">
        <v>2398</v>
      </c>
      <c r="G1265" s="152" t="s">
        <v>2705</v>
      </c>
      <c r="H1265" s="152" t="s">
        <v>2398</v>
      </c>
      <c r="I1265" s="152" t="s">
        <v>2705</v>
      </c>
      <c r="J1265" s="152" t="s">
        <v>2675</v>
      </c>
      <c r="K1265" s="152" t="s">
        <v>2705</v>
      </c>
      <c r="L1265" s="152" t="s">
        <v>2705</v>
      </c>
      <c r="M1265" s="152" t="s">
        <v>2398</v>
      </c>
      <c r="N1265" s="152" t="s">
        <v>2705</v>
      </c>
      <c r="O1265" s="152" t="s">
        <v>1435</v>
      </c>
      <c r="P1265" s="152" t="s">
        <v>2705</v>
      </c>
      <c r="Q1265" s="152" t="s">
        <v>1435</v>
      </c>
      <c r="R1265" s="152" t="s">
        <v>2398</v>
      </c>
      <c r="S1265" s="152" t="s">
        <v>2705</v>
      </c>
      <c r="T1265" s="152" t="s">
        <v>2705</v>
      </c>
      <c r="U1265" s="152" t="s">
        <v>2398</v>
      </c>
      <c r="V1265" s="142" cm="1">
        <f t="array" ref="V1265">IF(A1265&lt;&gt;"",SUM(--(B1265:U1266 = "X")*$U$3,--(B1265:U1266 ="A")*$Q$3,--(B1265:U1266 ="B")*$R$3,--(B1265:U1266 ="C")*$S$3),"")</f>
        <v>15.5</v>
      </c>
      <c r="AF1265" s="142" t="s">
        <v>7949</v>
      </c>
      <c r="AG1265" s="142" t="s">
        <v>1435</v>
      </c>
      <c r="AH1265" s="142" t="s">
        <v>2705</v>
      </c>
      <c r="AI1265" s="142" t="s">
        <v>2675</v>
      </c>
      <c r="AJ1265" s="142" t="s">
        <v>2705</v>
      </c>
      <c r="AK1265" s="142" t="s">
        <v>2398</v>
      </c>
      <c r="AL1265" s="142" t="s">
        <v>2705</v>
      </c>
      <c r="AM1265" s="142" t="s">
        <v>2398</v>
      </c>
      <c r="AN1265" s="142" t="s">
        <v>2705</v>
      </c>
      <c r="AO1265" s="142" t="s">
        <v>2675</v>
      </c>
      <c r="AP1265" s="142" t="s">
        <v>2705</v>
      </c>
      <c r="AQ1265" s="142" t="s">
        <v>2705</v>
      </c>
      <c r="AR1265" s="142" t="s">
        <v>2398</v>
      </c>
      <c r="AS1265" s="142" t="s">
        <v>2705</v>
      </c>
      <c r="AT1265" s="142" t="s">
        <v>1435</v>
      </c>
      <c r="AU1265" s="142" t="s">
        <v>2705</v>
      </c>
      <c r="AV1265" s="142" t="s">
        <v>1435</v>
      </c>
      <c r="AW1265" s="142" t="s">
        <v>2398</v>
      </c>
      <c r="AX1265" s="142" t="s">
        <v>2705</v>
      </c>
      <c r="AY1265" s="142" t="s">
        <v>2705</v>
      </c>
      <c r="AZ1265" s="142" t="s">
        <v>2398</v>
      </c>
    </row>
    <row r="1266" spans="1:52" s="142" customFormat="1" ht="12.75" x14ac:dyDescent="0.2">
      <c r="A1266" s="151"/>
      <c r="B1266" s="152" t="s">
        <v>2398</v>
      </c>
      <c r="C1266" s="152" t="s">
        <v>1435</v>
      </c>
      <c r="D1266" s="152" t="s">
        <v>2705</v>
      </c>
      <c r="E1266" s="152" t="s">
        <v>2398</v>
      </c>
      <c r="F1266" s="152" t="s">
        <v>2705</v>
      </c>
      <c r="G1266" s="152" t="s">
        <v>1435</v>
      </c>
      <c r="H1266" s="152" t="s">
        <v>2397</v>
      </c>
      <c r="I1266" s="152" t="s">
        <v>2705</v>
      </c>
      <c r="J1266" s="152" t="s">
        <v>1435</v>
      </c>
      <c r="K1266" s="152" t="s">
        <v>2705</v>
      </c>
      <c r="L1266" s="152" t="s">
        <v>2705</v>
      </c>
      <c r="M1266" s="152" t="s">
        <v>2705</v>
      </c>
      <c r="N1266" s="152" t="s">
        <v>2675</v>
      </c>
      <c r="O1266" s="152" t="s">
        <v>2397</v>
      </c>
      <c r="P1266" s="152" t="s">
        <v>2705</v>
      </c>
      <c r="Q1266" s="152" t="s">
        <v>2705</v>
      </c>
      <c r="R1266" s="152" t="s">
        <v>2398</v>
      </c>
      <c r="S1266" s="152" t="s">
        <v>2705</v>
      </c>
      <c r="T1266" s="152" t="s">
        <v>2705</v>
      </c>
      <c r="U1266" s="152" t="s">
        <v>2397</v>
      </c>
      <c r="V1266" s="142" t="str" cm="1">
        <f t="array" ref="V1266">IF(A1266&lt;&gt;"",SUM(--(B1266:U1267 = "X")*$U$3,--(B1266:U1267 ="A")*$Q$3,--(B1266:U1267 ="B")*$R$3,--(B1266:U1267 ="C")*$S$3),"")</f>
        <v/>
      </c>
      <c r="AG1266" s="142" t="s">
        <v>2398</v>
      </c>
      <c r="AH1266" s="142" t="s">
        <v>1435</v>
      </c>
      <c r="AI1266" s="142" t="s">
        <v>2705</v>
      </c>
      <c r="AJ1266" s="142" t="s">
        <v>2398</v>
      </c>
      <c r="AK1266" s="142" t="s">
        <v>2705</v>
      </c>
      <c r="AL1266" s="142" t="s">
        <v>1435</v>
      </c>
      <c r="AM1266" s="142" t="s">
        <v>2397</v>
      </c>
      <c r="AN1266" s="142" t="s">
        <v>2705</v>
      </c>
      <c r="AO1266" s="142" t="s">
        <v>1435</v>
      </c>
      <c r="AP1266" s="142" t="s">
        <v>2705</v>
      </c>
      <c r="AQ1266" s="142" t="s">
        <v>2705</v>
      </c>
      <c r="AR1266" s="142" t="s">
        <v>2705</v>
      </c>
      <c r="AS1266" s="142" t="s">
        <v>2675</v>
      </c>
      <c r="AT1266" s="142" t="s">
        <v>2397</v>
      </c>
      <c r="AU1266" s="142" t="s">
        <v>2705</v>
      </c>
      <c r="AV1266" s="142" t="s">
        <v>2705</v>
      </c>
      <c r="AW1266" s="142" t="s">
        <v>2398</v>
      </c>
      <c r="AX1266" s="142" t="s">
        <v>2705</v>
      </c>
      <c r="AY1266" s="142" t="s">
        <v>2705</v>
      </c>
      <c r="AZ1266" s="142" t="s">
        <v>2397</v>
      </c>
    </row>
    <row r="1267" spans="1:52" s="142" customFormat="1" ht="12.75" x14ac:dyDescent="0.2">
      <c r="A1267" s="151" t="s">
        <v>7950</v>
      </c>
      <c r="B1267" s="152" t="s">
        <v>2675</v>
      </c>
      <c r="C1267" s="152" t="s">
        <v>2705</v>
      </c>
      <c r="D1267" s="152" t="s">
        <v>2705</v>
      </c>
      <c r="E1267" s="152" t="s">
        <v>2705</v>
      </c>
      <c r="F1267" s="152" t="s">
        <v>2398</v>
      </c>
      <c r="G1267" s="152" t="s">
        <v>2705</v>
      </c>
      <c r="H1267" s="152" t="s">
        <v>2705</v>
      </c>
      <c r="I1267" s="152" t="s">
        <v>2675</v>
      </c>
      <c r="J1267" s="152" t="s">
        <v>2705</v>
      </c>
      <c r="K1267" s="152" t="s">
        <v>1435</v>
      </c>
      <c r="L1267" s="152" t="s">
        <v>2705</v>
      </c>
      <c r="M1267" s="152" t="s">
        <v>2398</v>
      </c>
      <c r="N1267" s="152" t="s">
        <v>2675</v>
      </c>
      <c r="O1267" s="152" t="s">
        <v>2398</v>
      </c>
      <c r="P1267" s="152" t="s">
        <v>2705</v>
      </c>
      <c r="Q1267" s="152" t="s">
        <v>2705</v>
      </c>
      <c r="R1267" s="152" t="s">
        <v>2705</v>
      </c>
      <c r="S1267" s="152" t="s">
        <v>2705</v>
      </c>
      <c r="T1267" s="152" t="s">
        <v>2705</v>
      </c>
      <c r="U1267" s="152" t="s">
        <v>2398</v>
      </c>
      <c r="V1267" s="142" cm="1">
        <f t="array" ref="V1267">IF(A1267&lt;&gt;"",SUM(--(B1267:U1268 = "X")*$U$3,--(B1267:U1268 ="A")*$Q$3,--(B1267:U1268 ="B")*$R$3,--(B1267:U1268 ="C")*$S$3),"")</f>
        <v>18</v>
      </c>
      <c r="AF1267" s="142" t="s">
        <v>7950</v>
      </c>
      <c r="AG1267" s="142" t="s">
        <v>2675</v>
      </c>
      <c r="AH1267" s="142" t="s">
        <v>2705</v>
      </c>
      <c r="AI1267" s="142" t="s">
        <v>2705</v>
      </c>
      <c r="AJ1267" s="142" t="s">
        <v>2705</v>
      </c>
      <c r="AK1267" s="142" t="s">
        <v>2398</v>
      </c>
      <c r="AL1267" s="142" t="s">
        <v>2705</v>
      </c>
      <c r="AM1267" s="142" t="s">
        <v>2705</v>
      </c>
      <c r="AN1267" s="142" t="s">
        <v>2675</v>
      </c>
      <c r="AO1267" s="142" t="s">
        <v>2705</v>
      </c>
      <c r="AP1267" s="142" t="s">
        <v>1435</v>
      </c>
      <c r="AQ1267" s="142" t="s">
        <v>2705</v>
      </c>
      <c r="AR1267" s="142" t="s">
        <v>2398</v>
      </c>
      <c r="AS1267" s="142" t="s">
        <v>2675</v>
      </c>
      <c r="AT1267" s="142" t="s">
        <v>2398</v>
      </c>
      <c r="AU1267" s="142" t="s">
        <v>2705</v>
      </c>
      <c r="AV1267" s="142" t="s">
        <v>2705</v>
      </c>
      <c r="AW1267" s="142" t="s">
        <v>2705</v>
      </c>
      <c r="AX1267" s="142" t="s">
        <v>2705</v>
      </c>
      <c r="AY1267" s="142" t="s">
        <v>2705</v>
      </c>
      <c r="AZ1267" s="142" t="s">
        <v>2398</v>
      </c>
    </row>
    <row r="1268" spans="1:52" s="142" customFormat="1" ht="12.75" x14ac:dyDescent="0.2">
      <c r="A1268" s="151"/>
      <c r="B1268" s="152" t="s">
        <v>2705</v>
      </c>
      <c r="C1268" s="152" t="s">
        <v>2705</v>
      </c>
      <c r="D1268" s="152" t="s">
        <v>2705</v>
      </c>
      <c r="E1268" s="152" t="s">
        <v>2705</v>
      </c>
      <c r="F1268" s="152" t="s">
        <v>2398</v>
      </c>
      <c r="G1268" s="152" t="s">
        <v>2398</v>
      </c>
      <c r="H1268" s="152" t="s">
        <v>2705</v>
      </c>
      <c r="I1268" s="152" t="s">
        <v>2705</v>
      </c>
      <c r="J1268" s="152" t="s">
        <v>2675</v>
      </c>
      <c r="K1268" s="152" t="s">
        <v>2398</v>
      </c>
      <c r="L1268" s="152" t="s">
        <v>2398</v>
      </c>
      <c r="M1268" s="152" t="s">
        <v>2398</v>
      </c>
      <c r="N1268" s="152" t="s">
        <v>2398</v>
      </c>
      <c r="O1268" s="152" t="s">
        <v>2705</v>
      </c>
      <c r="P1268" s="152" t="s">
        <v>2398</v>
      </c>
      <c r="Q1268" s="152" t="s">
        <v>1435</v>
      </c>
      <c r="R1268" s="152" t="s">
        <v>2398</v>
      </c>
      <c r="S1268" s="152" t="s">
        <v>2705</v>
      </c>
      <c r="T1268" s="152" t="s">
        <v>2398</v>
      </c>
      <c r="U1268" s="152" t="s">
        <v>2705</v>
      </c>
      <c r="V1268" s="142" t="str" cm="1">
        <f t="array" ref="V1268">IF(A1268&lt;&gt;"",SUM(--(B1268:U1269 = "X")*$U$3,--(B1268:U1269 ="A")*$Q$3,--(B1268:U1269 ="B")*$R$3,--(B1268:U1269 ="C")*$S$3),"")</f>
        <v/>
      </c>
      <c r="AG1268" s="142" t="s">
        <v>2705</v>
      </c>
      <c r="AH1268" s="142" t="s">
        <v>2705</v>
      </c>
      <c r="AI1268" s="142" t="s">
        <v>2705</v>
      </c>
      <c r="AJ1268" s="142" t="s">
        <v>2705</v>
      </c>
      <c r="AK1268" s="142" t="s">
        <v>2398</v>
      </c>
      <c r="AL1268" s="142" t="s">
        <v>2398</v>
      </c>
      <c r="AM1268" s="142" t="s">
        <v>2705</v>
      </c>
      <c r="AN1268" s="142" t="s">
        <v>2705</v>
      </c>
      <c r="AO1268" s="142" t="s">
        <v>2675</v>
      </c>
      <c r="AP1268" s="142" t="s">
        <v>2398</v>
      </c>
      <c r="AQ1268" s="142" t="s">
        <v>2398</v>
      </c>
      <c r="AR1268" s="142" t="s">
        <v>2398</v>
      </c>
      <c r="AS1268" s="142" t="s">
        <v>2398</v>
      </c>
      <c r="AT1268" s="142" t="s">
        <v>2705</v>
      </c>
      <c r="AU1268" s="142" t="s">
        <v>2398</v>
      </c>
      <c r="AV1268" s="142" t="s">
        <v>1435</v>
      </c>
      <c r="AW1268" s="142" t="s">
        <v>2398</v>
      </c>
      <c r="AX1268" s="142" t="s">
        <v>2705</v>
      </c>
      <c r="AY1268" s="142" t="s">
        <v>2398</v>
      </c>
      <c r="AZ1268" s="142" t="s">
        <v>2705</v>
      </c>
    </row>
    <row r="1269" spans="1:52" s="142" customFormat="1" ht="12.75" x14ac:dyDescent="0.2">
      <c r="A1269" s="151" t="s">
        <v>7951</v>
      </c>
      <c r="B1269" s="152" t="s">
        <v>2705</v>
      </c>
      <c r="C1269" s="152" t="s">
        <v>2705</v>
      </c>
      <c r="D1269" s="152" t="s">
        <v>2398</v>
      </c>
      <c r="E1269" s="152" t="s">
        <v>2705</v>
      </c>
      <c r="F1269" s="152" t="s">
        <v>2705</v>
      </c>
      <c r="G1269" s="152" t="s">
        <v>2705</v>
      </c>
      <c r="H1269" s="152" t="s">
        <v>2705</v>
      </c>
      <c r="I1269" s="152" t="s">
        <v>2398</v>
      </c>
      <c r="J1269" s="152" t="s">
        <v>2705</v>
      </c>
      <c r="K1269" s="152" t="s">
        <v>2705</v>
      </c>
      <c r="L1269" s="152" t="s">
        <v>2398</v>
      </c>
      <c r="M1269" s="152" t="s">
        <v>2705</v>
      </c>
      <c r="N1269" s="152" t="s">
        <v>2705</v>
      </c>
      <c r="O1269" s="152" t="s">
        <v>2398</v>
      </c>
      <c r="P1269" s="152" t="s">
        <v>2675</v>
      </c>
      <c r="Q1269" s="152" t="s">
        <v>2675</v>
      </c>
      <c r="R1269" s="152" t="s">
        <v>2398</v>
      </c>
      <c r="S1269" s="152" t="s">
        <v>2397</v>
      </c>
      <c r="T1269" s="152" t="s">
        <v>2398</v>
      </c>
      <c r="U1269" s="152" t="s">
        <v>2398</v>
      </c>
      <c r="V1269" s="142" cm="1">
        <f t="array" ref="V1269">IF(A1269&lt;&gt;"",SUM(--(B1269:U1270 = "X")*$U$3,--(B1269:U1270 ="A")*$Q$3,--(B1269:U1270 ="B")*$R$3,--(B1269:U1270 ="C")*$S$3),"")</f>
        <v>19</v>
      </c>
      <c r="AF1269" s="142" t="s">
        <v>7951</v>
      </c>
      <c r="AG1269" s="142" t="s">
        <v>2705</v>
      </c>
      <c r="AH1269" s="142" t="s">
        <v>2705</v>
      </c>
      <c r="AI1269" s="142" t="s">
        <v>2398</v>
      </c>
      <c r="AJ1269" s="142" t="s">
        <v>2705</v>
      </c>
      <c r="AK1269" s="142" t="s">
        <v>2705</v>
      </c>
      <c r="AL1269" s="142" t="s">
        <v>2705</v>
      </c>
      <c r="AM1269" s="142" t="s">
        <v>2705</v>
      </c>
      <c r="AN1269" s="142" t="s">
        <v>2398</v>
      </c>
      <c r="AO1269" s="142" t="s">
        <v>2705</v>
      </c>
      <c r="AP1269" s="142" t="s">
        <v>2705</v>
      </c>
      <c r="AQ1269" s="142" t="s">
        <v>2398</v>
      </c>
      <c r="AR1269" s="142" t="s">
        <v>2705</v>
      </c>
      <c r="AS1269" s="142" t="s">
        <v>2705</v>
      </c>
      <c r="AT1269" s="142" t="s">
        <v>2398</v>
      </c>
      <c r="AU1269" s="142" t="s">
        <v>2675</v>
      </c>
      <c r="AV1269" s="142" t="s">
        <v>2675</v>
      </c>
      <c r="AW1269" s="142" t="s">
        <v>2398</v>
      </c>
      <c r="AX1269" s="142" t="s">
        <v>2397</v>
      </c>
      <c r="AY1269" s="142" t="s">
        <v>2398</v>
      </c>
      <c r="AZ1269" s="142" t="s">
        <v>2398</v>
      </c>
    </row>
    <row r="1270" spans="1:52" s="142" customFormat="1" ht="12.75" x14ac:dyDescent="0.2">
      <c r="A1270" s="151"/>
      <c r="B1270" s="152" t="s">
        <v>2705</v>
      </c>
      <c r="C1270" s="152" t="s">
        <v>2675</v>
      </c>
      <c r="D1270" s="152" t="s">
        <v>2705</v>
      </c>
      <c r="E1270" s="152" t="s">
        <v>2398</v>
      </c>
      <c r="F1270" s="152" t="s">
        <v>2705</v>
      </c>
      <c r="G1270" s="152" t="s">
        <v>1435</v>
      </c>
      <c r="H1270" s="152" t="s">
        <v>2705</v>
      </c>
      <c r="I1270" s="152" t="s">
        <v>2705</v>
      </c>
      <c r="J1270" s="152" t="s">
        <v>2705</v>
      </c>
      <c r="K1270" s="152" t="s">
        <v>2705</v>
      </c>
      <c r="L1270" s="152" t="s">
        <v>2398</v>
      </c>
      <c r="M1270" s="152" t="s">
        <v>2398</v>
      </c>
      <c r="N1270" s="152" t="s">
        <v>2705</v>
      </c>
      <c r="O1270" s="152" t="s">
        <v>2705</v>
      </c>
      <c r="P1270" s="152" t="s">
        <v>1435</v>
      </c>
      <c r="Q1270" s="152" t="s">
        <v>2705</v>
      </c>
      <c r="R1270" s="152" t="s">
        <v>1435</v>
      </c>
      <c r="S1270" s="152" t="s">
        <v>2398</v>
      </c>
      <c r="T1270" s="152" t="s">
        <v>2705</v>
      </c>
      <c r="U1270" s="152" t="s">
        <v>2705</v>
      </c>
      <c r="V1270" s="142" t="str" cm="1">
        <f t="array" ref="V1270">IF(A1270&lt;&gt;"",SUM(--(B1270:U1271 = "X")*$U$3,--(B1270:U1271 ="A")*$Q$3,--(B1270:U1271 ="B")*$R$3,--(B1270:U1271 ="C")*$S$3),"")</f>
        <v/>
      </c>
      <c r="AG1270" s="142" t="s">
        <v>2705</v>
      </c>
      <c r="AH1270" s="142" t="s">
        <v>2675</v>
      </c>
      <c r="AI1270" s="142" t="s">
        <v>2705</v>
      </c>
      <c r="AJ1270" s="142" t="s">
        <v>2398</v>
      </c>
      <c r="AK1270" s="142" t="s">
        <v>2705</v>
      </c>
      <c r="AL1270" s="142" t="s">
        <v>1435</v>
      </c>
      <c r="AM1270" s="142" t="s">
        <v>2705</v>
      </c>
      <c r="AN1270" s="142" t="s">
        <v>2705</v>
      </c>
      <c r="AO1270" s="142" t="s">
        <v>2705</v>
      </c>
      <c r="AP1270" s="142" t="s">
        <v>2705</v>
      </c>
      <c r="AQ1270" s="142" t="s">
        <v>2398</v>
      </c>
      <c r="AR1270" s="142" t="s">
        <v>2398</v>
      </c>
      <c r="AS1270" s="142" t="s">
        <v>2705</v>
      </c>
      <c r="AT1270" s="142" t="s">
        <v>2705</v>
      </c>
      <c r="AU1270" s="142" t="s">
        <v>1435</v>
      </c>
      <c r="AV1270" s="142" t="s">
        <v>2705</v>
      </c>
      <c r="AW1270" s="142" t="s">
        <v>1435</v>
      </c>
      <c r="AX1270" s="142" t="s">
        <v>2398</v>
      </c>
      <c r="AY1270" s="142" t="s">
        <v>2705</v>
      </c>
      <c r="AZ1270" s="142" t="s">
        <v>2705</v>
      </c>
    </row>
    <row r="1271" spans="1:52" s="142" customFormat="1" ht="12.75" x14ac:dyDescent="0.2">
      <c r="A1271" s="151" t="s">
        <v>7952</v>
      </c>
      <c r="B1271" s="152" t="s">
        <v>2398</v>
      </c>
      <c r="C1271" s="152" t="s">
        <v>2398</v>
      </c>
      <c r="D1271" s="152" t="s">
        <v>2398</v>
      </c>
      <c r="E1271" s="152" t="s">
        <v>2705</v>
      </c>
      <c r="F1271" s="152" t="s">
        <v>2398</v>
      </c>
      <c r="G1271" s="152" t="s">
        <v>2705</v>
      </c>
      <c r="H1271" s="152" t="s">
        <v>2705</v>
      </c>
      <c r="I1271" s="152" t="s">
        <v>2705</v>
      </c>
      <c r="J1271" s="152" t="s">
        <v>2705</v>
      </c>
      <c r="K1271" s="152" t="s">
        <v>2398</v>
      </c>
      <c r="L1271" s="152" t="s">
        <v>2705</v>
      </c>
      <c r="M1271" s="152" t="s">
        <v>2398</v>
      </c>
      <c r="N1271" s="152" t="s">
        <v>2705</v>
      </c>
      <c r="O1271" s="152" t="s">
        <v>2398</v>
      </c>
      <c r="P1271" s="152" t="s">
        <v>2397</v>
      </c>
      <c r="Q1271" s="152" t="s">
        <v>2705</v>
      </c>
      <c r="R1271" s="152" t="s">
        <v>2705</v>
      </c>
      <c r="S1271" s="152" t="s">
        <v>2705</v>
      </c>
      <c r="T1271" s="152" t="s">
        <v>2398</v>
      </c>
      <c r="U1271" s="152" t="s">
        <v>2705</v>
      </c>
      <c r="V1271" s="142" cm="1">
        <f t="array" ref="V1271">IF(A1271&lt;&gt;"",SUM(--(B1271:U1272 = "X")*$U$3,--(B1271:U1272 ="A")*$Q$3,--(B1271:U1272 ="B")*$R$3,--(B1271:U1272 ="C")*$S$3),"")</f>
        <v>24</v>
      </c>
      <c r="AF1271" s="142" t="s">
        <v>7952</v>
      </c>
      <c r="AG1271" s="142" t="s">
        <v>2398</v>
      </c>
      <c r="AH1271" s="142" t="s">
        <v>2398</v>
      </c>
      <c r="AI1271" s="142" t="s">
        <v>2398</v>
      </c>
      <c r="AJ1271" s="142" t="s">
        <v>2705</v>
      </c>
      <c r="AK1271" s="142" t="s">
        <v>2398</v>
      </c>
      <c r="AL1271" s="142" t="s">
        <v>2705</v>
      </c>
      <c r="AM1271" s="142" t="s">
        <v>2705</v>
      </c>
      <c r="AN1271" s="142" t="s">
        <v>2705</v>
      </c>
      <c r="AO1271" s="142" t="s">
        <v>2705</v>
      </c>
      <c r="AP1271" s="142" t="s">
        <v>2398</v>
      </c>
      <c r="AQ1271" s="142" t="s">
        <v>2705</v>
      </c>
      <c r="AR1271" s="142" t="s">
        <v>2398</v>
      </c>
      <c r="AS1271" s="142" t="s">
        <v>2705</v>
      </c>
      <c r="AT1271" s="142" t="s">
        <v>2398</v>
      </c>
      <c r="AU1271" s="142" t="s">
        <v>2397</v>
      </c>
      <c r="AV1271" s="142" t="s">
        <v>2705</v>
      </c>
      <c r="AW1271" s="142" t="s">
        <v>2705</v>
      </c>
      <c r="AX1271" s="142" t="s">
        <v>2705</v>
      </c>
      <c r="AY1271" s="142" t="s">
        <v>2398</v>
      </c>
      <c r="AZ1271" s="142" t="s">
        <v>2705</v>
      </c>
    </row>
    <row r="1272" spans="1:52" s="142" customFormat="1" ht="12.75" x14ac:dyDescent="0.2">
      <c r="A1272" s="151"/>
      <c r="B1272" s="152" t="s">
        <v>2398</v>
      </c>
      <c r="C1272" s="152" t="s">
        <v>2705</v>
      </c>
      <c r="D1272" s="152" t="s">
        <v>2398</v>
      </c>
      <c r="E1272" s="152" t="s">
        <v>2398</v>
      </c>
      <c r="F1272" s="152" t="s">
        <v>2398</v>
      </c>
      <c r="G1272" s="152" t="s">
        <v>2705</v>
      </c>
      <c r="H1272" s="152" t="s">
        <v>2705</v>
      </c>
      <c r="I1272" s="152" t="s">
        <v>2705</v>
      </c>
      <c r="J1272" s="152" t="s">
        <v>2705</v>
      </c>
      <c r="K1272" s="152" t="s">
        <v>2705</v>
      </c>
      <c r="L1272" s="152" t="s">
        <v>2398</v>
      </c>
      <c r="M1272" s="152" t="s">
        <v>2705</v>
      </c>
      <c r="N1272" s="152" t="s">
        <v>2705</v>
      </c>
      <c r="O1272" s="152" t="s">
        <v>2397</v>
      </c>
      <c r="P1272" s="152" t="s">
        <v>2398</v>
      </c>
      <c r="Q1272" s="152" t="s">
        <v>2705</v>
      </c>
      <c r="R1272" s="152" t="s">
        <v>2705</v>
      </c>
      <c r="S1272" s="152" t="s">
        <v>2705</v>
      </c>
      <c r="T1272" s="152" t="s">
        <v>2705</v>
      </c>
      <c r="U1272" s="152" t="s">
        <v>2705</v>
      </c>
      <c r="V1272" s="142" t="str" cm="1">
        <f t="array" ref="V1272">IF(A1272&lt;&gt;"",SUM(--(B1272:U1273 = "X")*$U$3,--(B1272:U1273 ="A")*$Q$3,--(B1272:U1273 ="B")*$R$3,--(B1272:U1273 ="C")*$S$3),"")</f>
        <v/>
      </c>
      <c r="AG1272" s="142" t="s">
        <v>2398</v>
      </c>
      <c r="AH1272" s="142" t="s">
        <v>2705</v>
      </c>
      <c r="AI1272" s="142" t="s">
        <v>2398</v>
      </c>
      <c r="AJ1272" s="142" t="s">
        <v>2398</v>
      </c>
      <c r="AK1272" s="142" t="s">
        <v>2398</v>
      </c>
      <c r="AL1272" s="142" t="s">
        <v>2705</v>
      </c>
      <c r="AM1272" s="142" t="s">
        <v>2705</v>
      </c>
      <c r="AN1272" s="142" t="s">
        <v>2705</v>
      </c>
      <c r="AO1272" s="142" t="s">
        <v>2705</v>
      </c>
      <c r="AP1272" s="142" t="s">
        <v>2705</v>
      </c>
      <c r="AQ1272" s="142" t="s">
        <v>2398</v>
      </c>
      <c r="AR1272" s="142" t="s">
        <v>2705</v>
      </c>
      <c r="AS1272" s="142" t="s">
        <v>2705</v>
      </c>
      <c r="AT1272" s="142" t="s">
        <v>2397</v>
      </c>
      <c r="AU1272" s="142" t="s">
        <v>2398</v>
      </c>
      <c r="AV1272" s="142" t="s">
        <v>2705</v>
      </c>
      <c r="AW1272" s="142" t="s">
        <v>2705</v>
      </c>
      <c r="AX1272" s="142" t="s">
        <v>2705</v>
      </c>
      <c r="AY1272" s="142" t="s">
        <v>2705</v>
      </c>
      <c r="AZ1272" s="142" t="s">
        <v>2705</v>
      </c>
    </row>
    <row r="1273" spans="1:52" s="142" customFormat="1" ht="12.75" x14ac:dyDescent="0.2">
      <c r="A1273" s="151" t="s">
        <v>7953</v>
      </c>
      <c r="B1273" s="152" t="s">
        <v>2398</v>
      </c>
      <c r="C1273" s="152" t="s">
        <v>2705</v>
      </c>
      <c r="D1273" s="152" t="s">
        <v>2398</v>
      </c>
      <c r="E1273" s="152" t="s">
        <v>2705</v>
      </c>
      <c r="F1273" s="152" t="s">
        <v>2705</v>
      </c>
      <c r="G1273" s="152" t="s">
        <v>2705</v>
      </c>
      <c r="H1273" s="152" t="s">
        <v>2705</v>
      </c>
      <c r="I1273" s="152" t="s">
        <v>2398</v>
      </c>
      <c r="J1273" s="152" t="s">
        <v>2705</v>
      </c>
      <c r="K1273" s="152" t="s">
        <v>2705</v>
      </c>
      <c r="L1273" s="152" t="s">
        <v>2705</v>
      </c>
      <c r="M1273" s="152" t="s">
        <v>2398</v>
      </c>
      <c r="N1273" s="152" t="s">
        <v>2705</v>
      </c>
      <c r="O1273" s="152" t="s">
        <v>2398</v>
      </c>
      <c r="P1273" s="152" t="s">
        <v>2705</v>
      </c>
      <c r="Q1273" s="152" t="s">
        <v>2705</v>
      </c>
      <c r="R1273" s="152" t="s">
        <v>2675</v>
      </c>
      <c r="S1273" s="152" t="s">
        <v>2705</v>
      </c>
      <c r="T1273" s="152" t="s">
        <v>2705</v>
      </c>
      <c r="U1273" s="152" t="s">
        <v>2705</v>
      </c>
      <c r="V1273" s="142" cm="1">
        <f t="array" ref="V1273">IF(A1273&lt;&gt;"",SUM(--(B1273:U1274 = "X")*$U$3,--(B1273:U1274 ="A")*$Q$3,--(B1273:U1274 ="B")*$R$3,--(B1273:U1274 ="C")*$S$3),"")</f>
        <v>23.5</v>
      </c>
      <c r="AF1273" s="142" t="s">
        <v>7953</v>
      </c>
      <c r="AG1273" s="142" t="s">
        <v>2398</v>
      </c>
      <c r="AH1273" s="142" t="s">
        <v>2705</v>
      </c>
      <c r="AI1273" s="142" t="s">
        <v>2398</v>
      </c>
      <c r="AJ1273" s="142" t="s">
        <v>2705</v>
      </c>
      <c r="AK1273" s="142" t="s">
        <v>2705</v>
      </c>
      <c r="AL1273" s="142" t="s">
        <v>2705</v>
      </c>
      <c r="AM1273" s="142" t="s">
        <v>2705</v>
      </c>
      <c r="AN1273" s="142" t="s">
        <v>2398</v>
      </c>
      <c r="AO1273" s="142" t="s">
        <v>2705</v>
      </c>
      <c r="AP1273" s="142" t="s">
        <v>2705</v>
      </c>
      <c r="AQ1273" s="142" t="s">
        <v>2705</v>
      </c>
      <c r="AR1273" s="142" t="s">
        <v>2398</v>
      </c>
      <c r="AS1273" s="142" t="s">
        <v>2705</v>
      </c>
      <c r="AT1273" s="142" t="s">
        <v>2398</v>
      </c>
      <c r="AU1273" s="142" t="s">
        <v>2705</v>
      </c>
      <c r="AV1273" s="142" t="s">
        <v>2705</v>
      </c>
      <c r="AW1273" s="142" t="s">
        <v>2675</v>
      </c>
      <c r="AX1273" s="142" t="s">
        <v>2705</v>
      </c>
      <c r="AY1273" s="142" t="s">
        <v>2705</v>
      </c>
      <c r="AZ1273" s="142" t="s">
        <v>2705</v>
      </c>
    </row>
    <row r="1274" spans="1:52" s="142" customFormat="1" ht="12.75" x14ac:dyDescent="0.2">
      <c r="A1274" s="151"/>
      <c r="B1274" s="152" t="s">
        <v>2705</v>
      </c>
      <c r="C1274" s="152" t="s">
        <v>2705</v>
      </c>
      <c r="D1274" s="152" t="s">
        <v>2398</v>
      </c>
      <c r="E1274" s="152" t="s">
        <v>2398</v>
      </c>
      <c r="F1274" s="152" t="s">
        <v>2705</v>
      </c>
      <c r="G1274" s="152" t="s">
        <v>2705</v>
      </c>
      <c r="H1274" s="152" t="s">
        <v>2397</v>
      </c>
      <c r="I1274" s="152" t="s">
        <v>2398</v>
      </c>
      <c r="J1274" s="152" t="s">
        <v>2398</v>
      </c>
      <c r="K1274" s="152" t="s">
        <v>2398</v>
      </c>
      <c r="L1274" s="152" t="s">
        <v>2398</v>
      </c>
      <c r="M1274" s="152" t="s">
        <v>2398</v>
      </c>
      <c r="N1274" s="152" t="s">
        <v>2705</v>
      </c>
      <c r="O1274" s="152" t="s">
        <v>2398</v>
      </c>
      <c r="P1274" s="152" t="s">
        <v>2398</v>
      </c>
      <c r="Q1274" s="152" t="s">
        <v>2705</v>
      </c>
      <c r="R1274" s="152" t="s">
        <v>2705</v>
      </c>
      <c r="S1274" s="152" t="s">
        <v>2705</v>
      </c>
      <c r="T1274" s="152" t="s">
        <v>2705</v>
      </c>
      <c r="U1274" s="152" t="s">
        <v>2705</v>
      </c>
      <c r="V1274" s="142" t="str" cm="1">
        <f t="array" ref="V1274">IF(A1274&lt;&gt;"",SUM(--(B1274:U1275 = "X")*$U$3,--(B1274:U1275 ="A")*$Q$3,--(B1274:U1275 ="B")*$R$3,--(B1274:U1275 ="C")*$S$3),"")</f>
        <v/>
      </c>
      <c r="AG1274" s="142" t="s">
        <v>2705</v>
      </c>
      <c r="AH1274" s="142" t="s">
        <v>2705</v>
      </c>
      <c r="AI1274" s="142" t="s">
        <v>2398</v>
      </c>
      <c r="AJ1274" s="142" t="s">
        <v>2398</v>
      </c>
      <c r="AK1274" s="142" t="s">
        <v>2705</v>
      </c>
      <c r="AL1274" s="142" t="s">
        <v>2705</v>
      </c>
      <c r="AM1274" s="142" t="s">
        <v>2397</v>
      </c>
      <c r="AN1274" s="142" t="s">
        <v>2398</v>
      </c>
      <c r="AO1274" s="142" t="s">
        <v>2398</v>
      </c>
      <c r="AP1274" s="142" t="s">
        <v>2398</v>
      </c>
      <c r="AQ1274" s="142" t="s">
        <v>2398</v>
      </c>
      <c r="AR1274" s="142" t="s">
        <v>2398</v>
      </c>
      <c r="AS1274" s="142" t="s">
        <v>2705</v>
      </c>
      <c r="AT1274" s="142" t="s">
        <v>2398</v>
      </c>
      <c r="AU1274" s="142" t="s">
        <v>2398</v>
      </c>
      <c r="AV1274" s="142" t="s">
        <v>2705</v>
      </c>
      <c r="AW1274" s="142" t="s">
        <v>2705</v>
      </c>
      <c r="AX1274" s="142" t="s">
        <v>2705</v>
      </c>
      <c r="AY1274" s="142" t="s">
        <v>2705</v>
      </c>
      <c r="AZ1274" s="142" t="s">
        <v>2705</v>
      </c>
    </row>
    <row r="1275" spans="1:52" s="142" customFormat="1" ht="12.75" x14ac:dyDescent="0.2">
      <c r="A1275" s="151" t="s">
        <v>7954</v>
      </c>
      <c r="B1275" s="152" t="s">
        <v>2705</v>
      </c>
      <c r="C1275" s="152" t="s">
        <v>2398</v>
      </c>
      <c r="D1275" s="152" t="s">
        <v>2398</v>
      </c>
      <c r="E1275" s="152" t="s">
        <v>2705</v>
      </c>
      <c r="F1275" s="152" t="s">
        <v>2398</v>
      </c>
      <c r="G1275" s="152" t="s">
        <v>2705</v>
      </c>
      <c r="H1275" s="152" t="s">
        <v>2705</v>
      </c>
      <c r="I1275" s="152" t="s">
        <v>2705</v>
      </c>
      <c r="J1275" s="152" t="s">
        <v>2705</v>
      </c>
      <c r="K1275" s="152" t="s">
        <v>2398</v>
      </c>
      <c r="L1275" s="152" t="s">
        <v>2398</v>
      </c>
      <c r="M1275" s="152" t="s">
        <v>2398</v>
      </c>
      <c r="N1275" s="152" t="s">
        <v>2705</v>
      </c>
      <c r="O1275" s="152" t="s">
        <v>1435</v>
      </c>
      <c r="P1275" s="152" t="s">
        <v>2398</v>
      </c>
      <c r="Q1275" s="152" t="s">
        <v>2675</v>
      </c>
      <c r="R1275" s="152" t="s">
        <v>2705</v>
      </c>
      <c r="S1275" s="152" t="s">
        <v>2705</v>
      </c>
      <c r="T1275" s="152" t="s">
        <v>2398</v>
      </c>
      <c r="U1275" s="152" t="s">
        <v>2398</v>
      </c>
      <c r="V1275" s="142" cm="1">
        <f t="array" ref="V1275">IF(A1275&lt;&gt;"",SUM(--(B1275:U1276 = "X")*$U$3,--(B1275:U1276 ="A")*$Q$3,--(B1275:U1276 ="B")*$R$3,--(B1275:U1276 ="C")*$S$3),"")</f>
        <v>11.5</v>
      </c>
      <c r="AF1275" s="142" t="s">
        <v>7954</v>
      </c>
      <c r="AG1275" s="142" t="s">
        <v>2705</v>
      </c>
      <c r="AH1275" s="142" t="s">
        <v>2398</v>
      </c>
      <c r="AI1275" s="142" t="s">
        <v>2398</v>
      </c>
      <c r="AJ1275" s="142" t="s">
        <v>2705</v>
      </c>
      <c r="AK1275" s="142" t="s">
        <v>2398</v>
      </c>
      <c r="AL1275" s="142" t="s">
        <v>2705</v>
      </c>
      <c r="AM1275" s="142" t="s">
        <v>2705</v>
      </c>
      <c r="AN1275" s="142" t="s">
        <v>2705</v>
      </c>
      <c r="AO1275" s="142" t="s">
        <v>2705</v>
      </c>
      <c r="AP1275" s="142" t="s">
        <v>2398</v>
      </c>
      <c r="AQ1275" s="142" t="s">
        <v>2398</v>
      </c>
      <c r="AR1275" s="142" t="s">
        <v>2398</v>
      </c>
      <c r="AS1275" s="142" t="s">
        <v>2705</v>
      </c>
      <c r="AT1275" s="142" t="s">
        <v>1435</v>
      </c>
      <c r="AU1275" s="142" t="s">
        <v>2398</v>
      </c>
      <c r="AV1275" s="142" t="s">
        <v>2675</v>
      </c>
      <c r="AW1275" s="142" t="s">
        <v>2705</v>
      </c>
      <c r="AX1275" s="142" t="s">
        <v>2705</v>
      </c>
      <c r="AY1275" s="142" t="s">
        <v>2398</v>
      </c>
      <c r="AZ1275" s="142" t="s">
        <v>2398</v>
      </c>
    </row>
    <row r="1276" spans="1:52" s="142" customFormat="1" ht="12.75" x14ac:dyDescent="0.2">
      <c r="A1276" s="151"/>
      <c r="B1276" s="152" t="s">
        <v>2398</v>
      </c>
      <c r="C1276" s="152" t="s">
        <v>2675</v>
      </c>
      <c r="D1276" s="152" t="s">
        <v>2398</v>
      </c>
      <c r="E1276" s="152" t="s">
        <v>2675</v>
      </c>
      <c r="F1276" s="152" t="s">
        <v>2705</v>
      </c>
      <c r="G1276" s="152" t="s">
        <v>2398</v>
      </c>
      <c r="H1276" s="152" t="s">
        <v>2705</v>
      </c>
      <c r="I1276" s="152" t="s">
        <v>2675</v>
      </c>
      <c r="J1276" s="152" t="s">
        <v>2705</v>
      </c>
      <c r="K1276" s="152" t="s">
        <v>2398</v>
      </c>
      <c r="L1276" s="152" t="s">
        <v>2705</v>
      </c>
      <c r="M1276" s="152" t="s">
        <v>2398</v>
      </c>
      <c r="N1276" s="152" t="s">
        <v>2675</v>
      </c>
      <c r="O1276" s="152" t="s">
        <v>2398</v>
      </c>
      <c r="P1276" s="152" t="s">
        <v>2398</v>
      </c>
      <c r="Q1276" s="152" t="s">
        <v>2398</v>
      </c>
      <c r="R1276" s="152" t="s">
        <v>1435</v>
      </c>
      <c r="S1276" s="152" t="s">
        <v>2705</v>
      </c>
      <c r="T1276" s="152" t="s">
        <v>2398</v>
      </c>
      <c r="U1276" s="152" t="s">
        <v>2705</v>
      </c>
      <c r="V1276" s="142" t="str" cm="1">
        <f t="array" ref="V1276">IF(A1276&lt;&gt;"",SUM(--(B1276:U1277 = "X")*$U$3,--(B1276:U1277 ="A")*$Q$3,--(B1276:U1277 ="B")*$R$3,--(B1276:U1277 ="C")*$S$3),"")</f>
        <v/>
      </c>
      <c r="AG1276" s="142" t="s">
        <v>2398</v>
      </c>
      <c r="AH1276" s="142" t="s">
        <v>2675</v>
      </c>
      <c r="AI1276" s="142" t="s">
        <v>2398</v>
      </c>
      <c r="AJ1276" s="142" t="s">
        <v>2675</v>
      </c>
      <c r="AK1276" s="142" t="s">
        <v>2705</v>
      </c>
      <c r="AL1276" s="142" t="s">
        <v>2398</v>
      </c>
      <c r="AM1276" s="142" t="s">
        <v>2705</v>
      </c>
      <c r="AN1276" s="142" t="s">
        <v>2675</v>
      </c>
      <c r="AO1276" s="142" t="s">
        <v>2705</v>
      </c>
      <c r="AP1276" s="142" t="s">
        <v>2398</v>
      </c>
      <c r="AQ1276" s="142" t="s">
        <v>2705</v>
      </c>
      <c r="AR1276" s="142" t="s">
        <v>2398</v>
      </c>
      <c r="AS1276" s="142" t="s">
        <v>2675</v>
      </c>
      <c r="AT1276" s="142" t="s">
        <v>2398</v>
      </c>
      <c r="AU1276" s="142" t="s">
        <v>2398</v>
      </c>
      <c r="AV1276" s="142" t="s">
        <v>2398</v>
      </c>
      <c r="AW1276" s="142" t="s">
        <v>1435</v>
      </c>
      <c r="AX1276" s="142" t="s">
        <v>2705</v>
      </c>
      <c r="AY1276" s="142" t="s">
        <v>2398</v>
      </c>
      <c r="AZ1276" s="142" t="s">
        <v>2705</v>
      </c>
    </row>
    <row r="1277" spans="1:52" s="142" customFormat="1" ht="12.75" x14ac:dyDescent="0.2">
      <c r="A1277" s="151" t="s">
        <v>7955</v>
      </c>
      <c r="B1277" s="152" t="s">
        <v>2675</v>
      </c>
      <c r="C1277" s="152" t="s">
        <v>2705</v>
      </c>
      <c r="D1277" s="152" t="s">
        <v>2705</v>
      </c>
      <c r="E1277" s="152" t="s">
        <v>2398</v>
      </c>
      <c r="F1277" s="152" t="s">
        <v>2398</v>
      </c>
      <c r="G1277" s="152" t="s">
        <v>2705</v>
      </c>
      <c r="H1277" s="152" t="s">
        <v>2675</v>
      </c>
      <c r="I1277" s="152" t="s">
        <v>2398</v>
      </c>
      <c r="J1277" s="152" t="s">
        <v>2398</v>
      </c>
      <c r="K1277" s="152" t="s">
        <v>2705</v>
      </c>
      <c r="L1277" s="152" t="s">
        <v>2397</v>
      </c>
      <c r="M1277" s="152" t="s">
        <v>2398</v>
      </c>
      <c r="N1277" s="152" t="s">
        <v>2705</v>
      </c>
      <c r="O1277" s="152" t="s">
        <v>2705</v>
      </c>
      <c r="P1277" s="152" t="s">
        <v>2398</v>
      </c>
      <c r="Q1277" s="152" t="s">
        <v>2675</v>
      </c>
      <c r="R1277" s="152" t="s">
        <v>2675</v>
      </c>
      <c r="S1277" s="152" t="s">
        <v>2705</v>
      </c>
      <c r="T1277" s="152" t="s">
        <v>2398</v>
      </c>
      <c r="U1277" s="152" t="s">
        <v>2705</v>
      </c>
      <c r="V1277" s="142" cm="1">
        <f t="array" ref="V1277">IF(A1277&lt;&gt;"",SUM(--(B1277:U1278 = "X")*$U$3,--(B1277:U1278 ="A")*$Q$3,--(B1277:U1278 ="B")*$R$3,--(B1277:U1278 ="C")*$S$3),"")</f>
        <v>13.5</v>
      </c>
      <c r="AF1277" s="142" t="s">
        <v>7955</v>
      </c>
      <c r="AG1277" s="142" t="s">
        <v>2675</v>
      </c>
      <c r="AH1277" s="142" t="s">
        <v>2705</v>
      </c>
      <c r="AI1277" s="142" t="s">
        <v>2705</v>
      </c>
      <c r="AJ1277" s="142" t="s">
        <v>2398</v>
      </c>
      <c r="AK1277" s="142" t="s">
        <v>2398</v>
      </c>
      <c r="AL1277" s="142" t="s">
        <v>2705</v>
      </c>
      <c r="AM1277" s="142" t="s">
        <v>2675</v>
      </c>
      <c r="AN1277" s="142" t="s">
        <v>2398</v>
      </c>
      <c r="AO1277" s="142" t="s">
        <v>2398</v>
      </c>
      <c r="AP1277" s="142" t="s">
        <v>2705</v>
      </c>
      <c r="AQ1277" s="142" t="s">
        <v>2397</v>
      </c>
      <c r="AR1277" s="142" t="s">
        <v>2398</v>
      </c>
      <c r="AS1277" s="142" t="s">
        <v>2705</v>
      </c>
      <c r="AT1277" s="142" t="s">
        <v>2705</v>
      </c>
      <c r="AU1277" s="142" t="s">
        <v>2398</v>
      </c>
      <c r="AV1277" s="142" t="s">
        <v>2675</v>
      </c>
      <c r="AW1277" s="142" t="s">
        <v>2675</v>
      </c>
      <c r="AX1277" s="142" t="s">
        <v>2705</v>
      </c>
      <c r="AY1277" s="142" t="s">
        <v>2398</v>
      </c>
      <c r="AZ1277" s="142" t="s">
        <v>2705</v>
      </c>
    </row>
    <row r="1278" spans="1:52" s="142" customFormat="1" ht="12.75" x14ac:dyDescent="0.2">
      <c r="A1278" s="151"/>
      <c r="B1278" s="152" t="s">
        <v>2705</v>
      </c>
      <c r="C1278" s="152" t="s">
        <v>2675</v>
      </c>
      <c r="D1278" s="152" t="s">
        <v>2398</v>
      </c>
      <c r="E1278" s="152" t="s">
        <v>2705</v>
      </c>
      <c r="F1278" s="152" t="s">
        <v>2705</v>
      </c>
      <c r="G1278" s="152" t="s">
        <v>2398</v>
      </c>
      <c r="H1278" s="152" t="s">
        <v>2398</v>
      </c>
      <c r="I1278" s="152" t="s">
        <v>2705</v>
      </c>
      <c r="J1278" s="152" t="s">
        <v>2705</v>
      </c>
      <c r="K1278" s="152" t="s">
        <v>2705</v>
      </c>
      <c r="L1278" s="152" t="s">
        <v>2398</v>
      </c>
      <c r="M1278" s="152" t="s">
        <v>2675</v>
      </c>
      <c r="N1278" s="152" t="s">
        <v>2398</v>
      </c>
      <c r="O1278" s="152" t="s">
        <v>1435</v>
      </c>
      <c r="P1278" s="152" t="s">
        <v>2398</v>
      </c>
      <c r="Q1278" s="152" t="s">
        <v>2705</v>
      </c>
      <c r="R1278" s="152" t="s">
        <v>2705</v>
      </c>
      <c r="S1278" s="152" t="s">
        <v>2397</v>
      </c>
      <c r="T1278" s="152" t="s">
        <v>2705</v>
      </c>
      <c r="U1278" s="152" t="s">
        <v>2398</v>
      </c>
      <c r="V1278" s="142" t="str" cm="1">
        <f t="array" ref="V1278">IF(A1278&lt;&gt;"",SUM(--(B1278:U1279 = "X")*$U$3,--(B1278:U1279 ="A")*$Q$3,--(B1278:U1279 ="B")*$R$3,--(B1278:U1279 ="C")*$S$3),"")</f>
        <v/>
      </c>
      <c r="AG1278" s="142" t="s">
        <v>2705</v>
      </c>
      <c r="AH1278" s="142" t="s">
        <v>2675</v>
      </c>
      <c r="AI1278" s="142" t="s">
        <v>2398</v>
      </c>
      <c r="AJ1278" s="142" t="s">
        <v>2705</v>
      </c>
      <c r="AK1278" s="142" t="s">
        <v>2705</v>
      </c>
      <c r="AL1278" s="142" t="s">
        <v>2398</v>
      </c>
      <c r="AM1278" s="142" t="s">
        <v>2398</v>
      </c>
      <c r="AN1278" s="142" t="s">
        <v>2705</v>
      </c>
      <c r="AO1278" s="142" t="s">
        <v>2705</v>
      </c>
      <c r="AP1278" s="142" t="s">
        <v>2705</v>
      </c>
      <c r="AQ1278" s="142" t="s">
        <v>2398</v>
      </c>
      <c r="AR1278" s="142" t="s">
        <v>2675</v>
      </c>
      <c r="AS1278" s="142" t="s">
        <v>2398</v>
      </c>
      <c r="AT1278" s="142" t="s">
        <v>1435</v>
      </c>
      <c r="AU1278" s="142" t="s">
        <v>2398</v>
      </c>
      <c r="AV1278" s="142" t="s">
        <v>2705</v>
      </c>
      <c r="AW1278" s="142" t="s">
        <v>2705</v>
      </c>
      <c r="AX1278" s="142" t="s">
        <v>2397</v>
      </c>
      <c r="AY1278" s="142" t="s">
        <v>2705</v>
      </c>
      <c r="AZ1278" s="142" t="s">
        <v>2398</v>
      </c>
    </row>
    <row r="1279" spans="1:52" s="142" customFormat="1" ht="12.75" x14ac:dyDescent="0.2">
      <c r="A1279" s="151" t="s">
        <v>7956</v>
      </c>
      <c r="B1279" s="152" t="s">
        <v>2705</v>
      </c>
      <c r="C1279" s="152" t="s">
        <v>2705</v>
      </c>
      <c r="D1279" s="152" t="s">
        <v>2398</v>
      </c>
      <c r="E1279" s="152" t="s">
        <v>2705</v>
      </c>
      <c r="F1279" s="152" t="s">
        <v>2705</v>
      </c>
      <c r="G1279" s="152" t="s">
        <v>2705</v>
      </c>
      <c r="H1279" s="152" t="s">
        <v>2705</v>
      </c>
      <c r="I1279" s="152" t="s">
        <v>2398</v>
      </c>
      <c r="J1279" s="152" t="s">
        <v>2705</v>
      </c>
      <c r="K1279" s="152" t="s">
        <v>1435</v>
      </c>
      <c r="L1279" s="152" t="s">
        <v>2705</v>
      </c>
      <c r="M1279" s="152" t="s">
        <v>2705</v>
      </c>
      <c r="N1279" s="152" t="s">
        <v>2675</v>
      </c>
      <c r="O1279" s="152" t="s">
        <v>2705</v>
      </c>
      <c r="P1279" s="152" t="s">
        <v>2705</v>
      </c>
      <c r="Q1279" s="152" t="s">
        <v>2398</v>
      </c>
      <c r="R1279" s="152" t="s">
        <v>2675</v>
      </c>
      <c r="S1279" s="152" t="s">
        <v>2705</v>
      </c>
      <c r="T1279" s="152" t="s">
        <v>2398</v>
      </c>
      <c r="U1279" s="152" t="s">
        <v>2705</v>
      </c>
      <c r="V1279" s="142" cm="1">
        <f t="array" ref="V1279">IF(A1279&lt;&gt;"",SUM(--(B1279:U1280 = "X")*$U$3,--(B1279:U1280 ="A")*$Q$3,--(B1279:U1280 ="B")*$R$3,--(B1279:U1280 ="C")*$S$3),"")</f>
        <v>18.5</v>
      </c>
      <c r="AF1279" s="142" t="s">
        <v>7956</v>
      </c>
      <c r="AG1279" s="142" t="s">
        <v>2705</v>
      </c>
      <c r="AH1279" s="142" t="s">
        <v>2705</v>
      </c>
      <c r="AI1279" s="142" t="s">
        <v>2398</v>
      </c>
      <c r="AJ1279" s="142" t="s">
        <v>2705</v>
      </c>
      <c r="AK1279" s="142" t="s">
        <v>2705</v>
      </c>
      <c r="AL1279" s="142" t="s">
        <v>2705</v>
      </c>
      <c r="AM1279" s="142" t="s">
        <v>2705</v>
      </c>
      <c r="AN1279" s="142" t="s">
        <v>2398</v>
      </c>
      <c r="AO1279" s="142" t="s">
        <v>2705</v>
      </c>
      <c r="AP1279" s="142" t="s">
        <v>1435</v>
      </c>
      <c r="AQ1279" s="142" t="s">
        <v>2705</v>
      </c>
      <c r="AR1279" s="142" t="s">
        <v>2705</v>
      </c>
      <c r="AS1279" s="142" t="s">
        <v>2675</v>
      </c>
      <c r="AT1279" s="142" t="s">
        <v>2705</v>
      </c>
      <c r="AU1279" s="142" t="s">
        <v>2705</v>
      </c>
      <c r="AV1279" s="142" t="s">
        <v>2398</v>
      </c>
      <c r="AW1279" s="142" t="s">
        <v>2675</v>
      </c>
      <c r="AX1279" s="142" t="s">
        <v>2705</v>
      </c>
      <c r="AY1279" s="142" t="s">
        <v>2398</v>
      </c>
      <c r="AZ1279" s="142" t="s">
        <v>2705</v>
      </c>
    </row>
    <row r="1280" spans="1:52" s="142" customFormat="1" ht="12.75" x14ac:dyDescent="0.2">
      <c r="A1280" s="151"/>
      <c r="B1280" s="152" t="s">
        <v>2398</v>
      </c>
      <c r="C1280" s="152" t="s">
        <v>2398</v>
      </c>
      <c r="D1280" s="152" t="s">
        <v>2705</v>
      </c>
      <c r="E1280" s="152" t="s">
        <v>2705</v>
      </c>
      <c r="F1280" s="152" t="s">
        <v>2705</v>
      </c>
      <c r="G1280" s="152" t="s">
        <v>2398</v>
      </c>
      <c r="H1280" s="152" t="s">
        <v>2398</v>
      </c>
      <c r="I1280" s="152" t="s">
        <v>2705</v>
      </c>
      <c r="J1280" s="152" t="s">
        <v>2675</v>
      </c>
      <c r="K1280" s="152" t="s">
        <v>2675</v>
      </c>
      <c r="L1280" s="152" t="s">
        <v>2705</v>
      </c>
      <c r="M1280" s="152" t="s">
        <v>2398</v>
      </c>
      <c r="N1280" s="152" t="s">
        <v>2705</v>
      </c>
      <c r="O1280" s="152" t="s">
        <v>2705</v>
      </c>
      <c r="P1280" s="152" t="s">
        <v>2398</v>
      </c>
      <c r="Q1280" s="152" t="s">
        <v>2398</v>
      </c>
      <c r="R1280" s="152" t="s">
        <v>2398</v>
      </c>
      <c r="S1280" s="152" t="s">
        <v>2705</v>
      </c>
      <c r="T1280" s="152" t="s">
        <v>2398</v>
      </c>
      <c r="U1280" s="152" t="s">
        <v>2398</v>
      </c>
      <c r="V1280" s="142" t="str" cm="1">
        <f t="array" ref="V1280">IF(A1280&lt;&gt;"",SUM(--(B1280:U1281 = "X")*$U$3,--(B1280:U1281 ="A")*$Q$3,--(B1280:U1281 ="B")*$R$3,--(B1280:U1281 ="C")*$S$3),"")</f>
        <v/>
      </c>
      <c r="AG1280" s="142" t="s">
        <v>2398</v>
      </c>
      <c r="AH1280" s="142" t="s">
        <v>2398</v>
      </c>
      <c r="AI1280" s="142" t="s">
        <v>2705</v>
      </c>
      <c r="AJ1280" s="142" t="s">
        <v>2705</v>
      </c>
      <c r="AK1280" s="142" t="s">
        <v>2705</v>
      </c>
      <c r="AL1280" s="142" t="s">
        <v>2398</v>
      </c>
      <c r="AM1280" s="142" t="s">
        <v>2398</v>
      </c>
      <c r="AN1280" s="142" t="s">
        <v>2705</v>
      </c>
      <c r="AO1280" s="142" t="s">
        <v>2675</v>
      </c>
      <c r="AP1280" s="142" t="s">
        <v>2675</v>
      </c>
      <c r="AQ1280" s="142" t="s">
        <v>2705</v>
      </c>
      <c r="AR1280" s="142" t="s">
        <v>2398</v>
      </c>
      <c r="AS1280" s="142" t="s">
        <v>2705</v>
      </c>
      <c r="AT1280" s="142" t="s">
        <v>2705</v>
      </c>
      <c r="AU1280" s="142" t="s">
        <v>2398</v>
      </c>
      <c r="AV1280" s="142" t="s">
        <v>2398</v>
      </c>
      <c r="AW1280" s="142" t="s">
        <v>2398</v>
      </c>
      <c r="AX1280" s="142" t="s">
        <v>2705</v>
      </c>
      <c r="AY1280" s="142" t="s">
        <v>2398</v>
      </c>
      <c r="AZ1280" s="142" t="s">
        <v>2398</v>
      </c>
    </row>
    <row r="1281" spans="1:52" s="142" customFormat="1" ht="12.75" x14ac:dyDescent="0.2">
      <c r="A1281" s="151" t="s">
        <v>7957</v>
      </c>
      <c r="B1281" s="152" t="s">
        <v>2398</v>
      </c>
      <c r="C1281" s="152" t="s">
        <v>2398</v>
      </c>
      <c r="D1281" s="152" t="s">
        <v>2398</v>
      </c>
      <c r="E1281" s="152" t="s">
        <v>2398</v>
      </c>
      <c r="F1281" s="152" t="s">
        <v>2705</v>
      </c>
      <c r="G1281" s="152" t="s">
        <v>2705</v>
      </c>
      <c r="H1281" s="152" t="s">
        <v>2705</v>
      </c>
      <c r="I1281" s="152" t="s">
        <v>2398</v>
      </c>
      <c r="J1281" s="152" t="s">
        <v>2398</v>
      </c>
      <c r="K1281" s="152" t="s">
        <v>2705</v>
      </c>
      <c r="L1281" s="152" t="s">
        <v>2398</v>
      </c>
      <c r="M1281" s="152" t="s">
        <v>2705</v>
      </c>
      <c r="N1281" s="152" t="s">
        <v>2398</v>
      </c>
      <c r="O1281" s="152" t="s">
        <v>2398</v>
      </c>
      <c r="P1281" s="152" t="s">
        <v>2705</v>
      </c>
      <c r="Q1281" s="152" t="s">
        <v>2705</v>
      </c>
      <c r="R1281" s="152" t="s">
        <v>2398</v>
      </c>
      <c r="S1281" s="152" t="s">
        <v>2705</v>
      </c>
      <c r="T1281" s="152" t="s">
        <v>2398</v>
      </c>
      <c r="U1281" s="152" t="s">
        <v>2705</v>
      </c>
      <c r="V1281" s="142" cm="1">
        <f t="array" ref="V1281">IF(A1281&lt;&gt;"",SUM(--(B1281:U1282 = "X")*$U$3,--(B1281:U1282 ="A")*$Q$3,--(B1281:U1282 ="B")*$R$3,--(B1281:U1282 ="C")*$S$3),"")</f>
        <v>19.5</v>
      </c>
      <c r="AF1281" s="142" t="s">
        <v>7957</v>
      </c>
      <c r="AG1281" s="142" t="s">
        <v>2398</v>
      </c>
      <c r="AH1281" s="142" t="s">
        <v>2398</v>
      </c>
      <c r="AI1281" s="142" t="s">
        <v>2398</v>
      </c>
      <c r="AJ1281" s="142" t="s">
        <v>2398</v>
      </c>
      <c r="AK1281" s="142" t="s">
        <v>2705</v>
      </c>
      <c r="AL1281" s="142" t="s">
        <v>2705</v>
      </c>
      <c r="AM1281" s="142" t="s">
        <v>2705</v>
      </c>
      <c r="AN1281" s="142" t="s">
        <v>2398</v>
      </c>
      <c r="AO1281" s="142" t="s">
        <v>2398</v>
      </c>
      <c r="AP1281" s="142" t="s">
        <v>2705</v>
      </c>
      <c r="AQ1281" s="142" t="s">
        <v>2398</v>
      </c>
      <c r="AR1281" s="142" t="s">
        <v>2705</v>
      </c>
      <c r="AS1281" s="142" t="s">
        <v>2398</v>
      </c>
      <c r="AT1281" s="142" t="s">
        <v>2398</v>
      </c>
      <c r="AU1281" s="142" t="s">
        <v>2705</v>
      </c>
      <c r="AV1281" s="142" t="s">
        <v>2705</v>
      </c>
      <c r="AW1281" s="142" t="s">
        <v>2398</v>
      </c>
      <c r="AX1281" s="142" t="s">
        <v>2705</v>
      </c>
      <c r="AY1281" s="142" t="s">
        <v>2398</v>
      </c>
      <c r="AZ1281" s="142" t="s">
        <v>2705</v>
      </c>
    </row>
    <row r="1282" spans="1:52" s="142" customFormat="1" ht="12.75" x14ac:dyDescent="0.2">
      <c r="A1282" s="151"/>
      <c r="B1282" s="152" t="s">
        <v>2398</v>
      </c>
      <c r="C1282" s="152" t="s">
        <v>2398</v>
      </c>
      <c r="D1282" s="152" t="s">
        <v>2705</v>
      </c>
      <c r="E1282" s="152" t="s">
        <v>2705</v>
      </c>
      <c r="F1282" s="152" t="s">
        <v>2705</v>
      </c>
      <c r="G1282" s="152" t="s">
        <v>2398</v>
      </c>
      <c r="H1282" s="152" t="s">
        <v>2398</v>
      </c>
      <c r="I1282" s="152" t="s">
        <v>2705</v>
      </c>
      <c r="J1282" s="152" t="s">
        <v>2705</v>
      </c>
      <c r="K1282" s="152" t="s">
        <v>2705</v>
      </c>
      <c r="L1282" s="152" t="s">
        <v>2398</v>
      </c>
      <c r="M1282" s="152" t="s">
        <v>2398</v>
      </c>
      <c r="N1282" s="152" t="s">
        <v>2705</v>
      </c>
      <c r="O1282" s="152" t="s">
        <v>2705</v>
      </c>
      <c r="P1282" s="152" t="s">
        <v>2675</v>
      </c>
      <c r="Q1282" s="152" t="s">
        <v>2705</v>
      </c>
      <c r="R1282" s="152" t="s">
        <v>2398</v>
      </c>
      <c r="S1282" s="152" t="s">
        <v>2705</v>
      </c>
      <c r="T1282" s="152" t="s">
        <v>2398</v>
      </c>
      <c r="U1282" s="152" t="s">
        <v>2705</v>
      </c>
      <c r="V1282" s="142" t="str" cm="1">
        <f t="array" ref="V1282">IF(A1282&lt;&gt;"",SUM(--(B1282:U1283 = "X")*$U$3,--(B1282:U1283 ="A")*$Q$3,--(B1282:U1283 ="B")*$R$3,--(B1282:U1283 ="C")*$S$3),"")</f>
        <v/>
      </c>
      <c r="AG1282" s="142" t="s">
        <v>2398</v>
      </c>
      <c r="AH1282" s="142" t="s">
        <v>2398</v>
      </c>
      <c r="AI1282" s="142" t="s">
        <v>2705</v>
      </c>
      <c r="AJ1282" s="142" t="s">
        <v>2705</v>
      </c>
      <c r="AK1282" s="142" t="s">
        <v>2705</v>
      </c>
      <c r="AL1282" s="142" t="s">
        <v>2398</v>
      </c>
      <c r="AM1282" s="142" t="s">
        <v>2398</v>
      </c>
      <c r="AN1282" s="142" t="s">
        <v>2705</v>
      </c>
      <c r="AO1282" s="142" t="s">
        <v>2705</v>
      </c>
      <c r="AP1282" s="142" t="s">
        <v>2705</v>
      </c>
      <c r="AQ1282" s="142" t="s">
        <v>2398</v>
      </c>
      <c r="AR1282" s="142" t="s">
        <v>2398</v>
      </c>
      <c r="AS1282" s="142" t="s">
        <v>2705</v>
      </c>
      <c r="AT1282" s="142" t="s">
        <v>2705</v>
      </c>
      <c r="AU1282" s="142" t="s">
        <v>2675</v>
      </c>
      <c r="AV1282" s="142" t="s">
        <v>2705</v>
      </c>
      <c r="AW1282" s="142" t="s">
        <v>2398</v>
      </c>
      <c r="AX1282" s="142" t="s">
        <v>2705</v>
      </c>
      <c r="AY1282" s="142" t="s">
        <v>2398</v>
      </c>
      <c r="AZ1282" s="142" t="s">
        <v>2705</v>
      </c>
    </row>
    <row r="1283" spans="1:52" s="142" customFormat="1" ht="12.75" x14ac:dyDescent="0.2">
      <c r="A1283" s="151" t="s">
        <v>7958</v>
      </c>
      <c r="B1283" s="152" t="s">
        <v>2705</v>
      </c>
      <c r="C1283" s="152" t="s">
        <v>2398</v>
      </c>
      <c r="D1283" s="152" t="s">
        <v>2398</v>
      </c>
      <c r="E1283" s="152" t="s">
        <v>1435</v>
      </c>
      <c r="F1283" s="152" t="s">
        <v>2705</v>
      </c>
      <c r="G1283" s="152" t="s">
        <v>2705</v>
      </c>
      <c r="H1283" s="152" t="s">
        <v>2705</v>
      </c>
      <c r="I1283" s="152" t="s">
        <v>2398</v>
      </c>
      <c r="J1283" s="152" t="s">
        <v>2398</v>
      </c>
      <c r="K1283" s="152" t="s">
        <v>2398</v>
      </c>
      <c r="L1283" s="152" t="s">
        <v>2705</v>
      </c>
      <c r="M1283" s="152" t="s">
        <v>1435</v>
      </c>
      <c r="N1283" s="152" t="s">
        <v>2398</v>
      </c>
      <c r="O1283" s="152" t="s">
        <v>2705</v>
      </c>
      <c r="P1283" s="152" t="s">
        <v>2398</v>
      </c>
      <c r="Q1283" s="152" t="s">
        <v>2705</v>
      </c>
      <c r="R1283" s="152" t="s">
        <v>2705</v>
      </c>
      <c r="S1283" s="152" t="s">
        <v>2705</v>
      </c>
      <c r="T1283" s="152" t="s">
        <v>2705</v>
      </c>
      <c r="U1283" s="152" t="s">
        <v>2705</v>
      </c>
      <c r="V1283" s="142" cm="1">
        <f t="array" ref="V1283">IF(A1283&lt;&gt;"",SUM(--(B1283:U1284 = "X")*$U$3,--(B1283:U1284 ="A")*$Q$3,--(B1283:U1284 ="B")*$R$3,--(B1283:U1284 ="C")*$S$3),"")</f>
        <v>22.5</v>
      </c>
      <c r="AF1283" s="142" t="s">
        <v>7958</v>
      </c>
      <c r="AG1283" s="142" t="s">
        <v>2705</v>
      </c>
      <c r="AH1283" s="142" t="s">
        <v>2398</v>
      </c>
      <c r="AI1283" s="142" t="s">
        <v>2398</v>
      </c>
      <c r="AJ1283" s="142" t="s">
        <v>1435</v>
      </c>
      <c r="AK1283" s="142" t="s">
        <v>2705</v>
      </c>
      <c r="AL1283" s="142" t="s">
        <v>2705</v>
      </c>
      <c r="AM1283" s="142" t="s">
        <v>2705</v>
      </c>
      <c r="AN1283" s="142" t="s">
        <v>2398</v>
      </c>
      <c r="AO1283" s="142" t="s">
        <v>2398</v>
      </c>
      <c r="AP1283" s="142" t="s">
        <v>2398</v>
      </c>
      <c r="AQ1283" s="142" t="s">
        <v>2705</v>
      </c>
      <c r="AR1283" s="142" t="s">
        <v>1435</v>
      </c>
      <c r="AS1283" s="142" t="s">
        <v>2398</v>
      </c>
      <c r="AT1283" s="142" t="s">
        <v>2705</v>
      </c>
      <c r="AU1283" s="142" t="s">
        <v>2398</v>
      </c>
      <c r="AV1283" s="142" t="s">
        <v>2705</v>
      </c>
      <c r="AW1283" s="142" t="s">
        <v>2705</v>
      </c>
      <c r="AX1283" s="142" t="s">
        <v>2705</v>
      </c>
      <c r="AY1283" s="142" t="s">
        <v>2705</v>
      </c>
      <c r="AZ1283" s="142" t="s">
        <v>2705</v>
      </c>
    </row>
    <row r="1284" spans="1:52" s="142" customFormat="1" ht="12.75" x14ac:dyDescent="0.2">
      <c r="A1284" s="151"/>
      <c r="B1284" s="152" t="s">
        <v>2705</v>
      </c>
      <c r="C1284" s="152" t="s">
        <v>2398</v>
      </c>
      <c r="D1284" s="152" t="s">
        <v>2705</v>
      </c>
      <c r="E1284" s="152" t="s">
        <v>2705</v>
      </c>
      <c r="F1284" s="152" t="s">
        <v>2705</v>
      </c>
      <c r="G1284" s="152" t="s">
        <v>2705</v>
      </c>
      <c r="H1284" s="152" t="s">
        <v>2398</v>
      </c>
      <c r="I1284" s="152" t="s">
        <v>2398</v>
      </c>
      <c r="J1284" s="152" t="s">
        <v>1435</v>
      </c>
      <c r="K1284" s="152" t="s">
        <v>2398</v>
      </c>
      <c r="L1284" s="152" t="s">
        <v>2705</v>
      </c>
      <c r="M1284" s="152" t="s">
        <v>2705</v>
      </c>
      <c r="N1284" s="152" t="s">
        <v>2705</v>
      </c>
      <c r="O1284" s="152" t="s">
        <v>2705</v>
      </c>
      <c r="P1284" s="152" t="s">
        <v>2398</v>
      </c>
      <c r="Q1284" s="152" t="s">
        <v>2398</v>
      </c>
      <c r="R1284" s="152" t="s">
        <v>2705</v>
      </c>
      <c r="S1284" s="152" t="s">
        <v>2705</v>
      </c>
      <c r="T1284" s="152" t="s">
        <v>2705</v>
      </c>
      <c r="U1284" s="152" t="s">
        <v>2705</v>
      </c>
      <c r="V1284" s="142" t="str" cm="1">
        <f t="array" ref="V1284">IF(A1284&lt;&gt;"",SUM(--(B1284:U1285 = "X")*$U$3,--(B1284:U1285 ="A")*$Q$3,--(B1284:U1285 ="B")*$R$3,--(B1284:U1285 ="C")*$S$3),"")</f>
        <v/>
      </c>
      <c r="AG1284" s="142" t="s">
        <v>2705</v>
      </c>
      <c r="AH1284" s="142" t="s">
        <v>2398</v>
      </c>
      <c r="AI1284" s="142" t="s">
        <v>2705</v>
      </c>
      <c r="AJ1284" s="142" t="s">
        <v>2705</v>
      </c>
      <c r="AK1284" s="142" t="s">
        <v>2705</v>
      </c>
      <c r="AL1284" s="142" t="s">
        <v>2705</v>
      </c>
      <c r="AM1284" s="142" t="s">
        <v>2398</v>
      </c>
      <c r="AN1284" s="142" t="s">
        <v>2398</v>
      </c>
      <c r="AO1284" s="142" t="s">
        <v>1435</v>
      </c>
      <c r="AP1284" s="142" t="s">
        <v>2398</v>
      </c>
      <c r="AQ1284" s="142" t="s">
        <v>2705</v>
      </c>
      <c r="AR1284" s="142" t="s">
        <v>2705</v>
      </c>
      <c r="AS1284" s="142" t="s">
        <v>2705</v>
      </c>
      <c r="AT1284" s="142" t="s">
        <v>2705</v>
      </c>
      <c r="AU1284" s="142" t="s">
        <v>2398</v>
      </c>
      <c r="AV1284" s="142" t="s">
        <v>2398</v>
      </c>
      <c r="AW1284" s="142" t="s">
        <v>2705</v>
      </c>
      <c r="AX1284" s="142" t="s">
        <v>2705</v>
      </c>
      <c r="AY1284" s="142" t="s">
        <v>2705</v>
      </c>
      <c r="AZ1284" s="142" t="s">
        <v>2705</v>
      </c>
    </row>
    <row r="1285" spans="1:52" s="142" customFormat="1" ht="12.75" x14ac:dyDescent="0.2">
      <c r="A1285" s="151" t="s">
        <v>7959</v>
      </c>
      <c r="B1285" s="152" t="s">
        <v>2705</v>
      </c>
      <c r="C1285" s="152" t="s">
        <v>2705</v>
      </c>
      <c r="D1285" s="152" t="s">
        <v>2675</v>
      </c>
      <c r="E1285" s="152" t="s">
        <v>2398</v>
      </c>
      <c r="F1285" s="152" t="s">
        <v>2398</v>
      </c>
      <c r="G1285" s="152" t="s">
        <v>2705</v>
      </c>
      <c r="H1285" s="152" t="s">
        <v>2705</v>
      </c>
      <c r="I1285" s="152" t="s">
        <v>2398</v>
      </c>
      <c r="J1285" s="152" t="s">
        <v>2675</v>
      </c>
      <c r="K1285" s="152" t="s">
        <v>2398</v>
      </c>
      <c r="L1285" s="152" t="s">
        <v>2675</v>
      </c>
      <c r="M1285" s="152" t="s">
        <v>2705</v>
      </c>
      <c r="N1285" s="152" t="s">
        <v>2705</v>
      </c>
      <c r="O1285" s="152" t="s">
        <v>2705</v>
      </c>
      <c r="P1285" s="152" t="s">
        <v>2398</v>
      </c>
      <c r="Q1285" s="152" t="s">
        <v>2398</v>
      </c>
      <c r="R1285" s="152" t="s">
        <v>2705</v>
      </c>
      <c r="S1285" s="152" t="s">
        <v>2705</v>
      </c>
      <c r="T1285" s="152" t="s">
        <v>2398</v>
      </c>
      <c r="U1285" s="152" t="s">
        <v>2705</v>
      </c>
      <c r="V1285" s="142" cm="1">
        <f t="array" ref="V1285">IF(A1285&lt;&gt;"",SUM(--(B1285:U1286 = "X")*$U$3,--(B1285:U1286 ="A")*$Q$3,--(B1285:U1286 ="B")*$R$3,--(B1285:U1286 ="C")*$S$3),"")</f>
        <v>19</v>
      </c>
      <c r="AF1285" s="142" t="s">
        <v>7959</v>
      </c>
      <c r="AG1285" s="142" t="s">
        <v>2705</v>
      </c>
      <c r="AH1285" s="142" t="s">
        <v>2705</v>
      </c>
      <c r="AI1285" s="142" t="s">
        <v>2675</v>
      </c>
      <c r="AJ1285" s="142" t="s">
        <v>2398</v>
      </c>
      <c r="AK1285" s="142" t="s">
        <v>2398</v>
      </c>
      <c r="AL1285" s="142" t="s">
        <v>2705</v>
      </c>
      <c r="AM1285" s="142" t="s">
        <v>2705</v>
      </c>
      <c r="AN1285" s="142" t="s">
        <v>2398</v>
      </c>
      <c r="AO1285" s="142" t="s">
        <v>2675</v>
      </c>
      <c r="AP1285" s="142" t="s">
        <v>2398</v>
      </c>
      <c r="AQ1285" s="142" t="s">
        <v>2675</v>
      </c>
      <c r="AR1285" s="142" t="s">
        <v>2705</v>
      </c>
      <c r="AS1285" s="142" t="s">
        <v>2705</v>
      </c>
      <c r="AT1285" s="142" t="s">
        <v>2705</v>
      </c>
      <c r="AU1285" s="142" t="s">
        <v>2398</v>
      </c>
      <c r="AV1285" s="142" t="s">
        <v>2398</v>
      </c>
      <c r="AW1285" s="142" t="s">
        <v>2705</v>
      </c>
      <c r="AX1285" s="142" t="s">
        <v>2705</v>
      </c>
      <c r="AY1285" s="142" t="s">
        <v>2398</v>
      </c>
      <c r="AZ1285" s="142" t="s">
        <v>2705</v>
      </c>
    </row>
    <row r="1286" spans="1:52" s="142" customFormat="1" ht="12.75" x14ac:dyDescent="0.2">
      <c r="A1286" s="151"/>
      <c r="B1286" s="152" t="s">
        <v>1435</v>
      </c>
      <c r="C1286" s="152" t="s">
        <v>2675</v>
      </c>
      <c r="D1286" s="152" t="s">
        <v>2398</v>
      </c>
      <c r="E1286" s="152" t="s">
        <v>2675</v>
      </c>
      <c r="F1286" s="152" t="s">
        <v>2398</v>
      </c>
      <c r="G1286" s="152" t="s">
        <v>2705</v>
      </c>
      <c r="H1286" s="152" t="s">
        <v>2705</v>
      </c>
      <c r="I1286" s="152" t="s">
        <v>2705</v>
      </c>
      <c r="J1286" s="152" t="s">
        <v>2705</v>
      </c>
      <c r="K1286" s="152" t="s">
        <v>2705</v>
      </c>
      <c r="L1286" s="152" t="s">
        <v>2705</v>
      </c>
      <c r="M1286" s="152" t="s">
        <v>2705</v>
      </c>
      <c r="N1286" s="152" t="s">
        <v>2705</v>
      </c>
      <c r="O1286" s="152" t="s">
        <v>2705</v>
      </c>
      <c r="P1286" s="152" t="s">
        <v>2398</v>
      </c>
      <c r="Q1286" s="152" t="s">
        <v>2705</v>
      </c>
      <c r="R1286" s="152" t="s">
        <v>2705</v>
      </c>
      <c r="S1286" s="152" t="s">
        <v>2705</v>
      </c>
      <c r="T1286" s="152" t="s">
        <v>2397</v>
      </c>
      <c r="U1286" s="152" t="s">
        <v>2398</v>
      </c>
      <c r="V1286" s="142" t="str" cm="1">
        <f t="array" ref="V1286">IF(A1286&lt;&gt;"",SUM(--(B1286:U1287 = "X")*$U$3,--(B1286:U1287 ="A")*$Q$3,--(B1286:U1287 ="B")*$R$3,--(B1286:U1287 ="C")*$S$3),"")</f>
        <v/>
      </c>
      <c r="AG1286" s="142" t="s">
        <v>1435</v>
      </c>
      <c r="AH1286" s="142" t="s">
        <v>2675</v>
      </c>
      <c r="AI1286" s="142" t="s">
        <v>2398</v>
      </c>
      <c r="AJ1286" s="142" t="s">
        <v>2675</v>
      </c>
      <c r="AK1286" s="142" t="s">
        <v>2398</v>
      </c>
      <c r="AL1286" s="142" t="s">
        <v>2705</v>
      </c>
      <c r="AM1286" s="142" t="s">
        <v>2705</v>
      </c>
      <c r="AN1286" s="142" t="s">
        <v>2705</v>
      </c>
      <c r="AO1286" s="142" t="s">
        <v>2705</v>
      </c>
      <c r="AP1286" s="142" t="s">
        <v>2705</v>
      </c>
      <c r="AQ1286" s="142" t="s">
        <v>2705</v>
      </c>
      <c r="AR1286" s="142" t="s">
        <v>2705</v>
      </c>
      <c r="AS1286" s="142" t="s">
        <v>2705</v>
      </c>
      <c r="AT1286" s="142" t="s">
        <v>2705</v>
      </c>
      <c r="AU1286" s="142" t="s">
        <v>2398</v>
      </c>
      <c r="AV1286" s="142" t="s">
        <v>2705</v>
      </c>
      <c r="AW1286" s="142" t="s">
        <v>2705</v>
      </c>
      <c r="AX1286" s="142" t="s">
        <v>2705</v>
      </c>
      <c r="AY1286" s="142" t="s">
        <v>2397</v>
      </c>
      <c r="AZ1286" s="142" t="s">
        <v>2398</v>
      </c>
    </row>
    <row r="1287" spans="1:52" s="142" customFormat="1" ht="12.75" x14ac:dyDescent="0.2">
      <c r="A1287" s="151" t="s">
        <v>7960</v>
      </c>
      <c r="B1287" s="152" t="s">
        <v>2398</v>
      </c>
      <c r="C1287" s="152" t="s">
        <v>2675</v>
      </c>
      <c r="D1287" s="152" t="s">
        <v>2398</v>
      </c>
      <c r="E1287" s="152" t="s">
        <v>2397</v>
      </c>
      <c r="F1287" s="152" t="s">
        <v>2705</v>
      </c>
      <c r="G1287" s="152" t="s">
        <v>2398</v>
      </c>
      <c r="H1287" s="152" t="s">
        <v>2397</v>
      </c>
      <c r="I1287" s="152" t="s">
        <v>2675</v>
      </c>
      <c r="J1287" s="152" t="s">
        <v>2705</v>
      </c>
      <c r="K1287" s="152" t="s">
        <v>2705</v>
      </c>
      <c r="L1287" s="152" t="s">
        <v>2705</v>
      </c>
      <c r="M1287" s="152" t="s">
        <v>2705</v>
      </c>
      <c r="N1287" s="152" t="s">
        <v>2398</v>
      </c>
      <c r="O1287" s="152" t="s">
        <v>2398</v>
      </c>
      <c r="P1287" s="152" t="s">
        <v>2705</v>
      </c>
      <c r="Q1287" s="152" t="s">
        <v>2705</v>
      </c>
      <c r="R1287" s="152" t="s">
        <v>1435</v>
      </c>
      <c r="S1287" s="152" t="s">
        <v>2705</v>
      </c>
      <c r="T1287" s="152" t="s">
        <v>2705</v>
      </c>
      <c r="U1287" s="152" t="s">
        <v>2705</v>
      </c>
      <c r="V1287" s="142" cm="1">
        <f t="array" ref="V1287">IF(A1287&lt;&gt;"",SUM(--(B1287:U1288 = "X")*$U$3,--(B1287:U1288 ="A")*$Q$3,--(B1287:U1288 ="B")*$R$3,--(B1287:U1288 ="C")*$S$3),"")</f>
        <v>14.5</v>
      </c>
      <c r="AF1287" s="142" t="s">
        <v>7960</v>
      </c>
      <c r="AG1287" s="142" t="s">
        <v>2398</v>
      </c>
      <c r="AH1287" s="142" t="s">
        <v>2675</v>
      </c>
      <c r="AI1287" s="142" t="s">
        <v>2398</v>
      </c>
      <c r="AJ1287" s="142" t="s">
        <v>2397</v>
      </c>
      <c r="AK1287" s="142" t="s">
        <v>2705</v>
      </c>
      <c r="AL1287" s="142" t="s">
        <v>2398</v>
      </c>
      <c r="AM1287" s="142" t="s">
        <v>2397</v>
      </c>
      <c r="AN1287" s="142" t="s">
        <v>2675</v>
      </c>
      <c r="AO1287" s="142" t="s">
        <v>2705</v>
      </c>
      <c r="AP1287" s="142" t="s">
        <v>2705</v>
      </c>
      <c r="AQ1287" s="142" t="s">
        <v>2705</v>
      </c>
      <c r="AR1287" s="142" t="s">
        <v>2705</v>
      </c>
      <c r="AS1287" s="142" t="s">
        <v>2398</v>
      </c>
      <c r="AT1287" s="142" t="s">
        <v>2398</v>
      </c>
      <c r="AU1287" s="142" t="s">
        <v>2705</v>
      </c>
      <c r="AV1287" s="142" t="s">
        <v>2705</v>
      </c>
      <c r="AW1287" s="142" t="s">
        <v>1435</v>
      </c>
      <c r="AX1287" s="142" t="s">
        <v>2705</v>
      </c>
      <c r="AY1287" s="142" t="s">
        <v>2705</v>
      </c>
      <c r="AZ1287" s="142" t="s">
        <v>2705</v>
      </c>
    </row>
    <row r="1288" spans="1:52" s="142" customFormat="1" ht="12.75" x14ac:dyDescent="0.2">
      <c r="A1288" s="151"/>
      <c r="B1288" s="152" t="s">
        <v>2398</v>
      </c>
      <c r="C1288" s="152" t="s">
        <v>2675</v>
      </c>
      <c r="D1288" s="152" t="s">
        <v>2398</v>
      </c>
      <c r="E1288" s="152" t="s">
        <v>2675</v>
      </c>
      <c r="F1288" s="152" t="s">
        <v>2398</v>
      </c>
      <c r="G1288" s="152" t="s">
        <v>2705</v>
      </c>
      <c r="H1288" s="152" t="s">
        <v>2398</v>
      </c>
      <c r="I1288" s="152" t="s">
        <v>2705</v>
      </c>
      <c r="J1288" s="152" t="s">
        <v>2705</v>
      </c>
      <c r="K1288" s="152" t="s">
        <v>2705</v>
      </c>
      <c r="L1288" s="152" t="s">
        <v>2675</v>
      </c>
      <c r="M1288" s="152" t="s">
        <v>2705</v>
      </c>
      <c r="N1288" s="152" t="s">
        <v>2705</v>
      </c>
      <c r="O1288" s="152" t="s">
        <v>2675</v>
      </c>
      <c r="P1288" s="152" t="s">
        <v>2675</v>
      </c>
      <c r="Q1288" s="152" t="s">
        <v>2705</v>
      </c>
      <c r="R1288" s="152" t="s">
        <v>2705</v>
      </c>
      <c r="S1288" s="152" t="s">
        <v>2705</v>
      </c>
      <c r="T1288" s="152" t="s">
        <v>2397</v>
      </c>
      <c r="U1288" s="152" t="s">
        <v>2675</v>
      </c>
      <c r="V1288" s="142" t="str" cm="1">
        <f t="array" ref="V1288">IF(A1288&lt;&gt;"",SUM(--(B1288:U1289 = "X")*$U$3,--(B1288:U1289 ="A")*$Q$3,--(B1288:U1289 ="B")*$R$3,--(B1288:U1289 ="C")*$S$3),"")</f>
        <v/>
      </c>
      <c r="AG1288" s="142" t="s">
        <v>2398</v>
      </c>
      <c r="AH1288" s="142" t="s">
        <v>2675</v>
      </c>
      <c r="AI1288" s="142" t="s">
        <v>2398</v>
      </c>
      <c r="AJ1288" s="142" t="s">
        <v>2675</v>
      </c>
      <c r="AK1288" s="142" t="s">
        <v>2398</v>
      </c>
      <c r="AL1288" s="142" t="s">
        <v>2705</v>
      </c>
      <c r="AM1288" s="142" t="s">
        <v>2398</v>
      </c>
      <c r="AN1288" s="142" t="s">
        <v>2705</v>
      </c>
      <c r="AO1288" s="142" t="s">
        <v>2705</v>
      </c>
      <c r="AP1288" s="142" t="s">
        <v>2705</v>
      </c>
      <c r="AQ1288" s="142" t="s">
        <v>2675</v>
      </c>
      <c r="AR1288" s="142" t="s">
        <v>2705</v>
      </c>
      <c r="AS1288" s="142" t="s">
        <v>2705</v>
      </c>
      <c r="AT1288" s="142" t="s">
        <v>2675</v>
      </c>
      <c r="AU1288" s="142" t="s">
        <v>2675</v>
      </c>
      <c r="AV1288" s="142" t="s">
        <v>2705</v>
      </c>
      <c r="AW1288" s="142" t="s">
        <v>2705</v>
      </c>
      <c r="AX1288" s="142" t="s">
        <v>2705</v>
      </c>
      <c r="AY1288" s="142" t="s">
        <v>2397</v>
      </c>
      <c r="AZ1288" s="142" t="s">
        <v>2675</v>
      </c>
    </row>
    <row r="1289" spans="1:52" s="142" customFormat="1" ht="12.75" x14ac:dyDescent="0.2">
      <c r="A1289" s="151" t="s">
        <v>7961</v>
      </c>
      <c r="B1289" s="152" t="s">
        <v>2675</v>
      </c>
      <c r="C1289" s="152" t="s">
        <v>2398</v>
      </c>
      <c r="D1289" s="152" t="s">
        <v>2398</v>
      </c>
      <c r="E1289" s="152" t="s">
        <v>2398</v>
      </c>
      <c r="F1289" s="152" t="s">
        <v>2705</v>
      </c>
      <c r="G1289" s="152" t="s">
        <v>2705</v>
      </c>
      <c r="H1289" s="152" t="s">
        <v>2705</v>
      </c>
      <c r="I1289" s="152" t="s">
        <v>2398</v>
      </c>
      <c r="J1289" s="152" t="s">
        <v>1435</v>
      </c>
      <c r="K1289" s="152" t="s">
        <v>2705</v>
      </c>
      <c r="L1289" s="152" t="s">
        <v>2705</v>
      </c>
      <c r="M1289" s="152" t="s">
        <v>2705</v>
      </c>
      <c r="N1289" s="152" t="s">
        <v>2705</v>
      </c>
      <c r="O1289" s="152" t="s">
        <v>2705</v>
      </c>
      <c r="P1289" s="152" t="s">
        <v>2705</v>
      </c>
      <c r="Q1289" s="152" t="s">
        <v>2705</v>
      </c>
      <c r="R1289" s="152" t="s">
        <v>2705</v>
      </c>
      <c r="S1289" s="152" t="s">
        <v>2705</v>
      </c>
      <c r="T1289" s="152" t="s">
        <v>2705</v>
      </c>
      <c r="U1289" s="152" t="s">
        <v>2705</v>
      </c>
      <c r="V1289" s="142" cm="1">
        <f t="array" ref="V1289">IF(A1289&lt;&gt;"",SUM(--(B1289:U1290 = "X")*$U$3,--(B1289:U1290 ="A")*$Q$3,--(B1289:U1290 ="B")*$R$3,--(B1289:U1290 ="C")*$S$3),"")</f>
        <v>21.5</v>
      </c>
      <c r="AF1289" s="142" t="s">
        <v>7961</v>
      </c>
      <c r="AG1289" s="142" t="s">
        <v>2675</v>
      </c>
      <c r="AH1289" s="142" t="s">
        <v>2398</v>
      </c>
      <c r="AI1289" s="142" t="s">
        <v>2398</v>
      </c>
      <c r="AJ1289" s="142" t="s">
        <v>2398</v>
      </c>
      <c r="AK1289" s="142" t="s">
        <v>2705</v>
      </c>
      <c r="AL1289" s="142" t="s">
        <v>2705</v>
      </c>
      <c r="AM1289" s="142" t="s">
        <v>2705</v>
      </c>
      <c r="AN1289" s="142" t="s">
        <v>2398</v>
      </c>
      <c r="AO1289" s="142" t="s">
        <v>1435</v>
      </c>
      <c r="AP1289" s="142" t="s">
        <v>2705</v>
      </c>
      <c r="AQ1289" s="142" t="s">
        <v>2705</v>
      </c>
      <c r="AR1289" s="142" t="s">
        <v>2705</v>
      </c>
      <c r="AS1289" s="142" t="s">
        <v>2705</v>
      </c>
      <c r="AT1289" s="142" t="s">
        <v>2705</v>
      </c>
      <c r="AU1289" s="142" t="s">
        <v>2705</v>
      </c>
      <c r="AV1289" s="142" t="s">
        <v>2705</v>
      </c>
      <c r="AW1289" s="142" t="s">
        <v>2705</v>
      </c>
      <c r="AX1289" s="142" t="s">
        <v>2705</v>
      </c>
      <c r="AY1289" s="142" t="s">
        <v>2705</v>
      </c>
      <c r="AZ1289" s="142" t="s">
        <v>2705</v>
      </c>
    </row>
    <row r="1290" spans="1:52" s="142" customFormat="1" ht="12.75" x14ac:dyDescent="0.2">
      <c r="A1290" s="151"/>
      <c r="B1290" s="152" t="s">
        <v>2705</v>
      </c>
      <c r="C1290" s="152" t="s">
        <v>2398</v>
      </c>
      <c r="D1290" s="152" t="s">
        <v>2705</v>
      </c>
      <c r="E1290" s="152" t="s">
        <v>2705</v>
      </c>
      <c r="F1290" s="152" t="s">
        <v>2705</v>
      </c>
      <c r="G1290" s="152" t="s">
        <v>2398</v>
      </c>
      <c r="H1290" s="152" t="s">
        <v>2397</v>
      </c>
      <c r="I1290" s="152" t="s">
        <v>2398</v>
      </c>
      <c r="J1290" s="152" t="s">
        <v>2705</v>
      </c>
      <c r="K1290" s="152" t="s">
        <v>2398</v>
      </c>
      <c r="L1290" s="152" t="s">
        <v>2705</v>
      </c>
      <c r="M1290" s="152" t="s">
        <v>2398</v>
      </c>
      <c r="N1290" s="152" t="s">
        <v>2705</v>
      </c>
      <c r="O1290" s="152" t="s">
        <v>2398</v>
      </c>
      <c r="P1290" s="152" t="s">
        <v>2398</v>
      </c>
      <c r="Q1290" s="152" t="s">
        <v>2705</v>
      </c>
      <c r="R1290" s="152" t="s">
        <v>2675</v>
      </c>
      <c r="S1290" s="152" t="s">
        <v>2705</v>
      </c>
      <c r="T1290" s="152" t="s">
        <v>2398</v>
      </c>
      <c r="U1290" s="152" t="s">
        <v>2398</v>
      </c>
      <c r="V1290" s="142" t="str" cm="1">
        <f t="array" ref="V1290">IF(A1290&lt;&gt;"",SUM(--(B1290:U1291 = "X")*$U$3,--(B1290:U1291 ="A")*$Q$3,--(B1290:U1291 ="B")*$R$3,--(B1290:U1291 ="C")*$S$3),"")</f>
        <v/>
      </c>
      <c r="AG1290" s="142" t="s">
        <v>2705</v>
      </c>
      <c r="AH1290" s="142" t="s">
        <v>2398</v>
      </c>
      <c r="AI1290" s="142" t="s">
        <v>2705</v>
      </c>
      <c r="AJ1290" s="142" t="s">
        <v>2705</v>
      </c>
      <c r="AK1290" s="142" t="s">
        <v>2705</v>
      </c>
      <c r="AL1290" s="142" t="s">
        <v>2398</v>
      </c>
      <c r="AM1290" s="142" t="s">
        <v>2397</v>
      </c>
      <c r="AN1290" s="142" t="s">
        <v>2398</v>
      </c>
      <c r="AO1290" s="142" t="s">
        <v>2705</v>
      </c>
      <c r="AP1290" s="142" t="s">
        <v>2398</v>
      </c>
      <c r="AQ1290" s="142" t="s">
        <v>2705</v>
      </c>
      <c r="AR1290" s="142" t="s">
        <v>2398</v>
      </c>
      <c r="AS1290" s="142" t="s">
        <v>2705</v>
      </c>
      <c r="AT1290" s="142" t="s">
        <v>2398</v>
      </c>
      <c r="AU1290" s="142" t="s">
        <v>2398</v>
      </c>
      <c r="AV1290" s="142" t="s">
        <v>2705</v>
      </c>
      <c r="AW1290" s="142" t="s">
        <v>2675</v>
      </c>
      <c r="AX1290" s="142" t="s">
        <v>2705</v>
      </c>
      <c r="AY1290" s="142" t="s">
        <v>2398</v>
      </c>
      <c r="AZ1290" s="142" t="s">
        <v>2398</v>
      </c>
    </row>
    <row r="1291" spans="1:52" s="142" customFormat="1" ht="12.75" x14ac:dyDescent="0.2">
      <c r="A1291" s="151" t="s">
        <v>7962</v>
      </c>
      <c r="B1291" s="152" t="s">
        <v>1435</v>
      </c>
      <c r="C1291" s="152" t="s">
        <v>2675</v>
      </c>
      <c r="D1291" s="152" t="s">
        <v>2705</v>
      </c>
      <c r="E1291" s="152" t="s">
        <v>2705</v>
      </c>
      <c r="F1291" s="152" t="s">
        <v>1435</v>
      </c>
      <c r="G1291" s="152" t="s">
        <v>2398</v>
      </c>
      <c r="H1291" s="152" t="s">
        <v>2398</v>
      </c>
      <c r="I1291" s="152" t="s">
        <v>2705</v>
      </c>
      <c r="J1291" s="152" t="s">
        <v>2398</v>
      </c>
      <c r="K1291" s="152" t="s">
        <v>2398</v>
      </c>
      <c r="L1291" s="152" t="s">
        <v>2675</v>
      </c>
      <c r="M1291" s="152" t="s">
        <v>2675</v>
      </c>
      <c r="N1291" s="152" t="s">
        <v>1435</v>
      </c>
      <c r="O1291" s="152" t="s">
        <v>2705</v>
      </c>
      <c r="P1291" s="152" t="s">
        <v>2398</v>
      </c>
      <c r="Q1291" s="152" t="s">
        <v>2675</v>
      </c>
      <c r="R1291" s="152" t="s">
        <v>2398</v>
      </c>
      <c r="S1291" s="152" t="s">
        <v>2705</v>
      </c>
      <c r="T1291" s="152" t="s">
        <v>2705</v>
      </c>
      <c r="U1291" s="152" t="s">
        <v>2705</v>
      </c>
      <c r="V1291" s="142" cm="1">
        <f t="array" ref="V1291">IF(A1291&lt;&gt;"",SUM(--(B1291:U1292 = "X")*$U$3,--(B1291:U1292 ="A")*$Q$3,--(B1291:U1292 ="B")*$R$3,--(B1291:U1292 ="C")*$S$3),"")</f>
        <v>10</v>
      </c>
      <c r="AF1291" s="142" t="s">
        <v>7962</v>
      </c>
      <c r="AG1291" s="142" t="s">
        <v>1435</v>
      </c>
      <c r="AH1291" s="142" t="s">
        <v>2675</v>
      </c>
      <c r="AI1291" s="142" t="s">
        <v>2705</v>
      </c>
      <c r="AJ1291" s="142" t="s">
        <v>2705</v>
      </c>
      <c r="AK1291" s="142" t="s">
        <v>1435</v>
      </c>
      <c r="AL1291" s="142" t="s">
        <v>2398</v>
      </c>
      <c r="AM1291" s="142" t="s">
        <v>2398</v>
      </c>
      <c r="AN1291" s="142" t="s">
        <v>2705</v>
      </c>
      <c r="AO1291" s="142" t="s">
        <v>2398</v>
      </c>
      <c r="AP1291" s="142" t="s">
        <v>2398</v>
      </c>
      <c r="AQ1291" s="142" t="s">
        <v>2675</v>
      </c>
      <c r="AR1291" s="142" t="s">
        <v>2675</v>
      </c>
      <c r="AS1291" s="142" t="s">
        <v>1435</v>
      </c>
      <c r="AT1291" s="142" t="s">
        <v>2705</v>
      </c>
      <c r="AU1291" s="142" t="s">
        <v>2398</v>
      </c>
      <c r="AV1291" s="142" t="s">
        <v>2675</v>
      </c>
      <c r="AW1291" s="142" t="s">
        <v>2398</v>
      </c>
      <c r="AX1291" s="142" t="s">
        <v>2705</v>
      </c>
      <c r="AY1291" s="142" t="s">
        <v>2705</v>
      </c>
      <c r="AZ1291" s="142" t="s">
        <v>2705</v>
      </c>
    </row>
    <row r="1292" spans="1:52" s="142" customFormat="1" ht="12.75" x14ac:dyDescent="0.2">
      <c r="A1292" s="151"/>
      <c r="B1292" s="152" t="s">
        <v>2705</v>
      </c>
      <c r="C1292" s="152" t="s">
        <v>2675</v>
      </c>
      <c r="D1292" s="152" t="s">
        <v>2398</v>
      </c>
      <c r="E1292" s="152" t="s">
        <v>2705</v>
      </c>
      <c r="F1292" s="152" t="s">
        <v>2398</v>
      </c>
      <c r="G1292" s="152" t="s">
        <v>2705</v>
      </c>
      <c r="H1292" s="152" t="s">
        <v>2398</v>
      </c>
      <c r="I1292" s="152" t="s">
        <v>1435</v>
      </c>
      <c r="J1292" s="152" t="s">
        <v>2398</v>
      </c>
      <c r="K1292" s="152" t="s">
        <v>2705</v>
      </c>
      <c r="L1292" s="152" t="s">
        <v>2398</v>
      </c>
      <c r="M1292" s="152" t="s">
        <v>2705</v>
      </c>
      <c r="N1292" s="152" t="s">
        <v>2675</v>
      </c>
      <c r="O1292" s="152" t="s">
        <v>2398</v>
      </c>
      <c r="P1292" s="152" t="s">
        <v>2705</v>
      </c>
      <c r="Q1292" s="152" t="s">
        <v>2398</v>
      </c>
      <c r="R1292" s="152" t="s">
        <v>2398</v>
      </c>
      <c r="S1292" s="152" t="s">
        <v>2705</v>
      </c>
      <c r="T1292" s="152" t="s">
        <v>2705</v>
      </c>
      <c r="U1292" s="152" t="s">
        <v>2398</v>
      </c>
      <c r="V1292" s="142" t="str" cm="1">
        <f t="array" ref="V1292">IF(A1292&lt;&gt;"",SUM(--(B1292:U1293 = "X")*$U$3,--(B1292:U1293 ="A")*$Q$3,--(B1292:U1293 ="B")*$R$3,--(B1292:U1293 ="C")*$S$3),"")</f>
        <v/>
      </c>
      <c r="AG1292" s="142" t="s">
        <v>2705</v>
      </c>
      <c r="AH1292" s="142" t="s">
        <v>2675</v>
      </c>
      <c r="AI1292" s="142" t="s">
        <v>2398</v>
      </c>
      <c r="AJ1292" s="142" t="s">
        <v>2705</v>
      </c>
      <c r="AK1292" s="142" t="s">
        <v>2398</v>
      </c>
      <c r="AL1292" s="142" t="s">
        <v>2705</v>
      </c>
      <c r="AM1292" s="142" t="s">
        <v>2398</v>
      </c>
      <c r="AN1292" s="142" t="s">
        <v>1435</v>
      </c>
      <c r="AO1292" s="142" t="s">
        <v>2398</v>
      </c>
      <c r="AP1292" s="142" t="s">
        <v>2705</v>
      </c>
      <c r="AQ1292" s="142" t="s">
        <v>2398</v>
      </c>
      <c r="AR1292" s="142" t="s">
        <v>2705</v>
      </c>
      <c r="AS1292" s="142" t="s">
        <v>2675</v>
      </c>
      <c r="AT1292" s="142" t="s">
        <v>2398</v>
      </c>
      <c r="AU1292" s="142" t="s">
        <v>2705</v>
      </c>
      <c r="AV1292" s="142" t="s">
        <v>2398</v>
      </c>
      <c r="AW1292" s="142" t="s">
        <v>2398</v>
      </c>
      <c r="AX1292" s="142" t="s">
        <v>2705</v>
      </c>
      <c r="AY1292" s="142" t="s">
        <v>2705</v>
      </c>
      <c r="AZ1292" s="142" t="s">
        <v>2398</v>
      </c>
    </row>
    <row r="1293" spans="1:52" s="142" customFormat="1" ht="12.75" x14ac:dyDescent="0.2">
      <c r="A1293" s="151" t="s">
        <v>7963</v>
      </c>
      <c r="B1293" s="152" t="s">
        <v>2398</v>
      </c>
      <c r="C1293" s="152" t="s">
        <v>1435</v>
      </c>
      <c r="D1293" s="152" t="s">
        <v>2705</v>
      </c>
      <c r="E1293" s="152" t="s">
        <v>2398</v>
      </c>
      <c r="F1293" s="152" t="s">
        <v>2705</v>
      </c>
      <c r="G1293" s="152" t="s">
        <v>1435</v>
      </c>
      <c r="H1293" s="152" t="s">
        <v>2705</v>
      </c>
      <c r="I1293" s="152" t="s">
        <v>2675</v>
      </c>
      <c r="J1293" s="152" t="s">
        <v>2675</v>
      </c>
      <c r="K1293" s="152" t="s">
        <v>2705</v>
      </c>
      <c r="L1293" s="152" t="s">
        <v>2705</v>
      </c>
      <c r="M1293" s="152" t="s">
        <v>2705</v>
      </c>
      <c r="N1293" s="152" t="s">
        <v>2397</v>
      </c>
      <c r="O1293" s="152" t="s">
        <v>2705</v>
      </c>
      <c r="P1293" s="152" t="s">
        <v>2398</v>
      </c>
      <c r="Q1293" s="152" t="s">
        <v>2705</v>
      </c>
      <c r="R1293" s="152" t="s">
        <v>2705</v>
      </c>
      <c r="S1293" s="152" t="s">
        <v>2705</v>
      </c>
      <c r="T1293" s="152" t="s">
        <v>2397</v>
      </c>
      <c r="U1293" s="152" t="s">
        <v>2705</v>
      </c>
      <c r="V1293" s="142" cm="1">
        <f t="array" ref="V1293">IF(A1293&lt;&gt;"",SUM(--(B1293:U1294 = "X")*$U$3,--(B1293:U1294 ="A")*$Q$3,--(B1293:U1294 ="B")*$R$3,--(B1293:U1294 ="C")*$S$3),"")</f>
        <v>13.5</v>
      </c>
      <c r="AF1293" s="142" t="s">
        <v>7963</v>
      </c>
      <c r="AG1293" s="142" t="s">
        <v>2398</v>
      </c>
      <c r="AH1293" s="142" t="s">
        <v>1435</v>
      </c>
      <c r="AI1293" s="142" t="s">
        <v>2705</v>
      </c>
      <c r="AJ1293" s="142" t="s">
        <v>2398</v>
      </c>
      <c r="AK1293" s="142" t="s">
        <v>2705</v>
      </c>
      <c r="AL1293" s="142" t="s">
        <v>1435</v>
      </c>
      <c r="AM1293" s="142" t="s">
        <v>2705</v>
      </c>
      <c r="AN1293" s="142" t="s">
        <v>2675</v>
      </c>
      <c r="AO1293" s="142" t="s">
        <v>2675</v>
      </c>
      <c r="AP1293" s="142" t="s">
        <v>2705</v>
      </c>
      <c r="AQ1293" s="142" t="s">
        <v>2705</v>
      </c>
      <c r="AR1293" s="142" t="s">
        <v>2705</v>
      </c>
      <c r="AS1293" s="142" t="s">
        <v>2397</v>
      </c>
      <c r="AT1293" s="142" t="s">
        <v>2705</v>
      </c>
      <c r="AU1293" s="142" t="s">
        <v>2398</v>
      </c>
      <c r="AV1293" s="142" t="s">
        <v>2705</v>
      </c>
      <c r="AW1293" s="142" t="s">
        <v>2705</v>
      </c>
      <c r="AX1293" s="142" t="s">
        <v>2705</v>
      </c>
      <c r="AY1293" s="142" t="s">
        <v>2397</v>
      </c>
      <c r="AZ1293" s="142" t="s">
        <v>2705</v>
      </c>
    </row>
    <row r="1294" spans="1:52" s="142" customFormat="1" ht="12.75" x14ac:dyDescent="0.2">
      <c r="A1294" s="151"/>
      <c r="B1294" s="152" t="s">
        <v>2398</v>
      </c>
      <c r="C1294" s="152" t="s">
        <v>2398</v>
      </c>
      <c r="D1294" s="152" t="s">
        <v>2705</v>
      </c>
      <c r="E1294" s="152" t="s">
        <v>1435</v>
      </c>
      <c r="F1294" s="152" t="s">
        <v>2397</v>
      </c>
      <c r="G1294" s="152" t="s">
        <v>2705</v>
      </c>
      <c r="H1294" s="152" t="s">
        <v>2705</v>
      </c>
      <c r="I1294" s="152" t="s">
        <v>2705</v>
      </c>
      <c r="J1294" s="152" t="s">
        <v>1435</v>
      </c>
      <c r="K1294" s="152" t="s">
        <v>1435</v>
      </c>
      <c r="L1294" s="152" t="s">
        <v>2398</v>
      </c>
      <c r="M1294" s="152" t="s">
        <v>1435</v>
      </c>
      <c r="N1294" s="152" t="s">
        <v>1435</v>
      </c>
      <c r="O1294" s="152" t="s">
        <v>2398</v>
      </c>
      <c r="P1294" s="152" t="s">
        <v>2398</v>
      </c>
      <c r="Q1294" s="152" t="s">
        <v>2398</v>
      </c>
      <c r="R1294" s="152" t="s">
        <v>2705</v>
      </c>
      <c r="S1294" s="152" t="s">
        <v>2705</v>
      </c>
      <c r="T1294" s="152" t="s">
        <v>2397</v>
      </c>
      <c r="U1294" s="152" t="s">
        <v>2705</v>
      </c>
      <c r="V1294" s="142" t="str" cm="1">
        <f t="array" ref="V1294">IF(A1294&lt;&gt;"",SUM(--(B1294:U1295 = "X")*$U$3,--(B1294:U1295 ="A")*$Q$3,--(B1294:U1295 ="B")*$R$3,--(B1294:U1295 ="C")*$S$3),"")</f>
        <v/>
      </c>
      <c r="AG1294" s="142" t="s">
        <v>2398</v>
      </c>
      <c r="AH1294" s="142" t="s">
        <v>2398</v>
      </c>
      <c r="AI1294" s="142" t="s">
        <v>2705</v>
      </c>
      <c r="AJ1294" s="142" t="s">
        <v>1435</v>
      </c>
      <c r="AK1294" s="142" t="s">
        <v>2397</v>
      </c>
      <c r="AL1294" s="142" t="s">
        <v>2705</v>
      </c>
      <c r="AM1294" s="142" t="s">
        <v>2705</v>
      </c>
      <c r="AN1294" s="142" t="s">
        <v>2705</v>
      </c>
      <c r="AO1294" s="142" t="s">
        <v>1435</v>
      </c>
      <c r="AP1294" s="142" t="s">
        <v>1435</v>
      </c>
      <c r="AQ1294" s="142" t="s">
        <v>2398</v>
      </c>
      <c r="AR1294" s="142" t="s">
        <v>1435</v>
      </c>
      <c r="AS1294" s="142" t="s">
        <v>1435</v>
      </c>
      <c r="AT1294" s="142" t="s">
        <v>2398</v>
      </c>
      <c r="AU1294" s="142" t="s">
        <v>2398</v>
      </c>
      <c r="AV1294" s="142" t="s">
        <v>2398</v>
      </c>
      <c r="AW1294" s="142" t="s">
        <v>2705</v>
      </c>
      <c r="AX1294" s="142" t="s">
        <v>2705</v>
      </c>
      <c r="AY1294" s="142" t="s">
        <v>2397</v>
      </c>
      <c r="AZ1294" s="142" t="s">
        <v>2705</v>
      </c>
    </row>
    <row r="1295" spans="1:52" s="142" customFormat="1" ht="12.75" x14ac:dyDescent="0.2">
      <c r="A1295" s="151" t="s">
        <v>7964</v>
      </c>
      <c r="B1295" s="152" t="s">
        <v>2675</v>
      </c>
      <c r="C1295" s="152" t="s">
        <v>2675</v>
      </c>
      <c r="D1295" s="152" t="s">
        <v>1435</v>
      </c>
      <c r="E1295" s="152" t="s">
        <v>2397</v>
      </c>
      <c r="F1295" s="152" t="s">
        <v>2398</v>
      </c>
      <c r="G1295" s="152" t="s">
        <v>2398</v>
      </c>
      <c r="H1295" s="152" t="s">
        <v>2397</v>
      </c>
      <c r="I1295" s="152" t="s">
        <v>2675</v>
      </c>
      <c r="J1295" s="152" t="s">
        <v>2398</v>
      </c>
      <c r="K1295" s="152" t="s">
        <v>2705</v>
      </c>
      <c r="L1295" s="152" t="s">
        <v>2398</v>
      </c>
      <c r="M1295" s="152" t="s">
        <v>2705</v>
      </c>
      <c r="N1295" s="152" t="s">
        <v>2397</v>
      </c>
      <c r="O1295" s="152" t="s">
        <v>2397</v>
      </c>
      <c r="P1295" s="152" t="s">
        <v>2398</v>
      </c>
      <c r="Q1295" s="152" t="s">
        <v>2705</v>
      </c>
      <c r="R1295" s="152" t="s">
        <v>1435</v>
      </c>
      <c r="S1295" s="152" t="s">
        <v>2705</v>
      </c>
      <c r="T1295" s="152" t="s">
        <v>2398</v>
      </c>
      <c r="U1295" s="152" t="s">
        <v>2705</v>
      </c>
      <c r="V1295" s="142" cm="1">
        <f t="array" ref="V1295">IF(A1295&lt;&gt;"",SUM(--(B1295:U1296 = "X")*$U$3,--(B1295:U1296 ="A")*$Q$3,--(B1295:U1296 ="B")*$R$3,--(B1295:U1296 ="C")*$S$3),"")</f>
        <v>5</v>
      </c>
      <c r="AF1295" s="142" t="s">
        <v>7964</v>
      </c>
      <c r="AG1295" s="142" t="s">
        <v>2675</v>
      </c>
      <c r="AH1295" s="142" t="s">
        <v>2675</v>
      </c>
      <c r="AI1295" s="142" t="s">
        <v>1435</v>
      </c>
      <c r="AJ1295" s="142" t="s">
        <v>2397</v>
      </c>
      <c r="AK1295" s="142" t="s">
        <v>2398</v>
      </c>
      <c r="AL1295" s="142" t="s">
        <v>2398</v>
      </c>
      <c r="AM1295" s="142" t="s">
        <v>2397</v>
      </c>
      <c r="AN1295" s="142" t="s">
        <v>2675</v>
      </c>
      <c r="AO1295" s="142" t="s">
        <v>2398</v>
      </c>
      <c r="AP1295" s="142" t="s">
        <v>2705</v>
      </c>
      <c r="AQ1295" s="142" t="s">
        <v>2398</v>
      </c>
      <c r="AR1295" s="142" t="s">
        <v>2705</v>
      </c>
      <c r="AS1295" s="142" t="s">
        <v>2397</v>
      </c>
      <c r="AT1295" s="142" t="s">
        <v>2397</v>
      </c>
      <c r="AU1295" s="142" t="s">
        <v>2398</v>
      </c>
      <c r="AV1295" s="142" t="s">
        <v>2705</v>
      </c>
      <c r="AW1295" s="142" t="s">
        <v>1435</v>
      </c>
      <c r="AX1295" s="142" t="s">
        <v>2705</v>
      </c>
      <c r="AY1295" s="142" t="s">
        <v>2398</v>
      </c>
      <c r="AZ1295" s="142" t="s">
        <v>2705</v>
      </c>
    </row>
    <row r="1296" spans="1:52" s="142" customFormat="1" ht="12.75" x14ac:dyDescent="0.2">
      <c r="A1296" s="151"/>
      <c r="B1296" s="152" t="s">
        <v>2705</v>
      </c>
      <c r="C1296" s="152" t="s">
        <v>2675</v>
      </c>
      <c r="D1296" s="152" t="s">
        <v>2398</v>
      </c>
      <c r="E1296" s="152" t="s">
        <v>2705</v>
      </c>
      <c r="F1296" s="152" t="s">
        <v>2398</v>
      </c>
      <c r="G1296" s="152" t="s">
        <v>2398</v>
      </c>
      <c r="H1296" s="152" t="s">
        <v>2398</v>
      </c>
      <c r="I1296" s="152" t="s">
        <v>2705</v>
      </c>
      <c r="J1296" s="152" t="s">
        <v>2398</v>
      </c>
      <c r="K1296" s="152" t="s">
        <v>1435</v>
      </c>
      <c r="L1296" s="152" t="s">
        <v>2675</v>
      </c>
      <c r="M1296" s="152" t="s">
        <v>1435</v>
      </c>
      <c r="N1296" s="152" t="s">
        <v>2705</v>
      </c>
      <c r="O1296" s="152" t="s">
        <v>2398</v>
      </c>
      <c r="P1296" s="152" t="s">
        <v>2675</v>
      </c>
      <c r="Q1296" s="152" t="s">
        <v>2398</v>
      </c>
      <c r="R1296" s="152" t="s">
        <v>2398</v>
      </c>
      <c r="S1296" s="152" t="s">
        <v>2705</v>
      </c>
      <c r="T1296" s="152" t="s">
        <v>2398</v>
      </c>
      <c r="U1296" s="152" t="s">
        <v>2398</v>
      </c>
      <c r="V1296" s="142" t="str" cm="1">
        <f t="array" ref="V1296">IF(A1296&lt;&gt;"",SUM(--(B1296:U1297 = "X")*$U$3,--(B1296:U1297 ="A")*$Q$3,--(B1296:U1297 ="B")*$R$3,--(B1296:U1297 ="C")*$S$3),"")</f>
        <v/>
      </c>
      <c r="AG1296" s="142" t="s">
        <v>2705</v>
      </c>
      <c r="AH1296" s="142" t="s">
        <v>2675</v>
      </c>
      <c r="AI1296" s="142" t="s">
        <v>2398</v>
      </c>
      <c r="AJ1296" s="142" t="s">
        <v>2705</v>
      </c>
      <c r="AK1296" s="142" t="s">
        <v>2398</v>
      </c>
      <c r="AL1296" s="142" t="s">
        <v>2398</v>
      </c>
      <c r="AM1296" s="142" t="s">
        <v>2398</v>
      </c>
      <c r="AN1296" s="142" t="s">
        <v>2705</v>
      </c>
      <c r="AO1296" s="142" t="s">
        <v>2398</v>
      </c>
      <c r="AP1296" s="142" t="s">
        <v>1435</v>
      </c>
      <c r="AQ1296" s="142" t="s">
        <v>2675</v>
      </c>
      <c r="AR1296" s="142" t="s">
        <v>1435</v>
      </c>
      <c r="AS1296" s="142" t="s">
        <v>2705</v>
      </c>
      <c r="AT1296" s="142" t="s">
        <v>2398</v>
      </c>
      <c r="AU1296" s="142" t="s">
        <v>2675</v>
      </c>
      <c r="AV1296" s="142" t="s">
        <v>2398</v>
      </c>
      <c r="AW1296" s="142" t="s">
        <v>2398</v>
      </c>
      <c r="AX1296" s="142" t="s">
        <v>2705</v>
      </c>
      <c r="AY1296" s="142" t="s">
        <v>2398</v>
      </c>
      <c r="AZ1296" s="142" t="s">
        <v>2398</v>
      </c>
    </row>
    <row r="1297" spans="1:52" s="142" customFormat="1" ht="12.75" x14ac:dyDescent="0.2">
      <c r="A1297" s="151" t="s">
        <v>7965</v>
      </c>
      <c r="B1297" s="152" t="s">
        <v>2398</v>
      </c>
      <c r="C1297" s="152" t="s">
        <v>2398</v>
      </c>
      <c r="D1297" s="152" t="s">
        <v>1435</v>
      </c>
      <c r="E1297" s="152" t="s">
        <v>2705</v>
      </c>
      <c r="F1297" s="152" t="s">
        <v>2705</v>
      </c>
      <c r="G1297" s="152" t="s">
        <v>2675</v>
      </c>
      <c r="H1297" s="152" t="s">
        <v>2705</v>
      </c>
      <c r="I1297" s="152" t="s">
        <v>2705</v>
      </c>
      <c r="J1297" s="152" t="s">
        <v>2675</v>
      </c>
      <c r="K1297" s="152" t="s">
        <v>2705</v>
      </c>
      <c r="L1297" s="152" t="s">
        <v>2398</v>
      </c>
      <c r="M1297" s="152" t="s">
        <v>2705</v>
      </c>
      <c r="N1297" s="152" t="s">
        <v>2398</v>
      </c>
      <c r="O1297" s="152" t="s">
        <v>2705</v>
      </c>
      <c r="P1297" s="152" t="s">
        <v>2705</v>
      </c>
      <c r="Q1297" s="152" t="s">
        <v>2705</v>
      </c>
      <c r="R1297" s="152" t="s">
        <v>2705</v>
      </c>
      <c r="S1297" s="152" t="s">
        <v>2705</v>
      </c>
      <c r="T1297" s="152" t="s">
        <v>2705</v>
      </c>
      <c r="U1297" s="152" t="s">
        <v>2398</v>
      </c>
      <c r="V1297" s="142" cm="1">
        <f t="array" ref="V1297">IF(A1297&lt;&gt;"",SUM(--(B1297:U1298 = "X")*$U$3,--(B1297:U1298 ="A")*$Q$3,--(B1297:U1298 ="B")*$R$3,--(B1297:U1298 ="C")*$S$3),"")</f>
        <v>19.5</v>
      </c>
      <c r="AF1297" s="142" t="s">
        <v>7965</v>
      </c>
      <c r="AG1297" s="142" t="s">
        <v>2398</v>
      </c>
      <c r="AH1297" s="142" t="s">
        <v>2398</v>
      </c>
      <c r="AI1297" s="142" t="s">
        <v>1435</v>
      </c>
      <c r="AJ1297" s="142" t="s">
        <v>2705</v>
      </c>
      <c r="AK1297" s="142" t="s">
        <v>2705</v>
      </c>
      <c r="AL1297" s="142" t="s">
        <v>2675</v>
      </c>
      <c r="AM1297" s="142" t="s">
        <v>2705</v>
      </c>
      <c r="AN1297" s="142" t="s">
        <v>2705</v>
      </c>
      <c r="AO1297" s="142" t="s">
        <v>2675</v>
      </c>
      <c r="AP1297" s="142" t="s">
        <v>2705</v>
      </c>
      <c r="AQ1297" s="142" t="s">
        <v>2398</v>
      </c>
      <c r="AR1297" s="142" t="s">
        <v>2705</v>
      </c>
      <c r="AS1297" s="142" t="s">
        <v>2398</v>
      </c>
      <c r="AT1297" s="142" t="s">
        <v>2705</v>
      </c>
      <c r="AU1297" s="142" t="s">
        <v>2705</v>
      </c>
      <c r="AV1297" s="142" t="s">
        <v>2705</v>
      </c>
      <c r="AW1297" s="142" t="s">
        <v>2705</v>
      </c>
      <c r="AX1297" s="142" t="s">
        <v>2705</v>
      </c>
      <c r="AY1297" s="142" t="s">
        <v>2705</v>
      </c>
      <c r="AZ1297" s="142" t="s">
        <v>2398</v>
      </c>
    </row>
    <row r="1298" spans="1:52" s="142" customFormat="1" ht="12.75" x14ac:dyDescent="0.2">
      <c r="A1298" s="151"/>
      <c r="B1298" s="152" t="s">
        <v>2705</v>
      </c>
      <c r="C1298" s="152" t="s">
        <v>2705</v>
      </c>
      <c r="D1298" s="152" t="s">
        <v>2705</v>
      </c>
      <c r="E1298" s="152" t="s">
        <v>2675</v>
      </c>
      <c r="F1298" s="152" t="s">
        <v>2398</v>
      </c>
      <c r="G1298" s="152" t="s">
        <v>1435</v>
      </c>
      <c r="H1298" s="152" t="s">
        <v>2705</v>
      </c>
      <c r="I1298" s="152" t="s">
        <v>2705</v>
      </c>
      <c r="J1298" s="152" t="s">
        <v>2705</v>
      </c>
      <c r="K1298" s="152" t="s">
        <v>2705</v>
      </c>
      <c r="L1298" s="152" t="s">
        <v>2705</v>
      </c>
      <c r="M1298" s="152" t="s">
        <v>2705</v>
      </c>
      <c r="N1298" s="152" t="s">
        <v>2705</v>
      </c>
      <c r="O1298" s="152" t="s">
        <v>2397</v>
      </c>
      <c r="P1298" s="152" t="s">
        <v>2705</v>
      </c>
      <c r="Q1298" s="152" t="s">
        <v>2398</v>
      </c>
      <c r="R1298" s="152" t="s">
        <v>2398</v>
      </c>
      <c r="S1298" s="152" t="s">
        <v>2397</v>
      </c>
      <c r="T1298" s="152" t="s">
        <v>2675</v>
      </c>
      <c r="U1298" s="152" t="s">
        <v>2675</v>
      </c>
      <c r="V1298" s="142" t="str" cm="1">
        <f t="array" ref="V1298">IF(A1298&lt;&gt;"",SUM(--(B1298:U1299 = "X")*$U$3,--(B1298:U1299 ="A")*$Q$3,--(B1298:U1299 ="B")*$R$3,--(B1298:U1299 ="C")*$S$3),"")</f>
        <v/>
      </c>
      <c r="AG1298" s="142" t="s">
        <v>2705</v>
      </c>
      <c r="AH1298" s="142" t="s">
        <v>2705</v>
      </c>
      <c r="AI1298" s="142" t="s">
        <v>2705</v>
      </c>
      <c r="AJ1298" s="142" t="s">
        <v>2675</v>
      </c>
      <c r="AK1298" s="142" t="s">
        <v>2398</v>
      </c>
      <c r="AL1298" s="142" t="s">
        <v>1435</v>
      </c>
      <c r="AM1298" s="142" t="s">
        <v>2705</v>
      </c>
      <c r="AN1298" s="142" t="s">
        <v>2705</v>
      </c>
      <c r="AO1298" s="142" t="s">
        <v>2705</v>
      </c>
      <c r="AP1298" s="142" t="s">
        <v>2705</v>
      </c>
      <c r="AQ1298" s="142" t="s">
        <v>2705</v>
      </c>
      <c r="AR1298" s="142" t="s">
        <v>2705</v>
      </c>
      <c r="AS1298" s="142" t="s">
        <v>2705</v>
      </c>
      <c r="AT1298" s="142" t="s">
        <v>2397</v>
      </c>
      <c r="AU1298" s="142" t="s">
        <v>2705</v>
      </c>
      <c r="AV1298" s="142" t="s">
        <v>2398</v>
      </c>
      <c r="AW1298" s="142" t="s">
        <v>2398</v>
      </c>
      <c r="AX1298" s="142" t="s">
        <v>2397</v>
      </c>
      <c r="AY1298" s="142" t="s">
        <v>2675</v>
      </c>
      <c r="AZ1298" s="142" t="s">
        <v>2675</v>
      </c>
    </row>
    <row r="1299" spans="1:52" s="142" customFormat="1" ht="12.75" x14ac:dyDescent="0.2">
      <c r="A1299" s="151" t="s">
        <v>7966</v>
      </c>
      <c r="B1299" s="152" t="s">
        <v>2705</v>
      </c>
      <c r="C1299" s="152" t="s">
        <v>2705</v>
      </c>
      <c r="D1299" s="152" t="s">
        <v>2705</v>
      </c>
      <c r="E1299" s="152" t="s">
        <v>2705</v>
      </c>
      <c r="F1299" s="152" t="s">
        <v>2705</v>
      </c>
      <c r="G1299" s="152" t="s">
        <v>2705</v>
      </c>
      <c r="H1299" s="152" t="s">
        <v>2705</v>
      </c>
      <c r="I1299" s="152" t="s">
        <v>2705</v>
      </c>
      <c r="J1299" s="152" t="s">
        <v>2675</v>
      </c>
      <c r="K1299" s="152" t="s">
        <v>2705</v>
      </c>
      <c r="L1299" s="152" t="s">
        <v>2705</v>
      </c>
      <c r="M1299" s="152" t="s">
        <v>2705</v>
      </c>
      <c r="N1299" s="152" t="s">
        <v>2705</v>
      </c>
      <c r="O1299" s="152" t="s">
        <v>2705</v>
      </c>
      <c r="P1299" s="152" t="s">
        <v>2705</v>
      </c>
      <c r="Q1299" s="152" t="s">
        <v>1435</v>
      </c>
      <c r="R1299" s="152" t="s">
        <v>2705</v>
      </c>
      <c r="S1299" s="152" t="s">
        <v>2705</v>
      </c>
      <c r="T1299" s="152" t="s">
        <v>2705</v>
      </c>
      <c r="U1299" s="152" t="s">
        <v>2398</v>
      </c>
      <c r="V1299" s="142" cm="1">
        <f t="array" ref="V1299">IF(A1299&lt;&gt;"",SUM(--(B1299:U1300 = "X")*$U$3,--(B1299:U1300 ="A")*$Q$3,--(B1299:U1300 ="B")*$R$3,--(B1299:U1300 ="C")*$S$3),"")</f>
        <v>28</v>
      </c>
      <c r="AF1299" s="142" t="s">
        <v>7966</v>
      </c>
      <c r="AG1299" s="142" t="s">
        <v>2705</v>
      </c>
      <c r="AH1299" s="142" t="s">
        <v>2705</v>
      </c>
      <c r="AI1299" s="142" t="s">
        <v>2705</v>
      </c>
      <c r="AJ1299" s="142" t="s">
        <v>2705</v>
      </c>
      <c r="AK1299" s="142" t="s">
        <v>2705</v>
      </c>
      <c r="AL1299" s="142" t="s">
        <v>2705</v>
      </c>
      <c r="AM1299" s="142" t="s">
        <v>2705</v>
      </c>
      <c r="AN1299" s="142" t="s">
        <v>2705</v>
      </c>
      <c r="AO1299" s="142" t="s">
        <v>2675</v>
      </c>
      <c r="AP1299" s="142" t="s">
        <v>2705</v>
      </c>
      <c r="AQ1299" s="142" t="s">
        <v>2705</v>
      </c>
      <c r="AR1299" s="142" t="s">
        <v>2705</v>
      </c>
      <c r="AS1299" s="142" t="s">
        <v>2705</v>
      </c>
      <c r="AT1299" s="142" t="s">
        <v>2705</v>
      </c>
      <c r="AU1299" s="142" t="s">
        <v>2705</v>
      </c>
      <c r="AV1299" s="142" t="s">
        <v>1435</v>
      </c>
      <c r="AW1299" s="142" t="s">
        <v>2705</v>
      </c>
      <c r="AX1299" s="142" t="s">
        <v>2705</v>
      </c>
      <c r="AY1299" s="142" t="s">
        <v>2705</v>
      </c>
      <c r="AZ1299" s="142" t="s">
        <v>2398</v>
      </c>
    </row>
    <row r="1300" spans="1:52" s="142" customFormat="1" ht="12.75" x14ac:dyDescent="0.2">
      <c r="A1300" s="151"/>
      <c r="B1300" s="152" t="s">
        <v>2398</v>
      </c>
      <c r="C1300" s="152" t="s">
        <v>2705</v>
      </c>
      <c r="D1300" s="152" t="s">
        <v>2705</v>
      </c>
      <c r="E1300" s="152" t="s">
        <v>2705</v>
      </c>
      <c r="F1300" s="152" t="s">
        <v>2705</v>
      </c>
      <c r="G1300" s="152" t="s">
        <v>2675</v>
      </c>
      <c r="H1300" s="152" t="s">
        <v>2705</v>
      </c>
      <c r="I1300" s="152" t="s">
        <v>2705</v>
      </c>
      <c r="J1300" s="152" t="s">
        <v>2705</v>
      </c>
      <c r="K1300" s="152" t="s">
        <v>2398</v>
      </c>
      <c r="L1300" s="152" t="s">
        <v>2705</v>
      </c>
      <c r="M1300" s="152" t="s">
        <v>2398</v>
      </c>
      <c r="N1300" s="152" t="s">
        <v>2705</v>
      </c>
      <c r="O1300" s="152" t="s">
        <v>2675</v>
      </c>
      <c r="P1300" s="152" t="s">
        <v>2705</v>
      </c>
      <c r="Q1300" s="152" t="s">
        <v>2705</v>
      </c>
      <c r="R1300" s="152" t="s">
        <v>2398</v>
      </c>
      <c r="S1300" s="152" t="s">
        <v>2705</v>
      </c>
      <c r="T1300" s="152" t="s">
        <v>2398</v>
      </c>
      <c r="U1300" s="152" t="s">
        <v>2705</v>
      </c>
      <c r="V1300" s="142" t="str" cm="1">
        <f t="array" ref="V1300">IF(A1300&lt;&gt;"",SUM(--(B1300:U1301 = "X")*$U$3,--(B1300:U1301 ="A")*$Q$3,--(B1300:U1301 ="B")*$R$3,--(B1300:U1301 ="C")*$S$3),"")</f>
        <v/>
      </c>
      <c r="AG1300" s="142" t="s">
        <v>2398</v>
      </c>
      <c r="AH1300" s="142" t="s">
        <v>2705</v>
      </c>
      <c r="AI1300" s="142" t="s">
        <v>2705</v>
      </c>
      <c r="AJ1300" s="142" t="s">
        <v>2705</v>
      </c>
      <c r="AK1300" s="142" t="s">
        <v>2705</v>
      </c>
      <c r="AL1300" s="142" t="s">
        <v>2675</v>
      </c>
      <c r="AM1300" s="142" t="s">
        <v>2705</v>
      </c>
      <c r="AN1300" s="142" t="s">
        <v>2705</v>
      </c>
      <c r="AO1300" s="142" t="s">
        <v>2705</v>
      </c>
      <c r="AP1300" s="142" t="s">
        <v>2398</v>
      </c>
      <c r="AQ1300" s="142" t="s">
        <v>2705</v>
      </c>
      <c r="AR1300" s="142" t="s">
        <v>2398</v>
      </c>
      <c r="AS1300" s="142" t="s">
        <v>2705</v>
      </c>
      <c r="AT1300" s="142" t="s">
        <v>2675</v>
      </c>
      <c r="AU1300" s="142" t="s">
        <v>2705</v>
      </c>
      <c r="AV1300" s="142" t="s">
        <v>2705</v>
      </c>
      <c r="AW1300" s="142" t="s">
        <v>2398</v>
      </c>
      <c r="AX1300" s="142" t="s">
        <v>2705</v>
      </c>
      <c r="AY1300" s="142" t="s">
        <v>2398</v>
      </c>
      <c r="AZ1300" s="142" t="s">
        <v>2705</v>
      </c>
    </row>
    <row r="1301" spans="1:52" s="142" customFormat="1" ht="12.75" x14ac:dyDescent="0.2">
      <c r="A1301" s="151" t="s">
        <v>7967</v>
      </c>
      <c r="B1301" s="152" t="s">
        <v>2398</v>
      </c>
      <c r="C1301" s="152" t="s">
        <v>2705</v>
      </c>
      <c r="D1301" s="152" t="s">
        <v>2397</v>
      </c>
      <c r="E1301" s="152" t="s">
        <v>2398</v>
      </c>
      <c r="F1301" s="152" t="s">
        <v>2705</v>
      </c>
      <c r="G1301" s="152" t="s">
        <v>2705</v>
      </c>
      <c r="H1301" s="152" t="s">
        <v>1435</v>
      </c>
      <c r="I1301" s="152" t="s">
        <v>2398</v>
      </c>
      <c r="J1301" s="152" t="s">
        <v>1435</v>
      </c>
      <c r="K1301" s="152" t="s">
        <v>2398</v>
      </c>
      <c r="L1301" s="152" t="s">
        <v>1435</v>
      </c>
      <c r="M1301" s="152" t="s">
        <v>2398</v>
      </c>
      <c r="N1301" s="152" t="s">
        <v>2398</v>
      </c>
      <c r="O1301" s="152" t="s">
        <v>2705</v>
      </c>
      <c r="P1301" s="152" t="s">
        <v>1435</v>
      </c>
      <c r="Q1301" s="152" t="s">
        <v>2705</v>
      </c>
      <c r="R1301" s="152" t="s">
        <v>2705</v>
      </c>
      <c r="S1301" s="152" t="s">
        <v>2705</v>
      </c>
      <c r="T1301" s="152" t="s">
        <v>1435</v>
      </c>
      <c r="U1301" s="152" t="s">
        <v>2705</v>
      </c>
      <c r="V1301" s="142" cm="1">
        <f t="array" ref="V1301">IF(A1301&lt;&gt;"",SUM(--(B1301:U1302 = "X")*$U$3,--(B1301:U1302 ="A")*$Q$3,--(B1301:U1302 ="B")*$R$3,--(B1301:U1302 ="C")*$S$3),"")</f>
        <v>15</v>
      </c>
      <c r="AF1301" s="142" t="s">
        <v>7967</v>
      </c>
      <c r="AG1301" s="142" t="s">
        <v>2398</v>
      </c>
      <c r="AH1301" s="142" t="s">
        <v>2705</v>
      </c>
      <c r="AI1301" s="142" t="s">
        <v>2397</v>
      </c>
      <c r="AJ1301" s="142" t="s">
        <v>2398</v>
      </c>
      <c r="AK1301" s="142" t="s">
        <v>2705</v>
      </c>
      <c r="AL1301" s="142" t="s">
        <v>2705</v>
      </c>
      <c r="AM1301" s="142" t="s">
        <v>1435</v>
      </c>
      <c r="AN1301" s="142" t="s">
        <v>2398</v>
      </c>
      <c r="AO1301" s="142" t="s">
        <v>1435</v>
      </c>
      <c r="AP1301" s="142" t="s">
        <v>2398</v>
      </c>
      <c r="AQ1301" s="142" t="s">
        <v>1435</v>
      </c>
      <c r="AR1301" s="142" t="s">
        <v>2398</v>
      </c>
      <c r="AS1301" s="142" t="s">
        <v>2398</v>
      </c>
      <c r="AT1301" s="142" t="s">
        <v>2705</v>
      </c>
      <c r="AU1301" s="142" t="s">
        <v>1435</v>
      </c>
      <c r="AV1301" s="142" t="s">
        <v>2705</v>
      </c>
      <c r="AW1301" s="142" t="s">
        <v>2705</v>
      </c>
      <c r="AX1301" s="142" t="s">
        <v>2705</v>
      </c>
      <c r="AY1301" s="142" t="s">
        <v>1435</v>
      </c>
      <c r="AZ1301" s="142" t="s">
        <v>2705</v>
      </c>
    </row>
    <row r="1302" spans="1:52" s="142" customFormat="1" ht="12.75" x14ac:dyDescent="0.2">
      <c r="A1302" s="151"/>
      <c r="B1302" s="152" t="s">
        <v>2675</v>
      </c>
      <c r="C1302" s="152" t="s">
        <v>2675</v>
      </c>
      <c r="D1302" s="152" t="s">
        <v>2705</v>
      </c>
      <c r="E1302" s="152" t="s">
        <v>2705</v>
      </c>
      <c r="F1302" s="152" t="s">
        <v>2705</v>
      </c>
      <c r="G1302" s="152" t="s">
        <v>2398</v>
      </c>
      <c r="H1302" s="152" t="s">
        <v>2398</v>
      </c>
      <c r="I1302" s="152" t="s">
        <v>2705</v>
      </c>
      <c r="J1302" s="152" t="s">
        <v>2398</v>
      </c>
      <c r="K1302" s="152" t="s">
        <v>2705</v>
      </c>
      <c r="L1302" s="152" t="s">
        <v>2398</v>
      </c>
      <c r="M1302" s="152" t="s">
        <v>2705</v>
      </c>
      <c r="N1302" s="152" t="s">
        <v>2705</v>
      </c>
      <c r="O1302" s="152" t="s">
        <v>2398</v>
      </c>
      <c r="P1302" s="152" t="s">
        <v>2675</v>
      </c>
      <c r="Q1302" s="152" t="s">
        <v>2705</v>
      </c>
      <c r="R1302" s="152" t="s">
        <v>2705</v>
      </c>
      <c r="S1302" s="152" t="s">
        <v>2705</v>
      </c>
      <c r="T1302" s="152" t="s">
        <v>2705</v>
      </c>
      <c r="U1302" s="152" t="s">
        <v>2398</v>
      </c>
      <c r="V1302" s="142" t="str" cm="1">
        <f t="array" ref="V1302">IF(A1302&lt;&gt;"",SUM(--(B1302:U1303 = "X")*$U$3,--(B1302:U1303 ="A")*$Q$3,--(B1302:U1303 ="B")*$R$3,--(B1302:U1303 ="C")*$S$3),"")</f>
        <v/>
      </c>
      <c r="AG1302" s="142" t="s">
        <v>2675</v>
      </c>
      <c r="AH1302" s="142" t="s">
        <v>2675</v>
      </c>
      <c r="AI1302" s="142" t="s">
        <v>2705</v>
      </c>
      <c r="AJ1302" s="142" t="s">
        <v>2705</v>
      </c>
      <c r="AK1302" s="142" t="s">
        <v>2705</v>
      </c>
      <c r="AL1302" s="142" t="s">
        <v>2398</v>
      </c>
      <c r="AM1302" s="142" t="s">
        <v>2398</v>
      </c>
      <c r="AN1302" s="142" t="s">
        <v>2705</v>
      </c>
      <c r="AO1302" s="142" t="s">
        <v>2398</v>
      </c>
      <c r="AP1302" s="142" t="s">
        <v>2705</v>
      </c>
      <c r="AQ1302" s="142" t="s">
        <v>2398</v>
      </c>
      <c r="AR1302" s="142" t="s">
        <v>2705</v>
      </c>
      <c r="AS1302" s="142" t="s">
        <v>2705</v>
      </c>
      <c r="AT1302" s="142" t="s">
        <v>2398</v>
      </c>
      <c r="AU1302" s="142" t="s">
        <v>2675</v>
      </c>
      <c r="AV1302" s="142" t="s">
        <v>2705</v>
      </c>
      <c r="AW1302" s="142" t="s">
        <v>2705</v>
      </c>
      <c r="AX1302" s="142" t="s">
        <v>2705</v>
      </c>
      <c r="AY1302" s="142" t="s">
        <v>2705</v>
      </c>
      <c r="AZ1302" s="142" t="s">
        <v>2398</v>
      </c>
    </row>
    <row r="1303" spans="1:52" s="142" customFormat="1" ht="12.75" x14ac:dyDescent="0.2">
      <c r="A1303" s="151" t="s">
        <v>7968</v>
      </c>
      <c r="B1303" s="152" t="s">
        <v>1435</v>
      </c>
      <c r="C1303" s="152" t="s">
        <v>2705</v>
      </c>
      <c r="D1303" s="152" t="s">
        <v>2705</v>
      </c>
      <c r="E1303" s="152" t="s">
        <v>2398</v>
      </c>
      <c r="F1303" s="152" t="s">
        <v>2397</v>
      </c>
      <c r="G1303" s="152" t="s">
        <v>2705</v>
      </c>
      <c r="H1303" s="152" t="s">
        <v>2675</v>
      </c>
      <c r="I1303" s="152" t="s">
        <v>2397</v>
      </c>
      <c r="J1303" s="152" t="s">
        <v>2398</v>
      </c>
      <c r="K1303" s="152" t="s">
        <v>2398</v>
      </c>
      <c r="L1303" s="152" t="s">
        <v>2675</v>
      </c>
      <c r="M1303" s="152" t="s">
        <v>1435</v>
      </c>
      <c r="N1303" s="152" t="s">
        <v>1435</v>
      </c>
      <c r="O1303" s="152" t="s">
        <v>1435</v>
      </c>
      <c r="P1303" s="152" t="s">
        <v>2705</v>
      </c>
      <c r="Q1303" s="152" t="s">
        <v>1435</v>
      </c>
      <c r="R1303" s="152" t="s">
        <v>2397</v>
      </c>
      <c r="S1303" s="152" t="s">
        <v>2705</v>
      </c>
      <c r="T1303" s="152" t="s">
        <v>2398</v>
      </c>
      <c r="U1303" s="152" t="s">
        <v>2705</v>
      </c>
      <c r="V1303" s="142" cm="1">
        <f t="array" ref="V1303">IF(A1303&lt;&gt;"",SUM(--(B1303:U1304 = "X")*$U$3,--(B1303:U1304 ="A")*$Q$3,--(B1303:U1304 ="B")*$R$3,--(B1303:U1304 ="C")*$S$3),"")</f>
        <v>6</v>
      </c>
      <c r="AF1303" s="142" t="s">
        <v>7968</v>
      </c>
      <c r="AG1303" s="142" t="s">
        <v>1435</v>
      </c>
      <c r="AH1303" s="142" t="s">
        <v>2705</v>
      </c>
      <c r="AI1303" s="142" t="s">
        <v>2705</v>
      </c>
      <c r="AJ1303" s="142" t="s">
        <v>2398</v>
      </c>
      <c r="AK1303" s="142" t="s">
        <v>2397</v>
      </c>
      <c r="AL1303" s="142" t="s">
        <v>2705</v>
      </c>
      <c r="AM1303" s="142" t="s">
        <v>2675</v>
      </c>
      <c r="AN1303" s="142" t="s">
        <v>2397</v>
      </c>
      <c r="AO1303" s="142" t="s">
        <v>2398</v>
      </c>
      <c r="AP1303" s="142" t="s">
        <v>2398</v>
      </c>
      <c r="AQ1303" s="142" t="s">
        <v>2675</v>
      </c>
      <c r="AR1303" s="142" t="s">
        <v>1435</v>
      </c>
      <c r="AS1303" s="142" t="s">
        <v>1435</v>
      </c>
      <c r="AT1303" s="142" t="s">
        <v>1435</v>
      </c>
      <c r="AU1303" s="142" t="s">
        <v>2705</v>
      </c>
      <c r="AV1303" s="142" t="s">
        <v>1435</v>
      </c>
      <c r="AW1303" s="142" t="s">
        <v>2397</v>
      </c>
      <c r="AX1303" s="142" t="s">
        <v>2705</v>
      </c>
      <c r="AY1303" s="142" t="s">
        <v>2398</v>
      </c>
      <c r="AZ1303" s="142" t="s">
        <v>2705</v>
      </c>
    </row>
    <row r="1304" spans="1:52" s="142" customFormat="1" ht="12.75" x14ac:dyDescent="0.2">
      <c r="A1304" s="151"/>
      <c r="B1304" s="152" t="s">
        <v>2397</v>
      </c>
      <c r="C1304" s="152" t="s">
        <v>2705</v>
      </c>
      <c r="D1304" s="152" t="s">
        <v>1435</v>
      </c>
      <c r="E1304" s="152" t="s">
        <v>2705</v>
      </c>
      <c r="F1304" s="152" t="s">
        <v>2397</v>
      </c>
      <c r="G1304" s="152" t="s">
        <v>2705</v>
      </c>
      <c r="H1304" s="152" t="s">
        <v>1435</v>
      </c>
      <c r="I1304" s="152" t="s">
        <v>2675</v>
      </c>
      <c r="J1304" s="152" t="s">
        <v>2397</v>
      </c>
      <c r="K1304" s="152" t="s">
        <v>2398</v>
      </c>
      <c r="L1304" s="152" t="s">
        <v>2397</v>
      </c>
      <c r="M1304" s="152" t="s">
        <v>1435</v>
      </c>
      <c r="N1304" s="152" t="s">
        <v>2675</v>
      </c>
      <c r="O1304" s="152" t="s">
        <v>2705</v>
      </c>
      <c r="P1304" s="152" t="s">
        <v>2705</v>
      </c>
      <c r="Q1304" s="152" t="s">
        <v>2398</v>
      </c>
      <c r="R1304" s="152" t="s">
        <v>2398</v>
      </c>
      <c r="S1304" s="152" t="s">
        <v>2398</v>
      </c>
      <c r="T1304" s="152" t="s">
        <v>2705</v>
      </c>
      <c r="U1304" s="152" t="s">
        <v>2398</v>
      </c>
      <c r="V1304" s="142" t="str" cm="1">
        <f t="array" ref="V1304">IF(A1304&lt;&gt;"",SUM(--(B1304:U1305 = "X")*$U$3,--(B1304:U1305 ="A")*$Q$3,--(B1304:U1305 ="B")*$R$3,--(B1304:U1305 ="C")*$S$3),"")</f>
        <v/>
      </c>
      <c r="AG1304" s="142" t="s">
        <v>2397</v>
      </c>
      <c r="AH1304" s="142" t="s">
        <v>2705</v>
      </c>
      <c r="AI1304" s="142" t="s">
        <v>1435</v>
      </c>
      <c r="AJ1304" s="142" t="s">
        <v>2705</v>
      </c>
      <c r="AK1304" s="142" t="s">
        <v>2397</v>
      </c>
      <c r="AL1304" s="142" t="s">
        <v>2705</v>
      </c>
      <c r="AM1304" s="142" t="s">
        <v>1435</v>
      </c>
      <c r="AN1304" s="142" t="s">
        <v>2675</v>
      </c>
      <c r="AO1304" s="142" t="s">
        <v>2397</v>
      </c>
      <c r="AP1304" s="142" t="s">
        <v>2398</v>
      </c>
      <c r="AQ1304" s="142" t="s">
        <v>2397</v>
      </c>
      <c r="AR1304" s="142" t="s">
        <v>1435</v>
      </c>
      <c r="AS1304" s="142" t="s">
        <v>2675</v>
      </c>
      <c r="AT1304" s="142" t="s">
        <v>2705</v>
      </c>
      <c r="AU1304" s="142" t="s">
        <v>2705</v>
      </c>
      <c r="AV1304" s="142" t="s">
        <v>2398</v>
      </c>
      <c r="AW1304" s="142" t="s">
        <v>2398</v>
      </c>
      <c r="AX1304" s="142" t="s">
        <v>2398</v>
      </c>
      <c r="AY1304" s="142" t="s">
        <v>2705</v>
      </c>
      <c r="AZ1304" s="142" t="s">
        <v>2398</v>
      </c>
    </row>
    <row r="1305" spans="1:52" s="142" customFormat="1" ht="12.75" x14ac:dyDescent="0.2">
      <c r="A1305" s="151" t="s">
        <v>7969</v>
      </c>
      <c r="B1305" s="152" t="s">
        <v>2705</v>
      </c>
      <c r="C1305" s="152" t="s">
        <v>2398</v>
      </c>
      <c r="D1305" s="152" t="s">
        <v>2705</v>
      </c>
      <c r="E1305" s="152" t="s">
        <v>2705</v>
      </c>
      <c r="F1305" s="152" t="s">
        <v>2398</v>
      </c>
      <c r="G1305" s="152" t="s">
        <v>2705</v>
      </c>
      <c r="H1305" s="152" t="s">
        <v>2398</v>
      </c>
      <c r="I1305" s="152" t="s">
        <v>2397</v>
      </c>
      <c r="J1305" s="152" t="s">
        <v>2398</v>
      </c>
      <c r="K1305" s="152" t="s">
        <v>2705</v>
      </c>
      <c r="L1305" s="152" t="s">
        <v>2675</v>
      </c>
      <c r="M1305" s="152" t="s">
        <v>2397</v>
      </c>
      <c r="N1305" s="152" t="s">
        <v>2705</v>
      </c>
      <c r="O1305" s="152" t="s">
        <v>2398</v>
      </c>
      <c r="P1305" s="152" t="s">
        <v>2397</v>
      </c>
      <c r="Q1305" s="152" t="s">
        <v>2705</v>
      </c>
      <c r="R1305" s="152" t="s">
        <v>2675</v>
      </c>
      <c r="S1305" s="152" t="s">
        <v>2398</v>
      </c>
      <c r="T1305" s="152" t="s">
        <v>2705</v>
      </c>
      <c r="U1305" s="152" t="s">
        <v>1435</v>
      </c>
      <c r="V1305" s="142" cm="1">
        <f t="array" ref="V1305">IF(A1305&lt;&gt;"",SUM(--(B1305:U1306 = "X")*$U$3,--(B1305:U1306 ="A")*$Q$3,--(B1305:U1306 ="B")*$R$3,--(B1305:U1306 ="C")*$S$3),"")</f>
        <v>12.5</v>
      </c>
      <c r="AF1305" s="142" t="s">
        <v>7969</v>
      </c>
      <c r="AG1305" s="142" t="s">
        <v>2705</v>
      </c>
      <c r="AH1305" s="142" t="s">
        <v>2398</v>
      </c>
      <c r="AI1305" s="142" t="s">
        <v>2705</v>
      </c>
      <c r="AJ1305" s="142" t="s">
        <v>2705</v>
      </c>
      <c r="AK1305" s="142" t="s">
        <v>2398</v>
      </c>
      <c r="AL1305" s="142" t="s">
        <v>2705</v>
      </c>
      <c r="AM1305" s="142" t="s">
        <v>2398</v>
      </c>
      <c r="AN1305" s="142" t="s">
        <v>2397</v>
      </c>
      <c r="AO1305" s="142" t="s">
        <v>2398</v>
      </c>
      <c r="AP1305" s="142" t="s">
        <v>2705</v>
      </c>
      <c r="AQ1305" s="142" t="s">
        <v>2675</v>
      </c>
      <c r="AR1305" s="142" t="s">
        <v>2397</v>
      </c>
      <c r="AS1305" s="142" t="s">
        <v>2705</v>
      </c>
      <c r="AT1305" s="142" t="s">
        <v>2398</v>
      </c>
      <c r="AU1305" s="142" t="s">
        <v>2397</v>
      </c>
      <c r="AV1305" s="142" t="s">
        <v>2705</v>
      </c>
      <c r="AW1305" s="142" t="s">
        <v>2675</v>
      </c>
      <c r="AX1305" s="142" t="s">
        <v>2398</v>
      </c>
      <c r="AY1305" s="142" t="s">
        <v>2705</v>
      </c>
      <c r="AZ1305" s="142" t="s">
        <v>1435</v>
      </c>
    </row>
    <row r="1306" spans="1:52" s="142" customFormat="1" ht="12.75" x14ac:dyDescent="0.2">
      <c r="A1306" s="151"/>
      <c r="B1306" s="152" t="s">
        <v>2397</v>
      </c>
      <c r="C1306" s="152" t="s">
        <v>1435</v>
      </c>
      <c r="D1306" s="152" t="s">
        <v>2675</v>
      </c>
      <c r="E1306" s="152" t="s">
        <v>2705</v>
      </c>
      <c r="F1306" s="152" t="s">
        <v>2398</v>
      </c>
      <c r="G1306" s="152" t="s">
        <v>2398</v>
      </c>
      <c r="H1306" s="152" t="s">
        <v>2675</v>
      </c>
      <c r="I1306" s="152" t="s">
        <v>2705</v>
      </c>
      <c r="J1306" s="152" t="s">
        <v>2705</v>
      </c>
      <c r="K1306" s="152" t="s">
        <v>2675</v>
      </c>
      <c r="L1306" s="152" t="s">
        <v>2398</v>
      </c>
      <c r="M1306" s="152" t="s">
        <v>2398</v>
      </c>
      <c r="N1306" s="152" t="s">
        <v>2398</v>
      </c>
      <c r="O1306" s="152" t="s">
        <v>2705</v>
      </c>
      <c r="P1306" s="152" t="s">
        <v>2398</v>
      </c>
      <c r="Q1306" s="152" t="s">
        <v>2705</v>
      </c>
      <c r="R1306" s="152" t="s">
        <v>2705</v>
      </c>
      <c r="S1306" s="152" t="s">
        <v>2398</v>
      </c>
      <c r="T1306" s="152" t="s">
        <v>2705</v>
      </c>
      <c r="U1306" s="152" t="s">
        <v>2705</v>
      </c>
      <c r="V1306" s="142" t="str" cm="1">
        <f t="array" ref="V1306">IF(A1306&lt;&gt;"",SUM(--(B1306:U1307 = "X")*$U$3,--(B1306:U1307 ="A")*$Q$3,--(B1306:U1307 ="B")*$R$3,--(B1306:U1307 ="C")*$S$3),"")</f>
        <v/>
      </c>
      <c r="AG1306" s="142" t="s">
        <v>2397</v>
      </c>
      <c r="AH1306" s="142" t="s">
        <v>1435</v>
      </c>
      <c r="AI1306" s="142" t="s">
        <v>2675</v>
      </c>
      <c r="AJ1306" s="142" t="s">
        <v>2705</v>
      </c>
      <c r="AK1306" s="142" t="s">
        <v>2398</v>
      </c>
      <c r="AL1306" s="142" t="s">
        <v>2398</v>
      </c>
      <c r="AM1306" s="142" t="s">
        <v>2675</v>
      </c>
      <c r="AN1306" s="142" t="s">
        <v>2705</v>
      </c>
      <c r="AO1306" s="142" t="s">
        <v>2705</v>
      </c>
      <c r="AP1306" s="142" t="s">
        <v>2675</v>
      </c>
      <c r="AQ1306" s="142" t="s">
        <v>2398</v>
      </c>
      <c r="AR1306" s="142" t="s">
        <v>2398</v>
      </c>
      <c r="AS1306" s="142" t="s">
        <v>2398</v>
      </c>
      <c r="AT1306" s="142" t="s">
        <v>2705</v>
      </c>
      <c r="AU1306" s="142" t="s">
        <v>2398</v>
      </c>
      <c r="AV1306" s="142" t="s">
        <v>2705</v>
      </c>
      <c r="AW1306" s="142" t="s">
        <v>2705</v>
      </c>
      <c r="AX1306" s="142" t="s">
        <v>2398</v>
      </c>
      <c r="AY1306" s="142" t="s">
        <v>2705</v>
      </c>
      <c r="AZ1306" s="142" t="s">
        <v>2705</v>
      </c>
    </row>
    <row r="1307" spans="1:52" s="142" customFormat="1" ht="12.75" x14ac:dyDescent="0.2">
      <c r="A1307" s="151" t="s">
        <v>7970</v>
      </c>
      <c r="B1307" s="152" t="s">
        <v>2705</v>
      </c>
      <c r="C1307" s="152" t="s">
        <v>2705</v>
      </c>
      <c r="D1307" s="152" t="s">
        <v>2675</v>
      </c>
      <c r="E1307" s="152" t="s">
        <v>1435</v>
      </c>
      <c r="F1307" s="152" t="s">
        <v>2705</v>
      </c>
      <c r="G1307" s="152" t="s">
        <v>2398</v>
      </c>
      <c r="H1307" s="152" t="s">
        <v>2705</v>
      </c>
      <c r="I1307" s="152" t="s">
        <v>2705</v>
      </c>
      <c r="J1307" s="152" t="s">
        <v>2705</v>
      </c>
      <c r="K1307" s="152" t="s">
        <v>2397</v>
      </c>
      <c r="L1307" s="152" t="s">
        <v>2705</v>
      </c>
      <c r="M1307" s="152" t="s">
        <v>1435</v>
      </c>
      <c r="N1307" s="152" t="s">
        <v>1435</v>
      </c>
      <c r="O1307" s="152" t="s">
        <v>1435</v>
      </c>
      <c r="P1307" s="152" t="s">
        <v>2705</v>
      </c>
      <c r="Q1307" s="152" t="s">
        <v>1435</v>
      </c>
      <c r="R1307" s="152" t="s">
        <v>2675</v>
      </c>
      <c r="S1307" s="152" t="s">
        <v>2398</v>
      </c>
      <c r="T1307" s="152" t="s">
        <v>2705</v>
      </c>
      <c r="U1307" s="152" t="s">
        <v>2675</v>
      </c>
      <c r="V1307" s="142" cm="1">
        <f t="array" ref="V1307">IF(A1307&lt;&gt;"",SUM(--(B1307:U1308 = "X")*$U$3,--(B1307:U1308 ="A")*$Q$3,--(B1307:U1308 ="B")*$R$3,--(B1307:U1308 ="C")*$S$3),"")</f>
        <v>15</v>
      </c>
      <c r="AF1307" s="142" t="s">
        <v>7970</v>
      </c>
      <c r="AG1307" s="142" t="s">
        <v>2705</v>
      </c>
      <c r="AH1307" s="142" t="s">
        <v>2705</v>
      </c>
      <c r="AI1307" s="142" t="s">
        <v>2675</v>
      </c>
      <c r="AJ1307" s="142" t="s">
        <v>1435</v>
      </c>
      <c r="AK1307" s="142" t="s">
        <v>2705</v>
      </c>
      <c r="AL1307" s="142" t="s">
        <v>2398</v>
      </c>
      <c r="AM1307" s="142" t="s">
        <v>2705</v>
      </c>
      <c r="AN1307" s="142" t="s">
        <v>2705</v>
      </c>
      <c r="AO1307" s="142" t="s">
        <v>2705</v>
      </c>
      <c r="AP1307" s="142" t="s">
        <v>2397</v>
      </c>
      <c r="AQ1307" s="142" t="s">
        <v>2705</v>
      </c>
      <c r="AR1307" s="142" t="s">
        <v>1435</v>
      </c>
      <c r="AS1307" s="142" t="s">
        <v>1435</v>
      </c>
      <c r="AT1307" s="142" t="s">
        <v>1435</v>
      </c>
      <c r="AU1307" s="142" t="s">
        <v>2705</v>
      </c>
      <c r="AV1307" s="142" t="s">
        <v>1435</v>
      </c>
      <c r="AW1307" s="142" t="s">
        <v>2675</v>
      </c>
      <c r="AX1307" s="142" t="s">
        <v>2398</v>
      </c>
      <c r="AY1307" s="142" t="s">
        <v>2705</v>
      </c>
      <c r="AZ1307" s="142" t="s">
        <v>2675</v>
      </c>
    </row>
    <row r="1308" spans="1:52" s="142" customFormat="1" ht="12.75" x14ac:dyDescent="0.2">
      <c r="A1308" s="151"/>
      <c r="B1308" s="152" t="s">
        <v>2398</v>
      </c>
      <c r="C1308" s="152" t="s">
        <v>2705</v>
      </c>
      <c r="D1308" s="152" t="s">
        <v>2705</v>
      </c>
      <c r="E1308" s="152" t="s">
        <v>2705</v>
      </c>
      <c r="F1308" s="152" t="s">
        <v>2705</v>
      </c>
      <c r="G1308" s="152" t="s">
        <v>1435</v>
      </c>
      <c r="H1308" s="152" t="s">
        <v>2398</v>
      </c>
      <c r="I1308" s="152" t="s">
        <v>2705</v>
      </c>
      <c r="J1308" s="152" t="s">
        <v>2398</v>
      </c>
      <c r="K1308" s="152" t="s">
        <v>2705</v>
      </c>
      <c r="L1308" s="152" t="s">
        <v>2705</v>
      </c>
      <c r="M1308" s="152" t="s">
        <v>2398</v>
      </c>
      <c r="N1308" s="152" t="s">
        <v>2705</v>
      </c>
      <c r="O1308" s="152" t="s">
        <v>2705</v>
      </c>
      <c r="P1308" s="152" t="s">
        <v>2397</v>
      </c>
      <c r="Q1308" s="152" t="s">
        <v>1435</v>
      </c>
      <c r="R1308" s="152" t="s">
        <v>2398</v>
      </c>
      <c r="S1308" s="152" t="s">
        <v>2397</v>
      </c>
      <c r="T1308" s="152" t="s">
        <v>2705</v>
      </c>
      <c r="U1308" s="152" t="s">
        <v>2705</v>
      </c>
      <c r="V1308" s="142" t="str" cm="1">
        <f t="array" ref="V1308">IF(A1308&lt;&gt;"",SUM(--(B1308:U1309 = "X")*$U$3,--(B1308:U1309 ="A")*$Q$3,--(B1308:U1309 ="B")*$R$3,--(B1308:U1309 ="C")*$S$3),"")</f>
        <v/>
      </c>
      <c r="AG1308" s="142" t="s">
        <v>2398</v>
      </c>
      <c r="AH1308" s="142" t="s">
        <v>2705</v>
      </c>
      <c r="AI1308" s="142" t="s">
        <v>2705</v>
      </c>
      <c r="AJ1308" s="142" t="s">
        <v>2705</v>
      </c>
      <c r="AK1308" s="142" t="s">
        <v>2705</v>
      </c>
      <c r="AL1308" s="142" t="s">
        <v>1435</v>
      </c>
      <c r="AM1308" s="142" t="s">
        <v>2398</v>
      </c>
      <c r="AN1308" s="142" t="s">
        <v>2705</v>
      </c>
      <c r="AO1308" s="142" t="s">
        <v>2398</v>
      </c>
      <c r="AP1308" s="142" t="s">
        <v>2705</v>
      </c>
      <c r="AQ1308" s="142" t="s">
        <v>2705</v>
      </c>
      <c r="AR1308" s="142" t="s">
        <v>2398</v>
      </c>
      <c r="AS1308" s="142" t="s">
        <v>2705</v>
      </c>
      <c r="AT1308" s="142" t="s">
        <v>2705</v>
      </c>
      <c r="AU1308" s="142" t="s">
        <v>2397</v>
      </c>
      <c r="AV1308" s="142" t="s">
        <v>1435</v>
      </c>
      <c r="AW1308" s="142" t="s">
        <v>2398</v>
      </c>
      <c r="AX1308" s="142" t="s">
        <v>2397</v>
      </c>
      <c r="AY1308" s="142" t="s">
        <v>2705</v>
      </c>
      <c r="AZ1308" s="142" t="s">
        <v>2705</v>
      </c>
    </row>
    <row r="1309" spans="1:52" s="142" customFormat="1" ht="12.75" x14ac:dyDescent="0.2">
      <c r="A1309" s="151" t="s">
        <v>7971</v>
      </c>
      <c r="B1309" s="152" t="s">
        <v>2397</v>
      </c>
      <c r="C1309" s="152" t="s">
        <v>2705</v>
      </c>
      <c r="D1309" s="152" t="s">
        <v>2398</v>
      </c>
      <c r="E1309" s="152" t="s">
        <v>1435</v>
      </c>
      <c r="F1309" s="152" t="s">
        <v>2398</v>
      </c>
      <c r="G1309" s="152" t="s">
        <v>2705</v>
      </c>
      <c r="H1309" s="152" t="s">
        <v>2705</v>
      </c>
      <c r="I1309" s="152" t="s">
        <v>2705</v>
      </c>
      <c r="J1309" s="152" t="s">
        <v>2398</v>
      </c>
      <c r="K1309" s="152" t="s">
        <v>2398</v>
      </c>
      <c r="L1309" s="152" t="s">
        <v>2398</v>
      </c>
      <c r="M1309" s="152" t="s">
        <v>2705</v>
      </c>
      <c r="N1309" s="152" t="s">
        <v>2398</v>
      </c>
      <c r="O1309" s="152" t="s">
        <v>2675</v>
      </c>
      <c r="P1309" s="152" t="s">
        <v>2398</v>
      </c>
      <c r="Q1309" s="152" t="s">
        <v>2705</v>
      </c>
      <c r="R1309" s="152" t="s">
        <v>2398</v>
      </c>
      <c r="S1309" s="152" t="s">
        <v>2675</v>
      </c>
      <c r="T1309" s="152" t="s">
        <v>1435</v>
      </c>
      <c r="U1309" s="152" t="s">
        <v>2705</v>
      </c>
      <c r="V1309" s="142" cm="1">
        <f t="array" ref="V1309">IF(A1309&lt;&gt;"",SUM(--(B1309:U1310 = "X")*$U$3,--(B1309:U1310 ="A")*$Q$3,--(B1309:U1310 ="B")*$R$3,--(B1309:U1310 ="C")*$S$3),"")</f>
        <v>10.5</v>
      </c>
      <c r="AF1309" s="142" t="s">
        <v>7971</v>
      </c>
      <c r="AG1309" s="142" t="s">
        <v>2397</v>
      </c>
      <c r="AH1309" s="142" t="s">
        <v>2705</v>
      </c>
      <c r="AI1309" s="142" t="s">
        <v>2398</v>
      </c>
      <c r="AJ1309" s="142" t="s">
        <v>1435</v>
      </c>
      <c r="AK1309" s="142" t="s">
        <v>2398</v>
      </c>
      <c r="AL1309" s="142" t="s">
        <v>2705</v>
      </c>
      <c r="AM1309" s="142" t="s">
        <v>2705</v>
      </c>
      <c r="AN1309" s="142" t="s">
        <v>2705</v>
      </c>
      <c r="AO1309" s="142" t="s">
        <v>2398</v>
      </c>
      <c r="AP1309" s="142" t="s">
        <v>2398</v>
      </c>
      <c r="AQ1309" s="142" t="s">
        <v>2398</v>
      </c>
      <c r="AR1309" s="142" t="s">
        <v>2705</v>
      </c>
      <c r="AS1309" s="142" t="s">
        <v>2398</v>
      </c>
      <c r="AT1309" s="142" t="s">
        <v>2675</v>
      </c>
      <c r="AU1309" s="142" t="s">
        <v>2398</v>
      </c>
      <c r="AV1309" s="142" t="s">
        <v>2705</v>
      </c>
      <c r="AW1309" s="142" t="s">
        <v>2398</v>
      </c>
      <c r="AX1309" s="142" t="s">
        <v>2675</v>
      </c>
      <c r="AY1309" s="142" t="s">
        <v>1435</v>
      </c>
      <c r="AZ1309" s="142" t="s">
        <v>2705</v>
      </c>
    </row>
    <row r="1310" spans="1:52" s="142" customFormat="1" ht="12.75" x14ac:dyDescent="0.2">
      <c r="A1310" s="151"/>
      <c r="B1310" s="152" t="s">
        <v>2705</v>
      </c>
      <c r="C1310" s="152" t="s">
        <v>2675</v>
      </c>
      <c r="D1310" s="152" t="s">
        <v>2398</v>
      </c>
      <c r="E1310" s="152" t="s">
        <v>2398</v>
      </c>
      <c r="F1310" s="152" t="s">
        <v>2705</v>
      </c>
      <c r="G1310" s="152" t="s">
        <v>2675</v>
      </c>
      <c r="H1310" s="152" t="s">
        <v>2398</v>
      </c>
      <c r="I1310" s="152" t="s">
        <v>2705</v>
      </c>
      <c r="J1310" s="152" t="s">
        <v>2397</v>
      </c>
      <c r="K1310" s="152" t="s">
        <v>2705</v>
      </c>
      <c r="L1310" s="152" t="s">
        <v>2398</v>
      </c>
      <c r="M1310" s="152" t="s">
        <v>2398</v>
      </c>
      <c r="N1310" s="152" t="s">
        <v>2397</v>
      </c>
      <c r="O1310" s="152" t="s">
        <v>2398</v>
      </c>
      <c r="P1310" s="152" t="s">
        <v>2675</v>
      </c>
      <c r="Q1310" s="152" t="s">
        <v>2705</v>
      </c>
      <c r="R1310" s="152" t="s">
        <v>2705</v>
      </c>
      <c r="S1310" s="152" t="s">
        <v>2705</v>
      </c>
      <c r="T1310" s="152" t="s">
        <v>2398</v>
      </c>
      <c r="U1310" s="152" t="s">
        <v>2398</v>
      </c>
      <c r="V1310" s="142" t="str" cm="1">
        <f t="array" ref="V1310">IF(A1310&lt;&gt;"",SUM(--(B1310:U1311 = "X")*$U$3,--(B1310:U1311 ="A")*$Q$3,--(B1310:U1311 ="B")*$R$3,--(B1310:U1311 ="C")*$S$3),"")</f>
        <v/>
      </c>
      <c r="AG1310" s="142" t="s">
        <v>2705</v>
      </c>
      <c r="AH1310" s="142" t="s">
        <v>2675</v>
      </c>
      <c r="AI1310" s="142" t="s">
        <v>2398</v>
      </c>
      <c r="AJ1310" s="142" t="s">
        <v>2398</v>
      </c>
      <c r="AK1310" s="142" t="s">
        <v>2705</v>
      </c>
      <c r="AL1310" s="142" t="s">
        <v>2675</v>
      </c>
      <c r="AM1310" s="142" t="s">
        <v>2398</v>
      </c>
      <c r="AN1310" s="142" t="s">
        <v>2705</v>
      </c>
      <c r="AO1310" s="142" t="s">
        <v>2397</v>
      </c>
      <c r="AP1310" s="142" t="s">
        <v>2705</v>
      </c>
      <c r="AQ1310" s="142" t="s">
        <v>2398</v>
      </c>
      <c r="AR1310" s="142" t="s">
        <v>2398</v>
      </c>
      <c r="AS1310" s="142" t="s">
        <v>2397</v>
      </c>
      <c r="AT1310" s="142" t="s">
        <v>2398</v>
      </c>
      <c r="AU1310" s="142" t="s">
        <v>2675</v>
      </c>
      <c r="AV1310" s="142" t="s">
        <v>2705</v>
      </c>
      <c r="AW1310" s="142" t="s">
        <v>2705</v>
      </c>
      <c r="AX1310" s="142" t="s">
        <v>2705</v>
      </c>
      <c r="AY1310" s="142" t="s">
        <v>2398</v>
      </c>
      <c r="AZ1310" s="142" t="s">
        <v>2398</v>
      </c>
    </row>
    <row r="1311" spans="1:52" s="142" customFormat="1" ht="12.75" x14ac:dyDescent="0.2">
      <c r="A1311" s="151" t="s">
        <v>7972</v>
      </c>
      <c r="B1311" s="152" t="s">
        <v>2675</v>
      </c>
      <c r="C1311" s="152" t="s">
        <v>2398</v>
      </c>
      <c r="D1311" s="152" t="s">
        <v>2705</v>
      </c>
      <c r="E1311" s="152" t="s">
        <v>1435</v>
      </c>
      <c r="F1311" s="152" t="s">
        <v>2398</v>
      </c>
      <c r="G1311" s="152" t="s">
        <v>2705</v>
      </c>
      <c r="H1311" s="152" t="s">
        <v>2398</v>
      </c>
      <c r="I1311" s="152" t="s">
        <v>2705</v>
      </c>
      <c r="J1311" s="152" t="s">
        <v>2705</v>
      </c>
      <c r="K1311" s="152" t="s">
        <v>2705</v>
      </c>
      <c r="L1311" s="152" t="s">
        <v>1435</v>
      </c>
      <c r="M1311" s="152" t="s">
        <v>2705</v>
      </c>
      <c r="N1311" s="152" t="s">
        <v>2675</v>
      </c>
      <c r="O1311" s="152" t="s">
        <v>2397</v>
      </c>
      <c r="P1311" s="152" t="s">
        <v>2398</v>
      </c>
      <c r="Q1311" s="152" t="s">
        <v>2705</v>
      </c>
      <c r="R1311" s="152" t="s">
        <v>2398</v>
      </c>
      <c r="S1311" s="152" t="s">
        <v>2705</v>
      </c>
      <c r="T1311" s="152" t="s">
        <v>2397</v>
      </c>
      <c r="U1311" s="152" t="s">
        <v>2705</v>
      </c>
      <c r="V1311" s="142" cm="1">
        <f t="array" ref="V1311">IF(A1311&lt;&gt;"",SUM(--(B1311:U1312 = "X")*$U$3,--(B1311:U1312 ="A")*$Q$3,--(B1311:U1312 ="B")*$R$3,--(B1311:U1312 ="C")*$S$3),"")</f>
        <v>13.5</v>
      </c>
      <c r="AF1311" s="142" t="s">
        <v>7972</v>
      </c>
      <c r="AG1311" s="142" t="s">
        <v>2675</v>
      </c>
      <c r="AH1311" s="142" t="s">
        <v>2398</v>
      </c>
      <c r="AI1311" s="142" t="s">
        <v>2705</v>
      </c>
      <c r="AJ1311" s="142" t="s">
        <v>1435</v>
      </c>
      <c r="AK1311" s="142" t="s">
        <v>2398</v>
      </c>
      <c r="AL1311" s="142" t="s">
        <v>2705</v>
      </c>
      <c r="AM1311" s="142" t="s">
        <v>2398</v>
      </c>
      <c r="AN1311" s="142" t="s">
        <v>2705</v>
      </c>
      <c r="AO1311" s="142" t="s">
        <v>2705</v>
      </c>
      <c r="AP1311" s="142" t="s">
        <v>2705</v>
      </c>
      <c r="AQ1311" s="142" t="s">
        <v>1435</v>
      </c>
      <c r="AR1311" s="142" t="s">
        <v>2705</v>
      </c>
      <c r="AS1311" s="142" t="s">
        <v>2675</v>
      </c>
      <c r="AT1311" s="142" t="s">
        <v>2397</v>
      </c>
      <c r="AU1311" s="142" t="s">
        <v>2398</v>
      </c>
      <c r="AV1311" s="142" t="s">
        <v>2705</v>
      </c>
      <c r="AW1311" s="142" t="s">
        <v>2398</v>
      </c>
      <c r="AX1311" s="142" t="s">
        <v>2705</v>
      </c>
      <c r="AY1311" s="142" t="s">
        <v>2397</v>
      </c>
      <c r="AZ1311" s="142" t="s">
        <v>2705</v>
      </c>
    </row>
    <row r="1312" spans="1:52" s="142" customFormat="1" ht="12.75" x14ac:dyDescent="0.2">
      <c r="A1312" s="151"/>
      <c r="B1312" s="152" t="s">
        <v>2705</v>
      </c>
      <c r="C1312" s="152" t="s">
        <v>2398</v>
      </c>
      <c r="D1312" s="152" t="s">
        <v>2398</v>
      </c>
      <c r="E1312" s="152" t="s">
        <v>2398</v>
      </c>
      <c r="F1312" s="152" t="s">
        <v>2705</v>
      </c>
      <c r="G1312" s="152" t="s">
        <v>2675</v>
      </c>
      <c r="H1312" s="152" t="s">
        <v>2398</v>
      </c>
      <c r="I1312" s="152" t="s">
        <v>2705</v>
      </c>
      <c r="J1312" s="152" t="s">
        <v>2398</v>
      </c>
      <c r="K1312" s="152" t="s">
        <v>2705</v>
      </c>
      <c r="L1312" s="152" t="s">
        <v>2705</v>
      </c>
      <c r="M1312" s="152" t="s">
        <v>1435</v>
      </c>
      <c r="N1312" s="152" t="s">
        <v>2398</v>
      </c>
      <c r="O1312" s="152" t="s">
        <v>2398</v>
      </c>
      <c r="P1312" s="152" t="s">
        <v>2705</v>
      </c>
      <c r="Q1312" s="152" t="s">
        <v>2675</v>
      </c>
      <c r="R1312" s="152" t="s">
        <v>2398</v>
      </c>
      <c r="S1312" s="152" t="s">
        <v>2705</v>
      </c>
      <c r="T1312" s="152" t="s">
        <v>2705</v>
      </c>
      <c r="U1312" s="152" t="s">
        <v>2398</v>
      </c>
      <c r="V1312" s="142" t="str" cm="1">
        <f t="array" ref="V1312">IF(A1312&lt;&gt;"",SUM(--(B1312:U1313 = "X")*$U$3,--(B1312:U1313 ="A")*$Q$3,--(B1312:U1313 ="B")*$R$3,--(B1312:U1313 ="C")*$S$3),"")</f>
        <v/>
      </c>
      <c r="AG1312" s="142" t="s">
        <v>2705</v>
      </c>
      <c r="AH1312" s="142" t="s">
        <v>2398</v>
      </c>
      <c r="AI1312" s="142" t="s">
        <v>2398</v>
      </c>
      <c r="AJ1312" s="142" t="s">
        <v>2398</v>
      </c>
      <c r="AK1312" s="142" t="s">
        <v>2705</v>
      </c>
      <c r="AL1312" s="142" t="s">
        <v>2675</v>
      </c>
      <c r="AM1312" s="142" t="s">
        <v>2398</v>
      </c>
      <c r="AN1312" s="142" t="s">
        <v>2705</v>
      </c>
      <c r="AO1312" s="142" t="s">
        <v>2398</v>
      </c>
      <c r="AP1312" s="142" t="s">
        <v>2705</v>
      </c>
      <c r="AQ1312" s="142" t="s">
        <v>2705</v>
      </c>
      <c r="AR1312" s="142" t="s">
        <v>1435</v>
      </c>
      <c r="AS1312" s="142" t="s">
        <v>2398</v>
      </c>
      <c r="AT1312" s="142" t="s">
        <v>2398</v>
      </c>
      <c r="AU1312" s="142" t="s">
        <v>2705</v>
      </c>
      <c r="AV1312" s="142" t="s">
        <v>2675</v>
      </c>
      <c r="AW1312" s="142" t="s">
        <v>2398</v>
      </c>
      <c r="AX1312" s="142" t="s">
        <v>2705</v>
      </c>
      <c r="AY1312" s="142" t="s">
        <v>2705</v>
      </c>
      <c r="AZ1312" s="142" t="s">
        <v>2398</v>
      </c>
    </row>
    <row r="1313" spans="1:52" s="142" customFormat="1" ht="12.75" x14ac:dyDescent="0.2">
      <c r="A1313" s="151" t="s">
        <v>7973</v>
      </c>
      <c r="B1313" s="152" t="s">
        <v>2705</v>
      </c>
      <c r="C1313" s="152" t="s">
        <v>2705</v>
      </c>
      <c r="D1313" s="152" t="s">
        <v>2675</v>
      </c>
      <c r="E1313" s="152" t="s">
        <v>1435</v>
      </c>
      <c r="F1313" s="152" t="s">
        <v>2705</v>
      </c>
      <c r="G1313" s="152" t="s">
        <v>2705</v>
      </c>
      <c r="H1313" s="152" t="s">
        <v>2705</v>
      </c>
      <c r="I1313" s="152" t="s">
        <v>2705</v>
      </c>
      <c r="J1313" s="152" t="s">
        <v>2397</v>
      </c>
      <c r="K1313" s="152" t="s">
        <v>2398</v>
      </c>
      <c r="L1313" s="152" t="s">
        <v>1435</v>
      </c>
      <c r="M1313" s="152" t="s">
        <v>2705</v>
      </c>
      <c r="N1313" s="152" t="s">
        <v>2705</v>
      </c>
      <c r="O1313" s="152" t="s">
        <v>2398</v>
      </c>
      <c r="P1313" s="152" t="s">
        <v>2398</v>
      </c>
      <c r="Q1313" s="152" t="s">
        <v>2397</v>
      </c>
      <c r="R1313" s="152" t="s">
        <v>2397</v>
      </c>
      <c r="S1313" s="152" t="s">
        <v>2398</v>
      </c>
      <c r="T1313" s="152" t="s">
        <v>2705</v>
      </c>
      <c r="U1313" s="152" t="s">
        <v>2398</v>
      </c>
      <c r="V1313" s="142" cm="1">
        <f t="array" ref="V1313">IF(A1313&lt;&gt;"",SUM(--(B1313:U1314 = "X")*$U$3,--(B1313:U1314 ="A")*$Q$3,--(B1313:U1314 ="B")*$R$3,--(B1313:U1314 ="C")*$S$3),"")</f>
        <v>10</v>
      </c>
      <c r="AF1313" s="142" t="s">
        <v>7973</v>
      </c>
      <c r="AG1313" s="142" t="s">
        <v>2705</v>
      </c>
      <c r="AH1313" s="142" t="s">
        <v>2705</v>
      </c>
      <c r="AI1313" s="142" t="s">
        <v>2675</v>
      </c>
      <c r="AJ1313" s="142" t="s">
        <v>1435</v>
      </c>
      <c r="AK1313" s="142" t="s">
        <v>2705</v>
      </c>
      <c r="AL1313" s="142" t="s">
        <v>2705</v>
      </c>
      <c r="AM1313" s="142" t="s">
        <v>2705</v>
      </c>
      <c r="AN1313" s="142" t="s">
        <v>2705</v>
      </c>
      <c r="AO1313" s="142" t="s">
        <v>2397</v>
      </c>
      <c r="AP1313" s="142" t="s">
        <v>2398</v>
      </c>
      <c r="AQ1313" s="142" t="s">
        <v>1435</v>
      </c>
      <c r="AR1313" s="142" t="s">
        <v>2705</v>
      </c>
      <c r="AS1313" s="142" t="s">
        <v>2705</v>
      </c>
      <c r="AT1313" s="142" t="s">
        <v>2398</v>
      </c>
      <c r="AU1313" s="142" t="s">
        <v>2398</v>
      </c>
      <c r="AV1313" s="142" t="s">
        <v>2397</v>
      </c>
      <c r="AW1313" s="142" t="s">
        <v>2397</v>
      </c>
      <c r="AX1313" s="142" t="s">
        <v>2398</v>
      </c>
      <c r="AY1313" s="142" t="s">
        <v>2705</v>
      </c>
      <c r="AZ1313" s="142" t="s">
        <v>2398</v>
      </c>
    </row>
    <row r="1314" spans="1:52" s="142" customFormat="1" ht="12.75" x14ac:dyDescent="0.2">
      <c r="A1314" s="151"/>
      <c r="B1314" s="152" t="s">
        <v>2397</v>
      </c>
      <c r="C1314" s="152" t="s">
        <v>2398</v>
      </c>
      <c r="D1314" s="152" t="s">
        <v>2675</v>
      </c>
      <c r="E1314" s="152" t="s">
        <v>2705</v>
      </c>
      <c r="F1314" s="152" t="s">
        <v>2398</v>
      </c>
      <c r="G1314" s="152" t="s">
        <v>1435</v>
      </c>
      <c r="H1314" s="152" t="s">
        <v>2675</v>
      </c>
      <c r="I1314" s="152" t="s">
        <v>2705</v>
      </c>
      <c r="J1314" s="152" t="s">
        <v>2398</v>
      </c>
      <c r="K1314" s="152" t="s">
        <v>2398</v>
      </c>
      <c r="L1314" s="152" t="s">
        <v>2397</v>
      </c>
      <c r="M1314" s="152" t="s">
        <v>2705</v>
      </c>
      <c r="N1314" s="152" t="s">
        <v>2398</v>
      </c>
      <c r="O1314" s="152" t="s">
        <v>2705</v>
      </c>
      <c r="P1314" s="152" t="s">
        <v>2398</v>
      </c>
      <c r="Q1314" s="152" t="s">
        <v>1435</v>
      </c>
      <c r="R1314" s="152" t="s">
        <v>2398</v>
      </c>
      <c r="S1314" s="152" t="s">
        <v>2705</v>
      </c>
      <c r="T1314" s="152" t="s">
        <v>1435</v>
      </c>
      <c r="U1314" s="152" t="s">
        <v>2398</v>
      </c>
      <c r="V1314" s="142" t="str" cm="1">
        <f t="array" ref="V1314">IF(A1314&lt;&gt;"",SUM(--(B1314:U1315 = "X")*$U$3,--(B1314:U1315 ="A")*$Q$3,--(B1314:U1315 ="B")*$R$3,--(B1314:U1315 ="C")*$S$3),"")</f>
        <v/>
      </c>
      <c r="AG1314" s="142" t="s">
        <v>2397</v>
      </c>
      <c r="AH1314" s="142" t="s">
        <v>2398</v>
      </c>
      <c r="AI1314" s="142" t="s">
        <v>2675</v>
      </c>
      <c r="AJ1314" s="142" t="s">
        <v>2705</v>
      </c>
      <c r="AK1314" s="142" t="s">
        <v>2398</v>
      </c>
      <c r="AL1314" s="142" t="s">
        <v>1435</v>
      </c>
      <c r="AM1314" s="142" t="s">
        <v>2675</v>
      </c>
      <c r="AN1314" s="142" t="s">
        <v>2705</v>
      </c>
      <c r="AO1314" s="142" t="s">
        <v>2398</v>
      </c>
      <c r="AP1314" s="142" t="s">
        <v>2398</v>
      </c>
      <c r="AQ1314" s="142" t="s">
        <v>2397</v>
      </c>
      <c r="AR1314" s="142" t="s">
        <v>2705</v>
      </c>
      <c r="AS1314" s="142" t="s">
        <v>2398</v>
      </c>
      <c r="AT1314" s="142" t="s">
        <v>2705</v>
      </c>
      <c r="AU1314" s="142" t="s">
        <v>2398</v>
      </c>
      <c r="AV1314" s="142" t="s">
        <v>1435</v>
      </c>
      <c r="AW1314" s="142" t="s">
        <v>2398</v>
      </c>
      <c r="AX1314" s="142" t="s">
        <v>2705</v>
      </c>
      <c r="AY1314" s="142" t="s">
        <v>1435</v>
      </c>
      <c r="AZ1314" s="142" t="s">
        <v>2398</v>
      </c>
    </row>
    <row r="1315" spans="1:52" s="142" customFormat="1" ht="12.75" x14ac:dyDescent="0.2">
      <c r="A1315" s="151" t="s">
        <v>7974</v>
      </c>
      <c r="B1315" s="152" t="s">
        <v>2398</v>
      </c>
      <c r="C1315" s="152" t="s">
        <v>2705</v>
      </c>
      <c r="D1315" s="152" t="s">
        <v>1435</v>
      </c>
      <c r="E1315" s="152" t="s">
        <v>2705</v>
      </c>
      <c r="F1315" s="152" t="s">
        <v>2398</v>
      </c>
      <c r="G1315" s="152" t="s">
        <v>1435</v>
      </c>
      <c r="H1315" s="152" t="s">
        <v>2398</v>
      </c>
      <c r="I1315" s="152" t="s">
        <v>2675</v>
      </c>
      <c r="J1315" s="152" t="s">
        <v>2705</v>
      </c>
      <c r="K1315" s="152" t="s">
        <v>2705</v>
      </c>
      <c r="L1315" s="152" t="s">
        <v>1435</v>
      </c>
      <c r="M1315" s="152" t="s">
        <v>2705</v>
      </c>
      <c r="N1315" s="152" t="s">
        <v>2705</v>
      </c>
      <c r="O1315" s="152" t="s">
        <v>2398</v>
      </c>
      <c r="P1315" s="152" t="s">
        <v>1435</v>
      </c>
      <c r="Q1315" s="152" t="s">
        <v>2398</v>
      </c>
      <c r="R1315" s="152" t="s">
        <v>2398</v>
      </c>
      <c r="S1315" s="152" t="s">
        <v>2675</v>
      </c>
      <c r="T1315" s="152" t="s">
        <v>2397</v>
      </c>
      <c r="U1315" s="152" t="s">
        <v>2398</v>
      </c>
      <c r="V1315" s="142" cm="1">
        <f t="array" ref="V1315">IF(A1315&lt;&gt;"",SUM(--(B1315:U1316 = "X")*$U$3,--(B1315:U1316 ="A")*$Q$3,--(B1315:U1316 ="B")*$R$3,--(B1315:U1316 ="C")*$S$3),"")</f>
        <v>5</v>
      </c>
      <c r="AF1315" s="142" t="s">
        <v>7974</v>
      </c>
      <c r="AG1315" s="142" t="s">
        <v>2398</v>
      </c>
      <c r="AH1315" s="142" t="s">
        <v>2705</v>
      </c>
      <c r="AI1315" s="142" t="s">
        <v>1435</v>
      </c>
      <c r="AJ1315" s="142" t="s">
        <v>2705</v>
      </c>
      <c r="AK1315" s="142" t="s">
        <v>2398</v>
      </c>
      <c r="AL1315" s="142" t="s">
        <v>1435</v>
      </c>
      <c r="AM1315" s="142" t="s">
        <v>2398</v>
      </c>
      <c r="AN1315" s="142" t="s">
        <v>2675</v>
      </c>
      <c r="AO1315" s="142" t="s">
        <v>2705</v>
      </c>
      <c r="AP1315" s="142" t="s">
        <v>2705</v>
      </c>
      <c r="AQ1315" s="142" t="s">
        <v>1435</v>
      </c>
      <c r="AR1315" s="142" t="s">
        <v>2705</v>
      </c>
      <c r="AS1315" s="142" t="s">
        <v>2705</v>
      </c>
      <c r="AT1315" s="142" t="s">
        <v>2398</v>
      </c>
      <c r="AU1315" s="142" t="s">
        <v>1435</v>
      </c>
      <c r="AV1315" s="142" t="s">
        <v>2398</v>
      </c>
      <c r="AW1315" s="142" t="s">
        <v>2398</v>
      </c>
      <c r="AX1315" s="142" t="s">
        <v>2675</v>
      </c>
      <c r="AY1315" s="142" t="s">
        <v>2397</v>
      </c>
      <c r="AZ1315" s="142" t="s">
        <v>2398</v>
      </c>
    </row>
    <row r="1316" spans="1:52" s="142" customFormat="1" ht="12.75" x14ac:dyDescent="0.2">
      <c r="A1316" s="151"/>
      <c r="B1316" s="152" t="s">
        <v>2398</v>
      </c>
      <c r="C1316" s="152" t="s">
        <v>2675</v>
      </c>
      <c r="D1316" s="152" t="s">
        <v>2398</v>
      </c>
      <c r="E1316" s="152" t="s">
        <v>2398</v>
      </c>
      <c r="F1316" s="152" t="s">
        <v>2398</v>
      </c>
      <c r="G1316" s="152" t="s">
        <v>2675</v>
      </c>
      <c r="H1316" s="152" t="s">
        <v>2705</v>
      </c>
      <c r="I1316" s="152" t="s">
        <v>2675</v>
      </c>
      <c r="J1316" s="152" t="s">
        <v>2397</v>
      </c>
      <c r="K1316" s="152" t="s">
        <v>2398</v>
      </c>
      <c r="L1316" s="152" t="s">
        <v>2705</v>
      </c>
      <c r="M1316" s="152" t="s">
        <v>2398</v>
      </c>
      <c r="N1316" s="152" t="s">
        <v>2398</v>
      </c>
      <c r="O1316" s="152" t="s">
        <v>2398</v>
      </c>
      <c r="P1316" s="152" t="s">
        <v>2705</v>
      </c>
      <c r="Q1316" s="152" t="s">
        <v>2675</v>
      </c>
      <c r="R1316" s="152" t="s">
        <v>2705</v>
      </c>
      <c r="S1316" s="152" t="s">
        <v>2675</v>
      </c>
      <c r="T1316" s="152" t="s">
        <v>2705</v>
      </c>
      <c r="U1316" s="152" t="s">
        <v>1435</v>
      </c>
      <c r="V1316" s="142" t="str" cm="1">
        <f t="array" ref="V1316">IF(A1316&lt;&gt;"",SUM(--(B1316:U1317 = "X")*$U$3,--(B1316:U1317 ="A")*$Q$3,--(B1316:U1317 ="B")*$R$3,--(B1316:U1317 ="C")*$S$3),"")</f>
        <v/>
      </c>
      <c r="AG1316" s="142" t="s">
        <v>2398</v>
      </c>
      <c r="AH1316" s="142" t="s">
        <v>2675</v>
      </c>
      <c r="AI1316" s="142" t="s">
        <v>2398</v>
      </c>
      <c r="AJ1316" s="142" t="s">
        <v>2398</v>
      </c>
      <c r="AK1316" s="142" t="s">
        <v>2398</v>
      </c>
      <c r="AL1316" s="142" t="s">
        <v>2675</v>
      </c>
      <c r="AM1316" s="142" t="s">
        <v>2705</v>
      </c>
      <c r="AN1316" s="142" t="s">
        <v>2675</v>
      </c>
      <c r="AO1316" s="142" t="s">
        <v>2397</v>
      </c>
      <c r="AP1316" s="142" t="s">
        <v>2398</v>
      </c>
      <c r="AQ1316" s="142" t="s">
        <v>2705</v>
      </c>
      <c r="AR1316" s="142" t="s">
        <v>2398</v>
      </c>
      <c r="AS1316" s="142" t="s">
        <v>2398</v>
      </c>
      <c r="AT1316" s="142" t="s">
        <v>2398</v>
      </c>
      <c r="AU1316" s="142" t="s">
        <v>2705</v>
      </c>
      <c r="AV1316" s="142" t="s">
        <v>2675</v>
      </c>
      <c r="AW1316" s="142" t="s">
        <v>2705</v>
      </c>
      <c r="AX1316" s="142" t="s">
        <v>2675</v>
      </c>
      <c r="AY1316" s="142" t="s">
        <v>2705</v>
      </c>
      <c r="AZ1316" s="142" t="s">
        <v>1435</v>
      </c>
    </row>
    <row r="1317" spans="1:52" s="142" customFormat="1" ht="12.75" x14ac:dyDescent="0.2">
      <c r="A1317" s="151" t="s">
        <v>7975</v>
      </c>
      <c r="B1317" s="152" t="s">
        <v>2397</v>
      </c>
      <c r="C1317" s="152" t="s">
        <v>2705</v>
      </c>
      <c r="D1317" s="152" t="s">
        <v>2705</v>
      </c>
      <c r="E1317" s="152" t="s">
        <v>2398</v>
      </c>
      <c r="F1317" s="152" t="s">
        <v>2705</v>
      </c>
      <c r="G1317" s="152" t="s">
        <v>2705</v>
      </c>
      <c r="H1317" s="152" t="s">
        <v>2705</v>
      </c>
      <c r="I1317" s="152" t="s">
        <v>2398</v>
      </c>
      <c r="J1317" s="152" t="s">
        <v>2398</v>
      </c>
      <c r="K1317" s="152" t="s">
        <v>2398</v>
      </c>
      <c r="L1317" s="152" t="s">
        <v>2705</v>
      </c>
      <c r="M1317" s="152" t="s">
        <v>2705</v>
      </c>
      <c r="N1317" s="152" t="s">
        <v>2675</v>
      </c>
      <c r="O1317" s="152" t="s">
        <v>2398</v>
      </c>
      <c r="P1317" s="152" t="s">
        <v>2705</v>
      </c>
      <c r="Q1317" s="152" t="s">
        <v>2398</v>
      </c>
      <c r="R1317" s="152" t="s">
        <v>2675</v>
      </c>
      <c r="S1317" s="152" t="s">
        <v>2705</v>
      </c>
      <c r="T1317" s="152" t="s">
        <v>2398</v>
      </c>
      <c r="U1317" s="152" t="s">
        <v>2705</v>
      </c>
      <c r="V1317" s="142" cm="1">
        <f t="array" ref="V1317">IF(A1317&lt;&gt;"",SUM(--(B1317:U1318 = "X")*$U$3,--(B1317:U1318 ="A")*$Q$3,--(B1317:U1318 ="B")*$R$3,--(B1317:U1318 ="C")*$S$3),"")</f>
        <v>17</v>
      </c>
      <c r="AF1317" s="142" t="s">
        <v>7975</v>
      </c>
      <c r="AG1317" s="142" t="s">
        <v>2397</v>
      </c>
      <c r="AH1317" s="142" t="s">
        <v>2705</v>
      </c>
      <c r="AI1317" s="142" t="s">
        <v>2705</v>
      </c>
      <c r="AJ1317" s="142" t="s">
        <v>2398</v>
      </c>
      <c r="AK1317" s="142" t="s">
        <v>2705</v>
      </c>
      <c r="AL1317" s="142" t="s">
        <v>2705</v>
      </c>
      <c r="AM1317" s="142" t="s">
        <v>2705</v>
      </c>
      <c r="AN1317" s="142" t="s">
        <v>2398</v>
      </c>
      <c r="AO1317" s="142" t="s">
        <v>2398</v>
      </c>
      <c r="AP1317" s="142" t="s">
        <v>2398</v>
      </c>
      <c r="AQ1317" s="142" t="s">
        <v>2705</v>
      </c>
      <c r="AR1317" s="142" t="s">
        <v>2705</v>
      </c>
      <c r="AS1317" s="142" t="s">
        <v>2675</v>
      </c>
      <c r="AT1317" s="142" t="s">
        <v>2398</v>
      </c>
      <c r="AU1317" s="142" t="s">
        <v>2705</v>
      </c>
      <c r="AV1317" s="142" t="s">
        <v>2398</v>
      </c>
      <c r="AW1317" s="142" t="s">
        <v>2675</v>
      </c>
      <c r="AX1317" s="142" t="s">
        <v>2705</v>
      </c>
      <c r="AY1317" s="142" t="s">
        <v>2398</v>
      </c>
      <c r="AZ1317" s="142" t="s">
        <v>2705</v>
      </c>
    </row>
    <row r="1318" spans="1:52" s="142" customFormat="1" ht="12.75" x14ac:dyDescent="0.2">
      <c r="A1318" s="151"/>
      <c r="B1318" s="152" t="s">
        <v>2398</v>
      </c>
      <c r="C1318" s="152" t="s">
        <v>2398</v>
      </c>
      <c r="D1318" s="152" t="s">
        <v>2675</v>
      </c>
      <c r="E1318" s="152" t="s">
        <v>2705</v>
      </c>
      <c r="F1318" s="152" t="s">
        <v>2705</v>
      </c>
      <c r="G1318" s="152" t="s">
        <v>2675</v>
      </c>
      <c r="H1318" s="152" t="s">
        <v>2398</v>
      </c>
      <c r="I1318" s="152" t="s">
        <v>2397</v>
      </c>
      <c r="J1318" s="152" t="s">
        <v>2398</v>
      </c>
      <c r="K1318" s="152" t="s">
        <v>2705</v>
      </c>
      <c r="L1318" s="152" t="s">
        <v>2705</v>
      </c>
      <c r="M1318" s="152" t="s">
        <v>2705</v>
      </c>
      <c r="N1318" s="152" t="s">
        <v>2398</v>
      </c>
      <c r="O1318" s="152" t="s">
        <v>2705</v>
      </c>
      <c r="P1318" s="152" t="s">
        <v>2398</v>
      </c>
      <c r="Q1318" s="152" t="s">
        <v>2398</v>
      </c>
      <c r="R1318" s="152" t="s">
        <v>2398</v>
      </c>
      <c r="S1318" s="152" t="s">
        <v>2705</v>
      </c>
      <c r="T1318" s="152" t="s">
        <v>2705</v>
      </c>
      <c r="U1318" s="152" t="s">
        <v>2705</v>
      </c>
      <c r="V1318" s="142" t="str" cm="1">
        <f t="array" ref="V1318">IF(A1318&lt;&gt;"",SUM(--(B1318:U1319 = "X")*$U$3,--(B1318:U1319 ="A")*$Q$3,--(B1318:U1319 ="B")*$R$3,--(B1318:U1319 ="C")*$S$3),"")</f>
        <v/>
      </c>
      <c r="AG1318" s="142" t="s">
        <v>2398</v>
      </c>
      <c r="AH1318" s="142" t="s">
        <v>2398</v>
      </c>
      <c r="AI1318" s="142" t="s">
        <v>2675</v>
      </c>
      <c r="AJ1318" s="142" t="s">
        <v>2705</v>
      </c>
      <c r="AK1318" s="142" t="s">
        <v>2705</v>
      </c>
      <c r="AL1318" s="142" t="s">
        <v>2675</v>
      </c>
      <c r="AM1318" s="142" t="s">
        <v>2398</v>
      </c>
      <c r="AN1318" s="142" t="s">
        <v>2397</v>
      </c>
      <c r="AO1318" s="142" t="s">
        <v>2398</v>
      </c>
      <c r="AP1318" s="142" t="s">
        <v>2705</v>
      </c>
      <c r="AQ1318" s="142" t="s">
        <v>2705</v>
      </c>
      <c r="AR1318" s="142" t="s">
        <v>2705</v>
      </c>
      <c r="AS1318" s="142" t="s">
        <v>2398</v>
      </c>
      <c r="AT1318" s="142" t="s">
        <v>2705</v>
      </c>
      <c r="AU1318" s="142" t="s">
        <v>2398</v>
      </c>
      <c r="AV1318" s="142" t="s">
        <v>2398</v>
      </c>
      <c r="AW1318" s="142" t="s">
        <v>2398</v>
      </c>
      <c r="AX1318" s="142" t="s">
        <v>2705</v>
      </c>
      <c r="AY1318" s="142" t="s">
        <v>2705</v>
      </c>
      <c r="AZ1318" s="142" t="s">
        <v>2705</v>
      </c>
    </row>
    <row r="1319" spans="1:52" s="142" customFormat="1" ht="12.75" x14ac:dyDescent="0.2">
      <c r="A1319" s="151" t="s">
        <v>7976</v>
      </c>
      <c r="B1319" s="152" t="s">
        <v>2705</v>
      </c>
      <c r="C1319" s="152" t="s">
        <v>2705</v>
      </c>
      <c r="D1319" s="152" t="s">
        <v>2675</v>
      </c>
      <c r="E1319" s="152" t="s">
        <v>2705</v>
      </c>
      <c r="F1319" s="152" t="s">
        <v>2705</v>
      </c>
      <c r="G1319" s="152" t="s">
        <v>2705</v>
      </c>
      <c r="H1319" s="152" t="s">
        <v>2705</v>
      </c>
      <c r="I1319" s="152" t="s">
        <v>2675</v>
      </c>
      <c r="J1319" s="152" t="s">
        <v>2705</v>
      </c>
      <c r="K1319" s="152" t="s">
        <v>1435</v>
      </c>
      <c r="L1319" s="152" t="s">
        <v>2705</v>
      </c>
      <c r="M1319" s="152" t="s">
        <v>2705</v>
      </c>
      <c r="N1319" s="152" t="s">
        <v>2705</v>
      </c>
      <c r="O1319" s="152" t="s">
        <v>2397</v>
      </c>
      <c r="P1319" s="152" t="s">
        <v>2675</v>
      </c>
      <c r="Q1319" s="152" t="s">
        <v>2705</v>
      </c>
      <c r="R1319" s="152" t="s">
        <v>2705</v>
      </c>
      <c r="S1319" s="152" t="s">
        <v>2705</v>
      </c>
      <c r="T1319" s="152" t="s">
        <v>2705</v>
      </c>
      <c r="U1319" s="152" t="s">
        <v>2705</v>
      </c>
      <c r="V1319" s="142" cm="1">
        <f t="array" ref="V1319">IF(A1319&lt;&gt;"",SUM(--(B1319:U1320 = "X")*$U$3,--(B1319:U1320 ="A")*$Q$3,--(B1319:U1320 ="B")*$R$3,--(B1319:U1320 ="C")*$S$3),"")</f>
        <v>27</v>
      </c>
      <c r="AF1319" s="142" t="s">
        <v>7976</v>
      </c>
      <c r="AG1319" s="142" t="s">
        <v>2705</v>
      </c>
      <c r="AH1319" s="142" t="s">
        <v>2705</v>
      </c>
      <c r="AI1319" s="142" t="s">
        <v>2675</v>
      </c>
      <c r="AJ1319" s="142" t="s">
        <v>2705</v>
      </c>
      <c r="AK1319" s="142" t="s">
        <v>2705</v>
      </c>
      <c r="AL1319" s="142" t="s">
        <v>2705</v>
      </c>
      <c r="AM1319" s="142" t="s">
        <v>2705</v>
      </c>
      <c r="AN1319" s="142" t="s">
        <v>2675</v>
      </c>
      <c r="AO1319" s="142" t="s">
        <v>2705</v>
      </c>
      <c r="AP1319" s="142" t="s">
        <v>1435</v>
      </c>
      <c r="AQ1319" s="142" t="s">
        <v>2705</v>
      </c>
      <c r="AR1319" s="142" t="s">
        <v>2705</v>
      </c>
      <c r="AS1319" s="142" t="s">
        <v>2705</v>
      </c>
      <c r="AT1319" s="142" t="s">
        <v>2397</v>
      </c>
      <c r="AU1319" s="142" t="s">
        <v>2675</v>
      </c>
      <c r="AV1319" s="142" t="s">
        <v>2705</v>
      </c>
      <c r="AW1319" s="142" t="s">
        <v>2705</v>
      </c>
      <c r="AX1319" s="142" t="s">
        <v>2705</v>
      </c>
      <c r="AY1319" s="142" t="s">
        <v>2705</v>
      </c>
      <c r="AZ1319" s="142" t="s">
        <v>2705</v>
      </c>
    </row>
    <row r="1320" spans="1:52" s="142" customFormat="1" ht="12.75" x14ac:dyDescent="0.2">
      <c r="A1320" s="151"/>
      <c r="B1320" s="152" t="s">
        <v>2705</v>
      </c>
      <c r="C1320" s="152" t="s">
        <v>2705</v>
      </c>
      <c r="D1320" s="152" t="s">
        <v>2705</v>
      </c>
      <c r="E1320" s="152" t="s">
        <v>2705</v>
      </c>
      <c r="F1320" s="152" t="s">
        <v>2397</v>
      </c>
      <c r="G1320" s="152" t="s">
        <v>2705</v>
      </c>
      <c r="H1320" s="152" t="s">
        <v>2398</v>
      </c>
      <c r="I1320" s="152" t="s">
        <v>2705</v>
      </c>
      <c r="J1320" s="152" t="s">
        <v>2705</v>
      </c>
      <c r="K1320" s="152" t="s">
        <v>2675</v>
      </c>
      <c r="L1320" s="152" t="s">
        <v>2705</v>
      </c>
      <c r="M1320" s="152" t="s">
        <v>2705</v>
      </c>
      <c r="N1320" s="152" t="s">
        <v>2705</v>
      </c>
      <c r="O1320" s="152" t="s">
        <v>2705</v>
      </c>
      <c r="P1320" s="152" t="s">
        <v>2705</v>
      </c>
      <c r="Q1320" s="152" t="s">
        <v>1435</v>
      </c>
      <c r="R1320" s="152" t="s">
        <v>2398</v>
      </c>
      <c r="S1320" s="152" t="s">
        <v>2705</v>
      </c>
      <c r="T1320" s="152" t="s">
        <v>2705</v>
      </c>
      <c r="U1320" s="152" t="s">
        <v>2705</v>
      </c>
      <c r="V1320" s="142" t="str" cm="1">
        <f t="array" ref="V1320">IF(A1320&lt;&gt;"",SUM(--(B1320:U1321 = "X")*$U$3,--(B1320:U1321 ="A")*$Q$3,--(B1320:U1321 ="B")*$R$3,--(B1320:U1321 ="C")*$S$3),"")</f>
        <v/>
      </c>
      <c r="AG1320" s="142" t="s">
        <v>2705</v>
      </c>
      <c r="AH1320" s="142" t="s">
        <v>2705</v>
      </c>
      <c r="AI1320" s="142" t="s">
        <v>2705</v>
      </c>
      <c r="AJ1320" s="142" t="s">
        <v>2705</v>
      </c>
      <c r="AK1320" s="142" t="s">
        <v>2397</v>
      </c>
      <c r="AL1320" s="142" t="s">
        <v>2705</v>
      </c>
      <c r="AM1320" s="142" t="s">
        <v>2398</v>
      </c>
      <c r="AN1320" s="142" t="s">
        <v>2705</v>
      </c>
      <c r="AO1320" s="142" t="s">
        <v>2705</v>
      </c>
      <c r="AP1320" s="142" t="s">
        <v>2675</v>
      </c>
      <c r="AQ1320" s="142" t="s">
        <v>2705</v>
      </c>
      <c r="AR1320" s="142" t="s">
        <v>2705</v>
      </c>
      <c r="AS1320" s="142" t="s">
        <v>2705</v>
      </c>
      <c r="AT1320" s="142" t="s">
        <v>2705</v>
      </c>
      <c r="AU1320" s="142" t="s">
        <v>2705</v>
      </c>
      <c r="AV1320" s="142" t="s">
        <v>1435</v>
      </c>
      <c r="AW1320" s="142" t="s">
        <v>2398</v>
      </c>
      <c r="AX1320" s="142" t="s">
        <v>2705</v>
      </c>
      <c r="AY1320" s="142" t="s">
        <v>2705</v>
      </c>
      <c r="AZ1320" s="142" t="s">
        <v>2705</v>
      </c>
    </row>
    <row r="1321" spans="1:52" s="142" customFormat="1" ht="12.75" x14ac:dyDescent="0.2">
      <c r="A1321" s="151" t="s">
        <v>7977</v>
      </c>
      <c r="B1321" s="152" t="s">
        <v>2705</v>
      </c>
      <c r="C1321" s="152" t="s">
        <v>2675</v>
      </c>
      <c r="D1321" s="152" t="s">
        <v>2705</v>
      </c>
      <c r="E1321" s="152" t="s">
        <v>1435</v>
      </c>
      <c r="F1321" s="152" t="s">
        <v>2705</v>
      </c>
      <c r="G1321" s="152" t="s">
        <v>2705</v>
      </c>
      <c r="H1321" s="152" t="s">
        <v>1435</v>
      </c>
      <c r="I1321" s="152" t="s">
        <v>2397</v>
      </c>
      <c r="J1321" s="152" t="s">
        <v>2398</v>
      </c>
      <c r="K1321" s="152" t="s">
        <v>2705</v>
      </c>
      <c r="L1321" s="152" t="s">
        <v>1435</v>
      </c>
      <c r="M1321" s="152" t="s">
        <v>2705</v>
      </c>
      <c r="N1321" s="152" t="s">
        <v>2398</v>
      </c>
      <c r="O1321" s="152" t="s">
        <v>2705</v>
      </c>
      <c r="P1321" s="152" t="s">
        <v>2705</v>
      </c>
      <c r="Q1321" s="152" t="s">
        <v>2705</v>
      </c>
      <c r="R1321" s="152" t="s">
        <v>2675</v>
      </c>
      <c r="S1321" s="152" t="s">
        <v>2675</v>
      </c>
      <c r="T1321" s="152" t="s">
        <v>2705</v>
      </c>
      <c r="U1321" s="152" t="s">
        <v>2705</v>
      </c>
      <c r="V1321" s="142" cm="1">
        <f t="array" ref="V1321">IF(A1321&lt;&gt;"",SUM(--(B1321:U1322 = "X")*$U$3,--(B1321:U1322 ="A")*$Q$3,--(B1321:U1322 ="B")*$R$3,--(B1321:U1322 ="C")*$S$3),"")</f>
        <v>11.5</v>
      </c>
      <c r="AF1321" s="142" t="s">
        <v>7977</v>
      </c>
      <c r="AG1321" s="142" t="s">
        <v>2705</v>
      </c>
      <c r="AH1321" s="142" t="s">
        <v>2675</v>
      </c>
      <c r="AI1321" s="142" t="s">
        <v>2705</v>
      </c>
      <c r="AJ1321" s="142" t="s">
        <v>1435</v>
      </c>
      <c r="AK1321" s="142" t="s">
        <v>2705</v>
      </c>
      <c r="AL1321" s="142" t="s">
        <v>2705</v>
      </c>
      <c r="AM1321" s="142" t="s">
        <v>1435</v>
      </c>
      <c r="AN1321" s="142" t="s">
        <v>2397</v>
      </c>
      <c r="AO1321" s="142" t="s">
        <v>2398</v>
      </c>
      <c r="AP1321" s="142" t="s">
        <v>2705</v>
      </c>
      <c r="AQ1321" s="142" t="s">
        <v>1435</v>
      </c>
      <c r="AR1321" s="142" t="s">
        <v>2705</v>
      </c>
      <c r="AS1321" s="142" t="s">
        <v>2398</v>
      </c>
      <c r="AT1321" s="142" t="s">
        <v>2705</v>
      </c>
      <c r="AU1321" s="142" t="s">
        <v>2705</v>
      </c>
      <c r="AV1321" s="142" t="s">
        <v>2705</v>
      </c>
      <c r="AW1321" s="142" t="s">
        <v>2675</v>
      </c>
      <c r="AX1321" s="142" t="s">
        <v>2675</v>
      </c>
      <c r="AY1321" s="142" t="s">
        <v>2705</v>
      </c>
      <c r="AZ1321" s="142" t="s">
        <v>2705</v>
      </c>
    </row>
    <row r="1322" spans="1:52" s="142" customFormat="1" ht="12.75" x14ac:dyDescent="0.2">
      <c r="A1322" s="151"/>
      <c r="B1322" s="152" t="s">
        <v>2705</v>
      </c>
      <c r="C1322" s="152" t="s">
        <v>2705</v>
      </c>
      <c r="D1322" s="152" t="s">
        <v>2398</v>
      </c>
      <c r="E1322" s="152" t="s">
        <v>2675</v>
      </c>
      <c r="F1322" s="152" t="s">
        <v>2397</v>
      </c>
      <c r="G1322" s="152" t="s">
        <v>2705</v>
      </c>
      <c r="H1322" s="152" t="s">
        <v>2398</v>
      </c>
      <c r="I1322" s="152" t="s">
        <v>2705</v>
      </c>
      <c r="J1322" s="152" t="s">
        <v>2398</v>
      </c>
      <c r="K1322" s="152" t="s">
        <v>2398</v>
      </c>
      <c r="L1322" s="152" t="s">
        <v>2398</v>
      </c>
      <c r="M1322" s="152" t="s">
        <v>2398</v>
      </c>
      <c r="N1322" s="152" t="s">
        <v>2398</v>
      </c>
      <c r="O1322" s="152" t="s">
        <v>2398</v>
      </c>
      <c r="P1322" s="152" t="s">
        <v>2398</v>
      </c>
      <c r="Q1322" s="152" t="s">
        <v>2398</v>
      </c>
      <c r="R1322" s="152" t="s">
        <v>2398</v>
      </c>
      <c r="S1322" s="152" t="s">
        <v>2398</v>
      </c>
      <c r="T1322" s="152" t="s">
        <v>2398</v>
      </c>
      <c r="U1322" s="152" t="s">
        <v>2398</v>
      </c>
      <c r="V1322" s="142" t="str" cm="1">
        <f t="array" ref="V1322">IF(A1322&lt;&gt;"",SUM(--(B1322:U1323 = "X")*$U$3,--(B1322:U1323 ="A")*$Q$3,--(B1322:U1323 ="B")*$R$3,--(B1322:U1323 ="C")*$S$3),"")</f>
        <v/>
      </c>
      <c r="AG1322" s="142" t="s">
        <v>2705</v>
      </c>
      <c r="AH1322" s="142" t="s">
        <v>2705</v>
      </c>
      <c r="AI1322" s="142" t="s">
        <v>2398</v>
      </c>
      <c r="AJ1322" s="142" t="s">
        <v>2675</v>
      </c>
      <c r="AK1322" s="142" t="s">
        <v>2397</v>
      </c>
      <c r="AL1322" s="142" t="s">
        <v>2705</v>
      </c>
      <c r="AM1322" s="142" t="s">
        <v>2398</v>
      </c>
      <c r="AN1322" s="142" t="s">
        <v>2705</v>
      </c>
      <c r="AO1322" s="142" t="s">
        <v>2398</v>
      </c>
      <c r="AP1322" s="142" t="s">
        <v>2398</v>
      </c>
      <c r="AQ1322" s="142" t="s">
        <v>2398</v>
      </c>
      <c r="AR1322" s="142" t="s">
        <v>2398</v>
      </c>
      <c r="AS1322" s="142" t="s">
        <v>2398</v>
      </c>
      <c r="AT1322" s="142" t="s">
        <v>2398</v>
      </c>
      <c r="AU1322" s="142" t="s">
        <v>2398</v>
      </c>
      <c r="AV1322" s="142" t="s">
        <v>2398</v>
      </c>
      <c r="AW1322" s="142" t="s">
        <v>2398</v>
      </c>
      <c r="AX1322" s="142" t="s">
        <v>2398</v>
      </c>
      <c r="AY1322" s="142" t="s">
        <v>2398</v>
      </c>
      <c r="AZ1322" s="142" t="s">
        <v>2398</v>
      </c>
    </row>
    <row r="1323" spans="1:52" s="142" customFormat="1" ht="12.75" x14ac:dyDescent="0.2">
      <c r="A1323" s="151" t="s">
        <v>7978</v>
      </c>
      <c r="B1323" s="152" t="s">
        <v>2705</v>
      </c>
      <c r="C1323" s="152" t="s">
        <v>2705</v>
      </c>
      <c r="D1323" s="152" t="s">
        <v>2398</v>
      </c>
      <c r="E1323" s="152" t="s">
        <v>2705</v>
      </c>
      <c r="F1323" s="152" t="s">
        <v>2705</v>
      </c>
      <c r="G1323" s="152" t="s">
        <v>2705</v>
      </c>
      <c r="H1323" s="152" t="s">
        <v>2705</v>
      </c>
      <c r="I1323" s="152" t="s">
        <v>2675</v>
      </c>
      <c r="J1323" s="152" t="s">
        <v>2705</v>
      </c>
      <c r="K1323" s="152" t="s">
        <v>2398</v>
      </c>
      <c r="L1323" s="152" t="s">
        <v>2398</v>
      </c>
      <c r="M1323" s="152" t="s">
        <v>2705</v>
      </c>
      <c r="N1323" s="152" t="s">
        <v>2398</v>
      </c>
      <c r="O1323" s="152" t="s">
        <v>2398</v>
      </c>
      <c r="P1323" s="152" t="s">
        <v>2398</v>
      </c>
      <c r="Q1323" s="152" t="s">
        <v>2705</v>
      </c>
      <c r="R1323" s="152" t="s">
        <v>2705</v>
      </c>
      <c r="S1323" s="152" t="s">
        <v>2705</v>
      </c>
      <c r="T1323" s="152" t="s">
        <v>2397</v>
      </c>
      <c r="U1323" s="152" t="s">
        <v>2705</v>
      </c>
      <c r="V1323" s="142" cm="1">
        <f t="array" ref="V1323">IF(A1323&lt;&gt;"",SUM(--(B1323:U1324 = "X")*$U$3,--(B1323:U1324 ="A")*$Q$3,--(B1323:U1324 ="B")*$R$3,--(B1323:U1324 ="C")*$S$3),"")</f>
        <v>20</v>
      </c>
      <c r="AF1323" s="142" t="s">
        <v>7978</v>
      </c>
      <c r="AG1323" s="142" t="s">
        <v>2705</v>
      </c>
      <c r="AH1323" s="142" t="s">
        <v>2705</v>
      </c>
      <c r="AI1323" s="142" t="s">
        <v>2398</v>
      </c>
      <c r="AJ1323" s="142" t="s">
        <v>2705</v>
      </c>
      <c r="AK1323" s="142" t="s">
        <v>2705</v>
      </c>
      <c r="AL1323" s="142" t="s">
        <v>2705</v>
      </c>
      <c r="AM1323" s="142" t="s">
        <v>2705</v>
      </c>
      <c r="AN1323" s="142" t="s">
        <v>2675</v>
      </c>
      <c r="AO1323" s="142" t="s">
        <v>2705</v>
      </c>
      <c r="AP1323" s="142" t="s">
        <v>2398</v>
      </c>
      <c r="AQ1323" s="142" t="s">
        <v>2398</v>
      </c>
      <c r="AR1323" s="142" t="s">
        <v>2705</v>
      </c>
      <c r="AS1323" s="142" t="s">
        <v>2398</v>
      </c>
      <c r="AT1323" s="142" t="s">
        <v>2398</v>
      </c>
      <c r="AU1323" s="142" t="s">
        <v>2398</v>
      </c>
      <c r="AV1323" s="142" t="s">
        <v>2705</v>
      </c>
      <c r="AW1323" s="142" t="s">
        <v>2705</v>
      </c>
      <c r="AX1323" s="142" t="s">
        <v>2705</v>
      </c>
      <c r="AY1323" s="142" t="s">
        <v>2397</v>
      </c>
      <c r="AZ1323" s="142" t="s">
        <v>2705</v>
      </c>
    </row>
    <row r="1324" spans="1:52" s="142" customFormat="1" ht="12.75" x14ac:dyDescent="0.2">
      <c r="A1324" s="151"/>
      <c r="B1324" s="152" t="s">
        <v>2398</v>
      </c>
      <c r="C1324" s="152" t="s">
        <v>2398</v>
      </c>
      <c r="D1324" s="152" t="s">
        <v>2398</v>
      </c>
      <c r="E1324" s="152" t="s">
        <v>2398</v>
      </c>
      <c r="F1324" s="152" t="s">
        <v>2705</v>
      </c>
      <c r="G1324" s="152" t="s">
        <v>2398</v>
      </c>
      <c r="H1324" s="152" t="s">
        <v>2398</v>
      </c>
      <c r="I1324" s="152" t="s">
        <v>2398</v>
      </c>
      <c r="J1324" s="152" t="s">
        <v>2398</v>
      </c>
      <c r="K1324" s="152" t="s">
        <v>2398</v>
      </c>
      <c r="L1324" s="152" t="s">
        <v>2705</v>
      </c>
      <c r="M1324" s="152" t="s">
        <v>2705</v>
      </c>
      <c r="N1324" s="152" t="s">
        <v>2705</v>
      </c>
      <c r="O1324" s="152" t="s">
        <v>2705</v>
      </c>
      <c r="P1324" s="152" t="s">
        <v>2675</v>
      </c>
      <c r="Q1324" s="152" t="s">
        <v>2705</v>
      </c>
      <c r="R1324" s="152" t="s">
        <v>2705</v>
      </c>
      <c r="S1324" s="152" t="s">
        <v>2705</v>
      </c>
      <c r="T1324" s="152" t="s">
        <v>2705</v>
      </c>
      <c r="U1324" s="152" t="s">
        <v>2398</v>
      </c>
      <c r="V1324" s="142" t="str" cm="1">
        <f t="array" ref="V1324">IF(A1324&lt;&gt;"",SUM(--(B1324:U1325 = "X")*$U$3,--(B1324:U1325 ="A")*$Q$3,--(B1324:U1325 ="B")*$R$3,--(B1324:U1325 ="C")*$S$3),"")</f>
        <v/>
      </c>
      <c r="AG1324" s="142" t="s">
        <v>2398</v>
      </c>
      <c r="AH1324" s="142" t="s">
        <v>2398</v>
      </c>
      <c r="AI1324" s="142" t="s">
        <v>2398</v>
      </c>
      <c r="AJ1324" s="142" t="s">
        <v>2398</v>
      </c>
      <c r="AK1324" s="142" t="s">
        <v>2705</v>
      </c>
      <c r="AL1324" s="142" t="s">
        <v>2398</v>
      </c>
      <c r="AM1324" s="142" t="s">
        <v>2398</v>
      </c>
      <c r="AN1324" s="142" t="s">
        <v>2398</v>
      </c>
      <c r="AO1324" s="142" t="s">
        <v>2398</v>
      </c>
      <c r="AP1324" s="142" t="s">
        <v>2398</v>
      </c>
      <c r="AQ1324" s="142" t="s">
        <v>2705</v>
      </c>
      <c r="AR1324" s="142" t="s">
        <v>2705</v>
      </c>
      <c r="AS1324" s="142" t="s">
        <v>2705</v>
      </c>
      <c r="AT1324" s="142" t="s">
        <v>2705</v>
      </c>
      <c r="AU1324" s="142" t="s">
        <v>2675</v>
      </c>
      <c r="AV1324" s="142" t="s">
        <v>2705</v>
      </c>
      <c r="AW1324" s="142" t="s">
        <v>2705</v>
      </c>
      <c r="AX1324" s="142" t="s">
        <v>2705</v>
      </c>
      <c r="AY1324" s="142" t="s">
        <v>2705</v>
      </c>
      <c r="AZ1324" s="142" t="s">
        <v>2398</v>
      </c>
    </row>
    <row r="1325" spans="1:52" s="142" customFormat="1" ht="12.75" x14ac:dyDescent="0.2">
      <c r="A1325" s="151" t="s">
        <v>7979</v>
      </c>
      <c r="B1325" s="152" t="s">
        <v>2398</v>
      </c>
      <c r="C1325" s="152" t="s">
        <v>2398</v>
      </c>
      <c r="D1325" s="152" t="s">
        <v>2398</v>
      </c>
      <c r="E1325" s="152" t="s">
        <v>2398</v>
      </c>
      <c r="F1325" s="152" t="s">
        <v>2398</v>
      </c>
      <c r="G1325" s="152" t="s">
        <v>2705</v>
      </c>
      <c r="H1325" s="152" t="s">
        <v>2705</v>
      </c>
      <c r="I1325" s="152" t="s">
        <v>2397</v>
      </c>
      <c r="J1325" s="152" t="s">
        <v>2398</v>
      </c>
      <c r="K1325" s="152" t="s">
        <v>2705</v>
      </c>
      <c r="L1325" s="152" t="s">
        <v>2705</v>
      </c>
      <c r="M1325" s="152" t="s">
        <v>2705</v>
      </c>
      <c r="N1325" s="152" t="s">
        <v>2675</v>
      </c>
      <c r="O1325" s="152" t="s">
        <v>2705</v>
      </c>
      <c r="P1325" s="152" t="s">
        <v>2705</v>
      </c>
      <c r="Q1325" s="152" t="s">
        <v>2705</v>
      </c>
      <c r="R1325" s="152" t="s">
        <v>2398</v>
      </c>
      <c r="S1325" s="152" t="s">
        <v>2705</v>
      </c>
      <c r="T1325" s="152" t="s">
        <v>2705</v>
      </c>
      <c r="U1325" s="152" t="s">
        <v>2705</v>
      </c>
      <c r="V1325" s="142" cm="1">
        <f t="array" ref="V1325">IF(A1325&lt;&gt;"",SUM(--(B1325:U1326 = "X")*$U$3,--(B1325:U1326 ="A")*$Q$3,--(B1325:U1326 ="B")*$R$3,--(B1325:U1326 ="C")*$S$3),"")</f>
        <v>22.5</v>
      </c>
      <c r="AF1325" s="142" t="s">
        <v>7979</v>
      </c>
      <c r="AG1325" s="142" t="s">
        <v>2398</v>
      </c>
      <c r="AH1325" s="142" t="s">
        <v>2398</v>
      </c>
      <c r="AI1325" s="142" t="s">
        <v>2398</v>
      </c>
      <c r="AJ1325" s="142" t="s">
        <v>2398</v>
      </c>
      <c r="AK1325" s="142" t="s">
        <v>2398</v>
      </c>
      <c r="AL1325" s="142" t="s">
        <v>2705</v>
      </c>
      <c r="AM1325" s="142" t="s">
        <v>2705</v>
      </c>
      <c r="AN1325" s="142" t="s">
        <v>2397</v>
      </c>
      <c r="AO1325" s="142" t="s">
        <v>2398</v>
      </c>
      <c r="AP1325" s="142" t="s">
        <v>2705</v>
      </c>
      <c r="AQ1325" s="142" t="s">
        <v>2705</v>
      </c>
      <c r="AR1325" s="142" t="s">
        <v>2705</v>
      </c>
      <c r="AS1325" s="142" t="s">
        <v>2675</v>
      </c>
      <c r="AT1325" s="142" t="s">
        <v>2705</v>
      </c>
      <c r="AU1325" s="142" t="s">
        <v>2705</v>
      </c>
      <c r="AV1325" s="142" t="s">
        <v>2705</v>
      </c>
      <c r="AW1325" s="142" t="s">
        <v>2398</v>
      </c>
      <c r="AX1325" s="142" t="s">
        <v>2705</v>
      </c>
      <c r="AY1325" s="142" t="s">
        <v>2705</v>
      </c>
      <c r="AZ1325" s="142" t="s">
        <v>2705</v>
      </c>
    </row>
    <row r="1326" spans="1:52" s="142" customFormat="1" ht="12.75" x14ac:dyDescent="0.2">
      <c r="A1326" s="151"/>
      <c r="B1326" s="152" t="s">
        <v>2705</v>
      </c>
      <c r="C1326" s="152" t="s">
        <v>2398</v>
      </c>
      <c r="D1326" s="152" t="s">
        <v>2398</v>
      </c>
      <c r="E1326" s="152" t="s">
        <v>2705</v>
      </c>
      <c r="F1326" s="152" t="s">
        <v>2705</v>
      </c>
      <c r="G1326" s="152" t="s">
        <v>2705</v>
      </c>
      <c r="H1326" s="152" t="s">
        <v>2398</v>
      </c>
      <c r="I1326" s="152" t="s">
        <v>2705</v>
      </c>
      <c r="J1326" s="152" t="s">
        <v>2705</v>
      </c>
      <c r="K1326" s="152" t="s">
        <v>2705</v>
      </c>
      <c r="L1326" s="152" t="s">
        <v>2398</v>
      </c>
      <c r="M1326" s="152" t="s">
        <v>2398</v>
      </c>
      <c r="N1326" s="152" t="s">
        <v>2705</v>
      </c>
      <c r="O1326" s="152" t="s">
        <v>2705</v>
      </c>
      <c r="P1326" s="152" t="s">
        <v>2705</v>
      </c>
      <c r="Q1326" s="152" t="s">
        <v>2705</v>
      </c>
      <c r="R1326" s="152" t="s">
        <v>2398</v>
      </c>
      <c r="S1326" s="152" t="s">
        <v>2705</v>
      </c>
      <c r="T1326" s="152" t="s">
        <v>2397</v>
      </c>
      <c r="U1326" s="152" t="s">
        <v>2398</v>
      </c>
      <c r="V1326" s="142" t="str" cm="1">
        <f t="array" ref="V1326">IF(A1326&lt;&gt;"",SUM(--(B1326:U1327 = "X")*$U$3,--(B1326:U1327 ="A")*$Q$3,--(B1326:U1327 ="B")*$R$3,--(B1326:U1327 ="C")*$S$3),"")</f>
        <v/>
      </c>
      <c r="AG1326" s="142" t="s">
        <v>2705</v>
      </c>
      <c r="AH1326" s="142" t="s">
        <v>2398</v>
      </c>
      <c r="AI1326" s="142" t="s">
        <v>2398</v>
      </c>
      <c r="AJ1326" s="142" t="s">
        <v>2705</v>
      </c>
      <c r="AK1326" s="142" t="s">
        <v>2705</v>
      </c>
      <c r="AL1326" s="142" t="s">
        <v>2705</v>
      </c>
      <c r="AM1326" s="142" t="s">
        <v>2398</v>
      </c>
      <c r="AN1326" s="142" t="s">
        <v>2705</v>
      </c>
      <c r="AO1326" s="142" t="s">
        <v>2705</v>
      </c>
      <c r="AP1326" s="142" t="s">
        <v>2705</v>
      </c>
      <c r="AQ1326" s="142" t="s">
        <v>2398</v>
      </c>
      <c r="AR1326" s="142" t="s">
        <v>2398</v>
      </c>
      <c r="AS1326" s="142" t="s">
        <v>2705</v>
      </c>
      <c r="AT1326" s="142" t="s">
        <v>2705</v>
      </c>
      <c r="AU1326" s="142" t="s">
        <v>2705</v>
      </c>
      <c r="AV1326" s="142" t="s">
        <v>2705</v>
      </c>
      <c r="AW1326" s="142" t="s">
        <v>2398</v>
      </c>
      <c r="AX1326" s="142" t="s">
        <v>2705</v>
      </c>
      <c r="AY1326" s="142" t="s">
        <v>2397</v>
      </c>
      <c r="AZ1326" s="142" t="s">
        <v>2398</v>
      </c>
    </row>
    <row r="1327" spans="1:52" s="142" customFormat="1" ht="12.75" x14ac:dyDescent="0.2">
      <c r="A1327" s="151" t="s">
        <v>7980</v>
      </c>
      <c r="B1327" s="152" t="s">
        <v>2705</v>
      </c>
      <c r="C1327" s="152" t="s">
        <v>2705</v>
      </c>
      <c r="D1327" s="152" t="s">
        <v>2397</v>
      </c>
      <c r="E1327" s="152" t="s">
        <v>2705</v>
      </c>
      <c r="F1327" s="152" t="s">
        <v>2398</v>
      </c>
      <c r="G1327" s="152" t="s">
        <v>2398</v>
      </c>
      <c r="H1327" s="152" t="s">
        <v>2705</v>
      </c>
      <c r="I1327" s="152" t="s">
        <v>2398</v>
      </c>
      <c r="J1327" s="152" t="s">
        <v>2398</v>
      </c>
      <c r="K1327" s="152" t="s">
        <v>1435</v>
      </c>
      <c r="L1327" s="152" t="s">
        <v>2705</v>
      </c>
      <c r="M1327" s="152" t="s">
        <v>2705</v>
      </c>
      <c r="N1327" s="152" t="s">
        <v>2675</v>
      </c>
      <c r="O1327" s="152" t="s">
        <v>2397</v>
      </c>
      <c r="P1327" s="152" t="s">
        <v>2398</v>
      </c>
      <c r="Q1327" s="152" t="s">
        <v>2398</v>
      </c>
      <c r="R1327" s="152" t="s">
        <v>2397</v>
      </c>
      <c r="S1327" s="152" t="s">
        <v>2398</v>
      </c>
      <c r="T1327" s="152" t="s">
        <v>2705</v>
      </c>
      <c r="U1327" s="152" t="s">
        <v>2398</v>
      </c>
      <c r="V1327" s="142" cm="1">
        <f t="array" ref="V1327">IF(A1327&lt;&gt;"",SUM(--(B1327:U1328 = "X")*$U$3,--(B1327:U1328 ="A")*$Q$3,--(B1327:U1328 ="B")*$R$3,--(B1327:U1328 ="C")*$S$3),"")</f>
        <v>15.5</v>
      </c>
      <c r="AF1327" s="142" t="s">
        <v>7980</v>
      </c>
      <c r="AG1327" s="142" t="s">
        <v>2705</v>
      </c>
      <c r="AH1327" s="142" t="s">
        <v>2705</v>
      </c>
      <c r="AI1327" s="142" t="s">
        <v>2397</v>
      </c>
      <c r="AJ1327" s="142" t="s">
        <v>2705</v>
      </c>
      <c r="AK1327" s="142" t="s">
        <v>2398</v>
      </c>
      <c r="AL1327" s="142" t="s">
        <v>2398</v>
      </c>
      <c r="AM1327" s="142" t="s">
        <v>2705</v>
      </c>
      <c r="AN1327" s="142" t="s">
        <v>2398</v>
      </c>
      <c r="AO1327" s="142" t="s">
        <v>2398</v>
      </c>
      <c r="AP1327" s="142" t="s">
        <v>1435</v>
      </c>
      <c r="AQ1327" s="142" t="s">
        <v>2705</v>
      </c>
      <c r="AR1327" s="142" t="s">
        <v>2705</v>
      </c>
      <c r="AS1327" s="142" t="s">
        <v>2675</v>
      </c>
      <c r="AT1327" s="142" t="s">
        <v>2397</v>
      </c>
      <c r="AU1327" s="142" t="s">
        <v>2398</v>
      </c>
      <c r="AV1327" s="142" t="s">
        <v>2398</v>
      </c>
      <c r="AW1327" s="142" t="s">
        <v>2397</v>
      </c>
      <c r="AX1327" s="142" t="s">
        <v>2398</v>
      </c>
      <c r="AY1327" s="142" t="s">
        <v>2705</v>
      </c>
      <c r="AZ1327" s="142" t="s">
        <v>2398</v>
      </c>
    </row>
    <row r="1328" spans="1:52" s="142" customFormat="1" ht="12.75" x14ac:dyDescent="0.2">
      <c r="A1328" s="151"/>
      <c r="B1328" s="152" t="s">
        <v>2705</v>
      </c>
      <c r="C1328" s="152" t="s">
        <v>2398</v>
      </c>
      <c r="D1328" s="152" t="s">
        <v>2675</v>
      </c>
      <c r="E1328" s="152" t="s">
        <v>2705</v>
      </c>
      <c r="F1328" s="152" t="s">
        <v>2398</v>
      </c>
      <c r="G1328" s="152" t="s">
        <v>2705</v>
      </c>
      <c r="H1328" s="152" t="s">
        <v>2675</v>
      </c>
      <c r="I1328" s="152" t="s">
        <v>2705</v>
      </c>
      <c r="J1328" s="152" t="s">
        <v>2705</v>
      </c>
      <c r="K1328" s="152" t="s">
        <v>2705</v>
      </c>
      <c r="L1328" s="152" t="s">
        <v>2398</v>
      </c>
      <c r="M1328" s="152" t="s">
        <v>2398</v>
      </c>
      <c r="N1328" s="152" t="s">
        <v>2705</v>
      </c>
      <c r="O1328" s="152" t="s">
        <v>2705</v>
      </c>
      <c r="P1328" s="152" t="s">
        <v>2398</v>
      </c>
      <c r="Q1328" s="152" t="s">
        <v>1435</v>
      </c>
      <c r="R1328" s="152" t="s">
        <v>2398</v>
      </c>
      <c r="S1328" s="152" t="s">
        <v>2705</v>
      </c>
      <c r="T1328" s="152" t="s">
        <v>2705</v>
      </c>
      <c r="U1328" s="152" t="s">
        <v>2705</v>
      </c>
      <c r="V1328" s="142" t="str" cm="1">
        <f t="array" ref="V1328">IF(A1328&lt;&gt;"",SUM(--(B1328:U1329 = "X")*$U$3,--(B1328:U1329 ="A")*$Q$3,--(B1328:U1329 ="B")*$R$3,--(B1328:U1329 ="C")*$S$3),"")</f>
        <v/>
      </c>
      <c r="AG1328" s="142" t="s">
        <v>2705</v>
      </c>
      <c r="AH1328" s="142" t="s">
        <v>2398</v>
      </c>
      <c r="AI1328" s="142" t="s">
        <v>2675</v>
      </c>
      <c r="AJ1328" s="142" t="s">
        <v>2705</v>
      </c>
      <c r="AK1328" s="142" t="s">
        <v>2398</v>
      </c>
      <c r="AL1328" s="142" t="s">
        <v>2705</v>
      </c>
      <c r="AM1328" s="142" t="s">
        <v>2675</v>
      </c>
      <c r="AN1328" s="142" t="s">
        <v>2705</v>
      </c>
      <c r="AO1328" s="142" t="s">
        <v>2705</v>
      </c>
      <c r="AP1328" s="142" t="s">
        <v>2705</v>
      </c>
      <c r="AQ1328" s="142" t="s">
        <v>2398</v>
      </c>
      <c r="AR1328" s="142" t="s">
        <v>2398</v>
      </c>
      <c r="AS1328" s="142" t="s">
        <v>2705</v>
      </c>
      <c r="AT1328" s="142" t="s">
        <v>2705</v>
      </c>
      <c r="AU1328" s="142" t="s">
        <v>2398</v>
      </c>
      <c r="AV1328" s="142" t="s">
        <v>1435</v>
      </c>
      <c r="AW1328" s="142" t="s">
        <v>2398</v>
      </c>
      <c r="AX1328" s="142" t="s">
        <v>2705</v>
      </c>
      <c r="AY1328" s="142" t="s">
        <v>2705</v>
      </c>
      <c r="AZ1328" s="142" t="s">
        <v>2705</v>
      </c>
    </row>
    <row r="1329" spans="1:52" s="142" customFormat="1" ht="12.75" x14ac:dyDescent="0.2">
      <c r="A1329" s="151" t="s">
        <v>7981</v>
      </c>
      <c r="B1329" s="152" t="s">
        <v>1435</v>
      </c>
      <c r="C1329" s="152" t="s">
        <v>2675</v>
      </c>
      <c r="D1329" s="152" t="s">
        <v>2398</v>
      </c>
      <c r="E1329" s="152" t="s">
        <v>2398</v>
      </c>
      <c r="F1329" s="152" t="s">
        <v>2705</v>
      </c>
      <c r="G1329" s="152" t="s">
        <v>2705</v>
      </c>
      <c r="H1329" s="152" t="s">
        <v>1435</v>
      </c>
      <c r="I1329" s="152" t="s">
        <v>2705</v>
      </c>
      <c r="J1329" s="152" t="s">
        <v>2675</v>
      </c>
      <c r="K1329" s="152" t="s">
        <v>2705</v>
      </c>
      <c r="L1329" s="152" t="s">
        <v>2705</v>
      </c>
      <c r="M1329" s="152" t="s">
        <v>2705</v>
      </c>
      <c r="N1329" s="152" t="s">
        <v>2705</v>
      </c>
      <c r="O1329" s="152" t="s">
        <v>2398</v>
      </c>
      <c r="P1329" s="152" t="s">
        <v>2398</v>
      </c>
      <c r="Q1329" s="152" t="s">
        <v>2675</v>
      </c>
      <c r="R1329" s="152" t="s">
        <v>2398</v>
      </c>
      <c r="S1329" s="152" t="s">
        <v>2397</v>
      </c>
      <c r="T1329" s="152" t="s">
        <v>2675</v>
      </c>
      <c r="U1329" s="152" t="s">
        <v>2398</v>
      </c>
      <c r="V1329" s="142" cm="1">
        <f t="array" ref="V1329">IF(A1329&lt;&gt;"",SUM(--(B1329:U1330 = "X")*$U$3,--(B1329:U1330 ="A")*$Q$3,--(B1329:U1330 ="B")*$R$3,--(B1329:U1330 ="C")*$S$3),"")</f>
        <v>6.5</v>
      </c>
      <c r="AF1329" s="142" t="s">
        <v>7981</v>
      </c>
      <c r="AG1329" s="142" t="s">
        <v>1435</v>
      </c>
      <c r="AH1329" s="142" t="s">
        <v>2675</v>
      </c>
      <c r="AI1329" s="142" t="s">
        <v>2398</v>
      </c>
      <c r="AJ1329" s="142" t="s">
        <v>2398</v>
      </c>
      <c r="AK1329" s="142" t="s">
        <v>2705</v>
      </c>
      <c r="AL1329" s="142" t="s">
        <v>2705</v>
      </c>
      <c r="AM1329" s="142" t="s">
        <v>1435</v>
      </c>
      <c r="AN1329" s="142" t="s">
        <v>2705</v>
      </c>
      <c r="AO1329" s="142" t="s">
        <v>2675</v>
      </c>
      <c r="AP1329" s="142" t="s">
        <v>2705</v>
      </c>
      <c r="AQ1329" s="142" t="s">
        <v>2705</v>
      </c>
      <c r="AR1329" s="142" t="s">
        <v>2705</v>
      </c>
      <c r="AS1329" s="142" t="s">
        <v>2705</v>
      </c>
      <c r="AT1329" s="142" t="s">
        <v>2398</v>
      </c>
      <c r="AU1329" s="142" t="s">
        <v>2398</v>
      </c>
      <c r="AV1329" s="142" t="s">
        <v>2675</v>
      </c>
      <c r="AW1329" s="142" t="s">
        <v>2398</v>
      </c>
      <c r="AX1329" s="142" t="s">
        <v>2397</v>
      </c>
      <c r="AY1329" s="142" t="s">
        <v>2675</v>
      </c>
      <c r="AZ1329" s="142" t="s">
        <v>2398</v>
      </c>
    </row>
    <row r="1330" spans="1:52" s="142" customFormat="1" ht="12.75" x14ac:dyDescent="0.2">
      <c r="A1330" s="151"/>
      <c r="B1330" s="152" t="s">
        <v>2398</v>
      </c>
      <c r="C1330" s="152" t="s">
        <v>2398</v>
      </c>
      <c r="D1330" s="152" t="s">
        <v>2675</v>
      </c>
      <c r="E1330" s="152" t="s">
        <v>2398</v>
      </c>
      <c r="F1330" s="152" t="s">
        <v>2705</v>
      </c>
      <c r="G1330" s="152" t="s">
        <v>2398</v>
      </c>
      <c r="H1330" s="152" t="s">
        <v>2705</v>
      </c>
      <c r="I1330" s="152" t="s">
        <v>2705</v>
      </c>
      <c r="J1330" s="152" t="s">
        <v>2398</v>
      </c>
      <c r="K1330" s="152" t="s">
        <v>1435</v>
      </c>
      <c r="L1330" s="152" t="s">
        <v>2398</v>
      </c>
      <c r="M1330" s="152" t="s">
        <v>1435</v>
      </c>
      <c r="N1330" s="152" t="s">
        <v>2398</v>
      </c>
      <c r="O1330" s="152" t="s">
        <v>2705</v>
      </c>
      <c r="P1330" s="152" t="s">
        <v>1435</v>
      </c>
      <c r="Q1330" s="152" t="s">
        <v>2705</v>
      </c>
      <c r="R1330" s="152" t="s">
        <v>2398</v>
      </c>
      <c r="S1330" s="152" t="s">
        <v>2398</v>
      </c>
      <c r="T1330" s="152" t="s">
        <v>1435</v>
      </c>
      <c r="U1330" s="152" t="s">
        <v>2397</v>
      </c>
      <c r="V1330" s="142" t="str" cm="1">
        <f t="array" ref="V1330">IF(A1330&lt;&gt;"",SUM(--(B1330:U1331 = "X")*$U$3,--(B1330:U1331 ="A")*$Q$3,--(B1330:U1331 ="B")*$R$3,--(B1330:U1331 ="C")*$S$3),"")</f>
        <v/>
      </c>
      <c r="AG1330" s="142" t="s">
        <v>2398</v>
      </c>
      <c r="AH1330" s="142" t="s">
        <v>2398</v>
      </c>
      <c r="AI1330" s="142" t="s">
        <v>2675</v>
      </c>
      <c r="AJ1330" s="142" t="s">
        <v>2398</v>
      </c>
      <c r="AK1330" s="142" t="s">
        <v>2705</v>
      </c>
      <c r="AL1330" s="142" t="s">
        <v>2398</v>
      </c>
      <c r="AM1330" s="142" t="s">
        <v>2705</v>
      </c>
      <c r="AN1330" s="142" t="s">
        <v>2705</v>
      </c>
      <c r="AO1330" s="142" t="s">
        <v>2398</v>
      </c>
      <c r="AP1330" s="142" t="s">
        <v>1435</v>
      </c>
      <c r="AQ1330" s="142" t="s">
        <v>2398</v>
      </c>
      <c r="AR1330" s="142" t="s">
        <v>1435</v>
      </c>
      <c r="AS1330" s="142" t="s">
        <v>2398</v>
      </c>
      <c r="AT1330" s="142" t="s">
        <v>2705</v>
      </c>
      <c r="AU1330" s="142" t="s">
        <v>1435</v>
      </c>
      <c r="AV1330" s="142" t="s">
        <v>2705</v>
      </c>
      <c r="AW1330" s="142" t="s">
        <v>2398</v>
      </c>
      <c r="AX1330" s="142" t="s">
        <v>2398</v>
      </c>
      <c r="AY1330" s="142" t="s">
        <v>1435</v>
      </c>
      <c r="AZ1330" s="142" t="s">
        <v>2397</v>
      </c>
    </row>
    <row r="1331" spans="1:52" s="142" customFormat="1" ht="12.75" x14ac:dyDescent="0.2">
      <c r="A1331" s="151" t="s">
        <v>7982</v>
      </c>
      <c r="B1331" s="152" t="s">
        <v>2397</v>
      </c>
      <c r="C1331" s="152" t="s">
        <v>2398</v>
      </c>
      <c r="D1331" s="152" t="s">
        <v>2705</v>
      </c>
      <c r="E1331" s="152" t="s">
        <v>2675</v>
      </c>
      <c r="F1331" s="152" t="s">
        <v>2705</v>
      </c>
      <c r="G1331" s="152" t="s">
        <v>2705</v>
      </c>
      <c r="H1331" s="152" t="s">
        <v>2705</v>
      </c>
      <c r="I1331" s="152" t="s">
        <v>2398</v>
      </c>
      <c r="J1331" s="152" t="s">
        <v>2675</v>
      </c>
      <c r="K1331" s="152" t="s">
        <v>2398</v>
      </c>
      <c r="L1331" s="152" t="s">
        <v>2705</v>
      </c>
      <c r="M1331" s="152" t="s">
        <v>2398</v>
      </c>
      <c r="N1331" s="152" t="s">
        <v>2675</v>
      </c>
      <c r="O1331" s="152" t="s">
        <v>1435</v>
      </c>
      <c r="P1331" s="152" t="s">
        <v>2705</v>
      </c>
      <c r="Q1331" s="152" t="s">
        <v>2397</v>
      </c>
      <c r="R1331" s="152" t="s">
        <v>2398</v>
      </c>
      <c r="S1331" s="152" t="s">
        <v>2398</v>
      </c>
      <c r="T1331" s="152" t="s">
        <v>2398</v>
      </c>
      <c r="U1331" s="152" t="s">
        <v>1435</v>
      </c>
      <c r="V1331" s="142" cm="1">
        <f t="array" ref="V1331">IF(A1331&lt;&gt;"",SUM(--(B1331:U1332 = "X")*$U$3,--(B1331:U1332 ="A")*$Q$3,--(B1331:U1332 ="B")*$R$3,--(B1331:U1332 ="C")*$S$3),"")</f>
        <v>16</v>
      </c>
      <c r="AF1331" s="142" t="s">
        <v>7982</v>
      </c>
      <c r="AG1331" s="142" t="s">
        <v>2397</v>
      </c>
      <c r="AH1331" s="142" t="s">
        <v>2398</v>
      </c>
      <c r="AI1331" s="142" t="s">
        <v>2705</v>
      </c>
      <c r="AJ1331" s="142" t="s">
        <v>2675</v>
      </c>
      <c r="AK1331" s="142" t="s">
        <v>2705</v>
      </c>
      <c r="AL1331" s="142" t="s">
        <v>2705</v>
      </c>
      <c r="AM1331" s="142" t="s">
        <v>2705</v>
      </c>
      <c r="AN1331" s="142" t="s">
        <v>2398</v>
      </c>
      <c r="AO1331" s="142" t="s">
        <v>2675</v>
      </c>
      <c r="AP1331" s="142" t="s">
        <v>2398</v>
      </c>
      <c r="AQ1331" s="142" t="s">
        <v>2705</v>
      </c>
      <c r="AR1331" s="142" t="s">
        <v>2398</v>
      </c>
      <c r="AS1331" s="142" t="s">
        <v>2675</v>
      </c>
      <c r="AT1331" s="142" t="s">
        <v>1435</v>
      </c>
      <c r="AU1331" s="142" t="s">
        <v>2705</v>
      </c>
      <c r="AV1331" s="142" t="s">
        <v>2397</v>
      </c>
      <c r="AW1331" s="142" t="s">
        <v>2398</v>
      </c>
      <c r="AX1331" s="142" t="s">
        <v>2398</v>
      </c>
      <c r="AY1331" s="142" t="s">
        <v>2398</v>
      </c>
      <c r="AZ1331" s="142" t="s">
        <v>1435</v>
      </c>
    </row>
    <row r="1332" spans="1:52" s="142" customFormat="1" ht="12.75" x14ac:dyDescent="0.2">
      <c r="A1332" s="151"/>
      <c r="B1332" s="152" t="s">
        <v>2398</v>
      </c>
      <c r="C1332" s="152" t="s">
        <v>2705</v>
      </c>
      <c r="D1332" s="152" t="s">
        <v>2705</v>
      </c>
      <c r="E1332" s="152" t="s">
        <v>2705</v>
      </c>
      <c r="F1332" s="152" t="s">
        <v>2705</v>
      </c>
      <c r="G1332" s="152" t="s">
        <v>2705</v>
      </c>
      <c r="H1332" s="152" t="s">
        <v>2398</v>
      </c>
      <c r="I1332" s="152" t="s">
        <v>2705</v>
      </c>
      <c r="J1332" s="152" t="s">
        <v>2675</v>
      </c>
      <c r="K1332" s="152" t="s">
        <v>2398</v>
      </c>
      <c r="L1332" s="152" t="s">
        <v>2398</v>
      </c>
      <c r="M1332" s="152" t="s">
        <v>2398</v>
      </c>
      <c r="N1332" s="152" t="s">
        <v>2705</v>
      </c>
      <c r="O1332" s="152" t="s">
        <v>2705</v>
      </c>
      <c r="P1332" s="152" t="s">
        <v>2398</v>
      </c>
      <c r="Q1332" s="152" t="s">
        <v>2705</v>
      </c>
      <c r="R1332" s="152" t="s">
        <v>2705</v>
      </c>
      <c r="S1332" s="152" t="s">
        <v>2705</v>
      </c>
      <c r="T1332" s="152" t="s">
        <v>2705</v>
      </c>
      <c r="U1332" s="152" t="s">
        <v>2705</v>
      </c>
      <c r="V1332" s="142" t="str" cm="1">
        <f t="array" ref="V1332">IF(A1332&lt;&gt;"",SUM(--(B1332:U1333 = "X")*$U$3,--(B1332:U1333 ="A")*$Q$3,--(B1332:U1333 ="B")*$R$3,--(B1332:U1333 ="C")*$S$3),"")</f>
        <v/>
      </c>
      <c r="AG1332" s="142" t="s">
        <v>2398</v>
      </c>
      <c r="AH1332" s="142" t="s">
        <v>2705</v>
      </c>
      <c r="AI1332" s="142" t="s">
        <v>2705</v>
      </c>
      <c r="AJ1332" s="142" t="s">
        <v>2705</v>
      </c>
      <c r="AK1332" s="142" t="s">
        <v>2705</v>
      </c>
      <c r="AL1332" s="142" t="s">
        <v>2705</v>
      </c>
      <c r="AM1332" s="142" t="s">
        <v>2398</v>
      </c>
      <c r="AN1332" s="142" t="s">
        <v>2705</v>
      </c>
      <c r="AO1332" s="142" t="s">
        <v>2675</v>
      </c>
      <c r="AP1332" s="142" t="s">
        <v>2398</v>
      </c>
      <c r="AQ1332" s="142" t="s">
        <v>2398</v>
      </c>
      <c r="AR1332" s="142" t="s">
        <v>2398</v>
      </c>
      <c r="AS1332" s="142" t="s">
        <v>2705</v>
      </c>
      <c r="AT1332" s="142" t="s">
        <v>2705</v>
      </c>
      <c r="AU1332" s="142" t="s">
        <v>2398</v>
      </c>
      <c r="AV1332" s="142" t="s">
        <v>2705</v>
      </c>
      <c r="AW1332" s="142" t="s">
        <v>2705</v>
      </c>
      <c r="AX1332" s="142" t="s">
        <v>2705</v>
      </c>
      <c r="AY1332" s="142" t="s">
        <v>2705</v>
      </c>
      <c r="AZ1332" s="142" t="s">
        <v>2705</v>
      </c>
    </row>
    <row r="1333" spans="1:52" s="142" customFormat="1" ht="12.75" x14ac:dyDescent="0.2">
      <c r="A1333" s="151" t="s">
        <v>7983</v>
      </c>
      <c r="B1333" s="152" t="s">
        <v>2398</v>
      </c>
      <c r="C1333" s="152" t="s">
        <v>2675</v>
      </c>
      <c r="D1333" s="152" t="s">
        <v>2705</v>
      </c>
      <c r="E1333" s="152" t="s">
        <v>2398</v>
      </c>
      <c r="F1333" s="152" t="s">
        <v>2705</v>
      </c>
      <c r="G1333" s="152" t="s">
        <v>2398</v>
      </c>
      <c r="H1333" s="152" t="s">
        <v>2398</v>
      </c>
      <c r="I1333" s="152" t="s">
        <v>2705</v>
      </c>
      <c r="J1333" s="152" t="s">
        <v>2398</v>
      </c>
      <c r="K1333" s="152" t="s">
        <v>2705</v>
      </c>
      <c r="L1333" s="152" t="s">
        <v>2675</v>
      </c>
      <c r="M1333" s="152" t="s">
        <v>2705</v>
      </c>
      <c r="N1333" s="152" t="s">
        <v>2705</v>
      </c>
      <c r="O1333" s="152" t="s">
        <v>2398</v>
      </c>
      <c r="P1333" s="152" t="s">
        <v>2705</v>
      </c>
      <c r="Q1333" s="152" t="s">
        <v>2705</v>
      </c>
      <c r="R1333" s="152" t="s">
        <v>2705</v>
      </c>
      <c r="S1333" s="152" t="s">
        <v>2398</v>
      </c>
      <c r="T1333" s="152" t="s">
        <v>2705</v>
      </c>
      <c r="U1333" s="152" t="s">
        <v>2705</v>
      </c>
      <c r="V1333" s="142" cm="1">
        <f t="array" ref="V1333">IF(A1333&lt;&gt;"",SUM(--(B1333:U1334 = "X")*$U$3,--(B1333:U1334 ="A")*$Q$3,--(B1333:U1334 ="B")*$R$3,--(B1333:U1334 ="C")*$S$3),"")</f>
        <v>19</v>
      </c>
      <c r="AF1333" s="142" t="s">
        <v>7983</v>
      </c>
      <c r="AG1333" s="142" t="s">
        <v>2398</v>
      </c>
      <c r="AH1333" s="142" t="s">
        <v>2675</v>
      </c>
      <c r="AI1333" s="142" t="s">
        <v>2705</v>
      </c>
      <c r="AJ1333" s="142" t="s">
        <v>2398</v>
      </c>
      <c r="AK1333" s="142" t="s">
        <v>2705</v>
      </c>
      <c r="AL1333" s="142" t="s">
        <v>2398</v>
      </c>
      <c r="AM1333" s="142" t="s">
        <v>2398</v>
      </c>
      <c r="AN1333" s="142" t="s">
        <v>2705</v>
      </c>
      <c r="AO1333" s="142" t="s">
        <v>2398</v>
      </c>
      <c r="AP1333" s="142" t="s">
        <v>2705</v>
      </c>
      <c r="AQ1333" s="142" t="s">
        <v>2675</v>
      </c>
      <c r="AR1333" s="142" t="s">
        <v>2705</v>
      </c>
      <c r="AS1333" s="142" t="s">
        <v>2705</v>
      </c>
      <c r="AT1333" s="142" t="s">
        <v>2398</v>
      </c>
      <c r="AU1333" s="142" t="s">
        <v>2705</v>
      </c>
      <c r="AV1333" s="142" t="s">
        <v>2705</v>
      </c>
      <c r="AW1333" s="142" t="s">
        <v>2705</v>
      </c>
      <c r="AX1333" s="142" t="s">
        <v>2398</v>
      </c>
      <c r="AY1333" s="142" t="s">
        <v>2705</v>
      </c>
      <c r="AZ1333" s="142" t="s">
        <v>2705</v>
      </c>
    </row>
    <row r="1334" spans="1:52" s="142" customFormat="1" ht="12.75" x14ac:dyDescent="0.2">
      <c r="A1334" s="151"/>
      <c r="B1334" s="152" t="s">
        <v>1435</v>
      </c>
      <c r="C1334" s="152" t="s">
        <v>2705</v>
      </c>
      <c r="D1334" s="152" t="s">
        <v>2705</v>
      </c>
      <c r="E1334" s="152" t="s">
        <v>2675</v>
      </c>
      <c r="F1334" s="152" t="s">
        <v>2675</v>
      </c>
      <c r="G1334" s="152" t="s">
        <v>2398</v>
      </c>
      <c r="H1334" s="152" t="s">
        <v>2705</v>
      </c>
      <c r="I1334" s="152" t="s">
        <v>2705</v>
      </c>
      <c r="J1334" s="152" t="s">
        <v>2705</v>
      </c>
      <c r="K1334" s="152" t="s">
        <v>2705</v>
      </c>
      <c r="L1334" s="152" t="s">
        <v>2397</v>
      </c>
      <c r="M1334" s="152" t="s">
        <v>2705</v>
      </c>
      <c r="N1334" s="152" t="s">
        <v>2398</v>
      </c>
      <c r="O1334" s="152" t="s">
        <v>2398</v>
      </c>
      <c r="P1334" s="152" t="s">
        <v>2675</v>
      </c>
      <c r="Q1334" s="152" t="s">
        <v>2705</v>
      </c>
      <c r="R1334" s="152" t="s">
        <v>2705</v>
      </c>
      <c r="S1334" s="152" t="s">
        <v>2398</v>
      </c>
      <c r="T1334" s="152" t="s">
        <v>2705</v>
      </c>
      <c r="U1334" s="152" t="s">
        <v>2705</v>
      </c>
      <c r="V1334" s="142" t="str" cm="1">
        <f t="array" ref="V1334">IF(A1334&lt;&gt;"",SUM(--(B1334:U1335 = "X")*$U$3,--(B1334:U1335 ="A")*$Q$3,--(B1334:U1335 ="B")*$R$3,--(B1334:U1335 ="C")*$S$3),"")</f>
        <v/>
      </c>
      <c r="AG1334" s="142" t="s">
        <v>1435</v>
      </c>
      <c r="AH1334" s="142" t="s">
        <v>2705</v>
      </c>
      <c r="AI1334" s="142" t="s">
        <v>2705</v>
      </c>
      <c r="AJ1334" s="142" t="s">
        <v>2675</v>
      </c>
      <c r="AK1334" s="142" t="s">
        <v>2675</v>
      </c>
      <c r="AL1334" s="142" t="s">
        <v>2398</v>
      </c>
      <c r="AM1334" s="142" t="s">
        <v>2705</v>
      </c>
      <c r="AN1334" s="142" t="s">
        <v>2705</v>
      </c>
      <c r="AO1334" s="142" t="s">
        <v>2705</v>
      </c>
      <c r="AP1334" s="142" t="s">
        <v>2705</v>
      </c>
      <c r="AQ1334" s="142" t="s">
        <v>2397</v>
      </c>
      <c r="AR1334" s="142" t="s">
        <v>2705</v>
      </c>
      <c r="AS1334" s="142" t="s">
        <v>2398</v>
      </c>
      <c r="AT1334" s="142" t="s">
        <v>2398</v>
      </c>
      <c r="AU1334" s="142" t="s">
        <v>2675</v>
      </c>
      <c r="AV1334" s="142" t="s">
        <v>2705</v>
      </c>
      <c r="AW1334" s="142" t="s">
        <v>2705</v>
      </c>
      <c r="AX1334" s="142" t="s">
        <v>2398</v>
      </c>
      <c r="AY1334" s="142" t="s">
        <v>2705</v>
      </c>
      <c r="AZ1334" s="142" t="s">
        <v>2705</v>
      </c>
    </row>
    <row r="1335" spans="1:52" s="142" customFormat="1" ht="12.75" x14ac:dyDescent="0.2">
      <c r="A1335" s="151" t="s">
        <v>7984</v>
      </c>
      <c r="B1335" s="152" t="s">
        <v>2398</v>
      </c>
      <c r="C1335" s="152" t="s">
        <v>1435</v>
      </c>
      <c r="D1335" s="152" t="s">
        <v>2398</v>
      </c>
      <c r="E1335" s="152" t="s">
        <v>2398</v>
      </c>
      <c r="F1335" s="152" t="s">
        <v>2705</v>
      </c>
      <c r="G1335" s="152" t="s">
        <v>2705</v>
      </c>
      <c r="H1335" s="152" t="s">
        <v>2705</v>
      </c>
      <c r="I1335" s="152" t="s">
        <v>2675</v>
      </c>
      <c r="J1335" s="152" t="s">
        <v>2675</v>
      </c>
      <c r="K1335" s="152" t="s">
        <v>2705</v>
      </c>
      <c r="L1335" s="152" t="s">
        <v>1435</v>
      </c>
      <c r="M1335" s="152" t="s">
        <v>2705</v>
      </c>
      <c r="N1335" s="152" t="s">
        <v>2705</v>
      </c>
      <c r="O1335" s="152" t="s">
        <v>2398</v>
      </c>
      <c r="P1335" s="152" t="s">
        <v>1435</v>
      </c>
      <c r="Q1335" s="152" t="s">
        <v>2705</v>
      </c>
      <c r="R1335" s="152" t="s">
        <v>2705</v>
      </c>
      <c r="S1335" s="152" t="s">
        <v>2705</v>
      </c>
      <c r="T1335" s="152" t="s">
        <v>2705</v>
      </c>
      <c r="U1335" s="152" t="s">
        <v>2705</v>
      </c>
      <c r="V1335" s="142" cm="1">
        <f t="array" ref="V1335">IF(A1335&lt;&gt;"",SUM(--(B1335:U1336 = "X")*$U$3,--(B1335:U1336 ="A")*$Q$3,--(B1335:U1336 ="B")*$R$3,--(B1335:U1336 ="C")*$S$3),"")</f>
        <v>14.5</v>
      </c>
      <c r="AF1335" s="142" t="s">
        <v>7984</v>
      </c>
      <c r="AG1335" s="142" t="s">
        <v>2398</v>
      </c>
      <c r="AH1335" s="142" t="s">
        <v>1435</v>
      </c>
      <c r="AI1335" s="142" t="s">
        <v>2398</v>
      </c>
      <c r="AJ1335" s="142" t="s">
        <v>2398</v>
      </c>
      <c r="AK1335" s="142" t="s">
        <v>2705</v>
      </c>
      <c r="AL1335" s="142" t="s">
        <v>2705</v>
      </c>
      <c r="AM1335" s="142" t="s">
        <v>2705</v>
      </c>
      <c r="AN1335" s="142" t="s">
        <v>2675</v>
      </c>
      <c r="AO1335" s="142" t="s">
        <v>2675</v>
      </c>
      <c r="AP1335" s="142" t="s">
        <v>2705</v>
      </c>
      <c r="AQ1335" s="142" t="s">
        <v>1435</v>
      </c>
      <c r="AR1335" s="142" t="s">
        <v>2705</v>
      </c>
      <c r="AS1335" s="142" t="s">
        <v>2705</v>
      </c>
      <c r="AT1335" s="142" t="s">
        <v>2398</v>
      </c>
      <c r="AU1335" s="142" t="s">
        <v>1435</v>
      </c>
      <c r="AV1335" s="142" t="s">
        <v>2705</v>
      </c>
      <c r="AW1335" s="142" t="s">
        <v>2705</v>
      </c>
      <c r="AX1335" s="142" t="s">
        <v>2705</v>
      </c>
      <c r="AY1335" s="142" t="s">
        <v>2705</v>
      </c>
      <c r="AZ1335" s="142" t="s">
        <v>2705</v>
      </c>
    </row>
    <row r="1336" spans="1:52" s="142" customFormat="1" ht="12.75" x14ac:dyDescent="0.2">
      <c r="A1336" s="151"/>
      <c r="B1336" s="152" t="s">
        <v>2705</v>
      </c>
      <c r="C1336" s="152" t="s">
        <v>2398</v>
      </c>
      <c r="D1336" s="152" t="s">
        <v>2398</v>
      </c>
      <c r="E1336" s="152" t="s">
        <v>2675</v>
      </c>
      <c r="F1336" s="152" t="s">
        <v>2398</v>
      </c>
      <c r="G1336" s="152" t="s">
        <v>2398</v>
      </c>
      <c r="H1336" s="152" t="s">
        <v>2398</v>
      </c>
      <c r="I1336" s="152" t="s">
        <v>1435</v>
      </c>
      <c r="J1336" s="152" t="s">
        <v>2397</v>
      </c>
      <c r="K1336" s="152" t="s">
        <v>2705</v>
      </c>
      <c r="L1336" s="152" t="s">
        <v>2398</v>
      </c>
      <c r="M1336" s="152" t="s">
        <v>2398</v>
      </c>
      <c r="N1336" s="152" t="s">
        <v>2705</v>
      </c>
      <c r="O1336" s="152" t="s">
        <v>2398</v>
      </c>
      <c r="P1336" s="152" t="s">
        <v>2705</v>
      </c>
      <c r="Q1336" s="152" t="s">
        <v>2705</v>
      </c>
      <c r="R1336" s="152" t="s">
        <v>2398</v>
      </c>
      <c r="S1336" s="152" t="s">
        <v>2705</v>
      </c>
      <c r="T1336" s="152" t="s">
        <v>2705</v>
      </c>
      <c r="U1336" s="152" t="s">
        <v>2398</v>
      </c>
      <c r="V1336" s="142" t="str" cm="1">
        <f t="array" ref="V1336">IF(A1336&lt;&gt;"",SUM(--(B1336:U1337 = "X")*$U$3,--(B1336:U1337 ="A")*$Q$3,--(B1336:U1337 ="B")*$R$3,--(B1336:U1337 ="C")*$S$3),"")</f>
        <v/>
      </c>
      <c r="AG1336" s="142" t="s">
        <v>2705</v>
      </c>
      <c r="AH1336" s="142" t="s">
        <v>2398</v>
      </c>
      <c r="AI1336" s="142" t="s">
        <v>2398</v>
      </c>
      <c r="AJ1336" s="142" t="s">
        <v>2675</v>
      </c>
      <c r="AK1336" s="142" t="s">
        <v>2398</v>
      </c>
      <c r="AL1336" s="142" t="s">
        <v>2398</v>
      </c>
      <c r="AM1336" s="142" t="s">
        <v>2398</v>
      </c>
      <c r="AN1336" s="142" t="s">
        <v>1435</v>
      </c>
      <c r="AO1336" s="142" t="s">
        <v>2397</v>
      </c>
      <c r="AP1336" s="142" t="s">
        <v>2705</v>
      </c>
      <c r="AQ1336" s="142" t="s">
        <v>2398</v>
      </c>
      <c r="AR1336" s="142" t="s">
        <v>2398</v>
      </c>
      <c r="AS1336" s="142" t="s">
        <v>2705</v>
      </c>
      <c r="AT1336" s="142" t="s">
        <v>2398</v>
      </c>
      <c r="AU1336" s="142" t="s">
        <v>2705</v>
      </c>
      <c r="AV1336" s="142" t="s">
        <v>2705</v>
      </c>
      <c r="AW1336" s="142" t="s">
        <v>2398</v>
      </c>
      <c r="AX1336" s="142" t="s">
        <v>2705</v>
      </c>
      <c r="AY1336" s="142" t="s">
        <v>2705</v>
      </c>
      <c r="AZ1336" s="142" t="s">
        <v>2398</v>
      </c>
    </row>
    <row r="1337" spans="1:52" s="142" customFormat="1" ht="12.75" x14ac:dyDescent="0.2">
      <c r="A1337" s="151" t="s">
        <v>7985</v>
      </c>
      <c r="B1337" s="152" t="s">
        <v>2705</v>
      </c>
      <c r="C1337" s="152" t="s">
        <v>2398</v>
      </c>
      <c r="D1337" s="152" t="s">
        <v>2675</v>
      </c>
      <c r="E1337" s="152" t="s">
        <v>2398</v>
      </c>
      <c r="F1337" s="152" t="s">
        <v>2398</v>
      </c>
      <c r="G1337" s="152" t="s">
        <v>2705</v>
      </c>
      <c r="H1337" s="152" t="s">
        <v>1435</v>
      </c>
      <c r="I1337" s="152" t="s">
        <v>2398</v>
      </c>
      <c r="J1337" s="152" t="s">
        <v>2398</v>
      </c>
      <c r="K1337" s="152" t="s">
        <v>2398</v>
      </c>
      <c r="L1337" s="152" t="s">
        <v>2705</v>
      </c>
      <c r="M1337" s="152" t="s">
        <v>2675</v>
      </c>
      <c r="N1337" s="152" t="s">
        <v>2705</v>
      </c>
      <c r="O1337" s="152" t="s">
        <v>2398</v>
      </c>
      <c r="P1337" s="152" t="s">
        <v>2675</v>
      </c>
      <c r="Q1337" s="152" t="s">
        <v>2675</v>
      </c>
      <c r="R1337" s="152" t="s">
        <v>2398</v>
      </c>
      <c r="S1337" s="152" t="s">
        <v>2675</v>
      </c>
      <c r="T1337" s="152" t="s">
        <v>2398</v>
      </c>
      <c r="U1337" s="152" t="s">
        <v>2398</v>
      </c>
      <c r="V1337" s="142" cm="1">
        <f t="array" ref="V1337">IF(A1337&lt;&gt;"",SUM(--(B1337:U1338 = "X")*$U$3,--(B1337:U1338 ="A")*$Q$3,--(B1337:U1338 ="B")*$R$3,--(B1337:U1338 ="C")*$S$3),"")</f>
        <v>1</v>
      </c>
      <c r="AF1337" s="142" t="s">
        <v>7985</v>
      </c>
      <c r="AG1337" s="142" t="s">
        <v>2705</v>
      </c>
      <c r="AH1337" s="142" t="s">
        <v>2398</v>
      </c>
      <c r="AI1337" s="142" t="s">
        <v>2675</v>
      </c>
      <c r="AJ1337" s="142" t="s">
        <v>2398</v>
      </c>
      <c r="AK1337" s="142" t="s">
        <v>2398</v>
      </c>
      <c r="AL1337" s="142" t="s">
        <v>2705</v>
      </c>
      <c r="AM1337" s="142" t="s">
        <v>1435</v>
      </c>
      <c r="AN1337" s="142" t="s">
        <v>2398</v>
      </c>
      <c r="AO1337" s="142" t="s">
        <v>2398</v>
      </c>
      <c r="AP1337" s="142" t="s">
        <v>2398</v>
      </c>
      <c r="AQ1337" s="142" t="s">
        <v>2705</v>
      </c>
      <c r="AR1337" s="142" t="s">
        <v>2675</v>
      </c>
      <c r="AS1337" s="142" t="s">
        <v>2705</v>
      </c>
      <c r="AT1337" s="142" t="s">
        <v>2398</v>
      </c>
      <c r="AU1337" s="142" t="s">
        <v>2675</v>
      </c>
      <c r="AV1337" s="142" t="s">
        <v>2675</v>
      </c>
      <c r="AW1337" s="142" t="s">
        <v>2398</v>
      </c>
      <c r="AX1337" s="142" t="s">
        <v>2675</v>
      </c>
      <c r="AY1337" s="142" t="s">
        <v>2398</v>
      </c>
      <c r="AZ1337" s="142" t="s">
        <v>2398</v>
      </c>
    </row>
    <row r="1338" spans="1:52" s="142" customFormat="1" ht="12.75" x14ac:dyDescent="0.2">
      <c r="A1338" s="151"/>
      <c r="B1338" s="152" t="s">
        <v>1435</v>
      </c>
      <c r="C1338" s="152" t="s">
        <v>2705</v>
      </c>
      <c r="D1338" s="152" t="s">
        <v>2398</v>
      </c>
      <c r="E1338" s="152" t="s">
        <v>2675</v>
      </c>
      <c r="F1338" s="152" t="s">
        <v>2705</v>
      </c>
      <c r="G1338" s="152" t="s">
        <v>2398</v>
      </c>
      <c r="H1338" s="152" t="s">
        <v>2705</v>
      </c>
      <c r="I1338" s="152" t="s">
        <v>1435</v>
      </c>
      <c r="J1338" s="152" t="s">
        <v>2398</v>
      </c>
      <c r="K1338" s="152" t="s">
        <v>2398</v>
      </c>
      <c r="L1338" s="152" t="s">
        <v>2398</v>
      </c>
      <c r="M1338" s="152" t="s">
        <v>2675</v>
      </c>
      <c r="N1338" s="152" t="s">
        <v>2675</v>
      </c>
      <c r="O1338" s="152" t="s">
        <v>2397</v>
      </c>
      <c r="P1338" s="152" t="s">
        <v>2398</v>
      </c>
      <c r="Q1338" s="152" t="s">
        <v>1435</v>
      </c>
      <c r="R1338" s="152" t="s">
        <v>1435</v>
      </c>
      <c r="S1338" s="152" t="s">
        <v>2398</v>
      </c>
      <c r="T1338" s="152" t="s">
        <v>2705</v>
      </c>
      <c r="U1338" s="152" t="s">
        <v>2675</v>
      </c>
      <c r="V1338" s="142" t="str" cm="1">
        <f t="array" ref="V1338">IF(A1338&lt;&gt;"",SUM(--(B1338:U1339 = "X")*$U$3,--(B1338:U1339 ="A")*$Q$3,--(B1338:U1339 ="B")*$R$3,--(B1338:U1339 ="C")*$S$3),"")</f>
        <v/>
      </c>
      <c r="AG1338" s="142" t="s">
        <v>1435</v>
      </c>
      <c r="AH1338" s="142" t="s">
        <v>2705</v>
      </c>
      <c r="AI1338" s="142" t="s">
        <v>2398</v>
      </c>
      <c r="AJ1338" s="142" t="s">
        <v>2675</v>
      </c>
      <c r="AK1338" s="142" t="s">
        <v>2705</v>
      </c>
      <c r="AL1338" s="142" t="s">
        <v>2398</v>
      </c>
      <c r="AM1338" s="142" t="s">
        <v>2705</v>
      </c>
      <c r="AN1338" s="142" t="s">
        <v>1435</v>
      </c>
      <c r="AO1338" s="142" t="s">
        <v>2398</v>
      </c>
      <c r="AP1338" s="142" t="s">
        <v>2398</v>
      </c>
      <c r="AQ1338" s="142" t="s">
        <v>2398</v>
      </c>
      <c r="AR1338" s="142" t="s">
        <v>2675</v>
      </c>
      <c r="AS1338" s="142" t="s">
        <v>2675</v>
      </c>
      <c r="AT1338" s="142" t="s">
        <v>2397</v>
      </c>
      <c r="AU1338" s="142" t="s">
        <v>2398</v>
      </c>
      <c r="AV1338" s="142" t="s">
        <v>1435</v>
      </c>
      <c r="AW1338" s="142" t="s">
        <v>1435</v>
      </c>
      <c r="AX1338" s="142" t="s">
        <v>2398</v>
      </c>
      <c r="AY1338" s="142" t="s">
        <v>2705</v>
      </c>
      <c r="AZ1338" s="142" t="s">
        <v>2675</v>
      </c>
    </row>
    <row r="1339" spans="1:52" s="142" customFormat="1" ht="12.75" x14ac:dyDescent="0.2">
      <c r="A1339" s="151" t="s">
        <v>7986</v>
      </c>
      <c r="B1339" s="152" t="s">
        <v>2705</v>
      </c>
      <c r="C1339" s="152" t="s">
        <v>2398</v>
      </c>
      <c r="D1339" s="152" t="s">
        <v>2675</v>
      </c>
      <c r="E1339" s="152" t="s">
        <v>2705</v>
      </c>
      <c r="F1339" s="152" t="s">
        <v>2398</v>
      </c>
      <c r="G1339" s="152" t="s">
        <v>2705</v>
      </c>
      <c r="H1339" s="152" t="s">
        <v>2705</v>
      </c>
      <c r="I1339" s="152" t="s">
        <v>2397</v>
      </c>
      <c r="J1339" s="152" t="s">
        <v>2705</v>
      </c>
      <c r="K1339" s="152" t="s">
        <v>2397</v>
      </c>
      <c r="L1339" s="152" t="s">
        <v>2398</v>
      </c>
      <c r="M1339" s="152" t="s">
        <v>2398</v>
      </c>
      <c r="N1339" s="152" t="s">
        <v>2705</v>
      </c>
      <c r="O1339" s="152" t="s">
        <v>1435</v>
      </c>
      <c r="P1339" s="152" t="s">
        <v>2705</v>
      </c>
      <c r="Q1339" s="152" t="s">
        <v>2705</v>
      </c>
      <c r="R1339" s="152" t="s">
        <v>2398</v>
      </c>
      <c r="S1339" s="152" t="s">
        <v>2705</v>
      </c>
      <c r="T1339" s="152" t="s">
        <v>2398</v>
      </c>
      <c r="U1339" s="152" t="s">
        <v>2705</v>
      </c>
      <c r="V1339" s="142" cm="1">
        <f t="array" ref="V1339">IF(A1339&lt;&gt;"",SUM(--(B1339:U1340 = "X")*$U$3,--(B1339:U1340 ="A")*$Q$3,--(B1339:U1340 ="B")*$R$3,--(B1339:U1340 ="C")*$S$3),"")</f>
        <v>13.5</v>
      </c>
      <c r="AF1339" s="142" t="s">
        <v>7986</v>
      </c>
      <c r="AG1339" s="142" t="s">
        <v>2705</v>
      </c>
      <c r="AH1339" s="142" t="s">
        <v>2398</v>
      </c>
      <c r="AI1339" s="142" t="s">
        <v>2675</v>
      </c>
      <c r="AJ1339" s="142" t="s">
        <v>2705</v>
      </c>
      <c r="AK1339" s="142" t="s">
        <v>2398</v>
      </c>
      <c r="AL1339" s="142" t="s">
        <v>2705</v>
      </c>
      <c r="AM1339" s="142" t="s">
        <v>2705</v>
      </c>
      <c r="AN1339" s="142" t="s">
        <v>2397</v>
      </c>
      <c r="AO1339" s="142" t="s">
        <v>2705</v>
      </c>
      <c r="AP1339" s="142" t="s">
        <v>2397</v>
      </c>
      <c r="AQ1339" s="142" t="s">
        <v>2398</v>
      </c>
      <c r="AR1339" s="142" t="s">
        <v>2398</v>
      </c>
      <c r="AS1339" s="142" t="s">
        <v>2705</v>
      </c>
      <c r="AT1339" s="142" t="s">
        <v>1435</v>
      </c>
      <c r="AU1339" s="142" t="s">
        <v>2705</v>
      </c>
      <c r="AV1339" s="142" t="s">
        <v>2705</v>
      </c>
      <c r="AW1339" s="142" t="s">
        <v>2398</v>
      </c>
      <c r="AX1339" s="142" t="s">
        <v>2705</v>
      </c>
      <c r="AY1339" s="142" t="s">
        <v>2398</v>
      </c>
      <c r="AZ1339" s="142" t="s">
        <v>2705</v>
      </c>
    </row>
    <row r="1340" spans="1:52" s="142" customFormat="1" ht="12.75" x14ac:dyDescent="0.2">
      <c r="A1340" s="151"/>
      <c r="B1340" s="152" t="s">
        <v>2397</v>
      </c>
      <c r="C1340" s="152" t="s">
        <v>2397</v>
      </c>
      <c r="D1340" s="152" t="s">
        <v>1435</v>
      </c>
      <c r="E1340" s="152" t="s">
        <v>2675</v>
      </c>
      <c r="F1340" s="152" t="s">
        <v>2705</v>
      </c>
      <c r="G1340" s="152" t="s">
        <v>2705</v>
      </c>
      <c r="H1340" s="152" t="s">
        <v>2705</v>
      </c>
      <c r="I1340" s="152" t="s">
        <v>2675</v>
      </c>
      <c r="J1340" s="152" t="s">
        <v>2398</v>
      </c>
      <c r="K1340" s="152" t="s">
        <v>2705</v>
      </c>
      <c r="L1340" s="152" t="s">
        <v>2675</v>
      </c>
      <c r="M1340" s="152" t="s">
        <v>1435</v>
      </c>
      <c r="N1340" s="152" t="s">
        <v>2397</v>
      </c>
      <c r="O1340" s="152" t="s">
        <v>2705</v>
      </c>
      <c r="P1340" s="152" t="s">
        <v>2675</v>
      </c>
      <c r="Q1340" s="152" t="s">
        <v>2397</v>
      </c>
      <c r="R1340" s="152" t="s">
        <v>1435</v>
      </c>
      <c r="S1340" s="152" t="s">
        <v>2705</v>
      </c>
      <c r="T1340" s="152" t="s">
        <v>2705</v>
      </c>
      <c r="U1340" s="152" t="s">
        <v>2705</v>
      </c>
      <c r="V1340" s="142" t="str" cm="1">
        <f t="array" ref="V1340">IF(A1340&lt;&gt;"",SUM(--(B1340:U1341 = "X")*$U$3,--(B1340:U1341 ="A")*$Q$3,--(B1340:U1341 ="B")*$R$3,--(B1340:U1341 ="C")*$S$3),"")</f>
        <v/>
      </c>
      <c r="AG1340" s="142" t="s">
        <v>2397</v>
      </c>
      <c r="AH1340" s="142" t="s">
        <v>2397</v>
      </c>
      <c r="AI1340" s="142" t="s">
        <v>1435</v>
      </c>
      <c r="AJ1340" s="142" t="s">
        <v>2675</v>
      </c>
      <c r="AK1340" s="142" t="s">
        <v>2705</v>
      </c>
      <c r="AL1340" s="142" t="s">
        <v>2705</v>
      </c>
      <c r="AM1340" s="142" t="s">
        <v>2705</v>
      </c>
      <c r="AN1340" s="142" t="s">
        <v>2675</v>
      </c>
      <c r="AO1340" s="142" t="s">
        <v>2398</v>
      </c>
      <c r="AP1340" s="142" t="s">
        <v>2705</v>
      </c>
      <c r="AQ1340" s="142" t="s">
        <v>2675</v>
      </c>
      <c r="AR1340" s="142" t="s">
        <v>1435</v>
      </c>
      <c r="AS1340" s="142" t="s">
        <v>2397</v>
      </c>
      <c r="AT1340" s="142" t="s">
        <v>2705</v>
      </c>
      <c r="AU1340" s="142" t="s">
        <v>2675</v>
      </c>
      <c r="AV1340" s="142" t="s">
        <v>2397</v>
      </c>
      <c r="AW1340" s="142" t="s">
        <v>1435</v>
      </c>
      <c r="AX1340" s="142" t="s">
        <v>2705</v>
      </c>
      <c r="AY1340" s="142" t="s">
        <v>2705</v>
      </c>
      <c r="AZ1340" s="142" t="s">
        <v>2705</v>
      </c>
    </row>
    <row r="1341" spans="1:52" s="142" customFormat="1" ht="12.75" x14ac:dyDescent="0.2">
      <c r="A1341" s="151" t="s">
        <v>7987</v>
      </c>
      <c r="B1341" s="152" t="s">
        <v>2705</v>
      </c>
      <c r="C1341" s="152" t="s">
        <v>2398</v>
      </c>
      <c r="D1341" s="152" t="s">
        <v>2705</v>
      </c>
      <c r="E1341" s="152" t="s">
        <v>2705</v>
      </c>
      <c r="F1341" s="152" t="s">
        <v>1435</v>
      </c>
      <c r="G1341" s="152" t="s">
        <v>2705</v>
      </c>
      <c r="H1341" s="152" t="s">
        <v>2705</v>
      </c>
      <c r="I1341" s="152" t="s">
        <v>2705</v>
      </c>
      <c r="J1341" s="152" t="s">
        <v>2675</v>
      </c>
      <c r="K1341" s="152" t="s">
        <v>2705</v>
      </c>
      <c r="L1341" s="152" t="s">
        <v>2705</v>
      </c>
      <c r="M1341" s="152" t="s">
        <v>2705</v>
      </c>
      <c r="N1341" s="152" t="s">
        <v>2705</v>
      </c>
      <c r="O1341" s="152" t="s">
        <v>2398</v>
      </c>
      <c r="P1341" s="152" t="s">
        <v>2398</v>
      </c>
      <c r="Q1341" s="152" t="s">
        <v>2675</v>
      </c>
      <c r="R1341" s="152" t="s">
        <v>2398</v>
      </c>
      <c r="S1341" s="152" t="s">
        <v>2675</v>
      </c>
      <c r="T1341" s="152" t="s">
        <v>2398</v>
      </c>
      <c r="U1341" s="152" t="s">
        <v>2398</v>
      </c>
      <c r="V1341" s="142" cm="1">
        <f t="array" ref="V1341">IF(A1341&lt;&gt;"",SUM(--(B1341:U1342 = "X")*$U$3,--(B1341:U1342 ="A")*$Q$3,--(B1341:U1342 ="B")*$R$3,--(B1341:U1342 ="C")*$S$3),"")</f>
        <v>14</v>
      </c>
      <c r="AF1341" s="142" t="s">
        <v>7987</v>
      </c>
      <c r="AG1341" s="142" t="s">
        <v>2705</v>
      </c>
      <c r="AH1341" s="142" t="s">
        <v>2398</v>
      </c>
      <c r="AI1341" s="142" t="s">
        <v>2705</v>
      </c>
      <c r="AJ1341" s="142" t="s">
        <v>2705</v>
      </c>
      <c r="AK1341" s="142" t="s">
        <v>1435</v>
      </c>
      <c r="AL1341" s="142" t="s">
        <v>2705</v>
      </c>
      <c r="AM1341" s="142" t="s">
        <v>2705</v>
      </c>
      <c r="AN1341" s="142" t="s">
        <v>2705</v>
      </c>
      <c r="AO1341" s="142" t="s">
        <v>2675</v>
      </c>
      <c r="AP1341" s="142" t="s">
        <v>2705</v>
      </c>
      <c r="AQ1341" s="142" t="s">
        <v>2705</v>
      </c>
      <c r="AR1341" s="142" t="s">
        <v>2705</v>
      </c>
      <c r="AS1341" s="142" t="s">
        <v>2705</v>
      </c>
      <c r="AT1341" s="142" t="s">
        <v>2398</v>
      </c>
      <c r="AU1341" s="142" t="s">
        <v>2398</v>
      </c>
      <c r="AV1341" s="142" t="s">
        <v>2675</v>
      </c>
      <c r="AW1341" s="142" t="s">
        <v>2398</v>
      </c>
      <c r="AX1341" s="142" t="s">
        <v>2675</v>
      </c>
      <c r="AY1341" s="142" t="s">
        <v>2398</v>
      </c>
      <c r="AZ1341" s="142" t="s">
        <v>2398</v>
      </c>
    </row>
    <row r="1342" spans="1:52" s="142" customFormat="1" ht="12.75" x14ac:dyDescent="0.2">
      <c r="A1342" s="151"/>
      <c r="B1342" s="152" t="s">
        <v>2705</v>
      </c>
      <c r="C1342" s="152" t="s">
        <v>2398</v>
      </c>
      <c r="D1342" s="152" t="s">
        <v>2705</v>
      </c>
      <c r="E1342" s="152" t="s">
        <v>2398</v>
      </c>
      <c r="F1342" s="152" t="s">
        <v>2705</v>
      </c>
      <c r="G1342" s="152" t="s">
        <v>2398</v>
      </c>
      <c r="H1342" s="152" t="s">
        <v>2398</v>
      </c>
      <c r="I1342" s="152" t="s">
        <v>2705</v>
      </c>
      <c r="J1342" s="152" t="s">
        <v>2705</v>
      </c>
      <c r="K1342" s="152" t="s">
        <v>1435</v>
      </c>
      <c r="L1342" s="152" t="s">
        <v>2398</v>
      </c>
      <c r="M1342" s="152" t="s">
        <v>2675</v>
      </c>
      <c r="N1342" s="152" t="s">
        <v>2398</v>
      </c>
      <c r="O1342" s="152" t="s">
        <v>2705</v>
      </c>
      <c r="P1342" s="152" t="s">
        <v>2675</v>
      </c>
      <c r="Q1342" s="152" t="s">
        <v>2705</v>
      </c>
      <c r="R1342" s="152" t="s">
        <v>2398</v>
      </c>
      <c r="S1342" s="152" t="s">
        <v>2675</v>
      </c>
      <c r="T1342" s="152" t="s">
        <v>2705</v>
      </c>
      <c r="U1342" s="152" t="s">
        <v>2397</v>
      </c>
      <c r="V1342" s="142" t="str" cm="1">
        <f t="array" ref="V1342">IF(A1342&lt;&gt;"",SUM(--(B1342:U1343 = "X")*$U$3,--(B1342:U1343 ="A")*$Q$3,--(B1342:U1343 ="B")*$R$3,--(B1342:U1343 ="C")*$S$3),"")</f>
        <v/>
      </c>
      <c r="AG1342" s="142" t="s">
        <v>2705</v>
      </c>
      <c r="AH1342" s="142" t="s">
        <v>2398</v>
      </c>
      <c r="AI1342" s="142" t="s">
        <v>2705</v>
      </c>
      <c r="AJ1342" s="142" t="s">
        <v>2398</v>
      </c>
      <c r="AK1342" s="142" t="s">
        <v>2705</v>
      </c>
      <c r="AL1342" s="142" t="s">
        <v>2398</v>
      </c>
      <c r="AM1342" s="142" t="s">
        <v>2398</v>
      </c>
      <c r="AN1342" s="142" t="s">
        <v>2705</v>
      </c>
      <c r="AO1342" s="142" t="s">
        <v>2705</v>
      </c>
      <c r="AP1342" s="142" t="s">
        <v>1435</v>
      </c>
      <c r="AQ1342" s="142" t="s">
        <v>2398</v>
      </c>
      <c r="AR1342" s="142" t="s">
        <v>2675</v>
      </c>
      <c r="AS1342" s="142" t="s">
        <v>2398</v>
      </c>
      <c r="AT1342" s="142" t="s">
        <v>2705</v>
      </c>
      <c r="AU1342" s="142" t="s">
        <v>2675</v>
      </c>
      <c r="AV1342" s="142" t="s">
        <v>2705</v>
      </c>
      <c r="AW1342" s="142" t="s">
        <v>2398</v>
      </c>
      <c r="AX1342" s="142" t="s">
        <v>2675</v>
      </c>
      <c r="AY1342" s="142" t="s">
        <v>2705</v>
      </c>
      <c r="AZ1342" s="142" t="s">
        <v>2397</v>
      </c>
    </row>
    <row r="1343" spans="1:52" s="142" customFormat="1" ht="12.75" x14ac:dyDescent="0.2">
      <c r="A1343" s="151" t="s">
        <v>7988</v>
      </c>
      <c r="B1343" s="152" t="s">
        <v>2398</v>
      </c>
      <c r="C1343" s="152" t="s">
        <v>2675</v>
      </c>
      <c r="D1343" s="152" t="s">
        <v>2398</v>
      </c>
      <c r="E1343" s="152" t="s">
        <v>2397</v>
      </c>
      <c r="F1343" s="152" t="s">
        <v>2398</v>
      </c>
      <c r="G1343" s="152" t="s">
        <v>2705</v>
      </c>
      <c r="H1343" s="152" t="s">
        <v>2398</v>
      </c>
      <c r="I1343" s="152" t="s">
        <v>2675</v>
      </c>
      <c r="J1343" s="152" t="s">
        <v>2705</v>
      </c>
      <c r="K1343" s="152" t="s">
        <v>2398</v>
      </c>
      <c r="L1343" s="152" t="s">
        <v>1435</v>
      </c>
      <c r="M1343" s="152" t="s">
        <v>2705</v>
      </c>
      <c r="N1343" s="152" t="s">
        <v>2398</v>
      </c>
      <c r="O1343" s="152" t="s">
        <v>2705</v>
      </c>
      <c r="P1343" s="152" t="s">
        <v>2398</v>
      </c>
      <c r="Q1343" s="152" t="s">
        <v>2705</v>
      </c>
      <c r="R1343" s="152" t="s">
        <v>2398</v>
      </c>
      <c r="S1343" s="152" t="s">
        <v>2397</v>
      </c>
      <c r="T1343" s="152" t="s">
        <v>2398</v>
      </c>
      <c r="U1343" s="152" t="s">
        <v>2705</v>
      </c>
      <c r="V1343" s="142" cm="1">
        <f t="array" ref="V1343">IF(A1343&lt;&gt;"",SUM(--(B1343:U1344 = "X")*$U$3,--(B1343:U1344 ="A")*$Q$3,--(B1343:U1344 ="B")*$R$3,--(B1343:U1344 ="C")*$S$3),"")</f>
        <v>13</v>
      </c>
      <c r="AF1343" s="142" t="s">
        <v>7988</v>
      </c>
      <c r="AG1343" s="142" t="s">
        <v>2398</v>
      </c>
      <c r="AH1343" s="142" t="s">
        <v>2675</v>
      </c>
      <c r="AI1343" s="142" t="s">
        <v>2398</v>
      </c>
      <c r="AJ1343" s="142" t="s">
        <v>2397</v>
      </c>
      <c r="AK1343" s="142" t="s">
        <v>2398</v>
      </c>
      <c r="AL1343" s="142" t="s">
        <v>2705</v>
      </c>
      <c r="AM1343" s="142" t="s">
        <v>2398</v>
      </c>
      <c r="AN1343" s="142" t="s">
        <v>2675</v>
      </c>
      <c r="AO1343" s="142" t="s">
        <v>2705</v>
      </c>
      <c r="AP1343" s="142" t="s">
        <v>2398</v>
      </c>
      <c r="AQ1343" s="142" t="s">
        <v>1435</v>
      </c>
      <c r="AR1343" s="142" t="s">
        <v>2705</v>
      </c>
      <c r="AS1343" s="142" t="s">
        <v>2398</v>
      </c>
      <c r="AT1343" s="142" t="s">
        <v>2705</v>
      </c>
      <c r="AU1343" s="142" t="s">
        <v>2398</v>
      </c>
      <c r="AV1343" s="142" t="s">
        <v>2705</v>
      </c>
      <c r="AW1343" s="142" t="s">
        <v>2398</v>
      </c>
      <c r="AX1343" s="142" t="s">
        <v>2397</v>
      </c>
      <c r="AY1343" s="142" t="s">
        <v>2398</v>
      </c>
      <c r="AZ1343" s="142" t="s">
        <v>2705</v>
      </c>
    </row>
    <row r="1344" spans="1:52" s="142" customFormat="1" ht="12.75" x14ac:dyDescent="0.2">
      <c r="A1344" s="151"/>
      <c r="B1344" s="152" t="s">
        <v>2398</v>
      </c>
      <c r="C1344" s="152" t="s">
        <v>2398</v>
      </c>
      <c r="D1344" s="152" t="s">
        <v>2705</v>
      </c>
      <c r="E1344" s="152" t="s">
        <v>2705</v>
      </c>
      <c r="F1344" s="152" t="s">
        <v>2398</v>
      </c>
      <c r="G1344" s="152" t="s">
        <v>2675</v>
      </c>
      <c r="H1344" s="152" t="s">
        <v>2705</v>
      </c>
      <c r="I1344" s="152" t="s">
        <v>2705</v>
      </c>
      <c r="J1344" s="152" t="s">
        <v>2398</v>
      </c>
      <c r="K1344" s="152" t="s">
        <v>2398</v>
      </c>
      <c r="L1344" s="152" t="s">
        <v>2705</v>
      </c>
      <c r="M1344" s="152" t="s">
        <v>2398</v>
      </c>
      <c r="N1344" s="152" t="s">
        <v>2705</v>
      </c>
      <c r="O1344" s="152" t="s">
        <v>2398</v>
      </c>
      <c r="P1344" s="152" t="s">
        <v>2705</v>
      </c>
      <c r="Q1344" s="152" t="s">
        <v>2398</v>
      </c>
      <c r="R1344" s="152" t="s">
        <v>2705</v>
      </c>
      <c r="S1344" s="152" t="s">
        <v>2705</v>
      </c>
      <c r="T1344" s="152" t="s">
        <v>2398</v>
      </c>
      <c r="U1344" s="152" t="s">
        <v>2398</v>
      </c>
      <c r="V1344" s="142" t="str" cm="1">
        <f t="array" ref="V1344">IF(A1344&lt;&gt;"",SUM(--(B1344:U1345 = "X")*$U$3,--(B1344:U1345 ="A")*$Q$3,--(B1344:U1345 ="B")*$R$3,--(B1344:U1345 ="C")*$S$3),"")</f>
        <v/>
      </c>
      <c r="AG1344" s="142" t="s">
        <v>2398</v>
      </c>
      <c r="AH1344" s="142" t="s">
        <v>2398</v>
      </c>
      <c r="AI1344" s="142" t="s">
        <v>2705</v>
      </c>
      <c r="AJ1344" s="142" t="s">
        <v>2705</v>
      </c>
      <c r="AK1344" s="142" t="s">
        <v>2398</v>
      </c>
      <c r="AL1344" s="142" t="s">
        <v>2675</v>
      </c>
      <c r="AM1344" s="142" t="s">
        <v>2705</v>
      </c>
      <c r="AN1344" s="142" t="s">
        <v>2705</v>
      </c>
      <c r="AO1344" s="142" t="s">
        <v>2398</v>
      </c>
      <c r="AP1344" s="142" t="s">
        <v>2398</v>
      </c>
      <c r="AQ1344" s="142" t="s">
        <v>2705</v>
      </c>
      <c r="AR1344" s="142" t="s">
        <v>2398</v>
      </c>
      <c r="AS1344" s="142" t="s">
        <v>2705</v>
      </c>
      <c r="AT1344" s="142" t="s">
        <v>2398</v>
      </c>
      <c r="AU1344" s="142" t="s">
        <v>2705</v>
      </c>
      <c r="AV1344" s="142" t="s">
        <v>2398</v>
      </c>
      <c r="AW1344" s="142" t="s">
        <v>2705</v>
      </c>
      <c r="AX1344" s="142" t="s">
        <v>2705</v>
      </c>
      <c r="AY1344" s="142" t="s">
        <v>2398</v>
      </c>
      <c r="AZ1344" s="142" t="s">
        <v>2398</v>
      </c>
    </row>
    <row r="1345" spans="1:52" s="142" customFormat="1" ht="12.75" x14ac:dyDescent="0.2">
      <c r="A1345" s="151" t="s">
        <v>7989</v>
      </c>
      <c r="B1345" s="152" t="s">
        <v>2705</v>
      </c>
      <c r="C1345" s="152" t="s">
        <v>2705</v>
      </c>
      <c r="D1345" s="152" t="s">
        <v>2675</v>
      </c>
      <c r="E1345" s="152" t="s">
        <v>2397</v>
      </c>
      <c r="F1345" s="152" t="s">
        <v>1435</v>
      </c>
      <c r="G1345" s="152" t="s">
        <v>2705</v>
      </c>
      <c r="H1345" s="152" t="s">
        <v>1435</v>
      </c>
      <c r="I1345" s="152" t="s">
        <v>2705</v>
      </c>
      <c r="J1345" s="152" t="s">
        <v>2705</v>
      </c>
      <c r="K1345" s="152" t="s">
        <v>2705</v>
      </c>
      <c r="L1345" s="152" t="s">
        <v>2397</v>
      </c>
      <c r="M1345" s="152" t="s">
        <v>2675</v>
      </c>
      <c r="N1345" s="152" t="s">
        <v>2705</v>
      </c>
      <c r="O1345" s="152" t="s">
        <v>2705</v>
      </c>
      <c r="P1345" s="152" t="s">
        <v>2675</v>
      </c>
      <c r="Q1345" s="152" t="s">
        <v>2675</v>
      </c>
      <c r="R1345" s="152" t="s">
        <v>2705</v>
      </c>
      <c r="S1345" s="152" t="s">
        <v>2675</v>
      </c>
      <c r="T1345" s="152" t="s">
        <v>2675</v>
      </c>
      <c r="U1345" s="152" t="s">
        <v>2398</v>
      </c>
      <c r="V1345" s="142" cm="1">
        <f t="array" ref="V1345">IF(A1345&lt;&gt;"",SUM(--(B1345:U1346 = "X")*$U$3,--(B1345:U1346 ="A")*$Q$3,--(B1345:U1346 ="B")*$R$3,--(B1345:U1346 ="C")*$S$3),"")</f>
        <v>8.5</v>
      </c>
      <c r="AF1345" s="142" t="s">
        <v>7989</v>
      </c>
      <c r="AG1345" s="142" t="s">
        <v>2705</v>
      </c>
      <c r="AH1345" s="142" t="s">
        <v>2705</v>
      </c>
      <c r="AI1345" s="142" t="s">
        <v>2675</v>
      </c>
      <c r="AJ1345" s="142" t="s">
        <v>2397</v>
      </c>
      <c r="AK1345" s="142" t="s">
        <v>1435</v>
      </c>
      <c r="AL1345" s="142" t="s">
        <v>2705</v>
      </c>
      <c r="AM1345" s="142" t="s">
        <v>1435</v>
      </c>
      <c r="AN1345" s="142" t="s">
        <v>2705</v>
      </c>
      <c r="AO1345" s="142" t="s">
        <v>2705</v>
      </c>
      <c r="AP1345" s="142" t="s">
        <v>2705</v>
      </c>
      <c r="AQ1345" s="142" t="s">
        <v>2397</v>
      </c>
      <c r="AR1345" s="142" t="s">
        <v>2675</v>
      </c>
      <c r="AS1345" s="142" t="s">
        <v>2705</v>
      </c>
      <c r="AT1345" s="142" t="s">
        <v>2705</v>
      </c>
      <c r="AU1345" s="142" t="s">
        <v>2675</v>
      </c>
      <c r="AV1345" s="142" t="s">
        <v>2675</v>
      </c>
      <c r="AW1345" s="142" t="s">
        <v>2705</v>
      </c>
      <c r="AX1345" s="142" t="s">
        <v>2675</v>
      </c>
      <c r="AY1345" s="142" t="s">
        <v>2675</v>
      </c>
      <c r="AZ1345" s="142" t="s">
        <v>2398</v>
      </c>
    </row>
    <row r="1346" spans="1:52" s="142" customFormat="1" ht="12.75" x14ac:dyDescent="0.2">
      <c r="A1346" s="151"/>
      <c r="B1346" s="152" t="s">
        <v>2397</v>
      </c>
      <c r="C1346" s="152" t="s">
        <v>1435</v>
      </c>
      <c r="D1346" s="152" t="s">
        <v>2705</v>
      </c>
      <c r="E1346" s="152" t="s">
        <v>2675</v>
      </c>
      <c r="F1346" s="152" t="s">
        <v>2675</v>
      </c>
      <c r="G1346" s="152" t="s">
        <v>1435</v>
      </c>
      <c r="H1346" s="152" t="s">
        <v>2705</v>
      </c>
      <c r="I1346" s="152" t="s">
        <v>2705</v>
      </c>
      <c r="J1346" s="152" t="s">
        <v>2398</v>
      </c>
      <c r="K1346" s="152" t="s">
        <v>2398</v>
      </c>
      <c r="L1346" s="152" t="s">
        <v>2705</v>
      </c>
      <c r="M1346" s="152" t="s">
        <v>2705</v>
      </c>
      <c r="N1346" s="152" t="s">
        <v>2675</v>
      </c>
      <c r="O1346" s="152" t="s">
        <v>2705</v>
      </c>
      <c r="P1346" s="152" t="s">
        <v>2398</v>
      </c>
      <c r="Q1346" s="152" t="s">
        <v>1435</v>
      </c>
      <c r="R1346" s="152" t="s">
        <v>1435</v>
      </c>
      <c r="S1346" s="152" t="s">
        <v>2705</v>
      </c>
      <c r="T1346" s="152" t="s">
        <v>2398</v>
      </c>
      <c r="U1346" s="152" t="s">
        <v>2397</v>
      </c>
      <c r="V1346" s="142" t="str" cm="1">
        <f t="array" ref="V1346">IF(A1346&lt;&gt;"",SUM(--(B1346:U1347 = "X")*$U$3,--(B1346:U1347 ="A")*$Q$3,--(B1346:U1347 ="B")*$R$3,--(B1346:U1347 ="C")*$S$3),"")</f>
        <v/>
      </c>
      <c r="AG1346" s="142" t="s">
        <v>2397</v>
      </c>
      <c r="AH1346" s="142" t="s">
        <v>1435</v>
      </c>
      <c r="AI1346" s="142" t="s">
        <v>2705</v>
      </c>
      <c r="AJ1346" s="142" t="s">
        <v>2675</v>
      </c>
      <c r="AK1346" s="142" t="s">
        <v>2675</v>
      </c>
      <c r="AL1346" s="142" t="s">
        <v>1435</v>
      </c>
      <c r="AM1346" s="142" t="s">
        <v>2705</v>
      </c>
      <c r="AN1346" s="142" t="s">
        <v>2705</v>
      </c>
      <c r="AO1346" s="142" t="s">
        <v>2398</v>
      </c>
      <c r="AP1346" s="142" t="s">
        <v>2398</v>
      </c>
      <c r="AQ1346" s="142" t="s">
        <v>2705</v>
      </c>
      <c r="AR1346" s="142" t="s">
        <v>2705</v>
      </c>
      <c r="AS1346" s="142" t="s">
        <v>2675</v>
      </c>
      <c r="AT1346" s="142" t="s">
        <v>2705</v>
      </c>
      <c r="AU1346" s="142" t="s">
        <v>2398</v>
      </c>
      <c r="AV1346" s="142" t="s">
        <v>1435</v>
      </c>
      <c r="AW1346" s="142" t="s">
        <v>1435</v>
      </c>
      <c r="AX1346" s="142" t="s">
        <v>2705</v>
      </c>
      <c r="AY1346" s="142" t="s">
        <v>2398</v>
      </c>
      <c r="AZ1346" s="142" t="s">
        <v>2397</v>
      </c>
    </row>
    <row r="1347" spans="1:52" s="142" customFormat="1" ht="12.75" x14ac:dyDescent="0.2">
      <c r="A1347" s="151" t="s">
        <v>7990</v>
      </c>
      <c r="B1347" s="152" t="s">
        <v>2705</v>
      </c>
      <c r="C1347" s="152" t="s">
        <v>2398</v>
      </c>
      <c r="D1347" s="152" t="s">
        <v>2705</v>
      </c>
      <c r="E1347" s="152" t="s">
        <v>2705</v>
      </c>
      <c r="F1347" s="152" t="s">
        <v>2705</v>
      </c>
      <c r="G1347" s="152" t="s">
        <v>2705</v>
      </c>
      <c r="H1347" s="152" t="s">
        <v>2675</v>
      </c>
      <c r="I1347" s="152" t="s">
        <v>2397</v>
      </c>
      <c r="J1347" s="152" t="s">
        <v>2675</v>
      </c>
      <c r="K1347" s="152" t="s">
        <v>2705</v>
      </c>
      <c r="L1347" s="152" t="s">
        <v>2398</v>
      </c>
      <c r="M1347" s="152" t="s">
        <v>2705</v>
      </c>
      <c r="N1347" s="152" t="s">
        <v>2705</v>
      </c>
      <c r="O1347" s="152" t="s">
        <v>2705</v>
      </c>
      <c r="P1347" s="152" t="s">
        <v>2397</v>
      </c>
      <c r="Q1347" s="152" t="s">
        <v>2705</v>
      </c>
      <c r="R1347" s="152" t="s">
        <v>2705</v>
      </c>
      <c r="S1347" s="152" t="s">
        <v>2705</v>
      </c>
      <c r="T1347" s="152" t="s">
        <v>2675</v>
      </c>
      <c r="U1347" s="152" t="s">
        <v>2705</v>
      </c>
      <c r="V1347" s="142" cm="1">
        <f t="array" ref="V1347">IF(A1347&lt;&gt;"",SUM(--(B1347:U1348 = "X")*$U$3,--(B1347:U1348 ="A")*$Q$3,--(B1347:U1348 ="B")*$R$3,--(B1347:U1348 ="C")*$S$3),"")</f>
        <v>20.5</v>
      </c>
      <c r="AF1347" s="142" t="s">
        <v>7990</v>
      </c>
      <c r="AG1347" s="142" t="s">
        <v>2705</v>
      </c>
      <c r="AH1347" s="142" t="s">
        <v>2398</v>
      </c>
      <c r="AI1347" s="142" t="s">
        <v>2705</v>
      </c>
      <c r="AJ1347" s="142" t="s">
        <v>2705</v>
      </c>
      <c r="AK1347" s="142" t="s">
        <v>2705</v>
      </c>
      <c r="AL1347" s="142" t="s">
        <v>2705</v>
      </c>
      <c r="AM1347" s="142" t="s">
        <v>2675</v>
      </c>
      <c r="AN1347" s="142" t="s">
        <v>2397</v>
      </c>
      <c r="AO1347" s="142" t="s">
        <v>2675</v>
      </c>
      <c r="AP1347" s="142" t="s">
        <v>2705</v>
      </c>
      <c r="AQ1347" s="142" t="s">
        <v>2398</v>
      </c>
      <c r="AR1347" s="142" t="s">
        <v>2705</v>
      </c>
      <c r="AS1347" s="142" t="s">
        <v>2705</v>
      </c>
      <c r="AT1347" s="142" t="s">
        <v>2705</v>
      </c>
      <c r="AU1347" s="142" t="s">
        <v>2397</v>
      </c>
      <c r="AV1347" s="142" t="s">
        <v>2705</v>
      </c>
      <c r="AW1347" s="142" t="s">
        <v>2705</v>
      </c>
      <c r="AX1347" s="142" t="s">
        <v>2705</v>
      </c>
      <c r="AY1347" s="142" t="s">
        <v>2675</v>
      </c>
      <c r="AZ1347" s="142" t="s">
        <v>2705</v>
      </c>
    </row>
    <row r="1348" spans="1:52" s="142" customFormat="1" ht="12.75" x14ac:dyDescent="0.2">
      <c r="A1348" s="151"/>
      <c r="B1348" s="152" t="s">
        <v>2397</v>
      </c>
      <c r="C1348" s="152" t="s">
        <v>2397</v>
      </c>
      <c r="D1348" s="152" t="s">
        <v>2705</v>
      </c>
      <c r="E1348" s="152" t="s">
        <v>2675</v>
      </c>
      <c r="F1348" s="152" t="s">
        <v>2675</v>
      </c>
      <c r="G1348" s="152" t="s">
        <v>2705</v>
      </c>
      <c r="H1348" s="152" t="s">
        <v>2705</v>
      </c>
      <c r="I1348" s="152" t="s">
        <v>2705</v>
      </c>
      <c r="J1348" s="152" t="s">
        <v>2705</v>
      </c>
      <c r="K1348" s="152" t="s">
        <v>2705</v>
      </c>
      <c r="L1348" s="152" t="s">
        <v>2675</v>
      </c>
      <c r="M1348" s="152" t="s">
        <v>1435</v>
      </c>
      <c r="N1348" s="152" t="s">
        <v>2705</v>
      </c>
      <c r="O1348" s="152" t="s">
        <v>2705</v>
      </c>
      <c r="P1348" s="152" t="s">
        <v>2705</v>
      </c>
      <c r="Q1348" s="152" t="s">
        <v>1435</v>
      </c>
      <c r="R1348" s="152" t="s">
        <v>2705</v>
      </c>
      <c r="S1348" s="152" t="s">
        <v>2705</v>
      </c>
      <c r="T1348" s="152" t="s">
        <v>2705</v>
      </c>
      <c r="U1348" s="152" t="s">
        <v>2675</v>
      </c>
      <c r="V1348" s="142" t="str" cm="1">
        <f t="array" ref="V1348">IF(A1348&lt;&gt;"",SUM(--(B1348:U1349 = "X")*$U$3,--(B1348:U1349 ="A")*$Q$3,--(B1348:U1349 ="B")*$R$3,--(B1348:U1349 ="C")*$S$3),"")</f>
        <v/>
      </c>
      <c r="AG1348" s="142" t="s">
        <v>2397</v>
      </c>
      <c r="AH1348" s="142" t="s">
        <v>2397</v>
      </c>
      <c r="AI1348" s="142" t="s">
        <v>2705</v>
      </c>
      <c r="AJ1348" s="142" t="s">
        <v>2675</v>
      </c>
      <c r="AK1348" s="142" t="s">
        <v>2675</v>
      </c>
      <c r="AL1348" s="142" t="s">
        <v>2705</v>
      </c>
      <c r="AM1348" s="142" t="s">
        <v>2705</v>
      </c>
      <c r="AN1348" s="142" t="s">
        <v>2705</v>
      </c>
      <c r="AO1348" s="142" t="s">
        <v>2705</v>
      </c>
      <c r="AP1348" s="142" t="s">
        <v>2705</v>
      </c>
      <c r="AQ1348" s="142" t="s">
        <v>2675</v>
      </c>
      <c r="AR1348" s="142" t="s">
        <v>1435</v>
      </c>
      <c r="AS1348" s="142" t="s">
        <v>2705</v>
      </c>
      <c r="AT1348" s="142" t="s">
        <v>2705</v>
      </c>
      <c r="AU1348" s="142" t="s">
        <v>2705</v>
      </c>
      <c r="AV1348" s="142" t="s">
        <v>1435</v>
      </c>
      <c r="AW1348" s="142" t="s">
        <v>2705</v>
      </c>
      <c r="AX1348" s="142" t="s">
        <v>2705</v>
      </c>
      <c r="AY1348" s="142" t="s">
        <v>2705</v>
      </c>
      <c r="AZ1348" s="142" t="s">
        <v>2675</v>
      </c>
    </row>
    <row r="1349" spans="1:52" s="142" customFormat="1" ht="12.75" x14ac:dyDescent="0.2">
      <c r="A1349" s="151" t="s">
        <v>7991</v>
      </c>
      <c r="B1349" s="152" t="s">
        <v>2397</v>
      </c>
      <c r="C1349" s="152" t="s">
        <v>2705</v>
      </c>
      <c r="D1349" s="152" t="s">
        <v>2705</v>
      </c>
      <c r="E1349" s="152" t="s">
        <v>1435</v>
      </c>
      <c r="F1349" s="152" t="s">
        <v>2398</v>
      </c>
      <c r="G1349" s="152" t="s">
        <v>2705</v>
      </c>
      <c r="H1349" s="152" t="s">
        <v>2398</v>
      </c>
      <c r="I1349" s="152" t="s">
        <v>2705</v>
      </c>
      <c r="J1349" s="152" t="s">
        <v>2675</v>
      </c>
      <c r="K1349" s="152" t="s">
        <v>2398</v>
      </c>
      <c r="L1349" s="152" t="s">
        <v>2398</v>
      </c>
      <c r="M1349" s="152" t="s">
        <v>2398</v>
      </c>
      <c r="N1349" s="152" t="s">
        <v>2398</v>
      </c>
      <c r="O1349" s="152" t="s">
        <v>2705</v>
      </c>
      <c r="P1349" s="152" t="s">
        <v>2397</v>
      </c>
      <c r="Q1349" s="152" t="s">
        <v>2705</v>
      </c>
      <c r="R1349" s="152" t="s">
        <v>2675</v>
      </c>
      <c r="S1349" s="152" t="s">
        <v>2397</v>
      </c>
      <c r="T1349" s="152" t="s">
        <v>2398</v>
      </c>
      <c r="U1349" s="152" t="s">
        <v>2705</v>
      </c>
      <c r="V1349" s="142" cm="1">
        <f t="array" ref="V1349">IF(A1349&lt;&gt;"",SUM(--(B1349:U1350 = "X")*$U$3,--(B1349:U1350 ="A")*$Q$3,--(B1349:U1350 ="B")*$R$3,--(B1349:U1350 ="C")*$S$3),"")</f>
        <v>8.5</v>
      </c>
      <c r="AF1349" s="142" t="s">
        <v>7991</v>
      </c>
      <c r="AG1349" s="142" t="s">
        <v>2397</v>
      </c>
      <c r="AH1349" s="142" t="s">
        <v>2705</v>
      </c>
      <c r="AI1349" s="142" t="s">
        <v>2705</v>
      </c>
      <c r="AJ1349" s="142" t="s">
        <v>1435</v>
      </c>
      <c r="AK1349" s="142" t="s">
        <v>2398</v>
      </c>
      <c r="AL1349" s="142" t="s">
        <v>2705</v>
      </c>
      <c r="AM1349" s="142" t="s">
        <v>2398</v>
      </c>
      <c r="AN1349" s="142" t="s">
        <v>2705</v>
      </c>
      <c r="AO1349" s="142" t="s">
        <v>2675</v>
      </c>
      <c r="AP1349" s="142" t="s">
        <v>2398</v>
      </c>
      <c r="AQ1349" s="142" t="s">
        <v>2398</v>
      </c>
      <c r="AR1349" s="142" t="s">
        <v>2398</v>
      </c>
      <c r="AS1349" s="142" t="s">
        <v>2398</v>
      </c>
      <c r="AT1349" s="142" t="s">
        <v>2705</v>
      </c>
      <c r="AU1349" s="142" t="s">
        <v>2397</v>
      </c>
      <c r="AV1349" s="142" t="s">
        <v>2705</v>
      </c>
      <c r="AW1349" s="142" t="s">
        <v>2675</v>
      </c>
      <c r="AX1349" s="142" t="s">
        <v>2397</v>
      </c>
      <c r="AY1349" s="142" t="s">
        <v>2398</v>
      </c>
      <c r="AZ1349" s="142" t="s">
        <v>2705</v>
      </c>
    </row>
    <row r="1350" spans="1:52" s="142" customFormat="1" ht="12.75" x14ac:dyDescent="0.2">
      <c r="A1350" s="151"/>
      <c r="B1350" s="152" t="s">
        <v>2398</v>
      </c>
      <c r="C1350" s="152" t="s">
        <v>2398</v>
      </c>
      <c r="D1350" s="152" t="s">
        <v>2705</v>
      </c>
      <c r="E1350" s="152" t="s">
        <v>2705</v>
      </c>
      <c r="F1350" s="152" t="s">
        <v>2398</v>
      </c>
      <c r="G1350" s="152" t="s">
        <v>2675</v>
      </c>
      <c r="H1350" s="152" t="s">
        <v>2398</v>
      </c>
      <c r="I1350" s="152" t="s">
        <v>2398</v>
      </c>
      <c r="J1350" s="152" t="s">
        <v>2398</v>
      </c>
      <c r="K1350" s="152" t="s">
        <v>2675</v>
      </c>
      <c r="L1350" s="152" t="s">
        <v>2705</v>
      </c>
      <c r="M1350" s="152" t="s">
        <v>2398</v>
      </c>
      <c r="N1350" s="152" t="s">
        <v>2398</v>
      </c>
      <c r="O1350" s="152" t="s">
        <v>2398</v>
      </c>
      <c r="P1350" s="152" t="s">
        <v>2675</v>
      </c>
      <c r="Q1350" s="152" t="s">
        <v>2705</v>
      </c>
      <c r="R1350" s="152" t="s">
        <v>2398</v>
      </c>
      <c r="S1350" s="152" t="s">
        <v>1435</v>
      </c>
      <c r="T1350" s="152" t="s">
        <v>2705</v>
      </c>
      <c r="U1350" s="152" t="s">
        <v>2398</v>
      </c>
      <c r="V1350" s="142" t="str" cm="1">
        <f t="array" ref="V1350">IF(A1350&lt;&gt;"",SUM(--(B1350:U1351 = "X")*$U$3,--(B1350:U1351 ="A")*$Q$3,--(B1350:U1351 ="B")*$R$3,--(B1350:U1351 ="C")*$S$3),"")</f>
        <v/>
      </c>
      <c r="AG1350" s="142" t="s">
        <v>2398</v>
      </c>
      <c r="AH1350" s="142" t="s">
        <v>2398</v>
      </c>
      <c r="AI1350" s="142" t="s">
        <v>2705</v>
      </c>
      <c r="AJ1350" s="142" t="s">
        <v>2705</v>
      </c>
      <c r="AK1350" s="142" t="s">
        <v>2398</v>
      </c>
      <c r="AL1350" s="142" t="s">
        <v>2675</v>
      </c>
      <c r="AM1350" s="142" t="s">
        <v>2398</v>
      </c>
      <c r="AN1350" s="142" t="s">
        <v>2398</v>
      </c>
      <c r="AO1350" s="142" t="s">
        <v>2398</v>
      </c>
      <c r="AP1350" s="142" t="s">
        <v>2675</v>
      </c>
      <c r="AQ1350" s="142" t="s">
        <v>2705</v>
      </c>
      <c r="AR1350" s="142" t="s">
        <v>2398</v>
      </c>
      <c r="AS1350" s="142" t="s">
        <v>2398</v>
      </c>
      <c r="AT1350" s="142" t="s">
        <v>2398</v>
      </c>
      <c r="AU1350" s="142" t="s">
        <v>2675</v>
      </c>
      <c r="AV1350" s="142" t="s">
        <v>2705</v>
      </c>
      <c r="AW1350" s="142" t="s">
        <v>2398</v>
      </c>
      <c r="AX1350" s="142" t="s">
        <v>1435</v>
      </c>
      <c r="AY1350" s="142" t="s">
        <v>2705</v>
      </c>
      <c r="AZ1350" s="142" t="s">
        <v>2398</v>
      </c>
    </row>
    <row r="1351" spans="1:52" s="142" customFormat="1" ht="12.75" x14ac:dyDescent="0.2">
      <c r="A1351" s="151" t="s">
        <v>7992</v>
      </c>
      <c r="B1351" s="152" t="s">
        <v>2705</v>
      </c>
      <c r="C1351" s="152" t="s">
        <v>2705</v>
      </c>
      <c r="D1351" s="152" t="s">
        <v>1435</v>
      </c>
      <c r="E1351" s="152" t="s">
        <v>2705</v>
      </c>
      <c r="F1351" s="152" t="s">
        <v>2705</v>
      </c>
      <c r="G1351" s="152" t="s">
        <v>2705</v>
      </c>
      <c r="H1351" s="152" t="s">
        <v>2705</v>
      </c>
      <c r="I1351" s="152" t="s">
        <v>2398</v>
      </c>
      <c r="J1351" s="152" t="s">
        <v>2398</v>
      </c>
      <c r="K1351" s="152" t="s">
        <v>2705</v>
      </c>
      <c r="L1351" s="152" t="s">
        <v>2398</v>
      </c>
      <c r="M1351" s="152" t="s">
        <v>2705</v>
      </c>
      <c r="N1351" s="152" t="s">
        <v>2398</v>
      </c>
      <c r="O1351" s="152" t="s">
        <v>1435</v>
      </c>
      <c r="P1351" s="152" t="s">
        <v>2705</v>
      </c>
      <c r="Q1351" s="152" t="s">
        <v>2705</v>
      </c>
      <c r="R1351" s="152" t="s">
        <v>1435</v>
      </c>
      <c r="S1351" s="152" t="s">
        <v>2705</v>
      </c>
      <c r="T1351" s="152" t="s">
        <v>2705</v>
      </c>
      <c r="U1351" s="152" t="s">
        <v>2705</v>
      </c>
      <c r="V1351" s="142" cm="1">
        <f t="array" ref="V1351">IF(A1351&lt;&gt;"",SUM(--(B1351:U1352 = "X")*$U$3,--(B1351:U1352 ="A")*$Q$3,--(B1351:U1352 ="B")*$R$3,--(B1351:U1352 ="C")*$S$3),"")</f>
        <v>21.5</v>
      </c>
      <c r="AF1351" s="142" t="s">
        <v>7992</v>
      </c>
      <c r="AG1351" s="142" t="s">
        <v>2705</v>
      </c>
      <c r="AH1351" s="142" t="s">
        <v>2705</v>
      </c>
      <c r="AI1351" s="142" t="s">
        <v>1435</v>
      </c>
      <c r="AJ1351" s="142" t="s">
        <v>2705</v>
      </c>
      <c r="AK1351" s="142" t="s">
        <v>2705</v>
      </c>
      <c r="AL1351" s="142" t="s">
        <v>2705</v>
      </c>
      <c r="AM1351" s="142" t="s">
        <v>2705</v>
      </c>
      <c r="AN1351" s="142" t="s">
        <v>2398</v>
      </c>
      <c r="AO1351" s="142" t="s">
        <v>2398</v>
      </c>
      <c r="AP1351" s="142" t="s">
        <v>2705</v>
      </c>
      <c r="AQ1351" s="142" t="s">
        <v>2398</v>
      </c>
      <c r="AR1351" s="142" t="s">
        <v>2705</v>
      </c>
      <c r="AS1351" s="142" t="s">
        <v>2398</v>
      </c>
      <c r="AT1351" s="142" t="s">
        <v>1435</v>
      </c>
      <c r="AU1351" s="142" t="s">
        <v>2705</v>
      </c>
      <c r="AV1351" s="142" t="s">
        <v>2705</v>
      </c>
      <c r="AW1351" s="142" t="s">
        <v>1435</v>
      </c>
      <c r="AX1351" s="142" t="s">
        <v>2705</v>
      </c>
      <c r="AY1351" s="142" t="s">
        <v>2705</v>
      </c>
      <c r="AZ1351" s="142" t="s">
        <v>2705</v>
      </c>
    </row>
    <row r="1352" spans="1:52" s="142" customFormat="1" ht="12.75" x14ac:dyDescent="0.2">
      <c r="A1352" s="151"/>
      <c r="B1352" s="152" t="s">
        <v>2398</v>
      </c>
      <c r="C1352" s="152" t="s">
        <v>2398</v>
      </c>
      <c r="D1352" s="152" t="s">
        <v>2705</v>
      </c>
      <c r="E1352" s="152" t="s">
        <v>2675</v>
      </c>
      <c r="F1352" s="152" t="s">
        <v>2705</v>
      </c>
      <c r="G1352" s="152" t="s">
        <v>2705</v>
      </c>
      <c r="H1352" s="152" t="s">
        <v>2705</v>
      </c>
      <c r="I1352" s="152" t="s">
        <v>2705</v>
      </c>
      <c r="J1352" s="152" t="s">
        <v>2705</v>
      </c>
      <c r="K1352" s="152" t="s">
        <v>2705</v>
      </c>
      <c r="L1352" s="152" t="s">
        <v>2675</v>
      </c>
      <c r="M1352" s="152" t="s">
        <v>2705</v>
      </c>
      <c r="N1352" s="152" t="s">
        <v>2397</v>
      </c>
      <c r="O1352" s="152" t="s">
        <v>2705</v>
      </c>
      <c r="P1352" s="152" t="s">
        <v>2398</v>
      </c>
      <c r="Q1352" s="152" t="s">
        <v>2397</v>
      </c>
      <c r="R1352" s="152" t="s">
        <v>2398</v>
      </c>
      <c r="S1352" s="152" t="s">
        <v>2398</v>
      </c>
      <c r="T1352" s="152" t="s">
        <v>2705</v>
      </c>
      <c r="U1352" s="152" t="s">
        <v>2705</v>
      </c>
      <c r="V1352" s="142" t="str" cm="1">
        <f t="array" ref="V1352">IF(A1352&lt;&gt;"",SUM(--(B1352:U1353 = "X")*$U$3,--(B1352:U1353 ="A")*$Q$3,--(B1352:U1353 ="B")*$R$3,--(B1352:U1353 ="C")*$S$3),"")</f>
        <v/>
      </c>
      <c r="AG1352" s="142" t="s">
        <v>2398</v>
      </c>
      <c r="AH1352" s="142" t="s">
        <v>2398</v>
      </c>
      <c r="AI1352" s="142" t="s">
        <v>2705</v>
      </c>
      <c r="AJ1352" s="142" t="s">
        <v>2675</v>
      </c>
      <c r="AK1352" s="142" t="s">
        <v>2705</v>
      </c>
      <c r="AL1352" s="142" t="s">
        <v>2705</v>
      </c>
      <c r="AM1352" s="142" t="s">
        <v>2705</v>
      </c>
      <c r="AN1352" s="142" t="s">
        <v>2705</v>
      </c>
      <c r="AO1352" s="142" t="s">
        <v>2705</v>
      </c>
      <c r="AP1352" s="142" t="s">
        <v>2705</v>
      </c>
      <c r="AQ1352" s="142" t="s">
        <v>2675</v>
      </c>
      <c r="AR1352" s="142" t="s">
        <v>2705</v>
      </c>
      <c r="AS1352" s="142" t="s">
        <v>2397</v>
      </c>
      <c r="AT1352" s="142" t="s">
        <v>2705</v>
      </c>
      <c r="AU1352" s="142" t="s">
        <v>2398</v>
      </c>
      <c r="AV1352" s="142" t="s">
        <v>2397</v>
      </c>
      <c r="AW1352" s="142" t="s">
        <v>2398</v>
      </c>
      <c r="AX1352" s="142" t="s">
        <v>2398</v>
      </c>
      <c r="AY1352" s="142" t="s">
        <v>2705</v>
      </c>
      <c r="AZ1352" s="142" t="s">
        <v>2705</v>
      </c>
    </row>
    <row r="1353" spans="1:52" s="142" customFormat="1" ht="12.75" x14ac:dyDescent="0.2">
      <c r="A1353" s="151" t="s">
        <v>7993</v>
      </c>
      <c r="B1353" s="152" t="s">
        <v>2398</v>
      </c>
      <c r="C1353" s="152" t="s">
        <v>2398</v>
      </c>
      <c r="D1353" s="152" t="s">
        <v>2705</v>
      </c>
      <c r="E1353" s="152" t="s">
        <v>2398</v>
      </c>
      <c r="F1353" s="152" t="s">
        <v>2705</v>
      </c>
      <c r="G1353" s="152" t="s">
        <v>2398</v>
      </c>
      <c r="H1353" s="152" t="s">
        <v>2398</v>
      </c>
      <c r="I1353" s="152" t="s">
        <v>2705</v>
      </c>
      <c r="J1353" s="152" t="s">
        <v>2675</v>
      </c>
      <c r="K1353" s="152" t="s">
        <v>2705</v>
      </c>
      <c r="L1353" s="152" t="s">
        <v>2675</v>
      </c>
      <c r="M1353" s="152" t="s">
        <v>2705</v>
      </c>
      <c r="N1353" s="152" t="s">
        <v>2398</v>
      </c>
      <c r="O1353" s="152" t="s">
        <v>2705</v>
      </c>
      <c r="P1353" s="152" t="s">
        <v>2705</v>
      </c>
      <c r="Q1353" s="152" t="s">
        <v>2705</v>
      </c>
      <c r="R1353" s="152" t="s">
        <v>2398</v>
      </c>
      <c r="S1353" s="152" t="s">
        <v>2705</v>
      </c>
      <c r="T1353" s="152" t="s">
        <v>2398</v>
      </c>
      <c r="U1353" s="152" t="s">
        <v>2398</v>
      </c>
      <c r="V1353" s="142" cm="1">
        <f t="array" ref="V1353">IF(A1353&lt;&gt;"",SUM(--(B1353:U1354 = "X")*$U$3,--(B1353:U1354 ="A")*$Q$3,--(B1353:U1354 ="B")*$R$3,--(B1353:U1354 ="C")*$S$3),"")</f>
        <v>21</v>
      </c>
      <c r="AF1353" s="142" t="s">
        <v>7993</v>
      </c>
      <c r="AG1353" s="142" t="s">
        <v>2398</v>
      </c>
      <c r="AH1353" s="142" t="s">
        <v>2398</v>
      </c>
      <c r="AI1353" s="142" t="s">
        <v>2705</v>
      </c>
      <c r="AJ1353" s="142" t="s">
        <v>2398</v>
      </c>
      <c r="AK1353" s="142" t="s">
        <v>2705</v>
      </c>
      <c r="AL1353" s="142" t="s">
        <v>2398</v>
      </c>
      <c r="AM1353" s="142" t="s">
        <v>2398</v>
      </c>
      <c r="AN1353" s="142" t="s">
        <v>2705</v>
      </c>
      <c r="AO1353" s="142" t="s">
        <v>2675</v>
      </c>
      <c r="AP1353" s="142" t="s">
        <v>2705</v>
      </c>
      <c r="AQ1353" s="142" t="s">
        <v>2675</v>
      </c>
      <c r="AR1353" s="142" t="s">
        <v>2705</v>
      </c>
      <c r="AS1353" s="142" t="s">
        <v>2398</v>
      </c>
      <c r="AT1353" s="142" t="s">
        <v>2705</v>
      </c>
      <c r="AU1353" s="142" t="s">
        <v>2705</v>
      </c>
      <c r="AV1353" s="142" t="s">
        <v>2705</v>
      </c>
      <c r="AW1353" s="142" t="s">
        <v>2398</v>
      </c>
      <c r="AX1353" s="142" t="s">
        <v>2705</v>
      </c>
      <c r="AY1353" s="142" t="s">
        <v>2398</v>
      </c>
      <c r="AZ1353" s="142" t="s">
        <v>2398</v>
      </c>
    </row>
    <row r="1354" spans="1:52" s="142" customFormat="1" ht="12.75" x14ac:dyDescent="0.2">
      <c r="A1354" s="151"/>
      <c r="B1354" s="152" t="s">
        <v>2705</v>
      </c>
      <c r="C1354" s="152" t="s">
        <v>2705</v>
      </c>
      <c r="D1354" s="152" t="s">
        <v>2398</v>
      </c>
      <c r="E1354" s="152" t="s">
        <v>2705</v>
      </c>
      <c r="F1354" s="152" t="s">
        <v>2705</v>
      </c>
      <c r="G1354" s="152" t="s">
        <v>2705</v>
      </c>
      <c r="H1354" s="152" t="s">
        <v>2705</v>
      </c>
      <c r="I1354" s="152" t="s">
        <v>2705</v>
      </c>
      <c r="J1354" s="152" t="s">
        <v>2397</v>
      </c>
      <c r="K1354" s="152" t="s">
        <v>2705</v>
      </c>
      <c r="L1354" s="152" t="s">
        <v>2397</v>
      </c>
      <c r="M1354" s="152" t="s">
        <v>2398</v>
      </c>
      <c r="N1354" s="152" t="s">
        <v>2705</v>
      </c>
      <c r="O1354" s="152" t="s">
        <v>2398</v>
      </c>
      <c r="P1354" s="152" t="s">
        <v>2705</v>
      </c>
      <c r="Q1354" s="152" t="s">
        <v>2398</v>
      </c>
      <c r="R1354" s="152" t="s">
        <v>2705</v>
      </c>
      <c r="S1354" s="152" t="s">
        <v>2705</v>
      </c>
      <c r="T1354" s="152" t="s">
        <v>2705</v>
      </c>
      <c r="U1354" s="152" t="s">
        <v>2398</v>
      </c>
      <c r="V1354" s="142" t="str" cm="1">
        <f t="array" ref="V1354">IF(A1354&lt;&gt;"",SUM(--(B1354:U1355 = "X")*$U$3,--(B1354:U1355 ="A")*$Q$3,--(B1354:U1355 ="B")*$R$3,--(B1354:U1355 ="C")*$S$3),"")</f>
        <v/>
      </c>
      <c r="AG1354" s="142" t="s">
        <v>2705</v>
      </c>
      <c r="AH1354" s="142" t="s">
        <v>2705</v>
      </c>
      <c r="AI1354" s="142" t="s">
        <v>2398</v>
      </c>
      <c r="AJ1354" s="142" t="s">
        <v>2705</v>
      </c>
      <c r="AK1354" s="142" t="s">
        <v>2705</v>
      </c>
      <c r="AL1354" s="142" t="s">
        <v>2705</v>
      </c>
      <c r="AM1354" s="142" t="s">
        <v>2705</v>
      </c>
      <c r="AN1354" s="142" t="s">
        <v>2705</v>
      </c>
      <c r="AO1354" s="142" t="s">
        <v>2397</v>
      </c>
      <c r="AP1354" s="142" t="s">
        <v>2705</v>
      </c>
      <c r="AQ1354" s="142" t="s">
        <v>2397</v>
      </c>
      <c r="AR1354" s="142" t="s">
        <v>2398</v>
      </c>
      <c r="AS1354" s="142" t="s">
        <v>2705</v>
      </c>
      <c r="AT1354" s="142" t="s">
        <v>2398</v>
      </c>
      <c r="AU1354" s="142" t="s">
        <v>2705</v>
      </c>
      <c r="AV1354" s="142" t="s">
        <v>2398</v>
      </c>
      <c r="AW1354" s="142" t="s">
        <v>2705</v>
      </c>
      <c r="AX1354" s="142" t="s">
        <v>2705</v>
      </c>
      <c r="AY1354" s="142" t="s">
        <v>2705</v>
      </c>
      <c r="AZ1354" s="142" t="s">
        <v>2398</v>
      </c>
    </row>
    <row r="1355" spans="1:52" s="142" customFormat="1" ht="12.75" x14ac:dyDescent="0.2">
      <c r="A1355" s="151" t="s">
        <v>7994</v>
      </c>
      <c r="B1355" s="152" t="s">
        <v>2705</v>
      </c>
      <c r="C1355" s="152" t="s">
        <v>2675</v>
      </c>
      <c r="D1355" s="152" t="s">
        <v>2705</v>
      </c>
      <c r="E1355" s="152" t="s">
        <v>2705</v>
      </c>
      <c r="F1355" s="152" t="s">
        <v>2397</v>
      </c>
      <c r="G1355" s="152" t="s">
        <v>2705</v>
      </c>
      <c r="H1355" s="152" t="s">
        <v>2705</v>
      </c>
      <c r="I1355" s="152" t="s">
        <v>2675</v>
      </c>
      <c r="J1355" s="152" t="s">
        <v>2705</v>
      </c>
      <c r="K1355" s="152" t="s">
        <v>2705</v>
      </c>
      <c r="L1355" s="152" t="s">
        <v>1435</v>
      </c>
      <c r="M1355" s="152" t="s">
        <v>1435</v>
      </c>
      <c r="N1355" s="152" t="s">
        <v>2398</v>
      </c>
      <c r="O1355" s="152" t="s">
        <v>2705</v>
      </c>
      <c r="P1355" s="152" t="s">
        <v>2398</v>
      </c>
      <c r="Q1355" s="152" t="s">
        <v>2705</v>
      </c>
      <c r="R1355" s="152" t="s">
        <v>2705</v>
      </c>
      <c r="S1355" s="152" t="s">
        <v>2675</v>
      </c>
      <c r="T1355" s="152" t="s">
        <v>2398</v>
      </c>
      <c r="U1355" s="152" t="s">
        <v>2705</v>
      </c>
      <c r="V1355" s="142" cm="1">
        <f t="array" ref="V1355">IF(A1355&lt;&gt;"",SUM(--(B1355:U1356 = "X")*$U$3,--(B1355:U1356 ="A")*$Q$3,--(B1355:U1356 ="B")*$R$3,--(B1355:U1356 ="C")*$S$3),"")</f>
        <v>14.5</v>
      </c>
      <c r="AF1355" s="142" t="s">
        <v>7994</v>
      </c>
      <c r="AG1355" s="142" t="s">
        <v>2705</v>
      </c>
      <c r="AH1355" s="142" t="s">
        <v>2675</v>
      </c>
      <c r="AI1355" s="142" t="s">
        <v>2705</v>
      </c>
      <c r="AJ1355" s="142" t="s">
        <v>2705</v>
      </c>
      <c r="AK1355" s="142" t="s">
        <v>2397</v>
      </c>
      <c r="AL1355" s="142" t="s">
        <v>2705</v>
      </c>
      <c r="AM1355" s="142" t="s">
        <v>2705</v>
      </c>
      <c r="AN1355" s="142" t="s">
        <v>2675</v>
      </c>
      <c r="AO1355" s="142" t="s">
        <v>2705</v>
      </c>
      <c r="AP1355" s="142" t="s">
        <v>2705</v>
      </c>
      <c r="AQ1355" s="142" t="s">
        <v>1435</v>
      </c>
      <c r="AR1355" s="142" t="s">
        <v>1435</v>
      </c>
      <c r="AS1355" s="142" t="s">
        <v>2398</v>
      </c>
      <c r="AT1355" s="142" t="s">
        <v>2705</v>
      </c>
      <c r="AU1355" s="142" t="s">
        <v>2398</v>
      </c>
      <c r="AV1355" s="142" t="s">
        <v>2705</v>
      </c>
      <c r="AW1355" s="142" t="s">
        <v>2705</v>
      </c>
      <c r="AX1355" s="142" t="s">
        <v>2675</v>
      </c>
      <c r="AY1355" s="142" t="s">
        <v>2398</v>
      </c>
      <c r="AZ1355" s="142" t="s">
        <v>2705</v>
      </c>
    </row>
    <row r="1356" spans="1:52" s="142" customFormat="1" ht="12.75" x14ac:dyDescent="0.2">
      <c r="A1356" s="151"/>
      <c r="B1356" s="152" t="s">
        <v>2398</v>
      </c>
      <c r="C1356" s="152" t="s">
        <v>2675</v>
      </c>
      <c r="D1356" s="152" t="s">
        <v>2398</v>
      </c>
      <c r="E1356" s="152" t="s">
        <v>2398</v>
      </c>
      <c r="F1356" s="152" t="s">
        <v>2705</v>
      </c>
      <c r="G1356" s="152" t="s">
        <v>2705</v>
      </c>
      <c r="H1356" s="152" t="s">
        <v>2398</v>
      </c>
      <c r="I1356" s="152" t="s">
        <v>2705</v>
      </c>
      <c r="J1356" s="152" t="s">
        <v>1435</v>
      </c>
      <c r="K1356" s="152" t="s">
        <v>2705</v>
      </c>
      <c r="L1356" s="152" t="s">
        <v>2705</v>
      </c>
      <c r="M1356" s="152" t="s">
        <v>2705</v>
      </c>
      <c r="N1356" s="152" t="s">
        <v>1435</v>
      </c>
      <c r="O1356" s="152" t="s">
        <v>2398</v>
      </c>
      <c r="P1356" s="152" t="s">
        <v>1435</v>
      </c>
      <c r="Q1356" s="152" t="s">
        <v>2705</v>
      </c>
      <c r="R1356" s="152" t="s">
        <v>2398</v>
      </c>
      <c r="S1356" s="152" t="s">
        <v>2705</v>
      </c>
      <c r="T1356" s="152" t="s">
        <v>2398</v>
      </c>
      <c r="U1356" s="152" t="s">
        <v>2398</v>
      </c>
      <c r="V1356" s="142" t="str" cm="1">
        <f t="array" ref="V1356">IF(A1356&lt;&gt;"",SUM(--(B1356:U1357 = "X")*$U$3,--(B1356:U1357 ="A")*$Q$3,--(B1356:U1357 ="B")*$R$3,--(B1356:U1357 ="C")*$S$3),"")</f>
        <v/>
      </c>
      <c r="AG1356" s="142" t="s">
        <v>2398</v>
      </c>
      <c r="AH1356" s="142" t="s">
        <v>2675</v>
      </c>
      <c r="AI1356" s="142" t="s">
        <v>2398</v>
      </c>
      <c r="AJ1356" s="142" t="s">
        <v>2398</v>
      </c>
      <c r="AK1356" s="142" t="s">
        <v>2705</v>
      </c>
      <c r="AL1356" s="142" t="s">
        <v>2705</v>
      </c>
      <c r="AM1356" s="142" t="s">
        <v>2398</v>
      </c>
      <c r="AN1356" s="142" t="s">
        <v>2705</v>
      </c>
      <c r="AO1356" s="142" t="s">
        <v>1435</v>
      </c>
      <c r="AP1356" s="142" t="s">
        <v>2705</v>
      </c>
      <c r="AQ1356" s="142" t="s">
        <v>2705</v>
      </c>
      <c r="AR1356" s="142" t="s">
        <v>2705</v>
      </c>
      <c r="AS1356" s="142" t="s">
        <v>1435</v>
      </c>
      <c r="AT1356" s="142" t="s">
        <v>2398</v>
      </c>
      <c r="AU1356" s="142" t="s">
        <v>1435</v>
      </c>
      <c r="AV1356" s="142" t="s">
        <v>2705</v>
      </c>
      <c r="AW1356" s="142" t="s">
        <v>2398</v>
      </c>
      <c r="AX1356" s="142" t="s">
        <v>2705</v>
      </c>
      <c r="AY1356" s="142" t="s">
        <v>2398</v>
      </c>
      <c r="AZ1356" s="142" t="s">
        <v>2398</v>
      </c>
    </row>
    <row r="1357" spans="1:52" s="142" customFormat="1" ht="12.75" x14ac:dyDescent="0.2">
      <c r="A1357" s="151" t="s">
        <v>7995</v>
      </c>
      <c r="B1357" s="152" t="s">
        <v>2398</v>
      </c>
      <c r="C1357" s="152" t="s">
        <v>2675</v>
      </c>
      <c r="D1357" s="152" t="s">
        <v>2705</v>
      </c>
      <c r="E1357" s="152" t="s">
        <v>2705</v>
      </c>
      <c r="F1357" s="152" t="s">
        <v>1435</v>
      </c>
      <c r="G1357" s="152" t="s">
        <v>2398</v>
      </c>
      <c r="H1357" s="152" t="s">
        <v>2398</v>
      </c>
      <c r="I1357" s="152" t="s">
        <v>2705</v>
      </c>
      <c r="J1357" s="152" t="s">
        <v>1435</v>
      </c>
      <c r="K1357" s="152" t="s">
        <v>2705</v>
      </c>
      <c r="L1357" s="152" t="s">
        <v>2705</v>
      </c>
      <c r="M1357" s="152" t="s">
        <v>2705</v>
      </c>
      <c r="N1357" s="152" t="s">
        <v>2705</v>
      </c>
      <c r="O1357" s="152" t="s">
        <v>2398</v>
      </c>
      <c r="P1357" s="152" t="s">
        <v>2398</v>
      </c>
      <c r="Q1357" s="152" t="s">
        <v>2675</v>
      </c>
      <c r="R1357" s="152" t="s">
        <v>2675</v>
      </c>
      <c r="S1357" s="152" t="s">
        <v>2705</v>
      </c>
      <c r="T1357" s="152" t="s">
        <v>2675</v>
      </c>
      <c r="U1357" s="152" t="s">
        <v>2398</v>
      </c>
      <c r="V1357" s="142" cm="1">
        <f t="array" ref="V1357">IF(A1357&lt;&gt;"",SUM(--(B1357:U1358 = "X")*$U$3,--(B1357:U1358 ="A")*$Q$3,--(B1357:U1358 ="B")*$R$3,--(B1357:U1358 ="C")*$S$3),"")</f>
        <v>10</v>
      </c>
      <c r="AF1357" s="142" t="s">
        <v>7995</v>
      </c>
      <c r="AG1357" s="142" t="s">
        <v>2398</v>
      </c>
      <c r="AH1357" s="142" t="s">
        <v>2675</v>
      </c>
      <c r="AI1357" s="142" t="s">
        <v>2705</v>
      </c>
      <c r="AJ1357" s="142" t="s">
        <v>2705</v>
      </c>
      <c r="AK1357" s="142" t="s">
        <v>1435</v>
      </c>
      <c r="AL1357" s="142" t="s">
        <v>2398</v>
      </c>
      <c r="AM1357" s="142" t="s">
        <v>2398</v>
      </c>
      <c r="AN1357" s="142" t="s">
        <v>2705</v>
      </c>
      <c r="AO1357" s="142" t="s">
        <v>1435</v>
      </c>
      <c r="AP1357" s="142" t="s">
        <v>2705</v>
      </c>
      <c r="AQ1357" s="142" t="s">
        <v>2705</v>
      </c>
      <c r="AR1357" s="142" t="s">
        <v>2705</v>
      </c>
      <c r="AS1357" s="142" t="s">
        <v>2705</v>
      </c>
      <c r="AT1357" s="142" t="s">
        <v>2398</v>
      </c>
      <c r="AU1357" s="142" t="s">
        <v>2398</v>
      </c>
      <c r="AV1357" s="142" t="s">
        <v>2675</v>
      </c>
      <c r="AW1357" s="142" t="s">
        <v>2675</v>
      </c>
      <c r="AX1357" s="142" t="s">
        <v>2705</v>
      </c>
      <c r="AY1357" s="142" t="s">
        <v>2675</v>
      </c>
      <c r="AZ1357" s="142" t="s">
        <v>2398</v>
      </c>
    </row>
    <row r="1358" spans="1:52" s="142" customFormat="1" ht="12.75" x14ac:dyDescent="0.2">
      <c r="A1358" s="151"/>
      <c r="B1358" s="152" t="s">
        <v>2397</v>
      </c>
      <c r="C1358" s="152" t="s">
        <v>2675</v>
      </c>
      <c r="D1358" s="152" t="s">
        <v>2397</v>
      </c>
      <c r="E1358" s="152" t="s">
        <v>2705</v>
      </c>
      <c r="F1358" s="152" t="s">
        <v>2705</v>
      </c>
      <c r="G1358" s="152" t="s">
        <v>1435</v>
      </c>
      <c r="H1358" s="152" t="s">
        <v>2397</v>
      </c>
      <c r="I1358" s="152" t="s">
        <v>2397</v>
      </c>
      <c r="J1358" s="152" t="s">
        <v>2705</v>
      </c>
      <c r="K1358" s="152" t="s">
        <v>2705</v>
      </c>
      <c r="L1358" s="152" t="s">
        <v>2398</v>
      </c>
      <c r="M1358" s="152" t="s">
        <v>2675</v>
      </c>
      <c r="N1358" s="152" t="s">
        <v>2675</v>
      </c>
      <c r="O1358" s="152" t="s">
        <v>2705</v>
      </c>
      <c r="P1358" s="152" t="s">
        <v>1435</v>
      </c>
      <c r="Q1358" s="152" t="s">
        <v>2705</v>
      </c>
      <c r="R1358" s="152" t="s">
        <v>2398</v>
      </c>
      <c r="S1358" s="152" t="s">
        <v>2675</v>
      </c>
      <c r="T1358" s="152" t="s">
        <v>2705</v>
      </c>
      <c r="U1358" s="152" t="s">
        <v>2705</v>
      </c>
      <c r="V1358" s="142" t="str" cm="1">
        <f t="array" ref="V1358">IF(A1358&lt;&gt;"",SUM(--(B1358:U1359 = "X")*$U$3,--(B1358:U1359 ="A")*$Q$3,--(B1358:U1359 ="B")*$R$3,--(B1358:U1359 ="C")*$S$3),"")</f>
        <v/>
      </c>
      <c r="AG1358" s="142" t="s">
        <v>2397</v>
      </c>
      <c r="AH1358" s="142" t="s">
        <v>2675</v>
      </c>
      <c r="AI1358" s="142" t="s">
        <v>2397</v>
      </c>
      <c r="AJ1358" s="142" t="s">
        <v>2705</v>
      </c>
      <c r="AK1358" s="142" t="s">
        <v>2705</v>
      </c>
      <c r="AL1358" s="142" t="s">
        <v>1435</v>
      </c>
      <c r="AM1358" s="142" t="s">
        <v>2397</v>
      </c>
      <c r="AN1358" s="142" t="s">
        <v>2397</v>
      </c>
      <c r="AO1358" s="142" t="s">
        <v>2705</v>
      </c>
      <c r="AP1358" s="142" t="s">
        <v>2705</v>
      </c>
      <c r="AQ1358" s="142" t="s">
        <v>2398</v>
      </c>
      <c r="AR1358" s="142" t="s">
        <v>2675</v>
      </c>
      <c r="AS1358" s="142" t="s">
        <v>2675</v>
      </c>
      <c r="AT1358" s="142" t="s">
        <v>2705</v>
      </c>
      <c r="AU1358" s="142" t="s">
        <v>1435</v>
      </c>
      <c r="AV1358" s="142" t="s">
        <v>2705</v>
      </c>
      <c r="AW1358" s="142" t="s">
        <v>2398</v>
      </c>
      <c r="AX1358" s="142" t="s">
        <v>2675</v>
      </c>
      <c r="AY1358" s="142" t="s">
        <v>2705</v>
      </c>
      <c r="AZ1358" s="142" t="s">
        <v>2705</v>
      </c>
    </row>
    <row r="1359" spans="1:52" s="142" customFormat="1" ht="12.75" x14ac:dyDescent="0.2">
      <c r="A1359" s="151" t="s">
        <v>7996</v>
      </c>
      <c r="B1359" s="152" t="s">
        <v>2397</v>
      </c>
      <c r="C1359" s="152" t="s">
        <v>2705</v>
      </c>
      <c r="D1359" s="152" t="s">
        <v>2705</v>
      </c>
      <c r="E1359" s="152" t="s">
        <v>2705</v>
      </c>
      <c r="F1359" s="152" t="s">
        <v>2398</v>
      </c>
      <c r="G1359" s="152" t="s">
        <v>2398</v>
      </c>
      <c r="H1359" s="152" t="s">
        <v>2705</v>
      </c>
      <c r="I1359" s="152" t="s">
        <v>2675</v>
      </c>
      <c r="J1359" s="152" t="s">
        <v>2398</v>
      </c>
      <c r="K1359" s="152" t="s">
        <v>2705</v>
      </c>
      <c r="L1359" s="152" t="s">
        <v>2705</v>
      </c>
      <c r="M1359" s="152" t="s">
        <v>2398</v>
      </c>
      <c r="N1359" s="152" t="s">
        <v>2675</v>
      </c>
      <c r="O1359" s="152" t="s">
        <v>2398</v>
      </c>
      <c r="P1359" s="152" t="s">
        <v>2398</v>
      </c>
      <c r="Q1359" s="152" t="s">
        <v>1435</v>
      </c>
      <c r="R1359" s="152" t="s">
        <v>2398</v>
      </c>
      <c r="S1359" s="152" t="s">
        <v>2675</v>
      </c>
      <c r="T1359" s="152" t="s">
        <v>2398</v>
      </c>
      <c r="U1359" s="152" t="s">
        <v>2398</v>
      </c>
      <c r="V1359" s="142" cm="1">
        <f t="array" ref="V1359">IF(A1359&lt;&gt;"",SUM(--(B1359:U1360 = "X")*$U$3,--(B1359:U1360 ="A")*$Q$3,--(B1359:U1360 ="B")*$R$3,--(B1359:U1360 ="C")*$S$3),"")</f>
        <v>11</v>
      </c>
      <c r="AF1359" s="142" t="s">
        <v>7996</v>
      </c>
      <c r="AG1359" s="142" t="s">
        <v>2397</v>
      </c>
      <c r="AH1359" s="142" t="s">
        <v>2705</v>
      </c>
      <c r="AI1359" s="142" t="s">
        <v>2705</v>
      </c>
      <c r="AJ1359" s="142" t="s">
        <v>2705</v>
      </c>
      <c r="AK1359" s="142" t="s">
        <v>2398</v>
      </c>
      <c r="AL1359" s="142" t="s">
        <v>2398</v>
      </c>
      <c r="AM1359" s="142" t="s">
        <v>2705</v>
      </c>
      <c r="AN1359" s="142" t="s">
        <v>2675</v>
      </c>
      <c r="AO1359" s="142" t="s">
        <v>2398</v>
      </c>
      <c r="AP1359" s="142" t="s">
        <v>2705</v>
      </c>
      <c r="AQ1359" s="142" t="s">
        <v>2705</v>
      </c>
      <c r="AR1359" s="142" t="s">
        <v>2398</v>
      </c>
      <c r="AS1359" s="142" t="s">
        <v>2675</v>
      </c>
      <c r="AT1359" s="142" t="s">
        <v>2398</v>
      </c>
      <c r="AU1359" s="142" t="s">
        <v>2398</v>
      </c>
      <c r="AV1359" s="142" t="s">
        <v>1435</v>
      </c>
      <c r="AW1359" s="142" t="s">
        <v>2398</v>
      </c>
      <c r="AX1359" s="142" t="s">
        <v>2675</v>
      </c>
      <c r="AY1359" s="142" t="s">
        <v>2398</v>
      </c>
      <c r="AZ1359" s="142" t="s">
        <v>2398</v>
      </c>
    </row>
    <row r="1360" spans="1:52" s="142" customFormat="1" ht="12.75" x14ac:dyDescent="0.2">
      <c r="A1360" s="151"/>
      <c r="B1360" s="152" t="s">
        <v>2397</v>
      </c>
      <c r="C1360" s="152" t="s">
        <v>2398</v>
      </c>
      <c r="D1360" s="152" t="s">
        <v>1435</v>
      </c>
      <c r="E1360" s="152" t="s">
        <v>2705</v>
      </c>
      <c r="F1360" s="152" t="s">
        <v>2705</v>
      </c>
      <c r="G1360" s="152" t="s">
        <v>2675</v>
      </c>
      <c r="H1360" s="152" t="s">
        <v>2675</v>
      </c>
      <c r="I1360" s="152" t="s">
        <v>2398</v>
      </c>
      <c r="J1360" s="152" t="s">
        <v>2705</v>
      </c>
      <c r="K1360" s="152" t="s">
        <v>2398</v>
      </c>
      <c r="L1360" s="152" t="s">
        <v>2398</v>
      </c>
      <c r="M1360" s="152" t="s">
        <v>2398</v>
      </c>
      <c r="N1360" s="152" t="s">
        <v>2398</v>
      </c>
      <c r="O1360" s="152" t="s">
        <v>2705</v>
      </c>
      <c r="P1360" s="152" t="s">
        <v>2705</v>
      </c>
      <c r="Q1360" s="152" t="s">
        <v>2705</v>
      </c>
      <c r="R1360" s="152" t="s">
        <v>2705</v>
      </c>
      <c r="S1360" s="152" t="s">
        <v>2705</v>
      </c>
      <c r="T1360" s="152" t="s">
        <v>2705</v>
      </c>
      <c r="U1360" s="152" t="s">
        <v>1435</v>
      </c>
      <c r="V1360" s="142" t="str" cm="1">
        <f t="array" ref="V1360">IF(A1360&lt;&gt;"",SUM(--(B1360:U1361 = "X")*$U$3,--(B1360:U1361 ="A")*$Q$3,--(B1360:U1361 ="B")*$R$3,--(B1360:U1361 ="C")*$S$3),"")</f>
        <v/>
      </c>
      <c r="AG1360" s="142" t="s">
        <v>2397</v>
      </c>
      <c r="AH1360" s="142" t="s">
        <v>2398</v>
      </c>
      <c r="AI1360" s="142" t="s">
        <v>1435</v>
      </c>
      <c r="AJ1360" s="142" t="s">
        <v>2705</v>
      </c>
      <c r="AK1360" s="142" t="s">
        <v>2705</v>
      </c>
      <c r="AL1360" s="142" t="s">
        <v>2675</v>
      </c>
      <c r="AM1360" s="142" t="s">
        <v>2675</v>
      </c>
      <c r="AN1360" s="142" t="s">
        <v>2398</v>
      </c>
      <c r="AO1360" s="142" t="s">
        <v>2705</v>
      </c>
      <c r="AP1360" s="142" t="s">
        <v>2398</v>
      </c>
      <c r="AQ1360" s="142" t="s">
        <v>2398</v>
      </c>
      <c r="AR1360" s="142" t="s">
        <v>2398</v>
      </c>
      <c r="AS1360" s="142" t="s">
        <v>2398</v>
      </c>
      <c r="AT1360" s="142" t="s">
        <v>2705</v>
      </c>
      <c r="AU1360" s="142" t="s">
        <v>2705</v>
      </c>
      <c r="AV1360" s="142" t="s">
        <v>2705</v>
      </c>
      <c r="AW1360" s="142" t="s">
        <v>2705</v>
      </c>
      <c r="AX1360" s="142" t="s">
        <v>2705</v>
      </c>
      <c r="AY1360" s="142" t="s">
        <v>2705</v>
      </c>
      <c r="AZ1360" s="142" t="s">
        <v>1435</v>
      </c>
    </row>
    <row r="1361" spans="1:52" s="142" customFormat="1" ht="12.75" x14ac:dyDescent="0.2">
      <c r="A1361" s="151" t="s">
        <v>7997</v>
      </c>
      <c r="B1361" s="152" t="s">
        <v>2705</v>
      </c>
      <c r="C1361" s="152" t="s">
        <v>2398</v>
      </c>
      <c r="D1361" s="152" t="s">
        <v>2705</v>
      </c>
      <c r="E1361" s="152" t="s">
        <v>1435</v>
      </c>
      <c r="F1361" s="152" t="s">
        <v>2398</v>
      </c>
      <c r="G1361" s="152" t="s">
        <v>2705</v>
      </c>
      <c r="H1361" s="152" t="s">
        <v>2705</v>
      </c>
      <c r="I1361" s="152" t="s">
        <v>2675</v>
      </c>
      <c r="J1361" s="152" t="s">
        <v>2705</v>
      </c>
      <c r="K1361" s="152" t="s">
        <v>2705</v>
      </c>
      <c r="L1361" s="152" t="s">
        <v>2705</v>
      </c>
      <c r="M1361" s="152" t="s">
        <v>2705</v>
      </c>
      <c r="N1361" s="152" t="s">
        <v>2705</v>
      </c>
      <c r="O1361" s="152" t="s">
        <v>2675</v>
      </c>
      <c r="P1361" s="152" t="s">
        <v>2705</v>
      </c>
      <c r="Q1361" s="152" t="s">
        <v>2705</v>
      </c>
      <c r="R1361" s="152" t="s">
        <v>2675</v>
      </c>
      <c r="S1361" s="152" t="s">
        <v>2675</v>
      </c>
      <c r="T1361" s="152" t="s">
        <v>2705</v>
      </c>
      <c r="U1361" s="152" t="s">
        <v>2705</v>
      </c>
      <c r="V1361" s="142" cm="1">
        <f t="array" ref="V1361">IF(A1361&lt;&gt;"",SUM(--(B1361:U1362 = "X")*$U$3,--(B1361:U1362 ="A")*$Q$3,--(B1361:U1362 ="B")*$R$3,--(B1361:U1362 ="C")*$S$3),"")</f>
        <v>22.5</v>
      </c>
      <c r="AF1361" s="142" t="s">
        <v>7997</v>
      </c>
      <c r="AG1361" s="142" t="s">
        <v>2705</v>
      </c>
      <c r="AH1361" s="142" t="s">
        <v>2398</v>
      </c>
      <c r="AI1361" s="142" t="s">
        <v>2705</v>
      </c>
      <c r="AJ1361" s="142" t="s">
        <v>1435</v>
      </c>
      <c r="AK1361" s="142" t="s">
        <v>2398</v>
      </c>
      <c r="AL1361" s="142" t="s">
        <v>2705</v>
      </c>
      <c r="AM1361" s="142" t="s">
        <v>2705</v>
      </c>
      <c r="AN1361" s="142" t="s">
        <v>2675</v>
      </c>
      <c r="AO1361" s="142" t="s">
        <v>2705</v>
      </c>
      <c r="AP1361" s="142" t="s">
        <v>2705</v>
      </c>
      <c r="AQ1361" s="142" t="s">
        <v>2705</v>
      </c>
      <c r="AR1361" s="142" t="s">
        <v>2705</v>
      </c>
      <c r="AS1361" s="142" t="s">
        <v>2705</v>
      </c>
      <c r="AT1361" s="142" t="s">
        <v>2675</v>
      </c>
      <c r="AU1361" s="142" t="s">
        <v>2705</v>
      </c>
      <c r="AV1361" s="142" t="s">
        <v>2705</v>
      </c>
      <c r="AW1361" s="142" t="s">
        <v>2675</v>
      </c>
      <c r="AX1361" s="142" t="s">
        <v>2675</v>
      </c>
      <c r="AY1361" s="142" t="s">
        <v>2705</v>
      </c>
      <c r="AZ1361" s="142" t="s">
        <v>2705</v>
      </c>
    </row>
    <row r="1362" spans="1:52" s="142" customFormat="1" ht="12.75" x14ac:dyDescent="0.2">
      <c r="A1362" s="151"/>
      <c r="B1362" s="152" t="s">
        <v>2398</v>
      </c>
      <c r="C1362" s="152" t="s">
        <v>2705</v>
      </c>
      <c r="D1362" s="152" t="s">
        <v>2397</v>
      </c>
      <c r="E1362" s="152" t="s">
        <v>2705</v>
      </c>
      <c r="F1362" s="152" t="s">
        <v>2705</v>
      </c>
      <c r="G1362" s="152" t="s">
        <v>2705</v>
      </c>
      <c r="H1362" s="152" t="s">
        <v>2398</v>
      </c>
      <c r="I1362" s="152" t="s">
        <v>2398</v>
      </c>
      <c r="J1362" s="152" t="s">
        <v>2705</v>
      </c>
      <c r="K1362" s="152" t="s">
        <v>2398</v>
      </c>
      <c r="L1362" s="152" t="s">
        <v>2705</v>
      </c>
      <c r="M1362" s="152" t="s">
        <v>2705</v>
      </c>
      <c r="N1362" s="152" t="s">
        <v>2705</v>
      </c>
      <c r="O1362" s="152" t="s">
        <v>2705</v>
      </c>
      <c r="P1362" s="152" t="s">
        <v>2398</v>
      </c>
      <c r="Q1362" s="152" t="s">
        <v>2398</v>
      </c>
      <c r="R1362" s="152" t="s">
        <v>2398</v>
      </c>
      <c r="S1362" s="152" t="s">
        <v>2705</v>
      </c>
      <c r="T1362" s="152" t="s">
        <v>2705</v>
      </c>
      <c r="U1362" s="152" t="s">
        <v>2705</v>
      </c>
      <c r="V1362" s="142" t="str" cm="1">
        <f t="array" ref="V1362">IF(A1362&lt;&gt;"",SUM(--(B1362:U1363 = "X")*$U$3,--(B1362:U1363 ="A")*$Q$3,--(B1362:U1363 ="B")*$R$3,--(B1362:U1363 ="C")*$S$3),"")</f>
        <v/>
      </c>
      <c r="AG1362" s="142" t="s">
        <v>2398</v>
      </c>
      <c r="AH1362" s="142" t="s">
        <v>2705</v>
      </c>
      <c r="AI1362" s="142" t="s">
        <v>2397</v>
      </c>
      <c r="AJ1362" s="142" t="s">
        <v>2705</v>
      </c>
      <c r="AK1362" s="142" t="s">
        <v>2705</v>
      </c>
      <c r="AL1362" s="142" t="s">
        <v>2705</v>
      </c>
      <c r="AM1362" s="142" t="s">
        <v>2398</v>
      </c>
      <c r="AN1362" s="142" t="s">
        <v>2398</v>
      </c>
      <c r="AO1362" s="142" t="s">
        <v>2705</v>
      </c>
      <c r="AP1362" s="142" t="s">
        <v>2398</v>
      </c>
      <c r="AQ1362" s="142" t="s">
        <v>2705</v>
      </c>
      <c r="AR1362" s="142" t="s">
        <v>2705</v>
      </c>
      <c r="AS1362" s="142" t="s">
        <v>2705</v>
      </c>
      <c r="AT1362" s="142" t="s">
        <v>2705</v>
      </c>
      <c r="AU1362" s="142" t="s">
        <v>2398</v>
      </c>
      <c r="AV1362" s="142" t="s">
        <v>2398</v>
      </c>
      <c r="AW1362" s="142" t="s">
        <v>2398</v>
      </c>
      <c r="AX1362" s="142" t="s">
        <v>2705</v>
      </c>
      <c r="AY1362" s="142" t="s">
        <v>2705</v>
      </c>
      <c r="AZ1362" s="142" t="s">
        <v>2705</v>
      </c>
    </row>
    <row r="1363" spans="1:52" s="142" customFormat="1" ht="12.75" x14ac:dyDescent="0.2">
      <c r="A1363" s="151" t="s">
        <v>7998</v>
      </c>
      <c r="B1363" s="152" t="s">
        <v>1435</v>
      </c>
      <c r="C1363" s="152" t="s">
        <v>2398</v>
      </c>
      <c r="D1363" s="152" t="s">
        <v>2705</v>
      </c>
      <c r="E1363" s="152" t="s">
        <v>2398</v>
      </c>
      <c r="F1363" s="152" t="s">
        <v>2397</v>
      </c>
      <c r="G1363" s="152" t="s">
        <v>2398</v>
      </c>
      <c r="H1363" s="152" t="s">
        <v>2398</v>
      </c>
      <c r="I1363" s="152" t="s">
        <v>2398</v>
      </c>
      <c r="J1363" s="152" t="s">
        <v>2705</v>
      </c>
      <c r="K1363" s="152" t="s">
        <v>2398</v>
      </c>
      <c r="L1363" s="152" t="s">
        <v>2675</v>
      </c>
      <c r="M1363" s="152" t="s">
        <v>1435</v>
      </c>
      <c r="N1363" s="152" t="s">
        <v>2705</v>
      </c>
      <c r="O1363" s="152" t="s">
        <v>2705</v>
      </c>
      <c r="P1363" s="152" t="s">
        <v>2398</v>
      </c>
      <c r="Q1363" s="152" t="s">
        <v>2398</v>
      </c>
      <c r="R1363" s="152" t="s">
        <v>2397</v>
      </c>
      <c r="S1363" s="152" t="s">
        <v>2705</v>
      </c>
      <c r="T1363" s="152" t="s">
        <v>2705</v>
      </c>
      <c r="U1363" s="152" t="s">
        <v>2705</v>
      </c>
      <c r="V1363" s="142" cm="1">
        <f t="array" ref="V1363">IF(A1363&lt;&gt;"",SUM(--(B1363:U1364 = "X")*$U$3,--(B1363:U1364 ="A")*$Q$3,--(B1363:U1364 ="B")*$R$3,--(B1363:U1364 ="C")*$S$3),"")</f>
        <v>9</v>
      </c>
      <c r="AF1363" s="142" t="s">
        <v>7998</v>
      </c>
      <c r="AG1363" s="142" t="s">
        <v>1435</v>
      </c>
      <c r="AH1363" s="142" t="s">
        <v>2398</v>
      </c>
      <c r="AI1363" s="142" t="s">
        <v>2705</v>
      </c>
      <c r="AJ1363" s="142" t="s">
        <v>2398</v>
      </c>
      <c r="AK1363" s="142" t="s">
        <v>2397</v>
      </c>
      <c r="AL1363" s="142" t="s">
        <v>2398</v>
      </c>
      <c r="AM1363" s="142" t="s">
        <v>2398</v>
      </c>
      <c r="AN1363" s="142" t="s">
        <v>2398</v>
      </c>
      <c r="AO1363" s="142" t="s">
        <v>2705</v>
      </c>
      <c r="AP1363" s="142" t="s">
        <v>2398</v>
      </c>
      <c r="AQ1363" s="142" t="s">
        <v>2675</v>
      </c>
      <c r="AR1363" s="142" t="s">
        <v>1435</v>
      </c>
      <c r="AS1363" s="142" t="s">
        <v>2705</v>
      </c>
      <c r="AT1363" s="142" t="s">
        <v>2705</v>
      </c>
      <c r="AU1363" s="142" t="s">
        <v>2398</v>
      </c>
      <c r="AV1363" s="142" t="s">
        <v>2398</v>
      </c>
      <c r="AW1363" s="142" t="s">
        <v>2397</v>
      </c>
      <c r="AX1363" s="142" t="s">
        <v>2705</v>
      </c>
      <c r="AY1363" s="142" t="s">
        <v>2705</v>
      </c>
      <c r="AZ1363" s="142" t="s">
        <v>2705</v>
      </c>
    </row>
    <row r="1364" spans="1:52" s="142" customFormat="1" ht="12.75" x14ac:dyDescent="0.2">
      <c r="A1364" s="151"/>
      <c r="B1364" s="152" t="s">
        <v>2397</v>
      </c>
      <c r="C1364" s="152" t="s">
        <v>2397</v>
      </c>
      <c r="D1364" s="152" t="s">
        <v>1435</v>
      </c>
      <c r="E1364" s="152" t="s">
        <v>2675</v>
      </c>
      <c r="F1364" s="152" t="s">
        <v>2705</v>
      </c>
      <c r="G1364" s="152" t="s">
        <v>2705</v>
      </c>
      <c r="H1364" s="152" t="s">
        <v>2705</v>
      </c>
      <c r="I1364" s="152" t="s">
        <v>2705</v>
      </c>
      <c r="J1364" s="152" t="s">
        <v>2675</v>
      </c>
      <c r="K1364" s="152" t="s">
        <v>2398</v>
      </c>
      <c r="L1364" s="152" t="s">
        <v>2675</v>
      </c>
      <c r="M1364" s="152" t="s">
        <v>2397</v>
      </c>
      <c r="N1364" s="152" t="s">
        <v>2398</v>
      </c>
      <c r="O1364" s="152" t="s">
        <v>2398</v>
      </c>
      <c r="P1364" s="152" t="s">
        <v>2705</v>
      </c>
      <c r="Q1364" s="152" t="s">
        <v>2398</v>
      </c>
      <c r="R1364" s="152" t="s">
        <v>1435</v>
      </c>
      <c r="S1364" s="152" t="s">
        <v>2398</v>
      </c>
      <c r="T1364" s="152" t="s">
        <v>2705</v>
      </c>
      <c r="U1364" s="152" t="s">
        <v>2398</v>
      </c>
      <c r="V1364" s="142" t="str" cm="1">
        <f t="array" ref="V1364">IF(A1364&lt;&gt;"",SUM(--(B1364:U1365 = "X")*$U$3,--(B1364:U1365 ="A")*$Q$3,--(B1364:U1365 ="B")*$R$3,--(B1364:U1365 ="C")*$S$3),"")</f>
        <v/>
      </c>
      <c r="AG1364" s="142" t="s">
        <v>2397</v>
      </c>
      <c r="AH1364" s="142" t="s">
        <v>2397</v>
      </c>
      <c r="AI1364" s="142" t="s">
        <v>1435</v>
      </c>
      <c r="AJ1364" s="142" t="s">
        <v>2675</v>
      </c>
      <c r="AK1364" s="142" t="s">
        <v>2705</v>
      </c>
      <c r="AL1364" s="142" t="s">
        <v>2705</v>
      </c>
      <c r="AM1364" s="142" t="s">
        <v>2705</v>
      </c>
      <c r="AN1364" s="142" t="s">
        <v>2705</v>
      </c>
      <c r="AO1364" s="142" t="s">
        <v>2675</v>
      </c>
      <c r="AP1364" s="142" t="s">
        <v>2398</v>
      </c>
      <c r="AQ1364" s="142" t="s">
        <v>2675</v>
      </c>
      <c r="AR1364" s="142" t="s">
        <v>2397</v>
      </c>
      <c r="AS1364" s="142" t="s">
        <v>2398</v>
      </c>
      <c r="AT1364" s="142" t="s">
        <v>2398</v>
      </c>
      <c r="AU1364" s="142" t="s">
        <v>2705</v>
      </c>
      <c r="AV1364" s="142" t="s">
        <v>2398</v>
      </c>
      <c r="AW1364" s="142" t="s">
        <v>1435</v>
      </c>
      <c r="AX1364" s="142" t="s">
        <v>2398</v>
      </c>
      <c r="AY1364" s="142" t="s">
        <v>2705</v>
      </c>
      <c r="AZ1364" s="142" t="s">
        <v>2398</v>
      </c>
    </row>
    <row r="1365" spans="1:52" s="142" customFormat="1" ht="12.75" x14ac:dyDescent="0.2">
      <c r="A1365" s="151" t="s">
        <v>7999</v>
      </c>
      <c r="B1365" s="152" t="s">
        <v>2705</v>
      </c>
      <c r="C1365" s="152" t="s">
        <v>2705</v>
      </c>
      <c r="D1365" s="152" t="s">
        <v>2675</v>
      </c>
      <c r="E1365" s="152" t="s">
        <v>2675</v>
      </c>
      <c r="F1365" s="152" t="s">
        <v>1435</v>
      </c>
      <c r="G1365" s="152" t="s">
        <v>2705</v>
      </c>
      <c r="H1365" s="152" t="s">
        <v>2397</v>
      </c>
      <c r="I1365" s="152" t="s">
        <v>2705</v>
      </c>
      <c r="J1365" s="152" t="s">
        <v>2675</v>
      </c>
      <c r="K1365" s="152" t="s">
        <v>2398</v>
      </c>
      <c r="L1365" s="152" t="s">
        <v>2705</v>
      </c>
      <c r="M1365" s="152" t="s">
        <v>2398</v>
      </c>
      <c r="N1365" s="152" t="s">
        <v>1435</v>
      </c>
      <c r="O1365" s="152" t="s">
        <v>2398</v>
      </c>
      <c r="P1365" s="152" t="s">
        <v>2398</v>
      </c>
      <c r="Q1365" s="152" t="s">
        <v>2705</v>
      </c>
      <c r="R1365" s="152" t="s">
        <v>2675</v>
      </c>
      <c r="S1365" s="152" t="s">
        <v>2398</v>
      </c>
      <c r="T1365" s="152" t="s">
        <v>2705</v>
      </c>
      <c r="U1365" s="152" t="s">
        <v>2675</v>
      </c>
      <c r="V1365" s="142" cm="1">
        <f t="array" ref="V1365">IF(A1365&lt;&gt;"",SUM(--(B1365:U1366 = "X")*$U$3,--(B1365:U1366 ="A")*$Q$3,--(B1365:U1366 ="B")*$R$3,--(B1365:U1366 ="C")*$S$3),"")</f>
        <v>11</v>
      </c>
      <c r="AF1365" s="142" t="s">
        <v>7999</v>
      </c>
      <c r="AG1365" s="142" t="s">
        <v>2705</v>
      </c>
      <c r="AH1365" s="142" t="s">
        <v>2705</v>
      </c>
      <c r="AI1365" s="142" t="s">
        <v>2675</v>
      </c>
      <c r="AJ1365" s="142" t="s">
        <v>2675</v>
      </c>
      <c r="AK1365" s="142" t="s">
        <v>1435</v>
      </c>
      <c r="AL1365" s="142" t="s">
        <v>2705</v>
      </c>
      <c r="AM1365" s="142" t="s">
        <v>2397</v>
      </c>
      <c r="AN1365" s="142" t="s">
        <v>2705</v>
      </c>
      <c r="AO1365" s="142" t="s">
        <v>2675</v>
      </c>
      <c r="AP1365" s="142" t="s">
        <v>2398</v>
      </c>
      <c r="AQ1365" s="142" t="s">
        <v>2705</v>
      </c>
      <c r="AR1365" s="142" t="s">
        <v>2398</v>
      </c>
      <c r="AS1365" s="142" t="s">
        <v>1435</v>
      </c>
      <c r="AT1365" s="142" t="s">
        <v>2398</v>
      </c>
      <c r="AU1365" s="142" t="s">
        <v>2398</v>
      </c>
      <c r="AV1365" s="142" t="s">
        <v>2705</v>
      </c>
      <c r="AW1365" s="142" t="s">
        <v>2675</v>
      </c>
      <c r="AX1365" s="142" t="s">
        <v>2398</v>
      </c>
      <c r="AY1365" s="142" t="s">
        <v>2705</v>
      </c>
      <c r="AZ1365" s="142" t="s">
        <v>2675</v>
      </c>
    </row>
    <row r="1366" spans="1:52" s="142" customFormat="1" ht="12.75" x14ac:dyDescent="0.2">
      <c r="A1366" s="151"/>
      <c r="B1366" s="152" t="s">
        <v>2705</v>
      </c>
      <c r="C1366" s="152" t="s">
        <v>2705</v>
      </c>
      <c r="D1366" s="152" t="s">
        <v>2705</v>
      </c>
      <c r="E1366" s="152" t="s">
        <v>2675</v>
      </c>
      <c r="F1366" s="152" t="s">
        <v>2705</v>
      </c>
      <c r="G1366" s="152" t="s">
        <v>1435</v>
      </c>
      <c r="H1366" s="152" t="s">
        <v>2675</v>
      </c>
      <c r="I1366" s="152" t="s">
        <v>2705</v>
      </c>
      <c r="J1366" s="152" t="s">
        <v>2705</v>
      </c>
      <c r="K1366" s="152" t="s">
        <v>2398</v>
      </c>
      <c r="L1366" s="152" t="s">
        <v>2705</v>
      </c>
      <c r="M1366" s="152" t="s">
        <v>2398</v>
      </c>
      <c r="N1366" s="152" t="s">
        <v>2705</v>
      </c>
      <c r="O1366" s="152" t="s">
        <v>2705</v>
      </c>
      <c r="P1366" s="152" t="s">
        <v>2398</v>
      </c>
      <c r="Q1366" s="152" t="s">
        <v>1435</v>
      </c>
      <c r="R1366" s="152" t="s">
        <v>2398</v>
      </c>
      <c r="S1366" s="152" t="s">
        <v>2398</v>
      </c>
      <c r="T1366" s="152" t="s">
        <v>2705</v>
      </c>
      <c r="U1366" s="152" t="s">
        <v>1435</v>
      </c>
      <c r="V1366" s="142" t="str" cm="1">
        <f t="array" ref="V1366">IF(A1366&lt;&gt;"",SUM(--(B1366:U1367 = "X")*$U$3,--(B1366:U1367 ="A")*$Q$3,--(B1366:U1367 ="B")*$R$3,--(B1366:U1367 ="C")*$S$3),"")</f>
        <v/>
      </c>
      <c r="AG1366" s="142" t="s">
        <v>2705</v>
      </c>
      <c r="AH1366" s="142" t="s">
        <v>2705</v>
      </c>
      <c r="AI1366" s="142" t="s">
        <v>2705</v>
      </c>
      <c r="AJ1366" s="142" t="s">
        <v>2675</v>
      </c>
      <c r="AK1366" s="142" t="s">
        <v>2705</v>
      </c>
      <c r="AL1366" s="142" t="s">
        <v>1435</v>
      </c>
      <c r="AM1366" s="142" t="s">
        <v>2675</v>
      </c>
      <c r="AN1366" s="142" t="s">
        <v>2705</v>
      </c>
      <c r="AO1366" s="142" t="s">
        <v>2705</v>
      </c>
      <c r="AP1366" s="142" t="s">
        <v>2398</v>
      </c>
      <c r="AQ1366" s="142" t="s">
        <v>2705</v>
      </c>
      <c r="AR1366" s="142" t="s">
        <v>2398</v>
      </c>
      <c r="AS1366" s="142" t="s">
        <v>2705</v>
      </c>
      <c r="AT1366" s="142" t="s">
        <v>2705</v>
      </c>
      <c r="AU1366" s="142" t="s">
        <v>2398</v>
      </c>
      <c r="AV1366" s="142" t="s">
        <v>1435</v>
      </c>
      <c r="AW1366" s="142" t="s">
        <v>2398</v>
      </c>
      <c r="AX1366" s="142" t="s">
        <v>2398</v>
      </c>
      <c r="AY1366" s="142" t="s">
        <v>2705</v>
      </c>
      <c r="AZ1366" s="142" t="s">
        <v>1435</v>
      </c>
    </row>
    <row r="1367" spans="1:52" s="142" customFormat="1" ht="12.75" x14ac:dyDescent="0.2">
      <c r="A1367" s="151" t="s">
        <v>8000</v>
      </c>
      <c r="B1367" s="152" t="s">
        <v>2398</v>
      </c>
      <c r="C1367" s="152" t="s">
        <v>2705</v>
      </c>
      <c r="D1367" s="152" t="s">
        <v>2397</v>
      </c>
      <c r="E1367" s="152" t="s">
        <v>2705</v>
      </c>
      <c r="F1367" s="152" t="s">
        <v>1435</v>
      </c>
      <c r="G1367" s="152" t="s">
        <v>2705</v>
      </c>
      <c r="H1367" s="152" t="s">
        <v>2705</v>
      </c>
      <c r="I1367" s="152" t="s">
        <v>2705</v>
      </c>
      <c r="J1367" s="152" t="s">
        <v>2675</v>
      </c>
      <c r="K1367" s="152" t="s">
        <v>2705</v>
      </c>
      <c r="L1367" s="152" t="s">
        <v>2398</v>
      </c>
      <c r="M1367" s="152" t="s">
        <v>2705</v>
      </c>
      <c r="N1367" s="152" t="s">
        <v>2705</v>
      </c>
      <c r="O1367" s="152" t="s">
        <v>2398</v>
      </c>
      <c r="P1367" s="152" t="s">
        <v>2675</v>
      </c>
      <c r="Q1367" s="152" t="s">
        <v>2398</v>
      </c>
      <c r="R1367" s="152" t="s">
        <v>2705</v>
      </c>
      <c r="S1367" s="152" t="s">
        <v>2398</v>
      </c>
      <c r="T1367" s="152" t="s">
        <v>2675</v>
      </c>
      <c r="U1367" s="152" t="s">
        <v>2675</v>
      </c>
      <c r="V1367" s="142" cm="1">
        <f t="array" ref="V1367">IF(A1367&lt;&gt;"",SUM(--(B1367:U1368 = "X")*$U$3,--(B1367:U1368 ="A")*$Q$3,--(B1367:U1368 ="B")*$R$3,--(B1367:U1368 ="C")*$S$3),"")</f>
        <v>14.5</v>
      </c>
      <c r="AF1367" s="142" t="s">
        <v>8000</v>
      </c>
      <c r="AG1367" s="142" t="s">
        <v>2398</v>
      </c>
      <c r="AH1367" s="142" t="s">
        <v>2705</v>
      </c>
      <c r="AI1367" s="142" t="s">
        <v>2397</v>
      </c>
      <c r="AJ1367" s="142" t="s">
        <v>2705</v>
      </c>
      <c r="AK1367" s="142" t="s">
        <v>1435</v>
      </c>
      <c r="AL1367" s="142" t="s">
        <v>2705</v>
      </c>
      <c r="AM1367" s="142" t="s">
        <v>2705</v>
      </c>
      <c r="AN1367" s="142" t="s">
        <v>2705</v>
      </c>
      <c r="AO1367" s="142" t="s">
        <v>2675</v>
      </c>
      <c r="AP1367" s="142" t="s">
        <v>2705</v>
      </c>
      <c r="AQ1367" s="142" t="s">
        <v>2398</v>
      </c>
      <c r="AR1367" s="142" t="s">
        <v>2705</v>
      </c>
      <c r="AS1367" s="142" t="s">
        <v>2705</v>
      </c>
      <c r="AT1367" s="142" t="s">
        <v>2398</v>
      </c>
      <c r="AU1367" s="142" t="s">
        <v>2675</v>
      </c>
      <c r="AV1367" s="142" t="s">
        <v>2398</v>
      </c>
      <c r="AW1367" s="142" t="s">
        <v>2705</v>
      </c>
      <c r="AX1367" s="142" t="s">
        <v>2398</v>
      </c>
      <c r="AY1367" s="142" t="s">
        <v>2675</v>
      </c>
      <c r="AZ1367" s="142" t="s">
        <v>2675</v>
      </c>
    </row>
    <row r="1368" spans="1:52" s="142" customFormat="1" ht="12.75" x14ac:dyDescent="0.2">
      <c r="A1368" s="151"/>
      <c r="B1368" s="152" t="s">
        <v>2705</v>
      </c>
      <c r="C1368" s="152" t="s">
        <v>1435</v>
      </c>
      <c r="D1368" s="152" t="s">
        <v>2705</v>
      </c>
      <c r="E1368" s="152" t="s">
        <v>2398</v>
      </c>
      <c r="F1368" s="152" t="s">
        <v>2705</v>
      </c>
      <c r="G1368" s="152" t="s">
        <v>2398</v>
      </c>
      <c r="H1368" s="152" t="s">
        <v>2398</v>
      </c>
      <c r="I1368" s="152" t="s">
        <v>2705</v>
      </c>
      <c r="J1368" s="152" t="s">
        <v>2705</v>
      </c>
      <c r="K1368" s="152" t="s">
        <v>2705</v>
      </c>
      <c r="L1368" s="152" t="s">
        <v>2398</v>
      </c>
      <c r="M1368" s="152" t="s">
        <v>2705</v>
      </c>
      <c r="N1368" s="152" t="s">
        <v>2675</v>
      </c>
      <c r="O1368" s="152" t="s">
        <v>2398</v>
      </c>
      <c r="P1368" s="152" t="s">
        <v>2398</v>
      </c>
      <c r="Q1368" s="152" t="s">
        <v>2705</v>
      </c>
      <c r="R1368" s="152" t="s">
        <v>2398</v>
      </c>
      <c r="S1368" s="152" t="s">
        <v>2398</v>
      </c>
      <c r="T1368" s="152" t="s">
        <v>2705</v>
      </c>
      <c r="U1368" s="152" t="s">
        <v>2398</v>
      </c>
      <c r="V1368" s="142" t="str" cm="1">
        <f t="array" ref="V1368">IF(A1368&lt;&gt;"",SUM(--(B1368:U1369 = "X")*$U$3,--(B1368:U1369 ="A")*$Q$3,--(B1368:U1369 ="B")*$R$3,--(B1368:U1369 ="C")*$S$3),"")</f>
        <v/>
      </c>
      <c r="AG1368" s="142" t="s">
        <v>2705</v>
      </c>
      <c r="AH1368" s="142" t="s">
        <v>1435</v>
      </c>
      <c r="AI1368" s="142" t="s">
        <v>2705</v>
      </c>
      <c r="AJ1368" s="142" t="s">
        <v>2398</v>
      </c>
      <c r="AK1368" s="142" t="s">
        <v>2705</v>
      </c>
      <c r="AL1368" s="142" t="s">
        <v>2398</v>
      </c>
      <c r="AM1368" s="142" t="s">
        <v>2398</v>
      </c>
      <c r="AN1368" s="142" t="s">
        <v>2705</v>
      </c>
      <c r="AO1368" s="142" t="s">
        <v>2705</v>
      </c>
      <c r="AP1368" s="142" t="s">
        <v>2705</v>
      </c>
      <c r="AQ1368" s="142" t="s">
        <v>2398</v>
      </c>
      <c r="AR1368" s="142" t="s">
        <v>2705</v>
      </c>
      <c r="AS1368" s="142" t="s">
        <v>2675</v>
      </c>
      <c r="AT1368" s="142" t="s">
        <v>2398</v>
      </c>
      <c r="AU1368" s="142" t="s">
        <v>2398</v>
      </c>
      <c r="AV1368" s="142" t="s">
        <v>2705</v>
      </c>
      <c r="AW1368" s="142" t="s">
        <v>2398</v>
      </c>
      <c r="AX1368" s="142" t="s">
        <v>2398</v>
      </c>
      <c r="AY1368" s="142" t="s">
        <v>2705</v>
      </c>
      <c r="AZ1368" s="142" t="s">
        <v>2398</v>
      </c>
    </row>
    <row r="1369" spans="1:52" s="142" customFormat="1" ht="12.75" x14ac:dyDescent="0.2">
      <c r="A1369" s="151" t="s">
        <v>8001</v>
      </c>
      <c r="B1369" s="152" t="s">
        <v>2705</v>
      </c>
      <c r="C1369" s="152" t="s">
        <v>2398</v>
      </c>
      <c r="D1369" s="152" t="s">
        <v>2705</v>
      </c>
      <c r="E1369" s="152" t="s">
        <v>1435</v>
      </c>
      <c r="F1369" s="152" t="s">
        <v>2398</v>
      </c>
      <c r="G1369" s="152" t="s">
        <v>1435</v>
      </c>
      <c r="H1369" s="152" t="s">
        <v>2397</v>
      </c>
      <c r="I1369" s="152" t="s">
        <v>2398</v>
      </c>
      <c r="J1369" s="152" t="s">
        <v>2705</v>
      </c>
      <c r="K1369" s="152" t="s">
        <v>1435</v>
      </c>
      <c r="L1369" s="152" t="s">
        <v>2705</v>
      </c>
      <c r="M1369" s="152" t="s">
        <v>2705</v>
      </c>
      <c r="N1369" s="152" t="s">
        <v>2705</v>
      </c>
      <c r="O1369" s="152" t="s">
        <v>2705</v>
      </c>
      <c r="P1369" s="152" t="s">
        <v>2398</v>
      </c>
      <c r="Q1369" s="152" t="s">
        <v>1435</v>
      </c>
      <c r="R1369" s="152" t="s">
        <v>2675</v>
      </c>
      <c r="S1369" s="152" t="s">
        <v>2398</v>
      </c>
      <c r="T1369" s="152" t="s">
        <v>2705</v>
      </c>
      <c r="U1369" s="152" t="s">
        <v>2675</v>
      </c>
      <c r="V1369" s="142" cm="1">
        <f t="array" ref="V1369">IF(A1369&lt;&gt;"",SUM(--(B1369:U1370 = "X")*$U$3,--(B1369:U1370 ="A")*$Q$3,--(B1369:U1370 ="B")*$R$3,--(B1369:U1370 ="C")*$S$3),"")</f>
        <v>10</v>
      </c>
      <c r="AF1369" s="142" t="s">
        <v>8001</v>
      </c>
      <c r="AG1369" s="142" t="s">
        <v>2705</v>
      </c>
      <c r="AH1369" s="142" t="s">
        <v>2398</v>
      </c>
      <c r="AI1369" s="142" t="s">
        <v>2705</v>
      </c>
      <c r="AJ1369" s="142" t="s">
        <v>1435</v>
      </c>
      <c r="AK1369" s="142" t="s">
        <v>2398</v>
      </c>
      <c r="AL1369" s="142" t="s">
        <v>1435</v>
      </c>
      <c r="AM1369" s="142" t="s">
        <v>2397</v>
      </c>
      <c r="AN1369" s="142" t="s">
        <v>2398</v>
      </c>
      <c r="AO1369" s="142" t="s">
        <v>2705</v>
      </c>
      <c r="AP1369" s="142" t="s">
        <v>1435</v>
      </c>
      <c r="AQ1369" s="142" t="s">
        <v>2705</v>
      </c>
      <c r="AR1369" s="142" t="s">
        <v>2705</v>
      </c>
      <c r="AS1369" s="142" t="s">
        <v>2705</v>
      </c>
      <c r="AT1369" s="142" t="s">
        <v>2705</v>
      </c>
      <c r="AU1369" s="142" t="s">
        <v>2398</v>
      </c>
      <c r="AV1369" s="142" t="s">
        <v>1435</v>
      </c>
      <c r="AW1369" s="142" t="s">
        <v>2675</v>
      </c>
      <c r="AX1369" s="142" t="s">
        <v>2398</v>
      </c>
      <c r="AY1369" s="142" t="s">
        <v>2705</v>
      </c>
      <c r="AZ1369" s="142" t="s">
        <v>2675</v>
      </c>
    </row>
    <row r="1370" spans="1:52" s="142" customFormat="1" ht="12.75" x14ac:dyDescent="0.2">
      <c r="A1370" s="151"/>
      <c r="B1370" s="152" t="s">
        <v>2398</v>
      </c>
      <c r="C1370" s="152" t="s">
        <v>2705</v>
      </c>
      <c r="D1370" s="152" t="s">
        <v>2705</v>
      </c>
      <c r="E1370" s="152" t="s">
        <v>2398</v>
      </c>
      <c r="F1370" s="152" t="s">
        <v>2398</v>
      </c>
      <c r="G1370" s="152" t="s">
        <v>2398</v>
      </c>
      <c r="H1370" s="152" t="s">
        <v>2675</v>
      </c>
      <c r="I1370" s="152" t="s">
        <v>2705</v>
      </c>
      <c r="J1370" s="152" t="s">
        <v>2675</v>
      </c>
      <c r="K1370" s="152" t="s">
        <v>2705</v>
      </c>
      <c r="L1370" s="152" t="s">
        <v>2398</v>
      </c>
      <c r="M1370" s="152" t="s">
        <v>2398</v>
      </c>
      <c r="N1370" s="152" t="s">
        <v>2398</v>
      </c>
      <c r="O1370" s="152" t="s">
        <v>2705</v>
      </c>
      <c r="P1370" s="152" t="s">
        <v>2705</v>
      </c>
      <c r="Q1370" s="152" t="s">
        <v>2398</v>
      </c>
      <c r="R1370" s="152" t="s">
        <v>2398</v>
      </c>
      <c r="S1370" s="152" t="s">
        <v>2398</v>
      </c>
      <c r="T1370" s="152" t="s">
        <v>2398</v>
      </c>
      <c r="U1370" s="152" t="s">
        <v>2398</v>
      </c>
      <c r="V1370" s="142" t="str" cm="1">
        <f t="array" ref="V1370">IF(A1370&lt;&gt;"",SUM(--(B1370:U1371 = "X")*$U$3,--(B1370:U1371 ="A")*$Q$3,--(B1370:U1371 ="B")*$R$3,--(B1370:U1371 ="C")*$S$3),"")</f>
        <v/>
      </c>
      <c r="AG1370" s="142" t="s">
        <v>2398</v>
      </c>
      <c r="AH1370" s="142" t="s">
        <v>2705</v>
      </c>
      <c r="AI1370" s="142" t="s">
        <v>2705</v>
      </c>
      <c r="AJ1370" s="142" t="s">
        <v>2398</v>
      </c>
      <c r="AK1370" s="142" t="s">
        <v>2398</v>
      </c>
      <c r="AL1370" s="142" t="s">
        <v>2398</v>
      </c>
      <c r="AM1370" s="142" t="s">
        <v>2675</v>
      </c>
      <c r="AN1370" s="142" t="s">
        <v>2705</v>
      </c>
      <c r="AO1370" s="142" t="s">
        <v>2675</v>
      </c>
      <c r="AP1370" s="142" t="s">
        <v>2705</v>
      </c>
      <c r="AQ1370" s="142" t="s">
        <v>2398</v>
      </c>
      <c r="AR1370" s="142" t="s">
        <v>2398</v>
      </c>
      <c r="AS1370" s="142" t="s">
        <v>2398</v>
      </c>
      <c r="AT1370" s="142" t="s">
        <v>2705</v>
      </c>
      <c r="AU1370" s="142" t="s">
        <v>2705</v>
      </c>
      <c r="AV1370" s="142" t="s">
        <v>2398</v>
      </c>
      <c r="AW1370" s="142" t="s">
        <v>2398</v>
      </c>
      <c r="AX1370" s="142" t="s">
        <v>2398</v>
      </c>
      <c r="AY1370" s="142" t="s">
        <v>2398</v>
      </c>
      <c r="AZ1370" s="142" t="s">
        <v>2398</v>
      </c>
    </row>
    <row r="1371" spans="1:52" s="142" customFormat="1" ht="12.75" x14ac:dyDescent="0.2">
      <c r="A1371" s="151" t="s">
        <v>8002</v>
      </c>
      <c r="B1371" s="152" t="s">
        <v>2705</v>
      </c>
      <c r="C1371" s="152" t="s">
        <v>1435</v>
      </c>
      <c r="D1371" s="152" t="s">
        <v>2705</v>
      </c>
      <c r="E1371" s="152" t="s">
        <v>2398</v>
      </c>
      <c r="F1371" s="152" t="s">
        <v>2398</v>
      </c>
      <c r="G1371" s="152" t="s">
        <v>1435</v>
      </c>
      <c r="H1371" s="152" t="s">
        <v>2398</v>
      </c>
      <c r="I1371" s="152" t="s">
        <v>2705</v>
      </c>
      <c r="J1371" s="152" t="s">
        <v>2398</v>
      </c>
      <c r="K1371" s="152" t="s">
        <v>2398</v>
      </c>
      <c r="L1371" s="152" t="s">
        <v>2675</v>
      </c>
      <c r="M1371" s="152" t="s">
        <v>2705</v>
      </c>
      <c r="N1371" s="152" t="s">
        <v>2705</v>
      </c>
      <c r="O1371" s="152" t="s">
        <v>2705</v>
      </c>
      <c r="P1371" s="152" t="s">
        <v>2675</v>
      </c>
      <c r="Q1371" s="152" t="s">
        <v>2705</v>
      </c>
      <c r="R1371" s="152" t="s">
        <v>2397</v>
      </c>
      <c r="S1371" s="152" t="s">
        <v>2398</v>
      </c>
      <c r="T1371" s="152" t="s">
        <v>2705</v>
      </c>
      <c r="U1371" s="152" t="s">
        <v>2398</v>
      </c>
      <c r="V1371" s="142" cm="1">
        <f t="array" ref="V1371">IF(A1371&lt;&gt;"",SUM(--(B1371:U1372 = "X")*$U$3,--(B1371:U1372 ="A")*$Q$3,--(B1371:U1372 ="B")*$R$3,--(B1371:U1372 ="C")*$S$3),"")</f>
        <v>4.5</v>
      </c>
      <c r="AF1371" s="142" t="s">
        <v>8002</v>
      </c>
      <c r="AG1371" s="142" t="s">
        <v>2705</v>
      </c>
      <c r="AH1371" s="142" t="s">
        <v>1435</v>
      </c>
      <c r="AI1371" s="142" t="s">
        <v>2705</v>
      </c>
      <c r="AJ1371" s="142" t="s">
        <v>2398</v>
      </c>
      <c r="AK1371" s="142" t="s">
        <v>2398</v>
      </c>
      <c r="AL1371" s="142" t="s">
        <v>1435</v>
      </c>
      <c r="AM1371" s="142" t="s">
        <v>2398</v>
      </c>
      <c r="AN1371" s="142" t="s">
        <v>2705</v>
      </c>
      <c r="AO1371" s="142" t="s">
        <v>2398</v>
      </c>
      <c r="AP1371" s="142" t="s">
        <v>2398</v>
      </c>
      <c r="AQ1371" s="142" t="s">
        <v>2675</v>
      </c>
      <c r="AR1371" s="142" t="s">
        <v>2705</v>
      </c>
      <c r="AS1371" s="142" t="s">
        <v>2705</v>
      </c>
      <c r="AT1371" s="142" t="s">
        <v>2705</v>
      </c>
      <c r="AU1371" s="142" t="s">
        <v>2675</v>
      </c>
      <c r="AV1371" s="142" t="s">
        <v>2705</v>
      </c>
      <c r="AW1371" s="142" t="s">
        <v>2397</v>
      </c>
      <c r="AX1371" s="142" t="s">
        <v>2398</v>
      </c>
      <c r="AY1371" s="142" t="s">
        <v>2705</v>
      </c>
      <c r="AZ1371" s="142" t="s">
        <v>2398</v>
      </c>
    </row>
    <row r="1372" spans="1:52" s="142" customFormat="1" ht="12.75" x14ac:dyDescent="0.2">
      <c r="A1372" s="151"/>
      <c r="B1372" s="152" t="s">
        <v>2397</v>
      </c>
      <c r="C1372" s="152" t="s">
        <v>2398</v>
      </c>
      <c r="D1372" s="152" t="s">
        <v>1435</v>
      </c>
      <c r="E1372" s="152" t="s">
        <v>2398</v>
      </c>
      <c r="F1372" s="152" t="s">
        <v>2398</v>
      </c>
      <c r="G1372" s="152" t="s">
        <v>2675</v>
      </c>
      <c r="H1372" s="152" t="s">
        <v>2675</v>
      </c>
      <c r="I1372" s="152" t="s">
        <v>2398</v>
      </c>
      <c r="J1372" s="152" t="s">
        <v>2675</v>
      </c>
      <c r="K1372" s="152" t="s">
        <v>2675</v>
      </c>
      <c r="L1372" s="152" t="s">
        <v>2398</v>
      </c>
      <c r="M1372" s="152" t="s">
        <v>1435</v>
      </c>
      <c r="N1372" s="152" t="s">
        <v>1435</v>
      </c>
      <c r="O1372" s="152" t="s">
        <v>2398</v>
      </c>
      <c r="P1372" s="152" t="s">
        <v>2398</v>
      </c>
      <c r="Q1372" s="152" t="s">
        <v>2398</v>
      </c>
      <c r="R1372" s="152" t="s">
        <v>2398</v>
      </c>
      <c r="S1372" s="152" t="s">
        <v>2398</v>
      </c>
      <c r="T1372" s="152" t="s">
        <v>2705</v>
      </c>
      <c r="U1372" s="152" t="s">
        <v>2705</v>
      </c>
      <c r="V1372" s="142" t="str" cm="1">
        <f t="array" ref="V1372">IF(A1372&lt;&gt;"",SUM(--(B1372:U1373 = "X")*$U$3,--(B1372:U1373 ="A")*$Q$3,--(B1372:U1373 ="B")*$R$3,--(B1372:U1373 ="C")*$S$3),"")</f>
        <v/>
      </c>
      <c r="AG1372" s="142" t="s">
        <v>2397</v>
      </c>
      <c r="AH1372" s="142" t="s">
        <v>2398</v>
      </c>
      <c r="AI1372" s="142" t="s">
        <v>1435</v>
      </c>
      <c r="AJ1372" s="142" t="s">
        <v>2398</v>
      </c>
      <c r="AK1372" s="142" t="s">
        <v>2398</v>
      </c>
      <c r="AL1372" s="142" t="s">
        <v>2675</v>
      </c>
      <c r="AM1372" s="142" t="s">
        <v>2675</v>
      </c>
      <c r="AN1372" s="142" t="s">
        <v>2398</v>
      </c>
      <c r="AO1372" s="142" t="s">
        <v>2675</v>
      </c>
      <c r="AP1372" s="142" t="s">
        <v>2675</v>
      </c>
      <c r="AQ1372" s="142" t="s">
        <v>2398</v>
      </c>
      <c r="AR1372" s="142" t="s">
        <v>1435</v>
      </c>
      <c r="AS1372" s="142" t="s">
        <v>1435</v>
      </c>
      <c r="AT1372" s="142" t="s">
        <v>2398</v>
      </c>
      <c r="AU1372" s="142" t="s">
        <v>2398</v>
      </c>
      <c r="AV1372" s="142" t="s">
        <v>2398</v>
      </c>
      <c r="AW1372" s="142" t="s">
        <v>2398</v>
      </c>
      <c r="AX1372" s="142" t="s">
        <v>2398</v>
      </c>
      <c r="AY1372" s="142" t="s">
        <v>2705</v>
      </c>
      <c r="AZ1372" s="142" t="s">
        <v>2705</v>
      </c>
    </row>
    <row r="1373" spans="1:52" s="142" customFormat="1" ht="12.75" x14ac:dyDescent="0.2">
      <c r="A1373" s="151" t="s">
        <v>8003</v>
      </c>
      <c r="B1373" s="152" t="s">
        <v>2705</v>
      </c>
      <c r="C1373" s="152" t="s">
        <v>2397</v>
      </c>
      <c r="D1373" s="152" t="s">
        <v>2675</v>
      </c>
      <c r="E1373" s="152" t="s">
        <v>1435</v>
      </c>
      <c r="F1373" s="152" t="s">
        <v>2705</v>
      </c>
      <c r="G1373" s="152" t="s">
        <v>2705</v>
      </c>
      <c r="H1373" s="152" t="s">
        <v>2398</v>
      </c>
      <c r="I1373" s="152" t="s">
        <v>2397</v>
      </c>
      <c r="J1373" s="152" t="s">
        <v>2398</v>
      </c>
      <c r="K1373" s="152" t="s">
        <v>1435</v>
      </c>
      <c r="L1373" s="152" t="s">
        <v>1435</v>
      </c>
      <c r="M1373" s="152" t="s">
        <v>2397</v>
      </c>
      <c r="N1373" s="152" t="s">
        <v>2705</v>
      </c>
      <c r="O1373" s="152" t="s">
        <v>2705</v>
      </c>
      <c r="P1373" s="152" t="s">
        <v>2398</v>
      </c>
      <c r="Q1373" s="152" t="s">
        <v>1435</v>
      </c>
      <c r="R1373" s="152" t="s">
        <v>2675</v>
      </c>
      <c r="S1373" s="152" t="s">
        <v>2398</v>
      </c>
      <c r="T1373" s="152" t="s">
        <v>2705</v>
      </c>
      <c r="U1373" s="152" t="s">
        <v>2705</v>
      </c>
      <c r="V1373" s="142" cm="1">
        <f t="array" ref="V1373">IF(A1373&lt;&gt;"",SUM(--(B1373:U1374 = "X")*$U$3,--(B1373:U1374 ="A")*$Q$3,--(B1373:U1374 ="B")*$R$3,--(B1373:U1374 ="C")*$S$3),"")</f>
        <v>3</v>
      </c>
      <c r="AF1373" s="142" t="s">
        <v>8003</v>
      </c>
      <c r="AG1373" s="142" t="s">
        <v>2705</v>
      </c>
      <c r="AH1373" s="142" t="s">
        <v>2397</v>
      </c>
      <c r="AI1373" s="142" t="s">
        <v>2675</v>
      </c>
      <c r="AJ1373" s="142" t="s">
        <v>1435</v>
      </c>
      <c r="AK1373" s="142" t="s">
        <v>2705</v>
      </c>
      <c r="AL1373" s="142" t="s">
        <v>2705</v>
      </c>
      <c r="AM1373" s="142" t="s">
        <v>2398</v>
      </c>
      <c r="AN1373" s="142" t="s">
        <v>2397</v>
      </c>
      <c r="AO1373" s="142" t="s">
        <v>2398</v>
      </c>
      <c r="AP1373" s="142" t="s">
        <v>1435</v>
      </c>
      <c r="AQ1373" s="142" t="s">
        <v>1435</v>
      </c>
      <c r="AR1373" s="142" t="s">
        <v>2397</v>
      </c>
      <c r="AS1373" s="142" t="s">
        <v>2705</v>
      </c>
      <c r="AT1373" s="142" t="s">
        <v>2705</v>
      </c>
      <c r="AU1373" s="142" t="s">
        <v>2398</v>
      </c>
      <c r="AV1373" s="142" t="s">
        <v>1435</v>
      </c>
      <c r="AW1373" s="142" t="s">
        <v>2675</v>
      </c>
      <c r="AX1373" s="142" t="s">
        <v>2398</v>
      </c>
      <c r="AY1373" s="142" t="s">
        <v>2705</v>
      </c>
      <c r="AZ1373" s="142" t="s">
        <v>2705</v>
      </c>
    </row>
    <row r="1374" spans="1:52" s="142" customFormat="1" ht="12.75" x14ac:dyDescent="0.2">
      <c r="A1374" s="151"/>
      <c r="B1374" s="152" t="s">
        <v>2675</v>
      </c>
      <c r="C1374" s="152" t="s">
        <v>2397</v>
      </c>
      <c r="D1374" s="152" t="s">
        <v>1435</v>
      </c>
      <c r="E1374" s="152" t="s">
        <v>2398</v>
      </c>
      <c r="F1374" s="152" t="s">
        <v>2398</v>
      </c>
      <c r="G1374" s="152" t="s">
        <v>1435</v>
      </c>
      <c r="H1374" s="152" t="s">
        <v>2398</v>
      </c>
      <c r="I1374" s="152" t="s">
        <v>2398</v>
      </c>
      <c r="J1374" s="152" t="s">
        <v>2398</v>
      </c>
      <c r="K1374" s="152" t="s">
        <v>2675</v>
      </c>
      <c r="L1374" s="152" t="s">
        <v>2398</v>
      </c>
      <c r="M1374" s="152" t="s">
        <v>2398</v>
      </c>
      <c r="N1374" s="152" t="s">
        <v>2397</v>
      </c>
      <c r="O1374" s="152" t="s">
        <v>2398</v>
      </c>
      <c r="P1374" s="152" t="s">
        <v>2705</v>
      </c>
      <c r="Q1374" s="152" t="s">
        <v>2398</v>
      </c>
      <c r="R1374" s="152" t="s">
        <v>2398</v>
      </c>
      <c r="S1374" s="152" t="s">
        <v>2398</v>
      </c>
      <c r="T1374" s="152" t="s">
        <v>2398</v>
      </c>
      <c r="U1374" s="152" t="s">
        <v>2398</v>
      </c>
      <c r="V1374" s="142" t="str" cm="1">
        <f t="array" ref="V1374">IF(A1374&lt;&gt;"",SUM(--(B1374:U1375 = "X")*$U$3,--(B1374:U1375 ="A")*$Q$3,--(B1374:U1375 ="B")*$R$3,--(B1374:U1375 ="C")*$S$3),"")</f>
        <v/>
      </c>
      <c r="AG1374" s="142" t="s">
        <v>2675</v>
      </c>
      <c r="AH1374" s="142" t="s">
        <v>2397</v>
      </c>
      <c r="AI1374" s="142" t="s">
        <v>1435</v>
      </c>
      <c r="AJ1374" s="142" t="s">
        <v>2398</v>
      </c>
      <c r="AK1374" s="142" t="s">
        <v>2398</v>
      </c>
      <c r="AL1374" s="142" t="s">
        <v>1435</v>
      </c>
      <c r="AM1374" s="142" t="s">
        <v>2398</v>
      </c>
      <c r="AN1374" s="142" t="s">
        <v>2398</v>
      </c>
      <c r="AO1374" s="142" t="s">
        <v>2398</v>
      </c>
      <c r="AP1374" s="142" t="s">
        <v>2675</v>
      </c>
      <c r="AQ1374" s="142" t="s">
        <v>2398</v>
      </c>
      <c r="AR1374" s="142" t="s">
        <v>2398</v>
      </c>
      <c r="AS1374" s="142" t="s">
        <v>2397</v>
      </c>
      <c r="AT1374" s="142" t="s">
        <v>2398</v>
      </c>
      <c r="AU1374" s="142" t="s">
        <v>2705</v>
      </c>
      <c r="AV1374" s="142" t="s">
        <v>2398</v>
      </c>
      <c r="AW1374" s="142" t="s">
        <v>2398</v>
      </c>
      <c r="AX1374" s="142" t="s">
        <v>2398</v>
      </c>
      <c r="AY1374" s="142" t="s">
        <v>2398</v>
      </c>
      <c r="AZ1374" s="142" t="s">
        <v>2398</v>
      </c>
    </row>
    <row r="1375" spans="1:52" s="142" customFormat="1" ht="12.75" x14ac:dyDescent="0.2">
      <c r="A1375" s="151" t="s">
        <v>8004</v>
      </c>
      <c r="B1375" s="152" t="s">
        <v>2398</v>
      </c>
      <c r="C1375" s="152" t="s">
        <v>2398</v>
      </c>
      <c r="D1375" s="152" t="s">
        <v>2398</v>
      </c>
      <c r="E1375" s="152" t="s">
        <v>2705</v>
      </c>
      <c r="F1375" s="152" t="s">
        <v>2675</v>
      </c>
      <c r="G1375" s="152" t="s">
        <v>1435</v>
      </c>
      <c r="H1375" s="152" t="s">
        <v>2398</v>
      </c>
      <c r="I1375" s="152" t="s">
        <v>2675</v>
      </c>
      <c r="J1375" s="152" t="s">
        <v>2705</v>
      </c>
      <c r="K1375" s="152" t="s">
        <v>2705</v>
      </c>
      <c r="L1375" s="152" t="s">
        <v>1435</v>
      </c>
      <c r="M1375" s="152" t="s">
        <v>2705</v>
      </c>
      <c r="N1375" s="152" t="s">
        <v>2705</v>
      </c>
      <c r="O1375" s="152" t="s">
        <v>2705</v>
      </c>
      <c r="P1375" s="152" t="s">
        <v>2398</v>
      </c>
      <c r="Q1375" s="152" t="s">
        <v>2705</v>
      </c>
      <c r="R1375" s="152" t="s">
        <v>2398</v>
      </c>
      <c r="S1375" s="152" t="s">
        <v>2705</v>
      </c>
      <c r="T1375" s="152" t="s">
        <v>2705</v>
      </c>
      <c r="U1375" s="152" t="s">
        <v>2705</v>
      </c>
      <c r="V1375" s="142" cm="1">
        <f t="array" ref="V1375">IF(A1375&lt;&gt;"",SUM(--(B1375:U1376 = "X")*$U$3,--(B1375:U1376 ="A")*$Q$3,--(B1375:U1376 ="B")*$R$3,--(B1375:U1376 ="C")*$S$3),"")</f>
        <v>10.5</v>
      </c>
      <c r="AF1375" s="142" t="s">
        <v>8004</v>
      </c>
      <c r="AG1375" s="142" t="s">
        <v>2398</v>
      </c>
      <c r="AH1375" s="142" t="s">
        <v>2398</v>
      </c>
      <c r="AI1375" s="142" t="s">
        <v>2398</v>
      </c>
      <c r="AJ1375" s="142" t="s">
        <v>2705</v>
      </c>
      <c r="AK1375" s="142" t="s">
        <v>2675</v>
      </c>
      <c r="AL1375" s="142" t="s">
        <v>1435</v>
      </c>
      <c r="AM1375" s="142" t="s">
        <v>2398</v>
      </c>
      <c r="AN1375" s="142" t="s">
        <v>2675</v>
      </c>
      <c r="AO1375" s="142" t="s">
        <v>2705</v>
      </c>
      <c r="AP1375" s="142" t="s">
        <v>2705</v>
      </c>
      <c r="AQ1375" s="142" t="s">
        <v>1435</v>
      </c>
      <c r="AR1375" s="142" t="s">
        <v>2705</v>
      </c>
      <c r="AS1375" s="142" t="s">
        <v>2705</v>
      </c>
      <c r="AT1375" s="142" t="s">
        <v>2705</v>
      </c>
      <c r="AU1375" s="142" t="s">
        <v>2398</v>
      </c>
      <c r="AV1375" s="142" t="s">
        <v>2705</v>
      </c>
      <c r="AW1375" s="142" t="s">
        <v>2398</v>
      </c>
      <c r="AX1375" s="142" t="s">
        <v>2705</v>
      </c>
      <c r="AY1375" s="142" t="s">
        <v>2705</v>
      </c>
      <c r="AZ1375" s="142" t="s">
        <v>2705</v>
      </c>
    </row>
    <row r="1376" spans="1:52" s="142" customFormat="1" ht="12.75" x14ac:dyDescent="0.2">
      <c r="A1376" s="151"/>
      <c r="B1376" s="152" t="s">
        <v>2675</v>
      </c>
      <c r="C1376" s="152" t="s">
        <v>2675</v>
      </c>
      <c r="D1376" s="152" t="s">
        <v>2705</v>
      </c>
      <c r="E1376" s="152" t="s">
        <v>2675</v>
      </c>
      <c r="F1376" s="152" t="s">
        <v>2705</v>
      </c>
      <c r="G1376" s="152" t="s">
        <v>1435</v>
      </c>
      <c r="H1376" s="152" t="s">
        <v>2398</v>
      </c>
      <c r="I1376" s="152" t="s">
        <v>1435</v>
      </c>
      <c r="J1376" s="152" t="s">
        <v>1435</v>
      </c>
      <c r="K1376" s="152" t="s">
        <v>2675</v>
      </c>
      <c r="L1376" s="152" t="s">
        <v>2398</v>
      </c>
      <c r="M1376" s="152" t="s">
        <v>2398</v>
      </c>
      <c r="N1376" s="152" t="s">
        <v>2705</v>
      </c>
      <c r="O1376" s="152" t="s">
        <v>2398</v>
      </c>
      <c r="P1376" s="152" t="s">
        <v>2705</v>
      </c>
      <c r="Q1376" s="152" t="s">
        <v>2705</v>
      </c>
      <c r="R1376" s="152" t="s">
        <v>2398</v>
      </c>
      <c r="S1376" s="152" t="s">
        <v>2397</v>
      </c>
      <c r="T1376" s="152" t="s">
        <v>2705</v>
      </c>
      <c r="U1376" s="152" t="s">
        <v>2398</v>
      </c>
      <c r="V1376" s="142" t="str" cm="1">
        <f t="array" ref="V1376">IF(A1376&lt;&gt;"",SUM(--(B1376:U1377 = "X")*$U$3,--(B1376:U1377 ="A")*$Q$3,--(B1376:U1377 ="B")*$R$3,--(B1376:U1377 ="C")*$S$3),"")</f>
        <v/>
      </c>
      <c r="AG1376" s="142" t="s">
        <v>2675</v>
      </c>
      <c r="AH1376" s="142" t="s">
        <v>2675</v>
      </c>
      <c r="AI1376" s="142" t="s">
        <v>2705</v>
      </c>
      <c r="AJ1376" s="142" t="s">
        <v>2675</v>
      </c>
      <c r="AK1376" s="142" t="s">
        <v>2705</v>
      </c>
      <c r="AL1376" s="142" t="s">
        <v>1435</v>
      </c>
      <c r="AM1376" s="142" t="s">
        <v>2398</v>
      </c>
      <c r="AN1376" s="142" t="s">
        <v>1435</v>
      </c>
      <c r="AO1376" s="142" t="s">
        <v>1435</v>
      </c>
      <c r="AP1376" s="142" t="s">
        <v>2675</v>
      </c>
      <c r="AQ1376" s="142" t="s">
        <v>2398</v>
      </c>
      <c r="AR1376" s="142" t="s">
        <v>2398</v>
      </c>
      <c r="AS1376" s="142" t="s">
        <v>2705</v>
      </c>
      <c r="AT1376" s="142" t="s">
        <v>2398</v>
      </c>
      <c r="AU1376" s="142" t="s">
        <v>2705</v>
      </c>
      <c r="AV1376" s="142" t="s">
        <v>2705</v>
      </c>
      <c r="AW1376" s="142" t="s">
        <v>2398</v>
      </c>
      <c r="AX1376" s="142" t="s">
        <v>2397</v>
      </c>
      <c r="AY1376" s="142" t="s">
        <v>2705</v>
      </c>
      <c r="AZ1376" s="142" t="s">
        <v>2398</v>
      </c>
    </row>
    <row r="1377" spans="1:52" s="142" customFormat="1" ht="12.75" x14ac:dyDescent="0.2">
      <c r="A1377" s="151" t="s">
        <v>8005</v>
      </c>
      <c r="B1377" s="152" t="s">
        <v>2397</v>
      </c>
      <c r="C1377" s="152" t="s">
        <v>2398</v>
      </c>
      <c r="D1377" s="152" t="s">
        <v>2705</v>
      </c>
      <c r="E1377" s="152" t="s">
        <v>2705</v>
      </c>
      <c r="F1377" s="152" t="s">
        <v>2705</v>
      </c>
      <c r="G1377" s="152" t="s">
        <v>2398</v>
      </c>
      <c r="H1377" s="152" t="s">
        <v>2705</v>
      </c>
      <c r="I1377" s="152" t="s">
        <v>2398</v>
      </c>
      <c r="J1377" s="152" t="s">
        <v>2675</v>
      </c>
      <c r="K1377" s="152" t="s">
        <v>2398</v>
      </c>
      <c r="L1377" s="152" t="s">
        <v>2675</v>
      </c>
      <c r="M1377" s="152" t="s">
        <v>2705</v>
      </c>
      <c r="N1377" s="152" t="s">
        <v>2398</v>
      </c>
      <c r="O1377" s="152" t="s">
        <v>2705</v>
      </c>
      <c r="P1377" s="152" t="s">
        <v>2705</v>
      </c>
      <c r="Q1377" s="152" t="s">
        <v>2675</v>
      </c>
      <c r="R1377" s="152" t="s">
        <v>2398</v>
      </c>
      <c r="S1377" s="152" t="s">
        <v>2705</v>
      </c>
      <c r="T1377" s="152" t="s">
        <v>2398</v>
      </c>
      <c r="U1377" s="152" t="s">
        <v>2398</v>
      </c>
      <c r="V1377" s="142" cm="1">
        <f t="array" ref="V1377">IF(A1377&lt;&gt;"",SUM(--(B1377:U1378 = "X")*$U$3,--(B1377:U1378 ="A")*$Q$3,--(B1377:U1378 ="B")*$R$3,--(B1377:U1378 ="C")*$S$3),"")</f>
        <v>11</v>
      </c>
      <c r="AF1377" s="142" t="s">
        <v>8005</v>
      </c>
      <c r="AG1377" s="142" t="s">
        <v>2397</v>
      </c>
      <c r="AH1377" s="142" t="s">
        <v>2398</v>
      </c>
      <c r="AI1377" s="142" t="s">
        <v>2705</v>
      </c>
      <c r="AJ1377" s="142" t="s">
        <v>2705</v>
      </c>
      <c r="AK1377" s="142" t="s">
        <v>2705</v>
      </c>
      <c r="AL1377" s="142" t="s">
        <v>2398</v>
      </c>
      <c r="AM1377" s="142" t="s">
        <v>2705</v>
      </c>
      <c r="AN1377" s="142" t="s">
        <v>2398</v>
      </c>
      <c r="AO1377" s="142" t="s">
        <v>2675</v>
      </c>
      <c r="AP1377" s="142" t="s">
        <v>2398</v>
      </c>
      <c r="AQ1377" s="142" t="s">
        <v>2675</v>
      </c>
      <c r="AR1377" s="142" t="s">
        <v>2705</v>
      </c>
      <c r="AS1377" s="142" t="s">
        <v>2398</v>
      </c>
      <c r="AT1377" s="142" t="s">
        <v>2705</v>
      </c>
      <c r="AU1377" s="142" t="s">
        <v>2705</v>
      </c>
      <c r="AV1377" s="142" t="s">
        <v>2675</v>
      </c>
      <c r="AW1377" s="142" t="s">
        <v>2398</v>
      </c>
      <c r="AX1377" s="142" t="s">
        <v>2705</v>
      </c>
      <c r="AY1377" s="142" t="s">
        <v>2398</v>
      </c>
      <c r="AZ1377" s="142" t="s">
        <v>2398</v>
      </c>
    </row>
    <row r="1378" spans="1:52" s="142" customFormat="1" ht="12.75" x14ac:dyDescent="0.2">
      <c r="A1378" s="151"/>
      <c r="B1378" s="152" t="s">
        <v>2705</v>
      </c>
      <c r="C1378" s="152" t="s">
        <v>2397</v>
      </c>
      <c r="D1378" s="152" t="s">
        <v>2398</v>
      </c>
      <c r="E1378" s="152" t="s">
        <v>2675</v>
      </c>
      <c r="F1378" s="152" t="s">
        <v>2398</v>
      </c>
      <c r="G1378" s="152" t="s">
        <v>2705</v>
      </c>
      <c r="H1378" s="152" t="s">
        <v>2705</v>
      </c>
      <c r="I1378" s="152" t="s">
        <v>2398</v>
      </c>
      <c r="J1378" s="152" t="s">
        <v>2398</v>
      </c>
      <c r="K1378" s="152" t="s">
        <v>2705</v>
      </c>
      <c r="L1378" s="152" t="s">
        <v>2398</v>
      </c>
      <c r="M1378" s="152" t="s">
        <v>2398</v>
      </c>
      <c r="N1378" s="152" t="s">
        <v>2675</v>
      </c>
      <c r="O1378" s="152" t="s">
        <v>2397</v>
      </c>
      <c r="P1378" s="152" t="s">
        <v>2675</v>
      </c>
      <c r="Q1378" s="152" t="s">
        <v>2705</v>
      </c>
      <c r="R1378" s="152" t="s">
        <v>1435</v>
      </c>
      <c r="S1378" s="152" t="s">
        <v>2705</v>
      </c>
      <c r="T1378" s="152" t="s">
        <v>2705</v>
      </c>
      <c r="U1378" s="152" t="s">
        <v>2675</v>
      </c>
      <c r="V1378" s="142" t="str" cm="1">
        <f t="array" ref="V1378">IF(A1378&lt;&gt;"",SUM(--(B1378:U1379 = "X")*$U$3,--(B1378:U1379 ="A")*$Q$3,--(B1378:U1379 ="B")*$R$3,--(B1378:U1379 ="C")*$S$3),"")</f>
        <v/>
      </c>
      <c r="AG1378" s="142" t="s">
        <v>2705</v>
      </c>
      <c r="AH1378" s="142" t="s">
        <v>2397</v>
      </c>
      <c r="AI1378" s="142" t="s">
        <v>2398</v>
      </c>
      <c r="AJ1378" s="142" t="s">
        <v>2675</v>
      </c>
      <c r="AK1378" s="142" t="s">
        <v>2398</v>
      </c>
      <c r="AL1378" s="142" t="s">
        <v>2705</v>
      </c>
      <c r="AM1378" s="142" t="s">
        <v>2705</v>
      </c>
      <c r="AN1378" s="142" t="s">
        <v>2398</v>
      </c>
      <c r="AO1378" s="142" t="s">
        <v>2398</v>
      </c>
      <c r="AP1378" s="142" t="s">
        <v>2705</v>
      </c>
      <c r="AQ1378" s="142" t="s">
        <v>2398</v>
      </c>
      <c r="AR1378" s="142" t="s">
        <v>2398</v>
      </c>
      <c r="AS1378" s="142" t="s">
        <v>2675</v>
      </c>
      <c r="AT1378" s="142" t="s">
        <v>2397</v>
      </c>
      <c r="AU1378" s="142" t="s">
        <v>2675</v>
      </c>
      <c r="AV1378" s="142" t="s">
        <v>2705</v>
      </c>
      <c r="AW1378" s="142" t="s">
        <v>1435</v>
      </c>
      <c r="AX1378" s="142" t="s">
        <v>2705</v>
      </c>
      <c r="AY1378" s="142" t="s">
        <v>2705</v>
      </c>
      <c r="AZ1378" s="142" t="s">
        <v>2675</v>
      </c>
    </row>
    <row r="1379" spans="1:52" s="142" customFormat="1" ht="12.75" x14ac:dyDescent="0.2">
      <c r="A1379" s="151" t="s">
        <v>8006</v>
      </c>
      <c r="B1379" s="152" t="s">
        <v>1435</v>
      </c>
      <c r="C1379" s="152" t="s">
        <v>2675</v>
      </c>
      <c r="D1379" s="152" t="s">
        <v>1435</v>
      </c>
      <c r="E1379" s="152" t="s">
        <v>2705</v>
      </c>
      <c r="F1379" s="152" t="s">
        <v>2705</v>
      </c>
      <c r="G1379" s="152" t="s">
        <v>1435</v>
      </c>
      <c r="H1379" s="152" t="s">
        <v>2705</v>
      </c>
      <c r="I1379" s="152" t="s">
        <v>2705</v>
      </c>
      <c r="J1379" s="152" t="s">
        <v>2675</v>
      </c>
      <c r="K1379" s="152" t="s">
        <v>2705</v>
      </c>
      <c r="L1379" s="152" t="s">
        <v>2705</v>
      </c>
      <c r="M1379" s="152" t="s">
        <v>2705</v>
      </c>
      <c r="N1379" s="152" t="s">
        <v>2705</v>
      </c>
      <c r="O1379" s="152" t="s">
        <v>2705</v>
      </c>
      <c r="P1379" s="152" t="s">
        <v>2398</v>
      </c>
      <c r="Q1379" s="152" t="s">
        <v>2705</v>
      </c>
      <c r="R1379" s="152" t="s">
        <v>2705</v>
      </c>
      <c r="S1379" s="152" t="s">
        <v>2705</v>
      </c>
      <c r="T1379" s="152" t="s">
        <v>2398</v>
      </c>
      <c r="U1379" s="152" t="s">
        <v>2705</v>
      </c>
      <c r="V1379" s="142" cm="1">
        <f t="array" ref="V1379">IF(A1379&lt;&gt;"",SUM(--(B1379:U1380 = "X")*$U$3,--(B1379:U1380 ="A")*$Q$3,--(B1379:U1380 ="B")*$R$3,--(B1379:U1380 ="C")*$S$3),"")</f>
        <v>19</v>
      </c>
      <c r="AF1379" s="142" t="s">
        <v>8006</v>
      </c>
      <c r="AG1379" s="142" t="s">
        <v>1435</v>
      </c>
      <c r="AH1379" s="142" t="s">
        <v>2675</v>
      </c>
      <c r="AI1379" s="142" t="s">
        <v>1435</v>
      </c>
      <c r="AJ1379" s="142" t="s">
        <v>2705</v>
      </c>
      <c r="AK1379" s="142" t="s">
        <v>2705</v>
      </c>
      <c r="AL1379" s="142" t="s">
        <v>1435</v>
      </c>
      <c r="AM1379" s="142" t="s">
        <v>2705</v>
      </c>
      <c r="AN1379" s="142" t="s">
        <v>2705</v>
      </c>
      <c r="AO1379" s="142" t="s">
        <v>2675</v>
      </c>
      <c r="AP1379" s="142" t="s">
        <v>2705</v>
      </c>
      <c r="AQ1379" s="142" t="s">
        <v>2705</v>
      </c>
      <c r="AR1379" s="142" t="s">
        <v>2705</v>
      </c>
      <c r="AS1379" s="142" t="s">
        <v>2705</v>
      </c>
      <c r="AT1379" s="142" t="s">
        <v>2705</v>
      </c>
      <c r="AU1379" s="142" t="s">
        <v>2398</v>
      </c>
      <c r="AV1379" s="142" t="s">
        <v>2705</v>
      </c>
      <c r="AW1379" s="142" t="s">
        <v>2705</v>
      </c>
      <c r="AX1379" s="142" t="s">
        <v>2705</v>
      </c>
      <c r="AY1379" s="142" t="s">
        <v>2398</v>
      </c>
      <c r="AZ1379" s="142" t="s">
        <v>2705</v>
      </c>
    </row>
    <row r="1380" spans="1:52" s="142" customFormat="1" ht="12.75" x14ac:dyDescent="0.2">
      <c r="A1380" s="151"/>
      <c r="B1380" s="152" t="s">
        <v>2705</v>
      </c>
      <c r="C1380" s="152" t="s">
        <v>2675</v>
      </c>
      <c r="D1380" s="152" t="s">
        <v>2705</v>
      </c>
      <c r="E1380" s="152" t="s">
        <v>2705</v>
      </c>
      <c r="F1380" s="152" t="s">
        <v>2398</v>
      </c>
      <c r="G1380" s="152" t="s">
        <v>2705</v>
      </c>
      <c r="H1380" s="152" t="s">
        <v>2705</v>
      </c>
      <c r="I1380" s="152" t="s">
        <v>2705</v>
      </c>
      <c r="J1380" s="152" t="s">
        <v>2675</v>
      </c>
      <c r="K1380" s="152" t="s">
        <v>2705</v>
      </c>
      <c r="L1380" s="152" t="s">
        <v>2675</v>
      </c>
      <c r="M1380" s="152" t="s">
        <v>2705</v>
      </c>
      <c r="N1380" s="152" t="s">
        <v>2705</v>
      </c>
      <c r="O1380" s="152" t="s">
        <v>2397</v>
      </c>
      <c r="P1380" s="152" t="s">
        <v>1435</v>
      </c>
      <c r="Q1380" s="152" t="s">
        <v>2705</v>
      </c>
      <c r="R1380" s="152" t="s">
        <v>1435</v>
      </c>
      <c r="S1380" s="152" t="s">
        <v>2397</v>
      </c>
      <c r="T1380" s="152" t="s">
        <v>2705</v>
      </c>
      <c r="U1380" s="152" t="s">
        <v>2398</v>
      </c>
      <c r="V1380" s="142" t="str" cm="1">
        <f t="array" ref="V1380">IF(A1380&lt;&gt;"",SUM(--(B1380:U1381 = "X")*$U$3,--(B1380:U1381 ="A")*$Q$3,--(B1380:U1381 ="B")*$R$3,--(B1380:U1381 ="C")*$S$3),"")</f>
        <v/>
      </c>
      <c r="AG1380" s="142" t="s">
        <v>2705</v>
      </c>
      <c r="AH1380" s="142" t="s">
        <v>2675</v>
      </c>
      <c r="AI1380" s="142" t="s">
        <v>2705</v>
      </c>
      <c r="AJ1380" s="142" t="s">
        <v>2705</v>
      </c>
      <c r="AK1380" s="142" t="s">
        <v>2398</v>
      </c>
      <c r="AL1380" s="142" t="s">
        <v>2705</v>
      </c>
      <c r="AM1380" s="142" t="s">
        <v>2705</v>
      </c>
      <c r="AN1380" s="142" t="s">
        <v>2705</v>
      </c>
      <c r="AO1380" s="142" t="s">
        <v>2675</v>
      </c>
      <c r="AP1380" s="142" t="s">
        <v>2705</v>
      </c>
      <c r="AQ1380" s="142" t="s">
        <v>2675</v>
      </c>
      <c r="AR1380" s="142" t="s">
        <v>2705</v>
      </c>
      <c r="AS1380" s="142" t="s">
        <v>2705</v>
      </c>
      <c r="AT1380" s="142" t="s">
        <v>2397</v>
      </c>
      <c r="AU1380" s="142" t="s">
        <v>1435</v>
      </c>
      <c r="AV1380" s="142" t="s">
        <v>2705</v>
      </c>
      <c r="AW1380" s="142" t="s">
        <v>1435</v>
      </c>
      <c r="AX1380" s="142" t="s">
        <v>2397</v>
      </c>
      <c r="AY1380" s="142" t="s">
        <v>2705</v>
      </c>
      <c r="AZ1380" s="142" t="s">
        <v>2398</v>
      </c>
    </row>
    <row r="1381" spans="1:52" s="142" customFormat="1" ht="12.75" x14ac:dyDescent="0.2">
      <c r="A1381" s="151" t="s">
        <v>8007</v>
      </c>
      <c r="B1381" s="152" t="s">
        <v>2675</v>
      </c>
      <c r="C1381" s="152" t="s">
        <v>1435</v>
      </c>
      <c r="D1381" s="152" t="s">
        <v>2398</v>
      </c>
      <c r="E1381" s="152" t="s">
        <v>2705</v>
      </c>
      <c r="F1381" s="152" t="s">
        <v>2675</v>
      </c>
      <c r="G1381" s="152" t="s">
        <v>1435</v>
      </c>
      <c r="H1381" s="152" t="s">
        <v>2705</v>
      </c>
      <c r="I1381" s="152" t="s">
        <v>2705</v>
      </c>
      <c r="J1381" s="152" t="s">
        <v>2705</v>
      </c>
      <c r="K1381" s="152" t="s">
        <v>2705</v>
      </c>
      <c r="L1381" s="152" t="s">
        <v>1435</v>
      </c>
      <c r="M1381" s="152" t="s">
        <v>2398</v>
      </c>
      <c r="N1381" s="152" t="s">
        <v>2675</v>
      </c>
      <c r="O1381" s="152" t="s">
        <v>2398</v>
      </c>
      <c r="P1381" s="152" t="s">
        <v>2705</v>
      </c>
      <c r="Q1381" s="152" t="s">
        <v>2397</v>
      </c>
      <c r="R1381" s="152" t="s">
        <v>2705</v>
      </c>
      <c r="S1381" s="152" t="s">
        <v>2705</v>
      </c>
      <c r="T1381" s="152" t="s">
        <v>2397</v>
      </c>
      <c r="U1381" s="152" t="s">
        <v>2705</v>
      </c>
      <c r="V1381" s="142" cm="1">
        <f t="array" ref="V1381">IF(A1381&lt;&gt;"",SUM(--(B1381:U1382 = "X")*$U$3,--(B1381:U1382 ="A")*$Q$3,--(B1381:U1382 ="B")*$R$3,--(B1381:U1382 ="C")*$S$3),"")</f>
        <v>5.5</v>
      </c>
      <c r="AF1381" s="142" t="s">
        <v>8007</v>
      </c>
      <c r="AG1381" s="142" t="s">
        <v>2675</v>
      </c>
      <c r="AH1381" s="142" t="s">
        <v>1435</v>
      </c>
      <c r="AI1381" s="142" t="s">
        <v>2398</v>
      </c>
      <c r="AJ1381" s="142" t="s">
        <v>2705</v>
      </c>
      <c r="AK1381" s="142" t="s">
        <v>2675</v>
      </c>
      <c r="AL1381" s="142" t="s">
        <v>1435</v>
      </c>
      <c r="AM1381" s="142" t="s">
        <v>2705</v>
      </c>
      <c r="AN1381" s="142" t="s">
        <v>2705</v>
      </c>
      <c r="AO1381" s="142" t="s">
        <v>2705</v>
      </c>
      <c r="AP1381" s="142" t="s">
        <v>2705</v>
      </c>
      <c r="AQ1381" s="142" t="s">
        <v>1435</v>
      </c>
      <c r="AR1381" s="142" t="s">
        <v>2398</v>
      </c>
      <c r="AS1381" s="142" t="s">
        <v>2675</v>
      </c>
      <c r="AT1381" s="142" t="s">
        <v>2398</v>
      </c>
      <c r="AU1381" s="142" t="s">
        <v>2705</v>
      </c>
      <c r="AV1381" s="142" t="s">
        <v>2397</v>
      </c>
      <c r="AW1381" s="142" t="s">
        <v>2705</v>
      </c>
      <c r="AX1381" s="142" t="s">
        <v>2705</v>
      </c>
      <c r="AY1381" s="142" t="s">
        <v>2397</v>
      </c>
      <c r="AZ1381" s="142" t="s">
        <v>2705</v>
      </c>
    </row>
    <row r="1382" spans="1:52" s="142" customFormat="1" ht="12.75" x14ac:dyDescent="0.2">
      <c r="A1382" s="151"/>
      <c r="B1382" s="152" t="s">
        <v>2705</v>
      </c>
      <c r="C1382" s="152" t="s">
        <v>2398</v>
      </c>
      <c r="D1382" s="152" t="s">
        <v>2398</v>
      </c>
      <c r="E1382" s="152" t="s">
        <v>2398</v>
      </c>
      <c r="F1382" s="152" t="s">
        <v>2397</v>
      </c>
      <c r="G1382" s="152" t="s">
        <v>2705</v>
      </c>
      <c r="H1382" s="152" t="s">
        <v>2675</v>
      </c>
      <c r="I1382" s="152" t="s">
        <v>2675</v>
      </c>
      <c r="J1382" s="152" t="s">
        <v>2398</v>
      </c>
      <c r="K1382" s="152" t="s">
        <v>2675</v>
      </c>
      <c r="L1382" s="152" t="s">
        <v>1435</v>
      </c>
      <c r="M1382" s="152" t="s">
        <v>2398</v>
      </c>
      <c r="N1382" s="152" t="s">
        <v>1435</v>
      </c>
      <c r="O1382" s="152" t="s">
        <v>2398</v>
      </c>
      <c r="P1382" s="152" t="s">
        <v>2675</v>
      </c>
      <c r="Q1382" s="152" t="s">
        <v>2398</v>
      </c>
      <c r="R1382" s="152" t="s">
        <v>2705</v>
      </c>
      <c r="S1382" s="152" t="s">
        <v>2398</v>
      </c>
      <c r="T1382" s="152" t="s">
        <v>2398</v>
      </c>
      <c r="U1382" s="152" t="s">
        <v>2675</v>
      </c>
      <c r="V1382" s="142" t="str" cm="1">
        <f t="array" ref="V1382">IF(A1382&lt;&gt;"",SUM(--(B1382:U1383 = "X")*$U$3,--(B1382:U1383 ="A")*$Q$3,--(B1382:U1383 ="B")*$R$3,--(B1382:U1383 ="C")*$S$3),"")</f>
        <v/>
      </c>
      <c r="AG1382" s="142" t="s">
        <v>2705</v>
      </c>
      <c r="AH1382" s="142" t="s">
        <v>2398</v>
      </c>
      <c r="AI1382" s="142" t="s">
        <v>2398</v>
      </c>
      <c r="AJ1382" s="142" t="s">
        <v>2398</v>
      </c>
      <c r="AK1382" s="142" t="s">
        <v>2397</v>
      </c>
      <c r="AL1382" s="142" t="s">
        <v>2705</v>
      </c>
      <c r="AM1382" s="142" t="s">
        <v>2675</v>
      </c>
      <c r="AN1382" s="142" t="s">
        <v>2675</v>
      </c>
      <c r="AO1382" s="142" t="s">
        <v>2398</v>
      </c>
      <c r="AP1382" s="142" t="s">
        <v>2675</v>
      </c>
      <c r="AQ1382" s="142" t="s">
        <v>1435</v>
      </c>
      <c r="AR1382" s="142" t="s">
        <v>2398</v>
      </c>
      <c r="AS1382" s="142" t="s">
        <v>1435</v>
      </c>
      <c r="AT1382" s="142" t="s">
        <v>2398</v>
      </c>
      <c r="AU1382" s="142" t="s">
        <v>2675</v>
      </c>
      <c r="AV1382" s="142" t="s">
        <v>2398</v>
      </c>
      <c r="AW1382" s="142" t="s">
        <v>2705</v>
      </c>
      <c r="AX1382" s="142" t="s">
        <v>2398</v>
      </c>
      <c r="AY1382" s="142" t="s">
        <v>2398</v>
      </c>
      <c r="AZ1382" s="142" t="s">
        <v>2675</v>
      </c>
    </row>
    <row r="1383" spans="1:52" s="142" customFormat="1" ht="12.75" x14ac:dyDescent="0.2">
      <c r="A1383" s="151" t="s">
        <v>8008</v>
      </c>
      <c r="B1383" s="152" t="s">
        <v>2705</v>
      </c>
      <c r="C1383" s="152" t="s">
        <v>1435</v>
      </c>
      <c r="D1383" s="152" t="s">
        <v>2705</v>
      </c>
      <c r="E1383" s="152" t="s">
        <v>2398</v>
      </c>
      <c r="F1383" s="152" t="s">
        <v>2398</v>
      </c>
      <c r="G1383" s="152" t="s">
        <v>2397</v>
      </c>
      <c r="H1383" s="152" t="s">
        <v>2705</v>
      </c>
      <c r="I1383" s="152" t="s">
        <v>2398</v>
      </c>
      <c r="J1383" s="152" t="s">
        <v>2705</v>
      </c>
      <c r="K1383" s="152" t="s">
        <v>2705</v>
      </c>
      <c r="L1383" s="152" t="s">
        <v>2705</v>
      </c>
      <c r="M1383" s="152" t="s">
        <v>2398</v>
      </c>
      <c r="N1383" s="152" t="s">
        <v>2675</v>
      </c>
      <c r="O1383" s="152" t="s">
        <v>2705</v>
      </c>
      <c r="P1383" s="152" t="s">
        <v>2398</v>
      </c>
      <c r="Q1383" s="152" t="s">
        <v>2705</v>
      </c>
      <c r="R1383" s="152" t="s">
        <v>2705</v>
      </c>
      <c r="S1383" s="152" t="s">
        <v>2398</v>
      </c>
      <c r="T1383" s="152" t="s">
        <v>2398</v>
      </c>
      <c r="U1383" s="152" t="s">
        <v>2705</v>
      </c>
      <c r="V1383" s="142" cm="1">
        <f t="array" ref="V1383">IF(A1383&lt;&gt;"",SUM(--(B1383:U1384 = "X")*$U$3,--(B1383:U1384 ="A")*$Q$3,--(B1383:U1384 ="B")*$R$3,--(B1383:U1384 ="C")*$S$3),"")</f>
        <v>13.5</v>
      </c>
      <c r="AF1383" s="142" t="s">
        <v>8008</v>
      </c>
      <c r="AG1383" s="142" t="s">
        <v>2705</v>
      </c>
      <c r="AH1383" s="142" t="s">
        <v>1435</v>
      </c>
      <c r="AI1383" s="142" t="s">
        <v>2705</v>
      </c>
      <c r="AJ1383" s="142" t="s">
        <v>2398</v>
      </c>
      <c r="AK1383" s="142" t="s">
        <v>2398</v>
      </c>
      <c r="AL1383" s="142" t="s">
        <v>2397</v>
      </c>
      <c r="AM1383" s="142" t="s">
        <v>2705</v>
      </c>
      <c r="AN1383" s="142" t="s">
        <v>2398</v>
      </c>
      <c r="AO1383" s="142" t="s">
        <v>2705</v>
      </c>
      <c r="AP1383" s="142" t="s">
        <v>2705</v>
      </c>
      <c r="AQ1383" s="142" t="s">
        <v>2705</v>
      </c>
      <c r="AR1383" s="142" t="s">
        <v>2398</v>
      </c>
      <c r="AS1383" s="142" t="s">
        <v>2675</v>
      </c>
      <c r="AT1383" s="142" t="s">
        <v>2705</v>
      </c>
      <c r="AU1383" s="142" t="s">
        <v>2398</v>
      </c>
      <c r="AV1383" s="142" t="s">
        <v>2705</v>
      </c>
      <c r="AW1383" s="142" t="s">
        <v>2705</v>
      </c>
      <c r="AX1383" s="142" t="s">
        <v>2398</v>
      </c>
      <c r="AY1383" s="142" t="s">
        <v>2398</v>
      </c>
      <c r="AZ1383" s="142" t="s">
        <v>2705</v>
      </c>
    </row>
    <row r="1384" spans="1:52" s="142" customFormat="1" ht="12.75" x14ac:dyDescent="0.2">
      <c r="A1384" s="151"/>
      <c r="B1384" s="152" t="s">
        <v>2705</v>
      </c>
      <c r="C1384" s="152" t="s">
        <v>2705</v>
      </c>
      <c r="D1384" s="152" t="s">
        <v>2398</v>
      </c>
      <c r="E1384" s="152" t="s">
        <v>2675</v>
      </c>
      <c r="F1384" s="152" t="s">
        <v>2398</v>
      </c>
      <c r="G1384" s="152" t="s">
        <v>2675</v>
      </c>
      <c r="H1384" s="152" t="s">
        <v>2398</v>
      </c>
      <c r="I1384" s="152" t="s">
        <v>2705</v>
      </c>
      <c r="J1384" s="152" t="s">
        <v>2705</v>
      </c>
      <c r="K1384" s="152" t="s">
        <v>2398</v>
      </c>
      <c r="L1384" s="152" t="s">
        <v>2398</v>
      </c>
      <c r="M1384" s="152" t="s">
        <v>2398</v>
      </c>
      <c r="N1384" s="152" t="s">
        <v>2397</v>
      </c>
      <c r="O1384" s="152" t="s">
        <v>2705</v>
      </c>
      <c r="P1384" s="152" t="s">
        <v>2705</v>
      </c>
      <c r="Q1384" s="152" t="s">
        <v>2398</v>
      </c>
      <c r="R1384" s="152" t="s">
        <v>2398</v>
      </c>
      <c r="S1384" s="152" t="s">
        <v>2398</v>
      </c>
      <c r="T1384" s="152" t="s">
        <v>2398</v>
      </c>
      <c r="U1384" s="152" t="s">
        <v>1435</v>
      </c>
      <c r="V1384" s="142" t="str" cm="1">
        <f t="array" ref="V1384">IF(A1384&lt;&gt;"",SUM(--(B1384:U1385 = "X")*$U$3,--(B1384:U1385 ="A")*$Q$3,--(B1384:U1385 ="B")*$R$3,--(B1384:U1385 ="C")*$S$3),"")</f>
        <v/>
      </c>
      <c r="AG1384" s="142" t="s">
        <v>2705</v>
      </c>
      <c r="AH1384" s="142" t="s">
        <v>2705</v>
      </c>
      <c r="AI1384" s="142" t="s">
        <v>2398</v>
      </c>
      <c r="AJ1384" s="142" t="s">
        <v>2675</v>
      </c>
      <c r="AK1384" s="142" t="s">
        <v>2398</v>
      </c>
      <c r="AL1384" s="142" t="s">
        <v>2675</v>
      </c>
      <c r="AM1384" s="142" t="s">
        <v>2398</v>
      </c>
      <c r="AN1384" s="142" t="s">
        <v>2705</v>
      </c>
      <c r="AO1384" s="142" t="s">
        <v>2705</v>
      </c>
      <c r="AP1384" s="142" t="s">
        <v>2398</v>
      </c>
      <c r="AQ1384" s="142" t="s">
        <v>2398</v>
      </c>
      <c r="AR1384" s="142" t="s">
        <v>2398</v>
      </c>
      <c r="AS1384" s="142" t="s">
        <v>2397</v>
      </c>
      <c r="AT1384" s="142" t="s">
        <v>2705</v>
      </c>
      <c r="AU1384" s="142" t="s">
        <v>2705</v>
      </c>
      <c r="AV1384" s="142" t="s">
        <v>2398</v>
      </c>
      <c r="AW1384" s="142" t="s">
        <v>2398</v>
      </c>
      <c r="AX1384" s="142" t="s">
        <v>2398</v>
      </c>
      <c r="AY1384" s="142" t="s">
        <v>2398</v>
      </c>
      <c r="AZ1384" s="142" t="s">
        <v>1435</v>
      </c>
    </row>
    <row r="1385" spans="1:52" s="142" customFormat="1" ht="12.75" x14ac:dyDescent="0.2">
      <c r="A1385" s="151" t="s">
        <v>8009</v>
      </c>
      <c r="B1385" s="152" t="s">
        <v>2705</v>
      </c>
      <c r="C1385" s="152" t="s">
        <v>1435</v>
      </c>
      <c r="D1385" s="152" t="s">
        <v>2705</v>
      </c>
      <c r="E1385" s="152" t="s">
        <v>2398</v>
      </c>
      <c r="F1385" s="152" t="s">
        <v>2705</v>
      </c>
      <c r="G1385" s="152" t="s">
        <v>2705</v>
      </c>
      <c r="H1385" s="152" t="s">
        <v>2675</v>
      </c>
      <c r="I1385" s="152" t="s">
        <v>2675</v>
      </c>
      <c r="J1385" s="152" t="s">
        <v>2398</v>
      </c>
      <c r="K1385" s="152" t="s">
        <v>2398</v>
      </c>
      <c r="L1385" s="152" t="s">
        <v>2705</v>
      </c>
      <c r="M1385" s="152" t="s">
        <v>2705</v>
      </c>
      <c r="N1385" s="152" t="s">
        <v>1435</v>
      </c>
      <c r="O1385" s="152" t="s">
        <v>1435</v>
      </c>
      <c r="P1385" s="152" t="s">
        <v>2705</v>
      </c>
      <c r="Q1385" s="152" t="s">
        <v>2398</v>
      </c>
      <c r="R1385" s="152" t="s">
        <v>2705</v>
      </c>
      <c r="S1385" s="152" t="s">
        <v>2705</v>
      </c>
      <c r="T1385" s="152" t="s">
        <v>2398</v>
      </c>
      <c r="U1385" s="152" t="s">
        <v>2675</v>
      </c>
      <c r="V1385" s="142" cm="1">
        <f t="array" ref="V1385">IF(A1385&lt;&gt;"",SUM(--(B1385:U1386 = "X")*$U$3,--(B1385:U1386 ="A")*$Q$3,--(B1385:U1386 ="B")*$R$3,--(B1385:U1386 ="C")*$S$3),"")</f>
        <v>11</v>
      </c>
      <c r="AF1385" s="142" t="s">
        <v>8009</v>
      </c>
      <c r="AG1385" s="142" t="s">
        <v>2705</v>
      </c>
      <c r="AH1385" s="142" t="s">
        <v>1435</v>
      </c>
      <c r="AI1385" s="142" t="s">
        <v>2705</v>
      </c>
      <c r="AJ1385" s="142" t="s">
        <v>2398</v>
      </c>
      <c r="AK1385" s="142" t="s">
        <v>2705</v>
      </c>
      <c r="AL1385" s="142" t="s">
        <v>2705</v>
      </c>
      <c r="AM1385" s="142" t="s">
        <v>2675</v>
      </c>
      <c r="AN1385" s="142" t="s">
        <v>2675</v>
      </c>
      <c r="AO1385" s="142" t="s">
        <v>2398</v>
      </c>
      <c r="AP1385" s="142" t="s">
        <v>2398</v>
      </c>
      <c r="AQ1385" s="142" t="s">
        <v>2705</v>
      </c>
      <c r="AR1385" s="142" t="s">
        <v>2705</v>
      </c>
      <c r="AS1385" s="142" t="s">
        <v>1435</v>
      </c>
      <c r="AT1385" s="142" t="s">
        <v>1435</v>
      </c>
      <c r="AU1385" s="142" t="s">
        <v>2705</v>
      </c>
      <c r="AV1385" s="142" t="s">
        <v>2398</v>
      </c>
      <c r="AW1385" s="142" t="s">
        <v>2705</v>
      </c>
      <c r="AX1385" s="142" t="s">
        <v>2705</v>
      </c>
      <c r="AY1385" s="142" t="s">
        <v>2398</v>
      </c>
      <c r="AZ1385" s="142" t="s">
        <v>2675</v>
      </c>
    </row>
    <row r="1386" spans="1:52" s="142" customFormat="1" ht="12.75" x14ac:dyDescent="0.2">
      <c r="A1386" s="151"/>
      <c r="B1386" s="152" t="s">
        <v>1435</v>
      </c>
      <c r="C1386" s="152" t="s">
        <v>2397</v>
      </c>
      <c r="D1386" s="152" t="s">
        <v>1435</v>
      </c>
      <c r="E1386" s="152" t="s">
        <v>1435</v>
      </c>
      <c r="F1386" s="152" t="s">
        <v>2705</v>
      </c>
      <c r="G1386" s="152" t="s">
        <v>2397</v>
      </c>
      <c r="H1386" s="152" t="s">
        <v>2705</v>
      </c>
      <c r="I1386" s="152" t="s">
        <v>2398</v>
      </c>
      <c r="J1386" s="152" t="s">
        <v>2397</v>
      </c>
      <c r="K1386" s="152" t="s">
        <v>2398</v>
      </c>
      <c r="L1386" s="152" t="s">
        <v>2398</v>
      </c>
      <c r="M1386" s="152" t="s">
        <v>1435</v>
      </c>
      <c r="N1386" s="152" t="s">
        <v>2705</v>
      </c>
      <c r="O1386" s="152" t="s">
        <v>2398</v>
      </c>
      <c r="P1386" s="152" t="s">
        <v>2398</v>
      </c>
      <c r="Q1386" s="152" t="s">
        <v>2705</v>
      </c>
      <c r="R1386" s="152" t="s">
        <v>2705</v>
      </c>
      <c r="S1386" s="152" t="s">
        <v>2398</v>
      </c>
      <c r="T1386" s="152" t="s">
        <v>2705</v>
      </c>
      <c r="U1386" s="152" t="s">
        <v>2705</v>
      </c>
      <c r="V1386" s="142" t="str" cm="1">
        <f t="array" ref="V1386">IF(A1386&lt;&gt;"",SUM(--(B1386:U1387 = "X")*$U$3,--(B1386:U1387 ="A")*$Q$3,--(B1386:U1387 ="B")*$R$3,--(B1386:U1387 ="C")*$S$3),"")</f>
        <v/>
      </c>
      <c r="AG1386" s="142" t="s">
        <v>1435</v>
      </c>
      <c r="AH1386" s="142" t="s">
        <v>2397</v>
      </c>
      <c r="AI1386" s="142" t="s">
        <v>1435</v>
      </c>
      <c r="AJ1386" s="142" t="s">
        <v>1435</v>
      </c>
      <c r="AK1386" s="142" t="s">
        <v>2705</v>
      </c>
      <c r="AL1386" s="142" t="s">
        <v>2397</v>
      </c>
      <c r="AM1386" s="142" t="s">
        <v>2705</v>
      </c>
      <c r="AN1386" s="142" t="s">
        <v>2398</v>
      </c>
      <c r="AO1386" s="142" t="s">
        <v>2397</v>
      </c>
      <c r="AP1386" s="142" t="s">
        <v>2398</v>
      </c>
      <c r="AQ1386" s="142" t="s">
        <v>2398</v>
      </c>
      <c r="AR1386" s="142" t="s">
        <v>1435</v>
      </c>
      <c r="AS1386" s="142" t="s">
        <v>2705</v>
      </c>
      <c r="AT1386" s="142" t="s">
        <v>2398</v>
      </c>
      <c r="AU1386" s="142" t="s">
        <v>2398</v>
      </c>
      <c r="AV1386" s="142" t="s">
        <v>2705</v>
      </c>
      <c r="AW1386" s="142" t="s">
        <v>2705</v>
      </c>
      <c r="AX1386" s="142" t="s">
        <v>2398</v>
      </c>
      <c r="AY1386" s="142" t="s">
        <v>2705</v>
      </c>
      <c r="AZ1386" s="142" t="s">
        <v>2705</v>
      </c>
    </row>
    <row r="1387" spans="1:52" s="142" customFormat="1" ht="12.75" x14ac:dyDescent="0.2">
      <c r="A1387" s="151" t="s">
        <v>8010</v>
      </c>
      <c r="B1387" s="152" t="s">
        <v>2705</v>
      </c>
      <c r="C1387" s="152" t="s">
        <v>2398</v>
      </c>
      <c r="D1387" s="152" t="s">
        <v>2397</v>
      </c>
      <c r="E1387" s="152" t="s">
        <v>2398</v>
      </c>
      <c r="F1387" s="152" t="s">
        <v>2705</v>
      </c>
      <c r="G1387" s="152" t="s">
        <v>1435</v>
      </c>
      <c r="H1387" s="152" t="s">
        <v>2705</v>
      </c>
      <c r="I1387" s="152" t="s">
        <v>2705</v>
      </c>
      <c r="J1387" s="152" t="s">
        <v>2705</v>
      </c>
      <c r="K1387" s="152" t="s">
        <v>2705</v>
      </c>
      <c r="L1387" s="152" t="s">
        <v>2705</v>
      </c>
      <c r="M1387" s="152" t="s">
        <v>2675</v>
      </c>
      <c r="N1387" s="152" t="s">
        <v>2705</v>
      </c>
      <c r="O1387" s="152" t="s">
        <v>2398</v>
      </c>
      <c r="P1387" s="152" t="s">
        <v>2675</v>
      </c>
      <c r="Q1387" s="152" t="s">
        <v>2398</v>
      </c>
      <c r="R1387" s="152" t="s">
        <v>2675</v>
      </c>
      <c r="S1387" s="152" t="s">
        <v>2705</v>
      </c>
      <c r="T1387" s="152" t="s">
        <v>2675</v>
      </c>
      <c r="U1387" s="152" t="s">
        <v>2398</v>
      </c>
      <c r="V1387" s="142" cm="1">
        <f t="array" ref="V1387">IF(A1387&lt;&gt;"",SUM(--(B1387:U1388 = "X")*$U$3,--(B1387:U1388 ="A")*$Q$3,--(B1387:U1388 ="B")*$R$3,--(B1387:U1388 ="C")*$S$3),"")</f>
        <v>10</v>
      </c>
      <c r="AF1387" s="142" t="s">
        <v>8010</v>
      </c>
      <c r="AG1387" s="142" t="s">
        <v>2705</v>
      </c>
      <c r="AH1387" s="142" t="s">
        <v>2398</v>
      </c>
      <c r="AI1387" s="142" t="s">
        <v>2397</v>
      </c>
      <c r="AJ1387" s="142" t="s">
        <v>2398</v>
      </c>
      <c r="AK1387" s="142" t="s">
        <v>2705</v>
      </c>
      <c r="AL1387" s="142" t="s">
        <v>1435</v>
      </c>
      <c r="AM1387" s="142" t="s">
        <v>2705</v>
      </c>
      <c r="AN1387" s="142" t="s">
        <v>2705</v>
      </c>
      <c r="AO1387" s="142" t="s">
        <v>2705</v>
      </c>
      <c r="AP1387" s="142" t="s">
        <v>2705</v>
      </c>
      <c r="AQ1387" s="142" t="s">
        <v>2705</v>
      </c>
      <c r="AR1387" s="142" t="s">
        <v>2675</v>
      </c>
      <c r="AS1387" s="142" t="s">
        <v>2705</v>
      </c>
      <c r="AT1387" s="142" t="s">
        <v>2398</v>
      </c>
      <c r="AU1387" s="142" t="s">
        <v>2675</v>
      </c>
      <c r="AV1387" s="142" t="s">
        <v>2398</v>
      </c>
      <c r="AW1387" s="142" t="s">
        <v>2675</v>
      </c>
      <c r="AX1387" s="142" t="s">
        <v>2705</v>
      </c>
      <c r="AY1387" s="142" t="s">
        <v>2675</v>
      </c>
      <c r="AZ1387" s="142" t="s">
        <v>2398</v>
      </c>
    </row>
    <row r="1388" spans="1:52" s="142" customFormat="1" ht="12.75" x14ac:dyDescent="0.2">
      <c r="A1388" s="151"/>
      <c r="B1388" s="152" t="s">
        <v>1435</v>
      </c>
      <c r="C1388" s="152" t="s">
        <v>1435</v>
      </c>
      <c r="D1388" s="152" t="s">
        <v>2675</v>
      </c>
      <c r="E1388" s="152" t="s">
        <v>2675</v>
      </c>
      <c r="F1388" s="152" t="s">
        <v>2705</v>
      </c>
      <c r="G1388" s="152" t="s">
        <v>1435</v>
      </c>
      <c r="H1388" s="152" t="s">
        <v>2675</v>
      </c>
      <c r="I1388" s="152" t="s">
        <v>2705</v>
      </c>
      <c r="J1388" s="152" t="s">
        <v>2705</v>
      </c>
      <c r="K1388" s="152" t="s">
        <v>2397</v>
      </c>
      <c r="L1388" s="152" t="s">
        <v>1435</v>
      </c>
      <c r="M1388" s="152" t="s">
        <v>2705</v>
      </c>
      <c r="N1388" s="152" t="s">
        <v>2675</v>
      </c>
      <c r="O1388" s="152" t="s">
        <v>2705</v>
      </c>
      <c r="P1388" s="152" t="s">
        <v>2705</v>
      </c>
      <c r="Q1388" s="152" t="s">
        <v>2705</v>
      </c>
      <c r="R1388" s="152" t="s">
        <v>2397</v>
      </c>
      <c r="S1388" s="152" t="s">
        <v>2705</v>
      </c>
      <c r="T1388" s="152" t="s">
        <v>2397</v>
      </c>
      <c r="U1388" s="152" t="s">
        <v>2675</v>
      </c>
      <c r="V1388" s="142" t="str" cm="1">
        <f t="array" ref="V1388">IF(A1388&lt;&gt;"",SUM(--(B1388:U1389 = "X")*$U$3,--(B1388:U1389 ="A")*$Q$3,--(B1388:U1389 ="B")*$R$3,--(B1388:U1389 ="C")*$S$3),"")</f>
        <v/>
      </c>
      <c r="AG1388" s="142" t="s">
        <v>1435</v>
      </c>
      <c r="AH1388" s="142" t="s">
        <v>1435</v>
      </c>
      <c r="AI1388" s="142" t="s">
        <v>2675</v>
      </c>
      <c r="AJ1388" s="142" t="s">
        <v>2675</v>
      </c>
      <c r="AK1388" s="142" t="s">
        <v>2705</v>
      </c>
      <c r="AL1388" s="142" t="s">
        <v>1435</v>
      </c>
      <c r="AM1388" s="142" t="s">
        <v>2675</v>
      </c>
      <c r="AN1388" s="142" t="s">
        <v>2705</v>
      </c>
      <c r="AO1388" s="142" t="s">
        <v>2705</v>
      </c>
      <c r="AP1388" s="142" t="s">
        <v>2397</v>
      </c>
      <c r="AQ1388" s="142" t="s">
        <v>1435</v>
      </c>
      <c r="AR1388" s="142" t="s">
        <v>2705</v>
      </c>
      <c r="AS1388" s="142" t="s">
        <v>2675</v>
      </c>
      <c r="AT1388" s="142" t="s">
        <v>2705</v>
      </c>
      <c r="AU1388" s="142" t="s">
        <v>2705</v>
      </c>
      <c r="AV1388" s="142" t="s">
        <v>2705</v>
      </c>
      <c r="AW1388" s="142" t="s">
        <v>2397</v>
      </c>
      <c r="AX1388" s="142" t="s">
        <v>2705</v>
      </c>
      <c r="AY1388" s="142" t="s">
        <v>2397</v>
      </c>
      <c r="AZ1388" s="142" t="s">
        <v>2675</v>
      </c>
    </row>
    <row r="1389" spans="1:52" s="142" customFormat="1" ht="12.75" x14ac:dyDescent="0.2">
      <c r="A1389" s="151" t="s">
        <v>8011</v>
      </c>
      <c r="B1389" s="152" t="s">
        <v>2398</v>
      </c>
      <c r="C1389" s="152" t="s">
        <v>2398</v>
      </c>
      <c r="D1389" s="152" t="s">
        <v>2705</v>
      </c>
      <c r="E1389" s="152" t="s">
        <v>2398</v>
      </c>
      <c r="F1389" s="152" t="s">
        <v>1435</v>
      </c>
      <c r="G1389" s="152" t="s">
        <v>2398</v>
      </c>
      <c r="H1389" s="152" t="s">
        <v>2398</v>
      </c>
      <c r="I1389" s="152" t="s">
        <v>2398</v>
      </c>
      <c r="J1389" s="152" t="s">
        <v>2398</v>
      </c>
      <c r="K1389" s="152" t="s">
        <v>2398</v>
      </c>
      <c r="L1389" s="152" t="s">
        <v>2398</v>
      </c>
      <c r="M1389" s="152" t="s">
        <v>2398</v>
      </c>
      <c r="N1389" s="152" t="s">
        <v>2398</v>
      </c>
      <c r="O1389" s="152" t="s">
        <v>2705</v>
      </c>
      <c r="P1389" s="152" t="s">
        <v>2705</v>
      </c>
      <c r="Q1389" s="152" t="s">
        <v>2705</v>
      </c>
      <c r="R1389" s="152" t="s">
        <v>2398</v>
      </c>
      <c r="S1389" s="152" t="s">
        <v>2675</v>
      </c>
      <c r="T1389" s="152" t="s">
        <v>1435</v>
      </c>
      <c r="U1389" s="152" t="s">
        <v>2705</v>
      </c>
      <c r="V1389" s="142" cm="1">
        <f t="array" ref="V1389">IF(A1389&lt;&gt;"",SUM(--(B1389:U1390 = "X")*$U$3,--(B1389:U1390 ="A")*$Q$3,--(B1389:U1390 ="B")*$R$3,--(B1389:U1390 ="C")*$S$3),"")</f>
        <v>8.5</v>
      </c>
      <c r="AF1389" s="142" t="s">
        <v>8011</v>
      </c>
      <c r="AG1389" s="142" t="s">
        <v>2398</v>
      </c>
      <c r="AH1389" s="142" t="s">
        <v>2398</v>
      </c>
      <c r="AI1389" s="142" t="s">
        <v>2705</v>
      </c>
      <c r="AJ1389" s="142" t="s">
        <v>2398</v>
      </c>
      <c r="AK1389" s="142" t="s">
        <v>1435</v>
      </c>
      <c r="AL1389" s="142" t="s">
        <v>2398</v>
      </c>
      <c r="AM1389" s="142" t="s">
        <v>2398</v>
      </c>
      <c r="AN1389" s="142" t="s">
        <v>2398</v>
      </c>
      <c r="AO1389" s="142" t="s">
        <v>2398</v>
      </c>
      <c r="AP1389" s="142" t="s">
        <v>2398</v>
      </c>
      <c r="AQ1389" s="142" t="s">
        <v>2398</v>
      </c>
      <c r="AR1389" s="142" t="s">
        <v>2398</v>
      </c>
      <c r="AS1389" s="142" t="s">
        <v>2398</v>
      </c>
      <c r="AT1389" s="142" t="s">
        <v>2705</v>
      </c>
      <c r="AU1389" s="142" t="s">
        <v>2705</v>
      </c>
      <c r="AV1389" s="142" t="s">
        <v>2705</v>
      </c>
      <c r="AW1389" s="142" t="s">
        <v>2398</v>
      </c>
      <c r="AX1389" s="142" t="s">
        <v>2675</v>
      </c>
      <c r="AY1389" s="142" t="s">
        <v>1435</v>
      </c>
      <c r="AZ1389" s="142" t="s">
        <v>2705</v>
      </c>
    </row>
    <row r="1390" spans="1:52" s="142" customFormat="1" ht="12.75" x14ac:dyDescent="0.2">
      <c r="A1390" s="151"/>
      <c r="B1390" s="152" t="s">
        <v>2705</v>
      </c>
      <c r="C1390" s="152" t="s">
        <v>2705</v>
      </c>
      <c r="D1390" s="152" t="s">
        <v>1435</v>
      </c>
      <c r="E1390" s="152" t="s">
        <v>2675</v>
      </c>
      <c r="F1390" s="152" t="s">
        <v>2398</v>
      </c>
      <c r="G1390" s="152" t="s">
        <v>2705</v>
      </c>
      <c r="H1390" s="152" t="s">
        <v>1435</v>
      </c>
      <c r="I1390" s="152" t="s">
        <v>2705</v>
      </c>
      <c r="J1390" s="152" t="s">
        <v>2398</v>
      </c>
      <c r="K1390" s="152" t="s">
        <v>1435</v>
      </c>
      <c r="L1390" s="152" t="s">
        <v>2398</v>
      </c>
      <c r="M1390" s="152" t="s">
        <v>2705</v>
      </c>
      <c r="N1390" s="152" t="s">
        <v>2675</v>
      </c>
      <c r="O1390" s="152" t="s">
        <v>2397</v>
      </c>
      <c r="P1390" s="152" t="s">
        <v>2675</v>
      </c>
      <c r="Q1390" s="152" t="s">
        <v>2398</v>
      </c>
      <c r="R1390" s="152" t="s">
        <v>2705</v>
      </c>
      <c r="S1390" s="152" t="s">
        <v>2705</v>
      </c>
      <c r="T1390" s="152" t="s">
        <v>2705</v>
      </c>
      <c r="U1390" s="152" t="s">
        <v>2398</v>
      </c>
      <c r="V1390" s="142" t="str" cm="1">
        <f t="array" ref="V1390">IF(A1390&lt;&gt;"",SUM(--(B1390:U1391 = "X")*$U$3,--(B1390:U1391 ="A")*$Q$3,--(B1390:U1391 ="B")*$R$3,--(B1390:U1391 ="C")*$S$3),"")</f>
        <v/>
      </c>
      <c r="AG1390" s="142" t="s">
        <v>2705</v>
      </c>
      <c r="AH1390" s="142" t="s">
        <v>2705</v>
      </c>
      <c r="AI1390" s="142" t="s">
        <v>1435</v>
      </c>
      <c r="AJ1390" s="142" t="s">
        <v>2675</v>
      </c>
      <c r="AK1390" s="142" t="s">
        <v>2398</v>
      </c>
      <c r="AL1390" s="142" t="s">
        <v>2705</v>
      </c>
      <c r="AM1390" s="142" t="s">
        <v>1435</v>
      </c>
      <c r="AN1390" s="142" t="s">
        <v>2705</v>
      </c>
      <c r="AO1390" s="142" t="s">
        <v>2398</v>
      </c>
      <c r="AP1390" s="142" t="s">
        <v>1435</v>
      </c>
      <c r="AQ1390" s="142" t="s">
        <v>2398</v>
      </c>
      <c r="AR1390" s="142" t="s">
        <v>2705</v>
      </c>
      <c r="AS1390" s="142" t="s">
        <v>2675</v>
      </c>
      <c r="AT1390" s="142" t="s">
        <v>2397</v>
      </c>
      <c r="AU1390" s="142" t="s">
        <v>2675</v>
      </c>
      <c r="AV1390" s="142" t="s">
        <v>2398</v>
      </c>
      <c r="AW1390" s="142" t="s">
        <v>2705</v>
      </c>
      <c r="AX1390" s="142" t="s">
        <v>2705</v>
      </c>
      <c r="AY1390" s="142" t="s">
        <v>2705</v>
      </c>
      <c r="AZ1390" s="142" t="s">
        <v>2398</v>
      </c>
    </row>
    <row r="1391" spans="1:52" s="142" customFormat="1" ht="12.75" x14ac:dyDescent="0.2">
      <c r="A1391" s="151" t="s">
        <v>8012</v>
      </c>
      <c r="B1391" s="152" t="s">
        <v>2705</v>
      </c>
      <c r="C1391" s="152" t="s">
        <v>2705</v>
      </c>
      <c r="D1391" s="152" t="s">
        <v>2398</v>
      </c>
      <c r="E1391" s="152" t="s">
        <v>2705</v>
      </c>
      <c r="F1391" s="152" t="s">
        <v>2398</v>
      </c>
      <c r="G1391" s="152" t="s">
        <v>2675</v>
      </c>
      <c r="H1391" s="152" t="s">
        <v>2705</v>
      </c>
      <c r="I1391" s="152" t="s">
        <v>2705</v>
      </c>
      <c r="J1391" s="152" t="s">
        <v>2675</v>
      </c>
      <c r="K1391" s="152" t="s">
        <v>2398</v>
      </c>
      <c r="L1391" s="152" t="s">
        <v>2705</v>
      </c>
      <c r="M1391" s="152" t="s">
        <v>2398</v>
      </c>
      <c r="N1391" s="152" t="s">
        <v>2398</v>
      </c>
      <c r="O1391" s="152" t="s">
        <v>2398</v>
      </c>
      <c r="P1391" s="152" t="s">
        <v>2675</v>
      </c>
      <c r="Q1391" s="152" t="s">
        <v>2675</v>
      </c>
      <c r="R1391" s="152" t="s">
        <v>2705</v>
      </c>
      <c r="S1391" s="152" t="s">
        <v>2705</v>
      </c>
      <c r="T1391" s="152" t="s">
        <v>2398</v>
      </c>
      <c r="U1391" s="152" t="s">
        <v>2675</v>
      </c>
      <c r="V1391" s="142" cm="1">
        <f t="array" ref="V1391">IF(A1391&lt;&gt;"",SUM(--(B1391:U1392 = "X")*$U$3,--(B1391:U1392 ="A")*$Q$3,--(B1391:U1392 ="B")*$R$3,--(B1391:U1392 ="C")*$S$3),"")</f>
        <v>11.5</v>
      </c>
      <c r="AF1391" s="142" t="s">
        <v>8012</v>
      </c>
      <c r="AG1391" s="142" t="s">
        <v>2705</v>
      </c>
      <c r="AH1391" s="142" t="s">
        <v>2705</v>
      </c>
      <c r="AI1391" s="142" t="s">
        <v>2398</v>
      </c>
      <c r="AJ1391" s="142" t="s">
        <v>2705</v>
      </c>
      <c r="AK1391" s="142" t="s">
        <v>2398</v>
      </c>
      <c r="AL1391" s="142" t="s">
        <v>2675</v>
      </c>
      <c r="AM1391" s="142" t="s">
        <v>2705</v>
      </c>
      <c r="AN1391" s="142" t="s">
        <v>2705</v>
      </c>
      <c r="AO1391" s="142" t="s">
        <v>2675</v>
      </c>
      <c r="AP1391" s="142" t="s">
        <v>2398</v>
      </c>
      <c r="AQ1391" s="142" t="s">
        <v>2705</v>
      </c>
      <c r="AR1391" s="142" t="s">
        <v>2398</v>
      </c>
      <c r="AS1391" s="142" t="s">
        <v>2398</v>
      </c>
      <c r="AT1391" s="142" t="s">
        <v>2398</v>
      </c>
      <c r="AU1391" s="142" t="s">
        <v>2675</v>
      </c>
      <c r="AV1391" s="142" t="s">
        <v>2675</v>
      </c>
      <c r="AW1391" s="142" t="s">
        <v>2705</v>
      </c>
      <c r="AX1391" s="142" t="s">
        <v>2705</v>
      </c>
      <c r="AY1391" s="142" t="s">
        <v>2398</v>
      </c>
      <c r="AZ1391" s="142" t="s">
        <v>2675</v>
      </c>
    </row>
    <row r="1392" spans="1:52" s="142" customFormat="1" ht="12.75" x14ac:dyDescent="0.2">
      <c r="A1392" s="151"/>
      <c r="B1392" s="152" t="s">
        <v>2397</v>
      </c>
      <c r="C1392" s="152" t="s">
        <v>2705</v>
      </c>
      <c r="D1392" s="152" t="s">
        <v>2705</v>
      </c>
      <c r="E1392" s="152" t="s">
        <v>2398</v>
      </c>
      <c r="F1392" s="152" t="s">
        <v>2705</v>
      </c>
      <c r="G1392" s="152" t="s">
        <v>1435</v>
      </c>
      <c r="H1392" s="152" t="s">
        <v>2705</v>
      </c>
      <c r="I1392" s="152" t="s">
        <v>2705</v>
      </c>
      <c r="J1392" s="152" t="s">
        <v>2705</v>
      </c>
      <c r="K1392" s="152" t="s">
        <v>2397</v>
      </c>
      <c r="L1392" s="152" t="s">
        <v>1435</v>
      </c>
      <c r="M1392" s="152" t="s">
        <v>2705</v>
      </c>
      <c r="N1392" s="152" t="s">
        <v>2398</v>
      </c>
      <c r="O1392" s="152" t="s">
        <v>2397</v>
      </c>
      <c r="P1392" s="152" t="s">
        <v>2675</v>
      </c>
      <c r="Q1392" s="152" t="s">
        <v>2705</v>
      </c>
      <c r="R1392" s="152" t="s">
        <v>1435</v>
      </c>
      <c r="S1392" s="152" t="s">
        <v>2675</v>
      </c>
      <c r="T1392" s="152" t="s">
        <v>2705</v>
      </c>
      <c r="U1392" s="152" t="s">
        <v>2675</v>
      </c>
      <c r="V1392" s="142" t="str" cm="1">
        <f t="array" ref="V1392">IF(A1392&lt;&gt;"",SUM(--(B1392:U1393 = "X")*$U$3,--(B1392:U1393 ="A")*$Q$3,--(B1392:U1393 ="B")*$R$3,--(B1392:U1393 ="C")*$S$3),"")</f>
        <v/>
      </c>
      <c r="AG1392" s="142" t="s">
        <v>2397</v>
      </c>
      <c r="AH1392" s="142" t="s">
        <v>2705</v>
      </c>
      <c r="AI1392" s="142" t="s">
        <v>2705</v>
      </c>
      <c r="AJ1392" s="142" t="s">
        <v>2398</v>
      </c>
      <c r="AK1392" s="142" t="s">
        <v>2705</v>
      </c>
      <c r="AL1392" s="142" t="s">
        <v>1435</v>
      </c>
      <c r="AM1392" s="142" t="s">
        <v>2705</v>
      </c>
      <c r="AN1392" s="142" t="s">
        <v>2705</v>
      </c>
      <c r="AO1392" s="142" t="s">
        <v>2705</v>
      </c>
      <c r="AP1392" s="142" t="s">
        <v>2397</v>
      </c>
      <c r="AQ1392" s="142" t="s">
        <v>1435</v>
      </c>
      <c r="AR1392" s="142" t="s">
        <v>2705</v>
      </c>
      <c r="AS1392" s="142" t="s">
        <v>2398</v>
      </c>
      <c r="AT1392" s="142" t="s">
        <v>2397</v>
      </c>
      <c r="AU1392" s="142" t="s">
        <v>2675</v>
      </c>
      <c r="AV1392" s="142" t="s">
        <v>2705</v>
      </c>
      <c r="AW1392" s="142" t="s">
        <v>1435</v>
      </c>
      <c r="AX1392" s="142" t="s">
        <v>2675</v>
      </c>
      <c r="AY1392" s="142" t="s">
        <v>2705</v>
      </c>
      <c r="AZ1392" s="142" t="s">
        <v>2675</v>
      </c>
    </row>
    <row r="1393" spans="1:52" s="142" customFormat="1" ht="12.75" x14ac:dyDescent="0.2">
      <c r="A1393" s="151" t="s">
        <v>8013</v>
      </c>
      <c r="B1393" s="152" t="s">
        <v>2398</v>
      </c>
      <c r="C1393" s="152" t="s">
        <v>2398</v>
      </c>
      <c r="D1393" s="152" t="s">
        <v>2398</v>
      </c>
      <c r="E1393" s="152" t="s">
        <v>2705</v>
      </c>
      <c r="F1393" s="152" t="s">
        <v>2705</v>
      </c>
      <c r="G1393" s="152" t="s">
        <v>2398</v>
      </c>
      <c r="H1393" s="152" t="s">
        <v>2675</v>
      </c>
      <c r="I1393" s="152" t="s">
        <v>2675</v>
      </c>
      <c r="J1393" s="152" t="s">
        <v>1435</v>
      </c>
      <c r="K1393" s="152" t="s">
        <v>2705</v>
      </c>
      <c r="L1393" s="152" t="s">
        <v>2705</v>
      </c>
      <c r="M1393" s="152" t="s">
        <v>2705</v>
      </c>
      <c r="N1393" s="152" t="s">
        <v>2705</v>
      </c>
      <c r="O1393" s="152" t="s">
        <v>2398</v>
      </c>
      <c r="P1393" s="152" t="s">
        <v>2398</v>
      </c>
      <c r="Q1393" s="152" t="s">
        <v>2705</v>
      </c>
      <c r="R1393" s="152" t="s">
        <v>2675</v>
      </c>
      <c r="S1393" s="152" t="s">
        <v>2705</v>
      </c>
      <c r="T1393" s="152" t="s">
        <v>2675</v>
      </c>
      <c r="U1393" s="152" t="s">
        <v>2398</v>
      </c>
      <c r="V1393" s="142" cm="1">
        <f t="array" ref="V1393">IF(A1393&lt;&gt;"",SUM(--(B1393:U1394 = "X")*$U$3,--(B1393:U1394 ="A")*$Q$3,--(B1393:U1394 ="B")*$R$3,--(B1393:U1394 ="C")*$S$3),"")</f>
        <v>9</v>
      </c>
      <c r="AF1393" s="142" t="s">
        <v>8013</v>
      </c>
      <c r="AG1393" s="142" t="s">
        <v>2398</v>
      </c>
      <c r="AH1393" s="142" t="s">
        <v>2398</v>
      </c>
      <c r="AI1393" s="142" t="s">
        <v>2398</v>
      </c>
      <c r="AJ1393" s="142" t="s">
        <v>2705</v>
      </c>
      <c r="AK1393" s="142" t="s">
        <v>2705</v>
      </c>
      <c r="AL1393" s="142" t="s">
        <v>2398</v>
      </c>
      <c r="AM1393" s="142" t="s">
        <v>2675</v>
      </c>
      <c r="AN1393" s="142" t="s">
        <v>2675</v>
      </c>
      <c r="AO1393" s="142" t="s">
        <v>1435</v>
      </c>
      <c r="AP1393" s="142" t="s">
        <v>2705</v>
      </c>
      <c r="AQ1393" s="142" t="s">
        <v>2705</v>
      </c>
      <c r="AR1393" s="142" t="s">
        <v>2705</v>
      </c>
      <c r="AS1393" s="142" t="s">
        <v>2705</v>
      </c>
      <c r="AT1393" s="142" t="s">
        <v>2398</v>
      </c>
      <c r="AU1393" s="142" t="s">
        <v>2398</v>
      </c>
      <c r="AV1393" s="142" t="s">
        <v>2705</v>
      </c>
      <c r="AW1393" s="142" t="s">
        <v>2675</v>
      </c>
      <c r="AX1393" s="142" t="s">
        <v>2705</v>
      </c>
      <c r="AY1393" s="142" t="s">
        <v>2675</v>
      </c>
      <c r="AZ1393" s="142" t="s">
        <v>2398</v>
      </c>
    </row>
    <row r="1394" spans="1:52" s="142" customFormat="1" ht="12.75" x14ac:dyDescent="0.2">
      <c r="A1394" s="151"/>
      <c r="B1394" s="152" t="s">
        <v>2398</v>
      </c>
      <c r="C1394" s="152" t="s">
        <v>2398</v>
      </c>
      <c r="D1394" s="152" t="s">
        <v>2705</v>
      </c>
      <c r="E1394" s="152" t="s">
        <v>2398</v>
      </c>
      <c r="F1394" s="152" t="s">
        <v>2705</v>
      </c>
      <c r="G1394" s="152" t="s">
        <v>2398</v>
      </c>
      <c r="H1394" s="152" t="s">
        <v>2398</v>
      </c>
      <c r="I1394" s="152" t="s">
        <v>2705</v>
      </c>
      <c r="J1394" s="152" t="s">
        <v>2398</v>
      </c>
      <c r="K1394" s="152" t="s">
        <v>2398</v>
      </c>
      <c r="L1394" s="152" t="s">
        <v>2398</v>
      </c>
      <c r="M1394" s="152" t="s">
        <v>2675</v>
      </c>
      <c r="N1394" s="152" t="s">
        <v>2398</v>
      </c>
      <c r="O1394" s="152" t="s">
        <v>2398</v>
      </c>
      <c r="P1394" s="152" t="s">
        <v>2398</v>
      </c>
      <c r="Q1394" s="152" t="s">
        <v>2705</v>
      </c>
      <c r="R1394" s="152" t="s">
        <v>2398</v>
      </c>
      <c r="S1394" s="152" t="s">
        <v>2675</v>
      </c>
      <c r="T1394" s="152" t="s">
        <v>2705</v>
      </c>
      <c r="U1394" s="152" t="s">
        <v>2675</v>
      </c>
      <c r="V1394" s="142" t="str" cm="1">
        <f t="array" ref="V1394">IF(A1394&lt;&gt;"",SUM(--(B1394:U1395 = "X")*$U$3,--(B1394:U1395 ="A")*$Q$3,--(B1394:U1395 ="B")*$R$3,--(B1394:U1395 ="C")*$S$3),"")</f>
        <v/>
      </c>
      <c r="AG1394" s="142" t="s">
        <v>2398</v>
      </c>
      <c r="AH1394" s="142" t="s">
        <v>2398</v>
      </c>
      <c r="AI1394" s="142" t="s">
        <v>2705</v>
      </c>
      <c r="AJ1394" s="142" t="s">
        <v>2398</v>
      </c>
      <c r="AK1394" s="142" t="s">
        <v>2705</v>
      </c>
      <c r="AL1394" s="142" t="s">
        <v>2398</v>
      </c>
      <c r="AM1394" s="142" t="s">
        <v>2398</v>
      </c>
      <c r="AN1394" s="142" t="s">
        <v>2705</v>
      </c>
      <c r="AO1394" s="142" t="s">
        <v>2398</v>
      </c>
      <c r="AP1394" s="142" t="s">
        <v>2398</v>
      </c>
      <c r="AQ1394" s="142" t="s">
        <v>2398</v>
      </c>
      <c r="AR1394" s="142" t="s">
        <v>2675</v>
      </c>
      <c r="AS1394" s="142" t="s">
        <v>2398</v>
      </c>
      <c r="AT1394" s="142" t="s">
        <v>2398</v>
      </c>
      <c r="AU1394" s="142" t="s">
        <v>2398</v>
      </c>
      <c r="AV1394" s="142" t="s">
        <v>2705</v>
      </c>
      <c r="AW1394" s="142" t="s">
        <v>2398</v>
      </c>
      <c r="AX1394" s="142" t="s">
        <v>2675</v>
      </c>
      <c r="AY1394" s="142" t="s">
        <v>2705</v>
      </c>
      <c r="AZ1394" s="142" t="s">
        <v>2675</v>
      </c>
    </row>
    <row r="1395" spans="1:52" s="142" customFormat="1" ht="12.75" x14ac:dyDescent="0.2">
      <c r="A1395" s="151" t="s">
        <v>8014</v>
      </c>
      <c r="B1395" s="152" t="s">
        <v>2705</v>
      </c>
      <c r="C1395" s="152" t="s">
        <v>2398</v>
      </c>
      <c r="D1395" s="152" t="s">
        <v>2705</v>
      </c>
      <c r="E1395" s="152" t="s">
        <v>1435</v>
      </c>
      <c r="F1395" s="152" t="s">
        <v>2675</v>
      </c>
      <c r="G1395" s="152" t="s">
        <v>1435</v>
      </c>
      <c r="H1395" s="152" t="s">
        <v>2705</v>
      </c>
      <c r="I1395" s="152" t="s">
        <v>2398</v>
      </c>
      <c r="J1395" s="152" t="s">
        <v>1435</v>
      </c>
      <c r="K1395" s="152" t="s">
        <v>2398</v>
      </c>
      <c r="L1395" s="152" t="s">
        <v>2398</v>
      </c>
      <c r="M1395" s="152" t="s">
        <v>2705</v>
      </c>
      <c r="N1395" s="152" t="s">
        <v>2398</v>
      </c>
      <c r="O1395" s="152" t="s">
        <v>2398</v>
      </c>
      <c r="P1395" s="152" t="s">
        <v>2398</v>
      </c>
      <c r="Q1395" s="152" t="s">
        <v>2705</v>
      </c>
      <c r="R1395" s="152" t="s">
        <v>2705</v>
      </c>
      <c r="S1395" s="152" t="s">
        <v>2675</v>
      </c>
      <c r="T1395" s="152" t="s">
        <v>2397</v>
      </c>
      <c r="U1395" s="152" t="s">
        <v>2705</v>
      </c>
      <c r="V1395" s="142" cm="1">
        <f t="array" ref="V1395">IF(A1395&lt;&gt;"",SUM(--(B1395:U1396 = "X")*$U$3,--(B1395:U1396 ="A")*$Q$3,--(B1395:U1396 ="B")*$R$3,--(B1395:U1396 ="C")*$S$3),"")</f>
        <v>4.5</v>
      </c>
      <c r="AF1395" s="142" t="s">
        <v>8014</v>
      </c>
      <c r="AG1395" s="142" t="s">
        <v>2705</v>
      </c>
      <c r="AH1395" s="142" t="s">
        <v>2398</v>
      </c>
      <c r="AI1395" s="142" t="s">
        <v>2705</v>
      </c>
      <c r="AJ1395" s="142" t="s">
        <v>1435</v>
      </c>
      <c r="AK1395" s="142" t="s">
        <v>2675</v>
      </c>
      <c r="AL1395" s="142" t="s">
        <v>1435</v>
      </c>
      <c r="AM1395" s="142" t="s">
        <v>2705</v>
      </c>
      <c r="AN1395" s="142" t="s">
        <v>2398</v>
      </c>
      <c r="AO1395" s="142" t="s">
        <v>1435</v>
      </c>
      <c r="AP1395" s="142" t="s">
        <v>2398</v>
      </c>
      <c r="AQ1395" s="142" t="s">
        <v>2398</v>
      </c>
      <c r="AR1395" s="142" t="s">
        <v>2705</v>
      </c>
      <c r="AS1395" s="142" t="s">
        <v>2398</v>
      </c>
      <c r="AT1395" s="142" t="s">
        <v>2398</v>
      </c>
      <c r="AU1395" s="142" t="s">
        <v>2398</v>
      </c>
      <c r="AV1395" s="142" t="s">
        <v>2705</v>
      </c>
      <c r="AW1395" s="142" t="s">
        <v>2705</v>
      </c>
      <c r="AX1395" s="142" t="s">
        <v>2675</v>
      </c>
      <c r="AY1395" s="142" t="s">
        <v>2397</v>
      </c>
      <c r="AZ1395" s="142" t="s">
        <v>2705</v>
      </c>
    </row>
    <row r="1396" spans="1:52" s="142" customFormat="1" ht="12.75" x14ac:dyDescent="0.2">
      <c r="A1396" s="151"/>
      <c r="B1396" s="152" t="s">
        <v>2398</v>
      </c>
      <c r="C1396" s="152" t="s">
        <v>2398</v>
      </c>
      <c r="D1396" s="152" t="s">
        <v>2705</v>
      </c>
      <c r="E1396" s="152" t="s">
        <v>1435</v>
      </c>
      <c r="F1396" s="152" t="s">
        <v>2398</v>
      </c>
      <c r="G1396" s="152" t="s">
        <v>2675</v>
      </c>
      <c r="H1396" s="152" t="s">
        <v>2705</v>
      </c>
      <c r="I1396" s="152" t="s">
        <v>1435</v>
      </c>
      <c r="J1396" s="152" t="s">
        <v>1435</v>
      </c>
      <c r="K1396" s="152" t="s">
        <v>2398</v>
      </c>
      <c r="L1396" s="152" t="s">
        <v>1435</v>
      </c>
      <c r="M1396" s="152" t="s">
        <v>2398</v>
      </c>
      <c r="N1396" s="152" t="s">
        <v>1435</v>
      </c>
      <c r="O1396" s="152" t="s">
        <v>2675</v>
      </c>
      <c r="P1396" s="152" t="s">
        <v>2675</v>
      </c>
      <c r="Q1396" s="152" t="s">
        <v>2705</v>
      </c>
      <c r="R1396" s="152" t="s">
        <v>2675</v>
      </c>
      <c r="S1396" s="152" t="s">
        <v>2705</v>
      </c>
      <c r="T1396" s="152" t="s">
        <v>2705</v>
      </c>
      <c r="U1396" s="152" t="s">
        <v>1435</v>
      </c>
      <c r="V1396" s="142" t="str" cm="1">
        <f t="array" ref="V1396">IF(A1396&lt;&gt;"",SUM(--(B1396:U1397 = "X")*$U$3,--(B1396:U1397 ="A")*$Q$3,--(B1396:U1397 ="B")*$R$3,--(B1396:U1397 ="C")*$S$3),"")</f>
        <v/>
      </c>
      <c r="AG1396" s="142" t="s">
        <v>2398</v>
      </c>
      <c r="AH1396" s="142" t="s">
        <v>2398</v>
      </c>
      <c r="AI1396" s="142" t="s">
        <v>2705</v>
      </c>
      <c r="AJ1396" s="142" t="s">
        <v>1435</v>
      </c>
      <c r="AK1396" s="142" t="s">
        <v>2398</v>
      </c>
      <c r="AL1396" s="142" t="s">
        <v>2675</v>
      </c>
      <c r="AM1396" s="142" t="s">
        <v>2705</v>
      </c>
      <c r="AN1396" s="142" t="s">
        <v>1435</v>
      </c>
      <c r="AO1396" s="142" t="s">
        <v>1435</v>
      </c>
      <c r="AP1396" s="142" t="s">
        <v>2398</v>
      </c>
      <c r="AQ1396" s="142" t="s">
        <v>1435</v>
      </c>
      <c r="AR1396" s="142" t="s">
        <v>2398</v>
      </c>
      <c r="AS1396" s="142" t="s">
        <v>1435</v>
      </c>
      <c r="AT1396" s="142" t="s">
        <v>2675</v>
      </c>
      <c r="AU1396" s="142" t="s">
        <v>2675</v>
      </c>
      <c r="AV1396" s="142" t="s">
        <v>2705</v>
      </c>
      <c r="AW1396" s="142" t="s">
        <v>2675</v>
      </c>
      <c r="AX1396" s="142" t="s">
        <v>2705</v>
      </c>
      <c r="AY1396" s="142" t="s">
        <v>2705</v>
      </c>
      <c r="AZ1396" s="142" t="s">
        <v>1435</v>
      </c>
    </row>
    <row r="1397" spans="1:52" s="142" customFormat="1" ht="12.75" x14ac:dyDescent="0.2">
      <c r="A1397" s="151" t="s">
        <v>8015</v>
      </c>
      <c r="B1397" s="152" t="s">
        <v>2705</v>
      </c>
      <c r="C1397" s="152" t="s">
        <v>2398</v>
      </c>
      <c r="D1397" s="152" t="s">
        <v>2675</v>
      </c>
      <c r="E1397" s="152" t="s">
        <v>2398</v>
      </c>
      <c r="F1397" s="152" t="s">
        <v>2398</v>
      </c>
      <c r="G1397" s="152" t="s">
        <v>2398</v>
      </c>
      <c r="H1397" s="152" t="s">
        <v>2397</v>
      </c>
      <c r="I1397" s="152" t="s">
        <v>2398</v>
      </c>
      <c r="J1397" s="152" t="s">
        <v>2675</v>
      </c>
      <c r="K1397" s="152" t="s">
        <v>2398</v>
      </c>
      <c r="L1397" s="152" t="s">
        <v>2398</v>
      </c>
      <c r="M1397" s="152" t="s">
        <v>2397</v>
      </c>
      <c r="N1397" s="152" t="s">
        <v>2398</v>
      </c>
      <c r="O1397" s="152" t="s">
        <v>2705</v>
      </c>
      <c r="P1397" s="152" t="s">
        <v>2398</v>
      </c>
      <c r="Q1397" s="152" t="s">
        <v>2398</v>
      </c>
      <c r="R1397" s="152" t="s">
        <v>2398</v>
      </c>
      <c r="S1397" s="152" t="s">
        <v>2398</v>
      </c>
      <c r="T1397" s="152" t="s">
        <v>2398</v>
      </c>
      <c r="U1397" s="152" t="s">
        <v>2705</v>
      </c>
      <c r="V1397" s="142" cm="1">
        <f t="array" ref="V1397">IF(A1397&lt;&gt;"",SUM(--(B1397:U1398 = "X")*$U$3,--(B1397:U1398 ="A")*$Q$3,--(B1397:U1398 ="B")*$R$3,--(B1397:U1398 ="C")*$S$3),"")</f>
        <v>3</v>
      </c>
      <c r="AF1397" s="142" t="s">
        <v>8015</v>
      </c>
      <c r="AG1397" s="142" t="s">
        <v>2705</v>
      </c>
      <c r="AH1397" s="142" t="s">
        <v>2398</v>
      </c>
      <c r="AI1397" s="142" t="s">
        <v>2675</v>
      </c>
      <c r="AJ1397" s="142" t="s">
        <v>2398</v>
      </c>
      <c r="AK1397" s="142" t="s">
        <v>2398</v>
      </c>
      <c r="AL1397" s="142" t="s">
        <v>2398</v>
      </c>
      <c r="AM1397" s="142" t="s">
        <v>2397</v>
      </c>
      <c r="AN1397" s="142" t="s">
        <v>2398</v>
      </c>
      <c r="AO1397" s="142" t="s">
        <v>2675</v>
      </c>
      <c r="AP1397" s="142" t="s">
        <v>2398</v>
      </c>
      <c r="AQ1397" s="142" t="s">
        <v>2398</v>
      </c>
      <c r="AR1397" s="142" t="s">
        <v>2397</v>
      </c>
      <c r="AS1397" s="142" t="s">
        <v>2398</v>
      </c>
      <c r="AT1397" s="142" t="s">
        <v>2705</v>
      </c>
      <c r="AU1397" s="142" t="s">
        <v>2398</v>
      </c>
      <c r="AV1397" s="142" t="s">
        <v>2398</v>
      </c>
      <c r="AW1397" s="142" t="s">
        <v>2398</v>
      </c>
      <c r="AX1397" s="142" t="s">
        <v>2398</v>
      </c>
      <c r="AY1397" s="142" t="s">
        <v>2398</v>
      </c>
      <c r="AZ1397" s="142" t="s">
        <v>2705</v>
      </c>
    </row>
    <row r="1398" spans="1:52" s="142" customFormat="1" ht="12.75" x14ac:dyDescent="0.2">
      <c r="A1398" s="151"/>
      <c r="B1398" s="152" t="s">
        <v>2398</v>
      </c>
      <c r="C1398" s="152" t="s">
        <v>2398</v>
      </c>
      <c r="D1398" s="152" t="s">
        <v>2398</v>
      </c>
      <c r="E1398" s="152" t="s">
        <v>2398</v>
      </c>
      <c r="F1398" s="152" t="s">
        <v>2398</v>
      </c>
      <c r="G1398" s="152" t="s">
        <v>2398</v>
      </c>
      <c r="H1398" s="152" t="s">
        <v>2398</v>
      </c>
      <c r="I1398" s="152" t="s">
        <v>2398</v>
      </c>
      <c r="J1398" s="152" t="s">
        <v>2398</v>
      </c>
      <c r="K1398" s="152" t="s">
        <v>2398</v>
      </c>
      <c r="L1398" s="152" t="s">
        <v>2398</v>
      </c>
      <c r="M1398" s="152" t="s">
        <v>2398</v>
      </c>
      <c r="N1398" s="152" t="s">
        <v>2398</v>
      </c>
      <c r="O1398" s="152" t="s">
        <v>2398</v>
      </c>
      <c r="P1398" s="152" t="s">
        <v>2398</v>
      </c>
      <c r="Q1398" s="152" t="s">
        <v>2705</v>
      </c>
      <c r="R1398" s="152" t="s">
        <v>2398</v>
      </c>
      <c r="S1398" s="152" t="s">
        <v>2398</v>
      </c>
      <c r="T1398" s="152" t="s">
        <v>2398</v>
      </c>
      <c r="U1398" s="152" t="s">
        <v>2398</v>
      </c>
      <c r="V1398" s="142" t="str" cm="1">
        <f t="array" ref="V1398">IF(A1398&lt;&gt;"",SUM(--(B1398:U1399 = "X")*$U$3,--(B1398:U1399 ="A")*$Q$3,--(B1398:U1399 ="B")*$R$3,--(B1398:U1399 ="C")*$S$3),"")</f>
        <v/>
      </c>
      <c r="AG1398" s="142" t="s">
        <v>2398</v>
      </c>
      <c r="AH1398" s="142" t="s">
        <v>2398</v>
      </c>
      <c r="AI1398" s="142" t="s">
        <v>2398</v>
      </c>
      <c r="AJ1398" s="142" t="s">
        <v>2398</v>
      </c>
      <c r="AK1398" s="142" t="s">
        <v>2398</v>
      </c>
      <c r="AL1398" s="142" t="s">
        <v>2398</v>
      </c>
      <c r="AM1398" s="142" t="s">
        <v>2398</v>
      </c>
      <c r="AN1398" s="142" t="s">
        <v>2398</v>
      </c>
      <c r="AO1398" s="142" t="s">
        <v>2398</v>
      </c>
      <c r="AP1398" s="142" t="s">
        <v>2398</v>
      </c>
      <c r="AQ1398" s="142" t="s">
        <v>2398</v>
      </c>
      <c r="AR1398" s="142" t="s">
        <v>2398</v>
      </c>
      <c r="AS1398" s="142" t="s">
        <v>2398</v>
      </c>
      <c r="AT1398" s="142" t="s">
        <v>2398</v>
      </c>
      <c r="AU1398" s="142" t="s">
        <v>2398</v>
      </c>
      <c r="AV1398" s="142" t="s">
        <v>2705</v>
      </c>
      <c r="AW1398" s="142" t="s">
        <v>2398</v>
      </c>
      <c r="AX1398" s="142" t="s">
        <v>2398</v>
      </c>
      <c r="AY1398" s="142" t="s">
        <v>2398</v>
      </c>
      <c r="AZ1398" s="142" t="s">
        <v>2398</v>
      </c>
    </row>
    <row r="1399" spans="1:52" s="142" customFormat="1" ht="12.75" x14ac:dyDescent="0.2">
      <c r="A1399" s="151" t="s">
        <v>8016</v>
      </c>
      <c r="B1399" s="152" t="s">
        <v>2398</v>
      </c>
      <c r="C1399" s="152" t="s">
        <v>2705</v>
      </c>
      <c r="D1399" s="152" t="s">
        <v>2398</v>
      </c>
      <c r="E1399" s="152" t="s">
        <v>2705</v>
      </c>
      <c r="F1399" s="152" t="s">
        <v>2398</v>
      </c>
      <c r="G1399" s="152" t="s">
        <v>1435</v>
      </c>
      <c r="H1399" s="152" t="s">
        <v>2705</v>
      </c>
      <c r="I1399" s="152" t="s">
        <v>2398</v>
      </c>
      <c r="J1399" s="152" t="s">
        <v>2705</v>
      </c>
      <c r="K1399" s="152" t="s">
        <v>2705</v>
      </c>
      <c r="L1399" s="152" t="s">
        <v>2705</v>
      </c>
      <c r="M1399" s="152" t="s">
        <v>2398</v>
      </c>
      <c r="N1399" s="152" t="s">
        <v>2675</v>
      </c>
      <c r="O1399" s="152" t="s">
        <v>2398</v>
      </c>
      <c r="P1399" s="152" t="s">
        <v>2398</v>
      </c>
      <c r="Q1399" s="152" t="s">
        <v>2705</v>
      </c>
      <c r="R1399" s="152" t="s">
        <v>2705</v>
      </c>
      <c r="S1399" s="152" t="s">
        <v>2705</v>
      </c>
      <c r="T1399" s="152" t="s">
        <v>2705</v>
      </c>
      <c r="U1399" s="152" t="s">
        <v>2675</v>
      </c>
      <c r="V1399" s="142" cm="1">
        <f t="array" ref="V1399">IF(A1399&lt;&gt;"",SUM(--(B1399:U1400 = "X")*$U$3,--(B1399:U1400 ="A")*$Q$3,--(B1399:U1400 ="B")*$R$3,--(B1399:U1400 ="C")*$S$3),"")</f>
        <v>18.5</v>
      </c>
      <c r="AF1399" s="142" t="s">
        <v>8016</v>
      </c>
      <c r="AG1399" s="142" t="s">
        <v>2398</v>
      </c>
      <c r="AH1399" s="142" t="s">
        <v>2705</v>
      </c>
      <c r="AI1399" s="142" t="s">
        <v>2398</v>
      </c>
      <c r="AJ1399" s="142" t="s">
        <v>2705</v>
      </c>
      <c r="AK1399" s="142" t="s">
        <v>2398</v>
      </c>
      <c r="AL1399" s="142" t="s">
        <v>1435</v>
      </c>
      <c r="AM1399" s="142" t="s">
        <v>2705</v>
      </c>
      <c r="AN1399" s="142" t="s">
        <v>2398</v>
      </c>
      <c r="AO1399" s="142" t="s">
        <v>2705</v>
      </c>
      <c r="AP1399" s="142" t="s">
        <v>2705</v>
      </c>
      <c r="AQ1399" s="142" t="s">
        <v>2705</v>
      </c>
      <c r="AR1399" s="142" t="s">
        <v>2398</v>
      </c>
      <c r="AS1399" s="142" t="s">
        <v>2675</v>
      </c>
      <c r="AT1399" s="142" t="s">
        <v>2398</v>
      </c>
      <c r="AU1399" s="142" t="s">
        <v>2398</v>
      </c>
      <c r="AV1399" s="142" t="s">
        <v>2705</v>
      </c>
      <c r="AW1399" s="142" t="s">
        <v>2705</v>
      </c>
      <c r="AX1399" s="142" t="s">
        <v>2705</v>
      </c>
      <c r="AY1399" s="142" t="s">
        <v>2705</v>
      </c>
      <c r="AZ1399" s="142" t="s">
        <v>2675</v>
      </c>
    </row>
    <row r="1400" spans="1:52" s="142" customFormat="1" ht="12.75" x14ac:dyDescent="0.2">
      <c r="A1400" s="151"/>
      <c r="B1400" s="152" t="s">
        <v>2398</v>
      </c>
      <c r="C1400" s="152" t="s">
        <v>2705</v>
      </c>
      <c r="D1400" s="152" t="s">
        <v>2705</v>
      </c>
      <c r="E1400" s="152" t="s">
        <v>2705</v>
      </c>
      <c r="F1400" s="152" t="s">
        <v>2705</v>
      </c>
      <c r="G1400" s="152" t="s">
        <v>1435</v>
      </c>
      <c r="H1400" s="152" t="s">
        <v>2675</v>
      </c>
      <c r="I1400" s="152" t="s">
        <v>2705</v>
      </c>
      <c r="J1400" s="152" t="s">
        <v>2705</v>
      </c>
      <c r="K1400" s="152" t="s">
        <v>2705</v>
      </c>
      <c r="L1400" s="152" t="s">
        <v>2398</v>
      </c>
      <c r="M1400" s="152" t="s">
        <v>2398</v>
      </c>
      <c r="N1400" s="152" t="s">
        <v>2705</v>
      </c>
      <c r="O1400" s="152" t="s">
        <v>2398</v>
      </c>
      <c r="P1400" s="152" t="s">
        <v>2398</v>
      </c>
      <c r="Q1400" s="152" t="s">
        <v>2705</v>
      </c>
      <c r="R1400" s="152" t="s">
        <v>2705</v>
      </c>
      <c r="S1400" s="152" t="s">
        <v>2398</v>
      </c>
      <c r="T1400" s="152" t="s">
        <v>2705</v>
      </c>
      <c r="U1400" s="152" t="s">
        <v>2398</v>
      </c>
      <c r="V1400" s="142" t="str" cm="1">
        <f t="array" ref="V1400">IF(A1400&lt;&gt;"",SUM(--(B1400:U1401 = "X")*$U$3,--(B1400:U1401 ="A")*$Q$3,--(B1400:U1401 ="B")*$R$3,--(B1400:U1401 ="C")*$S$3),"")</f>
        <v/>
      </c>
      <c r="AG1400" s="142" t="s">
        <v>2398</v>
      </c>
      <c r="AH1400" s="142" t="s">
        <v>2705</v>
      </c>
      <c r="AI1400" s="142" t="s">
        <v>2705</v>
      </c>
      <c r="AJ1400" s="142" t="s">
        <v>2705</v>
      </c>
      <c r="AK1400" s="142" t="s">
        <v>2705</v>
      </c>
      <c r="AL1400" s="142" t="s">
        <v>1435</v>
      </c>
      <c r="AM1400" s="142" t="s">
        <v>2675</v>
      </c>
      <c r="AN1400" s="142" t="s">
        <v>2705</v>
      </c>
      <c r="AO1400" s="142" t="s">
        <v>2705</v>
      </c>
      <c r="AP1400" s="142" t="s">
        <v>2705</v>
      </c>
      <c r="AQ1400" s="142" t="s">
        <v>2398</v>
      </c>
      <c r="AR1400" s="142" t="s">
        <v>2398</v>
      </c>
      <c r="AS1400" s="142" t="s">
        <v>2705</v>
      </c>
      <c r="AT1400" s="142" t="s">
        <v>2398</v>
      </c>
      <c r="AU1400" s="142" t="s">
        <v>2398</v>
      </c>
      <c r="AV1400" s="142" t="s">
        <v>2705</v>
      </c>
      <c r="AW1400" s="142" t="s">
        <v>2705</v>
      </c>
      <c r="AX1400" s="142" t="s">
        <v>2398</v>
      </c>
      <c r="AY1400" s="142" t="s">
        <v>2705</v>
      </c>
      <c r="AZ1400" s="142" t="s">
        <v>2398</v>
      </c>
    </row>
    <row r="1401" spans="1:52" s="142" customFormat="1" ht="12.75" x14ac:dyDescent="0.2">
      <c r="A1401" s="151" t="s">
        <v>8017</v>
      </c>
      <c r="B1401" s="152" t="s">
        <v>2705</v>
      </c>
      <c r="C1401" s="152" t="s">
        <v>2397</v>
      </c>
      <c r="D1401" s="152" t="s">
        <v>2705</v>
      </c>
      <c r="E1401" s="152" t="s">
        <v>2705</v>
      </c>
      <c r="F1401" s="152" t="s">
        <v>2705</v>
      </c>
      <c r="G1401" s="152" t="s">
        <v>2705</v>
      </c>
      <c r="H1401" s="152" t="s">
        <v>2398</v>
      </c>
      <c r="I1401" s="152" t="s">
        <v>2397</v>
      </c>
      <c r="J1401" s="152" t="s">
        <v>2397</v>
      </c>
      <c r="K1401" s="152" t="s">
        <v>1435</v>
      </c>
      <c r="L1401" s="152" t="s">
        <v>2705</v>
      </c>
      <c r="M1401" s="152" t="s">
        <v>1435</v>
      </c>
      <c r="N1401" s="152" t="s">
        <v>2705</v>
      </c>
      <c r="O1401" s="152" t="s">
        <v>2705</v>
      </c>
      <c r="P1401" s="152" t="s">
        <v>2675</v>
      </c>
      <c r="Q1401" s="152" t="s">
        <v>2397</v>
      </c>
      <c r="R1401" s="152" t="s">
        <v>2675</v>
      </c>
      <c r="S1401" s="152" t="s">
        <v>2398</v>
      </c>
      <c r="T1401" s="152" t="s">
        <v>2705</v>
      </c>
      <c r="U1401" s="152" t="s">
        <v>2705</v>
      </c>
      <c r="V1401" s="142" cm="1">
        <f t="array" ref="V1401">IF(A1401&lt;&gt;"",SUM(--(B1401:U1402 = "X")*$U$3,--(B1401:U1402 ="A")*$Q$3,--(B1401:U1402 ="B")*$R$3,--(B1401:U1402 ="C")*$S$3),"")</f>
        <v>15</v>
      </c>
      <c r="AF1401" s="142" t="s">
        <v>8017</v>
      </c>
      <c r="AG1401" s="142" t="s">
        <v>2705</v>
      </c>
      <c r="AH1401" s="142" t="s">
        <v>2397</v>
      </c>
      <c r="AI1401" s="142" t="s">
        <v>2705</v>
      </c>
      <c r="AJ1401" s="142" t="s">
        <v>2705</v>
      </c>
      <c r="AK1401" s="142" t="s">
        <v>2705</v>
      </c>
      <c r="AL1401" s="142" t="s">
        <v>2705</v>
      </c>
      <c r="AM1401" s="142" t="s">
        <v>2398</v>
      </c>
      <c r="AN1401" s="142" t="s">
        <v>2397</v>
      </c>
      <c r="AO1401" s="142" t="s">
        <v>2397</v>
      </c>
      <c r="AP1401" s="142" t="s">
        <v>1435</v>
      </c>
      <c r="AQ1401" s="142" t="s">
        <v>2705</v>
      </c>
      <c r="AR1401" s="142" t="s">
        <v>1435</v>
      </c>
      <c r="AS1401" s="142" t="s">
        <v>2705</v>
      </c>
      <c r="AT1401" s="142" t="s">
        <v>2705</v>
      </c>
      <c r="AU1401" s="142" t="s">
        <v>2675</v>
      </c>
      <c r="AV1401" s="142" t="s">
        <v>2397</v>
      </c>
      <c r="AW1401" s="142" t="s">
        <v>2675</v>
      </c>
      <c r="AX1401" s="142" t="s">
        <v>2398</v>
      </c>
      <c r="AY1401" s="142" t="s">
        <v>2705</v>
      </c>
      <c r="AZ1401" s="142" t="s">
        <v>2705</v>
      </c>
    </row>
    <row r="1402" spans="1:52" s="142" customFormat="1" ht="12.75" x14ac:dyDescent="0.2">
      <c r="A1402" s="151"/>
      <c r="B1402" s="152" t="s">
        <v>2397</v>
      </c>
      <c r="C1402" s="152" t="s">
        <v>2398</v>
      </c>
      <c r="D1402" s="152" t="s">
        <v>2675</v>
      </c>
      <c r="E1402" s="152" t="s">
        <v>2398</v>
      </c>
      <c r="F1402" s="152" t="s">
        <v>2398</v>
      </c>
      <c r="G1402" s="152" t="s">
        <v>2705</v>
      </c>
      <c r="H1402" s="152" t="s">
        <v>2675</v>
      </c>
      <c r="I1402" s="152" t="s">
        <v>2398</v>
      </c>
      <c r="J1402" s="152" t="s">
        <v>2705</v>
      </c>
      <c r="K1402" s="152" t="s">
        <v>2705</v>
      </c>
      <c r="L1402" s="152" t="s">
        <v>2705</v>
      </c>
      <c r="M1402" s="152" t="s">
        <v>2398</v>
      </c>
      <c r="N1402" s="152" t="s">
        <v>2705</v>
      </c>
      <c r="O1402" s="152" t="s">
        <v>2705</v>
      </c>
      <c r="P1402" s="152" t="s">
        <v>2705</v>
      </c>
      <c r="Q1402" s="152" t="s">
        <v>2705</v>
      </c>
      <c r="R1402" s="152" t="s">
        <v>2675</v>
      </c>
      <c r="S1402" s="152" t="s">
        <v>2397</v>
      </c>
      <c r="T1402" s="152" t="s">
        <v>2705</v>
      </c>
      <c r="U1402" s="152" t="s">
        <v>1435</v>
      </c>
      <c r="V1402" s="142" t="str" cm="1">
        <f t="array" ref="V1402">IF(A1402&lt;&gt;"",SUM(--(B1402:U1403 = "X")*$U$3,--(B1402:U1403 ="A")*$Q$3,--(B1402:U1403 ="B")*$R$3,--(B1402:U1403 ="C")*$S$3),"")</f>
        <v/>
      </c>
      <c r="AG1402" s="142" t="s">
        <v>2397</v>
      </c>
      <c r="AH1402" s="142" t="s">
        <v>2398</v>
      </c>
      <c r="AI1402" s="142" t="s">
        <v>2675</v>
      </c>
      <c r="AJ1402" s="142" t="s">
        <v>2398</v>
      </c>
      <c r="AK1402" s="142" t="s">
        <v>2398</v>
      </c>
      <c r="AL1402" s="142" t="s">
        <v>2705</v>
      </c>
      <c r="AM1402" s="142" t="s">
        <v>2675</v>
      </c>
      <c r="AN1402" s="142" t="s">
        <v>2398</v>
      </c>
      <c r="AO1402" s="142" t="s">
        <v>2705</v>
      </c>
      <c r="AP1402" s="142" t="s">
        <v>2705</v>
      </c>
      <c r="AQ1402" s="142" t="s">
        <v>2705</v>
      </c>
      <c r="AR1402" s="142" t="s">
        <v>2398</v>
      </c>
      <c r="AS1402" s="142" t="s">
        <v>2705</v>
      </c>
      <c r="AT1402" s="142" t="s">
        <v>2705</v>
      </c>
      <c r="AU1402" s="142" t="s">
        <v>2705</v>
      </c>
      <c r="AV1402" s="142" t="s">
        <v>2705</v>
      </c>
      <c r="AW1402" s="142" t="s">
        <v>2675</v>
      </c>
      <c r="AX1402" s="142" t="s">
        <v>2397</v>
      </c>
      <c r="AY1402" s="142" t="s">
        <v>2705</v>
      </c>
      <c r="AZ1402" s="142" t="s">
        <v>1435</v>
      </c>
    </row>
    <row r="1403" spans="1:52" s="142" customFormat="1" ht="12.75" x14ac:dyDescent="0.2">
      <c r="A1403" s="151" t="s">
        <v>8018</v>
      </c>
      <c r="B1403" s="152" t="s">
        <v>1435</v>
      </c>
      <c r="C1403" s="152" t="s">
        <v>2398</v>
      </c>
      <c r="D1403" s="152" t="s">
        <v>2705</v>
      </c>
      <c r="E1403" s="152" t="s">
        <v>2705</v>
      </c>
      <c r="F1403" s="152" t="s">
        <v>1435</v>
      </c>
      <c r="G1403" s="152" t="s">
        <v>2398</v>
      </c>
      <c r="H1403" s="152" t="s">
        <v>2398</v>
      </c>
      <c r="I1403" s="152" t="s">
        <v>2398</v>
      </c>
      <c r="J1403" s="152" t="s">
        <v>2705</v>
      </c>
      <c r="K1403" s="152" t="s">
        <v>2398</v>
      </c>
      <c r="L1403" s="152" t="s">
        <v>2675</v>
      </c>
      <c r="M1403" s="152" t="s">
        <v>2705</v>
      </c>
      <c r="N1403" s="152" t="s">
        <v>1435</v>
      </c>
      <c r="O1403" s="152" t="s">
        <v>1435</v>
      </c>
      <c r="P1403" s="152" t="s">
        <v>2705</v>
      </c>
      <c r="Q1403" s="152" t="s">
        <v>2675</v>
      </c>
      <c r="R1403" s="152" t="s">
        <v>2398</v>
      </c>
      <c r="S1403" s="152" t="s">
        <v>2705</v>
      </c>
      <c r="T1403" s="152" t="s">
        <v>2398</v>
      </c>
      <c r="U1403" s="152" t="s">
        <v>2398</v>
      </c>
      <c r="V1403" s="142" cm="1">
        <f t="array" ref="V1403">IF(A1403&lt;&gt;"",SUM(--(B1403:U1404 = "X")*$U$3,--(B1403:U1404 ="A")*$Q$3,--(B1403:U1404 ="B")*$R$3,--(B1403:U1404 ="C")*$S$3),"")</f>
        <v>6</v>
      </c>
      <c r="AF1403" s="142" t="s">
        <v>8018</v>
      </c>
      <c r="AG1403" s="142" t="s">
        <v>1435</v>
      </c>
      <c r="AH1403" s="142" t="s">
        <v>2398</v>
      </c>
      <c r="AI1403" s="142" t="s">
        <v>2705</v>
      </c>
      <c r="AJ1403" s="142" t="s">
        <v>2705</v>
      </c>
      <c r="AK1403" s="142" t="s">
        <v>1435</v>
      </c>
      <c r="AL1403" s="142" t="s">
        <v>2398</v>
      </c>
      <c r="AM1403" s="142" t="s">
        <v>2398</v>
      </c>
      <c r="AN1403" s="142" t="s">
        <v>2398</v>
      </c>
      <c r="AO1403" s="142" t="s">
        <v>2705</v>
      </c>
      <c r="AP1403" s="142" t="s">
        <v>2398</v>
      </c>
      <c r="AQ1403" s="142" t="s">
        <v>2675</v>
      </c>
      <c r="AR1403" s="142" t="s">
        <v>2705</v>
      </c>
      <c r="AS1403" s="142" t="s">
        <v>1435</v>
      </c>
      <c r="AT1403" s="142" t="s">
        <v>1435</v>
      </c>
      <c r="AU1403" s="142" t="s">
        <v>2705</v>
      </c>
      <c r="AV1403" s="142" t="s">
        <v>2675</v>
      </c>
      <c r="AW1403" s="142" t="s">
        <v>2398</v>
      </c>
      <c r="AX1403" s="142" t="s">
        <v>2705</v>
      </c>
      <c r="AY1403" s="142" t="s">
        <v>2398</v>
      </c>
      <c r="AZ1403" s="142" t="s">
        <v>2398</v>
      </c>
    </row>
    <row r="1404" spans="1:52" s="142" customFormat="1" ht="12.75" x14ac:dyDescent="0.2">
      <c r="A1404" s="151"/>
      <c r="B1404" s="152" t="s">
        <v>2398</v>
      </c>
      <c r="C1404" s="152" t="s">
        <v>2397</v>
      </c>
      <c r="D1404" s="152" t="s">
        <v>2705</v>
      </c>
      <c r="E1404" s="152" t="s">
        <v>2398</v>
      </c>
      <c r="F1404" s="152" t="s">
        <v>2398</v>
      </c>
      <c r="G1404" s="152" t="s">
        <v>2397</v>
      </c>
      <c r="H1404" s="152" t="s">
        <v>1435</v>
      </c>
      <c r="I1404" s="152" t="s">
        <v>2705</v>
      </c>
      <c r="J1404" s="152" t="s">
        <v>2398</v>
      </c>
      <c r="K1404" s="152" t="s">
        <v>1435</v>
      </c>
      <c r="L1404" s="152" t="s">
        <v>2705</v>
      </c>
      <c r="M1404" s="152" t="s">
        <v>2705</v>
      </c>
      <c r="N1404" s="152" t="s">
        <v>2675</v>
      </c>
      <c r="O1404" s="152" t="s">
        <v>2397</v>
      </c>
      <c r="P1404" s="152" t="s">
        <v>2398</v>
      </c>
      <c r="Q1404" s="152" t="s">
        <v>1435</v>
      </c>
      <c r="R1404" s="152" t="s">
        <v>2398</v>
      </c>
      <c r="S1404" s="152" t="s">
        <v>2397</v>
      </c>
      <c r="T1404" s="152" t="s">
        <v>2705</v>
      </c>
      <c r="U1404" s="152" t="s">
        <v>2398</v>
      </c>
      <c r="V1404" s="142" t="str" cm="1">
        <f t="array" ref="V1404">IF(A1404&lt;&gt;"",SUM(--(B1404:U1405 = "X")*$U$3,--(B1404:U1405 ="A")*$Q$3,--(B1404:U1405 ="B")*$R$3,--(B1404:U1405 ="C")*$S$3),"")</f>
        <v/>
      </c>
      <c r="AG1404" s="142" t="s">
        <v>2398</v>
      </c>
      <c r="AH1404" s="142" t="s">
        <v>2397</v>
      </c>
      <c r="AI1404" s="142" t="s">
        <v>2705</v>
      </c>
      <c r="AJ1404" s="142" t="s">
        <v>2398</v>
      </c>
      <c r="AK1404" s="142" t="s">
        <v>2398</v>
      </c>
      <c r="AL1404" s="142" t="s">
        <v>2397</v>
      </c>
      <c r="AM1404" s="142" t="s">
        <v>1435</v>
      </c>
      <c r="AN1404" s="142" t="s">
        <v>2705</v>
      </c>
      <c r="AO1404" s="142" t="s">
        <v>2398</v>
      </c>
      <c r="AP1404" s="142" t="s">
        <v>1435</v>
      </c>
      <c r="AQ1404" s="142" t="s">
        <v>2705</v>
      </c>
      <c r="AR1404" s="142" t="s">
        <v>2705</v>
      </c>
      <c r="AS1404" s="142" t="s">
        <v>2675</v>
      </c>
      <c r="AT1404" s="142" t="s">
        <v>2397</v>
      </c>
      <c r="AU1404" s="142" t="s">
        <v>2398</v>
      </c>
      <c r="AV1404" s="142" t="s">
        <v>1435</v>
      </c>
      <c r="AW1404" s="142" t="s">
        <v>2398</v>
      </c>
      <c r="AX1404" s="142" t="s">
        <v>2397</v>
      </c>
      <c r="AY1404" s="142" t="s">
        <v>2705</v>
      </c>
      <c r="AZ1404" s="142" t="s">
        <v>2398</v>
      </c>
    </row>
    <row r="1405" spans="1:52" s="142" customFormat="1" ht="12.75" x14ac:dyDescent="0.2">
      <c r="A1405" s="151" t="s">
        <v>8019</v>
      </c>
      <c r="B1405" s="152" t="s">
        <v>2398</v>
      </c>
      <c r="C1405" s="152" t="s">
        <v>2675</v>
      </c>
      <c r="D1405" s="152" t="s">
        <v>2398</v>
      </c>
      <c r="E1405" s="152" t="s">
        <v>2705</v>
      </c>
      <c r="F1405" s="152" t="s">
        <v>2397</v>
      </c>
      <c r="G1405" s="152" t="s">
        <v>1435</v>
      </c>
      <c r="H1405" s="152" t="s">
        <v>1435</v>
      </c>
      <c r="I1405" s="152" t="s">
        <v>2675</v>
      </c>
      <c r="J1405" s="152" t="s">
        <v>2675</v>
      </c>
      <c r="K1405" s="152" t="s">
        <v>2397</v>
      </c>
      <c r="L1405" s="152" t="s">
        <v>2398</v>
      </c>
      <c r="M1405" s="152" t="s">
        <v>2398</v>
      </c>
      <c r="N1405" s="152" t="s">
        <v>2675</v>
      </c>
      <c r="O1405" s="152" t="s">
        <v>2398</v>
      </c>
      <c r="P1405" s="152" t="s">
        <v>2398</v>
      </c>
      <c r="Q1405" s="152" t="s">
        <v>1435</v>
      </c>
      <c r="R1405" s="152" t="s">
        <v>1435</v>
      </c>
      <c r="S1405" s="152" t="s">
        <v>2705</v>
      </c>
      <c r="T1405" s="152" t="s">
        <v>2398</v>
      </c>
      <c r="U1405" s="152" t="s">
        <v>2705</v>
      </c>
      <c r="V1405" s="142" cm="1">
        <f t="array" ref="V1405">IF(A1405&lt;&gt;"",SUM(--(B1405:U1406 = "X")*$U$3,--(B1405:U1406 ="A")*$Q$3,--(B1405:U1406 ="B")*$R$3,--(B1405:U1406 ="C")*$S$3),"")</f>
        <v>-1</v>
      </c>
      <c r="AF1405" s="142" t="s">
        <v>8019</v>
      </c>
      <c r="AG1405" s="142" t="s">
        <v>2398</v>
      </c>
      <c r="AH1405" s="142" t="s">
        <v>2675</v>
      </c>
      <c r="AI1405" s="142" t="s">
        <v>2398</v>
      </c>
      <c r="AJ1405" s="142" t="s">
        <v>2705</v>
      </c>
      <c r="AK1405" s="142" t="s">
        <v>2397</v>
      </c>
      <c r="AL1405" s="142" t="s">
        <v>1435</v>
      </c>
      <c r="AM1405" s="142" t="s">
        <v>1435</v>
      </c>
      <c r="AN1405" s="142" t="s">
        <v>2675</v>
      </c>
      <c r="AO1405" s="142" t="s">
        <v>2675</v>
      </c>
      <c r="AP1405" s="142" t="s">
        <v>2397</v>
      </c>
      <c r="AQ1405" s="142" t="s">
        <v>2398</v>
      </c>
      <c r="AR1405" s="142" t="s">
        <v>2398</v>
      </c>
      <c r="AS1405" s="142" t="s">
        <v>2675</v>
      </c>
      <c r="AT1405" s="142" t="s">
        <v>2398</v>
      </c>
      <c r="AU1405" s="142" t="s">
        <v>2398</v>
      </c>
      <c r="AV1405" s="142" t="s">
        <v>1435</v>
      </c>
      <c r="AW1405" s="142" t="s">
        <v>1435</v>
      </c>
      <c r="AX1405" s="142" t="s">
        <v>2705</v>
      </c>
      <c r="AY1405" s="142" t="s">
        <v>2398</v>
      </c>
      <c r="AZ1405" s="142" t="s">
        <v>2705</v>
      </c>
    </row>
    <row r="1406" spans="1:52" s="142" customFormat="1" ht="12.75" x14ac:dyDescent="0.2">
      <c r="A1406" s="151"/>
      <c r="B1406" s="152" t="s">
        <v>2675</v>
      </c>
      <c r="C1406" s="152" t="s">
        <v>2398</v>
      </c>
      <c r="D1406" s="152" t="s">
        <v>2705</v>
      </c>
      <c r="E1406" s="152" t="s">
        <v>2398</v>
      </c>
      <c r="F1406" s="152" t="s">
        <v>2675</v>
      </c>
      <c r="G1406" s="152" t="s">
        <v>1435</v>
      </c>
      <c r="H1406" s="152" t="s">
        <v>2398</v>
      </c>
      <c r="I1406" s="152" t="s">
        <v>2675</v>
      </c>
      <c r="J1406" s="152" t="s">
        <v>1435</v>
      </c>
      <c r="K1406" s="152" t="s">
        <v>2675</v>
      </c>
      <c r="L1406" s="152" t="s">
        <v>2675</v>
      </c>
      <c r="M1406" s="152" t="s">
        <v>2397</v>
      </c>
      <c r="N1406" s="152" t="s">
        <v>2398</v>
      </c>
      <c r="O1406" s="152" t="s">
        <v>2398</v>
      </c>
      <c r="P1406" s="152" t="s">
        <v>2705</v>
      </c>
      <c r="Q1406" s="152" t="s">
        <v>2705</v>
      </c>
      <c r="R1406" s="152" t="s">
        <v>2675</v>
      </c>
      <c r="S1406" s="152" t="s">
        <v>2705</v>
      </c>
      <c r="T1406" s="152" t="s">
        <v>2398</v>
      </c>
      <c r="U1406" s="152" t="s">
        <v>2398</v>
      </c>
      <c r="V1406" s="142" t="str" cm="1">
        <f t="array" ref="V1406">IF(A1406&lt;&gt;"",SUM(--(B1406:U1407 = "X")*$U$3,--(B1406:U1407 ="A")*$Q$3,--(B1406:U1407 ="B")*$R$3,--(B1406:U1407 ="C")*$S$3),"")</f>
        <v/>
      </c>
      <c r="AG1406" s="142" t="s">
        <v>2675</v>
      </c>
      <c r="AH1406" s="142" t="s">
        <v>2398</v>
      </c>
      <c r="AI1406" s="142" t="s">
        <v>2705</v>
      </c>
      <c r="AJ1406" s="142" t="s">
        <v>2398</v>
      </c>
      <c r="AK1406" s="142" t="s">
        <v>2675</v>
      </c>
      <c r="AL1406" s="142" t="s">
        <v>1435</v>
      </c>
      <c r="AM1406" s="142" t="s">
        <v>2398</v>
      </c>
      <c r="AN1406" s="142" t="s">
        <v>2675</v>
      </c>
      <c r="AO1406" s="142" t="s">
        <v>1435</v>
      </c>
      <c r="AP1406" s="142" t="s">
        <v>2675</v>
      </c>
      <c r="AQ1406" s="142" t="s">
        <v>2675</v>
      </c>
      <c r="AR1406" s="142" t="s">
        <v>2397</v>
      </c>
      <c r="AS1406" s="142" t="s">
        <v>2398</v>
      </c>
      <c r="AT1406" s="142" t="s">
        <v>2398</v>
      </c>
      <c r="AU1406" s="142" t="s">
        <v>2705</v>
      </c>
      <c r="AV1406" s="142" t="s">
        <v>2705</v>
      </c>
      <c r="AW1406" s="142" t="s">
        <v>2675</v>
      </c>
      <c r="AX1406" s="142" t="s">
        <v>2705</v>
      </c>
      <c r="AY1406" s="142" t="s">
        <v>2398</v>
      </c>
      <c r="AZ1406" s="142" t="s">
        <v>2398</v>
      </c>
    </row>
    <row r="1407" spans="1:52" s="142" customFormat="1" ht="12.75" x14ac:dyDescent="0.2">
      <c r="A1407" s="151" t="s">
        <v>8020</v>
      </c>
      <c r="B1407" s="152" t="s">
        <v>2398</v>
      </c>
      <c r="C1407" s="152" t="s">
        <v>1435</v>
      </c>
      <c r="D1407" s="152" t="s">
        <v>2398</v>
      </c>
      <c r="E1407" s="152" t="s">
        <v>2705</v>
      </c>
      <c r="F1407" s="152" t="s">
        <v>2398</v>
      </c>
      <c r="G1407" s="152" t="s">
        <v>2398</v>
      </c>
      <c r="H1407" s="152" t="s">
        <v>2705</v>
      </c>
      <c r="I1407" s="152" t="s">
        <v>2705</v>
      </c>
      <c r="J1407" s="152" t="s">
        <v>2675</v>
      </c>
      <c r="K1407" s="152" t="s">
        <v>2397</v>
      </c>
      <c r="L1407" s="152" t="s">
        <v>2675</v>
      </c>
      <c r="M1407" s="152" t="s">
        <v>2398</v>
      </c>
      <c r="N1407" s="152" t="s">
        <v>2675</v>
      </c>
      <c r="O1407" s="152" t="s">
        <v>2705</v>
      </c>
      <c r="P1407" s="152" t="s">
        <v>2398</v>
      </c>
      <c r="Q1407" s="152" t="s">
        <v>2675</v>
      </c>
      <c r="R1407" s="152" t="s">
        <v>2705</v>
      </c>
      <c r="S1407" s="152" t="s">
        <v>2705</v>
      </c>
      <c r="T1407" s="152" t="s">
        <v>2398</v>
      </c>
      <c r="U1407" s="152" t="s">
        <v>2705</v>
      </c>
      <c r="V1407" s="142" cm="1">
        <f t="array" ref="V1407">IF(A1407&lt;&gt;"",SUM(--(B1407:U1408 = "X")*$U$3,--(B1407:U1408 ="A")*$Q$3,--(B1407:U1408 ="B")*$R$3,--(B1407:U1408 ="C")*$S$3),"")</f>
        <v>10.5</v>
      </c>
      <c r="AF1407" s="142" t="s">
        <v>8020</v>
      </c>
      <c r="AG1407" s="142" t="s">
        <v>2398</v>
      </c>
      <c r="AH1407" s="142" t="s">
        <v>1435</v>
      </c>
      <c r="AI1407" s="142" t="s">
        <v>2398</v>
      </c>
      <c r="AJ1407" s="142" t="s">
        <v>2705</v>
      </c>
      <c r="AK1407" s="142" t="s">
        <v>2398</v>
      </c>
      <c r="AL1407" s="142" t="s">
        <v>2398</v>
      </c>
      <c r="AM1407" s="142" t="s">
        <v>2705</v>
      </c>
      <c r="AN1407" s="142" t="s">
        <v>2705</v>
      </c>
      <c r="AO1407" s="142" t="s">
        <v>2675</v>
      </c>
      <c r="AP1407" s="142" t="s">
        <v>2397</v>
      </c>
      <c r="AQ1407" s="142" t="s">
        <v>2675</v>
      </c>
      <c r="AR1407" s="142" t="s">
        <v>2398</v>
      </c>
      <c r="AS1407" s="142" t="s">
        <v>2675</v>
      </c>
      <c r="AT1407" s="142" t="s">
        <v>2705</v>
      </c>
      <c r="AU1407" s="142" t="s">
        <v>2398</v>
      </c>
      <c r="AV1407" s="142" t="s">
        <v>2675</v>
      </c>
      <c r="AW1407" s="142" t="s">
        <v>2705</v>
      </c>
      <c r="AX1407" s="142" t="s">
        <v>2705</v>
      </c>
      <c r="AY1407" s="142" t="s">
        <v>2398</v>
      </c>
      <c r="AZ1407" s="142" t="s">
        <v>2705</v>
      </c>
    </row>
    <row r="1408" spans="1:52" s="142" customFormat="1" ht="12.75" x14ac:dyDescent="0.2">
      <c r="A1408" s="151"/>
      <c r="B1408" s="152" t="s">
        <v>2398</v>
      </c>
      <c r="C1408" s="152" t="s">
        <v>2397</v>
      </c>
      <c r="D1408" s="152" t="s">
        <v>2705</v>
      </c>
      <c r="E1408" s="152" t="s">
        <v>2705</v>
      </c>
      <c r="F1408" s="152" t="s">
        <v>2705</v>
      </c>
      <c r="G1408" s="152" t="s">
        <v>2398</v>
      </c>
      <c r="H1408" s="152" t="s">
        <v>2705</v>
      </c>
      <c r="I1408" s="152" t="s">
        <v>2675</v>
      </c>
      <c r="J1408" s="152" t="s">
        <v>2398</v>
      </c>
      <c r="K1408" s="152" t="s">
        <v>1435</v>
      </c>
      <c r="L1408" s="152" t="s">
        <v>2705</v>
      </c>
      <c r="M1408" s="152" t="s">
        <v>1435</v>
      </c>
      <c r="N1408" s="152" t="s">
        <v>2705</v>
      </c>
      <c r="O1408" s="152" t="s">
        <v>2398</v>
      </c>
      <c r="P1408" s="152" t="s">
        <v>1435</v>
      </c>
      <c r="Q1408" s="152" t="s">
        <v>2398</v>
      </c>
      <c r="R1408" s="152" t="s">
        <v>2397</v>
      </c>
      <c r="S1408" s="152" t="s">
        <v>2397</v>
      </c>
      <c r="T1408" s="152" t="s">
        <v>2705</v>
      </c>
      <c r="U1408" s="152" t="s">
        <v>2705</v>
      </c>
      <c r="V1408" s="142" t="str" cm="1">
        <f t="array" ref="V1408">IF(A1408&lt;&gt;"",SUM(--(B1408:U1409 = "X")*$U$3,--(B1408:U1409 ="A")*$Q$3,--(B1408:U1409 ="B")*$R$3,--(B1408:U1409 ="C")*$S$3),"")</f>
        <v/>
      </c>
      <c r="AG1408" s="142" t="s">
        <v>2398</v>
      </c>
      <c r="AH1408" s="142" t="s">
        <v>2397</v>
      </c>
      <c r="AI1408" s="142" t="s">
        <v>2705</v>
      </c>
      <c r="AJ1408" s="142" t="s">
        <v>2705</v>
      </c>
      <c r="AK1408" s="142" t="s">
        <v>2705</v>
      </c>
      <c r="AL1408" s="142" t="s">
        <v>2398</v>
      </c>
      <c r="AM1408" s="142" t="s">
        <v>2705</v>
      </c>
      <c r="AN1408" s="142" t="s">
        <v>2675</v>
      </c>
      <c r="AO1408" s="142" t="s">
        <v>2398</v>
      </c>
      <c r="AP1408" s="142" t="s">
        <v>1435</v>
      </c>
      <c r="AQ1408" s="142" t="s">
        <v>2705</v>
      </c>
      <c r="AR1408" s="142" t="s">
        <v>1435</v>
      </c>
      <c r="AS1408" s="142" t="s">
        <v>2705</v>
      </c>
      <c r="AT1408" s="142" t="s">
        <v>2398</v>
      </c>
      <c r="AU1408" s="142" t="s">
        <v>1435</v>
      </c>
      <c r="AV1408" s="142" t="s">
        <v>2398</v>
      </c>
      <c r="AW1408" s="142" t="s">
        <v>2397</v>
      </c>
      <c r="AX1408" s="142" t="s">
        <v>2397</v>
      </c>
      <c r="AY1408" s="142" t="s">
        <v>2705</v>
      </c>
      <c r="AZ1408" s="142" t="s">
        <v>2705</v>
      </c>
    </row>
    <row r="1409" spans="1:52" s="142" customFormat="1" ht="12.75" x14ac:dyDescent="0.2">
      <c r="A1409" s="151" t="s">
        <v>8021</v>
      </c>
      <c r="B1409" s="152" t="s">
        <v>2398</v>
      </c>
      <c r="C1409" s="152" t="s">
        <v>2398</v>
      </c>
      <c r="D1409" s="152" t="s">
        <v>2675</v>
      </c>
      <c r="E1409" s="152" t="s">
        <v>2705</v>
      </c>
      <c r="F1409" s="152" t="s">
        <v>2705</v>
      </c>
      <c r="G1409" s="152" t="s">
        <v>2398</v>
      </c>
      <c r="H1409" s="152" t="s">
        <v>2398</v>
      </c>
      <c r="I1409" s="152" t="s">
        <v>2675</v>
      </c>
      <c r="J1409" s="152" t="s">
        <v>2398</v>
      </c>
      <c r="K1409" s="152" t="s">
        <v>2398</v>
      </c>
      <c r="L1409" s="152" t="s">
        <v>2705</v>
      </c>
      <c r="M1409" s="152" t="s">
        <v>2705</v>
      </c>
      <c r="N1409" s="152" t="s">
        <v>2675</v>
      </c>
      <c r="O1409" s="152" t="s">
        <v>2705</v>
      </c>
      <c r="P1409" s="152" t="s">
        <v>2398</v>
      </c>
      <c r="Q1409" s="152" t="s">
        <v>2705</v>
      </c>
      <c r="R1409" s="152" t="s">
        <v>2705</v>
      </c>
      <c r="S1409" s="152" t="s">
        <v>2705</v>
      </c>
      <c r="T1409" s="152" t="s">
        <v>2398</v>
      </c>
      <c r="U1409" s="152" t="s">
        <v>2398</v>
      </c>
      <c r="V1409" s="142" cm="1">
        <f t="array" ref="V1409">IF(A1409&lt;&gt;"",SUM(--(B1409:U1410 = "X")*$U$3,--(B1409:U1410 ="A")*$Q$3,--(B1409:U1410 ="B")*$R$3,--(B1409:U1410 ="C")*$S$3),"")</f>
        <v>12</v>
      </c>
      <c r="AF1409" s="142" t="s">
        <v>8021</v>
      </c>
      <c r="AG1409" s="142" t="s">
        <v>2398</v>
      </c>
      <c r="AH1409" s="142" t="s">
        <v>2398</v>
      </c>
      <c r="AI1409" s="142" t="s">
        <v>2675</v>
      </c>
      <c r="AJ1409" s="142" t="s">
        <v>2705</v>
      </c>
      <c r="AK1409" s="142" t="s">
        <v>2705</v>
      </c>
      <c r="AL1409" s="142" t="s">
        <v>2398</v>
      </c>
      <c r="AM1409" s="142" t="s">
        <v>2398</v>
      </c>
      <c r="AN1409" s="142" t="s">
        <v>2675</v>
      </c>
      <c r="AO1409" s="142" t="s">
        <v>2398</v>
      </c>
      <c r="AP1409" s="142" t="s">
        <v>2398</v>
      </c>
      <c r="AQ1409" s="142" t="s">
        <v>2705</v>
      </c>
      <c r="AR1409" s="142" t="s">
        <v>2705</v>
      </c>
      <c r="AS1409" s="142" t="s">
        <v>2675</v>
      </c>
      <c r="AT1409" s="142" t="s">
        <v>2705</v>
      </c>
      <c r="AU1409" s="142" t="s">
        <v>2398</v>
      </c>
      <c r="AV1409" s="142" t="s">
        <v>2705</v>
      </c>
      <c r="AW1409" s="142" t="s">
        <v>2705</v>
      </c>
      <c r="AX1409" s="142" t="s">
        <v>2705</v>
      </c>
      <c r="AY1409" s="142" t="s">
        <v>2398</v>
      </c>
      <c r="AZ1409" s="142" t="s">
        <v>2398</v>
      </c>
    </row>
    <row r="1410" spans="1:52" s="142" customFormat="1" ht="12.75" x14ac:dyDescent="0.2">
      <c r="A1410" s="151"/>
      <c r="B1410" s="152" t="s">
        <v>2398</v>
      </c>
      <c r="C1410" s="152" t="s">
        <v>2705</v>
      </c>
      <c r="D1410" s="152" t="s">
        <v>1435</v>
      </c>
      <c r="E1410" s="152" t="s">
        <v>2675</v>
      </c>
      <c r="F1410" s="152" t="s">
        <v>2705</v>
      </c>
      <c r="G1410" s="152" t="s">
        <v>2705</v>
      </c>
      <c r="H1410" s="152" t="s">
        <v>1435</v>
      </c>
      <c r="I1410" s="152" t="s">
        <v>2398</v>
      </c>
      <c r="J1410" s="152" t="s">
        <v>2398</v>
      </c>
      <c r="K1410" s="152" t="s">
        <v>2705</v>
      </c>
      <c r="L1410" s="152" t="s">
        <v>2398</v>
      </c>
      <c r="M1410" s="152" t="s">
        <v>2705</v>
      </c>
      <c r="N1410" s="152" t="s">
        <v>2705</v>
      </c>
      <c r="O1410" s="152" t="s">
        <v>2397</v>
      </c>
      <c r="P1410" s="152" t="s">
        <v>1435</v>
      </c>
      <c r="Q1410" s="152" t="s">
        <v>2705</v>
      </c>
      <c r="R1410" s="152" t="s">
        <v>2398</v>
      </c>
      <c r="S1410" s="152" t="s">
        <v>2705</v>
      </c>
      <c r="T1410" s="152" t="s">
        <v>2398</v>
      </c>
      <c r="U1410" s="152" t="s">
        <v>2675</v>
      </c>
      <c r="V1410" s="142" t="str" cm="1">
        <f t="array" ref="V1410">IF(A1410&lt;&gt;"",SUM(--(B1410:U1411 = "X")*$U$3,--(B1410:U1411 ="A")*$Q$3,--(B1410:U1411 ="B")*$R$3,--(B1410:U1411 ="C")*$S$3),"")</f>
        <v/>
      </c>
      <c r="AG1410" s="142" t="s">
        <v>2398</v>
      </c>
      <c r="AH1410" s="142" t="s">
        <v>2705</v>
      </c>
      <c r="AI1410" s="142" t="s">
        <v>1435</v>
      </c>
      <c r="AJ1410" s="142" t="s">
        <v>2675</v>
      </c>
      <c r="AK1410" s="142" t="s">
        <v>2705</v>
      </c>
      <c r="AL1410" s="142" t="s">
        <v>2705</v>
      </c>
      <c r="AM1410" s="142" t="s">
        <v>1435</v>
      </c>
      <c r="AN1410" s="142" t="s">
        <v>2398</v>
      </c>
      <c r="AO1410" s="142" t="s">
        <v>2398</v>
      </c>
      <c r="AP1410" s="142" t="s">
        <v>2705</v>
      </c>
      <c r="AQ1410" s="142" t="s">
        <v>2398</v>
      </c>
      <c r="AR1410" s="142" t="s">
        <v>2705</v>
      </c>
      <c r="AS1410" s="142" t="s">
        <v>2705</v>
      </c>
      <c r="AT1410" s="142" t="s">
        <v>2397</v>
      </c>
      <c r="AU1410" s="142" t="s">
        <v>1435</v>
      </c>
      <c r="AV1410" s="142" t="s">
        <v>2705</v>
      </c>
      <c r="AW1410" s="142" t="s">
        <v>2398</v>
      </c>
      <c r="AX1410" s="142" t="s">
        <v>2705</v>
      </c>
      <c r="AY1410" s="142" t="s">
        <v>2398</v>
      </c>
      <c r="AZ1410" s="142" t="s">
        <v>2675</v>
      </c>
    </row>
    <row r="1411" spans="1:52" s="142" customFormat="1" ht="12.75" x14ac:dyDescent="0.2">
      <c r="A1411" s="151" t="s">
        <v>8022</v>
      </c>
      <c r="B1411" s="152" t="s">
        <v>2705</v>
      </c>
      <c r="C1411" s="152" t="s">
        <v>2675</v>
      </c>
      <c r="D1411" s="152" t="s">
        <v>2397</v>
      </c>
      <c r="E1411" s="152" t="s">
        <v>1435</v>
      </c>
      <c r="F1411" s="152" t="s">
        <v>2397</v>
      </c>
      <c r="G1411" s="152" t="s">
        <v>1435</v>
      </c>
      <c r="H1411" s="152" t="s">
        <v>2397</v>
      </c>
      <c r="I1411" s="152" t="s">
        <v>2705</v>
      </c>
      <c r="J1411" s="152" t="s">
        <v>2398</v>
      </c>
      <c r="K1411" s="152" t="s">
        <v>1435</v>
      </c>
      <c r="L1411" s="152" t="s">
        <v>1435</v>
      </c>
      <c r="M1411" s="152" t="s">
        <v>2705</v>
      </c>
      <c r="N1411" s="152" t="s">
        <v>2397</v>
      </c>
      <c r="O1411" s="152" t="s">
        <v>2397</v>
      </c>
      <c r="P1411" s="152" t="s">
        <v>1435</v>
      </c>
      <c r="Q1411" s="152" t="s">
        <v>2705</v>
      </c>
      <c r="R1411" s="152" t="s">
        <v>1435</v>
      </c>
      <c r="S1411" s="152" t="s">
        <v>2705</v>
      </c>
      <c r="T1411" s="152" t="s">
        <v>1435</v>
      </c>
      <c r="U1411" s="152" t="s">
        <v>2705</v>
      </c>
      <c r="V1411" s="142" cm="1">
        <f t="array" ref="V1411">IF(A1411&lt;&gt;"",SUM(--(B1411:U1412 = "X")*$U$3,--(B1411:U1412 ="A")*$Q$3,--(B1411:U1412 ="B")*$R$3,--(B1411:U1412 ="C")*$S$3),"")</f>
        <v>10</v>
      </c>
      <c r="AF1411" s="142" t="s">
        <v>8022</v>
      </c>
      <c r="AG1411" s="142" t="s">
        <v>2705</v>
      </c>
      <c r="AH1411" s="142" t="s">
        <v>2675</v>
      </c>
      <c r="AI1411" s="142" t="s">
        <v>2397</v>
      </c>
      <c r="AJ1411" s="142" t="s">
        <v>1435</v>
      </c>
      <c r="AK1411" s="142" t="s">
        <v>2397</v>
      </c>
      <c r="AL1411" s="142" t="s">
        <v>1435</v>
      </c>
      <c r="AM1411" s="142" t="s">
        <v>2397</v>
      </c>
      <c r="AN1411" s="142" t="s">
        <v>2705</v>
      </c>
      <c r="AO1411" s="142" t="s">
        <v>2398</v>
      </c>
      <c r="AP1411" s="142" t="s">
        <v>1435</v>
      </c>
      <c r="AQ1411" s="142" t="s">
        <v>1435</v>
      </c>
      <c r="AR1411" s="142" t="s">
        <v>2705</v>
      </c>
      <c r="AS1411" s="142" t="s">
        <v>2397</v>
      </c>
      <c r="AT1411" s="142" t="s">
        <v>2397</v>
      </c>
      <c r="AU1411" s="142" t="s">
        <v>1435</v>
      </c>
      <c r="AV1411" s="142" t="s">
        <v>2705</v>
      </c>
      <c r="AW1411" s="142" t="s">
        <v>1435</v>
      </c>
      <c r="AX1411" s="142" t="s">
        <v>2705</v>
      </c>
      <c r="AY1411" s="142" t="s">
        <v>1435</v>
      </c>
      <c r="AZ1411" s="142" t="s">
        <v>2705</v>
      </c>
    </row>
    <row r="1412" spans="1:52" s="142" customFormat="1" ht="12.75" x14ac:dyDescent="0.2">
      <c r="A1412" s="151"/>
      <c r="B1412" s="152" t="s">
        <v>2398</v>
      </c>
      <c r="C1412" s="152" t="s">
        <v>2705</v>
      </c>
      <c r="D1412" s="152" t="s">
        <v>2705</v>
      </c>
      <c r="E1412" s="152" t="s">
        <v>1435</v>
      </c>
      <c r="F1412" s="152" t="s">
        <v>2397</v>
      </c>
      <c r="G1412" s="152" t="s">
        <v>1435</v>
      </c>
      <c r="H1412" s="152" t="s">
        <v>2675</v>
      </c>
      <c r="I1412" s="152" t="s">
        <v>2705</v>
      </c>
      <c r="J1412" s="152" t="s">
        <v>2398</v>
      </c>
      <c r="K1412" s="152" t="s">
        <v>2398</v>
      </c>
      <c r="L1412" s="152" t="s">
        <v>2705</v>
      </c>
      <c r="M1412" s="152" t="s">
        <v>2705</v>
      </c>
      <c r="N1412" s="152" t="s">
        <v>2705</v>
      </c>
      <c r="O1412" s="152" t="s">
        <v>2398</v>
      </c>
      <c r="P1412" s="152" t="s">
        <v>2398</v>
      </c>
      <c r="Q1412" s="152" t="s">
        <v>2675</v>
      </c>
      <c r="R1412" s="152" t="s">
        <v>2705</v>
      </c>
      <c r="S1412" s="152" t="s">
        <v>2705</v>
      </c>
      <c r="T1412" s="152" t="s">
        <v>2705</v>
      </c>
      <c r="U1412" s="152" t="s">
        <v>2705</v>
      </c>
      <c r="V1412" s="142" t="str" cm="1">
        <f t="array" ref="V1412">IF(A1412&lt;&gt;"",SUM(--(B1412:U1413 = "X")*$U$3,--(B1412:U1413 ="A")*$Q$3,--(B1412:U1413 ="B")*$R$3,--(B1412:U1413 ="C")*$S$3),"")</f>
        <v/>
      </c>
      <c r="AG1412" s="142" t="s">
        <v>2398</v>
      </c>
      <c r="AH1412" s="142" t="s">
        <v>2705</v>
      </c>
      <c r="AI1412" s="142" t="s">
        <v>2705</v>
      </c>
      <c r="AJ1412" s="142" t="s">
        <v>1435</v>
      </c>
      <c r="AK1412" s="142" t="s">
        <v>2397</v>
      </c>
      <c r="AL1412" s="142" t="s">
        <v>1435</v>
      </c>
      <c r="AM1412" s="142" t="s">
        <v>2675</v>
      </c>
      <c r="AN1412" s="142" t="s">
        <v>2705</v>
      </c>
      <c r="AO1412" s="142" t="s">
        <v>2398</v>
      </c>
      <c r="AP1412" s="142" t="s">
        <v>2398</v>
      </c>
      <c r="AQ1412" s="142" t="s">
        <v>2705</v>
      </c>
      <c r="AR1412" s="142" t="s">
        <v>2705</v>
      </c>
      <c r="AS1412" s="142" t="s">
        <v>2705</v>
      </c>
      <c r="AT1412" s="142" t="s">
        <v>2398</v>
      </c>
      <c r="AU1412" s="142" t="s">
        <v>2398</v>
      </c>
      <c r="AV1412" s="142" t="s">
        <v>2675</v>
      </c>
      <c r="AW1412" s="142" t="s">
        <v>2705</v>
      </c>
      <c r="AX1412" s="142" t="s">
        <v>2705</v>
      </c>
      <c r="AY1412" s="142" t="s">
        <v>2705</v>
      </c>
      <c r="AZ1412" s="142" t="s">
        <v>2705</v>
      </c>
    </row>
    <row r="1413" spans="1:52" s="142" customFormat="1" ht="12.75" x14ac:dyDescent="0.2">
      <c r="A1413" s="151" t="s">
        <v>8023</v>
      </c>
      <c r="B1413" s="152" t="s">
        <v>2675</v>
      </c>
      <c r="C1413" s="152" t="s">
        <v>1435</v>
      </c>
      <c r="D1413" s="152" t="s">
        <v>2675</v>
      </c>
      <c r="E1413" s="152" t="s">
        <v>1435</v>
      </c>
      <c r="F1413" s="152" t="s">
        <v>2705</v>
      </c>
      <c r="G1413" s="152" t="s">
        <v>2705</v>
      </c>
      <c r="H1413" s="152" t="s">
        <v>2705</v>
      </c>
      <c r="I1413" s="152" t="s">
        <v>2398</v>
      </c>
      <c r="J1413" s="152" t="s">
        <v>2398</v>
      </c>
      <c r="K1413" s="152" t="s">
        <v>2397</v>
      </c>
      <c r="L1413" s="152" t="s">
        <v>2705</v>
      </c>
      <c r="M1413" s="152" t="s">
        <v>2397</v>
      </c>
      <c r="N1413" s="152" t="s">
        <v>2675</v>
      </c>
      <c r="O1413" s="152" t="s">
        <v>2398</v>
      </c>
      <c r="P1413" s="152" t="s">
        <v>2398</v>
      </c>
      <c r="Q1413" s="152" t="s">
        <v>2705</v>
      </c>
      <c r="R1413" s="152" t="s">
        <v>2397</v>
      </c>
      <c r="S1413" s="152" t="s">
        <v>2398</v>
      </c>
      <c r="T1413" s="152" t="s">
        <v>2398</v>
      </c>
      <c r="U1413" s="152" t="s">
        <v>2398</v>
      </c>
      <c r="V1413" s="142" cm="1">
        <f t="array" ref="V1413">IF(A1413&lt;&gt;"",SUM(--(B1413:U1414 = "X")*$U$3,--(B1413:U1414 ="A")*$Q$3,--(B1413:U1414 ="B")*$R$3,--(B1413:U1414 ="C")*$S$3),"")</f>
        <v>6.5</v>
      </c>
      <c r="AF1413" s="142" t="s">
        <v>8023</v>
      </c>
      <c r="AG1413" s="142" t="s">
        <v>2675</v>
      </c>
      <c r="AH1413" s="142" t="s">
        <v>1435</v>
      </c>
      <c r="AI1413" s="142" t="s">
        <v>2675</v>
      </c>
      <c r="AJ1413" s="142" t="s">
        <v>1435</v>
      </c>
      <c r="AK1413" s="142" t="s">
        <v>2705</v>
      </c>
      <c r="AL1413" s="142" t="s">
        <v>2705</v>
      </c>
      <c r="AM1413" s="142" t="s">
        <v>2705</v>
      </c>
      <c r="AN1413" s="142" t="s">
        <v>2398</v>
      </c>
      <c r="AO1413" s="142" t="s">
        <v>2398</v>
      </c>
      <c r="AP1413" s="142" t="s">
        <v>2397</v>
      </c>
      <c r="AQ1413" s="142" t="s">
        <v>2705</v>
      </c>
      <c r="AR1413" s="142" t="s">
        <v>2397</v>
      </c>
      <c r="AS1413" s="142" t="s">
        <v>2675</v>
      </c>
      <c r="AT1413" s="142" t="s">
        <v>2398</v>
      </c>
      <c r="AU1413" s="142" t="s">
        <v>2398</v>
      </c>
      <c r="AV1413" s="142" t="s">
        <v>2705</v>
      </c>
      <c r="AW1413" s="142" t="s">
        <v>2397</v>
      </c>
      <c r="AX1413" s="142" t="s">
        <v>2398</v>
      </c>
      <c r="AY1413" s="142" t="s">
        <v>2398</v>
      </c>
      <c r="AZ1413" s="142" t="s">
        <v>2398</v>
      </c>
    </row>
    <row r="1414" spans="1:52" s="142" customFormat="1" ht="12.75" x14ac:dyDescent="0.2">
      <c r="A1414" s="151"/>
      <c r="B1414" s="152" t="s">
        <v>2398</v>
      </c>
      <c r="C1414" s="152" t="s">
        <v>2398</v>
      </c>
      <c r="D1414" s="152" t="s">
        <v>1435</v>
      </c>
      <c r="E1414" s="152" t="s">
        <v>2398</v>
      </c>
      <c r="F1414" s="152" t="s">
        <v>2398</v>
      </c>
      <c r="G1414" s="152" t="s">
        <v>2705</v>
      </c>
      <c r="H1414" s="152" t="s">
        <v>2675</v>
      </c>
      <c r="I1414" s="152" t="s">
        <v>2705</v>
      </c>
      <c r="J1414" s="152" t="s">
        <v>2705</v>
      </c>
      <c r="K1414" s="152" t="s">
        <v>2398</v>
      </c>
      <c r="L1414" s="152" t="s">
        <v>2705</v>
      </c>
      <c r="M1414" s="152" t="s">
        <v>2398</v>
      </c>
      <c r="N1414" s="152" t="s">
        <v>1435</v>
      </c>
      <c r="O1414" s="152" t="s">
        <v>2705</v>
      </c>
      <c r="P1414" s="152" t="s">
        <v>2705</v>
      </c>
      <c r="Q1414" s="152" t="s">
        <v>2398</v>
      </c>
      <c r="R1414" s="152" t="s">
        <v>2398</v>
      </c>
      <c r="S1414" s="152" t="s">
        <v>2398</v>
      </c>
      <c r="T1414" s="152" t="s">
        <v>1435</v>
      </c>
      <c r="U1414" s="152" t="s">
        <v>2398</v>
      </c>
      <c r="V1414" s="142" t="str" cm="1">
        <f t="array" ref="V1414">IF(A1414&lt;&gt;"",SUM(--(B1414:U1415 = "X")*$U$3,--(B1414:U1415 ="A")*$Q$3,--(B1414:U1415 ="B")*$R$3,--(B1414:U1415 ="C")*$S$3),"")</f>
        <v/>
      </c>
      <c r="AG1414" s="142" t="s">
        <v>2398</v>
      </c>
      <c r="AH1414" s="142" t="s">
        <v>2398</v>
      </c>
      <c r="AI1414" s="142" t="s">
        <v>1435</v>
      </c>
      <c r="AJ1414" s="142" t="s">
        <v>2398</v>
      </c>
      <c r="AK1414" s="142" t="s">
        <v>2398</v>
      </c>
      <c r="AL1414" s="142" t="s">
        <v>2705</v>
      </c>
      <c r="AM1414" s="142" t="s">
        <v>2675</v>
      </c>
      <c r="AN1414" s="142" t="s">
        <v>2705</v>
      </c>
      <c r="AO1414" s="142" t="s">
        <v>2705</v>
      </c>
      <c r="AP1414" s="142" t="s">
        <v>2398</v>
      </c>
      <c r="AQ1414" s="142" t="s">
        <v>2705</v>
      </c>
      <c r="AR1414" s="142" t="s">
        <v>2398</v>
      </c>
      <c r="AS1414" s="142" t="s">
        <v>1435</v>
      </c>
      <c r="AT1414" s="142" t="s">
        <v>2705</v>
      </c>
      <c r="AU1414" s="142" t="s">
        <v>2705</v>
      </c>
      <c r="AV1414" s="142" t="s">
        <v>2398</v>
      </c>
      <c r="AW1414" s="142" t="s">
        <v>2398</v>
      </c>
      <c r="AX1414" s="142" t="s">
        <v>2398</v>
      </c>
      <c r="AY1414" s="142" t="s">
        <v>1435</v>
      </c>
      <c r="AZ1414" s="142" t="s">
        <v>2398</v>
      </c>
    </row>
    <row r="1415" spans="1:52" s="142" customFormat="1" ht="12.75" x14ac:dyDescent="0.2">
      <c r="A1415" s="151" t="s">
        <v>8024</v>
      </c>
      <c r="B1415" s="152" t="s">
        <v>2397</v>
      </c>
      <c r="C1415" s="152" t="s">
        <v>2398</v>
      </c>
      <c r="D1415" s="152" t="s">
        <v>2705</v>
      </c>
      <c r="E1415" s="152" t="s">
        <v>2398</v>
      </c>
      <c r="F1415" s="152" t="s">
        <v>2398</v>
      </c>
      <c r="G1415" s="152" t="s">
        <v>2705</v>
      </c>
      <c r="H1415" s="152" t="s">
        <v>2705</v>
      </c>
      <c r="I1415" s="152" t="s">
        <v>2675</v>
      </c>
      <c r="J1415" s="152" t="s">
        <v>2675</v>
      </c>
      <c r="K1415" s="152" t="s">
        <v>1435</v>
      </c>
      <c r="L1415" s="152" t="s">
        <v>1435</v>
      </c>
      <c r="M1415" s="152" t="s">
        <v>1435</v>
      </c>
      <c r="N1415" s="152" t="s">
        <v>2675</v>
      </c>
      <c r="O1415" s="152" t="s">
        <v>2398</v>
      </c>
      <c r="P1415" s="152" t="s">
        <v>2705</v>
      </c>
      <c r="Q1415" s="152" t="s">
        <v>2397</v>
      </c>
      <c r="R1415" s="152" t="s">
        <v>2705</v>
      </c>
      <c r="S1415" s="152" t="s">
        <v>2397</v>
      </c>
      <c r="T1415" s="152" t="s">
        <v>2397</v>
      </c>
      <c r="U1415" s="152" t="s">
        <v>2705</v>
      </c>
      <c r="V1415" s="142" cm="1">
        <f t="array" ref="V1415">IF(A1415&lt;&gt;"",SUM(--(B1415:U1416 = "X")*$U$3,--(B1415:U1416 ="A")*$Q$3,--(B1415:U1416 ="B")*$R$3,--(B1415:U1416 ="C")*$S$3),"")</f>
        <v>9.5</v>
      </c>
      <c r="AF1415" s="142" t="s">
        <v>8024</v>
      </c>
      <c r="AG1415" s="142" t="s">
        <v>2397</v>
      </c>
      <c r="AH1415" s="142" t="s">
        <v>2398</v>
      </c>
      <c r="AI1415" s="142" t="s">
        <v>2705</v>
      </c>
      <c r="AJ1415" s="142" t="s">
        <v>2398</v>
      </c>
      <c r="AK1415" s="142" t="s">
        <v>2398</v>
      </c>
      <c r="AL1415" s="142" t="s">
        <v>2705</v>
      </c>
      <c r="AM1415" s="142" t="s">
        <v>2705</v>
      </c>
      <c r="AN1415" s="142" t="s">
        <v>2675</v>
      </c>
      <c r="AO1415" s="142" t="s">
        <v>2675</v>
      </c>
      <c r="AP1415" s="142" t="s">
        <v>1435</v>
      </c>
      <c r="AQ1415" s="142" t="s">
        <v>1435</v>
      </c>
      <c r="AR1415" s="142" t="s">
        <v>1435</v>
      </c>
      <c r="AS1415" s="142" t="s">
        <v>2675</v>
      </c>
      <c r="AT1415" s="142" t="s">
        <v>2398</v>
      </c>
      <c r="AU1415" s="142" t="s">
        <v>2705</v>
      </c>
      <c r="AV1415" s="142" t="s">
        <v>2397</v>
      </c>
      <c r="AW1415" s="142" t="s">
        <v>2705</v>
      </c>
      <c r="AX1415" s="142" t="s">
        <v>2397</v>
      </c>
      <c r="AY1415" s="142" t="s">
        <v>2397</v>
      </c>
      <c r="AZ1415" s="142" t="s">
        <v>2705</v>
      </c>
    </row>
    <row r="1416" spans="1:52" s="142" customFormat="1" ht="12.75" x14ac:dyDescent="0.2">
      <c r="A1416" s="151"/>
      <c r="B1416" s="152" t="s">
        <v>2705</v>
      </c>
      <c r="C1416" s="152" t="s">
        <v>2675</v>
      </c>
      <c r="D1416" s="152" t="s">
        <v>2398</v>
      </c>
      <c r="E1416" s="152" t="s">
        <v>2705</v>
      </c>
      <c r="F1416" s="152" t="s">
        <v>2705</v>
      </c>
      <c r="G1416" s="152" t="s">
        <v>2675</v>
      </c>
      <c r="H1416" s="152" t="s">
        <v>2398</v>
      </c>
      <c r="I1416" s="152" t="s">
        <v>2398</v>
      </c>
      <c r="J1416" s="152" t="s">
        <v>1435</v>
      </c>
      <c r="K1416" s="152" t="s">
        <v>2705</v>
      </c>
      <c r="L1416" s="152" t="s">
        <v>2398</v>
      </c>
      <c r="M1416" s="152" t="s">
        <v>2397</v>
      </c>
      <c r="N1416" s="152" t="s">
        <v>2398</v>
      </c>
      <c r="O1416" s="152" t="s">
        <v>2398</v>
      </c>
      <c r="P1416" s="152" t="s">
        <v>2705</v>
      </c>
      <c r="Q1416" s="152" t="s">
        <v>2398</v>
      </c>
      <c r="R1416" s="152" t="s">
        <v>2705</v>
      </c>
      <c r="S1416" s="152" t="s">
        <v>2705</v>
      </c>
      <c r="T1416" s="152" t="s">
        <v>2705</v>
      </c>
      <c r="U1416" s="152" t="s">
        <v>2398</v>
      </c>
      <c r="V1416" s="142" t="str" cm="1">
        <f t="array" ref="V1416">IF(A1416&lt;&gt;"",SUM(--(B1416:U1417 = "X")*$U$3,--(B1416:U1417 ="A")*$Q$3,--(B1416:U1417 ="B")*$R$3,--(B1416:U1417 ="C")*$S$3),"")</f>
        <v/>
      </c>
      <c r="AG1416" s="142" t="s">
        <v>2705</v>
      </c>
      <c r="AH1416" s="142" t="s">
        <v>2675</v>
      </c>
      <c r="AI1416" s="142" t="s">
        <v>2398</v>
      </c>
      <c r="AJ1416" s="142" t="s">
        <v>2705</v>
      </c>
      <c r="AK1416" s="142" t="s">
        <v>2705</v>
      </c>
      <c r="AL1416" s="142" t="s">
        <v>2675</v>
      </c>
      <c r="AM1416" s="142" t="s">
        <v>2398</v>
      </c>
      <c r="AN1416" s="142" t="s">
        <v>2398</v>
      </c>
      <c r="AO1416" s="142" t="s">
        <v>1435</v>
      </c>
      <c r="AP1416" s="142" t="s">
        <v>2705</v>
      </c>
      <c r="AQ1416" s="142" t="s">
        <v>2398</v>
      </c>
      <c r="AR1416" s="142" t="s">
        <v>2397</v>
      </c>
      <c r="AS1416" s="142" t="s">
        <v>2398</v>
      </c>
      <c r="AT1416" s="142" t="s">
        <v>2398</v>
      </c>
      <c r="AU1416" s="142" t="s">
        <v>2705</v>
      </c>
      <c r="AV1416" s="142" t="s">
        <v>2398</v>
      </c>
      <c r="AW1416" s="142" t="s">
        <v>2705</v>
      </c>
      <c r="AX1416" s="142" t="s">
        <v>2705</v>
      </c>
      <c r="AY1416" s="142" t="s">
        <v>2705</v>
      </c>
      <c r="AZ1416" s="142" t="s">
        <v>2398</v>
      </c>
    </row>
    <row r="1417" spans="1:52" s="142" customFormat="1" ht="12.75" x14ac:dyDescent="0.2">
      <c r="A1417" s="151" t="s">
        <v>8025</v>
      </c>
      <c r="B1417" s="152" t="s">
        <v>2398</v>
      </c>
      <c r="C1417" s="152" t="s">
        <v>2675</v>
      </c>
      <c r="D1417" s="152" t="s">
        <v>2398</v>
      </c>
      <c r="E1417" s="152" t="s">
        <v>2398</v>
      </c>
      <c r="F1417" s="152" t="s">
        <v>2398</v>
      </c>
      <c r="G1417" s="152" t="s">
        <v>2398</v>
      </c>
      <c r="H1417" s="152" t="s">
        <v>2705</v>
      </c>
      <c r="I1417" s="152" t="s">
        <v>2398</v>
      </c>
      <c r="J1417" s="152" t="s">
        <v>2398</v>
      </c>
      <c r="K1417" s="152" t="s">
        <v>2398</v>
      </c>
      <c r="L1417" s="152" t="s">
        <v>2705</v>
      </c>
      <c r="M1417" s="152" t="s">
        <v>2398</v>
      </c>
      <c r="N1417" s="152" t="s">
        <v>2398</v>
      </c>
      <c r="O1417" s="152" t="s">
        <v>2398</v>
      </c>
      <c r="P1417" s="152" t="s">
        <v>2398</v>
      </c>
      <c r="Q1417" s="152" t="s">
        <v>2398</v>
      </c>
      <c r="R1417" s="152" t="s">
        <v>2705</v>
      </c>
      <c r="S1417" s="152" t="s">
        <v>2705</v>
      </c>
      <c r="T1417" s="152" t="s">
        <v>2705</v>
      </c>
      <c r="U1417" s="152" t="s">
        <v>2675</v>
      </c>
      <c r="V1417" s="142" cm="1">
        <f t="array" ref="V1417">IF(A1417&lt;&gt;"",SUM(--(B1417:U1418 = "X")*$U$3,--(B1417:U1418 ="A")*$Q$3,--(B1417:U1418 ="B")*$R$3,--(B1417:U1418 ="C")*$S$3),"")</f>
        <v>15.5</v>
      </c>
      <c r="AF1417" s="142" t="s">
        <v>8025</v>
      </c>
      <c r="AG1417" s="142" t="s">
        <v>2398</v>
      </c>
      <c r="AH1417" s="142" t="s">
        <v>2675</v>
      </c>
      <c r="AI1417" s="142" t="s">
        <v>2398</v>
      </c>
      <c r="AJ1417" s="142" t="s">
        <v>2398</v>
      </c>
      <c r="AK1417" s="142" t="s">
        <v>2398</v>
      </c>
      <c r="AL1417" s="142" t="s">
        <v>2398</v>
      </c>
      <c r="AM1417" s="142" t="s">
        <v>2705</v>
      </c>
      <c r="AN1417" s="142" t="s">
        <v>2398</v>
      </c>
      <c r="AO1417" s="142" t="s">
        <v>2398</v>
      </c>
      <c r="AP1417" s="142" t="s">
        <v>2398</v>
      </c>
      <c r="AQ1417" s="142" t="s">
        <v>2705</v>
      </c>
      <c r="AR1417" s="142" t="s">
        <v>2398</v>
      </c>
      <c r="AS1417" s="142" t="s">
        <v>2398</v>
      </c>
      <c r="AT1417" s="142" t="s">
        <v>2398</v>
      </c>
      <c r="AU1417" s="142" t="s">
        <v>2398</v>
      </c>
      <c r="AV1417" s="142" t="s">
        <v>2398</v>
      </c>
      <c r="AW1417" s="142" t="s">
        <v>2705</v>
      </c>
      <c r="AX1417" s="142" t="s">
        <v>2705</v>
      </c>
      <c r="AY1417" s="142" t="s">
        <v>2705</v>
      </c>
      <c r="AZ1417" s="142" t="s">
        <v>2675</v>
      </c>
    </row>
    <row r="1418" spans="1:52" s="142" customFormat="1" ht="12.75" x14ac:dyDescent="0.2">
      <c r="A1418" s="151"/>
      <c r="B1418" s="152" t="s">
        <v>2397</v>
      </c>
      <c r="C1418" s="152" t="s">
        <v>1435</v>
      </c>
      <c r="D1418" s="152" t="s">
        <v>2705</v>
      </c>
      <c r="E1418" s="152" t="s">
        <v>2705</v>
      </c>
      <c r="F1418" s="152" t="s">
        <v>2705</v>
      </c>
      <c r="G1418" s="152" t="s">
        <v>2705</v>
      </c>
      <c r="H1418" s="152" t="s">
        <v>2675</v>
      </c>
      <c r="I1418" s="152" t="s">
        <v>2398</v>
      </c>
      <c r="J1418" s="152" t="s">
        <v>2705</v>
      </c>
      <c r="K1418" s="152" t="s">
        <v>2705</v>
      </c>
      <c r="L1418" s="152" t="s">
        <v>2705</v>
      </c>
      <c r="M1418" s="152" t="s">
        <v>2705</v>
      </c>
      <c r="N1418" s="152" t="s">
        <v>2705</v>
      </c>
      <c r="O1418" s="152" t="s">
        <v>2705</v>
      </c>
      <c r="P1418" s="152" t="s">
        <v>2398</v>
      </c>
      <c r="Q1418" s="152" t="s">
        <v>2705</v>
      </c>
      <c r="R1418" s="152" t="s">
        <v>2705</v>
      </c>
      <c r="S1418" s="152" t="s">
        <v>2675</v>
      </c>
      <c r="T1418" s="152" t="s">
        <v>2705</v>
      </c>
      <c r="U1418" s="152" t="s">
        <v>2398</v>
      </c>
      <c r="V1418" s="142" t="str" cm="1">
        <f t="array" ref="V1418">IF(A1418&lt;&gt;"",SUM(--(B1418:U1419 = "X")*$U$3,--(B1418:U1419 ="A")*$Q$3,--(B1418:U1419 ="B")*$R$3,--(B1418:U1419 ="C")*$S$3),"")</f>
        <v/>
      </c>
      <c r="AG1418" s="142" t="s">
        <v>2397</v>
      </c>
      <c r="AH1418" s="142" t="s">
        <v>1435</v>
      </c>
      <c r="AI1418" s="142" t="s">
        <v>2705</v>
      </c>
      <c r="AJ1418" s="142" t="s">
        <v>2705</v>
      </c>
      <c r="AK1418" s="142" t="s">
        <v>2705</v>
      </c>
      <c r="AL1418" s="142" t="s">
        <v>2705</v>
      </c>
      <c r="AM1418" s="142" t="s">
        <v>2675</v>
      </c>
      <c r="AN1418" s="142" t="s">
        <v>2398</v>
      </c>
      <c r="AO1418" s="142" t="s">
        <v>2705</v>
      </c>
      <c r="AP1418" s="142" t="s">
        <v>2705</v>
      </c>
      <c r="AQ1418" s="142" t="s">
        <v>2705</v>
      </c>
      <c r="AR1418" s="142" t="s">
        <v>2705</v>
      </c>
      <c r="AS1418" s="142" t="s">
        <v>2705</v>
      </c>
      <c r="AT1418" s="142" t="s">
        <v>2705</v>
      </c>
      <c r="AU1418" s="142" t="s">
        <v>2398</v>
      </c>
      <c r="AV1418" s="142" t="s">
        <v>2705</v>
      </c>
      <c r="AW1418" s="142" t="s">
        <v>2705</v>
      </c>
      <c r="AX1418" s="142" t="s">
        <v>2675</v>
      </c>
      <c r="AY1418" s="142" t="s">
        <v>2705</v>
      </c>
      <c r="AZ1418" s="142" t="s">
        <v>2398</v>
      </c>
    </row>
  </sheetData>
  <mergeCells count="1">
    <mergeCell ref="B4:C4"/>
  </mergeCells>
  <pageMargins left="0.39370077848434448" right="0.39370077848434448" top="0.39370077848434448" bottom="0.39370077848434448" header="0" footer="0"/>
  <pageSetup paperSize="9" orientation="landscape" horizontalDpi="0" verticalDpi="0"/>
  <headerFooter alignWithMargins="0"/>
  <drawing r:id="rId1"/>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pageSetUpPr autoPageBreaks="0" fitToPage="1"/>
  </sheetPr>
  <dimension ref="B2:O35"/>
  <sheetViews>
    <sheetView showGridLines="0" zoomScaleNormal="100" workbookViewId="0"/>
  </sheetViews>
  <sheetFormatPr defaultColWidth="9" defaultRowHeight="21" customHeight="1" x14ac:dyDescent="0.25"/>
  <cols>
    <col min="1" max="1" width="13.125" style="163" customWidth="1"/>
    <col min="2" max="2" width="28.25" style="163" bestFit="1" customWidth="1"/>
    <col min="3" max="9" width="10.625" style="163" customWidth="1"/>
    <col min="10" max="14" width="12.5" style="163" customWidth="1"/>
    <col min="15" max="15" width="13.375" style="163" bestFit="1" customWidth="1"/>
    <col min="16" max="16384" width="9" style="163"/>
  </cols>
  <sheetData>
    <row r="2" spans="2:15" ht="21" customHeight="1" x14ac:dyDescent="0.25">
      <c r="B2" s="160" t="s">
        <v>8081</v>
      </c>
      <c r="C2" s="161" t="s">
        <v>443</v>
      </c>
      <c r="D2" s="161" t="s">
        <v>2412</v>
      </c>
      <c r="E2" s="162" t="s">
        <v>2411</v>
      </c>
      <c r="F2" s="161" t="s">
        <v>2409</v>
      </c>
      <c r="G2" s="161" t="s">
        <v>2407</v>
      </c>
      <c r="H2" s="161" t="s">
        <v>2406</v>
      </c>
      <c r="I2" s="162" t="s">
        <v>2405</v>
      </c>
      <c r="J2" s="161" t="s">
        <v>2404</v>
      </c>
      <c r="K2" s="161" t="s">
        <v>2403</v>
      </c>
      <c r="L2" s="161" t="s">
        <v>2402</v>
      </c>
      <c r="M2" s="161" t="s">
        <v>2401</v>
      </c>
      <c r="N2" s="162" t="s">
        <v>2400</v>
      </c>
      <c r="O2" s="161" t="s">
        <v>4136</v>
      </c>
    </row>
    <row r="3" spans="2:15" ht="21" customHeight="1" x14ac:dyDescent="0.25">
      <c r="B3" s="164" t="s">
        <v>8082</v>
      </c>
      <c r="C3" s="165" t="s">
        <v>443</v>
      </c>
      <c r="D3" s="165" t="s">
        <v>2412</v>
      </c>
      <c r="E3" s="166" t="s">
        <v>2411</v>
      </c>
      <c r="F3" s="165" t="s">
        <v>2409</v>
      </c>
      <c r="G3" s="165" t="s">
        <v>2407</v>
      </c>
      <c r="H3" s="165" t="s">
        <v>2406</v>
      </c>
      <c r="I3" s="165" t="s">
        <v>2405</v>
      </c>
      <c r="J3" s="165" t="s">
        <v>2404</v>
      </c>
      <c r="K3" s="165" t="s">
        <v>2403</v>
      </c>
      <c r="L3" s="165" t="s">
        <v>2402</v>
      </c>
      <c r="M3" s="165" t="s">
        <v>2401</v>
      </c>
      <c r="N3" s="165" t="s">
        <v>2400</v>
      </c>
      <c r="O3" s="167" t="s">
        <v>4136</v>
      </c>
    </row>
    <row r="4" spans="2:15" ht="21" customHeight="1" x14ac:dyDescent="0.25">
      <c r="B4" s="168" t="s">
        <v>8083</v>
      </c>
      <c r="C4" s="308">
        <v>85000</v>
      </c>
      <c r="D4" s="308">
        <v>85000</v>
      </c>
      <c r="E4" s="308">
        <v>85000</v>
      </c>
      <c r="F4" s="308">
        <v>87500</v>
      </c>
      <c r="G4" s="308">
        <v>87500</v>
      </c>
      <c r="H4" s="308">
        <v>87500</v>
      </c>
      <c r="I4" s="308">
        <v>87500</v>
      </c>
      <c r="J4" s="308">
        <v>92400</v>
      </c>
      <c r="K4" s="308">
        <v>92400</v>
      </c>
      <c r="L4" s="308">
        <v>92400</v>
      </c>
      <c r="M4" s="308">
        <v>92400</v>
      </c>
      <c r="N4" s="308">
        <v>92400</v>
      </c>
      <c r="O4" s="309">
        <f>SUM(C4:N4)</f>
        <v>1067000</v>
      </c>
    </row>
    <row r="5" spans="2:15" ht="21" customHeight="1" x14ac:dyDescent="0.25">
      <c r="B5" s="169" t="s">
        <v>8084</v>
      </c>
      <c r="C5" s="308">
        <f t="shared" ref="C5:N5" si="0">C4*0.27</f>
        <v>22950</v>
      </c>
      <c r="D5" s="308">
        <f t="shared" si="0"/>
        <v>22950</v>
      </c>
      <c r="E5" s="308">
        <f t="shared" si="0"/>
        <v>22950</v>
      </c>
      <c r="F5" s="308">
        <f t="shared" si="0"/>
        <v>23625</v>
      </c>
      <c r="G5" s="308">
        <f t="shared" si="0"/>
        <v>23625</v>
      </c>
      <c r="H5" s="308">
        <f t="shared" si="0"/>
        <v>23625</v>
      </c>
      <c r="I5" s="308">
        <f t="shared" si="0"/>
        <v>23625</v>
      </c>
      <c r="J5" s="308">
        <f t="shared" si="0"/>
        <v>24948</v>
      </c>
      <c r="K5" s="308">
        <f t="shared" si="0"/>
        <v>24948</v>
      </c>
      <c r="L5" s="308">
        <f t="shared" si="0"/>
        <v>24948</v>
      </c>
      <c r="M5" s="308">
        <f t="shared" si="0"/>
        <v>24948</v>
      </c>
      <c r="N5" s="308">
        <f t="shared" si="0"/>
        <v>24948</v>
      </c>
      <c r="O5" s="310">
        <f>SUM(C5:N5)</f>
        <v>288090</v>
      </c>
    </row>
    <row r="6" spans="2:15" ht="21" customHeight="1" x14ac:dyDescent="0.25">
      <c r="B6" s="170" t="s">
        <v>8085</v>
      </c>
      <c r="C6" s="311">
        <f>SUBTOTAL(9,Expenses!$C$4:$C$5)</f>
        <v>107950</v>
      </c>
      <c r="D6" s="311">
        <f>SUBTOTAL(9,Expenses!$D$4:$D$5)</f>
        <v>107950</v>
      </c>
      <c r="E6" s="311">
        <f>SUBTOTAL(9,Expenses!$E$4:$E$5)</f>
        <v>107950</v>
      </c>
      <c r="F6" s="311">
        <f>SUBTOTAL(9,Expenses!$F$4:$F$5)</f>
        <v>111125</v>
      </c>
      <c r="G6" s="311">
        <f>SUBTOTAL(9,Expenses!$G$4:$G$5)</f>
        <v>111125</v>
      </c>
      <c r="H6" s="311">
        <f>SUBTOTAL(9,Expenses!$H$4:$H$5)</f>
        <v>111125</v>
      </c>
      <c r="I6" s="311">
        <f>SUBTOTAL(9,Expenses!$I$4:$I$5)</f>
        <v>111125</v>
      </c>
      <c r="J6" s="311">
        <f>SUBTOTAL(9,Expenses!$J$4:$J$5)</f>
        <v>117348</v>
      </c>
      <c r="K6" s="311">
        <f>SUBTOTAL(9,Expenses!$K$4:$K$5)</f>
        <v>117348</v>
      </c>
      <c r="L6" s="311">
        <f>SUBTOTAL(9,Expenses!$L$4:$L$5)</f>
        <v>117348</v>
      </c>
      <c r="M6" s="311">
        <f>SUBTOTAL(9,Expenses!$M$4:$M$5)</f>
        <v>117348</v>
      </c>
      <c r="N6" s="311">
        <f>SUBTOTAL(9,Expenses!$N$4:$N$5)</f>
        <v>117348</v>
      </c>
      <c r="O6" s="312">
        <f>SUBTOTAL(9,Expenses!$O$4:$O$5)</f>
        <v>1355090</v>
      </c>
    </row>
    <row r="7" spans="2:15" ht="21" customHeight="1" x14ac:dyDescent="0.25">
      <c r="B7" s="419"/>
      <c r="C7" s="419"/>
      <c r="D7" s="171"/>
      <c r="E7" s="171"/>
      <c r="F7" s="171"/>
      <c r="G7" s="171"/>
      <c r="H7" s="171"/>
      <c r="I7" s="171"/>
      <c r="J7" s="171"/>
      <c r="K7" s="171"/>
      <c r="L7" s="171"/>
      <c r="M7" s="171"/>
      <c r="N7" s="171"/>
      <c r="O7" s="172"/>
    </row>
    <row r="8" spans="2:15" ht="21" customHeight="1" x14ac:dyDescent="0.25">
      <c r="B8" s="164" t="s">
        <v>8086</v>
      </c>
      <c r="C8" s="165" t="s">
        <v>443</v>
      </c>
      <c r="D8" s="165" t="s">
        <v>2412</v>
      </c>
      <c r="E8" s="166" t="s">
        <v>2411</v>
      </c>
      <c r="F8" s="165" t="s">
        <v>2409</v>
      </c>
      <c r="G8" s="165" t="s">
        <v>2407</v>
      </c>
      <c r="H8" s="165" t="s">
        <v>2406</v>
      </c>
      <c r="I8" s="165" t="s">
        <v>2405</v>
      </c>
      <c r="J8" s="165" t="s">
        <v>2404</v>
      </c>
      <c r="K8" s="165" t="s">
        <v>2403</v>
      </c>
      <c r="L8" s="165" t="s">
        <v>2402</v>
      </c>
      <c r="M8" s="165" t="s">
        <v>2401</v>
      </c>
      <c r="N8" s="165" t="s">
        <v>2400</v>
      </c>
      <c r="O8" s="167" t="s">
        <v>4136</v>
      </c>
    </row>
    <row r="9" spans="2:15" ht="21" customHeight="1" x14ac:dyDescent="0.25">
      <c r="B9" s="173" t="s">
        <v>8087</v>
      </c>
      <c r="C9" s="308">
        <v>9800</v>
      </c>
      <c r="D9" s="308">
        <v>9800</v>
      </c>
      <c r="E9" s="308">
        <v>9800</v>
      </c>
      <c r="F9" s="308">
        <v>9800</v>
      </c>
      <c r="G9" s="308">
        <v>9800</v>
      </c>
      <c r="H9" s="308">
        <v>9800</v>
      </c>
      <c r="I9" s="308">
        <v>9800</v>
      </c>
      <c r="J9" s="308">
        <v>9800</v>
      </c>
      <c r="K9" s="308">
        <v>9800</v>
      </c>
      <c r="L9" s="308">
        <v>9800</v>
      </c>
      <c r="M9" s="308">
        <v>9800</v>
      </c>
      <c r="N9" s="308">
        <v>9800</v>
      </c>
      <c r="O9" s="309">
        <f t="shared" ref="O9:O16" si="1">SUM(C9:N9)</f>
        <v>117600</v>
      </c>
    </row>
    <row r="10" spans="2:15" ht="21" customHeight="1" x14ac:dyDescent="0.25">
      <c r="B10" s="174" t="s">
        <v>8088</v>
      </c>
      <c r="C10" s="313"/>
      <c r="D10" s="313">
        <v>400</v>
      </c>
      <c r="E10" s="313">
        <v>400</v>
      </c>
      <c r="F10" s="313">
        <v>100</v>
      </c>
      <c r="G10" s="313">
        <v>100</v>
      </c>
      <c r="H10" s="313">
        <v>100</v>
      </c>
      <c r="I10" s="313">
        <v>100</v>
      </c>
      <c r="J10" s="313">
        <v>100</v>
      </c>
      <c r="K10" s="313">
        <v>100</v>
      </c>
      <c r="L10" s="313">
        <v>100</v>
      </c>
      <c r="M10" s="313">
        <v>400</v>
      </c>
      <c r="N10" s="313">
        <v>400</v>
      </c>
      <c r="O10" s="310">
        <f t="shared" si="1"/>
        <v>2300</v>
      </c>
    </row>
    <row r="11" spans="2:15" ht="21" customHeight="1" x14ac:dyDescent="0.25">
      <c r="B11" s="174" t="s">
        <v>8089</v>
      </c>
      <c r="C11" s="313">
        <v>300</v>
      </c>
      <c r="D11" s="313">
        <v>300</v>
      </c>
      <c r="E11" s="313">
        <v>300</v>
      </c>
      <c r="F11" s="313">
        <v>300</v>
      </c>
      <c r="G11" s="313">
        <v>300</v>
      </c>
      <c r="H11" s="313">
        <v>300</v>
      </c>
      <c r="I11" s="313">
        <v>300</v>
      </c>
      <c r="J11" s="313">
        <v>300</v>
      </c>
      <c r="K11" s="313">
        <v>300</v>
      </c>
      <c r="L11" s="313">
        <v>300</v>
      </c>
      <c r="M11" s="313">
        <v>300</v>
      </c>
      <c r="N11" s="313">
        <v>300</v>
      </c>
      <c r="O11" s="310">
        <f t="shared" si="1"/>
        <v>3600</v>
      </c>
    </row>
    <row r="12" spans="2:15" ht="21" customHeight="1" x14ac:dyDescent="0.25">
      <c r="B12" s="174" t="s">
        <v>8090</v>
      </c>
      <c r="C12" s="313">
        <v>40</v>
      </c>
      <c r="D12" s="313">
        <v>40</v>
      </c>
      <c r="E12" s="313">
        <v>40</v>
      </c>
      <c r="F12" s="313">
        <v>40</v>
      </c>
      <c r="G12" s="313">
        <v>40</v>
      </c>
      <c r="H12" s="313">
        <v>40</v>
      </c>
      <c r="I12" s="313">
        <v>40</v>
      </c>
      <c r="J12" s="313">
        <v>40</v>
      </c>
      <c r="K12" s="313">
        <v>40</v>
      </c>
      <c r="L12" s="313">
        <v>40</v>
      </c>
      <c r="M12" s="313">
        <v>40</v>
      </c>
      <c r="N12" s="313">
        <v>40</v>
      </c>
      <c r="O12" s="310">
        <f t="shared" si="1"/>
        <v>480</v>
      </c>
    </row>
    <row r="13" spans="2:15" ht="21" customHeight="1" x14ac:dyDescent="0.25">
      <c r="B13" s="174" t="s">
        <v>8091</v>
      </c>
      <c r="C13" s="313">
        <v>250</v>
      </c>
      <c r="D13" s="313">
        <v>250</v>
      </c>
      <c r="E13" s="313">
        <v>250</v>
      </c>
      <c r="F13" s="313">
        <v>250</v>
      </c>
      <c r="G13" s="313">
        <v>250</v>
      </c>
      <c r="H13" s="313">
        <v>250</v>
      </c>
      <c r="I13" s="313">
        <v>250</v>
      </c>
      <c r="J13" s="313">
        <v>250</v>
      </c>
      <c r="K13" s="313">
        <v>250</v>
      </c>
      <c r="L13" s="313">
        <v>250</v>
      </c>
      <c r="M13" s="313">
        <v>250</v>
      </c>
      <c r="N13" s="313">
        <v>250</v>
      </c>
      <c r="O13" s="310">
        <f t="shared" si="1"/>
        <v>3000</v>
      </c>
    </row>
    <row r="14" spans="2:15" ht="21" customHeight="1" x14ac:dyDescent="0.25">
      <c r="B14" s="174" t="s">
        <v>8092</v>
      </c>
      <c r="C14" s="313">
        <v>180</v>
      </c>
      <c r="D14" s="313">
        <v>180</v>
      </c>
      <c r="E14" s="313">
        <v>180</v>
      </c>
      <c r="F14" s="313">
        <v>180</v>
      </c>
      <c r="G14" s="313">
        <v>180</v>
      </c>
      <c r="H14" s="313">
        <v>180</v>
      </c>
      <c r="I14" s="313">
        <v>180</v>
      </c>
      <c r="J14" s="313">
        <v>180</v>
      </c>
      <c r="K14" s="313">
        <v>180</v>
      </c>
      <c r="L14" s="313">
        <v>180</v>
      </c>
      <c r="M14" s="313">
        <v>180</v>
      </c>
      <c r="N14" s="313">
        <v>180</v>
      </c>
      <c r="O14" s="310">
        <f t="shared" si="1"/>
        <v>2160</v>
      </c>
    </row>
    <row r="15" spans="2:15" ht="21" customHeight="1" x14ac:dyDescent="0.25">
      <c r="B15" s="174" t="s">
        <v>8093</v>
      </c>
      <c r="C15" s="313">
        <v>200</v>
      </c>
      <c r="D15" s="313">
        <v>200</v>
      </c>
      <c r="E15" s="313">
        <v>200</v>
      </c>
      <c r="F15" s="313">
        <v>200</v>
      </c>
      <c r="G15" s="313">
        <v>200</v>
      </c>
      <c r="H15" s="313">
        <v>200</v>
      </c>
      <c r="I15" s="313">
        <v>200</v>
      </c>
      <c r="J15" s="313">
        <v>200</v>
      </c>
      <c r="K15" s="313">
        <v>200</v>
      </c>
      <c r="L15" s="313">
        <v>200</v>
      </c>
      <c r="M15" s="313">
        <v>200</v>
      </c>
      <c r="N15" s="313">
        <v>200</v>
      </c>
      <c r="O15" s="310">
        <f t="shared" si="1"/>
        <v>2400</v>
      </c>
    </row>
    <row r="16" spans="2:15" ht="21" customHeight="1" x14ac:dyDescent="0.25">
      <c r="B16" s="174" t="s">
        <v>8094</v>
      </c>
      <c r="C16" s="313">
        <v>600</v>
      </c>
      <c r="D16" s="313">
        <v>600</v>
      </c>
      <c r="E16" s="313">
        <v>600</v>
      </c>
      <c r="F16" s="313">
        <v>600</v>
      </c>
      <c r="G16" s="313">
        <v>600</v>
      </c>
      <c r="H16" s="313">
        <v>600</v>
      </c>
      <c r="I16" s="313">
        <v>600</v>
      </c>
      <c r="J16" s="313">
        <v>600</v>
      </c>
      <c r="K16" s="313">
        <v>600</v>
      </c>
      <c r="L16" s="313">
        <v>600</v>
      </c>
      <c r="M16" s="313">
        <v>600</v>
      </c>
      <c r="N16" s="313">
        <v>600</v>
      </c>
      <c r="O16" s="310">
        <f t="shared" si="1"/>
        <v>7200</v>
      </c>
    </row>
    <row r="17" spans="2:15" ht="21" customHeight="1" x14ac:dyDescent="0.25">
      <c r="B17" s="175" t="s">
        <v>8085</v>
      </c>
      <c r="C17" s="314">
        <f>SUBTOTAL(9,Expenses!$C$9:$C$16)</f>
        <v>11370</v>
      </c>
      <c r="D17" s="314">
        <f>SUBTOTAL(9,Expenses!$D$9:$D$16)</f>
        <v>11770</v>
      </c>
      <c r="E17" s="314">
        <f>SUBTOTAL(9,Expenses!$E$9:$E$16)</f>
        <v>11770</v>
      </c>
      <c r="F17" s="314">
        <f>SUBTOTAL(9,Expenses!$F$9:$F$16)</f>
        <v>11470</v>
      </c>
      <c r="G17" s="314">
        <f>SUBTOTAL(9,Expenses!$G$9:$G$16)</f>
        <v>11470</v>
      </c>
      <c r="H17" s="314">
        <f>SUBTOTAL(9,Expenses!$H$9:$H$16)</f>
        <v>11470</v>
      </c>
      <c r="I17" s="314">
        <f>SUBTOTAL(9,Expenses!$I$9:$I$16)</f>
        <v>11470</v>
      </c>
      <c r="J17" s="314">
        <f>SUBTOTAL(9,Expenses!$J$9:$J$16)</f>
        <v>11470</v>
      </c>
      <c r="K17" s="314">
        <f>SUBTOTAL(9,Expenses!$K$9:$K$16)</f>
        <v>11470</v>
      </c>
      <c r="L17" s="314">
        <f>SUBTOTAL(9,Expenses!$L$9:$L$16)</f>
        <v>11470</v>
      </c>
      <c r="M17" s="314">
        <f>SUBTOTAL(9,Expenses!$M$9:$M$16)</f>
        <v>11770</v>
      </c>
      <c r="N17" s="314">
        <f>SUBTOTAL(9,Expenses!$N$9:$N$16)</f>
        <v>11770</v>
      </c>
      <c r="O17" s="315">
        <f>SUBTOTAL(9,Expenses!$O$9:$O$16)</f>
        <v>138740</v>
      </c>
    </row>
    <row r="18" spans="2:15" ht="21" customHeight="1" x14ac:dyDescent="0.3">
      <c r="B18" s="420"/>
      <c r="C18" s="420"/>
      <c r="D18" s="171"/>
      <c r="E18" s="171"/>
      <c r="F18" s="176"/>
      <c r="G18" s="176"/>
      <c r="H18" s="176"/>
      <c r="I18" s="176"/>
      <c r="J18" s="176"/>
      <c r="K18" s="176"/>
      <c r="L18" s="176"/>
      <c r="M18" s="176"/>
      <c r="N18" s="176"/>
      <c r="O18" s="172"/>
    </row>
    <row r="19" spans="2:15" ht="21" customHeight="1" x14ac:dyDescent="0.25">
      <c r="B19" s="164" t="s">
        <v>8095</v>
      </c>
      <c r="C19" s="165" t="s">
        <v>443</v>
      </c>
      <c r="D19" s="165" t="s">
        <v>2412</v>
      </c>
      <c r="E19" s="166" t="s">
        <v>2411</v>
      </c>
      <c r="F19" s="165" t="s">
        <v>2409</v>
      </c>
      <c r="G19" s="165" t="s">
        <v>2407</v>
      </c>
      <c r="H19" s="165" t="s">
        <v>2406</v>
      </c>
      <c r="I19" s="165" t="s">
        <v>2405</v>
      </c>
      <c r="J19" s="165" t="s">
        <v>2404</v>
      </c>
      <c r="K19" s="165" t="s">
        <v>2403</v>
      </c>
      <c r="L19" s="165" t="s">
        <v>2402</v>
      </c>
      <c r="M19" s="165" t="s">
        <v>2401</v>
      </c>
      <c r="N19" s="165" t="s">
        <v>2400</v>
      </c>
      <c r="O19" s="167" t="s">
        <v>4136</v>
      </c>
    </row>
    <row r="20" spans="2:15" ht="21" customHeight="1" x14ac:dyDescent="0.25">
      <c r="B20" s="168" t="s">
        <v>8096</v>
      </c>
      <c r="C20" s="308">
        <v>500</v>
      </c>
      <c r="D20" s="308">
        <v>500</v>
      </c>
      <c r="E20" s="308">
        <v>500</v>
      </c>
      <c r="F20" s="308">
        <v>500</v>
      </c>
      <c r="G20" s="308">
        <v>500</v>
      </c>
      <c r="H20" s="308">
        <v>500</v>
      </c>
      <c r="I20" s="308">
        <v>500</v>
      </c>
      <c r="J20" s="308">
        <v>500</v>
      </c>
      <c r="K20" s="308">
        <v>500</v>
      </c>
      <c r="L20" s="308">
        <v>500</v>
      </c>
      <c r="M20" s="308">
        <v>500</v>
      </c>
      <c r="N20" s="308">
        <v>500</v>
      </c>
      <c r="O20" s="309">
        <f t="shared" ref="O20:O25" si="2">SUM(C20:N20)</f>
        <v>6000</v>
      </c>
    </row>
    <row r="21" spans="2:15" ht="21" customHeight="1" x14ac:dyDescent="0.25">
      <c r="B21" s="169" t="s">
        <v>8097</v>
      </c>
      <c r="C21" s="313">
        <v>200</v>
      </c>
      <c r="D21" s="313">
        <v>200</v>
      </c>
      <c r="E21" s="313">
        <v>200</v>
      </c>
      <c r="F21" s="313">
        <v>200</v>
      </c>
      <c r="G21" s="313">
        <v>200</v>
      </c>
      <c r="H21" s="313">
        <v>1000</v>
      </c>
      <c r="I21" s="313">
        <v>200</v>
      </c>
      <c r="J21" s="313">
        <v>200</v>
      </c>
      <c r="K21" s="313">
        <v>200</v>
      </c>
      <c r="L21" s="313">
        <v>200</v>
      </c>
      <c r="M21" s="313">
        <v>200</v>
      </c>
      <c r="N21" s="313">
        <v>1000</v>
      </c>
      <c r="O21" s="310">
        <f t="shared" si="2"/>
        <v>4000</v>
      </c>
    </row>
    <row r="22" spans="2:15" ht="21" customHeight="1" x14ac:dyDescent="0.25">
      <c r="B22" s="169" t="s">
        <v>8098</v>
      </c>
      <c r="C22" s="313">
        <v>5000</v>
      </c>
      <c r="D22" s="313">
        <v>0</v>
      </c>
      <c r="E22" s="313">
        <v>0</v>
      </c>
      <c r="F22" s="313">
        <v>5000</v>
      </c>
      <c r="G22" s="313">
        <v>0</v>
      </c>
      <c r="H22" s="313">
        <v>0</v>
      </c>
      <c r="I22" s="313">
        <v>5000</v>
      </c>
      <c r="J22" s="313">
        <v>0</v>
      </c>
      <c r="K22" s="313">
        <v>0</v>
      </c>
      <c r="L22" s="313">
        <v>5000</v>
      </c>
      <c r="M22" s="313">
        <v>0</v>
      </c>
      <c r="N22" s="313">
        <v>0</v>
      </c>
      <c r="O22" s="310">
        <f t="shared" si="2"/>
        <v>20000</v>
      </c>
    </row>
    <row r="23" spans="2:15" ht="21" customHeight="1" x14ac:dyDescent="0.25">
      <c r="B23" s="169" t="s">
        <v>8099</v>
      </c>
      <c r="C23" s="313">
        <v>200</v>
      </c>
      <c r="D23" s="313">
        <v>200</v>
      </c>
      <c r="E23" s="313">
        <v>200</v>
      </c>
      <c r="F23" s="313">
        <v>200</v>
      </c>
      <c r="G23" s="313">
        <v>200</v>
      </c>
      <c r="H23" s="313">
        <v>200</v>
      </c>
      <c r="I23" s="313">
        <v>200</v>
      </c>
      <c r="J23" s="313">
        <v>200</v>
      </c>
      <c r="K23" s="313">
        <v>200</v>
      </c>
      <c r="L23" s="313">
        <v>200</v>
      </c>
      <c r="M23" s="313">
        <v>200</v>
      </c>
      <c r="N23" s="313">
        <v>200</v>
      </c>
      <c r="O23" s="310">
        <f t="shared" si="2"/>
        <v>2400</v>
      </c>
    </row>
    <row r="24" spans="2:15" ht="21" customHeight="1" x14ac:dyDescent="0.25">
      <c r="B24" s="169" t="s">
        <v>8100</v>
      </c>
      <c r="C24" s="313">
        <v>2000</v>
      </c>
      <c r="D24" s="313">
        <v>2000</v>
      </c>
      <c r="E24" s="313">
        <v>2000</v>
      </c>
      <c r="F24" s="313">
        <v>5000</v>
      </c>
      <c r="G24" s="313">
        <v>2000</v>
      </c>
      <c r="H24" s="313">
        <v>2000</v>
      </c>
      <c r="I24" s="313">
        <v>2000</v>
      </c>
      <c r="J24" s="313">
        <v>5000</v>
      </c>
      <c r="K24" s="313">
        <v>2000</v>
      </c>
      <c r="L24" s="313">
        <v>2000</v>
      </c>
      <c r="M24" s="313">
        <v>2000</v>
      </c>
      <c r="N24" s="313">
        <v>5000</v>
      </c>
      <c r="O24" s="310">
        <f t="shared" si="2"/>
        <v>33000</v>
      </c>
    </row>
    <row r="25" spans="2:15" ht="21" customHeight="1" x14ac:dyDescent="0.25">
      <c r="B25" s="169" t="s">
        <v>8101</v>
      </c>
      <c r="C25" s="313">
        <v>200</v>
      </c>
      <c r="D25" s="313">
        <v>200</v>
      </c>
      <c r="E25" s="313">
        <v>200</v>
      </c>
      <c r="F25" s="313">
        <v>200</v>
      </c>
      <c r="G25" s="313">
        <v>200</v>
      </c>
      <c r="H25" s="313">
        <v>200</v>
      </c>
      <c r="I25" s="313">
        <v>200</v>
      </c>
      <c r="J25" s="313">
        <v>200</v>
      </c>
      <c r="K25" s="313">
        <v>200</v>
      </c>
      <c r="L25" s="313">
        <v>200</v>
      </c>
      <c r="M25" s="313">
        <v>200</v>
      </c>
      <c r="N25" s="313">
        <v>200</v>
      </c>
      <c r="O25" s="310">
        <f t="shared" si="2"/>
        <v>2400</v>
      </c>
    </row>
    <row r="26" spans="2:15" ht="21" customHeight="1" x14ac:dyDescent="0.25">
      <c r="B26" s="170" t="s">
        <v>8085</v>
      </c>
      <c r="C26" s="314">
        <f>SUBTOTAL(9,Expenses!$C$20:$C$25)</f>
        <v>8100</v>
      </c>
      <c r="D26" s="314">
        <f>SUBTOTAL(9,Expenses!$D$20:$D$25)</f>
        <v>3100</v>
      </c>
      <c r="E26" s="314">
        <f>SUBTOTAL(9,Expenses!$E$20:$E$25)</f>
        <v>3100</v>
      </c>
      <c r="F26" s="314">
        <f>SUBTOTAL(9,Expenses!$F$20:$F$25)</f>
        <v>11100</v>
      </c>
      <c r="G26" s="314">
        <f>SUBTOTAL(9,Expenses!$G$20:$G$25)</f>
        <v>3100</v>
      </c>
      <c r="H26" s="314">
        <f>SUBTOTAL(9,Expenses!$H$20:$H$25)</f>
        <v>3900</v>
      </c>
      <c r="I26" s="314">
        <f>SUBTOTAL(9,Expenses!$I$20:$I$25)</f>
        <v>8100</v>
      </c>
      <c r="J26" s="314">
        <f>SUBTOTAL(9,Expenses!$J$20:$J$25)</f>
        <v>6100</v>
      </c>
      <c r="K26" s="314">
        <f>SUBTOTAL(9,Expenses!$K$20:$K$25)</f>
        <v>3100</v>
      </c>
      <c r="L26" s="314">
        <f>SUBTOTAL(9,Expenses!$L$20:$L$25)</f>
        <v>8100</v>
      </c>
      <c r="M26" s="314">
        <f>SUBTOTAL(9,Expenses!$M$20:$M$25)</f>
        <v>3100</v>
      </c>
      <c r="N26" s="314">
        <f>SUBTOTAL(9,Expenses!$N$20:$N$25)</f>
        <v>6900</v>
      </c>
      <c r="O26" s="315">
        <f>SUBTOTAL(9,Expenses!$O$20:$O$25)</f>
        <v>67800</v>
      </c>
    </row>
    <row r="27" spans="2:15" ht="21" customHeight="1" x14ac:dyDescent="0.3">
      <c r="B27" s="419"/>
      <c r="C27" s="419"/>
      <c r="D27" s="176"/>
      <c r="E27" s="176"/>
      <c r="F27" s="176"/>
      <c r="G27" s="176"/>
      <c r="H27" s="176"/>
      <c r="I27" s="176"/>
      <c r="J27" s="176"/>
      <c r="K27" s="176"/>
      <c r="L27" s="176"/>
      <c r="M27" s="176"/>
      <c r="N27" s="176"/>
      <c r="O27" s="172"/>
    </row>
    <row r="28" spans="2:15" ht="21" customHeight="1" x14ac:dyDescent="0.25">
      <c r="B28" s="177" t="s">
        <v>8102</v>
      </c>
      <c r="C28" s="178" t="s">
        <v>443</v>
      </c>
      <c r="D28" s="178" t="s">
        <v>2412</v>
      </c>
      <c r="E28" s="179" t="s">
        <v>2411</v>
      </c>
      <c r="F28" s="178" t="s">
        <v>2409</v>
      </c>
      <c r="G28" s="178" t="s">
        <v>2407</v>
      </c>
      <c r="H28" s="178" t="s">
        <v>2406</v>
      </c>
      <c r="I28" s="178" t="s">
        <v>2405</v>
      </c>
      <c r="J28" s="178" t="s">
        <v>2404</v>
      </c>
      <c r="K28" s="178" t="s">
        <v>2403</v>
      </c>
      <c r="L28" s="178" t="s">
        <v>2402</v>
      </c>
      <c r="M28" s="178" t="s">
        <v>2401</v>
      </c>
      <c r="N28" s="178" t="s">
        <v>2400</v>
      </c>
      <c r="O28" s="180" t="s">
        <v>4136</v>
      </c>
    </row>
    <row r="29" spans="2:15" ht="21" customHeight="1" x14ac:dyDescent="0.25">
      <c r="B29" s="181" t="s">
        <v>8103</v>
      </c>
      <c r="C29" s="316">
        <v>2000</v>
      </c>
      <c r="D29" s="316">
        <v>2000</v>
      </c>
      <c r="E29" s="316">
        <v>2000</v>
      </c>
      <c r="F29" s="316">
        <v>2000</v>
      </c>
      <c r="G29" s="316">
        <v>2000</v>
      </c>
      <c r="H29" s="316">
        <v>2000</v>
      </c>
      <c r="I29" s="316">
        <v>2000</v>
      </c>
      <c r="J29" s="316">
        <v>2000</v>
      </c>
      <c r="K29" s="316">
        <v>2000</v>
      </c>
      <c r="L29" s="316">
        <v>2000</v>
      </c>
      <c r="M29" s="316">
        <v>2000</v>
      </c>
      <c r="N29" s="316">
        <v>2000</v>
      </c>
      <c r="O29" s="317">
        <f>SUM(C29:N29)</f>
        <v>24000</v>
      </c>
    </row>
    <row r="30" spans="2:15" ht="21" customHeight="1" x14ac:dyDescent="0.25">
      <c r="B30" s="169" t="s">
        <v>8104</v>
      </c>
      <c r="C30" s="313">
        <v>2000</v>
      </c>
      <c r="D30" s="313">
        <v>2000</v>
      </c>
      <c r="E30" s="313">
        <v>2000</v>
      </c>
      <c r="F30" s="313">
        <v>2000</v>
      </c>
      <c r="G30" s="313">
        <v>2000</v>
      </c>
      <c r="H30" s="313">
        <v>2000</v>
      </c>
      <c r="I30" s="313">
        <v>2000</v>
      </c>
      <c r="J30" s="313">
        <v>2000</v>
      </c>
      <c r="K30" s="313">
        <v>2000</v>
      </c>
      <c r="L30" s="313">
        <v>2000</v>
      </c>
      <c r="M30" s="313">
        <v>2000</v>
      </c>
      <c r="N30" s="313">
        <v>2000</v>
      </c>
      <c r="O30" s="310">
        <f>SUM(C30:N30)</f>
        <v>24000</v>
      </c>
    </row>
    <row r="31" spans="2:15" ht="21" customHeight="1" thickBot="1" x14ac:dyDescent="0.3">
      <c r="B31" s="182" t="s">
        <v>8085</v>
      </c>
      <c r="C31" s="318">
        <f>SUBTOTAL(9,Expenses!$C$29:$C$30)</f>
        <v>4000</v>
      </c>
      <c r="D31" s="318">
        <f>SUBTOTAL(9,Expenses!$D$29:$D$30)</f>
        <v>4000</v>
      </c>
      <c r="E31" s="318">
        <f>SUBTOTAL(9,Expenses!$E$29:$E$30)</f>
        <v>4000</v>
      </c>
      <c r="F31" s="318">
        <f>SUBTOTAL(9,Expenses!$F$29:$F$30)</f>
        <v>4000</v>
      </c>
      <c r="G31" s="318">
        <f>SUBTOTAL(9,Expenses!$G$29:$G$30)</f>
        <v>4000</v>
      </c>
      <c r="H31" s="318">
        <f>SUBTOTAL(9,Expenses!$H$29:$H$30)</f>
        <v>4000</v>
      </c>
      <c r="I31" s="318">
        <f>SUBTOTAL(9,Expenses!$I$29:$I$30)</f>
        <v>4000</v>
      </c>
      <c r="J31" s="318">
        <f>SUBTOTAL(9,Expenses!$J$29:$J$30)</f>
        <v>4000</v>
      </c>
      <c r="K31" s="318">
        <f>SUBTOTAL(9,Expenses!$K$29:$K$30)</f>
        <v>4000</v>
      </c>
      <c r="L31" s="318">
        <f>SUBTOTAL(9,Expenses!$L$29:$L$30)</f>
        <v>4000</v>
      </c>
      <c r="M31" s="318">
        <f>SUBTOTAL(9,Expenses!$M$29:$M$30)</f>
        <v>4000</v>
      </c>
      <c r="N31" s="318">
        <f>SUBTOTAL(9,Expenses!$N$29:$N$30)</f>
        <v>4000</v>
      </c>
      <c r="O31" s="319">
        <f>SUBTOTAL(9,Expenses!$O$29:$O$30)</f>
        <v>48000</v>
      </c>
    </row>
    <row r="32" spans="2:15" ht="21" customHeight="1" x14ac:dyDescent="0.25">
      <c r="B32" s="421"/>
      <c r="C32" s="421"/>
      <c r="D32" s="183"/>
      <c r="E32" s="183"/>
      <c r="F32" s="183"/>
      <c r="G32" s="183"/>
      <c r="H32" s="183"/>
      <c r="I32" s="183"/>
      <c r="J32" s="183"/>
      <c r="K32" s="183"/>
      <c r="L32" s="183"/>
      <c r="M32" s="183"/>
      <c r="N32" s="183"/>
      <c r="O32" s="183"/>
    </row>
    <row r="33" spans="2:15" ht="21" customHeight="1" x14ac:dyDescent="0.25">
      <c r="B33" s="160" t="s">
        <v>8105</v>
      </c>
      <c r="C33" s="184"/>
      <c r="D33" s="184"/>
      <c r="E33" s="185"/>
      <c r="F33" s="184"/>
      <c r="G33" s="184"/>
      <c r="H33" s="184"/>
      <c r="I33" s="184"/>
      <c r="J33" s="184"/>
      <c r="K33" s="184"/>
      <c r="L33" s="184"/>
      <c r="M33" s="184"/>
      <c r="N33" s="184"/>
      <c r="O33" s="184"/>
    </row>
    <row r="34" spans="2:15" ht="21" customHeight="1" x14ac:dyDescent="0.25">
      <c r="B34" s="186" t="s">
        <v>8106</v>
      </c>
      <c r="C34" s="320">
        <f>Expenses!$C$31+Expenses!$C$26+Expenses!$C$17+Expenses!$C$6</f>
        <v>131420</v>
      </c>
      <c r="D34" s="320">
        <f>Expenses!$D$31+Expenses!$D$26+Expenses!$D$17+Expenses!$D$6</f>
        <v>126820</v>
      </c>
      <c r="E34" s="320">
        <f>Expenses!$E$31+Expenses!$E$26+Expenses!$E$17+Expenses!$E$6</f>
        <v>126820</v>
      </c>
      <c r="F34" s="320">
        <f>Expenses!$F$31+Expenses!$F$26+Expenses!$F$17+Expenses!$F$6</f>
        <v>137695</v>
      </c>
      <c r="G34" s="320">
        <f>Expenses!$G$31+Expenses!$G$26+Expenses!$G$17+Expenses!$G$6</f>
        <v>129695</v>
      </c>
      <c r="H34" s="320">
        <f>Expenses!$H$31+Expenses!$H$26+Expenses!$H$17+Expenses!$H$6</f>
        <v>130495</v>
      </c>
      <c r="I34" s="320">
        <f>Expenses!$I$31+Expenses!$I$26+Expenses!$I$17+Expenses!$I$6</f>
        <v>134695</v>
      </c>
      <c r="J34" s="320">
        <f>Expenses!$J$31+Expenses!$J$26+Expenses!$J$17+Expenses!$J$6</f>
        <v>138918</v>
      </c>
      <c r="K34" s="320">
        <f>Expenses!$K$31+Expenses!$K$26+Expenses!$K$17+Expenses!$K$6</f>
        <v>135918</v>
      </c>
      <c r="L34" s="320">
        <f>Expenses!$L$31+Expenses!$L$26+Expenses!$L$17+Expenses!$L$6</f>
        <v>140918</v>
      </c>
      <c r="M34" s="320">
        <f>Expenses!$M$31+Expenses!$M$26+Expenses!$M$17+Expenses!$M$6</f>
        <v>136218</v>
      </c>
      <c r="N34" s="320">
        <f>Expenses!$N$31+Expenses!$N$26+Expenses!$N$17+Expenses!$N$6</f>
        <v>140018</v>
      </c>
      <c r="O34" s="320">
        <f>Expenses!$O$31+Expenses!$O$26+Expenses!$O$17+Expenses!$O$6</f>
        <v>1609630</v>
      </c>
    </row>
    <row r="35" spans="2:15" ht="21" customHeight="1" x14ac:dyDescent="0.25">
      <c r="B35" s="186" t="s">
        <v>8107</v>
      </c>
      <c r="C35" s="320">
        <f>SUM($C$34:C34)</f>
        <v>131420</v>
      </c>
      <c r="D35" s="320">
        <f>SUM($C$34:D34)</f>
        <v>258240</v>
      </c>
      <c r="E35" s="320">
        <f>SUM($C$34:E34)</f>
        <v>385060</v>
      </c>
      <c r="F35" s="320">
        <f>SUM($C$34:F34)</f>
        <v>522755</v>
      </c>
      <c r="G35" s="320">
        <f>SUM($C$34:G34)</f>
        <v>652450</v>
      </c>
      <c r="H35" s="320">
        <f>SUM($C$34:H34)</f>
        <v>782945</v>
      </c>
      <c r="I35" s="320">
        <f>SUM($C$34:I34)</f>
        <v>917640</v>
      </c>
      <c r="J35" s="320">
        <f>SUM($C$34:J34)</f>
        <v>1056558</v>
      </c>
      <c r="K35" s="320">
        <f>SUM($C$34:K34)</f>
        <v>1192476</v>
      </c>
      <c r="L35" s="320">
        <f>SUM($C$34:L34)</f>
        <v>1333394</v>
      </c>
      <c r="M35" s="320">
        <f>SUM($C$34:M34)</f>
        <v>1469612</v>
      </c>
      <c r="N35" s="320">
        <f>SUM($C$34:N34)</f>
        <v>1609630</v>
      </c>
      <c r="O35" s="321"/>
    </row>
  </sheetData>
  <mergeCells count="4">
    <mergeCell ref="B7:C7"/>
    <mergeCell ref="B18:C18"/>
    <mergeCell ref="B27:C27"/>
    <mergeCell ref="B32:C32"/>
  </mergeCells>
  <printOptions horizontalCentered="1"/>
  <pageMargins left="0.4" right="0.4" top="0.4" bottom="0.4" header="0.3" footer="0.3"/>
  <pageSetup scale="68" fitToHeight="0" orientation="landscape" r:id="rId1"/>
  <headerFooter differentFirst="1">
    <oddFooter>Page &amp;P of &amp;N</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dimension ref="B5:J49"/>
  <sheetViews>
    <sheetView workbookViewId="0">
      <selection activeCell="E15" sqref="E15"/>
    </sheetView>
  </sheetViews>
  <sheetFormatPr defaultRowHeight="14.25" x14ac:dyDescent="0.2"/>
  <cols>
    <col min="1" max="1" width="12.875" customWidth="1"/>
    <col min="2" max="2" width="21" customWidth="1"/>
    <col min="3" max="3" width="13.25" customWidth="1"/>
    <col min="4" max="4" width="12" customWidth="1"/>
    <col min="5" max="5" width="11.5" bestFit="1" customWidth="1"/>
    <col min="6" max="7" width="15.875" bestFit="1" customWidth="1"/>
    <col min="8" max="8" width="12.375" customWidth="1"/>
    <col min="15" max="15" width="19.25" customWidth="1"/>
  </cols>
  <sheetData>
    <row r="5" spans="2:10" x14ac:dyDescent="0.2">
      <c r="B5" s="98" t="s">
        <v>48</v>
      </c>
      <c r="C5" s="98" t="s">
        <v>7078</v>
      </c>
      <c r="D5" s="368" t="s">
        <v>48</v>
      </c>
      <c r="E5" s="368" t="s">
        <v>7078</v>
      </c>
      <c r="G5" s="98" t="s">
        <v>8639</v>
      </c>
      <c r="H5" s="98" t="s">
        <v>8552</v>
      </c>
      <c r="I5" s="98" t="s">
        <v>8640</v>
      </c>
      <c r="J5" s="98" t="s">
        <v>2437</v>
      </c>
    </row>
    <row r="6" spans="2:10" x14ac:dyDescent="0.2">
      <c r="B6" t="s">
        <v>7066</v>
      </c>
      <c r="C6" s="99">
        <v>37904</v>
      </c>
      <c r="E6" s="322"/>
      <c r="G6" t="s">
        <v>8688</v>
      </c>
      <c r="H6" t="s">
        <v>8272</v>
      </c>
      <c r="I6">
        <v>80</v>
      </c>
      <c r="J6">
        <v>87.95</v>
      </c>
    </row>
    <row r="7" spans="2:10" x14ac:dyDescent="0.2">
      <c r="B7" t="s">
        <v>7067</v>
      </c>
      <c r="C7" s="99">
        <v>29098</v>
      </c>
      <c r="E7" s="322"/>
      <c r="G7" t="s">
        <v>8674</v>
      </c>
      <c r="H7" t="s">
        <v>8272</v>
      </c>
      <c r="I7">
        <v>47</v>
      </c>
      <c r="J7">
        <v>51.75</v>
      </c>
    </row>
    <row r="8" spans="2:10" x14ac:dyDescent="0.2">
      <c r="B8" t="s">
        <v>7058</v>
      </c>
      <c r="C8" s="99">
        <v>27126</v>
      </c>
      <c r="E8" s="322"/>
      <c r="G8" t="s">
        <v>8689</v>
      </c>
      <c r="H8" t="s">
        <v>8272</v>
      </c>
      <c r="I8">
        <v>41</v>
      </c>
      <c r="J8">
        <v>43.61</v>
      </c>
    </row>
    <row r="9" spans="2:10" x14ac:dyDescent="0.2">
      <c r="B9" t="s">
        <v>7065</v>
      </c>
      <c r="C9" s="99">
        <v>35786</v>
      </c>
      <c r="E9" s="322"/>
      <c r="G9" t="s">
        <v>8690</v>
      </c>
      <c r="H9" t="s">
        <v>8272</v>
      </c>
      <c r="I9">
        <v>77</v>
      </c>
      <c r="J9">
        <v>82.31</v>
      </c>
    </row>
    <row r="10" spans="2:10" x14ac:dyDescent="0.2">
      <c r="B10" t="s">
        <v>7068</v>
      </c>
      <c r="C10" s="99">
        <v>41518</v>
      </c>
      <c r="E10" s="322"/>
      <c r="G10" t="s">
        <v>8691</v>
      </c>
      <c r="H10" t="s">
        <v>8692</v>
      </c>
      <c r="I10">
        <v>60</v>
      </c>
      <c r="J10">
        <v>116.51</v>
      </c>
    </row>
    <row r="11" spans="2:10" x14ac:dyDescent="0.2">
      <c r="B11" t="s">
        <v>7055</v>
      </c>
      <c r="C11" s="99">
        <v>30223</v>
      </c>
      <c r="E11" s="322"/>
      <c r="G11" t="s">
        <v>8693</v>
      </c>
      <c r="H11" t="s">
        <v>8692</v>
      </c>
      <c r="I11">
        <v>81</v>
      </c>
      <c r="J11">
        <v>192.86</v>
      </c>
    </row>
    <row r="12" spans="2:10" x14ac:dyDescent="0.2">
      <c r="B12" t="s">
        <v>7072</v>
      </c>
      <c r="C12" s="99">
        <v>39664</v>
      </c>
      <c r="E12" s="322"/>
      <c r="G12" t="s">
        <v>8694</v>
      </c>
      <c r="H12" t="s">
        <v>8692</v>
      </c>
      <c r="I12">
        <v>35</v>
      </c>
      <c r="J12">
        <v>162.59</v>
      </c>
    </row>
    <row r="13" spans="2:10" x14ac:dyDescent="0.2">
      <c r="B13" t="s">
        <v>7060</v>
      </c>
      <c r="C13" s="99">
        <v>30412</v>
      </c>
      <c r="E13" s="322"/>
      <c r="G13" t="s">
        <v>8695</v>
      </c>
      <c r="H13" t="s">
        <v>8692</v>
      </c>
      <c r="I13">
        <v>80</v>
      </c>
      <c r="J13">
        <v>222.12</v>
      </c>
    </row>
    <row r="14" spans="2:10" x14ac:dyDescent="0.2">
      <c r="B14" t="s">
        <v>7077</v>
      </c>
      <c r="C14" s="99">
        <v>34948</v>
      </c>
      <c r="E14" s="322"/>
      <c r="G14" t="s">
        <v>8696</v>
      </c>
      <c r="H14" t="s">
        <v>8697</v>
      </c>
      <c r="I14">
        <v>14</v>
      </c>
      <c r="J14">
        <v>54.9</v>
      </c>
    </row>
    <row r="15" spans="2:10" x14ac:dyDescent="0.2">
      <c r="B15" t="s">
        <v>7073</v>
      </c>
      <c r="C15" s="99">
        <v>32333</v>
      </c>
      <c r="E15" s="322"/>
      <c r="G15" t="s">
        <v>8698</v>
      </c>
      <c r="H15" t="s">
        <v>8697</v>
      </c>
      <c r="I15">
        <v>42</v>
      </c>
      <c r="J15">
        <v>72.260000000000005</v>
      </c>
    </row>
    <row r="16" spans="2:10" x14ac:dyDescent="0.2">
      <c r="B16" t="s">
        <v>7075</v>
      </c>
      <c r="C16" s="99">
        <v>36721</v>
      </c>
      <c r="E16" s="322"/>
      <c r="G16" t="s">
        <v>8699</v>
      </c>
      <c r="H16" t="s">
        <v>8697</v>
      </c>
      <c r="I16">
        <v>48</v>
      </c>
      <c r="J16">
        <v>32.119999999999997</v>
      </c>
    </row>
    <row r="17" spans="2:10" x14ac:dyDescent="0.2">
      <c r="B17" t="s">
        <v>7074</v>
      </c>
      <c r="C17" s="99">
        <v>41376</v>
      </c>
      <c r="E17" s="322"/>
    </row>
    <row r="18" spans="2:10" x14ac:dyDescent="0.2">
      <c r="B18" t="s">
        <v>7057</v>
      </c>
      <c r="C18" s="99">
        <v>37534</v>
      </c>
      <c r="E18" s="322"/>
    </row>
    <row r="19" spans="2:10" x14ac:dyDescent="0.2">
      <c r="B19" t="s">
        <v>7056</v>
      </c>
      <c r="C19" s="99">
        <v>31216</v>
      </c>
      <c r="E19" s="322"/>
      <c r="G19" s="368" t="s">
        <v>8639</v>
      </c>
      <c r="H19" s="368" t="s">
        <v>8552</v>
      </c>
      <c r="I19" s="368" t="s">
        <v>8640</v>
      </c>
      <c r="J19" s="368" t="s">
        <v>2437</v>
      </c>
    </row>
    <row r="20" spans="2:10" x14ac:dyDescent="0.2">
      <c r="B20" t="s">
        <v>7076</v>
      </c>
      <c r="C20" s="99">
        <v>38212</v>
      </c>
      <c r="E20" s="322"/>
    </row>
    <row r="21" spans="2:10" x14ac:dyDescent="0.2">
      <c r="B21" t="s">
        <v>7064</v>
      </c>
      <c r="C21" s="99">
        <v>31732</v>
      </c>
      <c r="E21" s="322"/>
    </row>
    <row r="22" spans="2:10" x14ac:dyDescent="0.2">
      <c r="B22" t="s">
        <v>7054</v>
      </c>
      <c r="C22" s="99">
        <v>39386</v>
      </c>
      <c r="E22" s="322"/>
    </row>
    <row r="23" spans="2:10" x14ac:dyDescent="0.2">
      <c r="B23" t="s">
        <v>7059</v>
      </c>
      <c r="C23" s="99">
        <v>39450</v>
      </c>
      <c r="E23" s="322"/>
    </row>
    <row r="24" spans="2:10" x14ac:dyDescent="0.2">
      <c r="B24" t="s">
        <v>7071</v>
      </c>
      <c r="C24" s="99">
        <v>34171</v>
      </c>
      <c r="E24" s="322"/>
    </row>
    <row r="25" spans="2:10" x14ac:dyDescent="0.2">
      <c r="B25" t="s">
        <v>7063</v>
      </c>
      <c r="C25" s="99">
        <v>41568</v>
      </c>
      <c r="E25" s="322"/>
    </row>
    <row r="26" spans="2:10" x14ac:dyDescent="0.2">
      <c r="B26" t="s">
        <v>7062</v>
      </c>
      <c r="C26" s="99">
        <v>43190</v>
      </c>
      <c r="E26" s="322"/>
    </row>
    <row r="27" spans="2:10" x14ac:dyDescent="0.2">
      <c r="B27" t="s">
        <v>7061</v>
      </c>
      <c r="C27" s="99">
        <v>42356</v>
      </c>
      <c r="E27" s="322"/>
    </row>
    <row r="28" spans="2:10" x14ac:dyDescent="0.2">
      <c r="B28" t="s">
        <v>7070</v>
      </c>
      <c r="C28" s="99">
        <v>34773</v>
      </c>
      <c r="E28" s="322"/>
    </row>
    <row r="29" spans="2:10" x14ac:dyDescent="0.2">
      <c r="B29" t="s">
        <v>7069</v>
      </c>
      <c r="C29" s="99">
        <v>40425</v>
      </c>
      <c r="E29" s="322"/>
    </row>
    <row r="30" spans="2:10" x14ac:dyDescent="0.2">
      <c r="B30" t="s">
        <v>7053</v>
      </c>
      <c r="C30" s="99">
        <v>26880</v>
      </c>
      <c r="E30" s="322"/>
    </row>
    <row r="33" spans="2:4" x14ac:dyDescent="0.2"/>
    <row r="35" spans="2:4" x14ac:dyDescent="0.2">
      <c r="B35" s="64" t="s">
        <v>6750</v>
      </c>
      <c r="C35" s="64" t="s">
        <v>6751</v>
      </c>
      <c r="D35" s="64" t="s">
        <v>6814</v>
      </c>
    </row>
    <row r="36" spans="2:4" x14ac:dyDescent="0.2">
      <c r="B36" t="s">
        <v>6761</v>
      </c>
      <c r="C36" t="s">
        <v>6759</v>
      </c>
      <c r="D36" s="69">
        <v>1</v>
      </c>
    </row>
    <row r="37" spans="2:4" x14ac:dyDescent="0.2">
      <c r="B37" t="s">
        <v>6756</v>
      </c>
      <c r="C37" t="s">
        <v>6760</v>
      </c>
      <c r="D37" s="69">
        <v>2</v>
      </c>
    </row>
    <row r="38" spans="2:4" x14ac:dyDescent="0.2">
      <c r="B38" t="s">
        <v>6752</v>
      </c>
      <c r="C38" t="s">
        <v>6758</v>
      </c>
      <c r="D38" s="69">
        <v>3</v>
      </c>
    </row>
    <row r="39" spans="2:4" x14ac:dyDescent="0.2">
      <c r="B39" t="s">
        <v>6764</v>
      </c>
      <c r="C39" t="s">
        <v>6758</v>
      </c>
      <c r="D39" s="69">
        <v>4</v>
      </c>
    </row>
    <row r="40" spans="2:4" x14ac:dyDescent="0.2">
      <c r="B40" t="s">
        <v>6765</v>
      </c>
      <c r="C40" t="s">
        <v>6758</v>
      </c>
      <c r="D40" s="69">
        <v>5</v>
      </c>
    </row>
    <row r="41" spans="2:4" x14ac:dyDescent="0.2">
      <c r="B41" t="s">
        <v>6754</v>
      </c>
      <c r="C41" t="s">
        <v>6758</v>
      </c>
      <c r="D41" s="69">
        <v>6</v>
      </c>
    </row>
    <row r="42" spans="2:4" x14ac:dyDescent="0.2">
      <c r="B42" t="s">
        <v>6757</v>
      </c>
      <c r="C42" t="s">
        <v>6758</v>
      </c>
      <c r="D42" s="69">
        <v>7</v>
      </c>
    </row>
    <row r="43" spans="2:4" x14ac:dyDescent="0.2">
      <c r="B43" t="s">
        <v>6766</v>
      </c>
      <c r="C43" t="s">
        <v>6759</v>
      </c>
      <c r="D43" s="69">
        <v>8</v>
      </c>
    </row>
    <row r="44" spans="2:4" x14ac:dyDescent="0.2">
      <c r="B44" t="s">
        <v>6768</v>
      </c>
      <c r="C44" t="s">
        <v>6760</v>
      </c>
      <c r="D44" s="69">
        <v>9</v>
      </c>
    </row>
    <row r="45" spans="2:4" x14ac:dyDescent="0.2">
      <c r="B45" t="s">
        <v>6762</v>
      </c>
      <c r="C45" t="s">
        <v>6758</v>
      </c>
      <c r="D45" s="69">
        <v>10</v>
      </c>
    </row>
    <row r="46" spans="2:4" x14ac:dyDescent="0.2">
      <c r="B46" t="s">
        <v>6753</v>
      </c>
      <c r="C46" t="s">
        <v>6759</v>
      </c>
      <c r="D46" s="69">
        <v>11</v>
      </c>
    </row>
    <row r="47" spans="2:4" x14ac:dyDescent="0.2">
      <c r="B47" t="s">
        <v>6763</v>
      </c>
      <c r="C47" t="s">
        <v>6760</v>
      </c>
      <c r="D47" s="69">
        <v>12</v>
      </c>
    </row>
    <row r="48" spans="2:4" x14ac:dyDescent="0.2">
      <c r="B48" t="s">
        <v>6767</v>
      </c>
      <c r="C48" t="s">
        <v>6758</v>
      </c>
      <c r="D48" s="69">
        <v>13</v>
      </c>
    </row>
    <row r="49" spans="2:4" x14ac:dyDescent="0.2">
      <c r="B49" t="s">
        <v>6755</v>
      </c>
      <c r="C49" t="s">
        <v>6758</v>
      </c>
      <c r="D49" s="69">
        <v>14</v>
      </c>
    </row>
  </sheetData>
  <sortState xmlns:xlrd2="http://schemas.microsoft.com/office/spreadsheetml/2017/richdata2" ref="B6:C30">
    <sortCondition ref="C6:C30"/>
  </sortState>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B5:H19"/>
  <sheetViews>
    <sheetView showGridLines="0" workbookViewId="0">
      <selection activeCell="H8" sqref="H8"/>
    </sheetView>
  </sheetViews>
  <sheetFormatPr defaultColWidth="9" defaultRowHeight="14.25" x14ac:dyDescent="0.2"/>
  <cols>
    <col min="1" max="2" width="9" style="6"/>
    <col min="3" max="3" width="18.125" style="6" customWidth="1"/>
    <col min="4" max="4" width="15" style="6" customWidth="1"/>
    <col min="5" max="5" width="13" style="6" customWidth="1"/>
    <col min="6" max="16384" width="9" style="6"/>
  </cols>
  <sheetData>
    <row r="5" spans="2:8" x14ac:dyDescent="0.2">
      <c r="B5" s="13" t="s">
        <v>2415</v>
      </c>
      <c r="C5" s="13" t="s">
        <v>2408</v>
      </c>
      <c r="D5" s="13" t="s">
        <v>2414</v>
      </c>
      <c r="E5" s="13" t="s">
        <v>2413</v>
      </c>
    </row>
    <row r="6" spans="2:8" x14ac:dyDescent="0.2">
      <c r="B6" s="14" t="s">
        <v>443</v>
      </c>
      <c r="C6" s="15">
        <v>7212</v>
      </c>
      <c r="D6" s="15">
        <f>SUM($C$6:C6)</f>
        <v>7212</v>
      </c>
      <c r="E6" s="6" t="str">
        <f>Quotation</f>
        <v>excellent</v>
      </c>
    </row>
    <row r="7" spans="2:8" x14ac:dyDescent="0.2">
      <c r="B7" s="14" t="s">
        <v>2412</v>
      </c>
      <c r="C7" s="15">
        <v>4894</v>
      </c>
      <c r="D7" s="15">
        <f>SUM($C$6:C7)</f>
        <v>12106</v>
      </c>
      <c r="E7" s="6" t="str">
        <f>Quotation</f>
        <v>good</v>
      </c>
    </row>
    <row r="8" spans="2:8" x14ac:dyDescent="0.2">
      <c r="B8" s="14" t="s">
        <v>2411</v>
      </c>
      <c r="C8" s="15">
        <v>5966</v>
      </c>
      <c r="D8" s="15">
        <f>SUM($C$6:C8)</f>
        <v>18072</v>
      </c>
      <c r="E8" s="6" t="str">
        <f>Quotation</f>
        <v>good</v>
      </c>
      <c r="G8" s="6" t="s">
        <v>2410</v>
      </c>
      <c r="H8" s="6">
        <v>3</v>
      </c>
    </row>
    <row r="9" spans="2:8" x14ac:dyDescent="0.2">
      <c r="B9" s="14" t="s">
        <v>2409</v>
      </c>
      <c r="C9" s="15">
        <v>4420</v>
      </c>
      <c r="D9" s="15">
        <f>SUM($C$6:C9)</f>
        <v>22492</v>
      </c>
      <c r="E9" s="6" t="str">
        <f>Quotation</f>
        <v>good</v>
      </c>
      <c r="G9" s="6" t="s">
        <v>2408</v>
      </c>
      <c r="H9" s="6">
        <f>SUM(INDEX(Revenue,(Quarter-1)*3+1):INDEX(Revenue,(Quarter-1)*3+3))</f>
        <v>12455</v>
      </c>
    </row>
    <row r="10" spans="2:8" x14ac:dyDescent="0.2">
      <c r="B10" s="14" t="s">
        <v>2407</v>
      </c>
      <c r="C10" s="15">
        <v>1062</v>
      </c>
      <c r="D10" s="15">
        <f>SUM($C$6:C10)</f>
        <v>23554</v>
      </c>
      <c r="E10" s="6" t="str">
        <f>Quotation</f>
        <v>bad</v>
      </c>
    </row>
    <row r="11" spans="2:8" x14ac:dyDescent="0.2">
      <c r="B11" s="14" t="s">
        <v>2406</v>
      </c>
      <c r="C11" s="15">
        <v>5346</v>
      </c>
      <c r="D11" s="15">
        <f>SUM($C$6:C11)</f>
        <v>28900</v>
      </c>
      <c r="E11" s="6" t="str">
        <f>Quotation</f>
        <v>good</v>
      </c>
    </row>
    <row r="12" spans="2:8" x14ac:dyDescent="0.2">
      <c r="B12" s="14" t="s">
        <v>2405</v>
      </c>
      <c r="C12" s="15">
        <v>3789</v>
      </c>
      <c r="D12" s="15">
        <f>SUM($C$6:C12)</f>
        <v>32689</v>
      </c>
      <c r="E12" s="6" t="str">
        <f>Quotation</f>
        <v>good</v>
      </c>
    </row>
    <row r="13" spans="2:8" x14ac:dyDescent="0.2">
      <c r="B13" s="14" t="s">
        <v>2404</v>
      </c>
      <c r="C13" s="15">
        <v>6408</v>
      </c>
      <c r="D13" s="15">
        <f>SUM($C$6:C13)</f>
        <v>39097</v>
      </c>
      <c r="E13" s="6" t="str">
        <f>Quotation</f>
        <v>good</v>
      </c>
    </row>
    <row r="14" spans="2:8" x14ac:dyDescent="0.2">
      <c r="B14" s="14" t="s">
        <v>2403</v>
      </c>
      <c r="C14" s="15">
        <v>2258</v>
      </c>
      <c r="D14" s="15">
        <f>SUM($C$6:C14)</f>
        <v>41355</v>
      </c>
      <c r="E14" s="6" t="str">
        <f>Quotation</f>
        <v>bad</v>
      </c>
    </row>
    <row r="15" spans="2:8" x14ac:dyDescent="0.2">
      <c r="B15" s="14" t="s">
        <v>2402</v>
      </c>
      <c r="C15" s="15">
        <v>7403</v>
      </c>
      <c r="D15" s="15">
        <f>SUM($C$6:C15)</f>
        <v>48758</v>
      </c>
      <c r="E15" s="6" t="str">
        <f>Quotation</f>
        <v>excellent</v>
      </c>
    </row>
    <row r="16" spans="2:8" x14ac:dyDescent="0.2">
      <c r="B16" s="14" t="s">
        <v>2401</v>
      </c>
      <c r="C16" s="15">
        <v>5629</v>
      </c>
      <c r="D16" s="15">
        <f>SUM($C$6:C16)</f>
        <v>54387</v>
      </c>
      <c r="E16" s="6" t="str">
        <f>Quotation</f>
        <v>good</v>
      </c>
    </row>
    <row r="17" spans="2:5" x14ac:dyDescent="0.2">
      <c r="B17" s="14" t="s">
        <v>2400</v>
      </c>
      <c r="C17" s="15">
        <v>5567</v>
      </c>
      <c r="D17" s="15">
        <f>SUM($C$6:C17)</f>
        <v>59954</v>
      </c>
      <c r="E17" s="6" t="str">
        <f>Quotation</f>
        <v>good</v>
      </c>
    </row>
    <row r="18" spans="2:5" x14ac:dyDescent="0.2">
      <c r="C18" s="15"/>
      <c r="D18" s="15"/>
    </row>
    <row r="19" spans="2:5" x14ac:dyDescent="0.2">
      <c r="B19" s="413">
        <f>SUM(C6:C18)</f>
        <v>59954</v>
      </c>
      <c r="C19" s="413"/>
      <c r="D19" s="413"/>
    </row>
  </sheetData>
  <mergeCells count="1">
    <mergeCell ref="B19:D1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27"/>
  <sheetViews>
    <sheetView showGridLines="0" showZeros="0" tabSelected="1" showOutlineSymbols="0" zoomScaleNormal="100" workbookViewId="0">
      <selection activeCell="F17" sqref="F17"/>
    </sheetView>
  </sheetViews>
  <sheetFormatPr defaultColWidth="9" defaultRowHeight="18" x14ac:dyDescent="0.2"/>
  <cols>
    <col min="1" max="1" width="82.5" style="2" customWidth="1"/>
    <col min="2" max="2" width="27" style="1" customWidth="1"/>
    <col min="3" max="3" width="7.75" style="1" customWidth="1"/>
    <col min="4" max="4" width="9.5" style="1" customWidth="1"/>
    <col min="5" max="5" width="8.875" style="1" customWidth="1"/>
    <col min="6" max="16384" width="9" style="1"/>
  </cols>
  <sheetData>
    <row r="1" spans="1:3" ht="36" customHeight="1" x14ac:dyDescent="0.2">
      <c r="A1" s="329" t="s">
        <v>8941</v>
      </c>
      <c r="B1" s="329"/>
    </row>
    <row r="2" spans="1:3" ht="17.25" customHeight="1" x14ac:dyDescent="0.2">
      <c r="A2" s="23"/>
      <c r="B2" s="25"/>
    </row>
    <row r="3" spans="1:3" x14ac:dyDescent="0.2">
      <c r="A3" s="23"/>
      <c r="B3" s="22"/>
    </row>
    <row r="4" spans="1:3" x14ac:dyDescent="0.2">
      <c r="A4" s="23"/>
      <c r="B4" s="22"/>
    </row>
    <row r="5" spans="1:3" x14ac:dyDescent="0.2">
      <c r="A5" s="23"/>
      <c r="B5" s="22"/>
    </row>
    <row r="6" spans="1:3" x14ac:dyDescent="0.2">
      <c r="A6" s="23"/>
      <c r="B6" s="22"/>
      <c r="C6" s="3"/>
    </row>
    <row r="7" spans="1:3" x14ac:dyDescent="0.2">
      <c r="A7" s="23"/>
      <c r="B7" s="22"/>
    </row>
    <row r="8" spans="1:3" x14ac:dyDescent="0.2">
      <c r="A8" s="23"/>
      <c r="B8" s="22"/>
    </row>
    <row r="9" spans="1:3" x14ac:dyDescent="0.2">
      <c r="A9" s="23"/>
      <c r="B9" s="22"/>
    </row>
    <row r="10" spans="1:3" x14ac:dyDescent="0.2">
      <c r="A10" s="24"/>
      <c r="B10" s="22"/>
    </row>
    <row r="11" spans="1:3" ht="24.75" customHeight="1" x14ac:dyDescent="0.2">
      <c r="A11" s="23"/>
      <c r="B11" s="22"/>
    </row>
    <row r="12" spans="1:3" x14ac:dyDescent="0.2">
      <c r="A12" s="23"/>
      <c r="B12" s="22"/>
    </row>
    <row r="13" spans="1:3" x14ac:dyDescent="0.2">
      <c r="A13" s="23"/>
      <c r="B13" s="22"/>
    </row>
    <row r="14" spans="1:3" x14ac:dyDescent="0.2">
      <c r="A14" s="23"/>
      <c r="B14" s="22"/>
    </row>
    <row r="15" spans="1:3" x14ac:dyDescent="0.2">
      <c r="A15" s="23"/>
      <c r="B15" s="22"/>
    </row>
    <row r="16" spans="1:3" x14ac:dyDescent="0.2">
      <c r="A16" s="23"/>
      <c r="B16" s="22"/>
    </row>
    <row r="17" spans="1:2" x14ac:dyDescent="0.2">
      <c r="A17" s="23"/>
      <c r="B17" s="22"/>
    </row>
    <row r="18" spans="1:2" x14ac:dyDescent="0.2">
      <c r="A18" s="23"/>
      <c r="B18" s="22"/>
    </row>
    <row r="19" spans="1:2" x14ac:dyDescent="0.2">
      <c r="A19" s="23"/>
      <c r="B19" s="22"/>
    </row>
    <row r="20" spans="1:2" x14ac:dyDescent="0.2">
      <c r="A20" s="23"/>
      <c r="B20" s="22"/>
    </row>
    <row r="21" spans="1:2" x14ac:dyDescent="0.2">
      <c r="A21" s="23"/>
      <c r="B21" s="22"/>
    </row>
    <row r="22" spans="1:2" x14ac:dyDescent="0.2">
      <c r="A22" s="23"/>
      <c r="B22" s="22"/>
    </row>
    <row r="23" spans="1:2" x14ac:dyDescent="0.2">
      <c r="A23" s="23"/>
      <c r="B23" s="22"/>
    </row>
    <row r="24" spans="1:2" x14ac:dyDescent="0.2">
      <c r="A24" s="23"/>
      <c r="B24" s="22"/>
    </row>
    <row r="25" spans="1:2" x14ac:dyDescent="0.2">
      <c r="A25" s="23"/>
      <c r="B25" s="22"/>
    </row>
    <row r="26" spans="1:2" x14ac:dyDescent="0.2">
      <c r="A26" s="23"/>
      <c r="B26" s="22"/>
    </row>
    <row r="27" spans="1:2" x14ac:dyDescent="0.2">
      <c r="A27" s="23"/>
      <c r="B27" s="388" t="s">
        <v>8700</v>
      </c>
    </row>
  </sheetData>
  <printOptions horizontalCentered="1"/>
  <pageMargins left="0.39370078740157483" right="0.39370078740157483" top="0.39370078740157483" bottom="0.39370078740157483" header="0.39370078740157483" footer="0.39370078740157483"/>
  <pageSetup paperSize="9" orientation="landscape" horizontalDpi="300" verticalDpi="300" r:id="rId1"/>
  <headerFooter alignWithMargins="0">
    <oddHeader>&amp;F</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 r:id="rId4" name="DropDown">
              <controlPr defaultSize="0" print="0" autoLine="0" autoPict="0">
                <anchor moveWithCells="1">
                  <from>
                    <xdr:col>1</xdr:col>
                    <xdr:colOff>1257300</xdr:colOff>
                    <xdr:row>0</xdr:row>
                    <xdr:rowOff>114300</xdr:rowOff>
                  </from>
                  <to>
                    <xdr:col>1</xdr:col>
                    <xdr:colOff>1952625</xdr:colOff>
                    <xdr:row>0</xdr:row>
                    <xdr:rowOff>342900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2"/>
  <dimension ref="B1:N30"/>
  <sheetViews>
    <sheetView showGridLines="0" zoomScaleNormal="100" workbookViewId="0"/>
  </sheetViews>
  <sheetFormatPr defaultColWidth="9" defaultRowHeight="14.25" x14ac:dyDescent="0.2"/>
  <cols>
    <col min="1" max="1" width="10.25" style="6" customWidth="1"/>
    <col min="2" max="2" width="30" style="6" customWidth="1"/>
    <col min="3" max="3" width="9" style="6"/>
    <col min="4" max="4" width="5.5" style="6" customWidth="1"/>
    <col min="5" max="5" width="15" style="6" bestFit="1" customWidth="1"/>
    <col min="6" max="6" width="19.25" style="6" customWidth="1"/>
    <col min="7" max="7" width="13.125" style="6" bestFit="1" customWidth="1"/>
    <col min="8" max="8" width="13.125" style="6" customWidth="1"/>
    <col min="9" max="9" width="19.125" style="6" customWidth="1"/>
    <col min="10" max="10" width="14.625" style="6" customWidth="1"/>
    <col min="11" max="16384" width="9" style="6"/>
  </cols>
  <sheetData>
    <row r="1" spans="2:14" ht="33" customHeight="1" x14ac:dyDescent="0.2"/>
    <row r="5" spans="2:14" ht="15" x14ac:dyDescent="0.2">
      <c r="B5" s="8" t="s">
        <v>2377</v>
      </c>
      <c r="C5" s="9" t="s">
        <v>47</v>
      </c>
      <c r="D5" s="9" t="s">
        <v>45</v>
      </c>
      <c r="E5" s="10" t="s">
        <v>8214</v>
      </c>
      <c r="F5" s="10" t="s">
        <v>2430</v>
      </c>
      <c r="G5" s="10" t="s">
        <v>8215</v>
      </c>
      <c r="H5" s="10" t="s">
        <v>8216</v>
      </c>
      <c r="J5" s="10" t="s">
        <v>2429</v>
      </c>
      <c r="L5"/>
      <c r="M5"/>
      <c r="N5"/>
    </row>
    <row r="6" spans="2:14" ht="15" x14ac:dyDescent="0.2">
      <c r="B6" s="11" t="s">
        <v>35</v>
      </c>
      <c r="C6" s="12" t="s">
        <v>17</v>
      </c>
      <c r="D6" s="12">
        <v>33</v>
      </c>
      <c r="E6" s="12">
        <f t="shared" ref="E6:E30" si="0">ABS(D6-$J$6)</f>
        <v>0</v>
      </c>
      <c r="F6" s="12">
        <f t="shared" ref="F6:F30" si="1">RANK(ABS(D6-$J$6),$E$6:$E$30,1)</f>
        <v>1</v>
      </c>
      <c r="G6" s="12">
        <f>_xlfn.RANK.EQ(E6,$E$6:$E$30,1)</f>
        <v>1</v>
      </c>
      <c r="H6" s="12">
        <f>_xlfn.RANK.AVG(E6,$E$6:$E$30,1)</f>
        <v>1.5</v>
      </c>
      <c r="J6" s="6">
        <f>MEDIAN($D$6:$D$30)</f>
        <v>33</v>
      </c>
      <c r="L6"/>
      <c r="M6"/>
      <c r="N6"/>
    </row>
    <row r="7" spans="2:14" ht="15" x14ac:dyDescent="0.2">
      <c r="B7" s="11" t="s">
        <v>20</v>
      </c>
      <c r="C7" s="12" t="s">
        <v>17</v>
      </c>
      <c r="D7" s="12">
        <v>33</v>
      </c>
      <c r="E7" s="12">
        <f t="shared" si="0"/>
        <v>0</v>
      </c>
      <c r="F7" s="12">
        <f t="shared" si="1"/>
        <v>1</v>
      </c>
      <c r="G7" s="12">
        <f t="shared" ref="G7:G30" si="2">RANK(E7,$E$6:$E$30,1)</f>
        <v>1</v>
      </c>
      <c r="H7" s="12">
        <f t="shared" ref="H7:H30" si="3">_xlfn.RANK.AVG(E7,$E$6:$E$30,1)</f>
        <v>1.5</v>
      </c>
      <c r="L7"/>
      <c r="M7"/>
      <c r="N7"/>
    </row>
    <row r="8" spans="2:14" ht="15" x14ac:dyDescent="0.2">
      <c r="B8" s="11" t="s">
        <v>36</v>
      </c>
      <c r="C8" s="12" t="s">
        <v>17</v>
      </c>
      <c r="D8" s="12">
        <v>32</v>
      </c>
      <c r="E8" s="12">
        <f t="shared" si="0"/>
        <v>1</v>
      </c>
      <c r="F8" s="12">
        <f t="shared" si="1"/>
        <v>3</v>
      </c>
      <c r="G8" s="12">
        <f t="shared" si="2"/>
        <v>3</v>
      </c>
      <c r="H8" s="12">
        <f t="shared" si="3"/>
        <v>3.5</v>
      </c>
      <c r="L8"/>
      <c r="M8"/>
      <c r="N8"/>
    </row>
    <row r="9" spans="2:14" ht="15" x14ac:dyDescent="0.2">
      <c r="B9" s="11" t="s">
        <v>32</v>
      </c>
      <c r="C9" s="12" t="s">
        <v>21</v>
      </c>
      <c r="D9" s="12">
        <v>34</v>
      </c>
      <c r="E9" s="12">
        <f t="shared" si="0"/>
        <v>1</v>
      </c>
      <c r="F9" s="12">
        <f t="shared" si="1"/>
        <v>3</v>
      </c>
      <c r="G9" s="12">
        <f t="shared" si="2"/>
        <v>3</v>
      </c>
      <c r="H9" s="12">
        <f t="shared" si="3"/>
        <v>3.5</v>
      </c>
      <c r="L9"/>
      <c r="M9"/>
      <c r="N9"/>
    </row>
    <row r="10" spans="2:14" ht="15" x14ac:dyDescent="0.2">
      <c r="B10" s="11" t="s">
        <v>43</v>
      </c>
      <c r="C10" s="12" t="s">
        <v>17</v>
      </c>
      <c r="D10" s="12">
        <v>31</v>
      </c>
      <c r="E10" s="12">
        <f t="shared" si="0"/>
        <v>2</v>
      </c>
      <c r="F10" s="12">
        <f t="shared" si="1"/>
        <v>5</v>
      </c>
      <c r="G10" s="12">
        <f t="shared" si="2"/>
        <v>5</v>
      </c>
      <c r="H10" s="12">
        <f t="shared" si="3"/>
        <v>6.5</v>
      </c>
      <c r="L10"/>
      <c r="M10"/>
      <c r="N10"/>
    </row>
    <row r="11" spans="2:14" ht="15" x14ac:dyDescent="0.2">
      <c r="B11" s="11" t="s">
        <v>42</v>
      </c>
      <c r="C11" s="12" t="s">
        <v>17</v>
      </c>
      <c r="D11" s="12">
        <v>35</v>
      </c>
      <c r="E11" s="12">
        <f t="shared" si="0"/>
        <v>2</v>
      </c>
      <c r="F11" s="12">
        <f t="shared" si="1"/>
        <v>5</v>
      </c>
      <c r="G11" s="12">
        <f t="shared" si="2"/>
        <v>5</v>
      </c>
      <c r="H11" s="12">
        <f t="shared" si="3"/>
        <v>6.5</v>
      </c>
      <c r="L11"/>
      <c r="M11"/>
      <c r="N11"/>
    </row>
    <row r="12" spans="2:14" ht="15" x14ac:dyDescent="0.2">
      <c r="B12" s="11" t="s">
        <v>33</v>
      </c>
      <c r="C12" s="12" t="s">
        <v>17</v>
      </c>
      <c r="D12" s="12">
        <v>31</v>
      </c>
      <c r="E12" s="12">
        <f t="shared" si="0"/>
        <v>2</v>
      </c>
      <c r="F12" s="12">
        <f t="shared" si="1"/>
        <v>5</v>
      </c>
      <c r="G12" s="12">
        <f t="shared" si="2"/>
        <v>5</v>
      </c>
      <c r="H12" s="12">
        <f t="shared" si="3"/>
        <v>6.5</v>
      </c>
      <c r="L12"/>
      <c r="M12"/>
      <c r="N12"/>
    </row>
    <row r="13" spans="2:14" ht="15" x14ac:dyDescent="0.2">
      <c r="B13" s="11" t="s">
        <v>22</v>
      </c>
      <c r="C13" s="12" t="s">
        <v>21</v>
      </c>
      <c r="D13" s="12">
        <v>35</v>
      </c>
      <c r="E13" s="12">
        <f t="shared" si="0"/>
        <v>2</v>
      </c>
      <c r="F13" s="12">
        <f t="shared" si="1"/>
        <v>5</v>
      </c>
      <c r="G13" s="12">
        <f t="shared" si="2"/>
        <v>5</v>
      </c>
      <c r="H13" s="12">
        <f t="shared" si="3"/>
        <v>6.5</v>
      </c>
      <c r="L13"/>
      <c r="M13"/>
      <c r="N13"/>
    </row>
    <row r="14" spans="2:14" ht="15" x14ac:dyDescent="0.2">
      <c r="B14" s="11" t="s">
        <v>37</v>
      </c>
      <c r="C14" s="12" t="s">
        <v>17</v>
      </c>
      <c r="D14" s="12">
        <v>30</v>
      </c>
      <c r="E14" s="12">
        <f t="shared" si="0"/>
        <v>3</v>
      </c>
      <c r="F14" s="12">
        <f t="shared" si="1"/>
        <v>9</v>
      </c>
      <c r="G14" s="12">
        <f t="shared" si="2"/>
        <v>9</v>
      </c>
      <c r="H14" s="12">
        <f t="shared" si="3"/>
        <v>9</v>
      </c>
      <c r="L14"/>
      <c r="M14"/>
      <c r="N14"/>
    </row>
    <row r="15" spans="2:14" ht="15" x14ac:dyDescent="0.2">
      <c r="B15" s="11" t="s">
        <v>38</v>
      </c>
      <c r="C15" s="12" t="s">
        <v>21</v>
      </c>
      <c r="D15" s="12">
        <v>37</v>
      </c>
      <c r="E15" s="12">
        <f t="shared" si="0"/>
        <v>4</v>
      </c>
      <c r="F15" s="12">
        <f t="shared" si="1"/>
        <v>10</v>
      </c>
      <c r="G15" s="12">
        <f t="shared" si="2"/>
        <v>10</v>
      </c>
      <c r="H15" s="12">
        <f t="shared" si="3"/>
        <v>10.5</v>
      </c>
      <c r="L15"/>
      <c r="M15"/>
      <c r="N15"/>
    </row>
    <row r="16" spans="2:14" ht="15" x14ac:dyDescent="0.2">
      <c r="B16" s="11" t="s">
        <v>24</v>
      </c>
      <c r="C16" s="12" t="s">
        <v>21</v>
      </c>
      <c r="D16" s="12">
        <v>29</v>
      </c>
      <c r="E16" s="12">
        <f t="shared" si="0"/>
        <v>4</v>
      </c>
      <c r="F16" s="12">
        <f t="shared" si="1"/>
        <v>10</v>
      </c>
      <c r="G16" s="12">
        <f t="shared" si="2"/>
        <v>10</v>
      </c>
      <c r="H16" s="12">
        <f t="shared" si="3"/>
        <v>10.5</v>
      </c>
      <c r="L16"/>
      <c r="M16"/>
      <c r="N16"/>
    </row>
    <row r="17" spans="2:14" ht="15" x14ac:dyDescent="0.2">
      <c r="B17" s="11" t="s">
        <v>39</v>
      </c>
      <c r="C17" s="12" t="s">
        <v>21</v>
      </c>
      <c r="D17" s="12">
        <v>28</v>
      </c>
      <c r="E17" s="12">
        <f t="shared" si="0"/>
        <v>5</v>
      </c>
      <c r="F17" s="12">
        <f t="shared" si="1"/>
        <v>12</v>
      </c>
      <c r="G17" s="12">
        <f t="shared" si="2"/>
        <v>12</v>
      </c>
      <c r="H17" s="12">
        <f t="shared" si="3"/>
        <v>12.5</v>
      </c>
      <c r="L17"/>
      <c r="M17"/>
      <c r="N17"/>
    </row>
    <row r="18" spans="2:14" ht="15" x14ac:dyDescent="0.2">
      <c r="B18" s="11" t="s">
        <v>30</v>
      </c>
      <c r="C18" s="12" t="s">
        <v>17</v>
      </c>
      <c r="D18" s="12">
        <v>28</v>
      </c>
      <c r="E18" s="12">
        <f t="shared" si="0"/>
        <v>5</v>
      </c>
      <c r="F18" s="12">
        <f t="shared" si="1"/>
        <v>12</v>
      </c>
      <c r="G18" s="12">
        <f t="shared" si="2"/>
        <v>12</v>
      </c>
      <c r="H18" s="12">
        <f t="shared" si="3"/>
        <v>12.5</v>
      </c>
      <c r="L18"/>
      <c r="M18"/>
      <c r="N18"/>
    </row>
    <row r="19" spans="2:14" ht="15" x14ac:dyDescent="0.2">
      <c r="B19" s="11" t="s">
        <v>41</v>
      </c>
      <c r="C19" s="12" t="s">
        <v>21</v>
      </c>
      <c r="D19" s="12">
        <v>27</v>
      </c>
      <c r="E19" s="12">
        <f t="shared" si="0"/>
        <v>6</v>
      </c>
      <c r="F19" s="12">
        <f t="shared" si="1"/>
        <v>14</v>
      </c>
      <c r="G19" s="12">
        <f t="shared" si="2"/>
        <v>14</v>
      </c>
      <c r="H19" s="12">
        <f t="shared" si="3"/>
        <v>15</v>
      </c>
      <c r="L19"/>
      <c r="M19"/>
      <c r="N19"/>
    </row>
    <row r="20" spans="2:14" ht="15" x14ac:dyDescent="0.2">
      <c r="B20" s="11" t="s">
        <v>40</v>
      </c>
      <c r="C20" s="12" t="s">
        <v>17</v>
      </c>
      <c r="D20" s="12">
        <v>39</v>
      </c>
      <c r="E20" s="12">
        <f t="shared" si="0"/>
        <v>6</v>
      </c>
      <c r="F20" s="12">
        <f t="shared" si="1"/>
        <v>14</v>
      </c>
      <c r="G20" s="12">
        <f t="shared" si="2"/>
        <v>14</v>
      </c>
      <c r="H20" s="12">
        <f t="shared" si="3"/>
        <v>15</v>
      </c>
      <c r="L20"/>
      <c r="M20"/>
      <c r="N20"/>
    </row>
    <row r="21" spans="2:14" ht="15" x14ac:dyDescent="0.2">
      <c r="B21" s="11" t="s">
        <v>31</v>
      </c>
      <c r="C21" s="12" t="s">
        <v>17</v>
      </c>
      <c r="D21" s="12">
        <v>39</v>
      </c>
      <c r="E21" s="12">
        <f t="shared" si="0"/>
        <v>6</v>
      </c>
      <c r="F21" s="12">
        <f t="shared" si="1"/>
        <v>14</v>
      </c>
      <c r="G21" s="12">
        <f t="shared" si="2"/>
        <v>14</v>
      </c>
      <c r="H21" s="12">
        <f t="shared" si="3"/>
        <v>15</v>
      </c>
      <c r="L21"/>
      <c r="M21"/>
      <c r="N21"/>
    </row>
    <row r="22" spans="2:14" ht="15" x14ac:dyDescent="0.2">
      <c r="B22" s="11" t="s">
        <v>26</v>
      </c>
      <c r="C22" s="12" t="s">
        <v>21</v>
      </c>
      <c r="D22" s="12">
        <v>26</v>
      </c>
      <c r="E22" s="12">
        <f t="shared" si="0"/>
        <v>7</v>
      </c>
      <c r="F22" s="12">
        <f t="shared" si="1"/>
        <v>17</v>
      </c>
      <c r="G22" s="12">
        <f t="shared" si="2"/>
        <v>17</v>
      </c>
      <c r="H22" s="12">
        <f t="shared" si="3"/>
        <v>17.5</v>
      </c>
      <c r="L22"/>
      <c r="M22"/>
      <c r="N22"/>
    </row>
    <row r="23" spans="2:14" ht="15" x14ac:dyDescent="0.2">
      <c r="B23" s="11" t="s">
        <v>19</v>
      </c>
      <c r="C23" s="12" t="s">
        <v>17</v>
      </c>
      <c r="D23" s="12">
        <v>26</v>
      </c>
      <c r="E23" s="12">
        <f t="shared" si="0"/>
        <v>7</v>
      </c>
      <c r="F23" s="12">
        <f t="shared" si="1"/>
        <v>17</v>
      </c>
      <c r="G23" s="12">
        <f t="shared" si="2"/>
        <v>17</v>
      </c>
      <c r="H23" s="12">
        <f t="shared" si="3"/>
        <v>17.5</v>
      </c>
      <c r="L23"/>
      <c r="M23"/>
      <c r="N23"/>
    </row>
    <row r="24" spans="2:14" ht="15" x14ac:dyDescent="0.2">
      <c r="B24" s="11" t="s">
        <v>28</v>
      </c>
      <c r="C24" s="12" t="s">
        <v>17</v>
      </c>
      <c r="D24" s="12">
        <v>42</v>
      </c>
      <c r="E24" s="12">
        <f t="shared" si="0"/>
        <v>9</v>
      </c>
      <c r="F24" s="12">
        <f t="shared" si="1"/>
        <v>19</v>
      </c>
      <c r="G24" s="12">
        <f t="shared" si="2"/>
        <v>19</v>
      </c>
      <c r="H24" s="12">
        <f t="shared" si="3"/>
        <v>20.5</v>
      </c>
      <c r="L24"/>
      <c r="M24"/>
      <c r="N24"/>
    </row>
    <row r="25" spans="2:14" ht="15" x14ac:dyDescent="0.2">
      <c r="B25" s="11" t="s">
        <v>27</v>
      </c>
      <c r="C25" s="12" t="s">
        <v>21</v>
      </c>
      <c r="D25" s="12">
        <v>42</v>
      </c>
      <c r="E25" s="12">
        <f t="shared" si="0"/>
        <v>9</v>
      </c>
      <c r="F25" s="12">
        <f t="shared" si="1"/>
        <v>19</v>
      </c>
      <c r="G25" s="12">
        <f t="shared" si="2"/>
        <v>19</v>
      </c>
      <c r="H25" s="12">
        <f t="shared" si="3"/>
        <v>20.5</v>
      </c>
      <c r="L25"/>
      <c r="M25"/>
      <c r="N25"/>
    </row>
    <row r="26" spans="2:14" ht="15" x14ac:dyDescent="0.2">
      <c r="B26" s="11" t="s">
        <v>23</v>
      </c>
      <c r="C26" s="12" t="s">
        <v>17</v>
      </c>
      <c r="D26" s="12">
        <v>24</v>
      </c>
      <c r="E26" s="12">
        <f t="shared" si="0"/>
        <v>9</v>
      </c>
      <c r="F26" s="12">
        <f t="shared" si="1"/>
        <v>19</v>
      </c>
      <c r="G26" s="12">
        <f t="shared" si="2"/>
        <v>19</v>
      </c>
      <c r="H26" s="12">
        <f t="shared" si="3"/>
        <v>20.5</v>
      </c>
      <c r="L26"/>
      <c r="M26"/>
      <c r="N26"/>
    </row>
    <row r="27" spans="2:14" ht="15" x14ac:dyDescent="0.2">
      <c r="B27" s="11" t="s">
        <v>18</v>
      </c>
      <c r="C27" s="12" t="s">
        <v>17</v>
      </c>
      <c r="D27" s="12">
        <v>24</v>
      </c>
      <c r="E27" s="12">
        <f t="shared" si="0"/>
        <v>9</v>
      </c>
      <c r="F27" s="12">
        <f t="shared" si="1"/>
        <v>19</v>
      </c>
      <c r="G27" s="12">
        <f t="shared" si="2"/>
        <v>19</v>
      </c>
      <c r="H27" s="12">
        <f t="shared" si="3"/>
        <v>20.5</v>
      </c>
      <c r="L27"/>
      <c r="M27"/>
      <c r="N27"/>
    </row>
    <row r="28" spans="2:14" ht="15" x14ac:dyDescent="0.2">
      <c r="B28" s="11" t="s">
        <v>25</v>
      </c>
      <c r="C28" s="12" t="s">
        <v>21</v>
      </c>
      <c r="D28" s="12">
        <v>44</v>
      </c>
      <c r="E28" s="12">
        <f t="shared" si="0"/>
        <v>11</v>
      </c>
      <c r="F28" s="12">
        <f t="shared" si="1"/>
        <v>23</v>
      </c>
      <c r="G28" s="12">
        <f t="shared" si="2"/>
        <v>23</v>
      </c>
      <c r="H28" s="12">
        <f t="shared" si="3"/>
        <v>23</v>
      </c>
      <c r="L28"/>
      <c r="M28"/>
      <c r="N28"/>
    </row>
    <row r="29" spans="2:14" ht="15" x14ac:dyDescent="0.2">
      <c r="B29" s="11" t="s">
        <v>34</v>
      </c>
      <c r="C29" s="12" t="s">
        <v>17</v>
      </c>
      <c r="D29" s="12">
        <v>47</v>
      </c>
      <c r="E29" s="12">
        <f t="shared" si="0"/>
        <v>14</v>
      </c>
      <c r="F29" s="12">
        <f t="shared" si="1"/>
        <v>24</v>
      </c>
      <c r="G29" s="12">
        <f t="shared" si="2"/>
        <v>24</v>
      </c>
      <c r="H29" s="12">
        <f t="shared" si="3"/>
        <v>24</v>
      </c>
      <c r="L29"/>
      <c r="M29"/>
      <c r="N29"/>
    </row>
    <row r="30" spans="2:14" ht="15" x14ac:dyDescent="0.2">
      <c r="B30" s="11" t="s">
        <v>29</v>
      </c>
      <c r="C30" s="12" t="s">
        <v>17</v>
      </c>
      <c r="D30" s="12">
        <v>123</v>
      </c>
      <c r="E30" s="12">
        <f t="shared" si="0"/>
        <v>90</v>
      </c>
      <c r="F30" s="12">
        <f t="shared" si="1"/>
        <v>25</v>
      </c>
      <c r="G30" s="12">
        <f t="shared" si="2"/>
        <v>25</v>
      </c>
      <c r="H30" s="12">
        <f t="shared" si="3"/>
        <v>25</v>
      </c>
      <c r="L30"/>
      <c r="M30"/>
      <c r="N30"/>
    </row>
  </sheetData>
  <printOptions horizontalCentered="1"/>
  <pageMargins left="0.39370078740157483" right="0.39370078740157483" top="0.39370078740157483" bottom="0.39370078740157483" header="0.39370078740157483" footer="0.39370078740157483"/>
  <pageSetup paperSize="9" orientation="landscape" horizontalDpi="300" verticalDpi="300" r:id="rId1"/>
  <headerFooter alignWithMargins="0">
    <oddHeader>&amp;F</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DD320-E807-45BC-BE67-EEA469A4A1CA}">
  <sheetPr codeName="Sheet4"/>
  <dimension ref="B5:P49"/>
  <sheetViews>
    <sheetView workbookViewId="0">
      <selection activeCell="R43" sqref="R43"/>
    </sheetView>
  </sheetViews>
  <sheetFormatPr defaultRowHeight="14.25" x14ac:dyDescent="0.2"/>
  <cols>
    <col min="1" max="1" width="12.875" customWidth="1"/>
    <col min="2" max="2" width="21" customWidth="1"/>
    <col min="3" max="3" width="13.25" customWidth="1"/>
    <col min="4" max="4" width="7.75" customWidth="1"/>
    <col min="5" max="5" width="11.5" bestFit="1" customWidth="1"/>
    <col min="6" max="6" width="12.375" customWidth="1"/>
    <col min="15" max="15" width="19.25" customWidth="1"/>
  </cols>
  <sheetData>
    <row r="5" spans="2:5" x14ac:dyDescent="0.2">
      <c r="B5" s="98" t="s">
        <v>48</v>
      </c>
      <c r="C5" s="98" t="s">
        <v>7078</v>
      </c>
    </row>
    <row r="6" spans="2:5" x14ac:dyDescent="0.2">
      <c r="B6" t="s">
        <v>7066</v>
      </c>
      <c r="C6" s="99">
        <v>37904</v>
      </c>
      <c r="E6" s="322"/>
    </row>
    <row r="7" spans="2:5" x14ac:dyDescent="0.2">
      <c r="B7" t="s">
        <v>7067</v>
      </c>
      <c r="C7" s="99">
        <v>29098</v>
      </c>
      <c r="E7" s="322"/>
    </row>
    <row r="8" spans="2:5" x14ac:dyDescent="0.2">
      <c r="B8" t="s">
        <v>7058</v>
      </c>
      <c r="C8" s="99">
        <v>27126</v>
      </c>
      <c r="E8" s="322"/>
    </row>
    <row r="9" spans="2:5" x14ac:dyDescent="0.2">
      <c r="B9" t="s">
        <v>7065</v>
      </c>
      <c r="C9" s="99">
        <v>35786</v>
      </c>
      <c r="E9" s="322"/>
    </row>
    <row r="10" spans="2:5" x14ac:dyDescent="0.2">
      <c r="B10" t="s">
        <v>7068</v>
      </c>
      <c r="C10" s="99">
        <v>41518</v>
      </c>
      <c r="E10" s="322"/>
    </row>
    <row r="11" spans="2:5" x14ac:dyDescent="0.2">
      <c r="B11" t="s">
        <v>7055</v>
      </c>
      <c r="C11" s="99">
        <v>30223</v>
      </c>
      <c r="E11" s="322"/>
    </row>
    <row r="12" spans="2:5" x14ac:dyDescent="0.2">
      <c r="B12" t="s">
        <v>7072</v>
      </c>
      <c r="C12" s="99">
        <v>39664</v>
      </c>
      <c r="E12" s="322"/>
    </row>
    <row r="13" spans="2:5" x14ac:dyDescent="0.2">
      <c r="B13" t="s">
        <v>7060</v>
      </c>
      <c r="C13" s="99">
        <v>30412</v>
      </c>
      <c r="E13" s="322"/>
    </row>
    <row r="14" spans="2:5" x14ac:dyDescent="0.2">
      <c r="B14" t="s">
        <v>7077</v>
      </c>
      <c r="C14" s="99">
        <v>34948</v>
      </c>
      <c r="E14" s="322"/>
    </row>
    <row r="15" spans="2:5" x14ac:dyDescent="0.2">
      <c r="B15" t="s">
        <v>7073</v>
      </c>
      <c r="C15" s="99">
        <v>32333</v>
      </c>
      <c r="E15" s="322"/>
    </row>
    <row r="16" spans="2:5" x14ac:dyDescent="0.2">
      <c r="B16" t="s">
        <v>7075</v>
      </c>
      <c r="C16" s="99">
        <v>36721</v>
      </c>
      <c r="E16" s="322"/>
    </row>
    <row r="17" spans="2:5" x14ac:dyDescent="0.2">
      <c r="B17" t="s">
        <v>7074</v>
      </c>
      <c r="C17" s="99">
        <v>41376</v>
      </c>
      <c r="E17" s="322"/>
    </row>
    <row r="18" spans="2:5" x14ac:dyDescent="0.2">
      <c r="B18" t="s">
        <v>7057</v>
      </c>
      <c r="C18" s="99">
        <v>37534</v>
      </c>
      <c r="E18" s="322"/>
    </row>
    <row r="19" spans="2:5" x14ac:dyDescent="0.2">
      <c r="B19" t="s">
        <v>7056</v>
      </c>
      <c r="C19" s="99">
        <v>31216</v>
      </c>
      <c r="E19" s="322"/>
    </row>
    <row r="20" spans="2:5" x14ac:dyDescent="0.2">
      <c r="B20" t="s">
        <v>7076</v>
      </c>
      <c r="C20" s="99">
        <v>38212</v>
      </c>
      <c r="E20" s="322"/>
    </row>
    <row r="21" spans="2:5" x14ac:dyDescent="0.2">
      <c r="B21" t="s">
        <v>7064</v>
      </c>
      <c r="C21" s="99">
        <v>31732</v>
      </c>
      <c r="E21" s="322"/>
    </row>
    <row r="22" spans="2:5" x14ac:dyDescent="0.2">
      <c r="B22" t="s">
        <v>7054</v>
      </c>
      <c r="C22" s="99">
        <v>39386</v>
      </c>
      <c r="E22" s="322"/>
    </row>
    <row r="23" spans="2:5" x14ac:dyDescent="0.2">
      <c r="B23" t="s">
        <v>7059</v>
      </c>
      <c r="C23" s="99">
        <v>39450</v>
      </c>
      <c r="E23" s="322"/>
    </row>
    <row r="24" spans="2:5" x14ac:dyDescent="0.2">
      <c r="B24" t="s">
        <v>7071</v>
      </c>
      <c r="C24" s="99">
        <v>34171</v>
      </c>
      <c r="E24" s="322"/>
    </row>
    <row r="25" spans="2:5" x14ac:dyDescent="0.2">
      <c r="B25" t="s">
        <v>7063</v>
      </c>
      <c r="C25" s="99">
        <v>41568</v>
      </c>
      <c r="E25" s="322"/>
    </row>
    <row r="26" spans="2:5" x14ac:dyDescent="0.2">
      <c r="B26" t="s">
        <v>7062</v>
      </c>
      <c r="C26" s="99">
        <v>43190</v>
      </c>
      <c r="E26" s="322"/>
    </row>
    <row r="27" spans="2:5" x14ac:dyDescent="0.2">
      <c r="B27" t="s">
        <v>7061</v>
      </c>
      <c r="C27" s="99">
        <v>42356</v>
      </c>
      <c r="E27" s="322"/>
    </row>
    <row r="28" spans="2:5" x14ac:dyDescent="0.2">
      <c r="B28" t="s">
        <v>7070</v>
      </c>
      <c r="C28" s="99">
        <v>34773</v>
      </c>
      <c r="E28" s="322"/>
    </row>
    <row r="29" spans="2:5" x14ac:dyDescent="0.2">
      <c r="B29" t="s">
        <v>7069</v>
      </c>
      <c r="C29" s="99">
        <v>40425</v>
      </c>
      <c r="E29" s="322"/>
    </row>
    <row r="30" spans="2:5" x14ac:dyDescent="0.2">
      <c r="B30" t="s">
        <v>7053</v>
      </c>
      <c r="C30" s="99">
        <v>26880</v>
      </c>
      <c r="E30" s="322"/>
    </row>
    <row r="33" spans="2:16" x14ac:dyDescent="0.2"/>
    <row r="35" spans="2:16" x14ac:dyDescent="0.2">
      <c r="B35" s="64" t="s">
        <v>6750</v>
      </c>
      <c r="C35" s="64" t="s">
        <v>6751</v>
      </c>
      <c r="D35" s="64" t="s">
        <v>6814</v>
      </c>
    </row>
    <row r="36" spans="2:16" x14ac:dyDescent="0.2">
      <c r="B36" t="s">
        <v>6761</v>
      </c>
      <c r="C36" t="s">
        <v>6759</v>
      </c>
      <c r="D36" s="69">
        <v>1</v>
      </c>
      <c r="E36" t="str" cm="1">
        <f t="array" ref="E36:H36">_xlfn.TEXTSPLIT(B36,".")</f>
        <v>224</v>
      </c>
      <c r="F36" t="str">
        <v>0</v>
      </c>
      <c r="G36" t="str">
        <v>0</v>
      </c>
      <c r="H36" t="str">
        <v>0</v>
      </c>
      <c r="J36" t="str" cm="1">
        <f t="array" ref="J36:M49">_xlfn._xlws.SORT(E36:H49,{1.234},1)</f>
        <v>172</v>
      </c>
      <c r="K36" t="str">
        <v>24</v>
      </c>
      <c r="L36" t="str">
        <v>160</v>
      </c>
      <c r="M36" t="str">
        <v>85</v>
      </c>
      <c r="O36" t="str">
        <f>_xlfn.TEXTJOIN(".",TRUE,J36:M36)</f>
        <v>172.24.160.85</v>
      </c>
      <c r="P36" cm="1">
        <f t="array" ref="P36:P49">_xlfn.XLOOKUP(O36:O49,B36:B49,D36:D49)</f>
        <v>2</v>
      </c>
    </row>
    <row r="37" spans="2:16" x14ac:dyDescent="0.2">
      <c r="B37" t="s">
        <v>6756</v>
      </c>
      <c r="C37" t="s">
        <v>6760</v>
      </c>
      <c r="D37" s="69">
        <v>2</v>
      </c>
      <c r="E37" t="str" cm="1">
        <f t="array" ref="E37:H37">_xlfn.TEXTSPLIT(B37,".")</f>
        <v>172</v>
      </c>
      <c r="F37" t="str">
        <v>24</v>
      </c>
      <c r="G37" t="str">
        <v>160</v>
      </c>
      <c r="H37" t="str">
        <v>85</v>
      </c>
      <c r="J37" t="str">
        <v>172</v>
      </c>
      <c r="K37" t="str">
        <v>24</v>
      </c>
      <c r="L37" t="str">
        <v>161</v>
      </c>
      <c r="M37" t="str">
        <v>9</v>
      </c>
      <c r="O37" t="str">
        <f t="shared" ref="O37:O49" si="0">_xlfn.TEXTJOIN(".",TRUE,J37:M37)</f>
        <v>172.24.161.9</v>
      </c>
      <c r="P37">
        <v>3</v>
      </c>
    </row>
    <row r="38" spans="2:16" x14ac:dyDescent="0.2">
      <c r="B38" t="s">
        <v>6752</v>
      </c>
      <c r="C38" t="s">
        <v>6758</v>
      </c>
      <c r="D38" s="69">
        <v>3</v>
      </c>
      <c r="E38" t="str" cm="1">
        <f t="array" ref="E38:H38">_xlfn.TEXTSPLIT(B38,".")</f>
        <v>172</v>
      </c>
      <c r="F38" t="str">
        <v>24</v>
      </c>
      <c r="G38" t="str">
        <v>161</v>
      </c>
      <c r="H38" t="str">
        <v>9</v>
      </c>
      <c r="J38" t="str">
        <v>172</v>
      </c>
      <c r="K38" t="str">
        <v>24</v>
      </c>
      <c r="L38" t="str">
        <v>161</v>
      </c>
      <c r="M38" t="str">
        <v>84</v>
      </c>
      <c r="O38" t="str">
        <f t="shared" si="0"/>
        <v>172.24.161.84</v>
      </c>
      <c r="P38">
        <v>6</v>
      </c>
    </row>
    <row r="39" spans="2:16" x14ac:dyDescent="0.2">
      <c r="B39" t="s">
        <v>6764</v>
      </c>
      <c r="C39" t="s">
        <v>6758</v>
      </c>
      <c r="D39" s="69">
        <v>4</v>
      </c>
      <c r="E39" t="str" cm="1">
        <f t="array" ref="E39:H39">_xlfn.TEXTSPLIT(B39,".")</f>
        <v>255</v>
      </c>
      <c r="F39" t="str">
        <v>240</v>
      </c>
      <c r="G39" t="str">
        <v>0</v>
      </c>
      <c r="H39" t="str">
        <v>0</v>
      </c>
      <c r="J39" t="str">
        <v>172</v>
      </c>
      <c r="K39" t="str">
        <v>24</v>
      </c>
      <c r="L39" t="str">
        <v>159</v>
      </c>
      <c r="M39" t="str">
        <v>27</v>
      </c>
      <c r="O39" t="str">
        <f t="shared" si="0"/>
        <v>172.24.159.27</v>
      </c>
      <c r="P39">
        <v>7</v>
      </c>
    </row>
    <row r="40" spans="2:16" x14ac:dyDescent="0.2">
      <c r="B40" t="s">
        <v>6765</v>
      </c>
      <c r="C40" t="s">
        <v>6758</v>
      </c>
      <c r="D40" s="69">
        <v>5</v>
      </c>
      <c r="E40" t="str" cm="1">
        <f t="array" ref="E40:H40">_xlfn.TEXTSPLIT(B40,".")</f>
        <v>255</v>
      </c>
      <c r="F40" t="str">
        <v>255</v>
      </c>
      <c r="G40" t="str">
        <v>224</v>
      </c>
      <c r="H40" t="str">
        <v>0</v>
      </c>
      <c r="J40" t="str">
        <v>172</v>
      </c>
      <c r="K40" t="str">
        <v>24</v>
      </c>
      <c r="L40" t="str">
        <v>161</v>
      </c>
      <c r="M40" t="str">
        <v>8</v>
      </c>
      <c r="O40" t="str">
        <f t="shared" si="0"/>
        <v>172.24.161.8</v>
      </c>
      <c r="P40">
        <v>11</v>
      </c>
    </row>
    <row r="41" spans="2:16" x14ac:dyDescent="0.2">
      <c r="B41" t="s">
        <v>6754</v>
      </c>
      <c r="C41" t="s">
        <v>6758</v>
      </c>
      <c r="D41" s="69">
        <v>6</v>
      </c>
      <c r="E41" t="str" cm="1">
        <f t="array" ref="E41:H41">_xlfn.TEXTSPLIT(B41,".")</f>
        <v>172</v>
      </c>
      <c r="F41" t="str">
        <v>24</v>
      </c>
      <c r="G41" t="str">
        <v>161</v>
      </c>
      <c r="H41" t="str">
        <v>84</v>
      </c>
      <c r="J41" t="str">
        <v>172</v>
      </c>
      <c r="K41" t="str">
        <v>24</v>
      </c>
      <c r="L41" t="str">
        <v>161</v>
      </c>
      <c r="M41" t="str">
        <v>200</v>
      </c>
      <c r="O41" t="str">
        <f t="shared" si="0"/>
        <v>172.24.161.200</v>
      </c>
      <c r="P41">
        <v>14</v>
      </c>
    </row>
    <row r="42" spans="2:16" x14ac:dyDescent="0.2">
      <c r="B42" t="s">
        <v>6757</v>
      </c>
      <c r="C42" t="s">
        <v>6758</v>
      </c>
      <c r="D42" s="69">
        <v>7</v>
      </c>
      <c r="E42" t="str" cm="1">
        <f t="array" ref="E42:H42">_xlfn.TEXTSPLIT(B42,".")</f>
        <v>172</v>
      </c>
      <c r="F42" t="str">
        <v>24</v>
      </c>
      <c r="G42" t="str">
        <v>159</v>
      </c>
      <c r="H42" t="str">
        <v>27</v>
      </c>
      <c r="J42" t="str">
        <v>224</v>
      </c>
      <c r="K42" t="str">
        <v>0</v>
      </c>
      <c r="L42" t="str">
        <v>0</v>
      </c>
      <c r="M42" t="str">
        <v>0</v>
      </c>
      <c r="O42" t="str">
        <f t="shared" si="0"/>
        <v>224.0.0.0</v>
      </c>
      <c r="P42">
        <v>1</v>
      </c>
    </row>
    <row r="43" spans="2:16" x14ac:dyDescent="0.2">
      <c r="B43" t="s">
        <v>6766</v>
      </c>
      <c r="C43" t="s">
        <v>6759</v>
      </c>
      <c r="D43" s="69">
        <v>8</v>
      </c>
      <c r="E43" t="str" cm="1">
        <f t="array" ref="E43:H43">_xlfn.TEXTSPLIT(B43,".")</f>
        <v>255</v>
      </c>
      <c r="F43" t="str">
        <v>255</v>
      </c>
      <c r="G43" t="str">
        <v>240</v>
      </c>
      <c r="H43" t="str">
        <v>0</v>
      </c>
      <c r="J43" t="str">
        <v>240</v>
      </c>
      <c r="K43" t="str">
        <v>0</v>
      </c>
      <c r="L43" t="str">
        <v>0</v>
      </c>
      <c r="M43" t="str">
        <v>0</v>
      </c>
      <c r="O43" t="str">
        <f t="shared" si="0"/>
        <v>240.0.0.0</v>
      </c>
      <c r="P43">
        <v>10</v>
      </c>
    </row>
    <row r="44" spans="2:16" x14ac:dyDescent="0.2">
      <c r="B44" t="s">
        <v>6768</v>
      </c>
      <c r="C44" t="s">
        <v>6760</v>
      </c>
      <c r="D44" s="69">
        <v>9</v>
      </c>
      <c r="E44" t="str" cm="1">
        <f t="array" ref="E44:H44">_xlfn.TEXTSPLIT(B44,".")</f>
        <v>255</v>
      </c>
      <c r="F44" t="str">
        <v>255</v>
      </c>
      <c r="G44" t="str">
        <v>255</v>
      </c>
      <c r="H44" t="str">
        <v>248</v>
      </c>
      <c r="J44" t="str">
        <v>255</v>
      </c>
      <c r="K44" t="str">
        <v>240</v>
      </c>
      <c r="L44" t="str">
        <v>0</v>
      </c>
      <c r="M44" t="str">
        <v>0</v>
      </c>
      <c r="O44" t="str">
        <f t="shared" si="0"/>
        <v>255.240.0.0</v>
      </c>
      <c r="P44">
        <v>4</v>
      </c>
    </row>
    <row r="45" spans="2:16" x14ac:dyDescent="0.2">
      <c r="B45" t="s">
        <v>6762</v>
      </c>
      <c r="C45" t="s">
        <v>6758</v>
      </c>
      <c r="D45" s="69">
        <v>10</v>
      </c>
      <c r="E45" t="str" cm="1">
        <f t="array" ref="E45:H45">_xlfn.TEXTSPLIT(B45,".")</f>
        <v>240</v>
      </c>
      <c r="F45" t="str">
        <v>0</v>
      </c>
      <c r="G45" t="str">
        <v>0</v>
      </c>
      <c r="H45" t="str">
        <v>0</v>
      </c>
      <c r="J45" t="str">
        <v>255</v>
      </c>
      <c r="K45" t="str">
        <v>255</v>
      </c>
      <c r="L45" t="str">
        <v>224</v>
      </c>
      <c r="M45" t="str">
        <v>0</v>
      </c>
      <c r="O45" t="str">
        <f t="shared" si="0"/>
        <v>255.255.224.0</v>
      </c>
      <c r="P45">
        <v>5</v>
      </c>
    </row>
    <row r="46" spans="2:16" x14ac:dyDescent="0.2">
      <c r="B46" t="s">
        <v>6753</v>
      </c>
      <c r="C46" t="s">
        <v>6759</v>
      </c>
      <c r="D46" s="69">
        <v>11</v>
      </c>
      <c r="E46" t="str" cm="1">
        <f t="array" ref="E46:H46">_xlfn.TEXTSPLIT(B46,".")</f>
        <v>172</v>
      </c>
      <c r="F46" t="str">
        <v>24</v>
      </c>
      <c r="G46" t="str">
        <v>161</v>
      </c>
      <c r="H46" t="str">
        <v>8</v>
      </c>
      <c r="J46" t="str">
        <v>255</v>
      </c>
      <c r="K46" t="str">
        <v>255</v>
      </c>
      <c r="L46" t="str">
        <v>240</v>
      </c>
      <c r="M46" t="str">
        <v>0</v>
      </c>
      <c r="O46" t="str">
        <f t="shared" si="0"/>
        <v>255.255.240.0</v>
      </c>
      <c r="P46">
        <v>8</v>
      </c>
    </row>
    <row r="47" spans="2:16" x14ac:dyDescent="0.2">
      <c r="B47" t="s">
        <v>6763</v>
      </c>
      <c r="C47" t="s">
        <v>6760</v>
      </c>
      <c r="D47" s="69">
        <v>12</v>
      </c>
      <c r="E47" t="str" cm="1">
        <f t="array" ref="E47:H47">_xlfn.TEXTSPLIT(B47,".")</f>
        <v>255</v>
      </c>
      <c r="F47" t="str">
        <v>224</v>
      </c>
      <c r="G47" t="str">
        <v>0</v>
      </c>
      <c r="H47" t="str">
        <v>0</v>
      </c>
      <c r="J47" t="str">
        <v>255</v>
      </c>
      <c r="K47" t="str">
        <v>255</v>
      </c>
      <c r="L47" t="str">
        <v>255</v>
      </c>
      <c r="M47" t="str">
        <v>248</v>
      </c>
      <c r="O47" t="str">
        <f t="shared" si="0"/>
        <v>255.255.255.248</v>
      </c>
      <c r="P47">
        <v>9</v>
      </c>
    </row>
    <row r="48" spans="2:16" x14ac:dyDescent="0.2">
      <c r="B48" t="s">
        <v>6767</v>
      </c>
      <c r="C48" t="s">
        <v>6758</v>
      </c>
      <c r="D48" s="69">
        <v>13</v>
      </c>
      <c r="E48" t="str" cm="1">
        <f t="array" ref="E48:H48">_xlfn.TEXTSPLIT(B48,".")</f>
        <v>255</v>
      </c>
      <c r="F48" t="str">
        <v>255</v>
      </c>
      <c r="G48" t="str">
        <v>255</v>
      </c>
      <c r="H48" t="str">
        <v>240</v>
      </c>
      <c r="J48" t="str">
        <v>255</v>
      </c>
      <c r="K48" t="str">
        <v>224</v>
      </c>
      <c r="L48" t="str">
        <v>0</v>
      </c>
      <c r="M48" t="str">
        <v>0</v>
      </c>
      <c r="O48" t="str">
        <f t="shared" si="0"/>
        <v>255.224.0.0</v>
      </c>
      <c r="P48">
        <v>12</v>
      </c>
    </row>
    <row r="49" spans="2:16" x14ac:dyDescent="0.2">
      <c r="B49" t="s">
        <v>6755</v>
      </c>
      <c r="C49" t="s">
        <v>6758</v>
      </c>
      <c r="D49" s="69">
        <v>14</v>
      </c>
      <c r="E49" t="str" cm="1">
        <f t="array" ref="E49:H49">_xlfn.TEXTSPLIT(B49,".")</f>
        <v>172</v>
      </c>
      <c r="F49" t="str">
        <v>24</v>
      </c>
      <c r="G49" t="str">
        <v>161</v>
      </c>
      <c r="H49" t="str">
        <v>200</v>
      </c>
      <c r="J49" t="str">
        <v>255</v>
      </c>
      <c r="K49" t="str">
        <v>255</v>
      </c>
      <c r="L49" t="str">
        <v>255</v>
      </c>
      <c r="M49" t="str">
        <v>240</v>
      </c>
      <c r="O49" t="str">
        <f t="shared" si="0"/>
        <v>255.255.255.240</v>
      </c>
      <c r="P49">
        <v>13</v>
      </c>
    </row>
  </sheetData>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dimension ref="B2:O42"/>
  <sheetViews>
    <sheetView showGridLines="0" workbookViewId="0"/>
  </sheetViews>
  <sheetFormatPr defaultRowHeight="14.25" x14ac:dyDescent="0.2"/>
  <cols>
    <col min="1" max="1" width="8.25" customWidth="1"/>
    <col min="2" max="2" width="26.75" customWidth="1"/>
    <col min="3" max="3" width="13.625" customWidth="1"/>
    <col min="4" max="4" width="13.125" customWidth="1"/>
    <col min="5" max="5" width="14.375" customWidth="1"/>
    <col min="6" max="6" width="17" customWidth="1"/>
    <col min="7" max="7" width="19.5" customWidth="1"/>
    <col min="8" max="8" width="11.75" customWidth="1"/>
    <col min="9" max="9" width="22.125" customWidth="1"/>
    <col min="10" max="10" width="14.125" customWidth="1"/>
    <col min="11" max="11" width="11.125" customWidth="1"/>
    <col min="13" max="13" width="19" customWidth="1"/>
    <col min="15" max="15" width="10.5" bestFit="1" customWidth="1"/>
  </cols>
  <sheetData>
    <row r="2" spans="2:15" ht="15" x14ac:dyDescent="0.2">
      <c r="C2" s="187" t="s">
        <v>6814</v>
      </c>
      <c r="D2" s="188" t="s">
        <v>6815</v>
      </c>
      <c r="E2" s="188" t="s">
        <v>6816</v>
      </c>
      <c r="G2" s="238" t="s">
        <v>8534</v>
      </c>
      <c r="N2" s="189"/>
    </row>
    <row r="3" spans="2:15" x14ac:dyDescent="0.2">
      <c r="C3" s="86">
        <v>1</v>
      </c>
      <c r="D3" s="87" t="s">
        <v>6818</v>
      </c>
      <c r="E3" s="87">
        <v>50</v>
      </c>
      <c r="N3" s="66"/>
    </row>
    <row r="4" spans="2:15" x14ac:dyDescent="0.2">
      <c r="C4" s="86">
        <v>2</v>
      </c>
      <c r="D4" s="87" t="s">
        <v>6820</v>
      </c>
      <c r="E4" s="87">
        <v>60</v>
      </c>
      <c r="N4" s="66"/>
      <c r="O4" s="66"/>
    </row>
    <row r="5" spans="2:15" x14ac:dyDescent="0.2">
      <c r="C5" s="86">
        <v>3</v>
      </c>
      <c r="D5" s="87" t="s">
        <v>6822</v>
      </c>
      <c r="E5" s="87">
        <v>75</v>
      </c>
      <c r="N5" s="66"/>
      <c r="O5" s="66"/>
    </row>
    <row r="6" spans="2:15" x14ac:dyDescent="0.2">
      <c r="C6" s="86">
        <v>4</v>
      </c>
      <c r="D6" s="87" t="s">
        <v>6824</v>
      </c>
      <c r="E6" s="87">
        <v>120</v>
      </c>
      <c r="N6" s="66"/>
      <c r="O6" s="66"/>
    </row>
    <row r="7" spans="2:15" x14ac:dyDescent="0.2">
      <c r="C7" s="86">
        <v>5</v>
      </c>
      <c r="D7" s="87" t="s">
        <v>6826</v>
      </c>
      <c r="E7" s="87">
        <v>150</v>
      </c>
      <c r="N7" s="66"/>
      <c r="O7" s="66"/>
    </row>
    <row r="8" spans="2:15" x14ac:dyDescent="0.2">
      <c r="C8" s="86">
        <v>6</v>
      </c>
      <c r="D8" s="87" t="s">
        <v>6828</v>
      </c>
      <c r="E8" s="87">
        <v>250</v>
      </c>
      <c r="N8" s="66"/>
      <c r="O8" s="66"/>
    </row>
    <row r="9" spans="2:15" x14ac:dyDescent="0.2">
      <c r="N9" s="66"/>
      <c r="O9" s="66"/>
    </row>
    <row r="10" spans="2:15" x14ac:dyDescent="0.2">
      <c r="N10" s="66"/>
      <c r="O10" s="66"/>
    </row>
    <row r="11" spans="2:15" x14ac:dyDescent="0.2">
      <c r="N11" s="66"/>
      <c r="O11" s="66"/>
    </row>
    <row r="12" spans="2:15" ht="15" x14ac:dyDescent="0.25">
      <c r="B12" s="88" t="s">
        <v>6812</v>
      </c>
      <c r="C12" s="89" t="s">
        <v>6813</v>
      </c>
      <c r="D12" s="89" t="s">
        <v>8523</v>
      </c>
      <c r="E12" s="89" t="s">
        <v>8524</v>
      </c>
      <c r="F12" s="89" t="s">
        <v>8528</v>
      </c>
      <c r="G12" t="s">
        <v>8535</v>
      </c>
      <c r="N12" s="66"/>
      <c r="O12" s="66"/>
    </row>
    <row r="13" spans="2:15" x14ac:dyDescent="0.2">
      <c r="B13" s="87" t="s">
        <v>6817</v>
      </c>
      <c r="C13" s="87"/>
      <c r="D13" s="90">
        <f t="array" ref="D13">INDEX($C$3:$E$8,MAX(COUNTIF(B13,"*"&amp;$D$3:$D$8&amp;"*")*$C$3:$C$8),3)</f>
        <v>120</v>
      </c>
      <c r="E13" s="86">
        <f t="array" ref="E13">INDEX(resRates,MAX(COUNTIF(B13,"*"&amp;resTypes&amp;"*")*(resIDs)))</f>
        <v>120</v>
      </c>
      <c r="F13" s="86">
        <f>_xlfn.XLOOKUP(TRIM(LEFT(TRIM(RIGHT(SUBSTITUTE(B13,"x",""),8)),3)),$D$3:$D$8,$E$3:$E$8)</f>
        <v>120</v>
      </c>
      <c r="G13" t="str" cm="1">
        <f t="array" ref="G13">IF(OR(COUNTIF(B13,"*"&amp;resTypes&amp;"*")),"in list","not in list")</f>
        <v>in list</v>
      </c>
      <c r="N13" s="66"/>
      <c r="O13" s="66"/>
    </row>
    <row r="14" spans="2:15" x14ac:dyDescent="0.2">
      <c r="B14" s="87" t="s">
        <v>6819</v>
      </c>
      <c r="C14" s="87"/>
      <c r="D14" s="90">
        <f t="array" ref="D14">INDEX($C$3:$E$8,MAX(COUNTIF(B14,"*"&amp;$D$3:$D$8&amp;"*")*$C$3:$C$8),3)</f>
        <v>250</v>
      </c>
      <c r="E14" s="86">
        <f t="array" ref="E14">INDEX(resRates,MAX(COUNTIF(B14,"*"&amp;resTypes&amp;"*")*(resIDs)))</f>
        <v>250</v>
      </c>
      <c r="F14" s="86">
        <f t="shared" ref="F14:F42" si="0">_xlfn.XLOOKUP(TRIM(LEFT(TRIM(RIGHT(SUBSTITUTE(B14,"x",""),8)),3)),$D$3:$D$8,$E$3:$E$8)</f>
        <v>250</v>
      </c>
      <c r="G14" t="str" cm="1">
        <f t="array" ref="G14">IF(OR(COUNTIF(B14,"*"&amp;resTypes&amp;"*")),"in list","not in list")</f>
        <v>in list</v>
      </c>
      <c r="N14" s="66"/>
      <c r="O14" s="66"/>
    </row>
    <row r="15" spans="2:15" x14ac:dyDescent="0.2">
      <c r="B15" s="87" t="s">
        <v>6821</v>
      </c>
      <c r="C15" s="87"/>
      <c r="D15" s="90">
        <f t="array" ref="D15">INDEX($C$3:$E$8,MAX(COUNTIF(B15,"*"&amp;$D$3:$D$8&amp;"*")*$C$3:$C$8),3)</f>
        <v>150</v>
      </c>
      <c r="E15" s="86">
        <f t="array" ref="E15">INDEX(resRates,MAX(COUNTIF(B15,"*"&amp;resTypes&amp;"*")*(resIDs)))</f>
        <v>150</v>
      </c>
      <c r="F15" s="86">
        <f t="shared" si="0"/>
        <v>150</v>
      </c>
      <c r="G15" t="str" cm="1">
        <f t="array" ref="G15">IF(OR(COUNTIF(B15,"*"&amp;resTypes&amp;"*")),"in list","not in list")</f>
        <v>in list</v>
      </c>
      <c r="N15" s="66"/>
      <c r="O15" s="66"/>
    </row>
    <row r="16" spans="2:15" x14ac:dyDescent="0.2">
      <c r="B16" s="87" t="s">
        <v>6823</v>
      </c>
      <c r="C16" s="87"/>
      <c r="D16" s="90">
        <f t="array" ref="D16">INDEX($C$3:$E$8,MAX(COUNTIF(B16,"*"&amp;$D$3:$D$8&amp;"*")*$C$3:$C$8),3)</f>
        <v>50</v>
      </c>
      <c r="E16" s="86">
        <f t="array" ref="E16">INDEX(resRates,MAX(COUNTIF(B16,"*"&amp;resTypes&amp;"*")*(resIDs)))</f>
        <v>50</v>
      </c>
      <c r="F16" s="86">
        <f t="shared" si="0"/>
        <v>50</v>
      </c>
      <c r="G16" t="str" cm="1">
        <f t="array" ref="G16">IF(OR(COUNTIF(B16,"*"&amp;resTypes&amp;"*")),"in list","not in list")</f>
        <v>in list</v>
      </c>
      <c r="N16" s="66"/>
      <c r="O16" s="66"/>
    </row>
    <row r="17" spans="2:15" x14ac:dyDescent="0.2">
      <c r="B17" s="87" t="s">
        <v>6825</v>
      </c>
      <c r="C17" s="87"/>
      <c r="D17" s="90">
        <f t="array" ref="D17">INDEX($C$3:$E$8,MAX(COUNTIF(B17,"*"&amp;$D$3:$D$8&amp;"*")*$C$3:$C$8),3)</f>
        <v>50</v>
      </c>
      <c r="E17" s="86">
        <f t="array" ref="E17">INDEX(resRates,MAX(COUNTIF(B17,"*"&amp;resTypes&amp;"*")*(resIDs)))</f>
        <v>50</v>
      </c>
      <c r="F17" s="86">
        <f t="shared" si="0"/>
        <v>50</v>
      </c>
      <c r="G17" t="str" cm="1">
        <f t="array" ref="G17">IF(OR(COUNTIF(B17,"*"&amp;resTypes&amp;"*")),"in list","not in list")</f>
        <v>in list</v>
      </c>
      <c r="N17" s="66"/>
      <c r="O17" s="66"/>
    </row>
    <row r="18" spans="2:15" x14ac:dyDescent="0.2">
      <c r="B18" s="87" t="s">
        <v>6827</v>
      </c>
      <c r="C18" s="87"/>
      <c r="D18" s="90">
        <f t="array" ref="D18">INDEX($C$3:$E$8,MAX(COUNTIF(B18,"*"&amp;$D$3:$D$8&amp;"*")*$C$3:$C$8),3)</f>
        <v>60</v>
      </c>
      <c r="E18" s="86">
        <f t="array" ref="E18">INDEX(resRates,MAX(COUNTIF(B18,"*"&amp;resTypes&amp;"*")*(resIDs)))</f>
        <v>60</v>
      </c>
      <c r="F18" s="86">
        <f t="shared" si="0"/>
        <v>60</v>
      </c>
      <c r="G18" t="str" cm="1">
        <f t="array" ref="G18">IF(OR(COUNTIF(B18,"*"&amp;resTypes&amp;"*")),"in list","not in list")</f>
        <v>in list</v>
      </c>
      <c r="N18" s="66"/>
      <c r="O18" s="66"/>
    </row>
    <row r="19" spans="2:15" x14ac:dyDescent="0.2">
      <c r="B19" s="87" t="s">
        <v>6829</v>
      </c>
      <c r="C19" s="87"/>
      <c r="D19" s="90">
        <f t="array" ref="D19">INDEX($C$3:$E$8,MAX(COUNTIF(B19,"*"&amp;$D$3:$D$8&amp;"*")*$C$3:$C$8),3)</f>
        <v>50</v>
      </c>
      <c r="E19" s="86">
        <f t="array" ref="E19">INDEX(resRates,MAX(COUNTIF(B19,"*"&amp;resTypes&amp;"*")*(resIDs)))</f>
        <v>50</v>
      </c>
      <c r="F19" s="86">
        <f t="shared" si="0"/>
        <v>50</v>
      </c>
      <c r="G19" t="str" cm="1">
        <f t="array" ref="G19">IF(OR(COUNTIF(B19,"*"&amp;resTypes&amp;"*")),"in list","not in list")</f>
        <v>in list</v>
      </c>
      <c r="N19" s="66"/>
      <c r="O19" s="66"/>
    </row>
    <row r="20" spans="2:15" x14ac:dyDescent="0.2">
      <c r="B20" s="87" t="s">
        <v>6830</v>
      </c>
      <c r="C20" s="87"/>
      <c r="D20" s="90">
        <f t="array" ref="D20">INDEX($C$3:$E$8,MAX(COUNTIF(B20,"*"&amp;$D$3:$D$8&amp;"*")*$C$3:$C$8),3)</f>
        <v>150</v>
      </c>
      <c r="E20" s="86">
        <f t="array" ref="E20">INDEX(resRates,MAX(COUNTIF(B20,"*"&amp;resTypes&amp;"*")*(resIDs)))</f>
        <v>150</v>
      </c>
      <c r="F20" s="86">
        <f t="shared" si="0"/>
        <v>150</v>
      </c>
      <c r="G20" t="str" cm="1">
        <f t="array" ref="G20">IF(OR(COUNTIF(B20,"*"&amp;resTypes&amp;"*")),"in list","not in list")</f>
        <v>in list</v>
      </c>
      <c r="N20" s="66"/>
      <c r="O20" s="66"/>
    </row>
    <row r="21" spans="2:15" x14ac:dyDescent="0.2">
      <c r="B21" s="87" t="s">
        <v>6831</v>
      </c>
      <c r="C21" s="87"/>
      <c r="D21" s="90">
        <f t="array" ref="D21">INDEX($C$3:$E$8,MAX(COUNTIF(B21,"*"&amp;$D$3:$D$8&amp;"*")*$C$3:$C$8),3)</f>
        <v>50</v>
      </c>
      <c r="E21" s="86">
        <f t="array" ref="E21">INDEX(resRates,MAX(COUNTIF(B21,"*"&amp;resTypes&amp;"*")*(resIDs)))</f>
        <v>50</v>
      </c>
      <c r="F21" s="86">
        <f t="shared" si="0"/>
        <v>50</v>
      </c>
      <c r="G21" t="str" cm="1">
        <f t="array" ref="G21">IF(OR(COUNTIF(B21,"*"&amp;resTypes&amp;"*")),"in list","not in list")</f>
        <v>in list</v>
      </c>
      <c r="N21" s="66"/>
      <c r="O21" s="66"/>
    </row>
    <row r="22" spans="2:15" x14ac:dyDescent="0.2">
      <c r="B22" s="87" t="s">
        <v>6832</v>
      </c>
      <c r="C22" s="87"/>
      <c r="D22" s="90">
        <f t="array" ref="D22">INDEX($C$3:$E$8,MAX(COUNTIF(B22,"*"&amp;$D$3:$D$8&amp;"*")*$C$3:$C$8),3)</f>
        <v>75</v>
      </c>
      <c r="E22" s="86">
        <f t="array" ref="E22">INDEX(resRates,MAX(COUNTIF(B22,"*"&amp;resTypes&amp;"*")*(resIDs)))</f>
        <v>75</v>
      </c>
      <c r="F22" s="86">
        <f t="shared" si="0"/>
        <v>75</v>
      </c>
      <c r="G22" t="str" cm="1">
        <f t="array" ref="G22">IF(OR(COUNTIF(B22,"*"&amp;resTypes&amp;"*")),"in list","not in list")</f>
        <v>in list</v>
      </c>
      <c r="N22" s="66"/>
      <c r="O22" s="66"/>
    </row>
    <row r="23" spans="2:15" x14ac:dyDescent="0.2">
      <c r="B23" s="87" t="s">
        <v>6833</v>
      </c>
      <c r="C23" s="87"/>
      <c r="D23" s="90">
        <f t="array" ref="D23">INDEX($C$3:$E$8,MAX(COUNTIF(B23,"*"&amp;$D$3:$D$8&amp;"*")*$C$3:$C$8),3)</f>
        <v>250</v>
      </c>
      <c r="E23" s="86">
        <f t="array" ref="E23">INDEX(resRates,MAX(COUNTIF(B23,"*"&amp;resTypes&amp;"*")*(resIDs)))</f>
        <v>250</v>
      </c>
      <c r="F23" s="86">
        <f t="shared" si="0"/>
        <v>250</v>
      </c>
      <c r="G23" t="str" cm="1">
        <f t="array" ref="G23">IF(OR(COUNTIF(B23,"*"&amp;resTypes&amp;"*")),"in list","not in list")</f>
        <v>in list</v>
      </c>
      <c r="N23" s="66"/>
      <c r="O23" s="66"/>
    </row>
    <row r="24" spans="2:15" x14ac:dyDescent="0.2">
      <c r="B24" s="87" t="s">
        <v>6834</v>
      </c>
      <c r="C24" s="87"/>
      <c r="D24" s="90">
        <f t="array" ref="D24">INDEX($C$3:$E$8,MAX(COUNTIF(B24,"*"&amp;$D$3:$D$8&amp;"*")*$C$3:$C$8),3)</f>
        <v>50</v>
      </c>
      <c r="E24" s="86">
        <f t="array" ref="E24">INDEX(resRates,MAX(COUNTIF(B24,"*"&amp;resTypes&amp;"*")*(resIDs)))</f>
        <v>50</v>
      </c>
      <c r="F24" s="86">
        <f t="shared" si="0"/>
        <v>50</v>
      </c>
      <c r="G24" t="str" cm="1">
        <f t="array" ref="G24">IF(OR(COUNTIF(B24,"*"&amp;resTypes&amp;"*")),"in list","not in list")</f>
        <v>in list</v>
      </c>
      <c r="N24" s="66"/>
      <c r="O24" s="66"/>
    </row>
    <row r="25" spans="2:15" x14ac:dyDescent="0.2">
      <c r="B25" s="87" t="s">
        <v>6835</v>
      </c>
      <c r="C25" s="87"/>
      <c r="D25" s="90">
        <f t="array" ref="D25">INDEX($C$3:$E$8,MAX(COUNTIF(B25,"*"&amp;$D$3:$D$8&amp;"*")*$C$3:$C$8),3)</f>
        <v>75</v>
      </c>
      <c r="E25" s="86">
        <f t="array" ref="E25">INDEX(resRates,MAX(COUNTIF(B25,"*"&amp;resTypes&amp;"*")*(resIDs)))</f>
        <v>75</v>
      </c>
      <c r="F25" s="86">
        <f t="shared" si="0"/>
        <v>75</v>
      </c>
      <c r="G25" t="str" cm="1">
        <f t="array" ref="G25">IF(OR(COUNTIF(B25,"*"&amp;resTypes&amp;"*")),"in list","not in list")</f>
        <v>in list</v>
      </c>
      <c r="N25" s="66"/>
      <c r="O25" s="66"/>
    </row>
    <row r="26" spans="2:15" x14ac:dyDescent="0.2">
      <c r="B26" s="87" t="s">
        <v>6836</v>
      </c>
      <c r="C26" s="87"/>
      <c r="D26" s="90">
        <f t="array" ref="D26">INDEX($C$3:$E$8,MAX(COUNTIF(B26,"*"&amp;$D$3:$D$8&amp;"*")*$C$3:$C$8),3)</f>
        <v>50</v>
      </c>
      <c r="E26" s="86">
        <f t="array" ref="E26">INDEX(resRates,MAX(COUNTIF(B26,"*"&amp;resTypes&amp;"*")*(resIDs)))</f>
        <v>50</v>
      </c>
      <c r="F26" s="86">
        <f t="shared" si="0"/>
        <v>50</v>
      </c>
      <c r="G26" t="str" cm="1">
        <f t="array" ref="G26">IF(OR(COUNTIF(B26,"*"&amp;resTypes&amp;"*")),"in list","not in list")</f>
        <v>in list</v>
      </c>
      <c r="N26" s="66"/>
      <c r="O26" s="66"/>
    </row>
    <row r="27" spans="2:15" x14ac:dyDescent="0.2">
      <c r="B27" s="87" t="s">
        <v>6837</v>
      </c>
      <c r="C27" s="87"/>
      <c r="D27" s="90">
        <f t="array" ref="D27">INDEX($C$3:$E$8,MAX(COUNTIF(B27,"*"&amp;$D$3:$D$8&amp;"*")*$C$3:$C$8),3)</f>
        <v>120</v>
      </c>
      <c r="E27" s="86">
        <f t="array" ref="E27">INDEX(resRates,MAX(COUNTIF(B27,"*"&amp;resTypes&amp;"*")*(resIDs)))</f>
        <v>120</v>
      </c>
      <c r="F27" s="86">
        <f t="shared" si="0"/>
        <v>120</v>
      </c>
      <c r="G27" t="str" cm="1">
        <f t="array" ref="G27">IF(OR(COUNTIF(B27,"*"&amp;resTypes&amp;"*")),"in list","not in list")</f>
        <v>in list</v>
      </c>
      <c r="N27" s="66"/>
      <c r="O27" s="66"/>
    </row>
    <row r="28" spans="2:15" x14ac:dyDescent="0.2">
      <c r="B28" s="87" t="s">
        <v>6838</v>
      </c>
      <c r="C28" s="87"/>
      <c r="D28" s="90">
        <f t="array" ref="D28">INDEX($C$3:$E$8,MAX(COUNTIF(B28,"*"&amp;$D$3:$D$8&amp;"*")*$C$3:$C$8),3)</f>
        <v>120</v>
      </c>
      <c r="E28" s="86">
        <f t="array" ref="E28">INDEX(resRates,MAX(COUNTIF(B28,"*"&amp;resTypes&amp;"*")*(resIDs)))</f>
        <v>120</v>
      </c>
      <c r="F28" s="86">
        <f t="shared" si="0"/>
        <v>120</v>
      </c>
      <c r="G28" t="str" cm="1">
        <f t="array" ref="G28">IF(OR(COUNTIF(B28,"*"&amp;resTypes&amp;"*")),"in list","not in list")</f>
        <v>in list</v>
      </c>
    </row>
    <row r="29" spans="2:15" x14ac:dyDescent="0.2">
      <c r="B29" s="87" t="s">
        <v>6839</v>
      </c>
      <c r="C29" s="87"/>
      <c r="D29" s="90">
        <f t="array" ref="D29">INDEX($C$3:$E$8,MAX(COUNTIF(B29,"*"&amp;$D$3:$D$8&amp;"*")*$C$3:$C$8),3)</f>
        <v>75</v>
      </c>
      <c r="E29" s="86">
        <f t="array" ref="E29">INDEX(resRates,MAX(COUNTIF(B29,"*"&amp;resTypes&amp;"*")*(resIDs)))</f>
        <v>75</v>
      </c>
      <c r="F29" s="86">
        <f t="shared" si="0"/>
        <v>75</v>
      </c>
      <c r="G29" t="str" cm="1">
        <f t="array" ref="G29">IF(OR(COUNTIF(B29,"*"&amp;resTypes&amp;"*")),"in list","not in list")</f>
        <v>in list</v>
      </c>
    </row>
    <row r="30" spans="2:15" x14ac:dyDescent="0.2">
      <c r="B30" s="87" t="s">
        <v>6840</v>
      </c>
      <c r="C30" s="87"/>
      <c r="D30" s="90">
        <f t="array" ref="D30">INDEX($C$3:$E$8,MAX(COUNTIF(B30,"*"&amp;$D$3:$D$8&amp;"*")*$C$3:$C$8),3)</f>
        <v>60</v>
      </c>
      <c r="E30" s="86">
        <f t="array" ref="E30">INDEX(resRates,MAX(COUNTIF(B30,"*"&amp;resTypes&amp;"*")*(resIDs)))</f>
        <v>60</v>
      </c>
      <c r="F30" s="86">
        <f t="shared" si="0"/>
        <v>60</v>
      </c>
      <c r="G30" t="str" cm="1">
        <f t="array" ref="G30">IF(OR(COUNTIF(B30,"*"&amp;resTypes&amp;"*")),"in list","not in list")</f>
        <v>in list</v>
      </c>
    </row>
    <row r="31" spans="2:15" x14ac:dyDescent="0.2">
      <c r="B31" s="87" t="s">
        <v>6841</v>
      </c>
      <c r="C31" s="87"/>
      <c r="D31" s="90">
        <f t="array" ref="D31">INDEX($C$3:$E$8,MAX(COUNTIF(B31,"*"&amp;$D$3:$D$8&amp;"*")*$C$3:$C$8),3)</f>
        <v>60</v>
      </c>
      <c r="E31" s="86">
        <f t="array" ref="E31">INDEX(resRates,MAX(COUNTIF(B31,"*"&amp;resTypes&amp;"*")*(resIDs)))</f>
        <v>60</v>
      </c>
      <c r="F31" s="86">
        <f t="shared" si="0"/>
        <v>60</v>
      </c>
      <c r="G31" t="str" cm="1">
        <f t="array" ref="G31">IF(OR(COUNTIF(B31,"*"&amp;resTypes&amp;"*")),"in list","not in list")</f>
        <v>in list</v>
      </c>
    </row>
    <row r="32" spans="2:15" x14ac:dyDescent="0.2">
      <c r="B32" s="87" t="s">
        <v>6842</v>
      </c>
      <c r="C32" s="87"/>
      <c r="D32" s="90">
        <f t="array" ref="D32">INDEX($C$3:$E$8,MAX(COUNTIF(B32,"*"&amp;$D$3:$D$8&amp;"*")*$C$3:$C$8),3)</f>
        <v>60</v>
      </c>
      <c r="E32" s="86">
        <f t="array" ref="E32">INDEX(resRates,MAX(COUNTIF(B32,"*"&amp;resTypes&amp;"*")*(resIDs)))</f>
        <v>60</v>
      </c>
      <c r="F32" s="86">
        <f t="shared" si="0"/>
        <v>60</v>
      </c>
      <c r="G32" t="str" cm="1">
        <f t="array" ref="G32">IF(OR(COUNTIF(B32,"*"&amp;resTypes&amp;"*")),"in list","not in list")</f>
        <v>in list</v>
      </c>
    </row>
    <row r="33" spans="2:7" x14ac:dyDescent="0.2">
      <c r="B33" s="87" t="s">
        <v>6843</v>
      </c>
      <c r="C33" s="87"/>
      <c r="D33" s="90">
        <f t="array" ref="D33">INDEX($C$3:$E$8,MAX(COUNTIF(B33,"*"&amp;$D$3:$D$8&amp;"*")*$C$3:$C$8),3)</f>
        <v>150</v>
      </c>
      <c r="E33" s="86">
        <f t="array" ref="E33">INDEX(resRates,MAX(COUNTIF(B33,"*"&amp;resTypes&amp;"*")*(resIDs)))</f>
        <v>150</v>
      </c>
      <c r="F33" s="86">
        <f t="shared" si="0"/>
        <v>150</v>
      </c>
      <c r="G33" t="str" cm="1">
        <f t="array" ref="G33">IF(OR(COUNTIF(B33,"*"&amp;resTypes&amp;"*")),"in list","not in list")</f>
        <v>in list</v>
      </c>
    </row>
    <row r="34" spans="2:7" x14ac:dyDescent="0.2">
      <c r="B34" s="87" t="s">
        <v>6844</v>
      </c>
      <c r="C34" s="87"/>
      <c r="D34" s="90">
        <f t="array" ref="D34">INDEX($C$3:$E$8,MAX(COUNTIF(B34,"*"&amp;$D$3:$D$8&amp;"*")*$C$3:$C$8),3)</f>
        <v>150</v>
      </c>
      <c r="E34" s="86">
        <f t="array" ref="E34">INDEX(resRates,MAX(COUNTIF(B34,"*"&amp;resTypes&amp;"*")*(resIDs)))</f>
        <v>150</v>
      </c>
      <c r="F34" s="86">
        <f t="shared" si="0"/>
        <v>150</v>
      </c>
      <c r="G34" t="str" cm="1">
        <f t="array" ref="G34">IF(OR(COUNTIF(B34,"*"&amp;resTypes&amp;"*")),"in list","not in list")</f>
        <v>in list</v>
      </c>
    </row>
    <row r="35" spans="2:7" x14ac:dyDescent="0.2">
      <c r="B35" s="87" t="s">
        <v>8536</v>
      </c>
      <c r="C35" s="87"/>
      <c r="D35" s="90">
        <f t="array" ref="D35">INDEX($C$3:$E$8,MAX(COUNTIF(B35,"*"&amp;$D$3:$D$8&amp;"*")*$C$3:$C$8),3)</f>
        <v>50</v>
      </c>
      <c r="E35" s="86">
        <f t="array" ref="E35">INDEX(resRates,MAX(COUNTIF(B35,"*"&amp;resTypes&amp;"*")*(resIDs)))</f>
        <v>50</v>
      </c>
      <c r="F35" s="86" t="e">
        <f t="shared" si="0"/>
        <v>#N/A</v>
      </c>
      <c r="G35" t="str" cm="1">
        <f t="array" ref="G35">IF(OR(COUNTIF(B35,"*"&amp;resTypes&amp;"*")),"in list","not in list")</f>
        <v>not in list</v>
      </c>
    </row>
    <row r="36" spans="2:7" x14ac:dyDescent="0.2">
      <c r="B36" s="87" t="s">
        <v>6845</v>
      </c>
      <c r="C36" s="87"/>
      <c r="D36" s="90">
        <f t="array" ref="D36">INDEX($C$3:$E$8,MAX(COUNTIF(B36,"*"&amp;$D$3:$D$8&amp;"*")*$C$3:$C$8),3)</f>
        <v>250</v>
      </c>
      <c r="E36" s="86">
        <f t="array" ref="E36">INDEX(resRates,MAX(COUNTIF(B36,"*"&amp;resTypes&amp;"*")*(resIDs)))</f>
        <v>250</v>
      </c>
      <c r="F36" s="86">
        <f t="shared" si="0"/>
        <v>250</v>
      </c>
      <c r="G36" t="str" cm="1">
        <f t="array" ref="G36">IF(OR(COUNTIF(B36,"*"&amp;resTypes&amp;"*")),"in list","not in list")</f>
        <v>in list</v>
      </c>
    </row>
    <row r="37" spans="2:7" x14ac:dyDescent="0.2">
      <c r="B37" s="87" t="s">
        <v>6846</v>
      </c>
      <c r="C37" s="87"/>
      <c r="D37" s="90">
        <f t="array" ref="D37">INDEX($C$3:$E$8,MAX(COUNTIF(B37,"*"&amp;$D$3:$D$8&amp;"*")*$C$3:$C$8),3)</f>
        <v>60</v>
      </c>
      <c r="E37" s="86">
        <f t="array" ref="E37">INDEX(resRates,MAX(COUNTIF(B37,"*"&amp;resTypes&amp;"*")*(resIDs)))</f>
        <v>60</v>
      </c>
      <c r="F37" s="86">
        <f t="shared" si="0"/>
        <v>60</v>
      </c>
      <c r="G37" t="str" cm="1">
        <f t="array" ref="G37">IF(OR(COUNTIF(B37,"*"&amp;resTypes&amp;"*")),"in list","not in list")</f>
        <v>in list</v>
      </c>
    </row>
    <row r="38" spans="2:7" x14ac:dyDescent="0.2">
      <c r="B38" s="87" t="s">
        <v>6847</v>
      </c>
      <c r="C38" s="87"/>
      <c r="D38" s="90">
        <f t="array" ref="D38">INDEX($C$3:$E$8,MAX(COUNTIF(B38,"*"&amp;$D$3:$D$8&amp;"*")*$C$3:$C$8),3)</f>
        <v>150</v>
      </c>
      <c r="E38" s="86">
        <f t="array" ref="E38">INDEX(resRates,MAX(COUNTIF(B38,"*"&amp;resTypes&amp;"*")*(resIDs)))</f>
        <v>150</v>
      </c>
      <c r="F38" s="86">
        <f t="shared" si="0"/>
        <v>150</v>
      </c>
      <c r="G38" t="str" cm="1">
        <f t="array" ref="G38">IF(OR(COUNTIF(B38,"*"&amp;resTypes&amp;"*")),"in list","not in list")</f>
        <v>in list</v>
      </c>
    </row>
    <row r="39" spans="2:7" x14ac:dyDescent="0.2">
      <c r="B39" s="87" t="s">
        <v>6848</v>
      </c>
      <c r="C39" s="87"/>
      <c r="D39" s="90">
        <f t="array" ref="D39">INDEX($C$3:$E$8,MAX(COUNTIF(B39,"*"&amp;$D$3:$D$8&amp;"*")*$C$3:$C$8),3)</f>
        <v>60</v>
      </c>
      <c r="E39" s="86">
        <f t="array" ref="E39">INDEX(resRates,MAX(COUNTIF(B39,"*"&amp;resTypes&amp;"*")*(resIDs)))</f>
        <v>60</v>
      </c>
      <c r="F39" s="86">
        <f t="shared" si="0"/>
        <v>60</v>
      </c>
      <c r="G39" t="str" cm="1">
        <f t="array" ref="G39">IF(OR(COUNTIF(B39,"*"&amp;resTypes&amp;"*")),"in list","not in list")</f>
        <v>in list</v>
      </c>
    </row>
    <row r="40" spans="2:7" x14ac:dyDescent="0.2">
      <c r="B40" s="87" t="s">
        <v>6849</v>
      </c>
      <c r="C40" s="87"/>
      <c r="D40" s="90">
        <f t="array" ref="D40">INDEX($C$3:$E$8,MAX(COUNTIF(B40,"*"&amp;$D$3:$D$8&amp;"*")*$C$3:$C$8),3)</f>
        <v>250</v>
      </c>
      <c r="E40" s="86">
        <f t="array" ref="E40">INDEX(resRates,MAX(COUNTIF(B40,"*"&amp;resTypes&amp;"*")*(resIDs)))</f>
        <v>250</v>
      </c>
      <c r="F40" s="86">
        <f t="shared" si="0"/>
        <v>250</v>
      </c>
      <c r="G40" t="str" cm="1">
        <f t="array" ref="G40">IF(OR(COUNTIF(B40,"*"&amp;resTypes&amp;"*")),"in list","not in list")</f>
        <v>in list</v>
      </c>
    </row>
    <row r="41" spans="2:7" x14ac:dyDescent="0.2">
      <c r="B41" s="87" t="s">
        <v>6850</v>
      </c>
      <c r="C41" s="87"/>
      <c r="D41" s="90">
        <f t="array" ref="D41">INDEX($C$3:$E$8,MAX(COUNTIF(B41,"*"&amp;$D$3:$D$8&amp;"*")*$C$3:$C$8),3)</f>
        <v>150</v>
      </c>
      <c r="E41" s="86">
        <f t="array" ref="E41">INDEX(resRates,MAX(COUNTIF(B41,"*"&amp;resTypes&amp;"*")*(resIDs)))</f>
        <v>150</v>
      </c>
      <c r="F41" s="86">
        <f t="shared" si="0"/>
        <v>150</v>
      </c>
      <c r="G41" t="str" cm="1">
        <f t="array" ref="G41">IF(OR(COUNTIF(B41,"*"&amp;resTypes&amp;"*")),"in list","not in list")</f>
        <v>in list</v>
      </c>
    </row>
    <row r="42" spans="2:7" x14ac:dyDescent="0.2">
      <c r="B42" s="87" t="s">
        <v>6851</v>
      </c>
      <c r="C42" s="87"/>
      <c r="D42" s="90">
        <f t="array" ref="D42">INDEX($C$3:$E$8,MAX(COUNTIF(B42,"*"&amp;$D$3:$D$8&amp;"*")*$C$3:$C$8),3)</f>
        <v>150</v>
      </c>
      <c r="E42" s="86">
        <f t="array" ref="E42">INDEX(resRates,MAX(COUNTIF(B42,"*"&amp;resTypes&amp;"*")*(resIDs)))</f>
        <v>150</v>
      </c>
      <c r="F42" s="86">
        <f t="shared" si="0"/>
        <v>150</v>
      </c>
      <c r="G42" t="str" cm="1">
        <f t="array" ref="G42">IF(OR(COUNTIF(B42,"*"&amp;resTypes&amp;"*")),"in list","not in list")</f>
        <v>in list</v>
      </c>
    </row>
  </sheetData>
  <hyperlinks>
    <hyperlink ref="G2" r:id="rId1" xr:uid="{290F8ED5-A9A9-4211-B357-9DC49C97F805}"/>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dimension ref="B1:M86"/>
  <sheetViews>
    <sheetView workbookViewId="0">
      <selection activeCell="E78" sqref="E78"/>
    </sheetView>
  </sheetViews>
  <sheetFormatPr defaultRowHeight="14.25" x14ac:dyDescent="0.2"/>
  <cols>
    <col min="1" max="1" width="15.25" customWidth="1"/>
    <col min="2" max="2" width="19.5" customWidth="1"/>
    <col min="3" max="3" width="25" bestFit="1" customWidth="1"/>
    <col min="4" max="4" width="11.125" customWidth="1"/>
    <col min="5" max="5" width="15.75" bestFit="1" customWidth="1"/>
    <col min="6" max="6" width="14.75" customWidth="1"/>
    <col min="7" max="7" width="7.125" customWidth="1"/>
    <col min="8" max="8" width="8.5" customWidth="1"/>
    <col min="10" max="10" width="62.875" bestFit="1" customWidth="1"/>
    <col min="11" max="11" width="55.125" bestFit="1" customWidth="1"/>
  </cols>
  <sheetData>
    <row r="1" spans="2:13" ht="20.25" thickBot="1" x14ac:dyDescent="0.35">
      <c r="B1" s="327" t="s">
        <v>7135</v>
      </c>
      <c r="C1" s="327"/>
      <c r="D1" s="327"/>
      <c r="E1" s="327"/>
      <c r="F1" s="327"/>
      <c r="G1" s="327"/>
      <c r="H1" s="327"/>
      <c r="J1" s="327" t="s">
        <v>8529</v>
      </c>
      <c r="K1" s="327"/>
      <c r="L1" s="327"/>
      <c r="M1" s="327"/>
    </row>
    <row r="2" spans="2:13" ht="15" thickTop="1" x14ac:dyDescent="0.2"/>
    <row r="3" spans="2:13" ht="15" x14ac:dyDescent="0.25">
      <c r="B3" s="112" t="s">
        <v>7134</v>
      </c>
      <c r="C3" s="112" t="s">
        <v>7165</v>
      </c>
      <c r="D3" s="113" t="s">
        <v>7133</v>
      </c>
      <c r="E3" s="113" t="s">
        <v>7132</v>
      </c>
      <c r="F3" s="113" t="s">
        <v>7131</v>
      </c>
      <c r="G3" s="423" t="s">
        <v>7130</v>
      </c>
      <c r="H3" s="423"/>
      <c r="J3" s="153" t="s">
        <v>8035</v>
      </c>
      <c r="K3" s="153" t="s">
        <v>8036</v>
      </c>
      <c r="L3" s="153" t="s">
        <v>8037</v>
      </c>
      <c r="M3" s="325" t="s">
        <v>8471</v>
      </c>
    </row>
    <row r="4" spans="2:13" x14ac:dyDescent="0.2">
      <c r="B4" s="77">
        <v>40865.572916666664</v>
      </c>
      <c r="C4" s="77" t="str">
        <f>TEXT(B4,"ddd dd-mm-jjjj")&amp; " - weeknr: "&amp;WEEKNUM(B4,2 )</f>
        <v>vr 18-11-2011 - weeknr: 47</v>
      </c>
      <c r="D4" t="s">
        <v>7124</v>
      </c>
      <c r="E4" s="77">
        <v>40865.625</v>
      </c>
      <c r="F4" s="110">
        <f t="shared" ref="F4:F14" si="0">E4-B4</f>
        <v>5.2083333335758653E-2</v>
      </c>
      <c r="G4" s="68" t="str">
        <f t="shared" ref="G4:G14" si="1">IF((F4)&lt;=(TIMEVALUE(INDEX($C$18:$C$21,MATCH(D4,$B$18:$B$21,0),0))),"Pass","Fail")</f>
        <v>Pass</v>
      </c>
      <c r="H4" t="str">
        <f t="shared" ref="H4:H14" si="2">IF(F4&lt;(TIMEVALUE(VLOOKUP(D4,$B$18:$C$21,2,0))),"pass","fail")</f>
        <v>pass</v>
      </c>
      <c r="J4" s="153" t="s">
        <v>8038</v>
      </c>
      <c r="K4" s="154" t="str">
        <f t="shared" ref="K4:K33" si="3">TRIM(MID(J4,1,FIND("[",J4)-1))</f>
        <v>1. Crosby, Stills &amp; Nash - Suite - Judy Blue Eyes</v>
      </c>
      <c r="L4" s="324">
        <f t="shared" ref="L4:L33" si="4">TIMEVALUE("00:"&amp;MID(RIGHT(TRIM(J4),6),1,5))</f>
        <v>5.1504629629629635E-3</v>
      </c>
      <c r="M4" s="326" t="str">
        <f>LEFT(_xlfn.TEXTAFTER(tblSongs[[#This Row],[Title + Timings]],"["),5)</f>
        <v>07:25</v>
      </c>
    </row>
    <row r="5" spans="2:13" x14ac:dyDescent="0.2">
      <c r="B5" s="77">
        <v>40857.013888888891</v>
      </c>
      <c r="C5" s="77" t="str">
        <f t="shared" ref="C5:C14" si="5">TEXT(B5,"ddd dd-mm-jjjj")&amp; " - weeknr: "&amp;WEEKNUM(B5,2 )</f>
        <v>do 10-11-2011 - weeknr: 46</v>
      </c>
      <c r="D5" t="s">
        <v>7128</v>
      </c>
      <c r="E5" s="77">
        <v>40858.704861111109</v>
      </c>
      <c r="F5" s="110">
        <f t="shared" si="0"/>
        <v>1.6909722222189885</v>
      </c>
      <c r="G5" s="68" t="str">
        <f t="shared" si="1"/>
        <v>Fail</v>
      </c>
      <c r="H5" t="str">
        <f t="shared" si="2"/>
        <v>fail</v>
      </c>
      <c r="J5" s="154" t="s">
        <v>8039</v>
      </c>
      <c r="K5" s="154" t="str">
        <f t="shared" si="3"/>
        <v>3. Crosby, Stills &amp; Nash - Just a Song Before I Go</v>
      </c>
      <c r="L5" s="324">
        <f t="shared" si="4"/>
        <v>1.5509259259259261E-3</v>
      </c>
      <c r="M5" s="326" t="str">
        <f>LEFT(_xlfn.TEXTAFTER(tblSongs[[#This Row],[Title + Timings]],"["),5)</f>
        <v>02:14</v>
      </c>
    </row>
    <row r="6" spans="2:13" x14ac:dyDescent="0.2">
      <c r="B6" s="77">
        <v>40855.375</v>
      </c>
      <c r="C6" s="77" t="str">
        <f t="shared" si="5"/>
        <v>di 08-11-2011 - weeknr: 46</v>
      </c>
      <c r="D6" t="s">
        <v>7126</v>
      </c>
      <c r="E6" s="77">
        <v>40885.541666666664</v>
      </c>
      <c r="F6" s="110">
        <f t="shared" si="0"/>
        <v>30.166666666664241</v>
      </c>
      <c r="G6" s="68" t="str">
        <f t="shared" si="1"/>
        <v>Fail</v>
      </c>
      <c r="H6" t="str">
        <f t="shared" si="2"/>
        <v>fail</v>
      </c>
      <c r="J6" s="154" t="s">
        <v>8040</v>
      </c>
      <c r="K6" s="154" t="str">
        <f t="shared" si="3"/>
        <v>4. Crosby, Stills &amp; Nash - Southern Cross</v>
      </c>
      <c r="L6" s="324">
        <f t="shared" si="4"/>
        <v>3.2523148148148151E-3</v>
      </c>
      <c r="M6" s="326" t="str">
        <f>LEFT(_xlfn.TEXTAFTER(tblSongs[[#This Row],[Title + Timings]],"["),5)</f>
        <v>04:41</v>
      </c>
    </row>
    <row r="7" spans="2:13" x14ac:dyDescent="0.2">
      <c r="B7" s="77">
        <v>40856.479166666664</v>
      </c>
      <c r="C7" s="77" t="str">
        <f t="shared" si="5"/>
        <v>wo 09-11-2011 - weeknr: 46</v>
      </c>
      <c r="D7" t="s">
        <v>7128</v>
      </c>
      <c r="E7" s="77">
        <v>40877.666666666664</v>
      </c>
      <c r="F7" s="110">
        <f t="shared" si="0"/>
        <v>21.1875</v>
      </c>
      <c r="G7" s="68" t="str">
        <f t="shared" si="1"/>
        <v>Fail</v>
      </c>
      <c r="H7" t="str">
        <f t="shared" si="2"/>
        <v>fail</v>
      </c>
      <c r="J7" s="154" t="s">
        <v>8041</v>
      </c>
      <c r="K7" s="154" t="str">
        <f t="shared" si="3"/>
        <v>5. Crosby, Stills &amp; Nash - Marrakesh Express</v>
      </c>
      <c r="L7" s="324">
        <f t="shared" si="4"/>
        <v>1.8055555555555557E-3</v>
      </c>
      <c r="M7" s="326" t="str">
        <f>LEFT(_xlfn.TEXTAFTER(tblSongs[[#This Row],[Title + Timings]],"["),5)</f>
        <v>02:36</v>
      </c>
    </row>
    <row r="8" spans="2:13" x14ac:dyDescent="0.2">
      <c r="B8" s="77">
        <v>40882.71597222222</v>
      </c>
      <c r="C8" s="77" t="str">
        <f t="shared" si="5"/>
        <v>ma 05-12-2011 - weeknr: 50</v>
      </c>
      <c r="D8" t="s">
        <v>7128</v>
      </c>
      <c r="E8" s="77">
        <v>40905.625</v>
      </c>
      <c r="F8" s="110">
        <f t="shared" si="0"/>
        <v>22.909027777779556</v>
      </c>
      <c r="G8" s="68" t="str">
        <f t="shared" si="1"/>
        <v>Fail</v>
      </c>
      <c r="H8" t="str">
        <f t="shared" si="2"/>
        <v>fail</v>
      </c>
      <c r="J8" s="154" t="s">
        <v>8042</v>
      </c>
      <c r="K8" s="154" t="str">
        <f t="shared" si="3"/>
        <v>6. Crosby, Stills &amp; Nash - Shadow Captain</v>
      </c>
      <c r="L8" s="324">
        <f t="shared" si="4"/>
        <v>3.1597222222222222E-3</v>
      </c>
      <c r="M8" s="326" t="str">
        <f>LEFT(_xlfn.TEXTAFTER(tblSongs[[#This Row],[Title + Timings]],"["),5)</f>
        <v>04:33</v>
      </c>
    </row>
    <row r="9" spans="2:13" x14ac:dyDescent="0.2">
      <c r="B9" s="77">
        <v>40884.580555555556</v>
      </c>
      <c r="C9" s="77" t="str">
        <f t="shared" si="5"/>
        <v>wo 07-12-2011 - weeknr: 50</v>
      </c>
      <c r="D9" t="s">
        <v>7126</v>
      </c>
      <c r="E9" s="77">
        <v>40884.708333333336</v>
      </c>
      <c r="F9" s="110">
        <f t="shared" si="0"/>
        <v>0.12777777777955635</v>
      </c>
      <c r="G9" s="68" t="str">
        <f t="shared" si="1"/>
        <v>Pass</v>
      </c>
      <c r="H9" t="str">
        <f t="shared" si="2"/>
        <v>pass</v>
      </c>
      <c r="J9" s="154" t="s">
        <v>8043</v>
      </c>
      <c r="K9" s="154" t="str">
        <f t="shared" si="3"/>
        <v>7. Crosby, Stills &amp; Nash - See the Changes</v>
      </c>
      <c r="L9" s="324">
        <f t="shared" si="4"/>
        <v>2.0717592592592593E-3</v>
      </c>
      <c r="M9" s="326" t="str">
        <f>LEFT(_xlfn.TEXTAFTER(tblSongs[[#This Row],[Title + Timings]],"["),5)</f>
        <v>02:59</v>
      </c>
    </row>
    <row r="10" spans="2:13" x14ac:dyDescent="0.2">
      <c r="B10" s="77">
        <v>40890</v>
      </c>
      <c r="C10" s="77" t="str">
        <f t="shared" si="5"/>
        <v>di 13-12-2011 - weeknr: 51</v>
      </c>
      <c r="D10" t="s">
        <v>7126</v>
      </c>
      <c r="E10" s="77">
        <v>40905</v>
      </c>
      <c r="F10" s="110">
        <f t="shared" si="0"/>
        <v>15</v>
      </c>
      <c r="G10" s="68" t="str">
        <f t="shared" si="1"/>
        <v>Fail</v>
      </c>
      <c r="H10" t="str">
        <f t="shared" si="2"/>
        <v>fail</v>
      </c>
      <c r="J10" s="154" t="s">
        <v>8044</v>
      </c>
      <c r="K10" s="154" t="str">
        <f t="shared" si="3"/>
        <v>8. Crosby, Stills &amp; Nash - Delta</v>
      </c>
      <c r="L10" s="324">
        <f t="shared" si="4"/>
        <v>2.9282407407407412E-3</v>
      </c>
      <c r="M10" s="326" t="str">
        <f>LEFT(_xlfn.TEXTAFTER(tblSongs[[#This Row],[Title + Timings]],"["),5)</f>
        <v>04:13</v>
      </c>
    </row>
    <row r="11" spans="2:13" x14ac:dyDescent="0.2">
      <c r="B11" s="77">
        <v>40899.597222222219</v>
      </c>
      <c r="C11" s="77" t="str">
        <f t="shared" si="5"/>
        <v>do 22-12-2011 - weeknr: 52</v>
      </c>
      <c r="D11" t="s">
        <v>7124</v>
      </c>
      <c r="E11" s="77">
        <v>40900.097222222219</v>
      </c>
      <c r="F11" s="110">
        <f t="shared" si="0"/>
        <v>0.5</v>
      </c>
      <c r="G11" s="68" t="str">
        <f t="shared" si="1"/>
        <v>Fail</v>
      </c>
      <c r="H11" t="str">
        <f t="shared" si="2"/>
        <v>fail</v>
      </c>
      <c r="J11" s="154" t="s">
        <v>8045</v>
      </c>
      <c r="K11" s="154" t="str">
        <f t="shared" si="3"/>
        <v>9. Crosby, Stills &amp; Nash - 49 Bye-Byes</v>
      </c>
      <c r="L11" s="324">
        <f t="shared" si="4"/>
        <v>3.530092592592592E-3</v>
      </c>
      <c r="M11" s="326" t="str">
        <f>LEFT(_xlfn.TEXTAFTER(tblSongs[[#This Row],[Title + Timings]],"["),5)</f>
        <v>05:05</v>
      </c>
    </row>
    <row r="12" spans="2:13" x14ac:dyDescent="0.2">
      <c r="B12" s="77">
        <v>40775.361111111109</v>
      </c>
      <c r="C12" s="77" t="str">
        <f t="shared" si="5"/>
        <v>za 20-08-2011 - weeknr: 34</v>
      </c>
      <c r="D12" t="s">
        <v>7122</v>
      </c>
      <c r="E12" s="77">
        <v>40775.791666666664</v>
      </c>
      <c r="F12" s="110">
        <f t="shared" si="0"/>
        <v>0.43055555555474712</v>
      </c>
      <c r="G12" s="68" t="str">
        <f t="shared" si="1"/>
        <v>Pass</v>
      </c>
      <c r="H12" t="str">
        <f t="shared" si="2"/>
        <v>pass</v>
      </c>
      <c r="J12" s="154" t="s">
        <v>8046</v>
      </c>
      <c r="K12" s="154" t="str">
        <f t="shared" si="3"/>
        <v>10. Crosby, Stills &amp; Nash - Wasted on the Way</v>
      </c>
      <c r="L12" s="324">
        <f t="shared" si="4"/>
        <v>1.9907407407407408E-3</v>
      </c>
      <c r="M12" s="326" t="str">
        <f>LEFT(_xlfn.TEXTAFTER(tblSongs[[#This Row],[Title + Timings]],"["),5)</f>
        <v>02:52</v>
      </c>
    </row>
    <row r="13" spans="2:13" x14ac:dyDescent="0.2">
      <c r="B13" s="77">
        <v>40904.628472222219</v>
      </c>
      <c r="C13" s="77" t="str">
        <f t="shared" si="5"/>
        <v>di 27-12-2011 - weeknr: 53</v>
      </c>
      <c r="D13" t="s">
        <v>7122</v>
      </c>
      <c r="E13" s="77">
        <v>40905</v>
      </c>
      <c r="F13" s="110">
        <f t="shared" si="0"/>
        <v>0.37152777778101154</v>
      </c>
      <c r="G13" s="68" t="str">
        <f t="shared" si="1"/>
        <v>Pass</v>
      </c>
      <c r="H13" t="str">
        <f t="shared" si="2"/>
        <v>pass</v>
      </c>
      <c r="J13" s="154" t="s">
        <v>8047</v>
      </c>
      <c r="K13" s="154" t="str">
        <f t="shared" si="3"/>
        <v>11. Crosby, Stills &amp; Nash - Carry On--Questions</v>
      </c>
      <c r="L13" s="324">
        <f t="shared" si="4"/>
        <v>3.0902777777777782E-3</v>
      </c>
      <c r="M13" s="326" t="str">
        <f>LEFT(_xlfn.TEXTAFTER(tblSongs[[#This Row],[Title + Timings]],"["),5)</f>
        <v>04:27</v>
      </c>
    </row>
    <row r="14" spans="2:13" x14ac:dyDescent="0.2">
      <c r="B14" s="77">
        <v>40905.5</v>
      </c>
      <c r="C14" s="77" t="str">
        <f t="shared" si="5"/>
        <v>wo 28-12-2011 - weeknr: 53</v>
      </c>
      <c r="D14" t="s">
        <v>7124</v>
      </c>
      <c r="E14" s="77">
        <v>40907.708333333336</v>
      </c>
      <c r="F14" s="110">
        <f t="shared" si="0"/>
        <v>2.2083333333357587</v>
      </c>
      <c r="G14" s="68" t="str">
        <f t="shared" si="1"/>
        <v>Fail</v>
      </c>
      <c r="H14" t="str">
        <f t="shared" si="2"/>
        <v>fail</v>
      </c>
      <c r="J14" s="154" t="s">
        <v>8048</v>
      </c>
      <c r="K14" s="154" t="str">
        <f t="shared" si="3"/>
        <v>12. Crosby, Stills &amp; Nash - In My Dreams</v>
      </c>
      <c r="L14" s="324">
        <f t="shared" si="4"/>
        <v>3.6226851851851854E-3</v>
      </c>
      <c r="M14" s="326" t="str">
        <f>LEFT(_xlfn.TEXTAFTER(tblSongs[[#This Row],[Title + Timings]],"["),5)</f>
        <v>05:13</v>
      </c>
    </row>
    <row r="15" spans="2:13" x14ac:dyDescent="0.2">
      <c r="E15" s="77"/>
      <c r="J15" s="154" t="s">
        <v>8049</v>
      </c>
      <c r="K15" s="154" t="str">
        <f t="shared" si="3"/>
        <v>13. Crosby, Stills &amp; Nash - Cathedral</v>
      </c>
      <c r="L15" s="324">
        <f t="shared" si="4"/>
        <v>3.6574074074074074E-3</v>
      </c>
      <c r="M15" s="326" t="str">
        <f>LEFT(_xlfn.TEXTAFTER(tblSongs[[#This Row],[Title + Timings]],"["),5)</f>
        <v>05:16</v>
      </c>
    </row>
    <row r="16" spans="2:13" x14ac:dyDescent="0.2">
      <c r="J16" s="154" t="s">
        <v>8050</v>
      </c>
      <c r="K16" s="154" t="str">
        <f t="shared" si="3"/>
        <v>14. Crosby, Stills &amp; Nash - Daylight Again</v>
      </c>
      <c r="L16" s="324">
        <f t="shared" si="4"/>
        <v>1.7245370370370372E-3</v>
      </c>
      <c r="M16" s="326" t="str">
        <f>LEFT(_xlfn.TEXTAFTER(tblSongs[[#This Row],[Title + Timings]],"["),5)</f>
        <v>02:29</v>
      </c>
    </row>
    <row r="17" spans="2:13" x14ac:dyDescent="0.2">
      <c r="B17" s="422" t="s">
        <v>7129</v>
      </c>
      <c r="C17" s="422"/>
      <c r="E17" s="77"/>
      <c r="J17" s="154" t="s">
        <v>8051</v>
      </c>
      <c r="K17" s="154" t="str">
        <f t="shared" si="3"/>
        <v>15. Crosby, Stills, Nash &amp; Young - Deja Vu</v>
      </c>
      <c r="L17" s="324">
        <f t="shared" si="4"/>
        <v>2.9398148148148148E-3</v>
      </c>
      <c r="M17" s="326" t="str">
        <f>LEFT(_xlfn.TEXTAFTER(tblSongs[[#This Row],[Title + Timings]],"["),5)</f>
        <v>04:14</v>
      </c>
    </row>
    <row r="18" spans="2:13" x14ac:dyDescent="0.2">
      <c r="B18" t="s">
        <v>7128</v>
      </c>
      <c r="C18" s="111" t="s">
        <v>7127</v>
      </c>
      <c r="J18" s="154" t="s">
        <v>8052</v>
      </c>
      <c r="K18" s="154" t="str">
        <f t="shared" si="3"/>
        <v>16. Crosby, Stills, Nash &amp; Young - Helplessly Hoping</v>
      </c>
      <c r="L18" s="324">
        <f t="shared" si="4"/>
        <v>1.8634259259259261E-3</v>
      </c>
      <c r="M18" s="326" t="str">
        <f>LEFT(_xlfn.TEXTAFTER(tblSongs[[#This Row],[Title + Timings]],"["),5)</f>
        <v>02:41</v>
      </c>
    </row>
    <row r="19" spans="2:13" x14ac:dyDescent="0.2">
      <c r="B19" t="s">
        <v>7126</v>
      </c>
      <c r="C19" s="111" t="s">
        <v>7125</v>
      </c>
      <c r="J19" s="154" t="s">
        <v>8053</v>
      </c>
      <c r="K19" s="154" t="str">
        <f t="shared" si="3"/>
        <v>17. Crosby, Stills, Nash &amp; Young - Wooden Ships</v>
      </c>
      <c r="L19" s="324">
        <f t="shared" si="4"/>
        <v>3.8194444444444443E-3</v>
      </c>
      <c r="M19" s="326" t="str">
        <f>LEFT(_xlfn.TEXTAFTER(tblSongs[[#This Row],[Title + Timings]],"["),5)</f>
        <v>05:30</v>
      </c>
    </row>
    <row r="20" spans="2:13" x14ac:dyDescent="0.2">
      <c r="B20" t="s">
        <v>7124</v>
      </c>
      <c r="C20" s="111" t="s">
        <v>7123</v>
      </c>
      <c r="J20" s="154" t="s">
        <v>8054</v>
      </c>
      <c r="K20" s="154" t="str">
        <f t="shared" si="3"/>
        <v>18. Crosby, Stills, Nash &amp; Young - Teach Your Children</v>
      </c>
      <c r="L20" s="324">
        <f t="shared" si="4"/>
        <v>2.0717592592592593E-3</v>
      </c>
      <c r="M20" s="326" t="str">
        <f>LEFT(_xlfn.TEXTAFTER(tblSongs[[#This Row],[Title + Timings]],"["),5)</f>
        <v>02:59</v>
      </c>
    </row>
    <row r="21" spans="2:13" x14ac:dyDescent="0.2">
      <c r="B21" t="s">
        <v>7122</v>
      </c>
      <c r="C21" s="111" t="s">
        <v>7121</v>
      </c>
      <c r="J21" s="154" t="s">
        <v>8055</v>
      </c>
      <c r="K21" s="154" t="str">
        <f t="shared" si="3"/>
        <v>19. Crosby, Stills, Nash &amp; Young - Ohio</v>
      </c>
      <c r="L21" s="324">
        <f t="shared" si="4"/>
        <v>2.1412037037037038E-3</v>
      </c>
      <c r="M21" s="326" t="str">
        <f>LEFT(_xlfn.TEXTAFTER(tblSongs[[#This Row],[Title + Timings]],"["),5)</f>
        <v>03:05</v>
      </c>
    </row>
    <row r="22" spans="2:13" x14ac:dyDescent="0.2">
      <c r="J22" s="154" t="s">
        <v>8056</v>
      </c>
      <c r="K22" s="154" t="str">
        <f t="shared" si="3"/>
        <v>20. Crosby, Stills, Nash &amp; Young - Find The Cost Of Freedom</v>
      </c>
      <c r="L22" s="324">
        <f t="shared" si="4"/>
        <v>1.4004629629629629E-3</v>
      </c>
      <c r="M22" s="326" t="str">
        <f>LEFT(_xlfn.TEXTAFTER(tblSongs[[#This Row],[Title + Timings]],"["),5)</f>
        <v>02:01</v>
      </c>
    </row>
    <row r="23" spans="2:13" x14ac:dyDescent="0.2">
      <c r="J23" s="154" t="s">
        <v>8057</v>
      </c>
      <c r="K23" s="154" t="str">
        <f t="shared" si="3"/>
        <v>21. Crosby, Stills, Nash &amp; Young - Woodstock</v>
      </c>
      <c r="L23" s="324">
        <f t="shared" si="4"/>
        <v>2.7314814814814819E-3</v>
      </c>
      <c r="M23" s="326" t="str">
        <f>LEFT(_xlfn.TEXTAFTER(tblSongs[[#This Row],[Title + Timings]],"["),5)</f>
        <v>03:56</v>
      </c>
    </row>
    <row r="24" spans="2:13" ht="20.25" thickBot="1" x14ac:dyDescent="0.25">
      <c r="B24" s="328" t="s">
        <v>6811</v>
      </c>
      <c r="C24" s="328"/>
      <c r="D24" s="328"/>
      <c r="E24" s="328"/>
      <c r="F24" s="328"/>
      <c r="J24" s="154" t="s">
        <v>8058</v>
      </c>
      <c r="K24" s="154" t="str">
        <f t="shared" si="3"/>
        <v>22. Crosby, Stills, Nash &amp; Young - Our House</v>
      </c>
      <c r="L24" s="324">
        <f t="shared" si="4"/>
        <v>2.1064814814814813E-3</v>
      </c>
      <c r="M24" s="326" t="str">
        <f>LEFT(_xlfn.TEXTAFTER(tblSongs[[#This Row],[Title + Timings]],"["),5)</f>
        <v>03:02</v>
      </c>
    </row>
    <row r="25" spans="2:13" ht="15" thickTop="1" x14ac:dyDescent="0.2">
      <c r="D25" s="77"/>
      <c r="J25" s="154" t="s">
        <v>8059</v>
      </c>
      <c r="K25" s="154" t="str">
        <f t="shared" si="3"/>
        <v>23. Crosby, Stills, Nash &amp; Young - Helpless</v>
      </c>
      <c r="L25" s="324">
        <f t="shared" si="4"/>
        <v>2.5462962962962961E-3</v>
      </c>
      <c r="M25" s="326" t="str">
        <f>LEFT(_xlfn.TEXTAFTER(tblSongs[[#This Row],[Title + Timings]],"["),5)</f>
        <v>03:40</v>
      </c>
    </row>
    <row r="26" spans="2:13" x14ac:dyDescent="0.2">
      <c r="B26" s="78" t="s">
        <v>6794</v>
      </c>
      <c r="C26" s="79"/>
      <c r="D26" s="79"/>
      <c r="E26" s="193">
        <v>41278.416666666664</v>
      </c>
      <c r="F26" s="194"/>
      <c r="J26" s="154" t="s">
        <v>8060</v>
      </c>
      <c r="K26" s="154" t="str">
        <f t="shared" si="3"/>
        <v>24. Crosby, Stills, Nash &amp; Young - Guinnevere</v>
      </c>
      <c r="L26" s="324">
        <f t="shared" si="4"/>
        <v>3.2638888888888891E-3</v>
      </c>
      <c r="M26" s="326" t="str">
        <f>LEFT(_xlfn.TEXTAFTER(tblSongs[[#This Row],[Title + Timings]],"["),5)</f>
        <v>04:42</v>
      </c>
    </row>
    <row r="27" spans="2:13" x14ac:dyDescent="0.2">
      <c r="J27" s="154" t="s">
        <v>8061</v>
      </c>
      <c r="K27" s="154" t="str">
        <f t="shared" si="3"/>
        <v>25. Crosby, Stills, Nash &amp; Young - No Tears Left</v>
      </c>
      <c r="L27" s="324">
        <f t="shared" si="4"/>
        <v>3.5416666666666665E-3</v>
      </c>
      <c r="M27" s="326" t="str">
        <f>LEFT(_xlfn.TEXTAFTER(tblSongs[[#This Row],[Title + Timings]],"["),5)</f>
        <v>05:06</v>
      </c>
    </row>
    <row r="28" spans="2:13" x14ac:dyDescent="0.2">
      <c r="B28" s="80" t="s">
        <v>6795</v>
      </c>
      <c r="C28" t="s">
        <v>6796</v>
      </c>
      <c r="D28" t="s">
        <v>6797</v>
      </c>
      <c r="E28" s="69" t="s">
        <v>6798</v>
      </c>
      <c r="F28" t="s">
        <v>6799</v>
      </c>
      <c r="J28" s="154" t="s">
        <v>8062</v>
      </c>
      <c r="K28" s="154" t="str">
        <f t="shared" si="3"/>
        <v>26. Crosby, Stills &amp; Nash - Live It Up</v>
      </c>
      <c r="L28" s="324">
        <f t="shared" si="4"/>
        <v>2.7314814814814819E-3</v>
      </c>
      <c r="M28" s="326" t="str">
        <f>LEFT(_xlfn.TEXTAFTER(tblSongs[[#This Row],[Title + Timings]],"["),5)</f>
        <v>03:56</v>
      </c>
    </row>
    <row r="29" spans="2:13" x14ac:dyDescent="0.2">
      <c r="B29" s="80">
        <v>1</v>
      </c>
      <c r="C29" t="s">
        <v>6800</v>
      </c>
      <c r="D29" s="82">
        <f t="shared" ref="D29:D40" si="6">IF(B29=1,$E$26,F28)</f>
        <v>41278.416666666664</v>
      </c>
      <c r="E29" s="81">
        <v>60</v>
      </c>
      <c r="F29" s="82">
        <f t="shared" ref="F29:F40" si="7">D29+E29/24/60</f>
        <v>41278.458333333328</v>
      </c>
      <c r="J29" s="154" t="s">
        <v>8063</v>
      </c>
      <c r="K29" s="154" t="str">
        <f t="shared" si="3"/>
        <v>27. Crosby, Stills, Nash &amp; Young - That Girl</v>
      </c>
      <c r="L29" s="324">
        <f t="shared" si="4"/>
        <v>2.4305555555555556E-3</v>
      </c>
      <c r="M29" s="326" t="str">
        <f>LEFT(_xlfn.TEXTAFTER(tblSongs[[#This Row],[Title + Timings]],"["),5)</f>
        <v>03:30</v>
      </c>
    </row>
    <row r="30" spans="2:13" x14ac:dyDescent="0.2">
      <c r="B30" s="80">
        <v>2</v>
      </c>
      <c r="C30" t="s">
        <v>6801</v>
      </c>
      <c r="D30" s="82">
        <f t="shared" si="6"/>
        <v>41278.458333333328</v>
      </c>
      <c r="E30" s="81">
        <v>30</v>
      </c>
      <c r="F30" s="82">
        <f t="shared" si="7"/>
        <v>41278.479166666664</v>
      </c>
      <c r="J30" s="154" t="s">
        <v>8064</v>
      </c>
      <c r="K30" s="154" t="str">
        <f t="shared" si="3"/>
        <v>28. Crosby, Stills, Nash &amp; Young - Nighttime for Generals</v>
      </c>
      <c r="L30" s="324">
        <f t="shared" si="4"/>
        <v>2.8819444444444444E-3</v>
      </c>
      <c r="M30" s="326" t="str">
        <f>LEFT(_xlfn.TEXTAFTER(tblSongs[[#This Row],[Title + Timings]],"["),5)</f>
        <v>04:09</v>
      </c>
    </row>
    <row r="31" spans="2:13" x14ac:dyDescent="0.2">
      <c r="B31" s="80">
        <v>3</v>
      </c>
      <c r="C31" t="s">
        <v>6802</v>
      </c>
      <c r="D31" s="82">
        <f t="shared" si="6"/>
        <v>41278.479166666664</v>
      </c>
      <c r="E31" s="81">
        <v>30</v>
      </c>
      <c r="F31" s="82">
        <f t="shared" si="7"/>
        <v>41278.5</v>
      </c>
      <c r="J31" s="154" t="s">
        <v>8065</v>
      </c>
      <c r="K31" s="154" t="str">
        <f t="shared" si="3"/>
        <v>29. Crosby, Stills, Nash &amp; Young - This Old House</v>
      </c>
      <c r="L31" s="324">
        <f t="shared" si="4"/>
        <v>3.3449074074074071E-3</v>
      </c>
      <c r="M31" s="326" t="str">
        <f>LEFT(_xlfn.TEXTAFTER(tblSongs[[#This Row],[Title + Timings]],"["),5)</f>
        <v>04:49</v>
      </c>
    </row>
    <row r="32" spans="2:13" x14ac:dyDescent="0.2">
      <c r="B32" s="80">
        <v>4</v>
      </c>
      <c r="C32" t="s">
        <v>6803</v>
      </c>
      <c r="D32" s="82">
        <f t="shared" si="6"/>
        <v>41278.5</v>
      </c>
      <c r="E32" s="81">
        <v>20</v>
      </c>
      <c r="F32" s="82">
        <f t="shared" si="7"/>
        <v>41278.513888888891</v>
      </c>
      <c r="J32" s="154" t="s">
        <v>8066</v>
      </c>
      <c r="K32" s="154" t="str">
        <f t="shared" si="3"/>
        <v>30. Crosby, Stills, Nash &amp; Young - Got It Made</v>
      </c>
      <c r="L32" s="324">
        <f t="shared" si="4"/>
        <v>3.425925925925926E-3</v>
      </c>
      <c r="M32" s="326" t="str">
        <f>LEFT(_xlfn.TEXTAFTER(tblSongs[[#This Row],[Title + Timings]],"["),5)</f>
        <v>04:56</v>
      </c>
    </row>
    <row r="33" spans="2:13" x14ac:dyDescent="0.2">
      <c r="B33" s="80">
        <v>5</v>
      </c>
      <c r="C33" t="s">
        <v>6804</v>
      </c>
      <c r="D33" s="82">
        <f t="shared" si="6"/>
        <v>41278.513888888891</v>
      </c>
      <c r="E33" s="81">
        <v>45</v>
      </c>
      <c r="F33" s="82">
        <f t="shared" si="7"/>
        <v>41278.545138888891</v>
      </c>
      <c r="J33" s="154" t="s">
        <v>8067</v>
      </c>
      <c r="K33" s="154" t="str">
        <f t="shared" si="3"/>
        <v>31. Crosby, Stills, Nash &amp; Young - American Dream</v>
      </c>
      <c r="L33" s="324">
        <f t="shared" si="4"/>
        <v>2.2916666666666667E-3</v>
      </c>
      <c r="M33" s="326" t="str">
        <f>LEFT(_xlfn.TEXTAFTER(tblSongs[[#This Row],[Title + Timings]],"["),5)</f>
        <v>03:18</v>
      </c>
    </row>
    <row r="34" spans="2:13" x14ac:dyDescent="0.2">
      <c r="B34" s="80">
        <v>6</v>
      </c>
      <c r="C34" t="s">
        <v>6805</v>
      </c>
      <c r="D34" s="82">
        <f t="shared" si="6"/>
        <v>41278.545138888891</v>
      </c>
      <c r="E34" s="81">
        <v>30</v>
      </c>
      <c r="F34" s="82">
        <f t="shared" si="7"/>
        <v>41278.565972222226</v>
      </c>
      <c r="G34" s="154"/>
      <c r="H34" s="154"/>
    </row>
    <row r="35" spans="2:13" x14ac:dyDescent="0.2">
      <c r="B35" s="80">
        <v>7</v>
      </c>
      <c r="C35" t="s">
        <v>6806</v>
      </c>
      <c r="D35" s="82">
        <f t="shared" si="6"/>
        <v>41278.565972222226</v>
      </c>
      <c r="E35" s="81">
        <v>15</v>
      </c>
      <c r="F35" s="82">
        <f t="shared" si="7"/>
        <v>41278.576388888891</v>
      </c>
      <c r="G35" s="154"/>
      <c r="H35" s="155"/>
      <c r="L35" s="323">
        <f>SUM(L4:L33)</f>
        <v>8.3067129629629644E-2</v>
      </c>
    </row>
    <row r="36" spans="2:13" x14ac:dyDescent="0.2">
      <c r="B36" s="80">
        <v>8</v>
      </c>
      <c r="C36" t="s">
        <v>6807</v>
      </c>
      <c r="D36" s="82">
        <f t="shared" si="6"/>
        <v>41278.576388888891</v>
      </c>
      <c r="E36" s="81">
        <v>30</v>
      </c>
      <c r="F36" s="82">
        <f t="shared" si="7"/>
        <v>41278.597222222226</v>
      </c>
    </row>
    <row r="37" spans="2:13" ht="26.25" customHeight="1" x14ac:dyDescent="0.2">
      <c r="B37" s="80">
        <v>9</v>
      </c>
      <c r="C37" t="s">
        <v>6803</v>
      </c>
      <c r="D37" s="82">
        <f t="shared" si="6"/>
        <v>41278.597222222226</v>
      </c>
      <c r="E37" s="81">
        <v>15</v>
      </c>
      <c r="F37" s="82">
        <f t="shared" si="7"/>
        <v>41278.607638888891</v>
      </c>
    </row>
    <row r="38" spans="2:13" x14ac:dyDescent="0.2">
      <c r="B38" s="80">
        <v>10</v>
      </c>
      <c r="C38" t="s">
        <v>6808</v>
      </c>
      <c r="D38" s="82">
        <f t="shared" si="6"/>
        <v>41278.607638888891</v>
      </c>
      <c r="E38" s="81">
        <v>60</v>
      </c>
      <c r="F38" s="82">
        <f t="shared" si="7"/>
        <v>41278.649305555555</v>
      </c>
    </row>
    <row r="39" spans="2:13" x14ac:dyDescent="0.2">
      <c r="B39" s="80">
        <v>11</v>
      </c>
      <c r="C39" t="s">
        <v>6809</v>
      </c>
      <c r="D39" s="82">
        <f t="shared" si="6"/>
        <v>41278.649305555555</v>
      </c>
      <c r="E39" s="81">
        <v>15</v>
      </c>
      <c r="F39" s="82">
        <f t="shared" si="7"/>
        <v>41278.659722222219</v>
      </c>
    </row>
    <row r="40" spans="2:13" x14ac:dyDescent="0.2">
      <c r="B40" s="80">
        <v>12</v>
      </c>
      <c r="C40" t="s">
        <v>6810</v>
      </c>
      <c r="D40" s="82">
        <f t="shared" si="6"/>
        <v>41278.659722222219</v>
      </c>
      <c r="E40" s="81">
        <v>45</v>
      </c>
      <c r="F40" s="82">
        <f t="shared" si="7"/>
        <v>41278.690972222219</v>
      </c>
    </row>
    <row r="44" spans="2:13" ht="20.25" thickBot="1" x14ac:dyDescent="0.25">
      <c r="B44" s="328" t="s">
        <v>7137</v>
      </c>
      <c r="C44" s="328"/>
      <c r="D44" s="328"/>
      <c r="E44" s="328"/>
      <c r="F44" s="328"/>
      <c r="G44" s="328"/>
      <c r="H44" s="328"/>
      <c r="I44" s="328"/>
    </row>
    <row r="45" spans="2:13" ht="15" thickTop="1" x14ac:dyDescent="0.2">
      <c r="C45" s="69"/>
      <c r="D45" s="69"/>
      <c r="E45" s="69"/>
      <c r="F45" s="69"/>
    </row>
    <row r="46" spans="2:13" ht="15" x14ac:dyDescent="0.25">
      <c r="B46" s="84" t="s">
        <v>48</v>
      </c>
      <c r="C46" s="117">
        <v>41456</v>
      </c>
      <c r="D46" s="117">
        <v>41457</v>
      </c>
      <c r="E46" s="117">
        <v>41458</v>
      </c>
      <c r="F46" s="117">
        <v>41459</v>
      </c>
      <c r="G46" s="85" t="s">
        <v>7138</v>
      </c>
      <c r="H46" s="85" t="s">
        <v>7138</v>
      </c>
      <c r="I46" s="85" t="s">
        <v>8530</v>
      </c>
    </row>
    <row r="47" spans="2:13" x14ac:dyDescent="0.2">
      <c r="B47" s="87" t="s">
        <v>1435</v>
      </c>
      <c r="C47" s="86" t="s">
        <v>7139</v>
      </c>
      <c r="D47" s="86" t="s">
        <v>7139</v>
      </c>
      <c r="E47" s="86"/>
      <c r="F47" s="86"/>
      <c r="G47" s="116">
        <f>LOOKUP("y",C47:F47,$C$46:$F$46)</f>
        <v>41457</v>
      </c>
      <c r="H47" s="116">
        <f>SUMPRODUCT(MAX(($C$46:$F$46)*(C47:F47="x")))</f>
        <v>41457</v>
      </c>
      <c r="I47" s="116">
        <f>_xlfn.XLOOKUP("x",C47:F47,$C$46:$F$46,"",1,-1)</f>
        <v>41457</v>
      </c>
    </row>
    <row r="48" spans="2:13" x14ac:dyDescent="0.2">
      <c r="B48" s="87" t="s">
        <v>2675</v>
      </c>
      <c r="C48" s="86" t="s">
        <v>7139</v>
      </c>
      <c r="D48" s="86"/>
      <c r="E48" s="86"/>
      <c r="F48" s="86" t="s">
        <v>7139</v>
      </c>
      <c r="G48" s="116">
        <f>LOOKUP("y",C48:F48,$C$46:$F$46)</f>
        <v>41459</v>
      </c>
      <c r="H48" s="116">
        <f>SUMPRODUCT(MAX(($C$46:$F$46)*(C48:F48="x")))</f>
        <v>41459</v>
      </c>
      <c r="I48" s="116">
        <f>_xlfn.XLOOKUP("x",C48:F48,$C$46:$F$46,"",1,-1)</f>
        <v>41459</v>
      </c>
    </row>
    <row r="49" spans="2:9" x14ac:dyDescent="0.2">
      <c r="B49" s="87" t="s">
        <v>2397</v>
      </c>
      <c r="C49" s="86" t="s">
        <v>7139</v>
      </c>
      <c r="D49" s="86"/>
      <c r="E49" s="86" t="s">
        <v>7139</v>
      </c>
      <c r="F49" s="86"/>
      <c r="G49" s="116">
        <f>LOOKUP("y",C49:F49,$C$46:$F$46)</f>
        <v>41458</v>
      </c>
      <c r="H49" s="116">
        <f>SUMPRODUCT(MAX(($C$46:$F$46)*(C49:F49="x")))</f>
        <v>41458</v>
      </c>
      <c r="I49" s="116">
        <f>_xlfn.XLOOKUP("x",C49:F49,$C$46:$F$46,"",1,-1)</f>
        <v>41458</v>
      </c>
    </row>
    <row r="50" spans="2:9" x14ac:dyDescent="0.2">
      <c r="B50" s="87" t="s">
        <v>2398</v>
      </c>
      <c r="C50" s="86"/>
      <c r="D50" s="86" t="s">
        <v>7139</v>
      </c>
      <c r="E50" s="86"/>
      <c r="F50" s="86" t="s">
        <v>7139</v>
      </c>
      <c r="G50" s="116">
        <f>LOOKUP("y",C50:F50,$C$46:$F$46)</f>
        <v>41459</v>
      </c>
      <c r="H50" s="116">
        <f>SUMPRODUCT(MAX(($C$46:$F$46)*(C50:F50="x")))</f>
        <v>41459</v>
      </c>
      <c r="I50" s="116">
        <f>_xlfn.XLOOKUP("x",C50:F50,$C$46:$F$46,"",1,-1)</f>
        <v>41459</v>
      </c>
    </row>
    <row r="54" spans="2:9" ht="15" x14ac:dyDescent="0.25">
      <c r="B54" s="130" t="s">
        <v>7161</v>
      </c>
      <c r="C54" s="131" t="s">
        <v>7164</v>
      </c>
      <c r="D54" s="130" t="s">
        <v>7162</v>
      </c>
      <c r="E54" s="130" t="s">
        <v>7163</v>
      </c>
    </row>
    <row r="55" spans="2:9" ht="15.75" x14ac:dyDescent="0.3">
      <c r="B55" s="126">
        <v>0</v>
      </c>
      <c r="C55" s="127">
        <f>(LEFT(TEXT(B55,"000000"),2)/24)+(MID(TEXT(B55,"000000"),3,2)/1440)+(RIGHT(TEXT(B55,"000000"),2)/(24*3600))</f>
        <v>0</v>
      </c>
      <c r="D55">
        <f>(LEFT(TEXT(B55,"000000"),2)/24)</f>
        <v>0</v>
      </c>
      <c r="E55" s="128">
        <f>MID(TEXT(B55,"000000"),3,2)/1440</f>
        <v>0</v>
      </c>
    </row>
    <row r="56" spans="2:9" ht="15.75" x14ac:dyDescent="0.3">
      <c r="B56" s="129">
        <v>100</v>
      </c>
      <c r="C56" s="127">
        <f>(LEFT(TEXT(B56,"000000"),2)/24)+(MID(TEXT(B56,"000000"),3,2)/1440)+(RIGHT(TEXT(B56,"000000"),2)/(24*3600))</f>
        <v>6.9444444444444447E-4</v>
      </c>
      <c r="D56">
        <f>(LEFT(TEXT(B56,"000000"),2)/24)</f>
        <v>0</v>
      </c>
      <c r="E56" s="128">
        <f>MID(TEXT(B56,"000000"),3,2)/1440</f>
        <v>6.9444444444444447E-4</v>
      </c>
    </row>
    <row r="57" spans="2:9" ht="28.5" customHeight="1" x14ac:dyDescent="0.3">
      <c r="B57" s="129">
        <v>1000</v>
      </c>
      <c r="C57" s="127">
        <f>(LEFT(TEXT(B57,"000000"),2)/24)+(MID(TEXT(B57,"000000"),3,2)/1440)+(RIGHT(TEXT(B57,"000000"),2)/(24*3600))</f>
        <v>6.9444444444444441E-3</v>
      </c>
      <c r="D57">
        <f>(LEFT(TEXT(B57,"000000"),2)/24)</f>
        <v>0</v>
      </c>
      <c r="E57" s="128">
        <f>MID(TEXT(B57,"000000"),3,2)/1440</f>
        <v>6.9444444444444441E-3</v>
      </c>
    </row>
    <row r="58" spans="2:9" ht="15.75" x14ac:dyDescent="0.3">
      <c r="B58" s="129">
        <v>10900</v>
      </c>
      <c r="C58" s="127">
        <f>(LEFT(TEXT(B58,"000000"),2)/24)+(MID(TEXT(B58,"000000"),3,2)/1440)+(RIGHT(TEXT(B58,"000000"),2)/(24*3600))</f>
        <v>4.7916666666666663E-2</v>
      </c>
      <c r="D58">
        <f>(LEFT(TEXT(B58,"000000"),2)/24)</f>
        <v>4.1666666666666664E-2</v>
      </c>
      <c r="E58" s="128">
        <f>MID(TEXT(B58,"000000"),3,2)/1440</f>
        <v>6.2500000000000003E-3</v>
      </c>
    </row>
    <row r="59" spans="2:9" ht="15.75" x14ac:dyDescent="0.3">
      <c r="B59" s="129">
        <v>235900</v>
      </c>
      <c r="C59" s="127">
        <f>(LEFT(TEXT(B59,"000000"),2)/24)+(MID(TEXT(B59,"000000"),3,2)/1440)+(RIGHT(TEXT(B59,"000000"),2)/(24*3600))</f>
        <v>0.99930555555555556</v>
      </c>
      <c r="D59">
        <f>(LEFT(TEXT(B59,"000000"),2)/24)</f>
        <v>0.95833333333333337</v>
      </c>
      <c r="E59" s="128">
        <f>MID(TEXT(B59,"000000"),3,2)/1440</f>
        <v>4.0972222222222222E-2</v>
      </c>
    </row>
    <row r="64" spans="2:9" ht="15" x14ac:dyDescent="0.25">
      <c r="B64" s="84" t="s">
        <v>2396</v>
      </c>
      <c r="C64" s="84" t="s">
        <v>8940</v>
      </c>
    </row>
    <row r="65" spans="2:3" x14ac:dyDescent="0.2">
      <c r="B65" s="118">
        <v>38274</v>
      </c>
      <c r="C65" s="99" cm="1">
        <f t="array" ref="C65:C86">EOMONTH(--$B$65:$B$86,0)</f>
        <v>38291</v>
      </c>
    </row>
    <row r="66" spans="2:3" x14ac:dyDescent="0.2">
      <c r="B66" s="118">
        <v>35675</v>
      </c>
      <c r="C66" s="99">
        <v>35703</v>
      </c>
    </row>
    <row r="67" spans="2:3" x14ac:dyDescent="0.2">
      <c r="B67" s="118">
        <v>39926</v>
      </c>
      <c r="C67" s="99">
        <v>39933</v>
      </c>
    </row>
    <row r="68" spans="2:3" x14ac:dyDescent="0.2">
      <c r="B68" s="118">
        <v>37608</v>
      </c>
      <c r="C68" s="99">
        <v>37621</v>
      </c>
    </row>
    <row r="69" spans="2:3" x14ac:dyDescent="0.2">
      <c r="B69" s="118">
        <v>40274</v>
      </c>
      <c r="C69" s="99">
        <v>40298</v>
      </c>
    </row>
    <row r="70" spans="2:3" x14ac:dyDescent="0.2">
      <c r="B70" s="118">
        <v>35675</v>
      </c>
      <c r="C70" s="99">
        <v>35703</v>
      </c>
    </row>
    <row r="71" spans="2:3" x14ac:dyDescent="0.2">
      <c r="B71" s="118">
        <v>37675</v>
      </c>
      <c r="C71" s="99">
        <v>37680</v>
      </c>
    </row>
    <row r="72" spans="2:3" x14ac:dyDescent="0.2">
      <c r="B72" s="118">
        <v>37238</v>
      </c>
      <c r="C72" s="99">
        <v>37256</v>
      </c>
    </row>
    <row r="73" spans="2:3" x14ac:dyDescent="0.2">
      <c r="B73" s="118">
        <v>34922</v>
      </c>
      <c r="C73" s="99">
        <v>34942</v>
      </c>
    </row>
    <row r="74" spans="2:3" x14ac:dyDescent="0.2">
      <c r="B74" s="118">
        <v>37434</v>
      </c>
      <c r="C74" s="99">
        <v>37437</v>
      </c>
    </row>
    <row r="75" spans="2:3" x14ac:dyDescent="0.2">
      <c r="B75" s="118">
        <v>37238</v>
      </c>
      <c r="C75" s="99">
        <v>37256</v>
      </c>
    </row>
    <row r="76" spans="2:3" x14ac:dyDescent="0.2">
      <c r="B76" s="118">
        <v>37238</v>
      </c>
      <c r="C76" s="99">
        <v>37256</v>
      </c>
    </row>
    <row r="77" spans="2:3" x14ac:dyDescent="0.2">
      <c r="B77" s="118">
        <v>36276</v>
      </c>
      <c r="C77" s="99">
        <v>36280</v>
      </c>
    </row>
    <row r="78" spans="2:3" x14ac:dyDescent="0.2">
      <c r="B78" s="118">
        <v>38663</v>
      </c>
      <c r="C78" s="99">
        <v>38686</v>
      </c>
    </row>
    <row r="79" spans="2:3" x14ac:dyDescent="0.2">
      <c r="B79" s="118">
        <v>36663</v>
      </c>
      <c r="C79" s="99">
        <v>36677</v>
      </c>
    </row>
    <row r="80" spans="2:3" x14ac:dyDescent="0.2">
      <c r="B80" s="118">
        <v>37089</v>
      </c>
      <c r="C80" s="99">
        <v>37103</v>
      </c>
    </row>
    <row r="81" spans="2:3" x14ac:dyDescent="0.2">
      <c r="B81" s="118">
        <v>37942</v>
      </c>
      <c r="C81" s="99">
        <v>37955</v>
      </c>
    </row>
    <row r="82" spans="2:3" x14ac:dyDescent="0.2">
      <c r="B82" s="118">
        <v>42016</v>
      </c>
      <c r="C82" s="99">
        <v>42035</v>
      </c>
    </row>
    <row r="83" spans="2:3" x14ac:dyDescent="0.2">
      <c r="B83" s="118">
        <v>43868</v>
      </c>
      <c r="C83" s="99">
        <v>43890</v>
      </c>
    </row>
    <row r="84" spans="2:3" x14ac:dyDescent="0.2">
      <c r="B84" s="118">
        <v>36276</v>
      </c>
      <c r="C84" s="99">
        <v>36280</v>
      </c>
    </row>
    <row r="85" spans="2:3" x14ac:dyDescent="0.2">
      <c r="B85" s="118">
        <v>36663</v>
      </c>
      <c r="C85" s="99">
        <v>36677</v>
      </c>
    </row>
    <row r="86" spans="2:3" x14ac:dyDescent="0.2">
      <c r="B86" s="118">
        <v>36276</v>
      </c>
      <c r="C86" s="99">
        <v>36280</v>
      </c>
    </row>
  </sheetData>
  <mergeCells count="2">
    <mergeCell ref="B17:C17"/>
    <mergeCell ref="G3:H3"/>
  </mergeCells>
  <conditionalFormatting sqref="B29:F40">
    <cfRule type="expression" dxfId="16" priority="10">
      <formula>COUNTIF($C29,"*break*")&gt;0</formula>
    </cfRule>
  </conditionalFormatting>
  <dataValidations disablePrompts="1" count="1">
    <dataValidation allowBlank="1" showInputMessage="1" showErrorMessage="1" prompt="Just enter the number of minutes alone" sqref="E28:E29" xr:uid="{00000000-0002-0000-1300-000000000000}"/>
  </dataValidations>
  <pageMargins left="0.7" right="0.7" top="0.75" bottom="0.75" header="0.3" footer="0.3"/>
  <drawing r:id="rId1"/>
  <legacy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B1:J23"/>
  <sheetViews>
    <sheetView workbookViewId="0"/>
  </sheetViews>
  <sheetFormatPr defaultRowHeight="14.25" x14ac:dyDescent="0.2"/>
  <cols>
    <col min="1" max="1" width="13.375" customWidth="1"/>
    <col min="2" max="2" width="17.5" customWidth="1"/>
    <col min="3" max="3" width="10" customWidth="1"/>
    <col min="4" max="4" width="16" customWidth="1"/>
    <col min="5" max="6" width="10" customWidth="1"/>
    <col min="7" max="7" width="14.625" customWidth="1"/>
    <col min="8" max="8" width="31.125" customWidth="1"/>
    <col min="9" max="9" width="13.375" customWidth="1"/>
    <col min="10" max="255" width="10" customWidth="1"/>
  </cols>
  <sheetData>
    <row r="1" spans="2:10" ht="33.75" customHeight="1" x14ac:dyDescent="0.2"/>
    <row r="3" spans="2:10" ht="23.25" x14ac:dyDescent="0.35">
      <c r="B3" s="424" t="s">
        <v>6782</v>
      </c>
      <c r="C3" s="424"/>
      <c r="D3" s="424"/>
      <c r="E3" s="424"/>
      <c r="H3" s="424" t="s">
        <v>8078</v>
      </c>
      <c r="I3" s="424"/>
    </row>
    <row r="5" spans="2:10" ht="15" x14ac:dyDescent="0.25">
      <c r="I5" s="74" t="s">
        <v>8079</v>
      </c>
      <c r="J5" s="74" t="s">
        <v>8080</v>
      </c>
    </row>
    <row r="6" spans="2:10" ht="15" x14ac:dyDescent="0.25">
      <c r="B6" s="74" t="s">
        <v>6769</v>
      </c>
      <c r="C6" s="74" t="s">
        <v>6770</v>
      </c>
      <c r="D6" s="74" t="s">
        <v>6771</v>
      </c>
      <c r="H6" t="s">
        <v>8073</v>
      </c>
      <c r="I6">
        <v>3</v>
      </c>
      <c r="J6">
        <v>3</v>
      </c>
    </row>
    <row r="7" spans="2:10" x14ac:dyDescent="0.2">
      <c r="B7" t="s">
        <v>6772</v>
      </c>
      <c r="C7">
        <v>35000</v>
      </c>
      <c r="H7" t="s">
        <v>8074</v>
      </c>
      <c r="I7">
        <v>130000</v>
      </c>
      <c r="J7">
        <v>155000</v>
      </c>
    </row>
    <row r="8" spans="2:10" x14ac:dyDescent="0.2">
      <c r="B8" t="s">
        <v>6773</v>
      </c>
      <c r="C8">
        <v>15000</v>
      </c>
      <c r="H8" t="s">
        <v>8075</v>
      </c>
      <c r="I8" s="159">
        <v>0.92</v>
      </c>
      <c r="J8" s="159">
        <v>0.87</v>
      </c>
    </row>
    <row r="9" spans="2:10" x14ac:dyDescent="0.2">
      <c r="B9" t="s">
        <v>6774</v>
      </c>
      <c r="C9">
        <v>60000</v>
      </c>
      <c r="H9" t="s">
        <v>8076</v>
      </c>
      <c r="I9">
        <v>96000</v>
      </c>
      <c r="J9">
        <v>104000</v>
      </c>
    </row>
    <row r="10" spans="2:10" x14ac:dyDescent="0.2">
      <c r="B10" t="s">
        <v>6775</v>
      </c>
      <c r="C10">
        <v>30000</v>
      </c>
    </row>
    <row r="11" spans="2:10" x14ac:dyDescent="0.2">
      <c r="B11" t="s">
        <v>6776</v>
      </c>
      <c r="C11">
        <v>25000</v>
      </c>
      <c r="H11" t="s">
        <v>2408</v>
      </c>
      <c r="I11" s="156">
        <f>I7*(I6^I8)+J7*(J6^J8)</f>
        <v>760299.7515734121</v>
      </c>
    </row>
    <row r="12" spans="2:10" x14ac:dyDescent="0.2">
      <c r="H12" t="s">
        <v>8077</v>
      </c>
      <c r="I12" s="156">
        <f>I9*I6+J6*J9</f>
        <v>600000</v>
      </c>
    </row>
    <row r="13" spans="2:10" ht="17.25" thickBot="1" x14ac:dyDescent="0.35">
      <c r="C13" s="73" t="s">
        <v>6777</v>
      </c>
      <c r="D13" s="73" t="s">
        <v>6778</v>
      </c>
      <c r="E13" s="73" t="s">
        <v>6779</v>
      </c>
      <c r="H13" s="157" t="s">
        <v>6781</v>
      </c>
      <c r="I13" s="158">
        <f>I11-I12</f>
        <v>160299.7515734121</v>
      </c>
    </row>
    <row r="14" spans="2:10" ht="15.75" thickTop="1" thickBot="1" x14ac:dyDescent="0.25">
      <c r="B14" s="75" t="s">
        <v>6780</v>
      </c>
      <c r="C14" s="70">
        <v>1000</v>
      </c>
      <c r="D14" s="70">
        <v>1000</v>
      </c>
      <c r="E14" s="71">
        <v>1000</v>
      </c>
    </row>
    <row r="15" spans="2:10" x14ac:dyDescent="0.2">
      <c r="B15" t="s">
        <v>6781</v>
      </c>
      <c r="C15">
        <v>20</v>
      </c>
      <c r="D15">
        <v>22.5</v>
      </c>
      <c r="E15">
        <v>25</v>
      </c>
    </row>
    <row r="16" spans="2:10" x14ac:dyDescent="0.2">
      <c r="B16" t="s">
        <v>6772</v>
      </c>
      <c r="C16">
        <v>1</v>
      </c>
      <c r="D16">
        <v>1</v>
      </c>
      <c r="E16">
        <v>0</v>
      </c>
    </row>
    <row r="17" spans="2:5" x14ac:dyDescent="0.2">
      <c r="B17" t="s">
        <v>6773</v>
      </c>
      <c r="C17">
        <v>1</v>
      </c>
      <c r="D17">
        <v>0</v>
      </c>
      <c r="E17">
        <v>0</v>
      </c>
    </row>
    <row r="18" spans="2:5" x14ac:dyDescent="0.2">
      <c r="B18" t="s">
        <v>6774</v>
      </c>
      <c r="C18">
        <v>2</v>
      </c>
      <c r="D18">
        <v>2</v>
      </c>
      <c r="E18">
        <v>1</v>
      </c>
    </row>
    <row r="19" spans="2:5" x14ac:dyDescent="0.2">
      <c r="B19" t="s">
        <v>6775</v>
      </c>
      <c r="C19">
        <v>1</v>
      </c>
      <c r="D19">
        <v>1</v>
      </c>
      <c r="E19">
        <v>2</v>
      </c>
    </row>
    <row r="20" spans="2:5" x14ac:dyDescent="0.2">
      <c r="B20" t="s">
        <v>6776</v>
      </c>
      <c r="C20">
        <v>2</v>
      </c>
      <c r="D20">
        <v>1</v>
      </c>
      <c r="E20">
        <v>1</v>
      </c>
    </row>
    <row r="22" spans="2:5" ht="15.75" thickBot="1" x14ac:dyDescent="0.3">
      <c r="B22" t="s">
        <v>6783</v>
      </c>
      <c r="C22" s="72">
        <f>SUMPRODUCT(C14:E14*C15:E15)</f>
        <v>67500</v>
      </c>
    </row>
    <row r="23" spans="2:5" ht="15" thickTop="1" x14ac:dyDescent="0.2"/>
  </sheetData>
  <scenarios current="0">
    <scenario name="scen1" count="3" user="Danny" comment="Created by Danny on 3/20/2019">
      <inputCells r="C14" val="2500"/>
      <inputCells r="D14" val="12500"/>
      <inputCells r="E14" val="7500"/>
    </scenario>
  </scenarios>
  <mergeCells count="2">
    <mergeCell ref="B3:E3"/>
    <mergeCell ref="H3:I3"/>
  </mergeCells>
  <pageMargins left="0.75" right="0.75" top="1" bottom="1" header="0.4921259845" footer="0.4921259845"/>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161DD-15E2-484B-8A21-6DFA748C940A}">
  <dimension ref="B3:AG1244"/>
  <sheetViews>
    <sheetView workbookViewId="0">
      <selection activeCell="A2" sqref="A2"/>
    </sheetView>
  </sheetViews>
  <sheetFormatPr defaultRowHeight="14.25" x14ac:dyDescent="0.2"/>
  <cols>
    <col min="1" max="1" width="13.25" customWidth="1"/>
    <col min="2" max="2" width="21.75" customWidth="1"/>
    <col min="3" max="3" width="18.75" customWidth="1"/>
    <col min="5" max="5" width="31.75" customWidth="1"/>
    <col min="6" max="6" width="30.375" customWidth="1"/>
    <col min="7" max="7" width="29.125" customWidth="1"/>
    <col min="8" max="9" width="6.375" customWidth="1"/>
    <col min="10" max="10" width="13.875" customWidth="1"/>
    <col min="11" max="11" width="15.375" customWidth="1"/>
    <col min="18" max="18" width="16.75" customWidth="1"/>
    <col min="20" max="20" width="19.625" customWidth="1"/>
    <col min="21" max="21" width="14.25" customWidth="1"/>
    <col min="24" max="24" width="19.75" customWidth="1"/>
    <col min="27" max="27" width="27.375" customWidth="1"/>
    <col min="28" max="28" width="22" customWidth="1"/>
    <col min="29" max="29" width="25.625" bestFit="1" customWidth="1"/>
    <col min="31" max="31" width="31.625" customWidth="1"/>
    <col min="32" max="32" width="15.25" bestFit="1" customWidth="1"/>
    <col min="33" max="33" width="19.75" customWidth="1"/>
  </cols>
  <sheetData>
    <row r="3" spans="2:33" ht="15.75" thickBot="1" x14ac:dyDescent="0.3">
      <c r="B3" s="360" t="s">
        <v>8622</v>
      </c>
      <c r="C3" s="360" t="s">
        <v>8623</v>
      </c>
      <c r="E3" s="360" t="s">
        <v>8624</v>
      </c>
      <c r="F3" s="360" t="s">
        <v>8625</v>
      </c>
      <c r="G3" s="360" t="s">
        <v>8626</v>
      </c>
      <c r="J3" s="360" t="s">
        <v>8627</v>
      </c>
      <c r="K3" s="360"/>
      <c r="L3" s="360"/>
      <c r="M3" s="360"/>
      <c r="N3" s="360"/>
      <c r="O3" s="360"/>
      <c r="P3" s="360"/>
      <c r="R3" s="360" t="s">
        <v>8628</v>
      </c>
      <c r="S3" s="360"/>
      <c r="T3" s="360"/>
      <c r="U3" s="360"/>
      <c r="V3" s="360"/>
      <c r="W3" s="360"/>
      <c r="X3" s="360"/>
      <c r="Y3" s="360"/>
      <c r="AA3" s="360" t="s">
        <v>8629</v>
      </c>
      <c r="AB3" s="360" t="s">
        <v>8630</v>
      </c>
      <c r="AC3" s="360"/>
      <c r="AD3" s="360"/>
      <c r="AE3" s="360"/>
    </row>
    <row r="5" spans="2:33" ht="15" x14ac:dyDescent="0.25">
      <c r="B5" t="str" cm="1">
        <f t="array" ref="B5:B10">_xlfn.UNIQUE(tblSales[CategoryName])</f>
        <v>Dairy Products</v>
      </c>
      <c r="C5" t="s">
        <v>8262</v>
      </c>
      <c r="E5" s="361" t="s">
        <v>8247</v>
      </c>
      <c r="J5" cm="1">
        <f t="array" ref="J5:L1244">_xlfn.UNIQUE(_xlfn._xlws.FILTER(tblSales[#Data],{1,0,1,0,0,0,0,1,0,0,0,0,0,0,0,0,0,0,0,0}))</f>
        <v>10248</v>
      </c>
      <c r="K5" t="str">
        <v>France</v>
      </c>
      <c r="L5">
        <v>174</v>
      </c>
      <c r="N5" t="str" cm="1">
        <f t="array" ref="N5:P148">_xlfn.VSTACK( _xlfn.CHOOSECOLS(tblSales[#Headers], 1,3,8),
_xlfn._xlws.FILTER(_xlfn.CHOOSECOLS(tblSales[#Data],1,3,8),tblSales[Country]="UK","no data"))</f>
        <v>OrderID</v>
      </c>
      <c r="O5" t="str">
        <v>Country</v>
      </c>
      <c r="P5" t="str">
        <v>Total</v>
      </c>
      <c r="R5" s="361">
        <v>2021</v>
      </c>
    </row>
    <row r="6" spans="2:33" ht="15" x14ac:dyDescent="0.25">
      <c r="B6" t="str">
        <v>Grains/Cereals</v>
      </c>
      <c r="E6" t="str" cm="1">
        <f t="array" ref="E6:E119">_xlfn._xlws.FILTER(tblSales[ProductName],tblSales[CategoryName]=$E$5,"no data")</f>
        <v>Manjimup Dried Apples</v>
      </c>
      <c r="F6" t="str" cm="1">
        <f t="array" ref="F6:F10">_xlfn.UNIQUE(_xlfn._xlws.FILTER(tblSales[ProductName],tblSales[CategoryName]=$E$5,"no data"))</f>
        <v>Manjimup Dried Apples</v>
      </c>
      <c r="G6" t="str" cm="1">
        <f t="array" ref="G6:G10">_xlfn._xlws.SORT(_xlfn.UNIQUE(_xlfn._xlws.FILTER(tblSales[ProductName],tblSales[CategoryName]=$E$5,"no data")))</f>
        <v>Longlife Tofu</v>
      </c>
      <c r="J6">
        <v>10248</v>
      </c>
      <c r="K6" t="str">
        <v>France</v>
      </c>
      <c r="L6">
        <v>168</v>
      </c>
      <c r="N6">
        <v>10289</v>
      </c>
      <c r="O6" t="str">
        <v>UK</v>
      </c>
      <c r="P6">
        <v>240</v>
      </c>
      <c r="S6" s="361" t="s">
        <v>8217</v>
      </c>
      <c r="T6" s="361" t="s">
        <v>8218</v>
      </c>
      <c r="U6" s="361" t="s">
        <v>8219</v>
      </c>
      <c r="V6" s="361" t="s">
        <v>2437</v>
      </c>
      <c r="W6" s="361" t="s">
        <v>8223</v>
      </c>
      <c r="X6" s="361" t="s">
        <v>8224</v>
      </c>
      <c r="Y6" s="361" t="s">
        <v>8225</v>
      </c>
      <c r="AA6" t="str" cm="1">
        <f t="array" ref="AA6:AA8">_xlfn._xlws.SORT(_xlfn.UNIQUE(_xlfn._xlws.FILTER(tblSales[ProductName],ISNUMBER(SEARCH("*cho?o*",tblSales[ProductName],1)),"none"),FALSE,FALSE))</f>
        <v>Chocolade</v>
      </c>
      <c r="AB6" t="str" cm="1">
        <f t="array" ref="AB6:AB57">_xlfn._xlws.SORT(_xlfn.UNIQUE(_xlfn._xlws.FILTER(tblSales[CompanyName],ISNUMBER(SEARCH(AC6,tblSales[CompanyName],1)),"none"),FALSE,FALSE))</f>
        <v>Alfreds Futterkiste</v>
      </c>
      <c r="AC6" s="114"/>
      <c r="AE6" s="361" t="s">
        <v>8218</v>
      </c>
      <c r="AF6" s="361" t="s">
        <v>8219</v>
      </c>
      <c r="AG6" s="361" t="s">
        <v>8631</v>
      </c>
    </row>
    <row r="7" spans="2:33" x14ac:dyDescent="0.2">
      <c r="B7" t="str">
        <v>Produce</v>
      </c>
      <c r="C7" t="s">
        <v>8244</v>
      </c>
      <c r="E7" t="str">
        <v>Tofu</v>
      </c>
      <c r="F7" t="str">
        <v>Tofu</v>
      </c>
      <c r="G7" t="str">
        <v>Manjimup Dried Apples</v>
      </c>
      <c r="J7">
        <v>10248</v>
      </c>
      <c r="K7" t="str">
        <v>France</v>
      </c>
      <c r="L7">
        <v>98</v>
      </c>
      <c r="N7">
        <v>10289</v>
      </c>
      <c r="O7" t="str">
        <v>UK</v>
      </c>
      <c r="P7">
        <v>239.4</v>
      </c>
      <c r="S7" cm="1">
        <f t="array" ref="S7:Y178">_xlfn._xlws.FILTER(_xlfn._xlws.FILTER(tblSales[#Data],YEAR(tblSales[OrderDate])=$R$5),COUNTIF($S$6:$Y$6,tblSales[#Headers]),"no data")</f>
        <v>11346</v>
      </c>
      <c r="T7" t="str">
        <v>Ipoh Coffee</v>
      </c>
      <c r="U7" t="str">
        <v>Beverages</v>
      </c>
      <c r="V7">
        <v>782</v>
      </c>
      <c r="W7" t="str">
        <v>VICTE</v>
      </c>
      <c r="X7" t="str">
        <v>Victuailles en stock</v>
      </c>
      <c r="Y7">
        <v>44216</v>
      </c>
      <c r="AA7" t="str">
        <v>Schoggi Schokolade</v>
      </c>
      <c r="AB7" t="str">
        <v>Around the Horn</v>
      </c>
      <c r="AE7" t="str" cm="1">
        <f t="array" ref="AE7:AF65">_xlfn._xlws.SORT(_xlfn.UNIQUE(
_xlfn.CHOOSECOLS(tblSales[#Data],{2;4})),2)</f>
        <v>Guaraná Fantástica</v>
      </c>
      <c r="AF7" t="str">
        <v>Beverages</v>
      </c>
      <c r="AG7" s="225" cm="1">
        <f t="array" ref="AG7:AG65">SUMIFS(tblSales[Total],tblSales[ProductName],_xlfn.CHOOSECOLS(_xlfn.ANCHORARRAY(AE7),1))</f>
        <v>3402.09</v>
      </c>
    </row>
    <row r="8" spans="2:33" x14ac:dyDescent="0.2">
      <c r="B8" t="str">
        <v>Condiments</v>
      </c>
      <c r="E8" t="str">
        <v>Longlife Tofu</v>
      </c>
      <c r="F8" t="str">
        <v>Longlife Tofu</v>
      </c>
      <c r="G8" t="str">
        <v>Rössle Sauerkraut</v>
      </c>
      <c r="J8">
        <v>10249</v>
      </c>
      <c r="K8" t="str">
        <v>Germany</v>
      </c>
      <c r="L8">
        <v>1696</v>
      </c>
      <c r="N8">
        <v>10315</v>
      </c>
      <c r="O8" t="str">
        <v>UK</v>
      </c>
      <c r="P8">
        <v>360</v>
      </c>
      <c r="S8">
        <v>11346</v>
      </c>
      <c r="T8" t="str">
        <v>Sirop d'érable</v>
      </c>
      <c r="U8" t="str">
        <v>Condiments</v>
      </c>
      <c r="V8">
        <v>726.75</v>
      </c>
      <c r="W8" t="str">
        <v>VICTE</v>
      </c>
      <c r="X8" t="str">
        <v>Victuailles en stock</v>
      </c>
      <c r="Y8">
        <v>44216</v>
      </c>
      <c r="AA8" t="str">
        <v>Teatime Chocolate Biscuits</v>
      </c>
      <c r="AB8" t="str">
        <v>Berglunds snabbköp</v>
      </c>
      <c r="AE8" t="str">
        <v>Chang</v>
      </c>
      <c r="AF8" t="str">
        <v>Beverages</v>
      </c>
      <c r="AG8" s="225">
        <v>10686.17</v>
      </c>
    </row>
    <row r="9" spans="2:33" x14ac:dyDescent="0.2">
      <c r="B9" t="str">
        <v>Confections</v>
      </c>
      <c r="C9" t="s">
        <v>8262</v>
      </c>
      <c r="E9" t="str">
        <v>Longlife Tofu</v>
      </c>
      <c r="F9" t="str">
        <v>Rössle Sauerkraut</v>
      </c>
      <c r="G9" t="str">
        <v>Tofu</v>
      </c>
      <c r="J9">
        <v>10249</v>
      </c>
      <c r="K9" t="str">
        <v>Germany</v>
      </c>
      <c r="L9">
        <v>167.4</v>
      </c>
      <c r="N9">
        <v>10315</v>
      </c>
      <c r="O9" t="str">
        <v>UK</v>
      </c>
      <c r="P9">
        <v>156.80000000000001</v>
      </c>
      <c r="S9">
        <v>11346</v>
      </c>
      <c r="T9" t="str">
        <v>Chocolade</v>
      </c>
      <c r="U9" t="str">
        <v>Confections</v>
      </c>
      <c r="V9">
        <v>86.7</v>
      </c>
      <c r="W9" t="str">
        <v>VICTE</v>
      </c>
      <c r="X9" t="str">
        <v>Victuailles en stock</v>
      </c>
      <c r="Y9">
        <v>44216</v>
      </c>
      <c r="AB9" t="str">
        <v>Blauer See Delikatessen</v>
      </c>
      <c r="AE9" t="str">
        <v>Outback Lager</v>
      </c>
      <c r="AF9" t="str">
        <v>Beverages</v>
      </c>
      <c r="AG9" s="225">
        <v>8718.75</v>
      </c>
    </row>
    <row r="10" spans="2:33" x14ac:dyDescent="0.2">
      <c r="B10" t="str">
        <v>Beverages</v>
      </c>
      <c r="E10" t="str">
        <v>Rössle Sauerkraut</v>
      </c>
      <c r="F10" t="str">
        <v>Uncle Bob's Organic Dried Pears</v>
      </c>
      <c r="G10" t="str">
        <v>Uncle Bob's Organic Dried Pears</v>
      </c>
      <c r="J10">
        <v>10251</v>
      </c>
      <c r="K10" t="str">
        <v>France</v>
      </c>
      <c r="L10">
        <v>336</v>
      </c>
      <c r="N10">
        <v>10318</v>
      </c>
      <c r="O10" t="str">
        <v>UK</v>
      </c>
      <c r="P10">
        <v>86.4</v>
      </c>
      <c r="S10">
        <v>11364</v>
      </c>
      <c r="T10" t="str">
        <v>Chartreuse verte</v>
      </c>
      <c r="U10" t="str">
        <v>Beverages</v>
      </c>
      <c r="V10">
        <v>378</v>
      </c>
      <c r="W10" t="str">
        <v>BONAP</v>
      </c>
      <c r="X10" t="str">
        <v>Bon app'</v>
      </c>
      <c r="Y10">
        <v>44224</v>
      </c>
      <c r="AB10" t="str">
        <v>Blondel père et fils</v>
      </c>
      <c r="AE10" t="str">
        <v>Lakkalikööri</v>
      </c>
      <c r="AF10" t="str">
        <v>Beverages</v>
      </c>
      <c r="AG10" s="225">
        <v>12633.84</v>
      </c>
    </row>
    <row r="11" spans="2:33" x14ac:dyDescent="0.2">
      <c r="E11" t="str">
        <v>Rössle Sauerkraut</v>
      </c>
      <c r="J11">
        <v>10251</v>
      </c>
      <c r="K11" t="str">
        <v>France</v>
      </c>
      <c r="L11">
        <v>222.3</v>
      </c>
      <c r="N11">
        <v>10321</v>
      </c>
      <c r="O11" t="str">
        <v>UK</v>
      </c>
      <c r="P11">
        <v>144</v>
      </c>
      <c r="S11">
        <v>11366</v>
      </c>
      <c r="T11" t="str">
        <v>Gorgonzola Telino</v>
      </c>
      <c r="U11" t="str">
        <v>Dairy Products</v>
      </c>
      <c r="V11">
        <v>437.5</v>
      </c>
      <c r="W11" t="str">
        <v>BLONP</v>
      </c>
      <c r="X11" t="str">
        <v>Blondel père et fils</v>
      </c>
      <c r="Y11">
        <v>44224</v>
      </c>
      <c r="AB11" t="str">
        <v>Bólido Comidas preparadas</v>
      </c>
      <c r="AE11" t="str">
        <v>Ipoh Coffee</v>
      </c>
      <c r="AF11" t="str">
        <v>Beverages</v>
      </c>
      <c r="AG11" s="225">
        <v>20833.400000000001</v>
      </c>
    </row>
    <row r="12" spans="2:33" x14ac:dyDescent="0.2">
      <c r="E12" t="str">
        <v>Rössle Sauerkraut</v>
      </c>
      <c r="J12">
        <v>10251</v>
      </c>
      <c r="K12" t="str">
        <v>France</v>
      </c>
      <c r="L12">
        <v>95.76</v>
      </c>
      <c r="N12">
        <v>10355</v>
      </c>
      <c r="O12" t="str">
        <v>UK</v>
      </c>
      <c r="P12">
        <v>90</v>
      </c>
      <c r="S12">
        <v>11366</v>
      </c>
      <c r="T12" t="str">
        <v>Ravioli Angelo</v>
      </c>
      <c r="U12" t="str">
        <v>Grains/Cereals</v>
      </c>
      <c r="V12">
        <v>292.5</v>
      </c>
      <c r="W12" t="str">
        <v>BLONP</v>
      </c>
      <c r="X12" t="str">
        <v>Blondel père et fils</v>
      </c>
      <c r="Y12">
        <v>44224</v>
      </c>
      <c r="AB12" t="str">
        <v>Bon app'</v>
      </c>
      <c r="AE12" t="str">
        <v>Steeleye Stout</v>
      </c>
      <c r="AF12" t="str">
        <v>Beverages</v>
      </c>
      <c r="AG12" s="225">
        <v>8879.4</v>
      </c>
    </row>
    <row r="13" spans="2:33" x14ac:dyDescent="0.2">
      <c r="E13" t="str">
        <v>Tofu</v>
      </c>
      <c r="J13">
        <v>10252</v>
      </c>
      <c r="K13" t="str">
        <v>Belgium</v>
      </c>
      <c r="L13">
        <v>2462.4</v>
      </c>
      <c r="N13">
        <v>10355</v>
      </c>
      <c r="O13" t="str">
        <v>UK</v>
      </c>
      <c r="P13">
        <v>390</v>
      </c>
      <c r="S13">
        <v>11350</v>
      </c>
      <c r="T13" t="str">
        <v>Gula Malacca</v>
      </c>
      <c r="U13" t="str">
        <v>Condiments</v>
      </c>
      <c r="V13">
        <v>248.96</v>
      </c>
      <c r="W13" t="str">
        <v>LAMAI</v>
      </c>
      <c r="X13" t="str">
        <v>La maison d'Asie</v>
      </c>
      <c r="Y13">
        <v>44225</v>
      </c>
      <c r="AB13" t="str">
        <v>B's Beverages</v>
      </c>
      <c r="AE13" t="str">
        <v>Rhönbräu Klosterbier</v>
      </c>
      <c r="AF13" t="str">
        <v>Beverages</v>
      </c>
      <c r="AG13" s="225">
        <v>4702.3799999999992</v>
      </c>
    </row>
    <row r="14" spans="2:33" x14ac:dyDescent="0.2">
      <c r="E14" t="str">
        <v>Tofu</v>
      </c>
      <c r="J14">
        <v>10252</v>
      </c>
      <c r="K14" t="str">
        <v>Belgium</v>
      </c>
      <c r="L14">
        <v>1088</v>
      </c>
      <c r="N14">
        <v>10359</v>
      </c>
      <c r="O14" t="str">
        <v>UK</v>
      </c>
      <c r="P14">
        <v>739.48</v>
      </c>
      <c r="S14">
        <v>11350</v>
      </c>
      <c r="T14" t="str">
        <v>NuNuCa Nuß-Nougat-Creme</v>
      </c>
      <c r="U14" t="str">
        <v>Confections</v>
      </c>
      <c r="V14">
        <v>112</v>
      </c>
      <c r="W14" t="str">
        <v>LAMAI</v>
      </c>
      <c r="X14" t="str">
        <v>La maison d'Asie</v>
      </c>
      <c r="Y14">
        <v>44225</v>
      </c>
      <c r="AB14" t="str">
        <v>Chop-suey Chinese</v>
      </c>
      <c r="AE14" t="str">
        <v>Laughing Lumberjack Lager</v>
      </c>
      <c r="AF14" t="str">
        <v>Beverages</v>
      </c>
      <c r="AG14" s="225">
        <v>2035.6</v>
      </c>
    </row>
    <row r="15" spans="2:33" x14ac:dyDescent="0.2">
      <c r="E15" t="str">
        <v>Manjimup Dried Apples</v>
      </c>
      <c r="J15">
        <v>10252</v>
      </c>
      <c r="K15" t="str">
        <v>Belgium</v>
      </c>
      <c r="L15">
        <v>47.5</v>
      </c>
      <c r="N15">
        <v>10359</v>
      </c>
      <c r="O15" t="str">
        <v>UK</v>
      </c>
      <c r="P15">
        <v>2067.1999999999998</v>
      </c>
      <c r="S15">
        <v>11350</v>
      </c>
      <c r="T15" t="str">
        <v>Wimmers gute Semmelknödel</v>
      </c>
      <c r="U15" t="str">
        <v>Grains/Cereals</v>
      </c>
      <c r="V15">
        <v>99.75</v>
      </c>
      <c r="W15" t="str">
        <v>LAMAI</v>
      </c>
      <c r="X15" t="str">
        <v>La maison d'Asie</v>
      </c>
      <c r="Y15">
        <v>44225</v>
      </c>
      <c r="AB15" t="str">
        <v>Consolidated Holdings</v>
      </c>
      <c r="AE15" t="str">
        <v>Chai</v>
      </c>
      <c r="AF15" t="str">
        <v>Beverages</v>
      </c>
      <c r="AG15" s="225">
        <v>7506.9000000000005</v>
      </c>
    </row>
    <row r="16" spans="2:33" x14ac:dyDescent="0.2">
      <c r="B16" t="s">
        <v>8632</v>
      </c>
      <c r="C16" t="s">
        <v>8633</v>
      </c>
      <c r="E16" t="str">
        <v>Rössle Sauerkraut</v>
      </c>
      <c r="J16">
        <v>10254</v>
      </c>
      <c r="K16" t="str">
        <v>Switzerland</v>
      </c>
      <c r="L16">
        <v>45.9</v>
      </c>
      <c r="N16">
        <v>10359</v>
      </c>
      <c r="O16" t="str">
        <v>UK</v>
      </c>
      <c r="P16">
        <v>665</v>
      </c>
      <c r="S16">
        <v>11354</v>
      </c>
      <c r="T16" t="str">
        <v>Manjimup Dried Apples</v>
      </c>
      <c r="U16" t="str">
        <v>Produce</v>
      </c>
      <c r="V16">
        <v>159</v>
      </c>
      <c r="W16" t="str">
        <v>VICTE</v>
      </c>
      <c r="X16" t="str">
        <v>Victuailles en stock</v>
      </c>
      <c r="Y16">
        <v>44232</v>
      </c>
      <c r="AB16" t="str">
        <v>Die Wandernde Kuh</v>
      </c>
      <c r="AE16" t="str">
        <v>Chartreuse verte</v>
      </c>
      <c r="AF16" t="str">
        <v>Beverages</v>
      </c>
      <c r="AG16" s="225">
        <v>11142.18</v>
      </c>
    </row>
    <row r="17" spans="2:33" x14ac:dyDescent="0.2">
      <c r="B17" t="s">
        <v>8272</v>
      </c>
      <c r="C17">
        <v>1</v>
      </c>
      <c r="E17" t="str">
        <v>Manjimup Dried Apples</v>
      </c>
      <c r="J17">
        <v>10254</v>
      </c>
      <c r="K17" t="str">
        <v>Switzerland</v>
      </c>
      <c r="L17">
        <v>168</v>
      </c>
      <c r="N17">
        <v>10364</v>
      </c>
      <c r="O17" t="str">
        <v>UK</v>
      </c>
      <c r="P17">
        <v>864</v>
      </c>
      <c r="S17">
        <v>11354</v>
      </c>
      <c r="T17" t="str">
        <v>Outback Lager</v>
      </c>
      <c r="U17" t="str">
        <v>Beverages</v>
      </c>
      <c r="V17">
        <v>382.5</v>
      </c>
      <c r="W17" t="str">
        <v>VICTE</v>
      </c>
      <c r="X17" t="str">
        <v>Victuailles en stock</v>
      </c>
      <c r="Y17">
        <v>44234</v>
      </c>
      <c r="AB17" t="str">
        <v>Drachenblut Delikatessen</v>
      </c>
      <c r="AE17" t="str">
        <v>Sasquatch Ale</v>
      </c>
      <c r="AF17" t="str">
        <v>Beverages</v>
      </c>
      <c r="AG17" s="225">
        <v>4233.6000000000004</v>
      </c>
    </row>
    <row r="18" spans="2:33" x14ac:dyDescent="0.2">
      <c r="B18" t="s">
        <v>8550</v>
      </c>
      <c r="C18">
        <v>2</v>
      </c>
      <c r="E18" t="str">
        <v>Rössle Sauerkraut</v>
      </c>
      <c r="J18">
        <v>10255</v>
      </c>
      <c r="K18" t="str">
        <v>Switzerland</v>
      </c>
      <c r="L18">
        <v>304</v>
      </c>
      <c r="N18">
        <v>10364</v>
      </c>
      <c r="O18" t="str">
        <v>UK</v>
      </c>
      <c r="P18">
        <v>86</v>
      </c>
      <c r="S18">
        <v>11354</v>
      </c>
      <c r="T18" t="str">
        <v>NuNuCa Nuß-Nougat-Creme</v>
      </c>
      <c r="U18" t="str">
        <v>Confections</v>
      </c>
      <c r="V18">
        <v>238</v>
      </c>
      <c r="W18" t="str">
        <v>VICTE</v>
      </c>
      <c r="X18" t="str">
        <v>Victuailles en stock</v>
      </c>
      <c r="Y18">
        <v>44234</v>
      </c>
      <c r="AB18" t="str">
        <v>Du monde entier</v>
      </c>
      <c r="AE18" t="str">
        <v>Côte de Blaye</v>
      </c>
      <c r="AF18" t="str">
        <v>Beverages</v>
      </c>
      <c r="AG18" s="225">
        <v>80868.149999999994</v>
      </c>
    </row>
    <row r="19" spans="2:33" x14ac:dyDescent="0.2">
      <c r="B19" t="s">
        <v>8237</v>
      </c>
      <c r="C19">
        <v>3</v>
      </c>
      <c r="E19" t="str">
        <v>Longlife Tofu</v>
      </c>
      <c r="J19">
        <v>10255</v>
      </c>
      <c r="K19" t="str">
        <v>Switzerland</v>
      </c>
      <c r="L19">
        <v>486.5</v>
      </c>
      <c r="N19">
        <v>10377</v>
      </c>
      <c r="O19" t="str">
        <v>UK</v>
      </c>
      <c r="P19">
        <v>244.8</v>
      </c>
      <c r="S19">
        <v>11354</v>
      </c>
      <c r="T19" t="str">
        <v>Geitost</v>
      </c>
      <c r="U19" t="str">
        <v>Dairy Products</v>
      </c>
      <c r="V19">
        <v>8.5</v>
      </c>
      <c r="W19" t="str">
        <v>VICTE</v>
      </c>
      <c r="X19" t="str">
        <v>Victuailles en stock</v>
      </c>
      <c r="Y19">
        <v>44234</v>
      </c>
      <c r="AB19" t="str">
        <v>Eastern Connection</v>
      </c>
      <c r="AE19" t="str">
        <v>Louisiana Fiery Hot Pepper Sauce</v>
      </c>
      <c r="AF19" t="str">
        <v>Condiments</v>
      </c>
      <c r="AG19" s="225">
        <v>12285.180000000002</v>
      </c>
    </row>
    <row r="20" spans="2:33" x14ac:dyDescent="0.2">
      <c r="B20" t="s">
        <v>8247</v>
      </c>
      <c r="C20">
        <v>4</v>
      </c>
      <c r="E20" t="str">
        <v>Rössle Sauerkraut</v>
      </c>
      <c r="J20">
        <v>10255</v>
      </c>
      <c r="K20" t="str">
        <v>Switzerland</v>
      </c>
      <c r="L20">
        <v>1320</v>
      </c>
      <c r="N20">
        <v>10377</v>
      </c>
      <c r="O20" t="str">
        <v>UK</v>
      </c>
      <c r="P20">
        <v>618.79999999999995</v>
      </c>
      <c r="S20">
        <v>11008</v>
      </c>
      <c r="T20" t="str">
        <v>Sasquatch Ale</v>
      </c>
      <c r="U20" t="str">
        <v>Beverages</v>
      </c>
      <c r="V20">
        <v>1197</v>
      </c>
      <c r="W20" t="str">
        <v>ERNSH</v>
      </c>
      <c r="X20" t="str">
        <v>Ernst Handel</v>
      </c>
      <c r="Y20">
        <v>44234</v>
      </c>
      <c r="AB20" t="str">
        <v>Ernst Handel</v>
      </c>
      <c r="AE20" t="str">
        <v>Chef Anton's Gumbo Mix</v>
      </c>
      <c r="AF20" t="str">
        <v>Condiments</v>
      </c>
      <c r="AG20" s="225">
        <v>3381.1000000000004</v>
      </c>
    </row>
    <row r="21" spans="2:33" x14ac:dyDescent="0.2">
      <c r="B21" t="s">
        <v>8262</v>
      </c>
      <c r="C21">
        <v>5</v>
      </c>
      <c r="E21" t="str">
        <v>Longlife Tofu</v>
      </c>
      <c r="J21">
        <v>10258</v>
      </c>
      <c r="K21" t="str">
        <v>Austria</v>
      </c>
      <c r="L21">
        <v>608</v>
      </c>
      <c r="N21">
        <v>10383</v>
      </c>
      <c r="O21" t="str">
        <v>UK</v>
      </c>
      <c r="P21">
        <v>195</v>
      </c>
      <c r="S21">
        <v>11008</v>
      </c>
      <c r="T21" t="str">
        <v>Fløtemysost</v>
      </c>
      <c r="U21" t="str">
        <v>Dairy Products</v>
      </c>
      <c r="V21">
        <v>451.5</v>
      </c>
      <c r="W21" t="str">
        <v>ERNSH</v>
      </c>
      <c r="X21" t="str">
        <v>Ernst Handel</v>
      </c>
      <c r="Y21">
        <v>44234</v>
      </c>
      <c r="AB21" t="str">
        <v>Folies gourmandes</v>
      </c>
      <c r="AE21" t="str">
        <v>Vegie-spread</v>
      </c>
      <c r="AF21" t="str">
        <v>Condiments</v>
      </c>
      <c r="AG21" s="225">
        <v>12351.48</v>
      </c>
    </row>
    <row r="22" spans="2:33" x14ac:dyDescent="0.2">
      <c r="B22" t="s">
        <v>8244</v>
      </c>
      <c r="C22">
        <v>6</v>
      </c>
      <c r="E22" t="str">
        <v>Rössle Sauerkraut</v>
      </c>
      <c r="J22">
        <v>10258</v>
      </c>
      <c r="K22" t="str">
        <v>Austria</v>
      </c>
      <c r="L22">
        <v>884</v>
      </c>
      <c r="N22">
        <v>10383</v>
      </c>
      <c r="O22" t="str">
        <v>UK</v>
      </c>
      <c r="P22">
        <v>608</v>
      </c>
      <c r="S22">
        <v>11008</v>
      </c>
      <c r="T22" t="str">
        <v>Rössle Sauerkraut</v>
      </c>
      <c r="U22" t="str">
        <v>Produce</v>
      </c>
      <c r="V22">
        <v>3032.4</v>
      </c>
      <c r="W22" t="str">
        <v>ERNSH</v>
      </c>
      <c r="X22" t="str">
        <v>Ernst Handel</v>
      </c>
      <c r="Y22">
        <v>44234</v>
      </c>
      <c r="AB22" t="str">
        <v>Folk och fä HB</v>
      </c>
      <c r="AE22" t="str">
        <v>Gula Malacca</v>
      </c>
      <c r="AF22" t="str">
        <v>Condiments</v>
      </c>
      <c r="AG22" s="225">
        <v>6310.24</v>
      </c>
    </row>
    <row r="23" spans="2:33" x14ac:dyDescent="0.2">
      <c r="B23" t="s">
        <v>8548</v>
      </c>
      <c r="C23">
        <v>7</v>
      </c>
      <c r="E23" t="str">
        <v>Manjimup Dried Apples</v>
      </c>
      <c r="J23">
        <v>10258</v>
      </c>
      <c r="K23" t="str">
        <v>Austria</v>
      </c>
      <c r="L23">
        <v>122.88</v>
      </c>
      <c r="N23">
        <v>10388</v>
      </c>
      <c r="O23" t="str">
        <v>UK</v>
      </c>
      <c r="P23">
        <v>89.6</v>
      </c>
      <c r="S23">
        <v>11074</v>
      </c>
      <c r="T23" t="str">
        <v>Pavlova</v>
      </c>
      <c r="U23" t="str">
        <v>Confections</v>
      </c>
      <c r="V23">
        <v>232.08</v>
      </c>
      <c r="W23" t="str">
        <v>SIMOB</v>
      </c>
      <c r="X23" t="str">
        <v>Simons bistro</v>
      </c>
      <c r="Y23">
        <v>44234</v>
      </c>
      <c r="AB23" t="str">
        <v>France restauration</v>
      </c>
      <c r="AE23" t="str">
        <v>Aniseed Syrup</v>
      </c>
      <c r="AF23" t="str">
        <v>Condiments</v>
      </c>
      <c r="AG23" s="225">
        <v>2260</v>
      </c>
    </row>
    <row r="24" spans="2:33" x14ac:dyDescent="0.2">
      <c r="B24" t="s">
        <v>8254</v>
      </c>
      <c r="C24">
        <v>8</v>
      </c>
      <c r="E24" t="str">
        <v>Tofu</v>
      </c>
      <c r="J24">
        <v>10260</v>
      </c>
      <c r="K24" t="str">
        <v>Germany</v>
      </c>
      <c r="L24">
        <v>189</v>
      </c>
      <c r="N24">
        <v>10400</v>
      </c>
      <c r="O24" t="str">
        <v>UK</v>
      </c>
      <c r="P24">
        <v>504</v>
      </c>
      <c r="S24">
        <v>11075</v>
      </c>
      <c r="T24" t="str">
        <v>Chang</v>
      </c>
      <c r="U24" t="str">
        <v>Beverages</v>
      </c>
      <c r="V24">
        <v>161.5</v>
      </c>
      <c r="W24" t="str">
        <v>RICSU</v>
      </c>
      <c r="X24" t="str">
        <v>Richter Supermarkt</v>
      </c>
      <c r="Y24">
        <v>44234</v>
      </c>
      <c r="AB24" t="str">
        <v>Franchi S.p.A.</v>
      </c>
      <c r="AE24" t="str">
        <v>Louisiana Hot Spiced Okra</v>
      </c>
      <c r="AF24" t="str">
        <v>Condiments</v>
      </c>
      <c r="AG24" s="225">
        <v>4236.3999999999996</v>
      </c>
    </row>
    <row r="25" spans="2:33" ht="15.75" thickBot="1" x14ac:dyDescent="0.3">
      <c r="E25" t="str">
        <v>Longlife Tofu</v>
      </c>
      <c r="F25" s="360" t="s">
        <v>8634</v>
      </c>
      <c r="J25">
        <v>10260</v>
      </c>
      <c r="K25" t="str">
        <v>Germany</v>
      </c>
      <c r="L25">
        <v>443.25</v>
      </c>
      <c r="N25">
        <v>10400</v>
      </c>
      <c r="O25" t="str">
        <v>UK</v>
      </c>
      <c r="P25">
        <v>480</v>
      </c>
      <c r="S25">
        <v>11075</v>
      </c>
      <c r="T25" t="str">
        <v>Lakkalikööri</v>
      </c>
      <c r="U25" t="str">
        <v>Beverages</v>
      </c>
      <c r="V25">
        <v>30.6</v>
      </c>
      <c r="W25" t="str">
        <v>RICSU</v>
      </c>
      <c r="X25" t="str">
        <v>Richter Supermarkt</v>
      </c>
      <c r="Y25">
        <v>44234</v>
      </c>
      <c r="AB25" t="str">
        <v>Frankenversand</v>
      </c>
      <c r="AE25" t="str">
        <v>Grandma's Boysenberry Spread</v>
      </c>
      <c r="AF25" t="str">
        <v>Condiments</v>
      </c>
      <c r="AG25" s="225">
        <v>4470</v>
      </c>
    </row>
    <row r="26" spans="2:33" x14ac:dyDescent="0.2">
      <c r="E26" t="str">
        <v>Tofu</v>
      </c>
      <c r="J26">
        <v>10260</v>
      </c>
      <c r="K26" t="str">
        <v>Germany</v>
      </c>
      <c r="L26">
        <v>780</v>
      </c>
      <c r="N26">
        <v>10435</v>
      </c>
      <c r="O26" t="str">
        <v>UK</v>
      </c>
      <c r="P26">
        <v>152</v>
      </c>
      <c r="S26">
        <v>11076</v>
      </c>
      <c r="T26" t="str">
        <v>Grandma's Boysenberry Spread</v>
      </c>
      <c r="U26" t="str">
        <v>Condiments</v>
      </c>
      <c r="V26">
        <v>375</v>
      </c>
      <c r="W26" t="str">
        <v>BONAP</v>
      </c>
      <c r="X26" t="str">
        <v>Bon app'</v>
      </c>
      <c r="Y26">
        <v>44234</v>
      </c>
      <c r="AB26" t="str">
        <v>Furia Bacalhau e Frutos do Mar</v>
      </c>
      <c r="AE26" t="str">
        <v>Chef Anton's Cajun Seasoning</v>
      </c>
      <c r="AF26" t="str">
        <v>Condiments</v>
      </c>
      <c r="AG26" s="225">
        <v>8004.92</v>
      </c>
    </row>
    <row r="27" spans="2:33" x14ac:dyDescent="0.2">
      <c r="E27" t="str">
        <v>Rössle Sauerkraut</v>
      </c>
      <c r="F27" t="str" cm="1">
        <f t="array" ref="F27:G34">_xlfn._xlws.SORT(tblCats[],1,1)</f>
        <v>Beverages</v>
      </c>
      <c r="G27">
        <v>1</v>
      </c>
      <c r="J27">
        <v>10263</v>
      </c>
      <c r="K27" t="str">
        <v>Austria</v>
      </c>
      <c r="L27">
        <v>100.8</v>
      </c>
      <c r="N27">
        <v>10435</v>
      </c>
      <c r="O27" t="str">
        <v>UK</v>
      </c>
      <c r="P27">
        <v>278</v>
      </c>
      <c r="S27">
        <v>11076</v>
      </c>
      <c r="T27" t="str">
        <v>Teatime Chocolate Biscuits</v>
      </c>
      <c r="U27" t="str">
        <v>Confections</v>
      </c>
      <c r="V27">
        <v>69</v>
      </c>
      <c r="W27" t="str">
        <v>BONAP</v>
      </c>
      <c r="X27" t="str">
        <v>Bon app'</v>
      </c>
      <c r="Y27">
        <v>44234</v>
      </c>
      <c r="AB27" t="str">
        <v>Galería del gastrónomo</v>
      </c>
      <c r="AE27" t="str">
        <v>Genen Shouyu</v>
      </c>
      <c r="AF27" t="str">
        <v>Condiments</v>
      </c>
      <c r="AG27" s="225">
        <v>845.52</v>
      </c>
    </row>
    <row r="28" spans="2:33" ht="15" x14ac:dyDescent="0.25">
      <c r="B28" s="362" t="s">
        <v>8636</v>
      </c>
      <c r="C28">
        <f>COUNTA(_xlfn.UNIQUE(tblSales[CategoryName]))</f>
        <v>6</v>
      </c>
      <c r="E28" t="str">
        <v>Rössle Sauerkraut</v>
      </c>
      <c r="F28" t="str">
        <v>Condiments</v>
      </c>
      <c r="G28">
        <v>8</v>
      </c>
      <c r="J28">
        <v>10263</v>
      </c>
      <c r="K28" t="str">
        <v>Austria</v>
      </c>
      <c r="L28">
        <v>625.5</v>
      </c>
      <c r="N28">
        <v>10435</v>
      </c>
      <c r="O28" t="str">
        <v>UK</v>
      </c>
      <c r="P28">
        <v>201.6</v>
      </c>
      <c r="S28">
        <v>11076</v>
      </c>
      <c r="T28" t="str">
        <v>Tofu</v>
      </c>
      <c r="U28" t="str">
        <v>Produce</v>
      </c>
      <c r="V28">
        <v>348.75</v>
      </c>
      <c r="W28" t="str">
        <v>BONAP</v>
      </c>
      <c r="X28" t="str">
        <v>Bon app'</v>
      </c>
      <c r="Y28">
        <v>44234</v>
      </c>
      <c r="AB28" t="str">
        <v>Godos Cocina Típica</v>
      </c>
      <c r="AE28" t="str">
        <v>Northwoods Cranberry Sauce</v>
      </c>
      <c r="AF28" t="str">
        <v>Condiments</v>
      </c>
      <c r="AG28" s="225">
        <v>10400</v>
      </c>
    </row>
    <row r="29" spans="2:33" x14ac:dyDescent="0.2">
      <c r="E29" t="str">
        <v>Uncle Bob's Organic Dried Pears</v>
      </c>
      <c r="F29" t="str">
        <v>Confections</v>
      </c>
      <c r="G29">
        <v>5</v>
      </c>
      <c r="J29">
        <v>10263</v>
      </c>
      <c r="K29" t="str">
        <v>Austria</v>
      </c>
      <c r="L29">
        <v>216</v>
      </c>
      <c r="N29">
        <v>10453</v>
      </c>
      <c r="O29" t="str">
        <v>UK</v>
      </c>
      <c r="P29">
        <v>270</v>
      </c>
      <c r="S29">
        <v>11051</v>
      </c>
      <c r="T29" t="str">
        <v>Guaraná Fantástica</v>
      </c>
      <c r="U29" t="str">
        <v>Beverages</v>
      </c>
      <c r="V29">
        <v>36</v>
      </c>
      <c r="W29" t="str">
        <v>LAMAI</v>
      </c>
      <c r="X29" t="str">
        <v>La maison d'Asie</v>
      </c>
      <c r="Y29">
        <v>44235</v>
      </c>
      <c r="AB29" t="str">
        <v>Hungry Owl All-Night Grocers</v>
      </c>
      <c r="AE29" t="str">
        <v>Original Frankfurter grüne Soße</v>
      </c>
      <c r="AF29" t="str">
        <v>Condiments</v>
      </c>
      <c r="AG29" s="225">
        <v>5258.630000000001</v>
      </c>
    </row>
    <row r="30" spans="2:33" x14ac:dyDescent="0.2">
      <c r="E30" t="str">
        <v>Uncle Bob's Organic Dried Pears</v>
      </c>
      <c r="F30" t="str">
        <v>Dairy Products</v>
      </c>
      <c r="G30">
        <v>3</v>
      </c>
      <c r="J30">
        <v>10264</v>
      </c>
      <c r="K30" t="str">
        <v>Sweden</v>
      </c>
      <c r="L30">
        <v>532</v>
      </c>
      <c r="N30">
        <v>10453</v>
      </c>
      <c r="O30" t="str">
        <v>UK</v>
      </c>
      <c r="P30">
        <v>137.69999999999999</v>
      </c>
      <c r="S30">
        <v>11368</v>
      </c>
      <c r="T30" t="str">
        <v>Laughing Lumberjack Lager</v>
      </c>
      <c r="U30" t="str">
        <v>Beverages</v>
      </c>
      <c r="V30">
        <v>210</v>
      </c>
      <c r="W30" t="str">
        <v>AROUT</v>
      </c>
      <c r="X30" t="str">
        <v>Around the Horn</v>
      </c>
      <c r="Y30">
        <v>44243</v>
      </c>
      <c r="AB30" t="str">
        <v>Island Trading</v>
      </c>
      <c r="AE30" t="str">
        <v>Sirop d'érable</v>
      </c>
      <c r="AF30" t="str">
        <v>Condiments</v>
      </c>
      <c r="AG30" s="225">
        <v>11169.15</v>
      </c>
    </row>
    <row r="31" spans="2:33" x14ac:dyDescent="0.2">
      <c r="E31" t="str">
        <v>Manjimup Dried Apples</v>
      </c>
      <c r="F31" t="str">
        <v>Grains/Cereals</v>
      </c>
      <c r="G31">
        <v>6</v>
      </c>
      <c r="J31">
        <v>10265</v>
      </c>
      <c r="K31" t="str">
        <v>France</v>
      </c>
      <c r="L31">
        <v>240</v>
      </c>
      <c r="N31">
        <v>10462</v>
      </c>
      <c r="O31" t="str">
        <v>UK</v>
      </c>
      <c r="P31">
        <v>151.19999999999999</v>
      </c>
      <c r="S31">
        <v>11368</v>
      </c>
      <c r="T31" t="str">
        <v>Steeleye Stout</v>
      </c>
      <c r="U31" t="str">
        <v>Beverages</v>
      </c>
      <c r="V31">
        <v>72</v>
      </c>
      <c r="W31" t="str">
        <v>AROUT</v>
      </c>
      <c r="X31" t="str">
        <v>Around the Horn</v>
      </c>
      <c r="Y31">
        <v>44243</v>
      </c>
      <c r="AB31" t="str">
        <v>Königlich Essen</v>
      </c>
      <c r="AE31" t="str">
        <v>Sir Rodney's Marmalade</v>
      </c>
      <c r="AF31" t="str">
        <v>Confections</v>
      </c>
      <c r="AG31" s="225">
        <v>22558.5</v>
      </c>
    </row>
    <row r="32" spans="2:33" x14ac:dyDescent="0.2">
      <c r="E32" t="str">
        <v>Manjimup Dried Apples</v>
      </c>
      <c r="F32" t="str">
        <v>Meat/Poultry</v>
      </c>
      <c r="G32">
        <v>2</v>
      </c>
      <c r="J32">
        <v>10266</v>
      </c>
      <c r="K32" t="str">
        <v>Finland</v>
      </c>
      <c r="L32">
        <v>346.56</v>
      </c>
      <c r="N32">
        <v>10471</v>
      </c>
      <c r="O32" t="str">
        <v>UK</v>
      </c>
      <c r="P32">
        <v>608</v>
      </c>
      <c r="S32">
        <v>11370</v>
      </c>
      <c r="T32" t="str">
        <v>Grandma's Boysenberry Spread</v>
      </c>
      <c r="U32" t="str">
        <v>Condiments</v>
      </c>
      <c r="V32">
        <v>1187.5</v>
      </c>
      <c r="W32" t="str">
        <v>BONAP</v>
      </c>
      <c r="X32" t="str">
        <v>Bon app'</v>
      </c>
      <c r="Y32">
        <v>44246</v>
      </c>
      <c r="AB32" t="str">
        <v>La corne d'abondance</v>
      </c>
      <c r="AE32" t="str">
        <v>Pavlova</v>
      </c>
      <c r="AF32" t="str">
        <v>Confections</v>
      </c>
      <c r="AG32" s="225">
        <v>11906.559999999998</v>
      </c>
    </row>
    <row r="33" spans="3:33" x14ac:dyDescent="0.2">
      <c r="E33" t="str">
        <v>Rössle Sauerkraut</v>
      </c>
      <c r="F33" t="str">
        <v>Produce</v>
      </c>
      <c r="G33">
        <v>4</v>
      </c>
      <c r="J33">
        <v>10267</v>
      </c>
      <c r="K33" t="str">
        <v>Germany</v>
      </c>
      <c r="L33">
        <v>183.6</v>
      </c>
      <c r="N33">
        <v>10471</v>
      </c>
      <c r="O33" t="str">
        <v>UK</v>
      </c>
      <c r="P33">
        <v>720</v>
      </c>
      <c r="S33">
        <v>11370</v>
      </c>
      <c r="T33" t="str">
        <v>Pavlova</v>
      </c>
      <c r="U33" t="str">
        <v>Confections</v>
      </c>
      <c r="V33">
        <v>198.92999999999998</v>
      </c>
      <c r="W33" t="str">
        <v>BONAP</v>
      </c>
      <c r="X33" t="str">
        <v>Bon app'</v>
      </c>
      <c r="Y33">
        <v>44246</v>
      </c>
      <c r="AB33" t="str">
        <v>La maison d'Asie</v>
      </c>
      <c r="AE33" t="str">
        <v>Tarte au sucre</v>
      </c>
      <c r="AF33" t="str">
        <v>Confections</v>
      </c>
      <c r="AG33" s="225">
        <v>32346.120000000003</v>
      </c>
    </row>
    <row r="34" spans="3:33" x14ac:dyDescent="0.2">
      <c r="E34" t="str">
        <v>Tofu</v>
      </c>
      <c r="F34" t="str">
        <v>Seafood</v>
      </c>
      <c r="G34">
        <v>7</v>
      </c>
      <c r="J34">
        <v>10267</v>
      </c>
      <c r="K34" t="str">
        <v>Germany</v>
      </c>
      <c r="L34">
        <v>2618</v>
      </c>
      <c r="N34">
        <v>10472</v>
      </c>
      <c r="O34" t="str">
        <v>UK</v>
      </c>
      <c r="P34">
        <v>273.60000000000002</v>
      </c>
      <c r="S34">
        <v>11379</v>
      </c>
      <c r="T34" t="str">
        <v>Wimmers gute Semmelknödel</v>
      </c>
      <c r="U34" t="str">
        <v>Grains/Cereals</v>
      </c>
      <c r="V34">
        <v>665</v>
      </c>
      <c r="W34" t="str">
        <v>BONAP</v>
      </c>
      <c r="X34" t="str">
        <v>Bon app'</v>
      </c>
      <c r="Y34">
        <v>44250</v>
      </c>
      <c r="AB34" t="str">
        <v>Lehmanns Marktstand</v>
      </c>
      <c r="AE34" t="str">
        <v>Teatime Chocolate Biscuits</v>
      </c>
      <c r="AF34" t="str">
        <v>Confections</v>
      </c>
      <c r="AG34" s="225">
        <v>3444.2400000000002</v>
      </c>
    </row>
    <row r="35" spans="3:33" x14ac:dyDescent="0.2">
      <c r="E35" t="str">
        <v>Rössle Sauerkraut</v>
      </c>
      <c r="J35">
        <v>10270</v>
      </c>
      <c r="K35" t="str">
        <v>Finland</v>
      </c>
      <c r="L35">
        <v>920</v>
      </c>
      <c r="N35">
        <v>10472</v>
      </c>
      <c r="O35" t="str">
        <v>UK</v>
      </c>
      <c r="P35">
        <v>763.2</v>
      </c>
      <c r="S35">
        <v>11387</v>
      </c>
      <c r="T35" t="str">
        <v>Rhönbräu Klosterbier</v>
      </c>
      <c r="U35" t="str">
        <v>Beverages</v>
      </c>
      <c r="V35">
        <v>108.5</v>
      </c>
      <c r="W35" t="str">
        <v>SPECD</v>
      </c>
      <c r="X35" t="str">
        <v>Spécialités du monde</v>
      </c>
      <c r="Y35">
        <v>44266</v>
      </c>
      <c r="AB35" t="str">
        <v>Magazzini Alimentari Riuniti</v>
      </c>
      <c r="AE35" t="str">
        <v>Schoggi Schokolade</v>
      </c>
      <c r="AF35" t="str">
        <v>Confections</v>
      </c>
      <c r="AG35" s="225">
        <v>10272.380000000001</v>
      </c>
    </row>
    <row r="36" spans="3:33" x14ac:dyDescent="0.2">
      <c r="E36" t="str">
        <v>Uncle Bob's Organic Dried Pears</v>
      </c>
      <c r="J36">
        <v>10273</v>
      </c>
      <c r="K36" t="str">
        <v>Germany</v>
      </c>
      <c r="L36">
        <v>451.44</v>
      </c>
      <c r="N36">
        <v>10473</v>
      </c>
      <c r="O36" t="str">
        <v>UK</v>
      </c>
      <c r="P36">
        <v>206.4</v>
      </c>
      <c r="S36">
        <v>11388</v>
      </c>
      <c r="T36" t="str">
        <v>Valkoinen suklaa</v>
      </c>
      <c r="U36" t="str">
        <v>Confections</v>
      </c>
      <c r="V36">
        <v>390</v>
      </c>
      <c r="W36" t="str">
        <v>AROUT</v>
      </c>
      <c r="X36" t="str">
        <v>Around the Horn</v>
      </c>
      <c r="Y36">
        <v>44272</v>
      </c>
      <c r="AB36" t="str">
        <v>Maison Dewey</v>
      </c>
      <c r="AE36" t="str">
        <v>Scottish Longbreads</v>
      </c>
      <c r="AF36" t="str">
        <v>Confections</v>
      </c>
      <c r="AG36" s="225">
        <v>4665.5</v>
      </c>
    </row>
    <row r="37" spans="3:33" ht="15.75" thickBot="1" x14ac:dyDescent="0.3">
      <c r="E37" t="str">
        <v>Rössle Sauerkraut</v>
      </c>
      <c r="F37" s="360" t="s">
        <v>8635</v>
      </c>
      <c r="J37">
        <v>10273</v>
      </c>
      <c r="K37" t="str">
        <v>Germany</v>
      </c>
      <c r="L37">
        <v>142.5</v>
      </c>
      <c r="N37">
        <v>10473</v>
      </c>
      <c r="O37" t="str">
        <v>UK</v>
      </c>
      <c r="P37">
        <v>24</v>
      </c>
      <c r="S37">
        <v>11391</v>
      </c>
      <c r="T37" t="str">
        <v>Ipoh Coffee</v>
      </c>
      <c r="U37" t="str">
        <v>Beverages</v>
      </c>
      <c r="V37">
        <v>368</v>
      </c>
      <c r="W37" t="str">
        <v>LAMAI</v>
      </c>
      <c r="X37" t="str">
        <v>La maison d'Asie</v>
      </c>
      <c r="Y37">
        <v>44272</v>
      </c>
      <c r="AB37" t="str">
        <v>Morgenstern Gesundkost</v>
      </c>
      <c r="AE37" t="str">
        <v>NuNuCa Nuß-Nougat-Creme</v>
      </c>
      <c r="AF37" t="str">
        <v>Confections</v>
      </c>
      <c r="AG37" s="225">
        <v>3026.8</v>
      </c>
    </row>
    <row r="38" spans="3:33" x14ac:dyDescent="0.2">
      <c r="E38" t="str">
        <v>Manjimup Dried Apples</v>
      </c>
      <c r="J38">
        <v>10273</v>
      </c>
      <c r="K38" t="str">
        <v>Germany</v>
      </c>
      <c r="L38">
        <v>40</v>
      </c>
      <c r="N38">
        <v>10484</v>
      </c>
      <c r="O38" t="str">
        <v>UK</v>
      </c>
      <c r="P38">
        <v>112</v>
      </c>
      <c r="S38">
        <v>11391</v>
      </c>
      <c r="T38" t="str">
        <v>Laughing Lumberjack Lager</v>
      </c>
      <c r="U38" t="str">
        <v>Beverages</v>
      </c>
      <c r="V38">
        <v>268.8</v>
      </c>
      <c r="W38" t="str">
        <v>LAMAI</v>
      </c>
      <c r="X38" t="str">
        <v>La maison d'Asie</v>
      </c>
      <c r="Y38">
        <v>44272</v>
      </c>
      <c r="AB38" t="str">
        <v>North/South</v>
      </c>
      <c r="AE38" t="str">
        <v>Sir Rodney's Scones</v>
      </c>
      <c r="AF38" t="str">
        <v>Confections</v>
      </c>
      <c r="AG38" s="225">
        <v>6775</v>
      </c>
    </row>
    <row r="39" spans="3:33" x14ac:dyDescent="0.2">
      <c r="E39" t="str">
        <v>Uncle Bob's Organic Dried Pears</v>
      </c>
      <c r="F39" t="str" cm="1">
        <f t="array" ref="F39:F46">_xlfn.SORTBY($F$27:$F$34,$G$27:$G$34,1)</f>
        <v>Beverages</v>
      </c>
      <c r="J39">
        <v>10274</v>
      </c>
      <c r="K39" t="str">
        <v>France</v>
      </c>
      <c r="L39">
        <v>344</v>
      </c>
      <c r="N39">
        <v>10484</v>
      </c>
      <c r="O39" t="str">
        <v>UK</v>
      </c>
      <c r="P39">
        <v>127.2</v>
      </c>
      <c r="S39">
        <v>11391</v>
      </c>
      <c r="T39" t="str">
        <v>Singaporean Hokkien Fried Mee</v>
      </c>
      <c r="U39" t="str">
        <v>Grains/Cereals</v>
      </c>
      <c r="V39">
        <v>112</v>
      </c>
      <c r="W39" t="str">
        <v>LAMAI</v>
      </c>
      <c r="X39" t="str">
        <v>La maison d'Asie</v>
      </c>
      <c r="Y39">
        <v>44272</v>
      </c>
      <c r="AB39" t="str">
        <v>Ottilies Käseladen</v>
      </c>
      <c r="AE39" t="str">
        <v>Gumbär Gummibärchen</v>
      </c>
      <c r="AF39" t="str">
        <v>Confections</v>
      </c>
      <c r="AG39" s="225">
        <v>12252.08</v>
      </c>
    </row>
    <row r="40" spans="3:33" x14ac:dyDescent="0.2">
      <c r="E40" t="str">
        <v>Manjimup Dried Apples</v>
      </c>
      <c r="F40" t="str">
        <v>Meat/Poultry</v>
      </c>
      <c r="J40">
        <v>10274</v>
      </c>
      <c r="K40" t="str">
        <v>France</v>
      </c>
      <c r="L40">
        <v>194.6</v>
      </c>
      <c r="N40">
        <v>10517</v>
      </c>
      <c r="O40" t="str">
        <v>UK</v>
      </c>
      <c r="P40">
        <v>90</v>
      </c>
      <c r="S40">
        <v>11406</v>
      </c>
      <c r="T40" t="str">
        <v>Rhönbräu Klosterbier</v>
      </c>
      <c r="U40" t="str">
        <v>Beverages</v>
      </c>
      <c r="V40">
        <v>139.5</v>
      </c>
      <c r="W40" t="str">
        <v>BONAP</v>
      </c>
      <c r="X40" t="str">
        <v>Bon app'</v>
      </c>
      <c r="Y40">
        <v>44275</v>
      </c>
      <c r="AB40" t="str">
        <v>Piccolo und mehr</v>
      </c>
      <c r="AE40" t="str">
        <v>Valkoinen suklaa</v>
      </c>
      <c r="AF40" t="str">
        <v>Confections</v>
      </c>
      <c r="AG40" s="225">
        <v>3532.75</v>
      </c>
    </row>
    <row r="41" spans="3:33" x14ac:dyDescent="0.2">
      <c r="E41" t="str">
        <v>Manjimup Dried Apples</v>
      </c>
      <c r="F41" t="str">
        <v>Dairy Products</v>
      </c>
      <c r="J41">
        <v>10275</v>
      </c>
      <c r="K41" t="str">
        <v>Italy</v>
      </c>
      <c r="L41">
        <v>41.04</v>
      </c>
      <c r="N41">
        <v>10517</v>
      </c>
      <c r="O41" t="str">
        <v>UK</v>
      </c>
      <c r="P41">
        <v>220</v>
      </c>
      <c r="S41">
        <v>11406</v>
      </c>
      <c r="T41" t="str">
        <v>Tarte au sucre</v>
      </c>
      <c r="U41" t="str">
        <v>Confections</v>
      </c>
      <c r="V41">
        <v>621.17999999999995</v>
      </c>
      <c r="W41" t="str">
        <v>BONAP</v>
      </c>
      <c r="X41" t="str">
        <v>Bon app'</v>
      </c>
      <c r="Y41">
        <v>44275</v>
      </c>
      <c r="AB41" t="str">
        <v>Princesa Isabel Vinhos</v>
      </c>
      <c r="AE41" t="str">
        <v>Maxilaku</v>
      </c>
      <c r="AF41" t="str">
        <v>Confections</v>
      </c>
      <c r="AG41" s="225">
        <v>4949.6000000000004</v>
      </c>
    </row>
    <row r="42" spans="3:33" x14ac:dyDescent="0.2">
      <c r="E42" t="str">
        <v>Manjimup Dried Apples</v>
      </c>
      <c r="F42" t="str">
        <v>Produce</v>
      </c>
      <c r="J42">
        <v>10275</v>
      </c>
      <c r="K42" t="str">
        <v>Italy</v>
      </c>
      <c r="L42">
        <v>250.8</v>
      </c>
      <c r="N42">
        <v>10517</v>
      </c>
      <c r="O42" t="str">
        <v>UK</v>
      </c>
      <c r="P42">
        <v>42</v>
      </c>
      <c r="S42">
        <v>11406</v>
      </c>
      <c r="T42" t="str">
        <v>Pavlova</v>
      </c>
      <c r="U42" t="str">
        <v>Confections</v>
      </c>
      <c r="V42">
        <v>471.15</v>
      </c>
      <c r="W42" t="str">
        <v>BONAP</v>
      </c>
      <c r="X42" t="str">
        <v>Bon app'</v>
      </c>
      <c r="Y42">
        <v>44275</v>
      </c>
      <c r="AB42" t="str">
        <v>QUICK-Stop</v>
      </c>
      <c r="AE42" t="str">
        <v>Chocolade</v>
      </c>
      <c r="AF42" t="str">
        <v>Confections</v>
      </c>
      <c r="AG42" s="225">
        <v>1124.55</v>
      </c>
    </row>
    <row r="43" spans="3:33" x14ac:dyDescent="0.2">
      <c r="E43" t="str">
        <v>Rössle Sauerkraut</v>
      </c>
      <c r="F43" t="str">
        <v>Confections</v>
      </c>
      <c r="J43">
        <v>10277</v>
      </c>
      <c r="K43" t="str">
        <v>Germany</v>
      </c>
      <c r="L43">
        <v>472.8</v>
      </c>
      <c r="N43">
        <v>10523</v>
      </c>
      <c r="O43" t="str">
        <v>UK</v>
      </c>
      <c r="P43">
        <v>1093.5</v>
      </c>
      <c r="S43">
        <v>11406</v>
      </c>
      <c r="T43" t="str">
        <v>Mozzarella di Giovanni</v>
      </c>
      <c r="U43" t="str">
        <v>Dairy Products</v>
      </c>
      <c r="V43">
        <v>556.79999999999995</v>
      </c>
      <c r="W43" t="str">
        <v>BONAP</v>
      </c>
      <c r="X43" t="str">
        <v>Bon app'</v>
      </c>
      <c r="Y43">
        <v>44275</v>
      </c>
      <c r="AB43" t="str">
        <v>Reggiani Caseifici</v>
      </c>
      <c r="AE43" t="str">
        <v>Zaanse koeken</v>
      </c>
      <c r="AF43" t="str">
        <v>Confections</v>
      </c>
      <c r="AG43" s="225">
        <v>3533.05</v>
      </c>
    </row>
    <row r="44" spans="3:33" x14ac:dyDescent="0.2">
      <c r="E44" t="str">
        <v>Manjimup Dried Apples</v>
      </c>
      <c r="F44" t="str">
        <v>Grains/Cereals</v>
      </c>
      <c r="J44">
        <v>10277</v>
      </c>
      <c r="K44" t="str">
        <v>Germany</v>
      </c>
      <c r="L44">
        <v>728</v>
      </c>
      <c r="N44">
        <v>10532</v>
      </c>
      <c r="O44" t="str">
        <v>UK</v>
      </c>
      <c r="P44">
        <v>408</v>
      </c>
      <c r="S44">
        <v>11412</v>
      </c>
      <c r="T44" t="str">
        <v>Côte de Blaye</v>
      </c>
      <c r="U44" t="str">
        <v>Beverages</v>
      </c>
      <c r="V44">
        <v>1317.5</v>
      </c>
      <c r="W44" t="str">
        <v>SPECD</v>
      </c>
      <c r="X44" t="str">
        <v>Spécialités du monde</v>
      </c>
      <c r="Y44">
        <v>44276</v>
      </c>
      <c r="AB44" t="str">
        <v>Richter Supermarkt</v>
      </c>
      <c r="AE44" t="str">
        <v>Mozzarella di Giovanni</v>
      </c>
      <c r="AF44" t="str">
        <v>Dairy Products</v>
      </c>
      <c r="AG44" s="225">
        <v>20421.559999999998</v>
      </c>
    </row>
    <row r="45" spans="3:33" x14ac:dyDescent="0.2">
      <c r="C45" s="225"/>
      <c r="E45" t="str">
        <v>Manjimup Dried Apples</v>
      </c>
      <c r="F45" t="str">
        <v>Seafood</v>
      </c>
      <c r="J45">
        <v>10278</v>
      </c>
      <c r="K45" t="str">
        <v>Sweden</v>
      </c>
      <c r="L45">
        <v>280.8</v>
      </c>
      <c r="N45">
        <v>10538</v>
      </c>
      <c r="O45" t="str">
        <v>UK</v>
      </c>
      <c r="P45">
        <v>105</v>
      </c>
      <c r="S45">
        <v>11412</v>
      </c>
      <c r="T45" t="str">
        <v>Gudbrandsdalsost</v>
      </c>
      <c r="U45" t="str">
        <v>Dairy Products</v>
      </c>
      <c r="V45">
        <v>360</v>
      </c>
      <c r="W45" t="str">
        <v>SPECD</v>
      </c>
      <c r="X45" t="str">
        <v>Spécialités du monde</v>
      </c>
      <c r="Y45">
        <v>44277</v>
      </c>
      <c r="AB45" t="str">
        <v>Romero y tomillo</v>
      </c>
      <c r="AE45" t="str">
        <v>Queso Cabrales</v>
      </c>
      <c r="AF45" t="str">
        <v>Dairy Products</v>
      </c>
      <c r="AG45" s="225">
        <v>9444.75</v>
      </c>
    </row>
    <row r="46" spans="3:33" x14ac:dyDescent="0.2">
      <c r="C46" s="225"/>
      <c r="E46" t="str">
        <v>Tofu</v>
      </c>
      <c r="F46" t="str">
        <v>Condiments</v>
      </c>
      <c r="J46">
        <v>10278</v>
      </c>
      <c r="K46" t="str">
        <v>Sweden</v>
      </c>
      <c r="L46">
        <v>248</v>
      </c>
      <c r="N46">
        <v>10538</v>
      </c>
      <c r="O46" t="str">
        <v>UK</v>
      </c>
      <c r="P46">
        <v>34.799999999999997</v>
      </c>
      <c r="S46">
        <v>11427</v>
      </c>
      <c r="T46" t="str">
        <v>Gorgonzola Telino</v>
      </c>
      <c r="U46" t="str">
        <v>Dairy Products</v>
      </c>
      <c r="V46">
        <v>187.5</v>
      </c>
      <c r="W46" t="str">
        <v>AROUT</v>
      </c>
      <c r="X46" t="str">
        <v>Around the Horn</v>
      </c>
      <c r="Y46">
        <v>44278</v>
      </c>
      <c r="AB46" t="str">
        <v>Santé Gourmet</v>
      </c>
      <c r="AE46" t="str">
        <v>Camembert Pierrot</v>
      </c>
      <c r="AF46" t="str">
        <v>Dairy Products</v>
      </c>
      <c r="AG46" s="225">
        <v>33302.660000000003</v>
      </c>
    </row>
    <row r="47" spans="3:33" x14ac:dyDescent="0.2">
      <c r="E47" t="str">
        <v>Tofu</v>
      </c>
      <c r="J47">
        <v>10278</v>
      </c>
      <c r="K47" t="str">
        <v>Sweden</v>
      </c>
      <c r="L47">
        <v>660</v>
      </c>
      <c r="N47">
        <v>10539</v>
      </c>
      <c r="O47" t="str">
        <v>UK</v>
      </c>
      <c r="P47">
        <v>150</v>
      </c>
      <c r="S47">
        <v>11449</v>
      </c>
      <c r="T47" t="str">
        <v>Queso Cabrales</v>
      </c>
      <c r="U47" t="str">
        <v>Dairy Products</v>
      </c>
      <c r="V47">
        <v>210</v>
      </c>
      <c r="W47" t="str">
        <v>SPECD</v>
      </c>
      <c r="X47" t="str">
        <v>Spécialités du monde</v>
      </c>
      <c r="Y47">
        <v>44279</v>
      </c>
      <c r="AB47" t="str">
        <v>Seven Seas Imports</v>
      </c>
      <c r="AE47" t="str">
        <v>Geitost</v>
      </c>
      <c r="AF47" t="str">
        <v>Dairy Products</v>
      </c>
      <c r="AG47" s="225">
        <v>831.62</v>
      </c>
    </row>
    <row r="48" spans="3:33" x14ac:dyDescent="0.2">
      <c r="E48" t="str">
        <v>Uncle Bob's Organic Dried Pears</v>
      </c>
      <c r="J48">
        <v>10281</v>
      </c>
      <c r="K48" t="str">
        <v>Spain</v>
      </c>
      <c r="L48">
        <v>57.6</v>
      </c>
      <c r="N48">
        <v>10539</v>
      </c>
      <c r="O48" t="str">
        <v>UK</v>
      </c>
      <c r="P48">
        <v>120</v>
      </c>
      <c r="S48">
        <v>11406</v>
      </c>
      <c r="T48" t="str">
        <v>Uncle Bob's Organic Dried Pears</v>
      </c>
      <c r="U48" t="str">
        <v>Produce</v>
      </c>
      <c r="V48">
        <v>240</v>
      </c>
      <c r="W48" t="str">
        <v>BONAP</v>
      </c>
      <c r="X48" t="str">
        <v>Bon app'</v>
      </c>
      <c r="Y48">
        <v>44280</v>
      </c>
      <c r="AB48" t="str">
        <v>Simons bistro</v>
      </c>
      <c r="AE48" t="str">
        <v>Raclette Courdavault</v>
      </c>
      <c r="AF48" t="str">
        <v>Dairy Products</v>
      </c>
      <c r="AG48" s="225">
        <v>47649.25</v>
      </c>
    </row>
    <row r="49" spans="5:33" x14ac:dyDescent="0.2">
      <c r="E49" t="str">
        <v>Tofu</v>
      </c>
      <c r="J49">
        <v>10281</v>
      </c>
      <c r="K49" t="str">
        <v>Spain</v>
      </c>
      <c r="L49">
        <v>21.6</v>
      </c>
      <c r="N49">
        <v>10539</v>
      </c>
      <c r="O49" t="str">
        <v>UK</v>
      </c>
      <c r="P49">
        <v>37.5</v>
      </c>
      <c r="S49">
        <v>11058</v>
      </c>
      <c r="T49" t="str">
        <v>Sirop d'érable</v>
      </c>
      <c r="U49" t="str">
        <v>Condiments</v>
      </c>
      <c r="V49">
        <v>114</v>
      </c>
      <c r="W49" t="str">
        <v>BLAUS</v>
      </c>
      <c r="X49" t="str">
        <v>Blauer See Delikatessen</v>
      </c>
      <c r="Y49">
        <v>44281</v>
      </c>
      <c r="AB49" t="str">
        <v>Spécialités du monde</v>
      </c>
      <c r="AE49" t="str">
        <v>Mascarpone Fabioli</v>
      </c>
      <c r="AF49" t="str">
        <v>Dairy Products</v>
      </c>
      <c r="AG49" s="225">
        <v>5333.44</v>
      </c>
    </row>
    <row r="50" spans="5:33" x14ac:dyDescent="0.2">
      <c r="E50" t="str">
        <v>Uncle Bob's Organic Dried Pears</v>
      </c>
      <c r="J50">
        <v>10281</v>
      </c>
      <c r="K50" t="str">
        <v>Spain</v>
      </c>
      <c r="L50">
        <v>7.3</v>
      </c>
      <c r="N50">
        <v>10547</v>
      </c>
      <c r="O50" t="str">
        <v>UK</v>
      </c>
      <c r="P50">
        <v>652.79999999999995</v>
      </c>
      <c r="S50">
        <v>11058</v>
      </c>
      <c r="T50" t="str">
        <v>Sir Rodney's Scones</v>
      </c>
      <c r="U50" t="str">
        <v>Confections</v>
      </c>
      <c r="V50">
        <v>30</v>
      </c>
      <c r="W50" t="str">
        <v>BLAUS</v>
      </c>
      <c r="X50" t="str">
        <v>Blauer See Delikatessen</v>
      </c>
      <c r="Y50">
        <v>44281</v>
      </c>
      <c r="AB50" t="str">
        <v>Suprêmes délices</v>
      </c>
      <c r="AE50" t="str">
        <v>Queso Manchego La Pastora</v>
      </c>
      <c r="AF50" t="str">
        <v>Dairy Products</v>
      </c>
      <c r="AG50" s="225">
        <v>6078.86</v>
      </c>
    </row>
    <row r="51" spans="5:33" x14ac:dyDescent="0.2">
      <c r="E51" t="str">
        <v>Manjimup Dried Apples</v>
      </c>
      <c r="J51">
        <v>10280</v>
      </c>
      <c r="K51" t="str">
        <v>Sweden</v>
      </c>
      <c r="L51">
        <v>186</v>
      </c>
      <c r="N51">
        <v>11102</v>
      </c>
      <c r="O51" t="str">
        <v>UK</v>
      </c>
      <c r="P51">
        <v>90</v>
      </c>
      <c r="S51">
        <v>11058</v>
      </c>
      <c r="T51" t="str">
        <v>Camembert Pierrot</v>
      </c>
      <c r="U51" t="str">
        <v>Dairy Products</v>
      </c>
      <c r="V51">
        <v>714</v>
      </c>
      <c r="W51" t="str">
        <v>BLAUS</v>
      </c>
      <c r="X51" t="str">
        <v>Blauer See Delikatessen</v>
      </c>
      <c r="Y51">
        <v>44281</v>
      </c>
      <c r="AB51" t="str">
        <v>Toms Spezialitäten</v>
      </c>
      <c r="AE51" t="str">
        <v>Gorgonzola Telino</v>
      </c>
      <c r="AF51" t="str">
        <v>Dairy Products</v>
      </c>
      <c r="AG51" s="225">
        <v>15038.61</v>
      </c>
    </row>
    <row r="52" spans="5:33" x14ac:dyDescent="0.2">
      <c r="E52" t="str">
        <v>Rössle Sauerkraut</v>
      </c>
      <c r="J52">
        <v>10280</v>
      </c>
      <c r="K52" t="str">
        <v>Sweden</v>
      </c>
      <c r="L52">
        <v>43.2</v>
      </c>
      <c r="N52">
        <v>11102</v>
      </c>
      <c r="O52" t="str">
        <v>UK</v>
      </c>
      <c r="P52">
        <v>390</v>
      </c>
      <c r="S52">
        <v>11644</v>
      </c>
      <c r="T52" t="str">
        <v>Louisiana Hot Spiced Okra</v>
      </c>
      <c r="U52" t="str">
        <v>Condiments</v>
      </c>
      <c r="V52">
        <v>816</v>
      </c>
      <c r="W52" t="str">
        <v>ERNSH</v>
      </c>
      <c r="X52" t="str">
        <v>Ernst Handel</v>
      </c>
      <c r="Y52">
        <v>44281</v>
      </c>
      <c r="AB52" t="str">
        <v>Vaffeljernet</v>
      </c>
      <c r="AE52" t="str">
        <v>Fløtemysost</v>
      </c>
      <c r="AF52" t="str">
        <v>Dairy Products</v>
      </c>
      <c r="AG52" s="225">
        <v>18514.73</v>
      </c>
    </row>
    <row r="53" spans="5:33" x14ac:dyDescent="0.2">
      <c r="E53" t="str">
        <v>Rössle Sauerkraut</v>
      </c>
      <c r="J53">
        <v>10282</v>
      </c>
      <c r="K53" t="str">
        <v>Spain</v>
      </c>
      <c r="L53">
        <v>31.2</v>
      </c>
      <c r="N53">
        <v>10558</v>
      </c>
      <c r="O53" t="str">
        <v>UK</v>
      </c>
      <c r="P53">
        <v>237.5</v>
      </c>
      <c r="S53">
        <v>11070</v>
      </c>
      <c r="T53" t="str">
        <v>Chai</v>
      </c>
      <c r="U53" t="str">
        <v>Beverages</v>
      </c>
      <c r="V53">
        <v>612</v>
      </c>
      <c r="W53" t="str">
        <v>LEHMS</v>
      </c>
      <c r="X53" t="str">
        <v>Lehmanns Marktstand</v>
      </c>
      <c r="Y53">
        <v>44282</v>
      </c>
      <c r="AB53" t="str">
        <v>Victuailles en stock</v>
      </c>
      <c r="AE53" t="str">
        <v>Gudbrandsdalsost</v>
      </c>
      <c r="AF53" t="str">
        <v>Dairy Products</v>
      </c>
      <c r="AG53" s="225">
        <v>20735.280000000002</v>
      </c>
    </row>
    <row r="54" spans="5:33" x14ac:dyDescent="0.2">
      <c r="E54" t="str">
        <v>Manjimup Dried Apples</v>
      </c>
      <c r="J54">
        <v>10284</v>
      </c>
      <c r="K54" t="str">
        <v>Germany</v>
      </c>
      <c r="L54">
        <v>42</v>
      </c>
      <c r="N54">
        <v>10558</v>
      </c>
      <c r="O54" t="str">
        <v>UK</v>
      </c>
      <c r="P54">
        <v>210</v>
      </c>
      <c r="S54">
        <v>11070</v>
      </c>
      <c r="T54" t="str">
        <v>Chang</v>
      </c>
      <c r="U54" t="str">
        <v>Beverages</v>
      </c>
      <c r="V54">
        <v>323</v>
      </c>
      <c r="W54" t="str">
        <v>LEHMS</v>
      </c>
      <c r="X54" t="str">
        <v>Lehmanns Marktstand</v>
      </c>
      <c r="Y54">
        <v>44282</v>
      </c>
      <c r="AB54" t="str">
        <v>Vins et alcools Chevalier</v>
      </c>
      <c r="AE54" t="str">
        <v>Singaporean Hokkien Fried Mee</v>
      </c>
      <c r="AF54" t="str">
        <v>Grains/Cereals</v>
      </c>
      <c r="AG54" s="225">
        <v>6554.8</v>
      </c>
    </row>
    <row r="55" spans="5:33" x14ac:dyDescent="0.2">
      <c r="E55" t="str">
        <v>Uncle Bob's Organic Dried Pears</v>
      </c>
      <c r="J55">
        <v>10284</v>
      </c>
      <c r="K55" t="str">
        <v>Germany</v>
      </c>
      <c r="L55">
        <v>325.5</v>
      </c>
      <c r="N55">
        <v>10558</v>
      </c>
      <c r="O55" t="str">
        <v>UK</v>
      </c>
      <c r="P55">
        <v>1060</v>
      </c>
      <c r="S55">
        <v>11070</v>
      </c>
      <c r="T55" t="str">
        <v>Pavlova</v>
      </c>
      <c r="U55" t="str">
        <v>Confections</v>
      </c>
      <c r="V55">
        <v>444.97</v>
      </c>
      <c r="W55" t="str">
        <v>LEHMS</v>
      </c>
      <c r="X55" t="str">
        <v>Lehmanns Marktstand</v>
      </c>
      <c r="Y55">
        <v>44282</v>
      </c>
      <c r="AB55" t="str">
        <v>Wartian Herkku</v>
      </c>
      <c r="AE55" t="str">
        <v>Ravioli Angelo</v>
      </c>
      <c r="AF55" t="str">
        <v>Grains/Cereals</v>
      </c>
      <c r="AG55" s="225">
        <v>8396.7000000000007</v>
      </c>
    </row>
    <row r="56" spans="5:33" x14ac:dyDescent="0.2">
      <c r="E56" t="str">
        <v>Tofu</v>
      </c>
      <c r="J56">
        <v>10284</v>
      </c>
      <c r="K56" t="str">
        <v>Germany</v>
      </c>
      <c r="L56">
        <v>394.88</v>
      </c>
      <c r="N56">
        <v>10578</v>
      </c>
      <c r="O56" t="str">
        <v>UK</v>
      </c>
      <c r="P56">
        <v>360</v>
      </c>
      <c r="S56">
        <v>11070</v>
      </c>
      <c r="T56" t="str">
        <v>Gorgonzola Telino</v>
      </c>
      <c r="U56" t="str">
        <v>Dairy Products</v>
      </c>
      <c r="V56">
        <v>250</v>
      </c>
      <c r="W56" t="str">
        <v>LEHMS</v>
      </c>
      <c r="X56" t="str">
        <v>Lehmanns Marktstand</v>
      </c>
      <c r="Y56">
        <v>44282</v>
      </c>
      <c r="AB56" t="str">
        <v>Wilman Kala</v>
      </c>
      <c r="AE56" t="str">
        <v>Gustaf's Knäckebröd</v>
      </c>
      <c r="AF56" t="str">
        <v>Grains/Cereals</v>
      </c>
      <c r="AG56" s="225">
        <v>5265.12</v>
      </c>
    </row>
    <row r="57" spans="5:33" x14ac:dyDescent="0.2">
      <c r="E57" t="str">
        <v>Rössle Sauerkraut</v>
      </c>
      <c r="J57">
        <v>10284</v>
      </c>
      <c r="K57" t="str">
        <v>Germany</v>
      </c>
      <c r="L57">
        <v>408</v>
      </c>
      <c r="N57">
        <v>10578</v>
      </c>
      <c r="O57" t="str">
        <v>UK</v>
      </c>
      <c r="P57">
        <v>117</v>
      </c>
      <c r="S57">
        <v>11072</v>
      </c>
      <c r="T57" t="str">
        <v>Chang</v>
      </c>
      <c r="U57" t="str">
        <v>Beverages</v>
      </c>
      <c r="V57">
        <v>152</v>
      </c>
      <c r="W57" t="str">
        <v>ERNSH</v>
      </c>
      <c r="X57" t="str">
        <v>Ernst Handel</v>
      </c>
      <c r="Y57">
        <v>44282</v>
      </c>
      <c r="AB57" t="str">
        <v>Wolski  Zajazd</v>
      </c>
      <c r="AE57" t="str">
        <v>Wimmers gute Semmelknödel</v>
      </c>
      <c r="AF57" t="str">
        <v>Grains/Cereals</v>
      </c>
      <c r="AG57" s="225">
        <v>21268.35</v>
      </c>
    </row>
    <row r="58" spans="5:33" x14ac:dyDescent="0.2">
      <c r="E58" t="str">
        <v>Uncle Bob's Organic Dried Pears</v>
      </c>
      <c r="J58">
        <v>10285</v>
      </c>
      <c r="K58" t="str">
        <v>Germany</v>
      </c>
      <c r="L58">
        <v>518.4</v>
      </c>
      <c r="N58">
        <v>11117</v>
      </c>
      <c r="O58" t="str">
        <v>UK</v>
      </c>
      <c r="P58">
        <v>195</v>
      </c>
      <c r="S58">
        <v>11072</v>
      </c>
      <c r="T58" t="str">
        <v>Valkoinen suklaa</v>
      </c>
      <c r="U58" t="str">
        <v>Confections</v>
      </c>
      <c r="V58">
        <v>357.5</v>
      </c>
      <c r="W58" t="str">
        <v>ERNSH</v>
      </c>
      <c r="X58" t="str">
        <v>Ernst Handel</v>
      </c>
      <c r="Y58">
        <v>44282</v>
      </c>
      <c r="AE58" t="str">
        <v>Gnocchi di nonna Alice</v>
      </c>
      <c r="AF58" t="str">
        <v>Grains/Cereals</v>
      </c>
      <c r="AG58" s="225">
        <v>25042</v>
      </c>
    </row>
    <row r="59" spans="5:33" x14ac:dyDescent="0.2">
      <c r="E59" t="str">
        <v>Rössle Sauerkraut</v>
      </c>
      <c r="J59">
        <v>10286</v>
      </c>
      <c r="K59" t="str">
        <v>Germany</v>
      </c>
      <c r="L59">
        <v>1440</v>
      </c>
      <c r="N59">
        <v>11117</v>
      </c>
      <c r="O59" t="str">
        <v>UK</v>
      </c>
      <c r="P59">
        <v>608</v>
      </c>
      <c r="S59">
        <v>11072</v>
      </c>
      <c r="T59" t="str">
        <v>Wimmers gute Semmelknödel</v>
      </c>
      <c r="U59" t="str">
        <v>Grains/Cereals</v>
      </c>
      <c r="V59">
        <v>4322.5</v>
      </c>
      <c r="W59" t="str">
        <v>ERNSH</v>
      </c>
      <c r="X59" t="str">
        <v>Ernst Handel</v>
      </c>
      <c r="Y59">
        <v>44282</v>
      </c>
      <c r="AE59" t="str">
        <v>Filo Mix</v>
      </c>
      <c r="AF59" t="str">
        <v>Grains/Cereals</v>
      </c>
      <c r="AG59" s="225">
        <v>2460.85</v>
      </c>
    </row>
    <row r="60" spans="5:33" x14ac:dyDescent="0.2">
      <c r="E60" t="str">
        <v>Uncle Bob's Organic Dried Pears</v>
      </c>
      <c r="J60">
        <v>10286</v>
      </c>
      <c r="K60" t="str">
        <v>Germany</v>
      </c>
      <c r="L60">
        <v>1576</v>
      </c>
      <c r="N60">
        <v>10599</v>
      </c>
      <c r="O60" t="str">
        <v>UK</v>
      </c>
      <c r="P60">
        <v>493</v>
      </c>
      <c r="S60">
        <v>11644</v>
      </c>
      <c r="T60" t="str">
        <v>Queso Cabrales</v>
      </c>
      <c r="U60" t="str">
        <v>Dairy Products</v>
      </c>
      <c r="V60">
        <v>504</v>
      </c>
      <c r="W60" t="str">
        <v>ERNSH</v>
      </c>
      <c r="X60" t="str">
        <v>Ernst Handel</v>
      </c>
      <c r="Y60">
        <v>44282</v>
      </c>
      <c r="AE60" t="str">
        <v>Tunnbröd</v>
      </c>
      <c r="AF60" t="str">
        <v>Grains/Cereals</v>
      </c>
      <c r="AG60" s="225">
        <v>4228.2</v>
      </c>
    </row>
    <row r="61" spans="5:33" x14ac:dyDescent="0.2">
      <c r="E61" t="str">
        <v>Manjimup Dried Apples</v>
      </c>
      <c r="J61">
        <v>10288</v>
      </c>
      <c r="K61" t="str">
        <v>Italy</v>
      </c>
      <c r="L61">
        <v>27</v>
      </c>
      <c r="N61">
        <v>10621</v>
      </c>
      <c r="O61" t="str">
        <v>UK</v>
      </c>
      <c r="P61">
        <v>300</v>
      </c>
      <c r="S61">
        <v>11415</v>
      </c>
      <c r="T61" t="str">
        <v>Sir Rodney's Marmalade</v>
      </c>
      <c r="U61" t="str">
        <v>Confections</v>
      </c>
      <c r="V61">
        <v>3847.5</v>
      </c>
      <c r="W61" t="str">
        <v>AROUT</v>
      </c>
      <c r="X61" t="str">
        <v>Around the Horn</v>
      </c>
      <c r="Y61">
        <v>44285</v>
      </c>
      <c r="AE61" t="str">
        <v>Manjimup Dried Apples</v>
      </c>
      <c r="AF61" t="str">
        <v>Produce</v>
      </c>
      <c r="AG61" s="225">
        <v>38094.810000000005</v>
      </c>
    </row>
    <row r="62" spans="5:33" x14ac:dyDescent="0.2">
      <c r="E62" t="str">
        <v>Rössle Sauerkraut</v>
      </c>
      <c r="J62">
        <v>10289</v>
      </c>
      <c r="K62" t="str">
        <v>UK</v>
      </c>
      <c r="L62">
        <v>240</v>
      </c>
      <c r="N62">
        <v>10621</v>
      </c>
      <c r="O62" t="str">
        <v>UK</v>
      </c>
      <c r="P62">
        <v>46</v>
      </c>
      <c r="S62">
        <v>11415</v>
      </c>
      <c r="T62" t="str">
        <v>Gorgonzola Telino</v>
      </c>
      <c r="U62" t="str">
        <v>Dairy Products</v>
      </c>
      <c r="V62">
        <v>593.75</v>
      </c>
      <c r="W62" t="str">
        <v>AROUT</v>
      </c>
      <c r="X62" t="str">
        <v>Around the Horn</v>
      </c>
      <c r="Y62">
        <v>44285</v>
      </c>
      <c r="AE62" t="str">
        <v>Tofu</v>
      </c>
      <c r="AF62" t="str">
        <v>Produce</v>
      </c>
      <c r="AG62" s="225">
        <v>6041.5099999999993</v>
      </c>
    </row>
    <row r="63" spans="5:33" x14ac:dyDescent="0.2">
      <c r="E63" t="str">
        <v>Tofu</v>
      </c>
      <c r="J63">
        <v>10289</v>
      </c>
      <c r="K63" t="str">
        <v>UK</v>
      </c>
      <c r="L63">
        <v>239.4</v>
      </c>
      <c r="N63">
        <v>10621</v>
      </c>
      <c r="O63" t="str">
        <v>UK</v>
      </c>
      <c r="P63">
        <v>322.5</v>
      </c>
      <c r="S63">
        <v>11646</v>
      </c>
      <c r="T63" t="str">
        <v>Steeleye Stout</v>
      </c>
      <c r="U63" t="str">
        <v>Beverages</v>
      </c>
      <c r="V63">
        <v>144</v>
      </c>
      <c r="W63" t="str">
        <v>ISLAT</v>
      </c>
      <c r="X63" t="str">
        <v>Island Trading</v>
      </c>
      <c r="Y63">
        <v>44287</v>
      </c>
      <c r="AE63" t="str">
        <v>Longlife Tofu</v>
      </c>
      <c r="AF63" t="str">
        <v>Produce</v>
      </c>
      <c r="AG63" s="225">
        <v>2488.5</v>
      </c>
    </row>
    <row r="64" spans="5:33" x14ac:dyDescent="0.2">
      <c r="E64" t="str">
        <v>Tofu</v>
      </c>
      <c r="J64">
        <v>10295</v>
      </c>
      <c r="K64" t="str">
        <v>France</v>
      </c>
      <c r="L64">
        <v>121.6</v>
      </c>
      <c r="N64">
        <v>10621</v>
      </c>
      <c r="O64" t="str">
        <v>UK</v>
      </c>
      <c r="P64">
        <v>90</v>
      </c>
      <c r="S64">
        <v>11645</v>
      </c>
      <c r="T64" t="str">
        <v>Fløtemysost</v>
      </c>
      <c r="U64" t="str">
        <v>Dairy Products</v>
      </c>
      <c r="V64">
        <v>516</v>
      </c>
      <c r="W64" t="str">
        <v>WARTH</v>
      </c>
      <c r="X64" t="str">
        <v>Wartian Herkku</v>
      </c>
      <c r="Y64">
        <v>44287</v>
      </c>
      <c r="AE64" t="str">
        <v>Rössle Sauerkraut</v>
      </c>
      <c r="AF64" t="str">
        <v>Produce</v>
      </c>
      <c r="AG64" s="225">
        <v>22035.08</v>
      </c>
    </row>
    <row r="65" spans="5:33" x14ac:dyDescent="0.2">
      <c r="E65" t="str">
        <v>Longlife Tofu</v>
      </c>
      <c r="J65">
        <v>10297</v>
      </c>
      <c r="K65" t="str">
        <v>France</v>
      </c>
      <c r="L65">
        <v>864</v>
      </c>
      <c r="N65">
        <v>11155</v>
      </c>
      <c r="O65" t="str">
        <v>UK</v>
      </c>
      <c r="P65">
        <v>270</v>
      </c>
      <c r="S65">
        <v>11648</v>
      </c>
      <c r="T65" t="str">
        <v>Chartreuse verte</v>
      </c>
      <c r="U65" t="str">
        <v>Beverages</v>
      </c>
      <c r="V65">
        <v>57.6</v>
      </c>
      <c r="W65" t="str">
        <v>KOENE</v>
      </c>
      <c r="X65" t="str">
        <v>Königlich Essen</v>
      </c>
      <c r="Y65">
        <v>44291</v>
      </c>
      <c r="AE65" t="str">
        <v>Uncle Bob's Organic Dried Pears</v>
      </c>
      <c r="AF65" t="str">
        <v>Produce</v>
      </c>
      <c r="AG65" s="225">
        <v>20259.599999999999</v>
      </c>
    </row>
    <row r="66" spans="5:33" x14ac:dyDescent="0.2">
      <c r="E66" t="str">
        <v>Manjimup Dried Apples</v>
      </c>
      <c r="J66">
        <v>10297</v>
      </c>
      <c r="K66" t="str">
        <v>France</v>
      </c>
      <c r="L66">
        <v>556</v>
      </c>
      <c r="N66">
        <v>11155</v>
      </c>
      <c r="O66" t="str">
        <v>UK</v>
      </c>
      <c r="P66">
        <v>137.69999999999999</v>
      </c>
      <c r="S66">
        <v>11648</v>
      </c>
      <c r="T66" t="str">
        <v>Genen Shouyu</v>
      </c>
      <c r="U66" t="str">
        <v>Condiments</v>
      </c>
      <c r="V66">
        <v>62</v>
      </c>
      <c r="W66" t="str">
        <v>KOENE</v>
      </c>
      <c r="X66" t="str">
        <v>Königlich Essen</v>
      </c>
      <c r="Y66">
        <v>44291</v>
      </c>
      <c r="AG66" s="225"/>
    </row>
    <row r="67" spans="5:33" x14ac:dyDescent="0.2">
      <c r="E67" t="str">
        <v>Uncle Bob's Organic Dried Pears</v>
      </c>
      <c r="J67">
        <v>10298</v>
      </c>
      <c r="K67" t="str">
        <v>Ireland</v>
      </c>
      <c r="L67">
        <v>608</v>
      </c>
      <c r="N67">
        <v>10674</v>
      </c>
      <c r="O67" t="str">
        <v>UK</v>
      </c>
      <c r="P67">
        <v>45</v>
      </c>
      <c r="S67">
        <v>11648</v>
      </c>
      <c r="T67" t="str">
        <v>NuNuCa Nuß-Nougat-Creme</v>
      </c>
      <c r="U67" t="str">
        <v>Confections</v>
      </c>
      <c r="V67">
        <v>44.8</v>
      </c>
      <c r="W67" t="str">
        <v>KOENE</v>
      </c>
      <c r="X67" t="str">
        <v>Königlich Essen</v>
      </c>
      <c r="Y67">
        <v>44291</v>
      </c>
      <c r="AG67" s="225"/>
    </row>
    <row r="68" spans="5:33" x14ac:dyDescent="0.2">
      <c r="E68" t="str">
        <v>Uncle Bob's Organic Dried Pears</v>
      </c>
      <c r="J68">
        <v>10298</v>
      </c>
      <c r="K68" t="str">
        <v>Ireland</v>
      </c>
      <c r="L68">
        <v>591</v>
      </c>
      <c r="N68">
        <v>10707</v>
      </c>
      <c r="O68" t="str">
        <v>UK</v>
      </c>
      <c r="P68">
        <v>357</v>
      </c>
      <c r="S68">
        <v>11650</v>
      </c>
      <c r="T68" t="str">
        <v>Grandma's Boysenberry Spread</v>
      </c>
      <c r="U68" t="str">
        <v>Condiments</v>
      </c>
      <c r="V68">
        <v>120</v>
      </c>
      <c r="W68" t="str">
        <v>KOENE</v>
      </c>
      <c r="X68" t="str">
        <v>Königlich Essen</v>
      </c>
      <c r="Y68">
        <v>44293</v>
      </c>
      <c r="AG68" s="225"/>
    </row>
    <row r="69" spans="5:33" x14ac:dyDescent="0.2">
      <c r="E69" t="str">
        <v>Manjimup Dried Apples</v>
      </c>
      <c r="J69">
        <v>10298</v>
      </c>
      <c r="K69" t="str">
        <v>Ireland</v>
      </c>
      <c r="L69">
        <v>990</v>
      </c>
      <c r="N69">
        <v>10707</v>
      </c>
      <c r="O69" t="str">
        <v>UK</v>
      </c>
      <c r="P69">
        <v>780</v>
      </c>
      <c r="S69">
        <v>11650</v>
      </c>
      <c r="T69" t="str">
        <v>Mozzarella di Giovanni</v>
      </c>
      <c r="U69" t="str">
        <v>Dairy Products</v>
      </c>
      <c r="V69">
        <v>1112</v>
      </c>
      <c r="W69" t="str">
        <v>KOENE</v>
      </c>
      <c r="X69" t="str">
        <v>Königlich Essen</v>
      </c>
      <c r="Y69">
        <v>44293</v>
      </c>
      <c r="AG69" s="225"/>
    </row>
    <row r="70" spans="5:33" x14ac:dyDescent="0.2">
      <c r="E70" t="str">
        <v>Longlife Tofu</v>
      </c>
      <c r="J70">
        <v>10301</v>
      </c>
      <c r="K70" t="str">
        <v>Germany</v>
      </c>
      <c r="L70">
        <v>608</v>
      </c>
      <c r="N70">
        <v>10726</v>
      </c>
      <c r="O70" t="str">
        <v>UK</v>
      </c>
      <c r="P70">
        <v>550</v>
      </c>
      <c r="S70">
        <v>11650</v>
      </c>
      <c r="T70" t="str">
        <v>Gorgonzola Telino</v>
      </c>
      <c r="U70" t="str">
        <v>Dairy Products</v>
      </c>
      <c r="V70">
        <v>40</v>
      </c>
      <c r="W70" t="str">
        <v>KOENE</v>
      </c>
      <c r="X70" t="str">
        <v>Königlich Essen</v>
      </c>
      <c r="Y70">
        <v>44293</v>
      </c>
      <c r="AG70" s="225"/>
    </row>
    <row r="71" spans="5:33" x14ac:dyDescent="0.2">
      <c r="E71" t="str">
        <v>Manjimup Dried Apples</v>
      </c>
      <c r="J71">
        <v>10300</v>
      </c>
      <c r="K71" t="str">
        <v>Italy</v>
      </c>
      <c r="L71">
        <v>408</v>
      </c>
      <c r="N71">
        <v>10726</v>
      </c>
      <c r="O71" t="str">
        <v>UK</v>
      </c>
      <c r="P71">
        <v>105</v>
      </c>
      <c r="S71">
        <v>11650</v>
      </c>
      <c r="T71" t="str">
        <v>Tofu</v>
      </c>
      <c r="U71" t="str">
        <v>Produce</v>
      </c>
      <c r="V71">
        <v>167.4</v>
      </c>
      <c r="W71" t="str">
        <v>KOENE</v>
      </c>
      <c r="X71" t="str">
        <v>Königlich Essen</v>
      </c>
      <c r="Y71">
        <v>44293</v>
      </c>
      <c r="AG71" s="225"/>
    </row>
    <row r="72" spans="5:33" x14ac:dyDescent="0.2">
      <c r="E72" t="str">
        <v>Manjimup Dried Apples</v>
      </c>
      <c r="J72">
        <v>10300</v>
      </c>
      <c r="K72" t="str">
        <v>Italy</v>
      </c>
      <c r="L72">
        <v>200</v>
      </c>
      <c r="N72">
        <v>10741</v>
      </c>
      <c r="O72" t="str">
        <v>UK</v>
      </c>
      <c r="P72">
        <v>228</v>
      </c>
      <c r="S72">
        <v>11651</v>
      </c>
      <c r="T72" t="str">
        <v>Rhönbräu Klosterbier</v>
      </c>
      <c r="U72" t="str">
        <v>Beverages</v>
      </c>
      <c r="V72">
        <v>310</v>
      </c>
      <c r="W72" t="str">
        <v>BOLID</v>
      </c>
      <c r="X72" t="str">
        <v>Bólido Comidas preparadas</v>
      </c>
      <c r="Y72">
        <v>44294</v>
      </c>
      <c r="AG72" s="225"/>
    </row>
    <row r="73" spans="5:33" x14ac:dyDescent="0.2">
      <c r="E73" t="str">
        <v>Manjimup Dried Apples</v>
      </c>
      <c r="J73">
        <v>10302</v>
      </c>
      <c r="K73" t="str">
        <v>Belgium</v>
      </c>
      <c r="L73">
        <v>441.6</v>
      </c>
      <c r="N73">
        <v>10749</v>
      </c>
      <c r="O73" t="str">
        <v>UK</v>
      </c>
      <c r="P73">
        <v>180</v>
      </c>
      <c r="S73">
        <v>11651</v>
      </c>
      <c r="T73" t="str">
        <v>Chef Anton's Cajun Seasoning</v>
      </c>
      <c r="U73" t="str">
        <v>Condiments</v>
      </c>
      <c r="V73">
        <v>422.4</v>
      </c>
      <c r="W73" t="str">
        <v>BOLID</v>
      </c>
      <c r="X73" t="str">
        <v>Bólido Comidas preparadas</v>
      </c>
      <c r="Y73">
        <v>44294</v>
      </c>
      <c r="AG73" s="225"/>
    </row>
    <row r="74" spans="5:33" x14ac:dyDescent="0.2">
      <c r="E74" t="str">
        <v>Rössle Sauerkraut</v>
      </c>
      <c r="J74">
        <v>10302</v>
      </c>
      <c r="K74" t="str">
        <v>Belgium</v>
      </c>
      <c r="L74">
        <v>1019.2</v>
      </c>
      <c r="N74">
        <v>10749</v>
      </c>
      <c r="O74" t="str">
        <v>UK</v>
      </c>
      <c r="P74">
        <v>330</v>
      </c>
      <c r="S74">
        <v>11651</v>
      </c>
      <c r="T74" t="str">
        <v>Ravioli Angelo</v>
      </c>
      <c r="U74" t="str">
        <v>Grains/Cereals</v>
      </c>
      <c r="V74">
        <v>249.6</v>
      </c>
      <c r="W74" t="str">
        <v>BOLID</v>
      </c>
      <c r="X74" t="str">
        <v>Bólido Comidas preparadas</v>
      </c>
      <c r="Y74">
        <v>44294</v>
      </c>
      <c r="AG74" s="225"/>
    </row>
    <row r="75" spans="5:33" x14ac:dyDescent="0.2">
      <c r="E75" t="str">
        <v>Longlife Tofu</v>
      </c>
      <c r="J75">
        <v>10303</v>
      </c>
      <c r="K75" t="str">
        <v>Spain</v>
      </c>
      <c r="L75">
        <v>453.6</v>
      </c>
      <c r="N75">
        <v>10749</v>
      </c>
      <c r="O75" t="str">
        <v>UK</v>
      </c>
      <c r="P75">
        <v>570</v>
      </c>
      <c r="S75">
        <v>11652</v>
      </c>
      <c r="T75" t="str">
        <v>Chang</v>
      </c>
      <c r="U75" t="str">
        <v>Beverages</v>
      </c>
      <c r="V75">
        <v>304</v>
      </c>
      <c r="W75" t="str">
        <v>FOLKO</v>
      </c>
      <c r="X75" t="str">
        <v>Folk och fä HB</v>
      </c>
      <c r="Y75">
        <v>44295</v>
      </c>
      <c r="AG75" s="225"/>
    </row>
    <row r="76" spans="5:33" x14ac:dyDescent="0.2">
      <c r="E76" t="str">
        <v>Uncle Bob's Organic Dried Pears</v>
      </c>
      <c r="J76">
        <v>10303</v>
      </c>
      <c r="K76" t="str">
        <v>Spain</v>
      </c>
      <c r="L76">
        <v>135</v>
      </c>
      <c r="N76">
        <v>10752</v>
      </c>
      <c r="O76" t="str">
        <v>UK</v>
      </c>
      <c r="P76">
        <v>144</v>
      </c>
      <c r="S76">
        <v>11652</v>
      </c>
      <c r="T76" t="str">
        <v>Queso Cabrales</v>
      </c>
      <c r="U76" t="str">
        <v>Dairy Products</v>
      </c>
      <c r="V76">
        <v>672</v>
      </c>
      <c r="W76" t="str">
        <v>FOLKO</v>
      </c>
      <c r="X76" t="str">
        <v>Folk och fä HB</v>
      </c>
      <c r="Y76">
        <v>44295</v>
      </c>
      <c r="AG76" s="225"/>
    </row>
    <row r="77" spans="5:33" x14ac:dyDescent="0.2">
      <c r="E77" t="str">
        <v>Manjimup Dried Apples</v>
      </c>
      <c r="J77">
        <v>10309</v>
      </c>
      <c r="K77" t="str">
        <v>Ireland</v>
      </c>
      <c r="L77">
        <v>736</v>
      </c>
      <c r="N77">
        <v>10752</v>
      </c>
      <c r="O77" t="str">
        <v>UK</v>
      </c>
      <c r="P77">
        <v>108</v>
      </c>
      <c r="S77">
        <v>11653</v>
      </c>
      <c r="T77" t="str">
        <v>Louisiana Fiery Hot Pepper Sauce</v>
      </c>
      <c r="U77" t="str">
        <v>Condiments</v>
      </c>
      <c r="V77">
        <v>672</v>
      </c>
      <c r="W77" t="str">
        <v>FURIB</v>
      </c>
      <c r="X77" t="str">
        <v>Furia Bacalhau e Frutos do Mar</v>
      </c>
      <c r="Y77">
        <v>44298</v>
      </c>
      <c r="AG77" s="225"/>
    </row>
    <row r="78" spans="5:33" x14ac:dyDescent="0.2">
      <c r="E78" t="str">
        <v>Uncle Bob's Organic Dried Pears</v>
      </c>
      <c r="J78">
        <v>10309</v>
      </c>
      <c r="K78" t="str">
        <v>Ireland</v>
      </c>
      <c r="L78">
        <v>600</v>
      </c>
      <c r="N78">
        <v>10768</v>
      </c>
      <c r="O78" t="str">
        <v>UK</v>
      </c>
      <c r="P78">
        <v>625</v>
      </c>
      <c r="S78">
        <v>11653</v>
      </c>
      <c r="T78" t="str">
        <v>Scottish Longbreads</v>
      </c>
      <c r="U78" t="str">
        <v>Confections</v>
      </c>
      <c r="V78">
        <v>100</v>
      </c>
      <c r="W78" t="str">
        <v>FURIB</v>
      </c>
      <c r="X78" t="str">
        <v>Furia Bacalhau e Frutos do Mar</v>
      </c>
      <c r="Y78">
        <v>44298</v>
      </c>
      <c r="AG78" s="225"/>
    </row>
    <row r="79" spans="5:33" x14ac:dyDescent="0.2">
      <c r="E79" t="str">
        <v>Manjimup Dried Apples</v>
      </c>
      <c r="J79">
        <v>10309</v>
      </c>
      <c r="K79" t="str">
        <v>Ireland</v>
      </c>
      <c r="L79">
        <v>352</v>
      </c>
      <c r="N79">
        <v>10768</v>
      </c>
      <c r="O79" t="str">
        <v>UK</v>
      </c>
      <c r="P79">
        <v>510</v>
      </c>
      <c r="S79">
        <v>11653</v>
      </c>
      <c r="T79" t="str">
        <v>Raclette Courdavault</v>
      </c>
      <c r="U79" t="str">
        <v>Dairy Products</v>
      </c>
      <c r="V79">
        <v>396</v>
      </c>
      <c r="W79" t="str">
        <v>FURIB</v>
      </c>
      <c r="X79" t="str">
        <v>Furia Bacalhau e Frutos do Mar</v>
      </c>
      <c r="Y79">
        <v>44298</v>
      </c>
      <c r="AG79" s="225"/>
    </row>
    <row r="80" spans="5:33" x14ac:dyDescent="0.2">
      <c r="E80" t="str">
        <v>Longlife Tofu</v>
      </c>
      <c r="J80">
        <v>10309</v>
      </c>
      <c r="K80" t="str">
        <v>Ireland</v>
      </c>
      <c r="L80">
        <v>51.6</v>
      </c>
      <c r="N80">
        <v>10768</v>
      </c>
      <c r="O80" t="str">
        <v>UK</v>
      </c>
      <c r="P80">
        <v>258</v>
      </c>
      <c r="S80">
        <v>11658</v>
      </c>
      <c r="T80" t="str">
        <v>Sir Rodney's Scones</v>
      </c>
      <c r="U80" t="str">
        <v>Confections</v>
      </c>
      <c r="V80">
        <v>72</v>
      </c>
      <c r="W80" t="str">
        <v>WARTH</v>
      </c>
      <c r="X80" t="str">
        <v>Wartian Herkku</v>
      </c>
      <c r="Y80">
        <v>44302</v>
      </c>
      <c r="AG80" s="225"/>
    </row>
    <row r="81" spans="5:33" x14ac:dyDescent="0.2">
      <c r="E81" t="str">
        <v>Manjimup Dried Apples</v>
      </c>
      <c r="J81">
        <v>10309</v>
      </c>
      <c r="K81" t="str">
        <v>Ireland</v>
      </c>
      <c r="L81">
        <v>22.4</v>
      </c>
      <c r="N81">
        <v>10768</v>
      </c>
      <c r="O81" t="str">
        <v>UK</v>
      </c>
      <c r="P81">
        <v>84</v>
      </c>
      <c r="S81">
        <v>11658</v>
      </c>
      <c r="T81" t="str">
        <v>Fløtemysost</v>
      </c>
      <c r="U81" t="str">
        <v>Dairy Products</v>
      </c>
      <c r="V81">
        <v>619.20000000000005</v>
      </c>
      <c r="W81" t="str">
        <v>WARTH</v>
      </c>
      <c r="X81" t="str">
        <v>Wartian Herkku</v>
      </c>
      <c r="Y81">
        <v>44302</v>
      </c>
      <c r="AG81" s="225"/>
    </row>
    <row r="82" spans="5:33" x14ac:dyDescent="0.2">
      <c r="E82" t="str">
        <v>Rössle Sauerkraut</v>
      </c>
      <c r="J82">
        <v>10311</v>
      </c>
      <c r="K82" t="str">
        <v>France</v>
      </c>
      <c r="L82">
        <v>201.6</v>
      </c>
      <c r="N82">
        <v>11207</v>
      </c>
      <c r="O82" t="str">
        <v>UK</v>
      </c>
      <c r="P82">
        <v>237.5</v>
      </c>
      <c r="S82">
        <v>11658</v>
      </c>
      <c r="T82" t="str">
        <v>Tofu</v>
      </c>
      <c r="U82" t="str">
        <v>Produce</v>
      </c>
      <c r="V82">
        <v>186</v>
      </c>
      <c r="W82" t="str">
        <v>WARTH</v>
      </c>
      <c r="X82" t="str">
        <v>Wartian Herkku</v>
      </c>
      <c r="Y82">
        <v>44302</v>
      </c>
      <c r="AG82" s="225"/>
    </row>
    <row r="83" spans="5:33" x14ac:dyDescent="0.2">
      <c r="E83" t="str">
        <v>Uncle Bob's Organic Dried Pears</v>
      </c>
      <c r="J83">
        <v>10311</v>
      </c>
      <c r="K83" t="str">
        <v>France</v>
      </c>
      <c r="L83">
        <v>67.2</v>
      </c>
      <c r="N83">
        <v>11207</v>
      </c>
      <c r="O83" t="str">
        <v>UK</v>
      </c>
      <c r="P83">
        <v>210</v>
      </c>
      <c r="S83">
        <v>11659</v>
      </c>
      <c r="T83" t="str">
        <v>Scottish Longbreads</v>
      </c>
      <c r="U83" t="str">
        <v>Confections</v>
      </c>
      <c r="V83">
        <v>100</v>
      </c>
      <c r="W83" t="str">
        <v>VICTE</v>
      </c>
      <c r="X83" t="str">
        <v>Victuailles en stock</v>
      </c>
      <c r="Y83">
        <v>44305</v>
      </c>
      <c r="AG83" s="225"/>
    </row>
    <row r="84" spans="5:33" x14ac:dyDescent="0.2">
      <c r="E84" t="str">
        <v>Uncle Bob's Organic Dried Pears</v>
      </c>
      <c r="J84">
        <v>10312</v>
      </c>
      <c r="K84" t="str">
        <v>Germany</v>
      </c>
      <c r="L84">
        <v>883.2</v>
      </c>
      <c r="N84">
        <v>11207</v>
      </c>
      <c r="O84" t="str">
        <v>UK</v>
      </c>
      <c r="P84">
        <v>1060</v>
      </c>
      <c r="S84">
        <v>11659</v>
      </c>
      <c r="T84" t="str">
        <v>Filo Mix</v>
      </c>
      <c r="U84" t="str">
        <v>Grains/Cereals</v>
      </c>
      <c r="V84">
        <v>44.8</v>
      </c>
      <c r="W84" t="str">
        <v>VICTE</v>
      </c>
      <c r="X84" t="str">
        <v>Victuailles en stock</v>
      </c>
      <c r="Y84">
        <v>44305</v>
      </c>
    </row>
    <row r="85" spans="5:33" x14ac:dyDescent="0.2">
      <c r="E85" t="str">
        <v>Uncle Bob's Organic Dried Pears</v>
      </c>
      <c r="J85">
        <v>10312</v>
      </c>
      <c r="K85" t="str">
        <v>Germany</v>
      </c>
      <c r="L85">
        <v>62</v>
      </c>
      <c r="N85">
        <v>10793</v>
      </c>
      <c r="O85" t="str">
        <v>UK</v>
      </c>
      <c r="P85">
        <v>56</v>
      </c>
      <c r="S85">
        <v>11660</v>
      </c>
      <c r="T85" t="str">
        <v>Chang</v>
      </c>
      <c r="U85" t="str">
        <v>Beverages</v>
      </c>
      <c r="V85">
        <v>85.12</v>
      </c>
      <c r="W85" t="str">
        <v>HUNGO</v>
      </c>
      <c r="X85" t="str">
        <v>Hungry Owl All-Night Grocers</v>
      </c>
      <c r="Y85">
        <v>44306</v>
      </c>
    </row>
    <row r="86" spans="5:33" x14ac:dyDescent="0.2">
      <c r="E86" t="str">
        <v>Manjimup Dried Apples</v>
      </c>
      <c r="J86">
        <v>10312</v>
      </c>
      <c r="K86" t="str">
        <v>Germany</v>
      </c>
      <c r="L86">
        <v>145.6</v>
      </c>
      <c r="N86">
        <v>10798</v>
      </c>
      <c r="O86" t="str">
        <v>UK</v>
      </c>
      <c r="P86">
        <v>98.6</v>
      </c>
      <c r="S86">
        <v>11660</v>
      </c>
      <c r="T86" t="str">
        <v>Gorgonzola Telino</v>
      </c>
      <c r="U86" t="str">
        <v>Dairy Products</v>
      </c>
      <c r="V86">
        <v>200</v>
      </c>
      <c r="W86" t="str">
        <v>HUNGO</v>
      </c>
      <c r="X86" t="str">
        <v>Hungry Owl All-Night Grocers</v>
      </c>
      <c r="Y86">
        <v>44306</v>
      </c>
    </row>
    <row r="87" spans="5:33" x14ac:dyDescent="0.2">
      <c r="E87" t="str">
        <v>Rössle Sauerkraut</v>
      </c>
      <c r="J87">
        <v>10315</v>
      </c>
      <c r="K87" t="str">
        <v>UK</v>
      </c>
      <c r="L87">
        <v>360</v>
      </c>
      <c r="N87">
        <v>10798</v>
      </c>
      <c r="O87" t="str">
        <v>UK</v>
      </c>
      <c r="P87">
        <v>348</v>
      </c>
      <c r="S87">
        <v>11660</v>
      </c>
      <c r="T87" t="str">
        <v>Mascarpone Fabioli</v>
      </c>
      <c r="U87" t="str">
        <v>Dairy Products</v>
      </c>
      <c r="V87">
        <v>122.88</v>
      </c>
      <c r="W87" t="str">
        <v>HUNGO</v>
      </c>
      <c r="X87" t="str">
        <v>Hungry Owl All-Night Grocers</v>
      </c>
      <c r="Y87">
        <v>44306</v>
      </c>
    </row>
    <row r="88" spans="5:33" x14ac:dyDescent="0.2">
      <c r="E88" t="str">
        <v>Uncle Bob's Organic Dried Pears</v>
      </c>
      <c r="J88">
        <v>10315</v>
      </c>
      <c r="K88" t="str">
        <v>UK</v>
      </c>
      <c r="L88">
        <v>156.80000000000001</v>
      </c>
      <c r="N88">
        <v>10800</v>
      </c>
      <c r="O88" t="str">
        <v>UK</v>
      </c>
      <c r="P88">
        <v>945</v>
      </c>
      <c r="S88">
        <v>11660</v>
      </c>
      <c r="T88" t="str">
        <v>Manjimup Dried Apples</v>
      </c>
      <c r="U88" t="str">
        <v>Produce</v>
      </c>
      <c r="V88">
        <v>1628.16</v>
      </c>
      <c r="W88" t="str">
        <v>HUNGO</v>
      </c>
      <c r="X88" t="str">
        <v>Hungry Owl All-Night Grocers</v>
      </c>
      <c r="Y88">
        <v>44306</v>
      </c>
    </row>
    <row r="89" spans="5:33" x14ac:dyDescent="0.2">
      <c r="E89" t="str">
        <v>Manjimup Dried Apples</v>
      </c>
      <c r="J89">
        <v>10318</v>
      </c>
      <c r="K89" t="str">
        <v>UK</v>
      </c>
      <c r="L89">
        <v>86.4</v>
      </c>
      <c r="N89">
        <v>10800</v>
      </c>
      <c r="O89" t="str">
        <v>UK</v>
      </c>
      <c r="P89">
        <v>477</v>
      </c>
      <c r="S89">
        <v>11661</v>
      </c>
      <c r="T89" t="str">
        <v>Chef Anton's Cajun Seasoning</v>
      </c>
      <c r="U89" t="str">
        <v>Condiments</v>
      </c>
      <c r="V89">
        <v>285.12</v>
      </c>
      <c r="W89" t="str">
        <v>PRINI</v>
      </c>
      <c r="X89" t="str">
        <v>Princesa Isabel Vinhos</v>
      </c>
      <c r="Y89">
        <v>44307</v>
      </c>
    </row>
    <row r="90" spans="5:33" x14ac:dyDescent="0.2">
      <c r="E90" t="str">
        <v>Rössle Sauerkraut</v>
      </c>
      <c r="J90">
        <v>10321</v>
      </c>
      <c r="K90" t="str">
        <v>UK</v>
      </c>
      <c r="L90">
        <v>144</v>
      </c>
      <c r="N90">
        <v>10804</v>
      </c>
      <c r="O90" t="str">
        <v>UK</v>
      </c>
      <c r="P90">
        <v>68</v>
      </c>
      <c r="S90">
        <v>11662</v>
      </c>
      <c r="T90" t="str">
        <v>Gumbär Gummibärchen</v>
      </c>
      <c r="U90" t="str">
        <v>Confections</v>
      </c>
      <c r="V90">
        <v>597.6</v>
      </c>
      <c r="W90" t="str">
        <v>FRANK</v>
      </c>
      <c r="X90" t="str">
        <v>Frankenversand</v>
      </c>
      <c r="Y90">
        <v>44308</v>
      </c>
    </row>
    <row r="91" spans="5:33" x14ac:dyDescent="0.2">
      <c r="E91" t="str">
        <v>Manjimup Dried Apples</v>
      </c>
      <c r="J91">
        <v>10320</v>
      </c>
      <c r="K91" t="str">
        <v>Finland</v>
      </c>
      <c r="L91">
        <v>516</v>
      </c>
      <c r="N91">
        <v>10804</v>
      </c>
      <c r="O91" t="str">
        <v>UK</v>
      </c>
      <c r="P91">
        <v>1094.4000000000001</v>
      </c>
      <c r="S91">
        <v>11662</v>
      </c>
      <c r="T91" t="str">
        <v>Mozzarella di Giovanni</v>
      </c>
      <c r="U91" t="str">
        <v>Dairy Products</v>
      </c>
      <c r="V91">
        <v>695</v>
      </c>
      <c r="W91" t="str">
        <v>FRANK</v>
      </c>
      <c r="X91" t="str">
        <v>Frankenversand</v>
      </c>
      <c r="Y91">
        <v>44308</v>
      </c>
    </row>
    <row r="92" spans="5:33" x14ac:dyDescent="0.2">
      <c r="E92" t="str">
        <v>Uncle Bob's Organic Dried Pears</v>
      </c>
      <c r="J92">
        <v>10323</v>
      </c>
      <c r="K92" t="str">
        <v>Germany</v>
      </c>
      <c r="L92">
        <v>57.6</v>
      </c>
      <c r="N92">
        <v>10829</v>
      </c>
      <c r="O92" t="str">
        <v>UK</v>
      </c>
      <c r="P92">
        <v>190</v>
      </c>
      <c r="S92">
        <v>11662</v>
      </c>
      <c r="T92" t="str">
        <v>Tunnbröd</v>
      </c>
      <c r="U92" t="str">
        <v>Grains/Cereals</v>
      </c>
      <c r="V92">
        <v>288</v>
      </c>
      <c r="W92" t="str">
        <v>FRANK</v>
      </c>
      <c r="X92" t="str">
        <v>Frankenversand</v>
      </c>
      <c r="Y92">
        <v>44308</v>
      </c>
    </row>
    <row r="93" spans="5:33" x14ac:dyDescent="0.2">
      <c r="E93" t="str">
        <v>Uncle Bob's Organic Dried Pears</v>
      </c>
      <c r="J93">
        <v>10323</v>
      </c>
      <c r="K93" t="str">
        <v>Germany</v>
      </c>
      <c r="L93">
        <v>62</v>
      </c>
      <c r="N93">
        <v>10829</v>
      </c>
      <c r="O93" t="str">
        <v>UK</v>
      </c>
      <c r="P93">
        <v>800</v>
      </c>
      <c r="S93">
        <v>11666</v>
      </c>
      <c r="T93" t="str">
        <v>Raclette Courdavault</v>
      </c>
      <c r="U93" t="str">
        <v>Dairy Products</v>
      </c>
      <c r="V93">
        <v>336.6</v>
      </c>
      <c r="W93" t="str">
        <v>SIMOB</v>
      </c>
      <c r="X93" t="str">
        <v>Simons bistro</v>
      </c>
      <c r="Y93">
        <v>44313</v>
      </c>
    </row>
    <row r="94" spans="5:33" x14ac:dyDescent="0.2">
      <c r="E94" t="str">
        <v>Manjimup Dried Apples</v>
      </c>
      <c r="J94">
        <v>10323</v>
      </c>
      <c r="K94" t="str">
        <v>Germany</v>
      </c>
      <c r="L94">
        <v>44.8</v>
      </c>
      <c r="N94">
        <v>10829</v>
      </c>
      <c r="O94" t="str">
        <v>UK</v>
      </c>
      <c r="P94">
        <v>714</v>
      </c>
      <c r="S94">
        <v>11666</v>
      </c>
      <c r="T94" t="str">
        <v>Geitost</v>
      </c>
      <c r="U94" t="str">
        <v>Dairy Products</v>
      </c>
      <c r="V94">
        <v>16</v>
      </c>
      <c r="W94" t="str">
        <v>SIMOB</v>
      </c>
      <c r="X94" t="str">
        <v>Simons bistro</v>
      </c>
      <c r="Y94">
        <v>44313</v>
      </c>
    </row>
    <row r="95" spans="5:33" x14ac:dyDescent="0.2">
      <c r="E95" t="str">
        <v>Manjimup Dried Apples</v>
      </c>
      <c r="J95">
        <v>10325</v>
      </c>
      <c r="K95" t="str">
        <v>Germany</v>
      </c>
      <c r="L95">
        <v>120</v>
      </c>
      <c r="N95">
        <v>10848</v>
      </c>
      <c r="O95" t="str">
        <v>UK</v>
      </c>
      <c r="P95">
        <v>640.5</v>
      </c>
      <c r="S95">
        <v>11665</v>
      </c>
      <c r="T95" t="str">
        <v>Ipoh Coffee</v>
      </c>
      <c r="U95" t="str">
        <v>Beverages</v>
      </c>
      <c r="V95">
        <v>1398.4</v>
      </c>
      <c r="W95" t="str">
        <v>BONAP</v>
      </c>
      <c r="X95" t="str">
        <v>Bon app'</v>
      </c>
      <c r="Y95">
        <v>44313</v>
      </c>
    </row>
    <row r="96" spans="5:33" x14ac:dyDescent="0.2">
      <c r="E96" t="str">
        <v>Uncle Bob's Organic Dried Pears</v>
      </c>
      <c r="J96">
        <v>10325</v>
      </c>
      <c r="K96" t="str">
        <v>Germany</v>
      </c>
      <c r="L96">
        <v>1112</v>
      </c>
      <c r="N96">
        <v>10864</v>
      </c>
      <c r="O96" t="str">
        <v>UK</v>
      </c>
      <c r="P96">
        <v>210</v>
      </c>
      <c r="S96">
        <v>11667</v>
      </c>
      <c r="T96" t="str">
        <v>Chang</v>
      </c>
      <c r="U96" t="str">
        <v>Beverages</v>
      </c>
      <c r="V96">
        <v>291.83999999999997</v>
      </c>
      <c r="W96" t="str">
        <v>FRANK</v>
      </c>
      <c r="X96" t="str">
        <v>Frankenversand</v>
      </c>
      <c r="Y96">
        <v>44314</v>
      </c>
    </row>
    <row r="97" spans="5:25" x14ac:dyDescent="0.2">
      <c r="E97" t="str">
        <v>Manjimup Dried Apples</v>
      </c>
      <c r="J97">
        <v>10325</v>
      </c>
      <c r="K97" t="str">
        <v>Germany</v>
      </c>
      <c r="L97">
        <v>40</v>
      </c>
      <c r="N97">
        <v>10864</v>
      </c>
      <c r="O97" t="str">
        <v>UK</v>
      </c>
      <c r="P97">
        <v>72</v>
      </c>
      <c r="S97">
        <v>11667</v>
      </c>
      <c r="T97" t="str">
        <v>Gorgonzola Telino</v>
      </c>
      <c r="U97" t="str">
        <v>Dairy Products</v>
      </c>
      <c r="V97">
        <v>448</v>
      </c>
      <c r="W97" t="str">
        <v>FRANK</v>
      </c>
      <c r="X97" t="str">
        <v>Frankenversand</v>
      </c>
      <c r="Y97">
        <v>44314</v>
      </c>
    </row>
    <row r="98" spans="5:25" x14ac:dyDescent="0.2">
      <c r="E98" t="str">
        <v>Longlife Tofu</v>
      </c>
      <c r="J98">
        <v>10325</v>
      </c>
      <c r="K98" t="str">
        <v>Germany</v>
      </c>
      <c r="L98">
        <v>167.4</v>
      </c>
      <c r="N98">
        <v>10869</v>
      </c>
      <c r="O98" t="str">
        <v>UK</v>
      </c>
      <c r="P98">
        <v>720</v>
      </c>
      <c r="S98">
        <v>11668</v>
      </c>
      <c r="T98" t="str">
        <v>Lakkalikööri</v>
      </c>
      <c r="U98" t="str">
        <v>Beverages</v>
      </c>
      <c r="V98">
        <v>216</v>
      </c>
      <c r="W98" t="str">
        <v>LEHMS</v>
      </c>
      <c r="X98" t="str">
        <v>Lehmanns Marktstand</v>
      </c>
      <c r="Y98">
        <v>44315</v>
      </c>
    </row>
    <row r="99" spans="5:25" x14ac:dyDescent="0.2">
      <c r="E99" t="str">
        <v>Uncle Bob's Organic Dried Pears</v>
      </c>
      <c r="J99">
        <v>10326</v>
      </c>
      <c r="K99" t="str">
        <v>Spain</v>
      </c>
      <c r="L99">
        <v>310</v>
      </c>
      <c r="N99">
        <v>10869</v>
      </c>
      <c r="O99" t="str">
        <v>UK</v>
      </c>
      <c r="P99">
        <v>250</v>
      </c>
      <c r="S99">
        <v>11668</v>
      </c>
      <c r="T99" t="str">
        <v>Scottish Longbreads</v>
      </c>
      <c r="U99" t="str">
        <v>Confections</v>
      </c>
      <c r="V99">
        <v>38</v>
      </c>
      <c r="W99" t="str">
        <v>LEHMS</v>
      </c>
      <c r="X99" t="str">
        <v>Lehmanns Marktstand</v>
      </c>
      <c r="Y99">
        <v>44315</v>
      </c>
    </row>
    <row r="100" spans="5:25" x14ac:dyDescent="0.2">
      <c r="E100" t="str">
        <v>Uncle Bob's Organic Dried Pears</v>
      </c>
      <c r="J100">
        <v>10326</v>
      </c>
      <c r="K100" t="str">
        <v>Spain</v>
      </c>
      <c r="L100">
        <v>422.4</v>
      </c>
      <c r="N100">
        <v>10869</v>
      </c>
      <c r="O100" t="str">
        <v>UK</v>
      </c>
      <c r="P100">
        <v>210</v>
      </c>
      <c r="S100">
        <v>11668</v>
      </c>
      <c r="T100" t="str">
        <v>Wimmers gute Semmelknödel</v>
      </c>
      <c r="U100" t="str">
        <v>Grains/Cereals</v>
      </c>
      <c r="V100">
        <v>1330</v>
      </c>
      <c r="W100" t="str">
        <v>LEHMS</v>
      </c>
      <c r="X100" t="str">
        <v>Lehmanns Marktstand</v>
      </c>
      <c r="Y100">
        <v>44315</v>
      </c>
    </row>
    <row r="101" spans="5:25" x14ac:dyDescent="0.2">
      <c r="E101" t="str">
        <v>Manjimup Dried Apples</v>
      </c>
      <c r="J101">
        <v>10326</v>
      </c>
      <c r="K101" t="str">
        <v>Spain</v>
      </c>
      <c r="L101">
        <v>249.6</v>
      </c>
      <c r="N101">
        <v>10869</v>
      </c>
      <c r="O101" t="str">
        <v>UK</v>
      </c>
      <c r="P101">
        <v>450</v>
      </c>
      <c r="S101">
        <v>11670</v>
      </c>
      <c r="T101" t="str">
        <v>Northwoods Cranberry Sauce</v>
      </c>
      <c r="U101" t="str">
        <v>Condiments</v>
      </c>
      <c r="V101">
        <v>2240</v>
      </c>
      <c r="W101" t="str">
        <v>QUICK</v>
      </c>
      <c r="X101" t="str">
        <v>QUICK-Stop</v>
      </c>
      <c r="Y101">
        <v>44319</v>
      </c>
    </row>
    <row r="102" spans="5:25" x14ac:dyDescent="0.2">
      <c r="E102" t="str">
        <v>Uncle Bob's Organic Dried Pears</v>
      </c>
      <c r="J102">
        <v>10327</v>
      </c>
      <c r="K102" t="str">
        <v>Sweden</v>
      </c>
      <c r="L102">
        <v>304</v>
      </c>
      <c r="N102">
        <v>10920</v>
      </c>
      <c r="O102" t="str">
        <v>UK</v>
      </c>
      <c r="P102">
        <v>390</v>
      </c>
      <c r="S102">
        <v>11670</v>
      </c>
      <c r="T102" t="str">
        <v>Teatime Chocolate Biscuits</v>
      </c>
      <c r="U102" t="str">
        <v>Confections</v>
      </c>
      <c r="V102">
        <v>584</v>
      </c>
      <c r="W102" t="str">
        <v>QUICK</v>
      </c>
      <c r="X102" t="str">
        <v>QUICK-Stop</v>
      </c>
      <c r="Y102">
        <v>44319</v>
      </c>
    </row>
    <row r="103" spans="5:25" x14ac:dyDescent="0.2">
      <c r="E103" t="str">
        <v>Manjimup Dried Apples</v>
      </c>
      <c r="J103">
        <v>10327</v>
      </c>
      <c r="K103" t="str">
        <v>Sweden</v>
      </c>
      <c r="L103">
        <v>672</v>
      </c>
      <c r="N103">
        <v>10933</v>
      </c>
      <c r="O103" t="str">
        <v>UK</v>
      </c>
      <c r="P103">
        <v>855</v>
      </c>
      <c r="S103">
        <v>11670</v>
      </c>
      <c r="T103" t="str">
        <v>Singaporean Hokkien Fried Mee</v>
      </c>
      <c r="U103" t="str">
        <v>Grains/Cereals</v>
      </c>
      <c r="V103">
        <v>100.8</v>
      </c>
      <c r="W103" t="str">
        <v>QUICK</v>
      </c>
      <c r="X103" t="str">
        <v>QUICK-Stop</v>
      </c>
      <c r="Y103">
        <v>44319</v>
      </c>
    </row>
    <row r="104" spans="5:25" x14ac:dyDescent="0.2">
      <c r="E104" t="str">
        <v>Uncle Bob's Organic Dried Pears</v>
      </c>
      <c r="J104">
        <v>10328</v>
      </c>
      <c r="K104" t="str">
        <v>Portugal</v>
      </c>
      <c r="L104">
        <v>672</v>
      </c>
      <c r="N104">
        <v>10943</v>
      </c>
      <c r="O104" t="str">
        <v>UK</v>
      </c>
      <c r="P104">
        <v>441</v>
      </c>
      <c r="S104">
        <v>11673</v>
      </c>
      <c r="T104" t="str">
        <v>Chai</v>
      </c>
      <c r="U104" t="str">
        <v>Beverages</v>
      </c>
      <c r="V104">
        <v>183.6</v>
      </c>
      <c r="W104" t="str">
        <v>WANDK</v>
      </c>
      <c r="X104" t="str">
        <v>Die Wandernde Kuh</v>
      </c>
      <c r="Y104">
        <v>44322</v>
      </c>
    </row>
    <row r="105" spans="5:25" x14ac:dyDescent="0.2">
      <c r="E105" t="str">
        <v>Manjimup Dried Apples</v>
      </c>
      <c r="J105">
        <v>10328</v>
      </c>
      <c r="K105" t="str">
        <v>Portugal</v>
      </c>
      <c r="L105">
        <v>100</v>
      </c>
      <c r="N105">
        <v>10947</v>
      </c>
      <c r="O105" t="str">
        <v>UK</v>
      </c>
      <c r="P105">
        <v>220</v>
      </c>
      <c r="S105">
        <v>11673</v>
      </c>
      <c r="T105" t="str">
        <v>Tunnbröd</v>
      </c>
      <c r="U105" t="str">
        <v>Grains/Cereals</v>
      </c>
      <c r="V105">
        <v>180</v>
      </c>
      <c r="W105" t="str">
        <v>WANDK</v>
      </c>
      <c r="X105" t="str">
        <v>Die Wandernde Kuh</v>
      </c>
      <c r="Y105">
        <v>44322</v>
      </c>
    </row>
    <row r="106" spans="5:25" x14ac:dyDescent="0.2">
      <c r="E106" t="str">
        <v>Rössle Sauerkraut</v>
      </c>
      <c r="J106">
        <v>10328</v>
      </c>
      <c r="K106" t="str">
        <v>Portugal</v>
      </c>
      <c r="L106">
        <v>396</v>
      </c>
      <c r="N106">
        <v>10953</v>
      </c>
      <c r="O106" t="str">
        <v>UK</v>
      </c>
      <c r="P106">
        <v>3847.5</v>
      </c>
      <c r="S106">
        <v>11676</v>
      </c>
      <c r="T106" t="str">
        <v>Côte de Blaye</v>
      </c>
      <c r="U106" t="str">
        <v>Beverages</v>
      </c>
      <c r="V106">
        <v>4005.2</v>
      </c>
      <c r="W106" t="str">
        <v>ERNSH</v>
      </c>
      <c r="X106" t="str">
        <v>Ernst Handel</v>
      </c>
      <c r="Y106">
        <v>44326</v>
      </c>
    </row>
    <row r="107" spans="5:25" x14ac:dyDescent="0.2">
      <c r="E107" t="str">
        <v>Tofu</v>
      </c>
      <c r="J107">
        <v>10333</v>
      </c>
      <c r="K107" t="str">
        <v>Finland</v>
      </c>
      <c r="L107">
        <v>72</v>
      </c>
      <c r="N107">
        <v>10953</v>
      </c>
      <c r="O107" t="str">
        <v>UK</v>
      </c>
      <c r="P107">
        <v>593.75</v>
      </c>
      <c r="S107">
        <v>11676</v>
      </c>
      <c r="T107" t="str">
        <v>Gula Malacca</v>
      </c>
      <c r="U107" t="str">
        <v>Condiments</v>
      </c>
      <c r="V107">
        <v>1133.82</v>
      </c>
      <c r="W107" t="str">
        <v>ERNSH</v>
      </c>
      <c r="X107" t="str">
        <v>Ernst Handel</v>
      </c>
      <c r="Y107">
        <v>44326</v>
      </c>
    </row>
    <row r="108" spans="5:25" x14ac:dyDescent="0.2">
      <c r="E108" t="str">
        <v>Uncle Bob's Organic Dried Pears</v>
      </c>
      <c r="J108">
        <v>10333</v>
      </c>
      <c r="K108" t="str">
        <v>Finland</v>
      </c>
      <c r="L108">
        <v>619.20000000000005</v>
      </c>
      <c r="N108">
        <v>10987</v>
      </c>
      <c r="O108" t="str">
        <v>UK</v>
      </c>
      <c r="P108">
        <v>276</v>
      </c>
      <c r="S108">
        <v>11676</v>
      </c>
      <c r="T108" t="str">
        <v>Louisiana Fiery Hot Pepper Sauce</v>
      </c>
      <c r="U108" t="str">
        <v>Condiments</v>
      </c>
      <c r="V108">
        <v>159.6</v>
      </c>
      <c r="W108" t="str">
        <v>ERNSH</v>
      </c>
      <c r="X108" t="str">
        <v>Ernst Handel</v>
      </c>
      <c r="Y108">
        <v>44326</v>
      </c>
    </row>
    <row r="109" spans="5:25" x14ac:dyDescent="0.2">
      <c r="E109" t="str">
        <v>Tofu</v>
      </c>
      <c r="J109">
        <v>10333</v>
      </c>
      <c r="K109" t="str">
        <v>Finland</v>
      </c>
      <c r="L109">
        <v>186</v>
      </c>
      <c r="N109">
        <v>10987</v>
      </c>
      <c r="O109" t="str">
        <v>UK</v>
      </c>
      <c r="P109">
        <v>696</v>
      </c>
      <c r="S109">
        <v>11675</v>
      </c>
      <c r="T109" t="str">
        <v>Valkoinen suklaa</v>
      </c>
      <c r="U109" t="str">
        <v>Confections</v>
      </c>
      <c r="V109">
        <v>175.5</v>
      </c>
      <c r="W109" t="str">
        <v>LAMAI</v>
      </c>
      <c r="X109" t="str">
        <v>La maison d'Asie</v>
      </c>
      <c r="Y109">
        <v>44326</v>
      </c>
    </row>
    <row r="110" spans="5:25" x14ac:dyDescent="0.2">
      <c r="E110" t="str">
        <v>Tofu</v>
      </c>
      <c r="J110">
        <v>10334</v>
      </c>
      <c r="K110" t="str">
        <v>France</v>
      </c>
      <c r="L110">
        <v>100</v>
      </c>
      <c r="N110">
        <v>10987</v>
      </c>
      <c r="O110" t="str">
        <v>UK</v>
      </c>
      <c r="P110">
        <v>1800</v>
      </c>
      <c r="S110">
        <v>11675</v>
      </c>
      <c r="T110" t="str">
        <v>Gudbrandsdalsost</v>
      </c>
      <c r="U110" t="str">
        <v>Dairy Products</v>
      </c>
      <c r="V110">
        <v>466.56</v>
      </c>
      <c r="W110" t="str">
        <v>LAMAI</v>
      </c>
      <c r="X110" t="str">
        <v>La maison d'Asie</v>
      </c>
      <c r="Y110">
        <v>44326</v>
      </c>
    </row>
    <row r="111" spans="5:25" x14ac:dyDescent="0.2">
      <c r="E111" t="str">
        <v>Manjimup Dried Apples</v>
      </c>
      <c r="J111">
        <v>10334</v>
      </c>
      <c r="K111" t="str">
        <v>France</v>
      </c>
      <c r="L111">
        <v>44.8</v>
      </c>
      <c r="N111">
        <v>11016</v>
      </c>
      <c r="O111" t="str">
        <v>UK</v>
      </c>
      <c r="P111">
        <v>187.5</v>
      </c>
      <c r="S111">
        <v>11677</v>
      </c>
      <c r="T111" t="str">
        <v>Guaraná Fantástica</v>
      </c>
      <c r="U111" t="str">
        <v>Beverages</v>
      </c>
      <c r="V111">
        <v>36</v>
      </c>
      <c r="W111" t="str">
        <v>FURIB</v>
      </c>
      <c r="X111" t="str">
        <v>Furia Bacalhau e Frutos do Mar</v>
      </c>
      <c r="Y111">
        <v>44327</v>
      </c>
    </row>
    <row r="112" spans="5:25" x14ac:dyDescent="0.2">
      <c r="E112" t="str">
        <v>Rössle Sauerkraut</v>
      </c>
      <c r="J112">
        <v>10335</v>
      </c>
      <c r="K112" t="str">
        <v>Ireland</v>
      </c>
      <c r="L112">
        <v>85.12</v>
      </c>
      <c r="N112">
        <v>11023</v>
      </c>
      <c r="O112" t="str">
        <v>UK</v>
      </c>
      <c r="P112">
        <v>1380</v>
      </c>
      <c r="S112">
        <v>11678</v>
      </c>
      <c r="T112" t="str">
        <v>Côte de Blaye</v>
      </c>
      <c r="U112" t="str">
        <v>Beverages</v>
      </c>
      <c r="V112">
        <v>8432</v>
      </c>
      <c r="W112" t="str">
        <v>PICCO</v>
      </c>
      <c r="X112" t="str">
        <v>Piccolo und mehr</v>
      </c>
      <c r="Y112">
        <v>44328</v>
      </c>
    </row>
    <row r="113" spans="5:25" x14ac:dyDescent="0.2">
      <c r="E113" t="str">
        <v>Manjimup Dried Apples</v>
      </c>
      <c r="J113">
        <v>10335</v>
      </c>
      <c r="K113" t="str">
        <v>Ireland</v>
      </c>
      <c r="L113">
        <v>200</v>
      </c>
      <c r="N113">
        <v>11023</v>
      </c>
      <c r="O113" t="str">
        <v>UK</v>
      </c>
      <c r="P113">
        <v>120</v>
      </c>
      <c r="S113">
        <v>11678</v>
      </c>
      <c r="T113" t="str">
        <v>Queso Cabrales</v>
      </c>
      <c r="U113" t="str">
        <v>Dairy Products</v>
      </c>
      <c r="V113">
        <v>161.28</v>
      </c>
      <c r="W113" t="str">
        <v>PICCO</v>
      </c>
      <c r="X113" t="str">
        <v>Piccolo und mehr</v>
      </c>
      <c r="Y113">
        <v>44328</v>
      </c>
    </row>
    <row r="114" spans="5:25" x14ac:dyDescent="0.2">
      <c r="E114" t="str">
        <v>Rössle Sauerkraut</v>
      </c>
      <c r="J114">
        <v>10335</v>
      </c>
      <c r="K114" t="str">
        <v>Ireland</v>
      </c>
      <c r="L114">
        <v>122.88</v>
      </c>
      <c r="N114">
        <v>11024</v>
      </c>
      <c r="O114" t="str">
        <v>UK</v>
      </c>
      <c r="P114">
        <v>442.05</v>
      </c>
      <c r="S114">
        <v>11680</v>
      </c>
      <c r="T114" t="str">
        <v>Guaraná Fantástica</v>
      </c>
      <c r="U114" t="str">
        <v>Beverages</v>
      </c>
      <c r="V114">
        <v>90</v>
      </c>
      <c r="W114" t="str">
        <v>AROUT</v>
      </c>
      <c r="X114" t="str">
        <v>Around the Horn</v>
      </c>
      <c r="Y114">
        <v>44330</v>
      </c>
    </row>
    <row r="115" spans="5:25" x14ac:dyDescent="0.2">
      <c r="E115" t="str">
        <v>Longlife Tofu</v>
      </c>
      <c r="J115">
        <v>10335</v>
      </c>
      <c r="K115" t="str">
        <v>Ireland</v>
      </c>
      <c r="L115">
        <v>1628.16</v>
      </c>
      <c r="N115">
        <v>11024</v>
      </c>
      <c r="O115" t="str">
        <v>UK</v>
      </c>
      <c r="P115">
        <v>374.76</v>
      </c>
      <c r="S115">
        <v>11680</v>
      </c>
      <c r="T115" t="str">
        <v>Ravioli Angelo</v>
      </c>
      <c r="U115" t="str">
        <v>Grains/Cereals</v>
      </c>
      <c r="V115">
        <v>390</v>
      </c>
      <c r="W115" t="str">
        <v>AROUT</v>
      </c>
      <c r="X115" t="str">
        <v>Around the Horn</v>
      </c>
      <c r="Y115">
        <v>44330</v>
      </c>
    </row>
    <row r="116" spans="5:25" x14ac:dyDescent="0.2">
      <c r="E116" t="str">
        <v>Rössle Sauerkraut</v>
      </c>
      <c r="J116">
        <v>10336</v>
      </c>
      <c r="K116" t="str">
        <v>Portugal</v>
      </c>
      <c r="L116">
        <v>285.12</v>
      </c>
      <c r="N116">
        <v>11024</v>
      </c>
      <c r="O116" t="str">
        <v>UK</v>
      </c>
      <c r="P116">
        <v>1075</v>
      </c>
      <c r="S116">
        <v>11681</v>
      </c>
      <c r="T116" t="str">
        <v>Gudbrandsdalsost</v>
      </c>
      <c r="U116" t="str">
        <v>Dairy Products</v>
      </c>
      <c r="V116">
        <v>576</v>
      </c>
      <c r="W116" t="str">
        <v>WANDK</v>
      </c>
      <c r="X116" t="str">
        <v>Die Wandernde Kuh</v>
      </c>
      <c r="Y116">
        <v>44333</v>
      </c>
    </row>
    <row r="117" spans="5:25" x14ac:dyDescent="0.2">
      <c r="E117" t="str">
        <v>Longlife Tofu</v>
      </c>
      <c r="J117">
        <v>10337</v>
      </c>
      <c r="K117" t="str">
        <v>Germany</v>
      </c>
      <c r="L117">
        <v>597.6</v>
      </c>
      <c r="N117">
        <v>11024</v>
      </c>
      <c r="O117" t="str">
        <v>UK</v>
      </c>
      <c r="P117">
        <v>75</v>
      </c>
      <c r="S117">
        <v>11681</v>
      </c>
      <c r="T117" t="str">
        <v>Gorgonzola Telino</v>
      </c>
      <c r="U117" t="str">
        <v>Dairy Products</v>
      </c>
      <c r="V117">
        <v>300</v>
      </c>
      <c r="W117" t="str">
        <v>WANDK</v>
      </c>
      <c r="X117" t="str">
        <v>Die Wandernde Kuh</v>
      </c>
      <c r="Y117">
        <v>44333</v>
      </c>
    </row>
    <row r="118" spans="5:25" x14ac:dyDescent="0.2">
      <c r="E118" t="str">
        <v>Rössle Sauerkraut</v>
      </c>
      <c r="J118">
        <v>10337</v>
      </c>
      <c r="K118" t="str">
        <v>Germany</v>
      </c>
      <c r="L118">
        <v>695</v>
      </c>
      <c r="N118">
        <v>11047</v>
      </c>
      <c r="O118" t="str">
        <v>UK</v>
      </c>
      <c r="P118">
        <v>337.5</v>
      </c>
      <c r="S118">
        <v>11683</v>
      </c>
      <c r="T118" t="str">
        <v>Sasquatch Ale</v>
      </c>
      <c r="U118" t="str">
        <v>Beverages</v>
      </c>
      <c r="V118">
        <v>106.4</v>
      </c>
      <c r="W118" t="str">
        <v>LAMAI</v>
      </c>
      <c r="X118" t="str">
        <v>La maison d'Asie</v>
      </c>
      <c r="Y118">
        <v>44335</v>
      </c>
    </row>
    <row r="119" spans="5:25" x14ac:dyDescent="0.2">
      <c r="E119" t="str">
        <v>Manjimup Dried Apples</v>
      </c>
      <c r="J119">
        <v>10337</v>
      </c>
      <c r="K119" t="str">
        <v>Germany</v>
      </c>
      <c r="L119">
        <v>288</v>
      </c>
      <c r="N119">
        <v>11047</v>
      </c>
      <c r="O119" t="str">
        <v>UK</v>
      </c>
      <c r="P119">
        <v>480.38</v>
      </c>
      <c r="S119">
        <v>11683</v>
      </c>
      <c r="T119" t="str">
        <v>Guaraná Fantástica</v>
      </c>
      <c r="U119" t="str">
        <v>Beverages</v>
      </c>
      <c r="V119">
        <v>34.200000000000003</v>
      </c>
      <c r="W119" t="str">
        <v>LAMAI</v>
      </c>
      <c r="X119" t="str">
        <v>La maison d'Asie</v>
      </c>
      <c r="Y119">
        <v>44335</v>
      </c>
    </row>
    <row r="120" spans="5:25" x14ac:dyDescent="0.2">
      <c r="J120">
        <v>10341</v>
      </c>
      <c r="K120" t="str">
        <v>Denmark</v>
      </c>
      <c r="L120">
        <v>336.6</v>
      </c>
      <c r="N120">
        <v>11056</v>
      </c>
      <c r="O120" t="str">
        <v>UK</v>
      </c>
      <c r="P120">
        <v>1700</v>
      </c>
      <c r="S120">
        <v>11684</v>
      </c>
      <c r="T120" t="str">
        <v>Pavlova</v>
      </c>
      <c r="U120" t="str">
        <v>Confections</v>
      </c>
      <c r="V120">
        <v>739.48</v>
      </c>
      <c r="W120" t="str">
        <v>SEVES</v>
      </c>
      <c r="X120" t="str">
        <v>Seven Seas Imports</v>
      </c>
      <c r="Y120">
        <v>44336</v>
      </c>
    </row>
    <row r="121" spans="5:25" x14ac:dyDescent="0.2">
      <c r="J121">
        <v>10341</v>
      </c>
      <c r="K121" t="str">
        <v>Denmark</v>
      </c>
      <c r="L121">
        <v>16</v>
      </c>
      <c r="N121">
        <v>11056</v>
      </c>
      <c r="O121" t="str">
        <v>UK</v>
      </c>
      <c r="P121">
        <v>1200</v>
      </c>
      <c r="S121">
        <v>11684</v>
      </c>
      <c r="T121" t="str">
        <v>Camembert Pierrot</v>
      </c>
      <c r="U121" t="str">
        <v>Dairy Products</v>
      </c>
      <c r="V121">
        <v>2067.1999999999998</v>
      </c>
      <c r="W121" t="str">
        <v>SEVES</v>
      </c>
      <c r="X121" t="str">
        <v>Seven Seas Imports</v>
      </c>
      <c r="Y121">
        <v>44336</v>
      </c>
    </row>
    <row r="122" spans="5:25" x14ac:dyDescent="0.2">
      <c r="J122">
        <v>10340</v>
      </c>
      <c r="K122" t="str">
        <v>France</v>
      </c>
      <c r="L122">
        <v>1398.4</v>
      </c>
      <c r="N122">
        <v>11057</v>
      </c>
      <c r="O122" t="str">
        <v>UK</v>
      </c>
      <c r="P122">
        <v>45</v>
      </c>
      <c r="S122">
        <v>11684</v>
      </c>
      <c r="T122" t="str">
        <v>Gorgonzola Telino</v>
      </c>
      <c r="U122" t="str">
        <v>Dairy Products</v>
      </c>
      <c r="V122">
        <v>665</v>
      </c>
      <c r="W122" t="str">
        <v>SEVES</v>
      </c>
      <c r="X122" t="str">
        <v>Seven Seas Imports</v>
      </c>
      <c r="Y122">
        <v>44336</v>
      </c>
    </row>
    <row r="123" spans="5:25" x14ac:dyDescent="0.2">
      <c r="J123">
        <v>10342</v>
      </c>
      <c r="K123" t="str">
        <v>Germany</v>
      </c>
      <c r="L123">
        <v>291.83999999999997</v>
      </c>
      <c r="N123">
        <v>11280</v>
      </c>
      <c r="O123" t="str">
        <v>UK</v>
      </c>
      <c r="P123">
        <v>357</v>
      </c>
      <c r="S123">
        <v>11685</v>
      </c>
      <c r="T123" t="str">
        <v>Côte de Blaye</v>
      </c>
      <c r="U123" t="str">
        <v>Beverages</v>
      </c>
      <c r="V123">
        <v>2108</v>
      </c>
      <c r="W123" t="str">
        <v>BLONP</v>
      </c>
      <c r="X123" t="str">
        <v>Blondel père et fils</v>
      </c>
      <c r="Y123">
        <v>44337</v>
      </c>
    </row>
    <row r="124" spans="5:25" x14ac:dyDescent="0.2">
      <c r="J124">
        <v>10342</v>
      </c>
      <c r="K124" t="str">
        <v>Germany</v>
      </c>
      <c r="L124">
        <v>448</v>
      </c>
      <c r="N124">
        <v>11280</v>
      </c>
      <c r="O124" t="str">
        <v>UK</v>
      </c>
      <c r="P124">
        <v>780</v>
      </c>
      <c r="S124">
        <v>11685</v>
      </c>
      <c r="T124" t="str">
        <v>Maxilaku</v>
      </c>
      <c r="U124" t="str">
        <v>Confections</v>
      </c>
      <c r="V124">
        <v>560</v>
      </c>
      <c r="W124" t="str">
        <v>BLONP</v>
      </c>
      <c r="X124" t="str">
        <v>Blondel père et fils</v>
      </c>
      <c r="Y124">
        <v>44337</v>
      </c>
    </row>
    <row r="125" spans="5:25" x14ac:dyDescent="0.2">
      <c r="J125">
        <v>10343</v>
      </c>
      <c r="K125" t="str">
        <v>Germany</v>
      </c>
      <c r="L125">
        <v>216</v>
      </c>
      <c r="N125">
        <v>11305</v>
      </c>
      <c r="O125" t="str">
        <v>UK</v>
      </c>
      <c r="P125">
        <v>228</v>
      </c>
      <c r="S125">
        <v>11685</v>
      </c>
      <c r="T125" t="str">
        <v>Rössle Sauerkraut</v>
      </c>
      <c r="U125" t="str">
        <v>Produce</v>
      </c>
      <c r="V125">
        <v>1092</v>
      </c>
      <c r="W125" t="str">
        <v>BLONP</v>
      </c>
      <c r="X125" t="str">
        <v>Blondel père et fils</v>
      </c>
      <c r="Y125">
        <v>44337</v>
      </c>
    </row>
    <row r="126" spans="5:25" x14ac:dyDescent="0.2">
      <c r="J126">
        <v>10343</v>
      </c>
      <c r="K126" t="str">
        <v>Germany</v>
      </c>
      <c r="L126">
        <v>38</v>
      </c>
      <c r="N126">
        <v>11321</v>
      </c>
      <c r="O126" t="str">
        <v>UK</v>
      </c>
      <c r="P126">
        <v>625</v>
      </c>
      <c r="S126">
        <v>11686</v>
      </c>
      <c r="T126" t="str">
        <v>Chartreuse verte</v>
      </c>
      <c r="U126" t="str">
        <v>Beverages</v>
      </c>
      <c r="V126">
        <v>699.84</v>
      </c>
      <c r="W126" t="str">
        <v>QUICK</v>
      </c>
      <c r="X126" t="str">
        <v>QUICK-Stop</v>
      </c>
      <c r="Y126">
        <v>44337</v>
      </c>
    </row>
    <row r="127" spans="5:25" x14ac:dyDescent="0.2">
      <c r="J127">
        <v>10343</v>
      </c>
      <c r="K127" t="str">
        <v>Germany</v>
      </c>
      <c r="L127">
        <v>1330</v>
      </c>
      <c r="N127">
        <v>11321</v>
      </c>
      <c r="O127" t="str">
        <v>UK</v>
      </c>
      <c r="P127">
        <v>510</v>
      </c>
      <c r="S127">
        <v>11686</v>
      </c>
      <c r="T127" t="str">
        <v>Camembert Pierrot</v>
      </c>
      <c r="U127" t="str">
        <v>Dairy Products</v>
      </c>
      <c r="V127">
        <v>1346.4</v>
      </c>
      <c r="W127" t="str">
        <v>QUICK</v>
      </c>
      <c r="X127" t="str">
        <v>QUICK-Stop</v>
      </c>
      <c r="Y127">
        <v>44337</v>
      </c>
    </row>
    <row r="128" spans="5:25" x14ac:dyDescent="0.2">
      <c r="J128">
        <v>10345</v>
      </c>
      <c r="K128" t="str">
        <v>Germany</v>
      </c>
      <c r="L128">
        <v>2240</v>
      </c>
      <c r="N128">
        <v>11321</v>
      </c>
      <c r="O128" t="str">
        <v>UK</v>
      </c>
      <c r="P128">
        <v>258</v>
      </c>
      <c r="S128">
        <v>11687</v>
      </c>
      <c r="T128" t="str">
        <v>NuNuCa Nuß-Nougat-Creme</v>
      </c>
      <c r="U128" t="str">
        <v>Confections</v>
      </c>
      <c r="V128">
        <v>560</v>
      </c>
      <c r="W128" t="str">
        <v>BONAP</v>
      </c>
      <c r="X128" t="str">
        <v>Bon app'</v>
      </c>
      <c r="Y128">
        <v>44340</v>
      </c>
    </row>
    <row r="129" spans="10:25" x14ac:dyDescent="0.2">
      <c r="J129">
        <v>10345</v>
      </c>
      <c r="K129" t="str">
        <v>Germany</v>
      </c>
      <c r="L129">
        <v>584</v>
      </c>
      <c r="N129">
        <v>11321</v>
      </c>
      <c r="O129" t="str">
        <v>UK</v>
      </c>
      <c r="P129">
        <v>84</v>
      </c>
      <c r="S129">
        <v>11687</v>
      </c>
      <c r="T129" t="str">
        <v>Manjimup Dried Apples</v>
      </c>
      <c r="U129" t="str">
        <v>Produce</v>
      </c>
      <c r="V129">
        <v>848</v>
      </c>
      <c r="W129" t="str">
        <v>BONAP</v>
      </c>
      <c r="X129" t="str">
        <v>Bon app'</v>
      </c>
      <c r="Y129">
        <v>44340</v>
      </c>
    </row>
    <row r="130" spans="10:25" x14ac:dyDescent="0.2">
      <c r="J130">
        <v>10345</v>
      </c>
      <c r="K130" t="str">
        <v>Germany</v>
      </c>
      <c r="L130">
        <v>100.8</v>
      </c>
      <c r="N130">
        <v>11368</v>
      </c>
      <c r="O130" t="str">
        <v>UK</v>
      </c>
      <c r="P130">
        <v>210</v>
      </c>
      <c r="S130">
        <v>11688</v>
      </c>
      <c r="T130" t="str">
        <v>Lakkalikööri</v>
      </c>
      <c r="U130" t="str">
        <v>Beverages</v>
      </c>
      <c r="V130">
        <v>172.8</v>
      </c>
      <c r="W130" t="str">
        <v>DRACD</v>
      </c>
      <c r="X130" t="str">
        <v>Drachenblut Delikatessen</v>
      </c>
      <c r="Y130">
        <v>44341</v>
      </c>
    </row>
    <row r="131" spans="10:25" x14ac:dyDescent="0.2">
      <c r="J131">
        <v>10348</v>
      </c>
      <c r="K131" t="str">
        <v>Germany</v>
      </c>
      <c r="L131">
        <v>183.6</v>
      </c>
      <c r="N131">
        <v>11368</v>
      </c>
      <c r="O131" t="str">
        <v>UK</v>
      </c>
      <c r="P131">
        <v>72</v>
      </c>
      <c r="S131">
        <v>11688</v>
      </c>
      <c r="T131" t="str">
        <v>Rhönbräu Klosterbier</v>
      </c>
      <c r="U131" t="str">
        <v>Beverages</v>
      </c>
      <c r="V131">
        <v>74.400000000000006</v>
      </c>
      <c r="W131" t="str">
        <v>DRACD</v>
      </c>
      <c r="X131" t="str">
        <v>Drachenblut Delikatessen</v>
      </c>
      <c r="Y131">
        <v>44341</v>
      </c>
    </row>
    <row r="132" spans="10:25" x14ac:dyDescent="0.2">
      <c r="J132">
        <v>10348</v>
      </c>
      <c r="K132" t="str">
        <v>Germany</v>
      </c>
      <c r="L132">
        <v>180</v>
      </c>
      <c r="N132">
        <v>11388</v>
      </c>
      <c r="O132" t="str">
        <v>UK</v>
      </c>
      <c r="P132">
        <v>390</v>
      </c>
      <c r="S132">
        <v>11688</v>
      </c>
      <c r="T132" t="str">
        <v>Gorgonzola Telino</v>
      </c>
      <c r="U132" t="str">
        <v>Dairy Products</v>
      </c>
      <c r="V132">
        <v>200</v>
      </c>
      <c r="W132" t="str">
        <v>DRACD</v>
      </c>
      <c r="X132" t="str">
        <v>Drachenblut Delikatessen</v>
      </c>
      <c r="Y132">
        <v>44341</v>
      </c>
    </row>
    <row r="133" spans="10:25" x14ac:dyDescent="0.2">
      <c r="J133">
        <v>10351</v>
      </c>
      <c r="K133" t="str">
        <v>Austria</v>
      </c>
      <c r="L133">
        <v>4005.2</v>
      </c>
      <c r="N133">
        <v>11427</v>
      </c>
      <c r="O133" t="str">
        <v>UK</v>
      </c>
      <c r="P133">
        <v>187.5</v>
      </c>
      <c r="S133">
        <v>11689</v>
      </c>
      <c r="T133" t="str">
        <v>Gudbrandsdalsost</v>
      </c>
      <c r="U133" t="str">
        <v>Dairy Products</v>
      </c>
      <c r="V133">
        <v>864</v>
      </c>
      <c r="W133" t="str">
        <v>EASTC</v>
      </c>
      <c r="X133" t="str">
        <v>Eastern Connection</v>
      </c>
      <c r="Y133">
        <v>44341</v>
      </c>
    </row>
    <row r="134" spans="10:25" x14ac:dyDescent="0.2">
      <c r="J134">
        <v>10351</v>
      </c>
      <c r="K134" t="str">
        <v>Austria</v>
      </c>
      <c r="L134">
        <v>1133.82</v>
      </c>
      <c r="N134">
        <v>11415</v>
      </c>
      <c r="O134" t="str">
        <v>UK</v>
      </c>
      <c r="P134">
        <v>3847.5</v>
      </c>
      <c r="S134">
        <v>11689</v>
      </c>
      <c r="T134" t="str">
        <v>Fløtemysost</v>
      </c>
      <c r="U134" t="str">
        <v>Dairy Products</v>
      </c>
      <c r="V134">
        <v>86</v>
      </c>
      <c r="W134" t="str">
        <v>EASTC</v>
      </c>
      <c r="X134" t="str">
        <v>Eastern Connection</v>
      </c>
      <c r="Y134">
        <v>44341</v>
      </c>
    </row>
    <row r="135" spans="10:25" x14ac:dyDescent="0.2">
      <c r="J135">
        <v>10351</v>
      </c>
      <c r="K135" t="str">
        <v>Austria</v>
      </c>
      <c r="L135">
        <v>159.6</v>
      </c>
      <c r="N135">
        <v>11415</v>
      </c>
      <c r="O135" t="str">
        <v>UK</v>
      </c>
      <c r="P135">
        <v>593.75</v>
      </c>
      <c r="S135">
        <v>11692</v>
      </c>
      <c r="T135" t="str">
        <v>Sasquatch Ale</v>
      </c>
      <c r="U135" t="str">
        <v>Beverages</v>
      </c>
      <c r="V135">
        <v>403.2</v>
      </c>
      <c r="W135" t="str">
        <v>VAFFE</v>
      </c>
      <c r="X135" t="str">
        <v>Vaffeljernet</v>
      </c>
      <c r="Y135">
        <v>44343</v>
      </c>
    </row>
    <row r="136" spans="10:25" x14ac:dyDescent="0.2">
      <c r="J136">
        <v>10350</v>
      </c>
      <c r="K136" t="str">
        <v>France</v>
      </c>
      <c r="L136">
        <v>175.5</v>
      </c>
      <c r="N136">
        <v>11646</v>
      </c>
      <c r="O136" t="str">
        <v>UK</v>
      </c>
      <c r="P136">
        <v>144</v>
      </c>
      <c r="S136">
        <v>11692</v>
      </c>
      <c r="T136" t="str">
        <v>Louisiana Fiery Hot Pepper Sauce</v>
      </c>
      <c r="U136" t="str">
        <v>Condiments</v>
      </c>
      <c r="V136">
        <v>252</v>
      </c>
      <c r="W136" t="str">
        <v>VAFFE</v>
      </c>
      <c r="X136" t="str">
        <v>Vaffeljernet</v>
      </c>
      <c r="Y136">
        <v>44343</v>
      </c>
    </row>
    <row r="137" spans="10:25" x14ac:dyDescent="0.2">
      <c r="J137">
        <v>10350</v>
      </c>
      <c r="K137" t="str">
        <v>France</v>
      </c>
      <c r="L137">
        <v>466.56</v>
      </c>
      <c r="N137">
        <v>11680</v>
      </c>
      <c r="O137" t="str">
        <v>UK</v>
      </c>
      <c r="P137">
        <v>90</v>
      </c>
      <c r="S137">
        <v>11692</v>
      </c>
      <c r="T137" t="str">
        <v>Original Frankfurter grüne Soße</v>
      </c>
      <c r="U137" t="str">
        <v>Condiments</v>
      </c>
      <c r="V137">
        <v>72.8</v>
      </c>
      <c r="W137" t="str">
        <v>VAFFE</v>
      </c>
      <c r="X137" t="str">
        <v>Vaffeljernet</v>
      </c>
      <c r="Y137">
        <v>44343</v>
      </c>
    </row>
    <row r="138" spans="10:25" x14ac:dyDescent="0.2">
      <c r="J138">
        <v>10352</v>
      </c>
      <c r="K138" t="str">
        <v>Portugal</v>
      </c>
      <c r="L138">
        <v>36</v>
      </c>
      <c r="N138">
        <v>11680</v>
      </c>
      <c r="O138" t="str">
        <v>UK</v>
      </c>
      <c r="P138">
        <v>390</v>
      </c>
      <c r="S138">
        <v>11691</v>
      </c>
      <c r="T138" t="str">
        <v>Louisiana Fiery Hot Pepper Sauce</v>
      </c>
      <c r="U138" t="str">
        <v>Condiments</v>
      </c>
      <c r="V138">
        <v>84</v>
      </c>
      <c r="W138" t="str">
        <v>GALED</v>
      </c>
      <c r="X138" t="str">
        <v>Galería del gastrónomo</v>
      </c>
      <c r="Y138">
        <v>44343</v>
      </c>
    </row>
    <row r="139" spans="10:25" x14ac:dyDescent="0.2">
      <c r="J139">
        <v>10353</v>
      </c>
      <c r="K139" t="str">
        <v>Austria</v>
      </c>
      <c r="L139">
        <v>8432</v>
      </c>
      <c r="N139">
        <v>11684</v>
      </c>
      <c r="O139" t="str">
        <v>UK</v>
      </c>
      <c r="P139">
        <v>739.48</v>
      </c>
      <c r="S139">
        <v>11691</v>
      </c>
      <c r="T139" t="str">
        <v>Original Frankfurter grüne Soße</v>
      </c>
      <c r="U139" t="str">
        <v>Condiments</v>
      </c>
      <c r="V139">
        <v>52</v>
      </c>
      <c r="W139" t="str">
        <v>GALED</v>
      </c>
      <c r="X139" t="str">
        <v>Galería del gastrónomo</v>
      </c>
      <c r="Y139">
        <v>44343</v>
      </c>
    </row>
    <row r="140" spans="10:25" x14ac:dyDescent="0.2">
      <c r="J140">
        <v>10353</v>
      </c>
      <c r="K140" t="str">
        <v>Austria</v>
      </c>
      <c r="L140">
        <v>161.28</v>
      </c>
      <c r="N140">
        <v>11684</v>
      </c>
      <c r="O140" t="str">
        <v>UK</v>
      </c>
      <c r="P140">
        <v>2067.1999999999998</v>
      </c>
      <c r="S140">
        <v>11693</v>
      </c>
      <c r="T140" t="str">
        <v>Sir Rodney's Scones</v>
      </c>
      <c r="U140" t="str">
        <v>Confections</v>
      </c>
      <c r="V140">
        <v>36</v>
      </c>
      <c r="W140" t="str">
        <v>ERNSH</v>
      </c>
      <c r="X140" t="str">
        <v>Ernst Handel</v>
      </c>
      <c r="Y140">
        <v>44344</v>
      </c>
    </row>
    <row r="141" spans="10:25" x14ac:dyDescent="0.2">
      <c r="J141">
        <v>10355</v>
      </c>
      <c r="K141" t="str">
        <v>UK</v>
      </c>
      <c r="L141">
        <v>90</v>
      </c>
      <c r="N141">
        <v>11684</v>
      </c>
      <c r="O141" t="str">
        <v>UK</v>
      </c>
      <c r="P141">
        <v>665</v>
      </c>
      <c r="S141">
        <v>11693</v>
      </c>
      <c r="T141" t="str">
        <v>Wimmers gute Semmelknödel</v>
      </c>
      <c r="U141" t="str">
        <v>Grains/Cereals</v>
      </c>
      <c r="V141">
        <v>837.9</v>
      </c>
      <c r="W141" t="str">
        <v>ERNSH</v>
      </c>
      <c r="X141" t="str">
        <v>Ernst Handel</v>
      </c>
      <c r="Y141">
        <v>44344</v>
      </c>
    </row>
    <row r="142" spans="10:25" x14ac:dyDescent="0.2">
      <c r="J142">
        <v>10355</v>
      </c>
      <c r="K142" t="str">
        <v>UK</v>
      </c>
      <c r="L142">
        <v>390</v>
      </c>
      <c r="N142">
        <v>11689</v>
      </c>
      <c r="O142" t="str">
        <v>UK</v>
      </c>
      <c r="P142">
        <v>864</v>
      </c>
      <c r="S142">
        <v>11693</v>
      </c>
      <c r="T142" t="str">
        <v>Ravioli Angelo</v>
      </c>
      <c r="U142" t="str">
        <v>Grains/Cereals</v>
      </c>
      <c r="V142">
        <v>390</v>
      </c>
      <c r="W142" t="str">
        <v>ERNSH</v>
      </c>
      <c r="X142" t="str">
        <v>Ernst Handel</v>
      </c>
      <c r="Y142">
        <v>44344</v>
      </c>
    </row>
    <row r="143" spans="10:25" x14ac:dyDescent="0.2">
      <c r="J143">
        <v>10356</v>
      </c>
      <c r="K143" t="str">
        <v>Germany</v>
      </c>
      <c r="L143">
        <v>576</v>
      </c>
      <c r="N143">
        <v>11689</v>
      </c>
      <c r="O143" t="str">
        <v>UK</v>
      </c>
      <c r="P143">
        <v>86</v>
      </c>
      <c r="S143">
        <v>11693</v>
      </c>
      <c r="T143" t="str">
        <v>Rössle Sauerkraut</v>
      </c>
      <c r="U143" t="str">
        <v>Produce</v>
      </c>
      <c r="V143">
        <v>425.88</v>
      </c>
      <c r="W143" t="str">
        <v>ERNSH</v>
      </c>
      <c r="X143" t="str">
        <v>Ernst Handel</v>
      </c>
      <c r="Y143">
        <v>44344</v>
      </c>
    </row>
    <row r="144" spans="10:25" x14ac:dyDescent="0.2">
      <c r="J144">
        <v>10356</v>
      </c>
      <c r="K144" t="str">
        <v>Germany</v>
      </c>
      <c r="L144">
        <v>300</v>
      </c>
      <c r="N144">
        <v>11702</v>
      </c>
      <c r="O144" t="str">
        <v>UK</v>
      </c>
      <c r="P144">
        <v>244.8</v>
      </c>
      <c r="S144">
        <v>11695</v>
      </c>
      <c r="T144" t="str">
        <v>Chai</v>
      </c>
      <c r="U144" t="str">
        <v>Beverages</v>
      </c>
      <c r="V144">
        <v>183.6</v>
      </c>
      <c r="W144" t="str">
        <v>CHOPS</v>
      </c>
      <c r="X144" t="str">
        <v>Chop-suey Chinese</v>
      </c>
      <c r="Y144">
        <v>44348</v>
      </c>
    </row>
    <row r="145" spans="10:25" x14ac:dyDescent="0.2">
      <c r="J145">
        <v>10358</v>
      </c>
      <c r="K145" t="str">
        <v>France</v>
      </c>
      <c r="L145">
        <v>106.4</v>
      </c>
      <c r="N145">
        <v>11702</v>
      </c>
      <c r="O145" t="str">
        <v>UK</v>
      </c>
      <c r="P145">
        <v>618.79999999999995</v>
      </c>
      <c r="S145">
        <v>11695</v>
      </c>
      <c r="T145" t="str">
        <v>Wimmers gute Semmelknödel</v>
      </c>
      <c r="U145" t="str">
        <v>Grains/Cereals</v>
      </c>
      <c r="V145">
        <v>798</v>
      </c>
      <c r="W145" t="str">
        <v>CHOPS</v>
      </c>
      <c r="X145" t="str">
        <v>Chop-suey Chinese</v>
      </c>
      <c r="Y145">
        <v>44348</v>
      </c>
    </row>
    <row r="146" spans="10:25" x14ac:dyDescent="0.2">
      <c r="J146">
        <v>10358</v>
      </c>
      <c r="K146" t="str">
        <v>France</v>
      </c>
      <c r="L146">
        <v>34.200000000000003</v>
      </c>
      <c r="N146">
        <v>11708</v>
      </c>
      <c r="O146" t="str">
        <v>UK</v>
      </c>
      <c r="P146">
        <v>195</v>
      </c>
      <c r="S146">
        <v>11695</v>
      </c>
      <c r="T146" t="str">
        <v>Longlife Tofu</v>
      </c>
      <c r="U146" t="str">
        <v>Produce</v>
      </c>
      <c r="V146">
        <v>136</v>
      </c>
      <c r="W146" t="str">
        <v>CHOPS</v>
      </c>
      <c r="X146" t="str">
        <v>Chop-suey Chinese</v>
      </c>
      <c r="Y146">
        <v>44348</v>
      </c>
    </row>
    <row r="147" spans="10:25" x14ac:dyDescent="0.2">
      <c r="J147">
        <v>10359</v>
      </c>
      <c r="K147" t="str">
        <v>UK</v>
      </c>
      <c r="L147">
        <v>739.48</v>
      </c>
      <c r="N147">
        <v>11708</v>
      </c>
      <c r="O147" t="str">
        <v>UK</v>
      </c>
      <c r="P147">
        <v>608</v>
      </c>
      <c r="S147">
        <v>11699</v>
      </c>
      <c r="T147" t="str">
        <v>Gorgonzola Telino</v>
      </c>
      <c r="U147" t="str">
        <v>Dairy Products</v>
      </c>
      <c r="V147">
        <v>300</v>
      </c>
      <c r="W147" t="str">
        <v>WOLZA</v>
      </c>
      <c r="X147" t="str">
        <v>Wolski  Zajazd</v>
      </c>
      <c r="Y147">
        <v>44350</v>
      </c>
    </row>
    <row r="148" spans="10:25" x14ac:dyDescent="0.2">
      <c r="J148">
        <v>10359</v>
      </c>
      <c r="K148" t="str">
        <v>UK</v>
      </c>
      <c r="L148">
        <v>2067.1999999999998</v>
      </c>
      <c r="N148">
        <v>11713</v>
      </c>
      <c r="O148" t="str">
        <v>UK</v>
      </c>
      <c r="P148">
        <v>89.6</v>
      </c>
      <c r="S148">
        <v>11698</v>
      </c>
      <c r="T148" t="str">
        <v>Fløtemysost</v>
      </c>
      <c r="U148" t="str">
        <v>Dairy Products</v>
      </c>
      <c r="V148">
        <v>688</v>
      </c>
      <c r="W148" t="str">
        <v>HUNGO</v>
      </c>
      <c r="X148" t="str">
        <v>Hungry Owl All-Night Grocers</v>
      </c>
      <c r="Y148">
        <v>44350</v>
      </c>
    </row>
    <row r="149" spans="10:25" x14ac:dyDescent="0.2">
      <c r="J149">
        <v>10359</v>
      </c>
      <c r="K149" t="str">
        <v>UK</v>
      </c>
      <c r="L149">
        <v>665</v>
      </c>
      <c r="S149">
        <v>11702</v>
      </c>
      <c r="T149" t="str">
        <v>Chartreuse verte</v>
      </c>
      <c r="U149" t="str">
        <v>Beverages</v>
      </c>
      <c r="V149">
        <v>244.8</v>
      </c>
      <c r="W149" t="str">
        <v>SEVES</v>
      </c>
      <c r="X149" t="str">
        <v>Seven Seas Imports</v>
      </c>
      <c r="Y149">
        <v>44354</v>
      </c>
    </row>
    <row r="150" spans="10:25" x14ac:dyDescent="0.2">
      <c r="J150">
        <v>10360</v>
      </c>
      <c r="K150" t="str">
        <v>France</v>
      </c>
      <c r="L150">
        <v>2108</v>
      </c>
      <c r="S150">
        <v>11702</v>
      </c>
      <c r="T150" t="str">
        <v>Rössle Sauerkraut</v>
      </c>
      <c r="U150" t="str">
        <v>Produce</v>
      </c>
      <c r="V150">
        <v>618.79999999999995</v>
      </c>
      <c r="W150" t="str">
        <v>SEVES</v>
      </c>
      <c r="X150" t="str">
        <v>Seven Seas Imports</v>
      </c>
      <c r="Y150">
        <v>44354</v>
      </c>
    </row>
    <row r="151" spans="10:25" x14ac:dyDescent="0.2">
      <c r="J151">
        <v>10360</v>
      </c>
      <c r="K151" t="str">
        <v>France</v>
      </c>
      <c r="L151">
        <v>560</v>
      </c>
      <c r="S151">
        <v>11703</v>
      </c>
      <c r="T151" t="str">
        <v>Fløtemysost</v>
      </c>
      <c r="U151" t="str">
        <v>Dairy Products</v>
      </c>
      <c r="V151">
        <v>103.2</v>
      </c>
      <c r="W151" t="str">
        <v>FOLKO</v>
      </c>
      <c r="X151" t="str">
        <v>Folk och fä HB</v>
      </c>
      <c r="Y151">
        <v>44355</v>
      </c>
    </row>
    <row r="152" spans="10:25" x14ac:dyDescent="0.2">
      <c r="J152">
        <v>10360</v>
      </c>
      <c r="K152" t="str">
        <v>France</v>
      </c>
      <c r="L152">
        <v>1092</v>
      </c>
      <c r="S152">
        <v>11705</v>
      </c>
      <c r="T152" t="str">
        <v>Outback Lager</v>
      </c>
      <c r="U152" t="str">
        <v>Beverages</v>
      </c>
      <c r="V152">
        <v>360</v>
      </c>
      <c r="W152" t="str">
        <v>HUNGO</v>
      </c>
      <c r="X152" t="str">
        <v>Hungry Owl All-Night Grocers</v>
      </c>
      <c r="Y152">
        <v>44357</v>
      </c>
    </row>
    <row r="153" spans="10:25" x14ac:dyDescent="0.2">
      <c r="J153">
        <v>10361</v>
      </c>
      <c r="K153" t="str">
        <v>Germany</v>
      </c>
      <c r="L153">
        <v>699.84</v>
      </c>
      <c r="S153">
        <v>11705</v>
      </c>
      <c r="T153" t="str">
        <v>Camembert Pierrot</v>
      </c>
      <c r="U153" t="str">
        <v>Dairy Products</v>
      </c>
      <c r="V153">
        <v>146.88</v>
      </c>
      <c r="W153" t="str">
        <v>HUNGO</v>
      </c>
      <c r="X153" t="str">
        <v>Hungry Owl All-Night Grocers</v>
      </c>
      <c r="Y153">
        <v>44357</v>
      </c>
    </row>
    <row r="154" spans="10:25" x14ac:dyDescent="0.2">
      <c r="J154">
        <v>10361</v>
      </c>
      <c r="K154" t="str">
        <v>Germany</v>
      </c>
      <c r="L154">
        <v>1346.4</v>
      </c>
      <c r="S154">
        <v>11707</v>
      </c>
      <c r="T154" t="str">
        <v>Chef Anton's Gumbo Mix</v>
      </c>
      <c r="U154" t="str">
        <v>Condiments</v>
      </c>
      <c r="V154">
        <v>544</v>
      </c>
      <c r="W154" t="str">
        <v>ERNSH</v>
      </c>
      <c r="X154" t="str">
        <v>Ernst Handel</v>
      </c>
      <c r="Y154">
        <v>44358</v>
      </c>
    </row>
    <row r="155" spans="10:25" x14ac:dyDescent="0.2">
      <c r="J155">
        <v>10362</v>
      </c>
      <c r="K155" t="str">
        <v>France</v>
      </c>
      <c r="L155">
        <v>560</v>
      </c>
      <c r="S155">
        <v>11707</v>
      </c>
      <c r="T155" t="str">
        <v>Geitost</v>
      </c>
      <c r="U155" t="str">
        <v>Dairy Products</v>
      </c>
      <c r="V155">
        <v>120</v>
      </c>
      <c r="W155" t="str">
        <v>ERNSH</v>
      </c>
      <c r="X155" t="str">
        <v>Ernst Handel</v>
      </c>
      <c r="Y155">
        <v>44358</v>
      </c>
    </row>
    <row r="156" spans="10:25" x14ac:dyDescent="0.2">
      <c r="J156">
        <v>10362</v>
      </c>
      <c r="K156" t="str">
        <v>France</v>
      </c>
      <c r="L156">
        <v>848</v>
      </c>
      <c r="S156">
        <v>11707</v>
      </c>
      <c r="T156" t="str">
        <v>Longlife Tofu</v>
      </c>
      <c r="U156" t="str">
        <v>Produce</v>
      </c>
      <c r="V156">
        <v>400</v>
      </c>
      <c r="W156" t="str">
        <v>ERNSH</v>
      </c>
      <c r="X156" t="str">
        <v>Ernst Handel</v>
      </c>
      <c r="Y156">
        <v>44358</v>
      </c>
    </row>
    <row r="157" spans="10:25" x14ac:dyDescent="0.2">
      <c r="J157">
        <v>10363</v>
      </c>
      <c r="K157" t="str">
        <v>Germany</v>
      </c>
      <c r="L157">
        <v>172.8</v>
      </c>
      <c r="S157">
        <v>11708</v>
      </c>
      <c r="T157" t="str">
        <v>Valkoinen suklaa</v>
      </c>
      <c r="U157" t="str">
        <v>Confections</v>
      </c>
      <c r="V157">
        <v>195</v>
      </c>
      <c r="W157" t="str">
        <v>AROUT</v>
      </c>
      <c r="X157" t="str">
        <v>Around the Horn</v>
      </c>
      <c r="Y157">
        <v>44361</v>
      </c>
    </row>
    <row r="158" spans="10:25" x14ac:dyDescent="0.2">
      <c r="J158">
        <v>10363</v>
      </c>
      <c r="K158" t="str">
        <v>Germany</v>
      </c>
      <c r="L158">
        <v>74.400000000000006</v>
      </c>
      <c r="S158">
        <v>11708</v>
      </c>
      <c r="T158" t="str">
        <v>Gnocchi di nonna Alice</v>
      </c>
      <c r="U158" t="str">
        <v>Grains/Cereals</v>
      </c>
      <c r="V158">
        <v>608</v>
      </c>
      <c r="W158" t="str">
        <v>AROUT</v>
      </c>
      <c r="X158" t="str">
        <v>Around the Horn</v>
      </c>
      <c r="Y158">
        <v>44361</v>
      </c>
    </row>
    <row r="159" spans="10:25" x14ac:dyDescent="0.2">
      <c r="J159">
        <v>10363</v>
      </c>
      <c r="K159" t="str">
        <v>Germany</v>
      </c>
      <c r="L159">
        <v>200</v>
      </c>
      <c r="S159">
        <v>11709</v>
      </c>
      <c r="T159" t="str">
        <v>Sir Rodney's Marmalade</v>
      </c>
      <c r="U159" t="str">
        <v>Confections</v>
      </c>
      <c r="V159">
        <v>1814.4</v>
      </c>
      <c r="W159" t="str">
        <v>BERGS</v>
      </c>
      <c r="X159" t="str">
        <v>Berglunds snabbköp</v>
      </c>
      <c r="Y159">
        <v>44361</v>
      </c>
    </row>
    <row r="160" spans="10:25" x14ac:dyDescent="0.2">
      <c r="J160">
        <v>10364</v>
      </c>
      <c r="K160" t="str">
        <v>UK</v>
      </c>
      <c r="L160">
        <v>864</v>
      </c>
      <c r="S160">
        <v>11709</v>
      </c>
      <c r="T160" t="str">
        <v>Camembert Pierrot</v>
      </c>
      <c r="U160" t="str">
        <v>Dairy Products</v>
      </c>
      <c r="V160">
        <v>408</v>
      </c>
      <c r="W160" t="str">
        <v>BERGS</v>
      </c>
      <c r="X160" t="str">
        <v>Berglunds snabbköp</v>
      </c>
      <c r="Y160">
        <v>44361</v>
      </c>
    </row>
    <row r="161" spans="10:25" x14ac:dyDescent="0.2">
      <c r="J161">
        <v>10364</v>
      </c>
      <c r="K161" t="str">
        <v>UK</v>
      </c>
      <c r="L161">
        <v>86</v>
      </c>
      <c r="S161">
        <v>11712</v>
      </c>
      <c r="T161" t="str">
        <v>Guaraná Fantástica</v>
      </c>
      <c r="U161" t="str">
        <v>Beverages</v>
      </c>
      <c r="V161">
        <v>54</v>
      </c>
      <c r="W161" t="str">
        <v>SANTG</v>
      </c>
      <c r="X161" t="str">
        <v>Santé Gourmet</v>
      </c>
      <c r="Y161">
        <v>44363</v>
      </c>
    </row>
    <row r="162" spans="10:25" x14ac:dyDescent="0.2">
      <c r="J162">
        <v>10367</v>
      </c>
      <c r="K162" t="str">
        <v>Denmark</v>
      </c>
      <c r="L162">
        <v>403.2</v>
      </c>
      <c r="S162">
        <v>11712</v>
      </c>
      <c r="T162" t="str">
        <v>Raclette Courdavault</v>
      </c>
      <c r="U162" t="str">
        <v>Dairy Products</v>
      </c>
      <c r="V162">
        <v>528</v>
      </c>
      <c r="W162" t="str">
        <v>SANTG</v>
      </c>
      <c r="X162" t="str">
        <v>Santé Gourmet</v>
      </c>
      <c r="Y162">
        <v>44363</v>
      </c>
    </row>
    <row r="163" spans="10:25" x14ac:dyDescent="0.2">
      <c r="J163">
        <v>10367</v>
      </c>
      <c r="K163" t="str">
        <v>Denmark</v>
      </c>
      <c r="L163">
        <v>252</v>
      </c>
      <c r="S163">
        <v>11712</v>
      </c>
      <c r="T163" t="str">
        <v>Fløtemysost</v>
      </c>
      <c r="U163" t="str">
        <v>Dairy Products</v>
      </c>
      <c r="V163">
        <v>258</v>
      </c>
      <c r="W163" t="str">
        <v>SANTG</v>
      </c>
      <c r="X163" t="str">
        <v>Santé Gourmet</v>
      </c>
      <c r="Y163">
        <v>44363</v>
      </c>
    </row>
    <row r="164" spans="10:25" x14ac:dyDescent="0.2">
      <c r="J164">
        <v>10367</v>
      </c>
      <c r="K164" t="str">
        <v>Denmark</v>
      </c>
      <c r="L164">
        <v>72.8</v>
      </c>
      <c r="S164">
        <v>11712</v>
      </c>
      <c r="T164" t="str">
        <v>Rössle Sauerkraut</v>
      </c>
      <c r="U164" t="str">
        <v>Produce</v>
      </c>
      <c r="V164">
        <v>218.4</v>
      </c>
      <c r="W164" t="str">
        <v>SANTG</v>
      </c>
      <c r="X164" t="str">
        <v>Santé Gourmet</v>
      </c>
      <c r="Y164">
        <v>44363</v>
      </c>
    </row>
    <row r="165" spans="10:25" x14ac:dyDescent="0.2">
      <c r="J165">
        <v>10366</v>
      </c>
      <c r="K165" t="str">
        <v>Spain</v>
      </c>
      <c r="L165">
        <v>84</v>
      </c>
      <c r="S165">
        <v>11713</v>
      </c>
      <c r="T165" t="str">
        <v>Filo Mix</v>
      </c>
      <c r="U165" t="str">
        <v>Grains/Cereals</v>
      </c>
      <c r="V165">
        <v>89.6</v>
      </c>
      <c r="W165" t="str">
        <v>SEVES</v>
      </c>
      <c r="X165" t="str">
        <v>Seven Seas Imports</v>
      </c>
      <c r="Y165">
        <v>44364</v>
      </c>
    </row>
    <row r="166" spans="10:25" x14ac:dyDescent="0.2">
      <c r="J166">
        <v>10366</v>
      </c>
      <c r="K166" t="str">
        <v>Spain</v>
      </c>
      <c r="L166">
        <v>52</v>
      </c>
      <c r="S166">
        <v>11715</v>
      </c>
      <c r="T166" t="str">
        <v>Steeleye Stout</v>
      </c>
      <c r="U166" t="str">
        <v>Beverages</v>
      </c>
      <c r="V166">
        <v>518.4</v>
      </c>
      <c r="W166" t="str">
        <v>ERNSH</v>
      </c>
      <c r="X166" t="str">
        <v>Ernst Handel</v>
      </c>
      <c r="Y166">
        <v>44368</v>
      </c>
    </row>
    <row r="167" spans="10:25" x14ac:dyDescent="0.2">
      <c r="J167">
        <v>10368</v>
      </c>
      <c r="K167" t="str">
        <v>Austria</v>
      </c>
      <c r="L167">
        <v>36</v>
      </c>
      <c r="S167">
        <v>11715</v>
      </c>
      <c r="T167" t="str">
        <v>Mozzarella di Giovanni</v>
      </c>
      <c r="U167" t="str">
        <v>Dairy Products</v>
      </c>
      <c r="V167">
        <v>600.48</v>
      </c>
      <c r="W167" t="str">
        <v>ERNSH</v>
      </c>
      <c r="X167" t="str">
        <v>Ernst Handel</v>
      </c>
      <c r="Y167">
        <v>44368</v>
      </c>
    </row>
    <row r="168" spans="10:25" x14ac:dyDescent="0.2">
      <c r="J168">
        <v>10368</v>
      </c>
      <c r="K168" t="str">
        <v>Austria</v>
      </c>
      <c r="L168">
        <v>837.9</v>
      </c>
      <c r="S168">
        <v>11715</v>
      </c>
      <c r="T168" t="str">
        <v>Gorgonzola Telino</v>
      </c>
      <c r="U168" t="str">
        <v>Dairy Products</v>
      </c>
      <c r="V168">
        <v>540</v>
      </c>
      <c r="W168" t="str">
        <v>ERNSH</v>
      </c>
      <c r="X168" t="str">
        <v>Ernst Handel</v>
      </c>
      <c r="Y168">
        <v>44368</v>
      </c>
    </row>
    <row r="169" spans="10:25" x14ac:dyDescent="0.2">
      <c r="J169">
        <v>10368</v>
      </c>
      <c r="K169" t="str">
        <v>Austria</v>
      </c>
      <c r="L169">
        <v>390</v>
      </c>
      <c r="S169">
        <v>11717</v>
      </c>
      <c r="T169" t="str">
        <v>Gudbrandsdalsost</v>
      </c>
      <c r="U169" t="str">
        <v>Dairy Products</v>
      </c>
      <c r="V169">
        <v>1440</v>
      </c>
      <c r="W169" t="str">
        <v>PICCO</v>
      </c>
      <c r="X169" t="str">
        <v>Piccolo und mehr</v>
      </c>
      <c r="Y169">
        <v>44369</v>
      </c>
    </row>
    <row r="170" spans="10:25" x14ac:dyDescent="0.2">
      <c r="J170">
        <v>10368</v>
      </c>
      <c r="K170" t="str">
        <v>Austria</v>
      </c>
      <c r="L170">
        <v>425.88</v>
      </c>
      <c r="S170">
        <v>11722</v>
      </c>
      <c r="T170" t="str">
        <v>Sir Rodney's Scones</v>
      </c>
      <c r="U170" t="str">
        <v>Confections</v>
      </c>
      <c r="V170">
        <v>68</v>
      </c>
      <c r="W170" t="str">
        <v>PRINI</v>
      </c>
      <c r="X170" t="str">
        <v>Princesa Isabel Vinhos</v>
      </c>
      <c r="Y170">
        <v>44372</v>
      </c>
    </row>
    <row r="171" spans="10:25" x14ac:dyDescent="0.2">
      <c r="J171">
        <v>10370</v>
      </c>
      <c r="K171" t="str">
        <v>Switzerland</v>
      </c>
      <c r="L171">
        <v>183.6</v>
      </c>
      <c r="S171">
        <v>11722</v>
      </c>
      <c r="T171" t="str">
        <v>Manjimup Dried Apples</v>
      </c>
      <c r="U171" t="str">
        <v>Produce</v>
      </c>
      <c r="V171">
        <v>648.72</v>
      </c>
      <c r="W171" t="str">
        <v>PRINI</v>
      </c>
      <c r="X171" t="str">
        <v>Princesa Isabel Vinhos</v>
      </c>
      <c r="Y171">
        <v>44372</v>
      </c>
    </row>
    <row r="172" spans="10:25" x14ac:dyDescent="0.2">
      <c r="J172">
        <v>10370</v>
      </c>
      <c r="K172" t="str">
        <v>Switzerland</v>
      </c>
      <c r="L172">
        <v>798</v>
      </c>
      <c r="S172">
        <v>11721</v>
      </c>
      <c r="T172" t="str">
        <v>Fløtemysost</v>
      </c>
      <c r="U172" t="str">
        <v>Dairy Products</v>
      </c>
      <c r="V172">
        <v>1032</v>
      </c>
      <c r="W172" t="str">
        <v>FRANK</v>
      </c>
      <c r="X172" t="str">
        <v>Frankenversand</v>
      </c>
      <c r="Y172">
        <v>44372</v>
      </c>
    </row>
    <row r="173" spans="10:25" x14ac:dyDescent="0.2">
      <c r="J173">
        <v>10370</v>
      </c>
      <c r="K173" t="str">
        <v>Switzerland</v>
      </c>
      <c r="L173">
        <v>136</v>
      </c>
      <c r="S173">
        <v>11721</v>
      </c>
      <c r="T173" t="str">
        <v>Mozzarella di Giovanni</v>
      </c>
      <c r="U173" t="str">
        <v>Dairy Products</v>
      </c>
      <c r="V173">
        <v>583.79999999999995</v>
      </c>
      <c r="W173" t="str">
        <v>FRANK</v>
      </c>
      <c r="X173" t="str">
        <v>Frankenversand</v>
      </c>
      <c r="Y173">
        <v>44372</v>
      </c>
    </row>
    <row r="174" spans="10:25" x14ac:dyDescent="0.2">
      <c r="J174">
        <v>10374</v>
      </c>
      <c r="K174" t="str">
        <v>Poland</v>
      </c>
      <c r="L174">
        <v>300</v>
      </c>
      <c r="S174">
        <v>11721</v>
      </c>
      <c r="T174" t="str">
        <v>Tunnbröd</v>
      </c>
      <c r="U174" t="str">
        <v>Grains/Cereals</v>
      </c>
      <c r="V174">
        <v>288</v>
      </c>
      <c r="W174" t="str">
        <v>FRANK</v>
      </c>
      <c r="X174" t="str">
        <v>Frankenversand</v>
      </c>
      <c r="Y174">
        <v>44372</v>
      </c>
    </row>
    <row r="175" spans="10:25" x14ac:dyDescent="0.2">
      <c r="J175">
        <v>10373</v>
      </c>
      <c r="K175" t="str">
        <v>Ireland</v>
      </c>
      <c r="L175">
        <v>688</v>
      </c>
      <c r="S175">
        <v>11724</v>
      </c>
      <c r="T175" t="str">
        <v>Lakkalikööri</v>
      </c>
      <c r="U175" t="str">
        <v>Beverages</v>
      </c>
      <c r="V175">
        <v>504</v>
      </c>
      <c r="W175" t="str">
        <v>VAFFE</v>
      </c>
      <c r="X175" t="str">
        <v>Vaffeljernet</v>
      </c>
      <c r="Y175">
        <v>44376</v>
      </c>
    </row>
    <row r="176" spans="10:25" x14ac:dyDescent="0.2">
      <c r="J176">
        <v>10377</v>
      </c>
      <c r="K176" t="str">
        <v>UK</v>
      </c>
      <c r="L176">
        <v>244.8</v>
      </c>
      <c r="S176">
        <v>11724</v>
      </c>
      <c r="T176" t="str">
        <v>Original Frankfurter grüne Soße</v>
      </c>
      <c r="U176" t="str">
        <v>Condiments</v>
      </c>
      <c r="V176">
        <v>145.6</v>
      </c>
      <c r="W176" t="str">
        <v>VAFFE</v>
      </c>
      <c r="X176" t="str">
        <v>Vaffeljernet</v>
      </c>
      <c r="Y176">
        <v>44376</v>
      </c>
    </row>
    <row r="177" spans="10:25" x14ac:dyDescent="0.2">
      <c r="J177">
        <v>10377</v>
      </c>
      <c r="K177" t="str">
        <v>UK</v>
      </c>
      <c r="L177">
        <v>618.79999999999995</v>
      </c>
      <c r="S177">
        <v>11724</v>
      </c>
      <c r="T177" t="str">
        <v>Scottish Longbreads</v>
      </c>
      <c r="U177" t="str">
        <v>Confections</v>
      </c>
      <c r="V177">
        <v>600</v>
      </c>
      <c r="W177" t="str">
        <v>VAFFE</v>
      </c>
      <c r="X177" t="str">
        <v>Vaffeljernet</v>
      </c>
      <c r="Y177">
        <v>44376</v>
      </c>
    </row>
    <row r="178" spans="10:25" x14ac:dyDescent="0.2">
      <c r="J178">
        <v>10378</v>
      </c>
      <c r="K178" t="str">
        <v>Sweden</v>
      </c>
      <c r="L178">
        <v>103.2</v>
      </c>
      <c r="S178">
        <v>11724</v>
      </c>
      <c r="T178" t="str">
        <v>Fløtemysost</v>
      </c>
      <c r="U178" t="str">
        <v>Dairy Products</v>
      </c>
      <c r="V178">
        <v>516</v>
      </c>
      <c r="W178" t="str">
        <v>VAFFE</v>
      </c>
      <c r="X178" t="str">
        <v>Vaffeljernet</v>
      </c>
      <c r="Y178">
        <v>44376</v>
      </c>
    </row>
    <row r="179" spans="10:25" x14ac:dyDescent="0.2">
      <c r="J179">
        <v>10380</v>
      </c>
      <c r="K179" t="str">
        <v>Ireland</v>
      </c>
      <c r="L179">
        <v>360</v>
      </c>
    </row>
    <row r="180" spans="10:25" x14ac:dyDescent="0.2">
      <c r="J180">
        <v>10380</v>
      </c>
      <c r="K180" t="str">
        <v>Ireland</v>
      </c>
      <c r="L180">
        <v>146.88</v>
      </c>
    </row>
    <row r="181" spans="10:25" x14ac:dyDescent="0.2">
      <c r="J181">
        <v>10382</v>
      </c>
      <c r="K181" t="str">
        <v>Austria</v>
      </c>
      <c r="L181">
        <v>544</v>
      </c>
    </row>
    <row r="182" spans="10:25" x14ac:dyDescent="0.2">
      <c r="J182">
        <v>10382</v>
      </c>
      <c r="K182" t="str">
        <v>Austria</v>
      </c>
      <c r="L182">
        <v>120</v>
      </c>
    </row>
    <row r="183" spans="10:25" x14ac:dyDescent="0.2">
      <c r="J183">
        <v>10382</v>
      </c>
      <c r="K183" t="str">
        <v>Austria</v>
      </c>
      <c r="L183">
        <v>400</v>
      </c>
    </row>
    <row r="184" spans="10:25" x14ac:dyDescent="0.2">
      <c r="J184">
        <v>10383</v>
      </c>
      <c r="K184" t="str">
        <v>UK</v>
      </c>
      <c r="L184">
        <v>195</v>
      </c>
    </row>
    <row r="185" spans="10:25" x14ac:dyDescent="0.2">
      <c r="J185">
        <v>10383</v>
      </c>
      <c r="K185" t="str">
        <v>UK</v>
      </c>
      <c r="L185">
        <v>608</v>
      </c>
    </row>
    <row r="186" spans="10:25" x14ac:dyDescent="0.2">
      <c r="J186">
        <v>10384</v>
      </c>
      <c r="K186" t="str">
        <v>Sweden</v>
      </c>
      <c r="L186">
        <v>1814.4</v>
      </c>
    </row>
    <row r="187" spans="10:25" x14ac:dyDescent="0.2">
      <c r="J187">
        <v>10384</v>
      </c>
      <c r="K187" t="str">
        <v>Sweden</v>
      </c>
      <c r="L187">
        <v>408</v>
      </c>
    </row>
    <row r="188" spans="10:25" x14ac:dyDescent="0.2">
      <c r="J188">
        <v>10387</v>
      </c>
      <c r="K188" t="str">
        <v>Norway</v>
      </c>
      <c r="L188">
        <v>54</v>
      </c>
    </row>
    <row r="189" spans="10:25" x14ac:dyDescent="0.2">
      <c r="J189">
        <v>10387</v>
      </c>
      <c r="K189" t="str">
        <v>Norway</v>
      </c>
      <c r="L189">
        <v>528</v>
      </c>
    </row>
    <row r="190" spans="10:25" x14ac:dyDescent="0.2">
      <c r="J190">
        <v>10387</v>
      </c>
      <c r="K190" t="str">
        <v>Norway</v>
      </c>
      <c r="L190">
        <v>258</v>
      </c>
    </row>
    <row r="191" spans="10:25" x14ac:dyDescent="0.2">
      <c r="J191">
        <v>10387</v>
      </c>
      <c r="K191" t="str">
        <v>Norway</v>
      </c>
      <c r="L191">
        <v>218.4</v>
      </c>
    </row>
    <row r="192" spans="10:25" x14ac:dyDescent="0.2">
      <c r="J192">
        <v>10388</v>
      </c>
      <c r="K192" t="str">
        <v>UK</v>
      </c>
      <c r="L192">
        <v>89.6</v>
      </c>
    </row>
    <row r="193" spans="10:12" x14ac:dyDescent="0.2">
      <c r="J193">
        <v>10390</v>
      </c>
      <c r="K193" t="str">
        <v>Austria</v>
      </c>
      <c r="L193">
        <v>518.4</v>
      </c>
    </row>
    <row r="194" spans="10:12" x14ac:dyDescent="0.2">
      <c r="J194">
        <v>10390</v>
      </c>
      <c r="K194" t="str">
        <v>Austria</v>
      </c>
      <c r="L194">
        <v>600.48</v>
      </c>
    </row>
    <row r="195" spans="10:12" x14ac:dyDescent="0.2">
      <c r="J195">
        <v>10390</v>
      </c>
      <c r="K195" t="str">
        <v>Austria</v>
      </c>
      <c r="L195">
        <v>540</v>
      </c>
    </row>
    <row r="196" spans="10:12" x14ac:dyDescent="0.2">
      <c r="J196">
        <v>10392</v>
      </c>
      <c r="K196" t="str">
        <v>Austria</v>
      </c>
      <c r="L196">
        <v>1440</v>
      </c>
    </row>
    <row r="197" spans="10:12" x14ac:dyDescent="0.2">
      <c r="J197">
        <v>10397</v>
      </c>
      <c r="K197" t="str">
        <v>Portugal</v>
      </c>
      <c r="L197">
        <v>68</v>
      </c>
    </row>
    <row r="198" spans="10:12" x14ac:dyDescent="0.2">
      <c r="J198">
        <v>10397</v>
      </c>
      <c r="K198" t="str">
        <v>Portugal</v>
      </c>
      <c r="L198">
        <v>648.72</v>
      </c>
    </row>
    <row r="199" spans="10:12" x14ac:dyDescent="0.2">
      <c r="J199">
        <v>10396</v>
      </c>
      <c r="K199" t="str">
        <v>Germany</v>
      </c>
      <c r="L199">
        <v>1032</v>
      </c>
    </row>
    <row r="200" spans="10:12" x14ac:dyDescent="0.2">
      <c r="J200">
        <v>10396</v>
      </c>
      <c r="K200" t="str">
        <v>Germany</v>
      </c>
      <c r="L200">
        <v>583.79999999999995</v>
      </c>
    </row>
    <row r="201" spans="10:12" x14ac:dyDescent="0.2">
      <c r="J201">
        <v>10396</v>
      </c>
      <c r="K201" t="str">
        <v>Germany</v>
      </c>
      <c r="L201">
        <v>288</v>
      </c>
    </row>
    <row r="202" spans="10:12" x14ac:dyDescent="0.2">
      <c r="J202">
        <v>10399</v>
      </c>
      <c r="K202" t="str">
        <v>Denmark</v>
      </c>
      <c r="L202">
        <v>504</v>
      </c>
    </row>
    <row r="203" spans="10:12" x14ac:dyDescent="0.2">
      <c r="J203">
        <v>10399</v>
      </c>
      <c r="K203" t="str">
        <v>Denmark</v>
      </c>
      <c r="L203">
        <v>145.6</v>
      </c>
    </row>
    <row r="204" spans="10:12" x14ac:dyDescent="0.2">
      <c r="J204">
        <v>10399</v>
      </c>
      <c r="K204" t="str">
        <v>Denmark</v>
      </c>
      <c r="L204">
        <v>600</v>
      </c>
    </row>
    <row r="205" spans="10:12" x14ac:dyDescent="0.2">
      <c r="J205">
        <v>10399</v>
      </c>
      <c r="K205" t="str">
        <v>Denmark</v>
      </c>
      <c r="L205">
        <v>516</v>
      </c>
    </row>
    <row r="206" spans="10:12" x14ac:dyDescent="0.2">
      <c r="J206">
        <v>10400</v>
      </c>
      <c r="K206" t="str">
        <v>UK</v>
      </c>
      <c r="L206">
        <v>504</v>
      </c>
    </row>
    <row r="207" spans="10:12" x14ac:dyDescent="0.2">
      <c r="J207">
        <v>10400</v>
      </c>
      <c r="K207" t="str">
        <v>UK</v>
      </c>
      <c r="L207">
        <v>480</v>
      </c>
    </row>
    <row r="208" spans="10:12" x14ac:dyDescent="0.2">
      <c r="J208">
        <v>10402</v>
      </c>
      <c r="K208" t="str">
        <v>Austria</v>
      </c>
      <c r="L208">
        <v>2281.5</v>
      </c>
    </row>
    <row r="209" spans="10:12" x14ac:dyDescent="0.2">
      <c r="J209">
        <v>10402</v>
      </c>
      <c r="K209" t="str">
        <v>Austria</v>
      </c>
      <c r="L209">
        <v>432</v>
      </c>
    </row>
    <row r="210" spans="10:12" x14ac:dyDescent="0.2">
      <c r="J210">
        <v>10404</v>
      </c>
      <c r="K210" t="str">
        <v>Italy</v>
      </c>
      <c r="L210">
        <v>709.65</v>
      </c>
    </row>
    <row r="211" spans="10:12" x14ac:dyDescent="0.2">
      <c r="J211">
        <v>10404</v>
      </c>
      <c r="K211" t="str">
        <v>Italy</v>
      </c>
      <c r="L211">
        <v>456</v>
      </c>
    </row>
    <row r="212" spans="10:12" x14ac:dyDescent="0.2">
      <c r="J212">
        <v>10404</v>
      </c>
      <c r="K212" t="str">
        <v>Italy</v>
      </c>
      <c r="L212">
        <v>425.6</v>
      </c>
    </row>
    <row r="213" spans="10:12" x14ac:dyDescent="0.2">
      <c r="J213">
        <v>10403</v>
      </c>
      <c r="K213" t="str">
        <v>Austria</v>
      </c>
      <c r="L213">
        <v>606.9</v>
      </c>
    </row>
    <row r="214" spans="10:12" x14ac:dyDescent="0.2">
      <c r="J214">
        <v>10403</v>
      </c>
      <c r="K214" t="str">
        <v>Austria</v>
      </c>
      <c r="L214">
        <v>248.11</v>
      </c>
    </row>
    <row r="215" spans="10:12" x14ac:dyDescent="0.2">
      <c r="J215">
        <v>10407</v>
      </c>
      <c r="K215" t="str">
        <v>Germany</v>
      </c>
      <c r="L215">
        <v>504</v>
      </c>
    </row>
    <row r="216" spans="10:12" x14ac:dyDescent="0.2">
      <c r="J216">
        <v>10407</v>
      </c>
      <c r="K216" t="str">
        <v>Germany</v>
      </c>
      <c r="L216">
        <v>432</v>
      </c>
    </row>
    <row r="217" spans="10:12" x14ac:dyDescent="0.2">
      <c r="J217">
        <v>10407</v>
      </c>
      <c r="K217" t="str">
        <v>Germany</v>
      </c>
      <c r="L217">
        <v>258</v>
      </c>
    </row>
    <row r="218" spans="10:12" x14ac:dyDescent="0.2">
      <c r="J218">
        <v>10408</v>
      </c>
      <c r="K218" t="str">
        <v>France</v>
      </c>
      <c r="L218">
        <v>1379</v>
      </c>
    </row>
    <row r="219" spans="10:12" x14ac:dyDescent="0.2">
      <c r="J219">
        <v>10412</v>
      </c>
      <c r="K219" t="str">
        <v>Finland</v>
      </c>
      <c r="L219">
        <v>334.8</v>
      </c>
    </row>
    <row r="220" spans="10:12" x14ac:dyDescent="0.2">
      <c r="J220">
        <v>10413</v>
      </c>
      <c r="K220" t="str">
        <v>France</v>
      </c>
      <c r="L220">
        <v>345.6</v>
      </c>
    </row>
    <row r="221" spans="10:12" x14ac:dyDescent="0.2">
      <c r="J221">
        <v>10413</v>
      </c>
      <c r="K221" t="str">
        <v>France</v>
      </c>
      <c r="L221">
        <v>201.6</v>
      </c>
    </row>
    <row r="222" spans="10:12" x14ac:dyDescent="0.2">
      <c r="J222">
        <v>10413</v>
      </c>
      <c r="K222" t="str">
        <v>France</v>
      </c>
      <c r="L222">
        <v>1576</v>
      </c>
    </row>
    <row r="223" spans="10:12" x14ac:dyDescent="0.2">
      <c r="J223">
        <v>10416</v>
      </c>
      <c r="K223" t="str">
        <v>Finland</v>
      </c>
      <c r="L223">
        <v>146</v>
      </c>
    </row>
    <row r="224" spans="10:12" x14ac:dyDescent="0.2">
      <c r="J224">
        <v>10416</v>
      </c>
      <c r="K224" t="str">
        <v>Finland</v>
      </c>
      <c r="L224">
        <v>312</v>
      </c>
    </row>
    <row r="225" spans="10:12" x14ac:dyDescent="0.2">
      <c r="J225">
        <v>10417</v>
      </c>
      <c r="K225" t="str">
        <v>Denmark</v>
      </c>
      <c r="L225">
        <v>10540</v>
      </c>
    </row>
    <row r="226" spans="10:12" x14ac:dyDescent="0.2">
      <c r="J226">
        <v>10417</v>
      </c>
      <c r="K226" t="str">
        <v>Denmark</v>
      </c>
      <c r="L226">
        <v>364</v>
      </c>
    </row>
    <row r="227" spans="10:12" x14ac:dyDescent="0.2">
      <c r="J227">
        <v>10417</v>
      </c>
      <c r="K227" t="str">
        <v>Denmark</v>
      </c>
      <c r="L227">
        <v>270</v>
      </c>
    </row>
    <row r="228" spans="10:12" x14ac:dyDescent="0.2">
      <c r="J228">
        <v>10418</v>
      </c>
      <c r="K228" t="str">
        <v>Germany</v>
      </c>
      <c r="L228">
        <v>912</v>
      </c>
    </row>
    <row r="229" spans="10:12" x14ac:dyDescent="0.2">
      <c r="J229">
        <v>10418</v>
      </c>
      <c r="K229" t="str">
        <v>Germany</v>
      </c>
      <c r="L229">
        <v>364.8</v>
      </c>
    </row>
    <row r="230" spans="10:12" x14ac:dyDescent="0.2">
      <c r="J230">
        <v>10418</v>
      </c>
      <c r="K230" t="str">
        <v>Germany</v>
      </c>
      <c r="L230">
        <v>418</v>
      </c>
    </row>
    <row r="231" spans="10:12" x14ac:dyDescent="0.2">
      <c r="J231">
        <v>10418</v>
      </c>
      <c r="K231" t="str">
        <v>Germany</v>
      </c>
      <c r="L231">
        <v>120</v>
      </c>
    </row>
    <row r="232" spans="10:12" x14ac:dyDescent="0.2">
      <c r="J232">
        <v>10419</v>
      </c>
      <c r="K232" t="str">
        <v>Switzerland</v>
      </c>
      <c r="L232">
        <v>1550.4</v>
      </c>
    </row>
    <row r="233" spans="10:12" x14ac:dyDescent="0.2">
      <c r="J233">
        <v>10419</v>
      </c>
      <c r="K233" t="str">
        <v>Switzerland</v>
      </c>
      <c r="L233">
        <v>547.20000000000005</v>
      </c>
    </row>
    <row r="234" spans="10:12" x14ac:dyDescent="0.2">
      <c r="J234">
        <v>10422</v>
      </c>
      <c r="K234" t="str">
        <v>Italy</v>
      </c>
      <c r="L234">
        <v>49.8</v>
      </c>
    </row>
    <row r="235" spans="10:12" x14ac:dyDescent="0.2">
      <c r="J235">
        <v>11078</v>
      </c>
      <c r="K235" t="str">
        <v>France</v>
      </c>
      <c r="L235">
        <v>336</v>
      </c>
    </row>
    <row r="236" spans="10:12" x14ac:dyDescent="0.2">
      <c r="J236">
        <v>11078</v>
      </c>
      <c r="K236" t="str">
        <v>France</v>
      </c>
      <c r="L236">
        <v>222.3</v>
      </c>
    </row>
    <row r="237" spans="10:12" x14ac:dyDescent="0.2">
      <c r="J237">
        <v>11078</v>
      </c>
      <c r="K237" t="str">
        <v>France</v>
      </c>
      <c r="L237">
        <v>95.76</v>
      </c>
    </row>
    <row r="238" spans="10:12" x14ac:dyDescent="0.2">
      <c r="J238">
        <v>10425</v>
      </c>
      <c r="K238" t="str">
        <v>France</v>
      </c>
      <c r="L238">
        <v>216</v>
      </c>
    </row>
    <row r="239" spans="10:12" x14ac:dyDescent="0.2">
      <c r="J239">
        <v>10426</v>
      </c>
      <c r="K239" t="str">
        <v>Spain</v>
      </c>
      <c r="L239">
        <v>186.2</v>
      </c>
    </row>
    <row r="240" spans="10:12" x14ac:dyDescent="0.2">
      <c r="J240">
        <v>10426</v>
      </c>
      <c r="K240" t="str">
        <v>Spain</v>
      </c>
      <c r="L240">
        <v>152</v>
      </c>
    </row>
    <row r="241" spans="10:12" x14ac:dyDescent="0.2">
      <c r="J241">
        <v>10427</v>
      </c>
      <c r="K241" t="str">
        <v>Austria</v>
      </c>
      <c r="L241">
        <v>651</v>
      </c>
    </row>
    <row r="242" spans="10:12" x14ac:dyDescent="0.2">
      <c r="J242">
        <v>10429</v>
      </c>
      <c r="K242" t="str">
        <v>Ireland</v>
      </c>
      <c r="L242">
        <v>921.38</v>
      </c>
    </row>
    <row r="243" spans="10:12" x14ac:dyDescent="0.2">
      <c r="J243">
        <v>10429</v>
      </c>
      <c r="K243" t="str">
        <v>Ireland</v>
      </c>
      <c r="L243">
        <v>520</v>
      </c>
    </row>
    <row r="244" spans="10:12" x14ac:dyDescent="0.2">
      <c r="J244">
        <v>10430</v>
      </c>
      <c r="K244" t="str">
        <v>Austria</v>
      </c>
      <c r="L244">
        <v>400</v>
      </c>
    </row>
    <row r="245" spans="10:12" x14ac:dyDescent="0.2">
      <c r="J245">
        <v>10430</v>
      </c>
      <c r="K245" t="str">
        <v>Austria</v>
      </c>
      <c r="L245">
        <v>2464</v>
      </c>
    </row>
    <row r="246" spans="10:12" x14ac:dyDescent="0.2">
      <c r="J246">
        <v>10430</v>
      </c>
      <c r="K246" t="str">
        <v>Austria</v>
      </c>
      <c r="L246">
        <v>912</v>
      </c>
    </row>
    <row r="247" spans="10:12" x14ac:dyDescent="0.2">
      <c r="J247">
        <v>10434</v>
      </c>
      <c r="K247" t="str">
        <v>Sweden</v>
      </c>
      <c r="L247">
        <v>220.32</v>
      </c>
    </row>
    <row r="248" spans="10:12" x14ac:dyDescent="0.2">
      <c r="J248">
        <v>10434</v>
      </c>
      <c r="K248" t="str">
        <v>Sweden</v>
      </c>
      <c r="L248">
        <v>100.8</v>
      </c>
    </row>
    <row r="249" spans="10:12" x14ac:dyDescent="0.2">
      <c r="J249">
        <v>10433</v>
      </c>
      <c r="K249" t="str">
        <v>Portugal</v>
      </c>
      <c r="L249">
        <v>851.2</v>
      </c>
    </row>
    <row r="250" spans="10:12" x14ac:dyDescent="0.2">
      <c r="J250">
        <v>10435</v>
      </c>
      <c r="K250" t="str">
        <v>UK</v>
      </c>
      <c r="L250">
        <v>152</v>
      </c>
    </row>
    <row r="251" spans="10:12" x14ac:dyDescent="0.2">
      <c r="J251">
        <v>10435</v>
      </c>
      <c r="K251" t="str">
        <v>UK</v>
      </c>
      <c r="L251">
        <v>278</v>
      </c>
    </row>
    <row r="252" spans="10:12" x14ac:dyDescent="0.2">
      <c r="J252">
        <v>10435</v>
      </c>
      <c r="K252" t="str">
        <v>UK</v>
      </c>
      <c r="L252">
        <v>201.6</v>
      </c>
    </row>
    <row r="253" spans="10:12" x14ac:dyDescent="0.2">
      <c r="J253">
        <v>10436</v>
      </c>
      <c r="K253" t="str">
        <v>France</v>
      </c>
      <c r="L253">
        <v>133.91999999999999</v>
      </c>
    </row>
    <row r="254" spans="10:12" x14ac:dyDescent="0.2">
      <c r="J254">
        <v>10436</v>
      </c>
      <c r="K254" t="str">
        <v>France</v>
      </c>
      <c r="L254">
        <v>1094.4000000000001</v>
      </c>
    </row>
    <row r="255" spans="10:12" x14ac:dyDescent="0.2">
      <c r="J255">
        <v>10436</v>
      </c>
      <c r="K255" t="str">
        <v>France</v>
      </c>
      <c r="L255">
        <v>718.2</v>
      </c>
    </row>
    <row r="256" spans="10:12" x14ac:dyDescent="0.2">
      <c r="J256">
        <v>10438</v>
      </c>
      <c r="K256" t="str">
        <v>Germany</v>
      </c>
      <c r="L256">
        <v>179.2</v>
      </c>
    </row>
    <row r="257" spans="10:12" x14ac:dyDescent="0.2">
      <c r="J257">
        <v>10438</v>
      </c>
      <c r="K257" t="str">
        <v>Germany</v>
      </c>
      <c r="L257">
        <v>87.6</v>
      </c>
    </row>
    <row r="258" spans="10:12" x14ac:dyDescent="0.2">
      <c r="J258">
        <v>10438</v>
      </c>
      <c r="K258" t="str">
        <v>Germany</v>
      </c>
      <c r="L258">
        <v>187.2</v>
      </c>
    </row>
    <row r="259" spans="10:12" x14ac:dyDescent="0.2">
      <c r="J259">
        <v>11081</v>
      </c>
      <c r="K259" t="str">
        <v>France</v>
      </c>
      <c r="L259">
        <v>240</v>
      </c>
    </row>
    <row r="260" spans="10:12" x14ac:dyDescent="0.2">
      <c r="J260">
        <v>10442</v>
      </c>
      <c r="K260" t="str">
        <v>Austria</v>
      </c>
      <c r="L260">
        <v>816</v>
      </c>
    </row>
    <row r="261" spans="10:12" x14ac:dyDescent="0.2">
      <c r="J261">
        <v>10442</v>
      </c>
      <c r="K261" t="str">
        <v>Austria</v>
      </c>
      <c r="L261">
        <v>504</v>
      </c>
    </row>
    <row r="262" spans="10:12" x14ac:dyDescent="0.2">
      <c r="J262">
        <v>10443</v>
      </c>
      <c r="K262" t="str">
        <v>Italy</v>
      </c>
      <c r="L262">
        <v>80.64</v>
      </c>
    </row>
    <row r="263" spans="10:12" x14ac:dyDescent="0.2">
      <c r="J263">
        <v>10443</v>
      </c>
      <c r="K263" t="str">
        <v>Italy</v>
      </c>
      <c r="L263">
        <v>436.8</v>
      </c>
    </row>
    <row r="264" spans="10:12" x14ac:dyDescent="0.2">
      <c r="J264">
        <v>10444</v>
      </c>
      <c r="K264" t="str">
        <v>Sweden</v>
      </c>
      <c r="L264">
        <v>115.2</v>
      </c>
    </row>
    <row r="265" spans="10:12" x14ac:dyDescent="0.2">
      <c r="J265">
        <v>10444</v>
      </c>
      <c r="K265" t="str">
        <v>Sweden</v>
      </c>
      <c r="L265">
        <v>373.5</v>
      </c>
    </row>
    <row r="266" spans="10:12" x14ac:dyDescent="0.2">
      <c r="J266">
        <v>10445</v>
      </c>
      <c r="K266" t="str">
        <v>Sweden</v>
      </c>
      <c r="L266">
        <v>86.4</v>
      </c>
    </row>
    <row r="267" spans="10:12" x14ac:dyDescent="0.2">
      <c r="J267">
        <v>10446</v>
      </c>
      <c r="K267" t="str">
        <v>Germany</v>
      </c>
      <c r="L267">
        <v>64.8</v>
      </c>
    </row>
    <row r="268" spans="10:12" x14ac:dyDescent="0.2">
      <c r="J268">
        <v>10446</v>
      </c>
      <c r="K268" t="str">
        <v>Germany</v>
      </c>
      <c r="L268">
        <v>78.84</v>
      </c>
    </row>
    <row r="269" spans="10:12" x14ac:dyDescent="0.2">
      <c r="J269">
        <v>10446</v>
      </c>
      <c r="K269" t="str">
        <v>Germany</v>
      </c>
      <c r="L269">
        <v>27</v>
      </c>
    </row>
    <row r="270" spans="10:12" x14ac:dyDescent="0.2">
      <c r="J270">
        <v>10446</v>
      </c>
      <c r="K270" t="str">
        <v>Germany</v>
      </c>
      <c r="L270">
        <v>75.599999999999994</v>
      </c>
    </row>
    <row r="271" spans="10:12" x14ac:dyDescent="0.2">
      <c r="J271">
        <v>10449</v>
      </c>
      <c r="K271" t="str">
        <v>France</v>
      </c>
      <c r="L271">
        <v>1379</v>
      </c>
    </row>
    <row r="272" spans="10:12" x14ac:dyDescent="0.2">
      <c r="J272">
        <v>10449</v>
      </c>
      <c r="K272" t="str">
        <v>France</v>
      </c>
      <c r="L272">
        <v>112</v>
      </c>
    </row>
    <row r="273" spans="10:12" x14ac:dyDescent="0.2">
      <c r="J273">
        <v>10451</v>
      </c>
      <c r="K273" t="str">
        <v>Germany</v>
      </c>
      <c r="L273">
        <v>514.79999999999995</v>
      </c>
    </row>
    <row r="274" spans="10:12" x14ac:dyDescent="0.2">
      <c r="J274">
        <v>10451</v>
      </c>
      <c r="K274" t="str">
        <v>Germany</v>
      </c>
      <c r="L274">
        <v>423.36</v>
      </c>
    </row>
    <row r="275" spans="10:12" x14ac:dyDescent="0.2">
      <c r="J275">
        <v>10451</v>
      </c>
      <c r="K275" t="str">
        <v>Germany</v>
      </c>
      <c r="L275">
        <v>837.9</v>
      </c>
    </row>
    <row r="276" spans="10:12" x14ac:dyDescent="0.2">
      <c r="J276">
        <v>10454</v>
      </c>
      <c r="K276" t="str">
        <v>France</v>
      </c>
      <c r="L276">
        <v>222.4</v>
      </c>
    </row>
    <row r="277" spans="10:12" x14ac:dyDescent="0.2">
      <c r="J277">
        <v>10454</v>
      </c>
      <c r="K277" t="str">
        <v>France</v>
      </c>
      <c r="L277">
        <v>32</v>
      </c>
    </row>
    <row r="278" spans="10:12" x14ac:dyDescent="0.2">
      <c r="J278">
        <v>10453</v>
      </c>
      <c r="K278" t="str">
        <v>UK</v>
      </c>
      <c r="L278">
        <v>270</v>
      </c>
    </row>
    <row r="279" spans="10:12" x14ac:dyDescent="0.2">
      <c r="J279">
        <v>10453</v>
      </c>
      <c r="K279" t="str">
        <v>UK</v>
      </c>
      <c r="L279">
        <v>137.69999999999999</v>
      </c>
    </row>
    <row r="280" spans="10:12" x14ac:dyDescent="0.2">
      <c r="J280">
        <v>10455</v>
      </c>
      <c r="K280" t="str">
        <v>Finland</v>
      </c>
      <c r="L280">
        <v>288</v>
      </c>
    </row>
    <row r="281" spans="10:12" x14ac:dyDescent="0.2">
      <c r="J281">
        <v>10455</v>
      </c>
      <c r="K281" t="str">
        <v>Finland</v>
      </c>
      <c r="L281">
        <v>570</v>
      </c>
    </row>
    <row r="282" spans="10:12" x14ac:dyDescent="0.2">
      <c r="J282">
        <v>10455</v>
      </c>
      <c r="K282" t="str">
        <v>Finland</v>
      </c>
      <c r="L282">
        <v>516</v>
      </c>
    </row>
    <row r="283" spans="10:12" x14ac:dyDescent="0.2">
      <c r="J283">
        <v>10456</v>
      </c>
      <c r="K283" t="str">
        <v>Germany</v>
      </c>
      <c r="L283">
        <v>285.60000000000002</v>
      </c>
    </row>
    <row r="284" spans="10:12" x14ac:dyDescent="0.2">
      <c r="J284">
        <v>10456</v>
      </c>
      <c r="K284" t="str">
        <v>Germany</v>
      </c>
      <c r="L284">
        <v>272</v>
      </c>
    </row>
    <row r="285" spans="10:12" x14ac:dyDescent="0.2">
      <c r="J285">
        <v>10457</v>
      </c>
      <c r="K285" t="str">
        <v>Germany</v>
      </c>
      <c r="L285">
        <v>1584</v>
      </c>
    </row>
    <row r="286" spans="10:12" x14ac:dyDescent="0.2">
      <c r="J286">
        <v>10458</v>
      </c>
      <c r="K286" t="str">
        <v>Belgium</v>
      </c>
      <c r="L286">
        <v>736</v>
      </c>
    </row>
    <row r="287" spans="10:12" x14ac:dyDescent="0.2">
      <c r="J287">
        <v>10458</v>
      </c>
      <c r="K287" t="str">
        <v>Belgium</v>
      </c>
      <c r="L287">
        <v>747</v>
      </c>
    </row>
    <row r="288" spans="10:12" x14ac:dyDescent="0.2">
      <c r="J288">
        <v>10458</v>
      </c>
      <c r="K288" t="str">
        <v>Belgium</v>
      </c>
      <c r="L288">
        <v>860</v>
      </c>
    </row>
    <row r="289" spans="10:12" x14ac:dyDescent="0.2">
      <c r="J289">
        <v>10458</v>
      </c>
      <c r="K289" t="str">
        <v>Belgium</v>
      </c>
      <c r="L289">
        <v>456</v>
      </c>
    </row>
    <row r="290" spans="10:12" x14ac:dyDescent="0.2">
      <c r="J290">
        <v>10458</v>
      </c>
      <c r="K290" t="str">
        <v>Belgium</v>
      </c>
      <c r="L290">
        <v>1092</v>
      </c>
    </row>
    <row r="291" spans="10:12" x14ac:dyDescent="0.2">
      <c r="J291">
        <v>10459</v>
      </c>
      <c r="K291" t="str">
        <v>France</v>
      </c>
      <c r="L291">
        <v>1112</v>
      </c>
    </row>
    <row r="292" spans="10:12" x14ac:dyDescent="0.2">
      <c r="J292">
        <v>10459</v>
      </c>
      <c r="K292" t="str">
        <v>France</v>
      </c>
      <c r="L292">
        <v>364.8</v>
      </c>
    </row>
    <row r="293" spans="10:12" x14ac:dyDescent="0.2">
      <c r="J293">
        <v>10460</v>
      </c>
      <c r="K293" t="str">
        <v>Sweden</v>
      </c>
      <c r="L293">
        <v>18.600000000000001</v>
      </c>
    </row>
    <row r="294" spans="10:12" x14ac:dyDescent="0.2">
      <c r="J294">
        <v>10460</v>
      </c>
      <c r="K294" t="str">
        <v>Sweden</v>
      </c>
      <c r="L294">
        <v>157.5</v>
      </c>
    </row>
    <row r="295" spans="10:12" x14ac:dyDescent="0.2">
      <c r="J295">
        <v>10462</v>
      </c>
      <c r="K295" t="str">
        <v>UK</v>
      </c>
      <c r="L295">
        <v>151.19999999999999</v>
      </c>
    </row>
    <row r="296" spans="10:12" x14ac:dyDescent="0.2">
      <c r="J296">
        <v>10463</v>
      </c>
      <c r="K296" t="str">
        <v>Belgium</v>
      </c>
      <c r="L296">
        <v>153.30000000000001</v>
      </c>
    </row>
    <row r="297" spans="10:12" x14ac:dyDescent="0.2">
      <c r="J297">
        <v>10463</v>
      </c>
      <c r="K297" t="str">
        <v>Belgium</v>
      </c>
      <c r="L297">
        <v>560</v>
      </c>
    </row>
    <row r="298" spans="10:12" x14ac:dyDescent="0.2">
      <c r="J298">
        <v>10464</v>
      </c>
      <c r="K298" t="str">
        <v>Portugal</v>
      </c>
      <c r="L298">
        <v>110.4</v>
      </c>
    </row>
    <row r="299" spans="10:12" x14ac:dyDescent="0.2">
      <c r="J299">
        <v>10464</v>
      </c>
      <c r="K299" t="str">
        <v>Portugal</v>
      </c>
      <c r="L299">
        <v>225.28</v>
      </c>
    </row>
    <row r="300" spans="10:12" x14ac:dyDescent="0.2">
      <c r="J300">
        <v>10464</v>
      </c>
      <c r="K300" t="str">
        <v>Portugal</v>
      </c>
      <c r="L300">
        <v>544</v>
      </c>
    </row>
    <row r="301" spans="10:12" x14ac:dyDescent="0.2">
      <c r="J301">
        <v>10464</v>
      </c>
      <c r="K301" t="str">
        <v>Portugal</v>
      </c>
      <c r="L301">
        <v>729.6</v>
      </c>
    </row>
    <row r="302" spans="10:12" x14ac:dyDescent="0.2">
      <c r="J302">
        <v>10465</v>
      </c>
      <c r="K302" t="str">
        <v>Denmark</v>
      </c>
      <c r="L302">
        <v>90</v>
      </c>
    </row>
    <row r="303" spans="10:12" x14ac:dyDescent="0.2">
      <c r="J303">
        <v>10465</v>
      </c>
      <c r="K303" t="str">
        <v>Denmark</v>
      </c>
      <c r="L303">
        <v>325</v>
      </c>
    </row>
    <row r="304" spans="10:12" x14ac:dyDescent="0.2">
      <c r="J304">
        <v>10467</v>
      </c>
      <c r="K304" t="str">
        <v>Italy</v>
      </c>
      <c r="L304">
        <v>100.8</v>
      </c>
    </row>
    <row r="305" spans="10:12" x14ac:dyDescent="0.2">
      <c r="J305">
        <v>10467</v>
      </c>
      <c r="K305" t="str">
        <v>Italy</v>
      </c>
      <c r="L305">
        <v>134.4</v>
      </c>
    </row>
    <row r="306" spans="10:12" x14ac:dyDescent="0.2">
      <c r="J306">
        <v>10468</v>
      </c>
      <c r="K306" t="str">
        <v>Germany</v>
      </c>
      <c r="L306">
        <v>552</v>
      </c>
    </row>
    <row r="307" spans="10:12" x14ac:dyDescent="0.2">
      <c r="J307">
        <v>10470</v>
      </c>
      <c r="K307" t="str">
        <v>France</v>
      </c>
      <c r="L307">
        <v>212.8</v>
      </c>
    </row>
    <row r="308" spans="10:12" x14ac:dyDescent="0.2">
      <c r="J308">
        <v>10470</v>
      </c>
      <c r="K308" t="str">
        <v>France</v>
      </c>
      <c r="L308">
        <v>108</v>
      </c>
    </row>
    <row r="309" spans="10:12" x14ac:dyDescent="0.2">
      <c r="J309">
        <v>10471</v>
      </c>
      <c r="K309" t="str">
        <v>UK</v>
      </c>
      <c r="L309">
        <v>608</v>
      </c>
    </row>
    <row r="310" spans="10:12" x14ac:dyDescent="0.2">
      <c r="J310">
        <v>10471</v>
      </c>
      <c r="K310" t="str">
        <v>UK</v>
      </c>
      <c r="L310">
        <v>720</v>
      </c>
    </row>
    <row r="311" spans="10:12" x14ac:dyDescent="0.2">
      <c r="J311">
        <v>10472</v>
      </c>
      <c r="K311" t="str">
        <v>UK</v>
      </c>
      <c r="L311">
        <v>273.60000000000002</v>
      </c>
    </row>
    <row r="312" spans="10:12" x14ac:dyDescent="0.2">
      <c r="J312">
        <v>10472</v>
      </c>
      <c r="K312" t="str">
        <v>UK</v>
      </c>
      <c r="L312">
        <v>763.2</v>
      </c>
    </row>
    <row r="313" spans="10:12" x14ac:dyDescent="0.2">
      <c r="J313">
        <v>10473</v>
      </c>
      <c r="K313" t="str">
        <v>UK</v>
      </c>
      <c r="L313">
        <v>206.4</v>
      </c>
    </row>
    <row r="314" spans="10:12" x14ac:dyDescent="0.2">
      <c r="J314">
        <v>10473</v>
      </c>
      <c r="K314" t="str">
        <v>UK</v>
      </c>
      <c r="L314">
        <v>24</v>
      </c>
    </row>
    <row r="315" spans="10:12" x14ac:dyDescent="0.2">
      <c r="J315">
        <v>10475</v>
      </c>
      <c r="K315" t="str">
        <v>Belgium</v>
      </c>
      <c r="L315">
        <v>514.08000000000004</v>
      </c>
    </row>
    <row r="316" spans="10:12" x14ac:dyDescent="0.2">
      <c r="J316">
        <v>10475</v>
      </c>
      <c r="K316" t="str">
        <v>Belgium</v>
      </c>
      <c r="L316">
        <v>693.6</v>
      </c>
    </row>
    <row r="317" spans="10:12" x14ac:dyDescent="0.2">
      <c r="J317">
        <v>10475</v>
      </c>
      <c r="K317" t="str">
        <v>Belgium</v>
      </c>
      <c r="L317">
        <v>297.5</v>
      </c>
    </row>
    <row r="318" spans="10:12" x14ac:dyDescent="0.2">
      <c r="J318">
        <v>10477</v>
      </c>
      <c r="K318" t="str">
        <v>Portugal</v>
      </c>
      <c r="L318">
        <v>216</v>
      </c>
    </row>
    <row r="319" spans="10:12" x14ac:dyDescent="0.2">
      <c r="J319">
        <v>10477</v>
      </c>
      <c r="K319" t="str">
        <v>Portugal</v>
      </c>
      <c r="L319">
        <v>126</v>
      </c>
    </row>
    <row r="320" spans="10:12" x14ac:dyDescent="0.2">
      <c r="J320">
        <v>10480</v>
      </c>
      <c r="K320" t="str">
        <v>France</v>
      </c>
      <c r="L320">
        <v>228</v>
      </c>
    </row>
    <row r="321" spans="10:12" x14ac:dyDescent="0.2">
      <c r="J321">
        <v>10480</v>
      </c>
      <c r="K321" t="str">
        <v>France</v>
      </c>
      <c r="L321">
        <v>528</v>
      </c>
    </row>
    <row r="322" spans="10:12" x14ac:dyDescent="0.2">
      <c r="J322">
        <v>11084</v>
      </c>
      <c r="K322" t="str">
        <v>France</v>
      </c>
      <c r="L322">
        <v>864</v>
      </c>
    </row>
    <row r="323" spans="10:12" x14ac:dyDescent="0.2">
      <c r="J323">
        <v>11084</v>
      </c>
      <c r="K323" t="str">
        <v>France</v>
      </c>
      <c r="L323">
        <v>556</v>
      </c>
    </row>
    <row r="324" spans="10:12" x14ac:dyDescent="0.2">
      <c r="J324">
        <v>10484</v>
      </c>
      <c r="K324" t="str">
        <v>UK</v>
      </c>
      <c r="L324">
        <v>112</v>
      </c>
    </row>
    <row r="325" spans="10:12" x14ac:dyDescent="0.2">
      <c r="J325">
        <v>10484</v>
      </c>
      <c r="K325" t="str">
        <v>UK</v>
      </c>
      <c r="L325">
        <v>127.2</v>
      </c>
    </row>
    <row r="326" spans="10:12" x14ac:dyDescent="0.2">
      <c r="J326">
        <v>10488</v>
      </c>
      <c r="K326" t="str">
        <v>Germany</v>
      </c>
      <c r="L326">
        <v>1320</v>
      </c>
    </row>
    <row r="327" spans="10:12" x14ac:dyDescent="0.2">
      <c r="J327">
        <v>10489</v>
      </c>
      <c r="K327" t="str">
        <v>Austria</v>
      </c>
      <c r="L327">
        <v>250.2</v>
      </c>
    </row>
    <row r="328" spans="10:12" x14ac:dyDescent="0.2">
      <c r="J328">
        <v>10489</v>
      </c>
      <c r="K328" t="str">
        <v>Austria</v>
      </c>
      <c r="L328">
        <v>189</v>
      </c>
    </row>
    <row r="329" spans="10:12" x14ac:dyDescent="0.2">
      <c r="J329">
        <v>10491</v>
      </c>
      <c r="K329" t="str">
        <v>Portugal</v>
      </c>
      <c r="L329">
        <v>197.62</v>
      </c>
    </row>
    <row r="330" spans="10:12" x14ac:dyDescent="0.2">
      <c r="J330">
        <v>10491</v>
      </c>
      <c r="K330" t="str">
        <v>Portugal</v>
      </c>
      <c r="L330">
        <v>61.88</v>
      </c>
    </row>
    <row r="331" spans="10:12" x14ac:dyDescent="0.2">
      <c r="J331">
        <v>10493</v>
      </c>
      <c r="K331" t="str">
        <v>France</v>
      </c>
      <c r="L331">
        <v>226.8</v>
      </c>
    </row>
    <row r="332" spans="10:12" x14ac:dyDescent="0.2">
      <c r="J332">
        <v>10493</v>
      </c>
      <c r="K332" t="str">
        <v>France</v>
      </c>
      <c r="L332">
        <v>122.4</v>
      </c>
    </row>
    <row r="333" spans="10:12" x14ac:dyDescent="0.2">
      <c r="J333">
        <v>10493</v>
      </c>
      <c r="K333" t="str">
        <v>France</v>
      </c>
      <c r="L333">
        <v>259.2</v>
      </c>
    </row>
    <row r="334" spans="10:12" x14ac:dyDescent="0.2">
      <c r="J334">
        <v>10497</v>
      </c>
      <c r="K334" t="str">
        <v>Germany</v>
      </c>
      <c r="L334">
        <v>260</v>
      </c>
    </row>
    <row r="335" spans="10:12" x14ac:dyDescent="0.2">
      <c r="J335">
        <v>10497</v>
      </c>
      <c r="K335" t="str">
        <v>Germany</v>
      </c>
      <c r="L335">
        <v>695</v>
      </c>
    </row>
    <row r="336" spans="10:12" x14ac:dyDescent="0.2">
      <c r="J336">
        <v>10497</v>
      </c>
      <c r="K336" t="str">
        <v>Germany</v>
      </c>
      <c r="L336">
        <v>425.6</v>
      </c>
    </row>
    <row r="337" spans="10:12" x14ac:dyDescent="0.2">
      <c r="J337">
        <v>10500</v>
      </c>
      <c r="K337" t="str">
        <v>France</v>
      </c>
      <c r="L337">
        <v>176.7</v>
      </c>
    </row>
    <row r="338" spans="10:12" x14ac:dyDescent="0.2">
      <c r="J338">
        <v>10500</v>
      </c>
      <c r="K338" t="str">
        <v>France</v>
      </c>
      <c r="L338">
        <v>346.56</v>
      </c>
    </row>
    <row r="339" spans="10:12" x14ac:dyDescent="0.2">
      <c r="J339">
        <v>10503</v>
      </c>
      <c r="K339" t="str">
        <v>Ireland</v>
      </c>
      <c r="L339">
        <v>421</v>
      </c>
    </row>
    <row r="340" spans="10:12" x14ac:dyDescent="0.2">
      <c r="J340">
        <v>10503</v>
      </c>
      <c r="K340" t="str">
        <v>Ireland</v>
      </c>
      <c r="L340">
        <v>1627.5</v>
      </c>
    </row>
    <row r="341" spans="10:12" x14ac:dyDescent="0.2">
      <c r="J341">
        <v>10506</v>
      </c>
      <c r="K341" t="str">
        <v>Germany</v>
      </c>
      <c r="L341">
        <v>189</v>
      </c>
    </row>
    <row r="342" spans="10:12" x14ac:dyDescent="0.2">
      <c r="J342">
        <v>10506</v>
      </c>
      <c r="K342" t="str">
        <v>Germany</v>
      </c>
      <c r="L342">
        <v>226.8</v>
      </c>
    </row>
    <row r="343" spans="10:12" x14ac:dyDescent="0.2">
      <c r="J343">
        <v>10508</v>
      </c>
      <c r="K343" t="str">
        <v>Germany</v>
      </c>
      <c r="L343">
        <v>180</v>
      </c>
    </row>
    <row r="344" spans="10:12" x14ac:dyDescent="0.2">
      <c r="J344">
        <v>10509</v>
      </c>
      <c r="K344" t="str">
        <v>Germany</v>
      </c>
      <c r="L344">
        <v>136.80000000000001</v>
      </c>
    </row>
    <row r="345" spans="10:12" x14ac:dyDescent="0.2">
      <c r="J345">
        <v>10511</v>
      </c>
      <c r="K345" t="str">
        <v>France</v>
      </c>
      <c r="L345">
        <v>935</v>
      </c>
    </row>
    <row r="346" spans="10:12" x14ac:dyDescent="0.2">
      <c r="J346">
        <v>10511</v>
      </c>
      <c r="K346" t="str">
        <v>France</v>
      </c>
      <c r="L346">
        <v>340</v>
      </c>
    </row>
    <row r="347" spans="10:12" x14ac:dyDescent="0.2">
      <c r="J347">
        <v>10511</v>
      </c>
      <c r="K347" t="str">
        <v>France</v>
      </c>
      <c r="L347">
        <v>1275</v>
      </c>
    </row>
    <row r="348" spans="10:12" x14ac:dyDescent="0.2">
      <c r="J348">
        <v>10513</v>
      </c>
      <c r="K348" t="str">
        <v>Germany</v>
      </c>
      <c r="L348">
        <v>342</v>
      </c>
    </row>
    <row r="349" spans="10:12" x14ac:dyDescent="0.2">
      <c r="J349">
        <v>10513</v>
      </c>
      <c r="K349" t="str">
        <v>Germany</v>
      </c>
      <c r="L349">
        <v>320</v>
      </c>
    </row>
    <row r="350" spans="10:12" x14ac:dyDescent="0.2">
      <c r="J350">
        <v>10513</v>
      </c>
      <c r="K350" t="str">
        <v>Germany</v>
      </c>
      <c r="L350">
        <v>1280</v>
      </c>
    </row>
    <row r="351" spans="10:12" x14ac:dyDescent="0.2">
      <c r="J351">
        <v>10514</v>
      </c>
      <c r="K351" t="str">
        <v>Austria</v>
      </c>
      <c r="L351">
        <v>387.5</v>
      </c>
    </row>
    <row r="352" spans="10:12" x14ac:dyDescent="0.2">
      <c r="J352">
        <v>10514</v>
      </c>
      <c r="K352" t="str">
        <v>Austria</v>
      </c>
      <c r="L352">
        <v>820.95</v>
      </c>
    </row>
    <row r="353" spans="10:12" x14ac:dyDescent="0.2">
      <c r="J353">
        <v>10514</v>
      </c>
      <c r="K353" t="str">
        <v>Austria</v>
      </c>
      <c r="L353">
        <v>3159</v>
      </c>
    </row>
    <row r="354" spans="10:12" x14ac:dyDescent="0.2">
      <c r="J354">
        <v>10514</v>
      </c>
      <c r="K354" t="str">
        <v>Austria</v>
      </c>
      <c r="L354">
        <v>2660</v>
      </c>
    </row>
    <row r="355" spans="10:12" x14ac:dyDescent="0.2">
      <c r="J355">
        <v>10514</v>
      </c>
      <c r="K355" t="str">
        <v>Austria</v>
      </c>
      <c r="L355">
        <v>1596</v>
      </c>
    </row>
    <row r="356" spans="10:12" x14ac:dyDescent="0.2">
      <c r="J356">
        <v>10515</v>
      </c>
      <c r="K356" t="str">
        <v>Germany</v>
      </c>
      <c r="L356">
        <v>5268</v>
      </c>
    </row>
    <row r="357" spans="10:12" x14ac:dyDescent="0.2">
      <c r="J357">
        <v>10515</v>
      </c>
      <c r="K357" t="str">
        <v>Germany</v>
      </c>
      <c r="L357">
        <v>872.5</v>
      </c>
    </row>
    <row r="358" spans="10:12" x14ac:dyDescent="0.2">
      <c r="J358">
        <v>10515</v>
      </c>
      <c r="K358" t="str">
        <v>Germany</v>
      </c>
      <c r="L358">
        <v>2427.6</v>
      </c>
    </row>
    <row r="359" spans="10:12" x14ac:dyDescent="0.2">
      <c r="J359">
        <v>10515</v>
      </c>
      <c r="K359" t="str">
        <v>Germany</v>
      </c>
      <c r="L359">
        <v>34</v>
      </c>
    </row>
    <row r="360" spans="10:12" x14ac:dyDescent="0.2">
      <c r="J360">
        <v>10517</v>
      </c>
      <c r="K360" t="str">
        <v>UK</v>
      </c>
      <c r="L360">
        <v>90</v>
      </c>
    </row>
    <row r="361" spans="10:12" x14ac:dyDescent="0.2">
      <c r="J361">
        <v>10517</v>
      </c>
      <c r="K361" t="str">
        <v>UK</v>
      </c>
      <c r="L361">
        <v>220</v>
      </c>
    </row>
    <row r="362" spans="10:12" x14ac:dyDescent="0.2">
      <c r="J362">
        <v>10517</v>
      </c>
      <c r="K362" t="str">
        <v>UK</v>
      </c>
      <c r="L362">
        <v>42</v>
      </c>
    </row>
    <row r="363" spans="10:12" x14ac:dyDescent="0.2">
      <c r="J363">
        <v>10516</v>
      </c>
      <c r="K363" t="str">
        <v>Ireland</v>
      </c>
      <c r="L363">
        <v>280</v>
      </c>
    </row>
    <row r="364" spans="10:12" x14ac:dyDescent="0.2">
      <c r="J364">
        <v>10519</v>
      </c>
      <c r="K364" t="str">
        <v>Switzerland</v>
      </c>
      <c r="L364">
        <v>323</v>
      </c>
    </row>
    <row r="365" spans="10:12" x14ac:dyDescent="0.2">
      <c r="J365">
        <v>10519</v>
      </c>
      <c r="K365" t="str">
        <v>Switzerland</v>
      </c>
      <c r="L365">
        <v>1520</v>
      </c>
    </row>
    <row r="366" spans="10:12" x14ac:dyDescent="0.2">
      <c r="J366">
        <v>10520</v>
      </c>
      <c r="K366" t="str">
        <v>Norway</v>
      </c>
      <c r="L366">
        <v>36</v>
      </c>
    </row>
    <row r="367" spans="10:12" x14ac:dyDescent="0.2">
      <c r="J367">
        <v>10522</v>
      </c>
      <c r="K367" t="str">
        <v>Germany</v>
      </c>
      <c r="L367">
        <v>576</v>
      </c>
    </row>
    <row r="368" spans="10:12" x14ac:dyDescent="0.2">
      <c r="J368">
        <v>10522</v>
      </c>
      <c r="K368" t="str">
        <v>Germany</v>
      </c>
      <c r="L368">
        <v>960</v>
      </c>
    </row>
    <row r="369" spans="10:12" x14ac:dyDescent="0.2">
      <c r="J369">
        <v>10524</v>
      </c>
      <c r="K369" t="str">
        <v>Sweden</v>
      </c>
      <c r="L369">
        <v>2760</v>
      </c>
    </row>
    <row r="370" spans="10:12" x14ac:dyDescent="0.2">
      <c r="J370">
        <v>10523</v>
      </c>
      <c r="K370" t="str">
        <v>UK</v>
      </c>
      <c r="L370">
        <v>1093.5</v>
      </c>
    </row>
    <row r="371" spans="10:12" x14ac:dyDescent="0.2">
      <c r="J371">
        <v>10527</v>
      </c>
      <c r="K371" t="str">
        <v>Germany</v>
      </c>
      <c r="L371">
        <v>990</v>
      </c>
    </row>
    <row r="372" spans="10:12" x14ac:dyDescent="0.2">
      <c r="J372">
        <v>10526</v>
      </c>
      <c r="K372" t="str">
        <v>Finland</v>
      </c>
      <c r="L372">
        <v>122.4</v>
      </c>
    </row>
    <row r="373" spans="10:12" x14ac:dyDescent="0.2">
      <c r="J373">
        <v>10526</v>
      </c>
      <c r="K373" t="str">
        <v>Finland</v>
      </c>
      <c r="L373">
        <v>969</v>
      </c>
    </row>
    <row r="374" spans="10:12" x14ac:dyDescent="0.2">
      <c r="J374">
        <v>10529</v>
      </c>
      <c r="K374" t="str">
        <v>Belgium</v>
      </c>
      <c r="L374">
        <v>250</v>
      </c>
    </row>
    <row r="375" spans="10:12" x14ac:dyDescent="0.2">
      <c r="J375">
        <v>10529</v>
      </c>
      <c r="K375" t="str">
        <v>Belgium</v>
      </c>
      <c r="L375">
        <v>360</v>
      </c>
    </row>
    <row r="376" spans="10:12" x14ac:dyDescent="0.2">
      <c r="J376">
        <v>10530</v>
      </c>
      <c r="K376" t="str">
        <v>Austria</v>
      </c>
      <c r="L376">
        <v>1150</v>
      </c>
    </row>
    <row r="377" spans="10:12" x14ac:dyDescent="0.2">
      <c r="J377">
        <v>10530</v>
      </c>
      <c r="K377" t="str">
        <v>Austria</v>
      </c>
      <c r="L377">
        <v>900</v>
      </c>
    </row>
    <row r="378" spans="10:12" x14ac:dyDescent="0.2">
      <c r="J378">
        <v>10530</v>
      </c>
      <c r="K378" t="str">
        <v>Austria</v>
      </c>
      <c r="L378">
        <v>570</v>
      </c>
    </row>
    <row r="379" spans="10:12" x14ac:dyDescent="0.2">
      <c r="J379">
        <v>10532</v>
      </c>
      <c r="K379" t="str">
        <v>UK</v>
      </c>
      <c r="L379">
        <v>408</v>
      </c>
    </row>
    <row r="380" spans="10:12" x14ac:dyDescent="0.2">
      <c r="J380">
        <v>11095</v>
      </c>
      <c r="K380" t="str">
        <v>France</v>
      </c>
      <c r="L380">
        <v>100</v>
      </c>
    </row>
    <row r="381" spans="10:12" x14ac:dyDescent="0.2">
      <c r="J381">
        <v>11095</v>
      </c>
      <c r="K381" t="str">
        <v>France</v>
      </c>
      <c r="L381">
        <v>44.8</v>
      </c>
    </row>
    <row r="382" spans="10:12" x14ac:dyDescent="0.2">
      <c r="J382">
        <v>10533</v>
      </c>
      <c r="K382" t="str">
        <v>Sweden</v>
      </c>
      <c r="L382">
        <v>1045</v>
      </c>
    </row>
    <row r="383" spans="10:12" x14ac:dyDescent="0.2">
      <c r="J383">
        <v>10533</v>
      </c>
      <c r="K383" t="str">
        <v>Sweden</v>
      </c>
      <c r="L383">
        <v>835.2</v>
      </c>
    </row>
    <row r="384" spans="10:12" x14ac:dyDescent="0.2">
      <c r="J384">
        <v>10537</v>
      </c>
      <c r="K384" t="str">
        <v>Switzerland</v>
      </c>
      <c r="L384">
        <v>730.8</v>
      </c>
    </row>
    <row r="385" spans="10:12" x14ac:dyDescent="0.2">
      <c r="J385">
        <v>10537</v>
      </c>
      <c r="K385" t="str">
        <v>Switzerland</v>
      </c>
      <c r="L385">
        <v>375</v>
      </c>
    </row>
    <row r="386" spans="10:12" x14ac:dyDescent="0.2">
      <c r="J386">
        <v>10537</v>
      </c>
      <c r="K386" t="str">
        <v>Switzerland</v>
      </c>
      <c r="L386">
        <v>318</v>
      </c>
    </row>
    <row r="387" spans="10:12" x14ac:dyDescent="0.2">
      <c r="J387">
        <v>10536</v>
      </c>
      <c r="K387" t="str">
        <v>Germany</v>
      </c>
      <c r="L387">
        <v>892.5</v>
      </c>
    </row>
    <row r="388" spans="10:12" x14ac:dyDescent="0.2">
      <c r="J388">
        <v>10536</v>
      </c>
      <c r="K388" t="str">
        <v>Germany</v>
      </c>
      <c r="L388">
        <v>427.5</v>
      </c>
    </row>
    <row r="389" spans="10:12" x14ac:dyDescent="0.2">
      <c r="J389">
        <v>10536</v>
      </c>
      <c r="K389" t="str">
        <v>Germany</v>
      </c>
      <c r="L389">
        <v>250</v>
      </c>
    </row>
    <row r="390" spans="10:12" x14ac:dyDescent="0.2">
      <c r="J390">
        <v>10536</v>
      </c>
      <c r="K390" t="str">
        <v>Germany</v>
      </c>
      <c r="L390">
        <v>75</v>
      </c>
    </row>
    <row r="391" spans="10:12" x14ac:dyDescent="0.2">
      <c r="J391">
        <v>10538</v>
      </c>
      <c r="K391" t="str">
        <v>UK</v>
      </c>
      <c r="L391">
        <v>105</v>
      </c>
    </row>
    <row r="392" spans="10:12" x14ac:dyDescent="0.2">
      <c r="J392">
        <v>10538</v>
      </c>
      <c r="K392" t="str">
        <v>UK</v>
      </c>
      <c r="L392">
        <v>34.799999999999997</v>
      </c>
    </row>
    <row r="393" spans="10:12" x14ac:dyDescent="0.2">
      <c r="J393">
        <v>10539</v>
      </c>
      <c r="K393" t="str">
        <v>UK</v>
      </c>
      <c r="L393">
        <v>150</v>
      </c>
    </row>
    <row r="394" spans="10:12" x14ac:dyDescent="0.2">
      <c r="J394">
        <v>10539</v>
      </c>
      <c r="K394" t="str">
        <v>UK</v>
      </c>
      <c r="L394">
        <v>120</v>
      </c>
    </row>
    <row r="395" spans="10:12" x14ac:dyDescent="0.2">
      <c r="J395">
        <v>10539</v>
      </c>
      <c r="K395" t="str">
        <v>UK</v>
      </c>
      <c r="L395">
        <v>37.5</v>
      </c>
    </row>
    <row r="396" spans="10:12" x14ac:dyDescent="0.2">
      <c r="J396">
        <v>11099</v>
      </c>
      <c r="K396" t="str">
        <v>France</v>
      </c>
      <c r="L396">
        <v>1398.4</v>
      </c>
    </row>
    <row r="397" spans="10:12" x14ac:dyDescent="0.2">
      <c r="J397">
        <v>10540</v>
      </c>
      <c r="K397" t="str">
        <v>Germany</v>
      </c>
      <c r="L397">
        <v>7905</v>
      </c>
    </row>
    <row r="398" spans="10:12" x14ac:dyDescent="0.2">
      <c r="J398">
        <v>10540</v>
      </c>
      <c r="K398" t="str">
        <v>Germany</v>
      </c>
      <c r="L398">
        <v>600</v>
      </c>
    </row>
    <row r="399" spans="10:12" x14ac:dyDescent="0.2">
      <c r="J399">
        <v>10540</v>
      </c>
      <c r="K399" t="str">
        <v>Germany</v>
      </c>
      <c r="L399">
        <v>1249.2</v>
      </c>
    </row>
    <row r="400" spans="10:12" x14ac:dyDescent="0.2">
      <c r="J400">
        <v>10540</v>
      </c>
      <c r="K400" t="str">
        <v>Germany</v>
      </c>
      <c r="L400">
        <v>437.5</v>
      </c>
    </row>
    <row r="401" spans="10:12" x14ac:dyDescent="0.2">
      <c r="J401">
        <v>10542</v>
      </c>
      <c r="K401" t="str">
        <v>Germany</v>
      </c>
      <c r="L401">
        <v>299.25</v>
      </c>
    </row>
    <row r="402" spans="10:12" x14ac:dyDescent="0.2">
      <c r="J402">
        <v>10546</v>
      </c>
      <c r="K402" t="str">
        <v>France</v>
      </c>
      <c r="L402">
        <v>540</v>
      </c>
    </row>
    <row r="403" spans="10:12" x14ac:dyDescent="0.2">
      <c r="J403">
        <v>10546</v>
      </c>
      <c r="K403" t="str">
        <v>France</v>
      </c>
      <c r="L403">
        <v>1972</v>
      </c>
    </row>
    <row r="404" spans="10:12" x14ac:dyDescent="0.2">
      <c r="J404">
        <v>10546</v>
      </c>
      <c r="K404" t="str">
        <v>France</v>
      </c>
      <c r="L404">
        <v>300</v>
      </c>
    </row>
    <row r="405" spans="10:12" x14ac:dyDescent="0.2">
      <c r="J405">
        <v>10547</v>
      </c>
      <c r="K405" t="str">
        <v>UK</v>
      </c>
      <c r="L405">
        <v>652.79999999999995</v>
      </c>
    </row>
    <row r="406" spans="10:12" x14ac:dyDescent="0.2">
      <c r="J406">
        <v>10548</v>
      </c>
      <c r="K406" t="str">
        <v>Germany</v>
      </c>
      <c r="L406">
        <v>105</v>
      </c>
    </row>
    <row r="407" spans="10:12" x14ac:dyDescent="0.2">
      <c r="J407">
        <v>10549</v>
      </c>
      <c r="K407" t="str">
        <v>Germany</v>
      </c>
      <c r="L407">
        <v>584.37</v>
      </c>
    </row>
    <row r="408" spans="10:12" x14ac:dyDescent="0.2">
      <c r="J408">
        <v>10549</v>
      </c>
      <c r="K408" t="str">
        <v>Germany</v>
      </c>
      <c r="L408">
        <v>2162.4</v>
      </c>
    </row>
    <row r="409" spans="10:12" x14ac:dyDescent="0.2">
      <c r="J409">
        <v>10550</v>
      </c>
      <c r="K409" t="str">
        <v>Spain</v>
      </c>
      <c r="L409">
        <v>256.5</v>
      </c>
    </row>
    <row r="410" spans="10:12" x14ac:dyDescent="0.2">
      <c r="J410">
        <v>10550</v>
      </c>
      <c r="K410" t="str">
        <v>Spain</v>
      </c>
      <c r="L410">
        <v>92</v>
      </c>
    </row>
    <row r="411" spans="10:12" x14ac:dyDescent="0.2">
      <c r="J411">
        <v>10550</v>
      </c>
      <c r="K411" t="str">
        <v>Spain</v>
      </c>
      <c r="L411">
        <v>54</v>
      </c>
    </row>
    <row r="412" spans="10:12" x14ac:dyDescent="0.2">
      <c r="J412">
        <v>10551</v>
      </c>
      <c r="K412" t="str">
        <v>Portugal</v>
      </c>
      <c r="L412">
        <v>306</v>
      </c>
    </row>
    <row r="413" spans="10:12" x14ac:dyDescent="0.2">
      <c r="J413">
        <v>10551</v>
      </c>
      <c r="K413" t="str">
        <v>Portugal</v>
      </c>
      <c r="L413">
        <v>778</v>
      </c>
    </row>
    <row r="414" spans="10:12" x14ac:dyDescent="0.2">
      <c r="J414">
        <v>10551</v>
      </c>
      <c r="K414" t="str">
        <v>Portugal</v>
      </c>
      <c r="L414">
        <v>593.29999999999995</v>
      </c>
    </row>
    <row r="415" spans="10:12" x14ac:dyDescent="0.2">
      <c r="J415">
        <v>10553</v>
      </c>
      <c r="K415" t="str">
        <v>Finland</v>
      </c>
      <c r="L415">
        <v>108</v>
      </c>
    </row>
    <row r="416" spans="10:12" x14ac:dyDescent="0.2">
      <c r="J416">
        <v>10553</v>
      </c>
      <c r="K416" t="str">
        <v>Finland</v>
      </c>
      <c r="L416">
        <v>244.3</v>
      </c>
    </row>
    <row r="417" spans="10:12" x14ac:dyDescent="0.2">
      <c r="J417">
        <v>10553</v>
      </c>
      <c r="K417" t="str">
        <v>Finland</v>
      </c>
      <c r="L417">
        <v>375</v>
      </c>
    </row>
    <row r="418" spans="10:12" x14ac:dyDescent="0.2">
      <c r="J418">
        <v>10553</v>
      </c>
      <c r="K418" t="str">
        <v>Finland</v>
      </c>
      <c r="L418">
        <v>315</v>
      </c>
    </row>
    <row r="419" spans="10:12" x14ac:dyDescent="0.2">
      <c r="J419">
        <v>10553</v>
      </c>
      <c r="K419" t="str">
        <v>Finland</v>
      </c>
      <c r="L419">
        <v>504</v>
      </c>
    </row>
    <row r="420" spans="10:12" x14ac:dyDescent="0.2">
      <c r="J420">
        <v>10554</v>
      </c>
      <c r="K420" t="str">
        <v>Germany</v>
      </c>
      <c r="L420">
        <v>123.5</v>
      </c>
    </row>
    <row r="421" spans="10:12" x14ac:dyDescent="0.2">
      <c r="J421">
        <v>10554</v>
      </c>
      <c r="K421" t="str">
        <v>Germany</v>
      </c>
      <c r="L421">
        <v>936.7</v>
      </c>
    </row>
    <row r="422" spans="10:12" x14ac:dyDescent="0.2">
      <c r="J422">
        <v>10554</v>
      </c>
      <c r="K422" t="str">
        <v>Germany</v>
      </c>
      <c r="L422">
        <v>497.32</v>
      </c>
    </row>
    <row r="423" spans="10:12" x14ac:dyDescent="0.2">
      <c r="J423">
        <v>10554</v>
      </c>
      <c r="K423" t="str">
        <v>Germany</v>
      </c>
      <c r="L423">
        <v>171</v>
      </c>
    </row>
    <row r="424" spans="10:12" x14ac:dyDescent="0.2">
      <c r="J424">
        <v>11115</v>
      </c>
      <c r="K424" t="str">
        <v>France</v>
      </c>
      <c r="L424">
        <v>175.5</v>
      </c>
    </row>
    <row r="425" spans="10:12" x14ac:dyDescent="0.2">
      <c r="J425">
        <v>11115</v>
      </c>
      <c r="K425" t="str">
        <v>France</v>
      </c>
      <c r="L425">
        <v>466.56</v>
      </c>
    </row>
    <row r="426" spans="10:12" x14ac:dyDescent="0.2">
      <c r="J426">
        <v>10557</v>
      </c>
      <c r="K426" t="str">
        <v>Germany</v>
      </c>
      <c r="L426">
        <v>155</v>
      </c>
    </row>
    <row r="427" spans="10:12" x14ac:dyDescent="0.2">
      <c r="J427">
        <v>10557</v>
      </c>
      <c r="K427" t="str">
        <v>Germany</v>
      </c>
      <c r="L427">
        <v>997.5</v>
      </c>
    </row>
    <row r="428" spans="10:12" x14ac:dyDescent="0.2">
      <c r="J428">
        <v>11102</v>
      </c>
      <c r="K428" t="str">
        <v>UK</v>
      </c>
      <c r="L428">
        <v>90</v>
      </c>
    </row>
    <row r="429" spans="10:12" x14ac:dyDescent="0.2">
      <c r="J429">
        <v>11102</v>
      </c>
      <c r="K429" t="str">
        <v>UK</v>
      </c>
      <c r="L429">
        <v>390</v>
      </c>
    </row>
    <row r="430" spans="10:12" x14ac:dyDescent="0.2">
      <c r="J430">
        <v>10556</v>
      </c>
      <c r="K430" t="str">
        <v>Denmark</v>
      </c>
      <c r="L430">
        <v>835.2</v>
      </c>
    </row>
    <row r="431" spans="10:12" x14ac:dyDescent="0.2">
      <c r="J431">
        <v>10558</v>
      </c>
      <c r="K431" t="str">
        <v>UK</v>
      </c>
      <c r="L431">
        <v>237.5</v>
      </c>
    </row>
    <row r="432" spans="10:12" x14ac:dyDescent="0.2">
      <c r="J432">
        <v>10558</v>
      </c>
      <c r="K432" t="str">
        <v>UK</v>
      </c>
      <c r="L432">
        <v>210</v>
      </c>
    </row>
    <row r="433" spans="10:12" x14ac:dyDescent="0.2">
      <c r="J433">
        <v>10558</v>
      </c>
      <c r="K433" t="str">
        <v>UK</v>
      </c>
      <c r="L433">
        <v>1060</v>
      </c>
    </row>
    <row r="434" spans="10:12" x14ac:dyDescent="0.2">
      <c r="J434">
        <v>10560</v>
      </c>
      <c r="K434" t="str">
        <v>Germany</v>
      </c>
      <c r="L434">
        <v>554.62</v>
      </c>
    </row>
    <row r="435" spans="10:12" x14ac:dyDescent="0.2">
      <c r="J435">
        <v>10561</v>
      </c>
      <c r="K435" t="str">
        <v>Sweden</v>
      </c>
      <c r="L435">
        <v>194.5</v>
      </c>
    </row>
    <row r="436" spans="10:12" x14ac:dyDescent="0.2">
      <c r="J436">
        <v>10561</v>
      </c>
      <c r="K436" t="str">
        <v>Sweden</v>
      </c>
      <c r="L436">
        <v>2650</v>
      </c>
    </row>
    <row r="437" spans="10:12" x14ac:dyDescent="0.2">
      <c r="J437">
        <v>11104</v>
      </c>
      <c r="K437" t="str">
        <v>France</v>
      </c>
      <c r="L437">
        <v>106.4</v>
      </c>
    </row>
    <row r="438" spans="10:12" x14ac:dyDescent="0.2">
      <c r="J438">
        <v>11104</v>
      </c>
      <c r="K438" t="str">
        <v>France</v>
      </c>
      <c r="L438">
        <v>34.200000000000003</v>
      </c>
    </row>
    <row r="439" spans="10:12" x14ac:dyDescent="0.2">
      <c r="J439">
        <v>10562</v>
      </c>
      <c r="K439" t="str">
        <v>Italy</v>
      </c>
      <c r="L439">
        <v>443.7</v>
      </c>
    </row>
    <row r="440" spans="10:12" x14ac:dyDescent="0.2">
      <c r="J440">
        <v>10562</v>
      </c>
      <c r="K440" t="str">
        <v>Italy</v>
      </c>
      <c r="L440">
        <v>45</v>
      </c>
    </row>
    <row r="441" spans="10:12" x14ac:dyDescent="0.2">
      <c r="J441">
        <v>11110</v>
      </c>
      <c r="K441" t="str">
        <v>France</v>
      </c>
      <c r="L441">
        <v>2108</v>
      </c>
    </row>
    <row r="442" spans="10:12" x14ac:dyDescent="0.2">
      <c r="J442">
        <v>11110</v>
      </c>
      <c r="K442" t="str">
        <v>France</v>
      </c>
      <c r="L442">
        <v>560</v>
      </c>
    </row>
    <row r="443" spans="10:12" x14ac:dyDescent="0.2">
      <c r="J443">
        <v>11110</v>
      </c>
      <c r="K443" t="str">
        <v>France</v>
      </c>
      <c r="L443">
        <v>1092</v>
      </c>
    </row>
    <row r="444" spans="10:12" x14ac:dyDescent="0.2">
      <c r="J444">
        <v>10567</v>
      </c>
      <c r="K444" t="str">
        <v>Ireland</v>
      </c>
      <c r="L444">
        <v>1760</v>
      </c>
    </row>
    <row r="445" spans="10:12" x14ac:dyDescent="0.2">
      <c r="J445">
        <v>10567</v>
      </c>
      <c r="K445" t="str">
        <v>Ireland</v>
      </c>
      <c r="L445">
        <v>600</v>
      </c>
    </row>
    <row r="446" spans="10:12" x14ac:dyDescent="0.2">
      <c r="J446">
        <v>10567</v>
      </c>
      <c r="K446" t="str">
        <v>Ireland</v>
      </c>
      <c r="L446">
        <v>159</v>
      </c>
    </row>
    <row r="447" spans="10:12" x14ac:dyDescent="0.2">
      <c r="J447">
        <v>10566</v>
      </c>
      <c r="K447" t="str">
        <v>France</v>
      </c>
      <c r="L447">
        <v>180</v>
      </c>
    </row>
    <row r="448" spans="10:12" x14ac:dyDescent="0.2">
      <c r="J448">
        <v>10566</v>
      </c>
      <c r="K448" t="str">
        <v>France</v>
      </c>
      <c r="L448">
        <v>624.75</v>
      </c>
    </row>
    <row r="449" spans="10:12" x14ac:dyDescent="0.2">
      <c r="J449">
        <v>11107</v>
      </c>
      <c r="K449" t="str">
        <v>France</v>
      </c>
      <c r="L449">
        <v>560</v>
      </c>
    </row>
    <row r="450" spans="10:12" x14ac:dyDescent="0.2">
      <c r="J450">
        <v>11107</v>
      </c>
      <c r="K450" t="str">
        <v>France</v>
      </c>
      <c r="L450">
        <v>848</v>
      </c>
    </row>
    <row r="451" spans="10:12" x14ac:dyDescent="0.2">
      <c r="J451">
        <v>10571</v>
      </c>
      <c r="K451" t="str">
        <v>Austria</v>
      </c>
      <c r="L451">
        <v>333.2</v>
      </c>
    </row>
    <row r="452" spans="10:12" x14ac:dyDescent="0.2">
      <c r="J452">
        <v>10571</v>
      </c>
      <c r="K452" t="str">
        <v>Austria</v>
      </c>
      <c r="L452">
        <v>217.39</v>
      </c>
    </row>
    <row r="453" spans="10:12" x14ac:dyDescent="0.2">
      <c r="J453">
        <v>10572</v>
      </c>
      <c r="K453" t="str">
        <v>Sweden</v>
      </c>
      <c r="L453">
        <v>104.62</v>
      </c>
    </row>
    <row r="454" spans="10:12" x14ac:dyDescent="0.2">
      <c r="J454">
        <v>10572</v>
      </c>
      <c r="K454" t="str">
        <v>Sweden</v>
      </c>
      <c r="L454">
        <v>188.46</v>
      </c>
    </row>
    <row r="455" spans="10:12" x14ac:dyDescent="0.2">
      <c r="J455">
        <v>10572</v>
      </c>
      <c r="K455" t="str">
        <v>Sweden</v>
      </c>
      <c r="L455">
        <v>288</v>
      </c>
    </row>
    <row r="456" spans="10:12" x14ac:dyDescent="0.2">
      <c r="J456">
        <v>10575</v>
      </c>
      <c r="K456" t="str">
        <v>Germany</v>
      </c>
      <c r="L456">
        <v>180</v>
      </c>
    </row>
    <row r="457" spans="10:12" x14ac:dyDescent="0.2">
      <c r="J457">
        <v>10575</v>
      </c>
      <c r="K457" t="str">
        <v>Germany</v>
      </c>
      <c r="L457">
        <v>263.39999999999998</v>
      </c>
    </row>
    <row r="458" spans="10:12" x14ac:dyDescent="0.2">
      <c r="J458">
        <v>10575</v>
      </c>
      <c r="K458" t="str">
        <v>Germany</v>
      </c>
      <c r="L458">
        <v>1044</v>
      </c>
    </row>
    <row r="459" spans="10:12" x14ac:dyDescent="0.2">
      <c r="J459">
        <v>10575</v>
      </c>
      <c r="K459" t="str">
        <v>Germany</v>
      </c>
      <c r="L459">
        <v>660</v>
      </c>
    </row>
    <row r="460" spans="10:12" x14ac:dyDescent="0.2">
      <c r="J460">
        <v>10578</v>
      </c>
      <c r="K460" t="str">
        <v>UK</v>
      </c>
      <c r="L460">
        <v>360</v>
      </c>
    </row>
    <row r="461" spans="10:12" x14ac:dyDescent="0.2">
      <c r="J461">
        <v>10578</v>
      </c>
      <c r="K461" t="str">
        <v>UK</v>
      </c>
      <c r="L461">
        <v>117</v>
      </c>
    </row>
    <row r="462" spans="10:12" x14ac:dyDescent="0.2">
      <c r="J462">
        <v>10580</v>
      </c>
      <c r="K462" t="str">
        <v>Germany</v>
      </c>
      <c r="L462">
        <v>599.91999999999996</v>
      </c>
    </row>
    <row r="463" spans="10:12" x14ac:dyDescent="0.2">
      <c r="J463">
        <v>10580</v>
      </c>
      <c r="K463" t="str">
        <v>Germany</v>
      </c>
      <c r="L463">
        <v>331.31</v>
      </c>
    </row>
    <row r="464" spans="10:12" x14ac:dyDescent="0.2">
      <c r="J464">
        <v>10582</v>
      </c>
      <c r="K464" t="str">
        <v>Germany</v>
      </c>
      <c r="L464">
        <v>252</v>
      </c>
    </row>
    <row r="465" spans="10:12" x14ac:dyDescent="0.2">
      <c r="J465">
        <v>10582</v>
      </c>
      <c r="K465" t="str">
        <v>Germany</v>
      </c>
      <c r="L465">
        <v>78</v>
      </c>
    </row>
    <row r="466" spans="10:12" x14ac:dyDescent="0.2">
      <c r="J466">
        <v>10583</v>
      </c>
      <c r="K466" t="str">
        <v>Finland</v>
      </c>
      <c r="L466">
        <v>693.6</v>
      </c>
    </row>
    <row r="467" spans="10:12" x14ac:dyDescent="0.2">
      <c r="J467">
        <v>10583</v>
      </c>
      <c r="K467" t="str">
        <v>Finland</v>
      </c>
      <c r="L467">
        <v>306</v>
      </c>
    </row>
    <row r="468" spans="10:12" x14ac:dyDescent="0.2">
      <c r="J468">
        <v>10584</v>
      </c>
      <c r="K468" t="str">
        <v>France</v>
      </c>
      <c r="L468">
        <v>593.75</v>
      </c>
    </row>
    <row r="469" spans="10:12" x14ac:dyDescent="0.2">
      <c r="J469">
        <v>10586</v>
      </c>
      <c r="K469" t="str">
        <v>Italy</v>
      </c>
      <c r="L469">
        <v>23.8</v>
      </c>
    </row>
    <row r="470" spans="10:12" x14ac:dyDescent="0.2">
      <c r="J470">
        <v>10588</v>
      </c>
      <c r="K470" t="str">
        <v>Germany</v>
      </c>
      <c r="L470">
        <v>1120</v>
      </c>
    </row>
    <row r="471" spans="10:12" x14ac:dyDescent="0.2">
      <c r="J471">
        <v>11117</v>
      </c>
      <c r="K471" t="str">
        <v>UK</v>
      </c>
      <c r="L471">
        <v>195</v>
      </c>
    </row>
    <row r="472" spans="10:12" x14ac:dyDescent="0.2">
      <c r="J472">
        <v>11117</v>
      </c>
      <c r="K472" t="str">
        <v>UK</v>
      </c>
      <c r="L472">
        <v>608</v>
      </c>
    </row>
    <row r="473" spans="10:12" x14ac:dyDescent="0.2">
      <c r="J473">
        <v>10591</v>
      </c>
      <c r="K473" t="str">
        <v>Denmark</v>
      </c>
      <c r="L473">
        <v>140</v>
      </c>
    </row>
    <row r="474" spans="10:12" x14ac:dyDescent="0.2">
      <c r="J474">
        <v>10591</v>
      </c>
      <c r="K474" t="str">
        <v>Denmark</v>
      </c>
      <c r="L474">
        <v>300</v>
      </c>
    </row>
    <row r="475" spans="10:12" x14ac:dyDescent="0.2">
      <c r="J475">
        <v>10592</v>
      </c>
      <c r="K475" t="str">
        <v>Germany</v>
      </c>
      <c r="L475">
        <v>368.12</v>
      </c>
    </row>
    <row r="476" spans="10:12" x14ac:dyDescent="0.2">
      <c r="J476">
        <v>10592</v>
      </c>
      <c r="K476" t="str">
        <v>Germany</v>
      </c>
      <c r="L476">
        <v>148.34</v>
      </c>
    </row>
    <row r="477" spans="10:12" x14ac:dyDescent="0.2">
      <c r="J477">
        <v>10593</v>
      </c>
      <c r="K477" t="str">
        <v>Germany</v>
      </c>
      <c r="L477">
        <v>57.6</v>
      </c>
    </row>
    <row r="478" spans="10:12" x14ac:dyDescent="0.2">
      <c r="J478">
        <v>10593</v>
      </c>
      <c r="K478" t="str">
        <v>Germany</v>
      </c>
      <c r="L478">
        <v>1360.8</v>
      </c>
    </row>
    <row r="479" spans="10:12" x14ac:dyDescent="0.2">
      <c r="J479">
        <v>10593</v>
      </c>
      <c r="K479" t="str">
        <v>Germany</v>
      </c>
      <c r="L479">
        <v>576</v>
      </c>
    </row>
    <row r="480" spans="10:12" x14ac:dyDescent="0.2">
      <c r="J480">
        <v>10595</v>
      </c>
      <c r="K480" t="str">
        <v>Austria</v>
      </c>
      <c r="L480">
        <v>405</v>
      </c>
    </row>
    <row r="481" spans="10:12" x14ac:dyDescent="0.2">
      <c r="J481">
        <v>10595</v>
      </c>
      <c r="K481" t="str">
        <v>Austria</v>
      </c>
      <c r="L481">
        <v>2565</v>
      </c>
    </row>
    <row r="482" spans="10:12" x14ac:dyDescent="0.2">
      <c r="J482">
        <v>10595</v>
      </c>
      <c r="K482" t="str">
        <v>Austria</v>
      </c>
      <c r="L482">
        <v>1755</v>
      </c>
    </row>
    <row r="483" spans="10:12" x14ac:dyDescent="0.2">
      <c r="J483">
        <v>10597</v>
      </c>
      <c r="K483" t="str">
        <v>Austria</v>
      </c>
      <c r="L483">
        <v>126</v>
      </c>
    </row>
    <row r="484" spans="10:12" x14ac:dyDescent="0.2">
      <c r="J484">
        <v>10597</v>
      </c>
      <c r="K484" t="str">
        <v>Austria</v>
      </c>
      <c r="L484">
        <v>202.08</v>
      </c>
    </row>
    <row r="485" spans="10:12" x14ac:dyDescent="0.2">
      <c r="J485">
        <v>10597</v>
      </c>
      <c r="K485" t="str">
        <v>Austria</v>
      </c>
      <c r="L485">
        <v>390</v>
      </c>
    </row>
    <row r="486" spans="10:12" x14ac:dyDescent="0.2">
      <c r="J486">
        <v>10599</v>
      </c>
      <c r="K486" t="str">
        <v>UK</v>
      </c>
      <c r="L486">
        <v>493</v>
      </c>
    </row>
    <row r="487" spans="10:12" x14ac:dyDescent="0.2">
      <c r="J487">
        <v>10602</v>
      </c>
      <c r="K487" t="str">
        <v>Denmark</v>
      </c>
      <c r="L487">
        <v>48.75</v>
      </c>
    </row>
    <row r="488" spans="10:12" x14ac:dyDescent="0.2">
      <c r="J488">
        <v>10604</v>
      </c>
      <c r="K488" t="str">
        <v>Portugal</v>
      </c>
      <c r="L488">
        <v>162</v>
      </c>
    </row>
    <row r="489" spans="10:12" x14ac:dyDescent="0.2">
      <c r="J489">
        <v>10604</v>
      </c>
      <c r="K489" t="str">
        <v>Portugal</v>
      </c>
      <c r="L489">
        <v>68.849999999999994</v>
      </c>
    </row>
    <row r="490" spans="10:12" x14ac:dyDescent="0.2">
      <c r="J490">
        <v>10608</v>
      </c>
      <c r="K490" t="str">
        <v>Germany</v>
      </c>
      <c r="L490">
        <v>1064</v>
      </c>
    </row>
    <row r="491" spans="10:12" x14ac:dyDescent="0.2">
      <c r="J491">
        <v>10609</v>
      </c>
      <c r="K491" t="str">
        <v>France</v>
      </c>
      <c r="L491">
        <v>54</v>
      </c>
    </row>
    <row r="492" spans="10:12" x14ac:dyDescent="0.2">
      <c r="J492">
        <v>10609</v>
      </c>
      <c r="K492" t="str">
        <v>France</v>
      </c>
      <c r="L492">
        <v>60</v>
      </c>
    </row>
    <row r="493" spans="10:12" x14ac:dyDescent="0.2">
      <c r="J493">
        <v>10611</v>
      </c>
      <c r="K493" t="str">
        <v>Poland</v>
      </c>
      <c r="L493">
        <v>190</v>
      </c>
    </row>
    <row r="494" spans="10:12" x14ac:dyDescent="0.2">
      <c r="J494">
        <v>10611</v>
      </c>
      <c r="K494" t="str">
        <v>Poland</v>
      </c>
      <c r="L494">
        <v>108</v>
      </c>
    </row>
    <row r="495" spans="10:12" x14ac:dyDescent="0.2">
      <c r="J495">
        <v>10611</v>
      </c>
      <c r="K495" t="str">
        <v>Poland</v>
      </c>
      <c r="L495">
        <v>510</v>
      </c>
    </row>
    <row r="496" spans="10:12" x14ac:dyDescent="0.2">
      <c r="J496">
        <v>11132</v>
      </c>
      <c r="K496" t="str">
        <v>France</v>
      </c>
      <c r="L496">
        <v>1379</v>
      </c>
    </row>
    <row r="497" spans="10:12" x14ac:dyDescent="0.2">
      <c r="J497">
        <v>10614</v>
      </c>
      <c r="K497" t="str">
        <v>Germany</v>
      </c>
      <c r="L497">
        <v>90</v>
      </c>
    </row>
    <row r="498" spans="10:12" x14ac:dyDescent="0.2">
      <c r="J498">
        <v>10614</v>
      </c>
      <c r="K498" t="str">
        <v>Germany</v>
      </c>
      <c r="L498">
        <v>80</v>
      </c>
    </row>
    <row r="499" spans="10:12" x14ac:dyDescent="0.2">
      <c r="J499">
        <v>10614</v>
      </c>
      <c r="K499" t="str">
        <v>Germany</v>
      </c>
      <c r="L499">
        <v>294</v>
      </c>
    </row>
    <row r="500" spans="10:12" x14ac:dyDescent="0.2">
      <c r="J500">
        <v>11137</v>
      </c>
      <c r="K500" t="str">
        <v>France</v>
      </c>
      <c r="L500">
        <v>345.6</v>
      </c>
    </row>
    <row r="501" spans="10:12" x14ac:dyDescent="0.2">
      <c r="J501">
        <v>11137</v>
      </c>
      <c r="K501" t="str">
        <v>France</v>
      </c>
      <c r="L501">
        <v>201.6</v>
      </c>
    </row>
    <row r="502" spans="10:12" x14ac:dyDescent="0.2">
      <c r="J502">
        <v>11137</v>
      </c>
      <c r="K502" t="str">
        <v>France</v>
      </c>
      <c r="L502">
        <v>1576</v>
      </c>
    </row>
    <row r="503" spans="10:12" x14ac:dyDescent="0.2">
      <c r="J503">
        <v>10621</v>
      </c>
      <c r="K503" t="str">
        <v>UK</v>
      </c>
      <c r="L503">
        <v>300</v>
      </c>
    </row>
    <row r="504" spans="10:12" x14ac:dyDescent="0.2">
      <c r="J504">
        <v>10621</v>
      </c>
      <c r="K504" t="str">
        <v>UK</v>
      </c>
      <c r="L504">
        <v>46</v>
      </c>
    </row>
    <row r="505" spans="10:12" x14ac:dyDescent="0.2">
      <c r="J505">
        <v>10621</v>
      </c>
      <c r="K505" t="str">
        <v>UK</v>
      </c>
      <c r="L505">
        <v>322.5</v>
      </c>
    </row>
    <row r="506" spans="10:12" x14ac:dyDescent="0.2">
      <c r="J506">
        <v>10621</v>
      </c>
      <c r="K506" t="str">
        <v>UK</v>
      </c>
      <c r="L506">
        <v>90</v>
      </c>
    </row>
    <row r="507" spans="10:12" x14ac:dyDescent="0.2">
      <c r="J507">
        <v>10623</v>
      </c>
      <c r="K507" t="str">
        <v>Germany</v>
      </c>
      <c r="L507">
        <v>486</v>
      </c>
    </row>
    <row r="508" spans="10:12" x14ac:dyDescent="0.2">
      <c r="J508">
        <v>10623</v>
      </c>
      <c r="K508" t="str">
        <v>Germany</v>
      </c>
      <c r="L508">
        <v>13.5</v>
      </c>
    </row>
    <row r="509" spans="10:12" x14ac:dyDescent="0.2">
      <c r="J509">
        <v>10623</v>
      </c>
      <c r="K509" t="str">
        <v>Germany</v>
      </c>
      <c r="L509">
        <v>225</v>
      </c>
    </row>
    <row r="510" spans="10:12" x14ac:dyDescent="0.2">
      <c r="J510">
        <v>10623</v>
      </c>
      <c r="K510" t="str">
        <v>Germany</v>
      </c>
      <c r="L510">
        <v>124.2</v>
      </c>
    </row>
    <row r="511" spans="10:12" x14ac:dyDescent="0.2">
      <c r="J511">
        <v>10623</v>
      </c>
      <c r="K511" t="str">
        <v>Germany</v>
      </c>
      <c r="L511">
        <v>488.25</v>
      </c>
    </row>
    <row r="512" spans="10:12" x14ac:dyDescent="0.2">
      <c r="J512">
        <v>10626</v>
      </c>
      <c r="K512" t="str">
        <v>Sweden</v>
      </c>
      <c r="L512">
        <v>680</v>
      </c>
    </row>
    <row r="513" spans="10:12" x14ac:dyDescent="0.2">
      <c r="J513">
        <v>10626</v>
      </c>
      <c r="K513" t="str">
        <v>Sweden</v>
      </c>
      <c r="L513">
        <v>430</v>
      </c>
    </row>
    <row r="514" spans="10:12" x14ac:dyDescent="0.2">
      <c r="J514">
        <v>10628</v>
      </c>
      <c r="K514" t="str">
        <v>France</v>
      </c>
      <c r="L514">
        <v>450</v>
      </c>
    </row>
    <row r="515" spans="10:12" x14ac:dyDescent="0.2">
      <c r="J515">
        <v>10629</v>
      </c>
      <c r="K515" t="str">
        <v>Spain</v>
      </c>
      <c r="L515">
        <v>299.25</v>
      </c>
    </row>
    <row r="516" spans="10:12" x14ac:dyDescent="0.2">
      <c r="J516">
        <v>11150</v>
      </c>
      <c r="K516" t="str">
        <v>France</v>
      </c>
      <c r="L516">
        <v>216</v>
      </c>
    </row>
    <row r="517" spans="10:12" x14ac:dyDescent="0.2">
      <c r="J517">
        <v>10630</v>
      </c>
      <c r="K517" t="str">
        <v>Germany</v>
      </c>
      <c r="L517">
        <v>630</v>
      </c>
    </row>
    <row r="518" spans="10:12" x14ac:dyDescent="0.2">
      <c r="J518">
        <v>10631</v>
      </c>
      <c r="K518" t="str">
        <v>France</v>
      </c>
      <c r="L518">
        <v>55.8</v>
      </c>
    </row>
    <row r="519" spans="10:12" x14ac:dyDescent="0.2">
      <c r="J519">
        <v>10632</v>
      </c>
      <c r="K519" t="str">
        <v>Germany</v>
      </c>
      <c r="L519">
        <v>541.5</v>
      </c>
    </row>
    <row r="520" spans="10:12" x14ac:dyDescent="0.2">
      <c r="J520">
        <v>10632</v>
      </c>
      <c r="K520" t="str">
        <v>Germany</v>
      </c>
      <c r="L520">
        <v>47.5</v>
      </c>
    </row>
    <row r="521" spans="10:12" x14ac:dyDescent="0.2">
      <c r="J521">
        <v>10633</v>
      </c>
      <c r="K521" t="str">
        <v>Austria</v>
      </c>
      <c r="L521">
        <v>3352.4</v>
      </c>
    </row>
    <row r="522" spans="10:12" x14ac:dyDescent="0.2">
      <c r="J522">
        <v>10633</v>
      </c>
      <c r="K522" t="str">
        <v>Austria</v>
      </c>
      <c r="L522">
        <v>929.09</v>
      </c>
    </row>
    <row r="523" spans="10:12" x14ac:dyDescent="0.2">
      <c r="J523">
        <v>10633</v>
      </c>
      <c r="K523" t="str">
        <v>Austria</v>
      </c>
      <c r="L523">
        <v>1162.8</v>
      </c>
    </row>
    <row r="524" spans="10:12" x14ac:dyDescent="0.2">
      <c r="J524">
        <v>10634</v>
      </c>
      <c r="K524" t="str">
        <v>France</v>
      </c>
      <c r="L524">
        <v>15.5</v>
      </c>
    </row>
    <row r="525" spans="10:12" x14ac:dyDescent="0.2">
      <c r="J525">
        <v>10634</v>
      </c>
      <c r="K525" t="str">
        <v>France</v>
      </c>
      <c r="L525">
        <v>1050</v>
      </c>
    </row>
    <row r="526" spans="10:12" x14ac:dyDescent="0.2">
      <c r="J526">
        <v>10634</v>
      </c>
      <c r="K526" t="str">
        <v>France</v>
      </c>
      <c r="L526">
        <v>795</v>
      </c>
    </row>
    <row r="527" spans="10:12" x14ac:dyDescent="0.2">
      <c r="J527">
        <v>10635</v>
      </c>
      <c r="K527" t="str">
        <v>Italy</v>
      </c>
      <c r="L527">
        <v>288.22000000000003</v>
      </c>
    </row>
    <row r="528" spans="10:12" x14ac:dyDescent="0.2">
      <c r="J528">
        <v>10635</v>
      </c>
      <c r="K528" t="str">
        <v>Italy</v>
      </c>
      <c r="L528">
        <v>198</v>
      </c>
    </row>
    <row r="529" spans="10:12" x14ac:dyDescent="0.2">
      <c r="J529">
        <v>10635</v>
      </c>
      <c r="K529" t="str">
        <v>Italy</v>
      </c>
      <c r="L529">
        <v>840</v>
      </c>
    </row>
    <row r="530" spans="10:12" x14ac:dyDescent="0.2">
      <c r="J530">
        <v>10636</v>
      </c>
      <c r="K530" t="str">
        <v>Finland</v>
      </c>
      <c r="L530">
        <v>550</v>
      </c>
    </row>
    <row r="531" spans="10:12" x14ac:dyDescent="0.2">
      <c r="J531">
        <v>10640</v>
      </c>
      <c r="K531" t="str">
        <v>Germany</v>
      </c>
      <c r="L531">
        <v>168.75</v>
      </c>
    </row>
    <row r="532" spans="10:12" x14ac:dyDescent="0.2">
      <c r="J532">
        <v>10640</v>
      </c>
      <c r="K532" t="str">
        <v>Germany</v>
      </c>
      <c r="L532">
        <v>540</v>
      </c>
    </row>
    <row r="533" spans="10:12" x14ac:dyDescent="0.2">
      <c r="J533">
        <v>10642</v>
      </c>
      <c r="K533" t="str">
        <v>Denmark</v>
      </c>
      <c r="L533">
        <v>456</v>
      </c>
    </row>
    <row r="534" spans="10:12" x14ac:dyDescent="0.2">
      <c r="J534">
        <v>10642</v>
      </c>
      <c r="K534" t="str">
        <v>Denmark</v>
      </c>
      <c r="L534">
        <v>240</v>
      </c>
    </row>
    <row r="535" spans="10:12" x14ac:dyDescent="0.2">
      <c r="J535">
        <v>11146</v>
      </c>
      <c r="K535" t="str">
        <v>France</v>
      </c>
      <c r="L535">
        <v>133.91999999999999</v>
      </c>
    </row>
    <row r="536" spans="10:12" x14ac:dyDescent="0.2">
      <c r="J536">
        <v>11146</v>
      </c>
      <c r="K536" t="str">
        <v>France</v>
      </c>
      <c r="L536">
        <v>1094.4000000000001</v>
      </c>
    </row>
    <row r="537" spans="10:12" x14ac:dyDescent="0.2">
      <c r="J537">
        <v>11146</v>
      </c>
      <c r="K537" t="str">
        <v>France</v>
      </c>
      <c r="L537">
        <v>718.2</v>
      </c>
    </row>
    <row r="538" spans="10:12" x14ac:dyDescent="0.2">
      <c r="J538">
        <v>10643</v>
      </c>
      <c r="K538" t="str">
        <v>Germany</v>
      </c>
      <c r="L538">
        <v>283.5</v>
      </c>
    </row>
    <row r="539" spans="10:12" x14ac:dyDescent="0.2">
      <c r="J539">
        <v>10643</v>
      </c>
      <c r="K539" t="str">
        <v>Germany</v>
      </c>
      <c r="L539">
        <v>513</v>
      </c>
    </row>
    <row r="540" spans="10:12" x14ac:dyDescent="0.2">
      <c r="J540">
        <v>10646</v>
      </c>
      <c r="K540" t="str">
        <v>Ireland</v>
      </c>
      <c r="L540">
        <v>202.5</v>
      </c>
    </row>
    <row r="541" spans="10:12" x14ac:dyDescent="0.2">
      <c r="J541">
        <v>10646</v>
      </c>
      <c r="K541" t="str">
        <v>Ireland</v>
      </c>
      <c r="L541">
        <v>341.25</v>
      </c>
    </row>
    <row r="542" spans="10:12" x14ac:dyDescent="0.2">
      <c r="J542">
        <v>10646</v>
      </c>
      <c r="K542" t="str">
        <v>Ireland</v>
      </c>
      <c r="L542">
        <v>483.75</v>
      </c>
    </row>
    <row r="543" spans="10:12" x14ac:dyDescent="0.2">
      <c r="J543">
        <v>10649</v>
      </c>
      <c r="K543" t="str">
        <v>Belgium</v>
      </c>
      <c r="L543">
        <v>522</v>
      </c>
    </row>
    <row r="544" spans="10:12" x14ac:dyDescent="0.2">
      <c r="J544">
        <v>10649</v>
      </c>
      <c r="K544" t="str">
        <v>Belgium</v>
      </c>
      <c r="L544">
        <v>912</v>
      </c>
    </row>
    <row r="545" spans="10:12" x14ac:dyDescent="0.2">
      <c r="J545">
        <v>10651</v>
      </c>
      <c r="K545" t="str">
        <v>Germany</v>
      </c>
      <c r="L545">
        <v>82.8</v>
      </c>
    </row>
    <row r="546" spans="10:12" x14ac:dyDescent="0.2">
      <c r="J546">
        <v>10651</v>
      </c>
      <c r="K546" t="str">
        <v>Germany</v>
      </c>
      <c r="L546">
        <v>315</v>
      </c>
    </row>
    <row r="547" spans="10:12" x14ac:dyDescent="0.2">
      <c r="J547">
        <v>10654</v>
      </c>
      <c r="K547" t="str">
        <v>Sweden</v>
      </c>
      <c r="L547">
        <v>324</v>
      </c>
    </row>
    <row r="548" spans="10:12" x14ac:dyDescent="0.2">
      <c r="J548">
        <v>10654</v>
      </c>
      <c r="K548" t="str">
        <v>Sweden</v>
      </c>
      <c r="L548">
        <v>237.6</v>
      </c>
    </row>
    <row r="549" spans="10:12" x14ac:dyDescent="0.2">
      <c r="J549">
        <v>10653</v>
      </c>
      <c r="K549" t="str">
        <v>Germany</v>
      </c>
      <c r="L549">
        <v>471.15</v>
      </c>
    </row>
    <row r="550" spans="10:12" x14ac:dyDescent="0.2">
      <c r="J550">
        <v>10653</v>
      </c>
      <c r="K550" t="str">
        <v>Germany</v>
      </c>
      <c r="L550">
        <v>612</v>
      </c>
    </row>
    <row r="551" spans="10:12" x14ac:dyDescent="0.2">
      <c r="J551">
        <v>10658</v>
      </c>
      <c r="K551" t="str">
        <v>Germany</v>
      </c>
      <c r="L551">
        <v>864.5</v>
      </c>
    </row>
    <row r="552" spans="10:12" x14ac:dyDescent="0.2">
      <c r="J552">
        <v>10658</v>
      </c>
      <c r="K552" t="str">
        <v>Germany</v>
      </c>
      <c r="L552">
        <v>600</v>
      </c>
    </row>
    <row r="553" spans="10:12" x14ac:dyDescent="0.2">
      <c r="J553">
        <v>10658</v>
      </c>
      <c r="K553" t="str">
        <v>Germany</v>
      </c>
      <c r="L553">
        <v>1776.5</v>
      </c>
    </row>
    <row r="554" spans="10:12" x14ac:dyDescent="0.2">
      <c r="J554">
        <v>11159</v>
      </c>
      <c r="K554" t="str">
        <v>France</v>
      </c>
      <c r="L554">
        <v>1379</v>
      </c>
    </row>
    <row r="555" spans="10:12" x14ac:dyDescent="0.2">
      <c r="J555">
        <v>11159</v>
      </c>
      <c r="K555" t="str">
        <v>France</v>
      </c>
      <c r="L555">
        <v>112</v>
      </c>
    </row>
    <row r="556" spans="10:12" x14ac:dyDescent="0.2">
      <c r="J556">
        <v>11150</v>
      </c>
      <c r="K556" t="str">
        <v>France</v>
      </c>
      <c r="L556">
        <v>222.4</v>
      </c>
    </row>
    <row r="557" spans="10:12" x14ac:dyDescent="0.2">
      <c r="J557">
        <v>11150</v>
      </c>
      <c r="K557" t="str">
        <v>France</v>
      </c>
      <c r="L557">
        <v>32</v>
      </c>
    </row>
    <row r="558" spans="10:12" x14ac:dyDescent="0.2">
      <c r="J558">
        <v>11155</v>
      </c>
      <c r="K558" t="str">
        <v>UK</v>
      </c>
      <c r="L558">
        <v>270</v>
      </c>
    </row>
    <row r="559" spans="10:12" x14ac:dyDescent="0.2">
      <c r="J559">
        <v>11155</v>
      </c>
      <c r="K559" t="str">
        <v>UK</v>
      </c>
      <c r="L559">
        <v>137.69999999999999</v>
      </c>
    </row>
    <row r="560" spans="10:12" x14ac:dyDescent="0.2">
      <c r="J560">
        <v>10661</v>
      </c>
      <c r="K560" t="str">
        <v>Ireland</v>
      </c>
      <c r="L560">
        <v>43.2</v>
      </c>
    </row>
    <row r="561" spans="10:12" x14ac:dyDescent="0.2">
      <c r="J561">
        <v>10664</v>
      </c>
      <c r="K561" t="str">
        <v>Portugal</v>
      </c>
      <c r="L561">
        <v>268.39</v>
      </c>
    </row>
    <row r="562" spans="10:12" x14ac:dyDescent="0.2">
      <c r="J562">
        <v>10664</v>
      </c>
      <c r="K562" t="str">
        <v>Portugal</v>
      </c>
      <c r="L562">
        <v>387.6</v>
      </c>
    </row>
    <row r="563" spans="10:12" x14ac:dyDescent="0.2">
      <c r="J563">
        <v>10663</v>
      </c>
      <c r="K563" t="str">
        <v>France</v>
      </c>
      <c r="L563">
        <v>399</v>
      </c>
    </row>
    <row r="564" spans="10:12" x14ac:dyDescent="0.2">
      <c r="J564">
        <v>10663</v>
      </c>
      <c r="K564" t="str">
        <v>France</v>
      </c>
      <c r="L564">
        <v>1007</v>
      </c>
    </row>
    <row r="565" spans="10:12" x14ac:dyDescent="0.2">
      <c r="J565">
        <v>10667</v>
      </c>
      <c r="K565" t="str">
        <v>Austria</v>
      </c>
      <c r="L565">
        <v>1296</v>
      </c>
    </row>
    <row r="566" spans="10:12" x14ac:dyDescent="0.2">
      <c r="J566">
        <v>10667</v>
      </c>
      <c r="K566" t="str">
        <v>Austria</v>
      </c>
      <c r="L566">
        <v>240.8</v>
      </c>
    </row>
    <row r="567" spans="10:12" x14ac:dyDescent="0.2">
      <c r="J567">
        <v>10666</v>
      </c>
      <c r="K567" t="str">
        <v>Switzerland</v>
      </c>
      <c r="L567">
        <v>210.5</v>
      </c>
    </row>
    <row r="568" spans="10:12" x14ac:dyDescent="0.2">
      <c r="J568">
        <v>11166</v>
      </c>
      <c r="K568" t="str">
        <v>France</v>
      </c>
      <c r="L568">
        <v>1112</v>
      </c>
    </row>
    <row r="569" spans="10:12" x14ac:dyDescent="0.2">
      <c r="J569">
        <v>11166</v>
      </c>
      <c r="K569" t="str">
        <v>France</v>
      </c>
      <c r="L569">
        <v>364.8</v>
      </c>
    </row>
    <row r="570" spans="10:12" x14ac:dyDescent="0.2">
      <c r="J570">
        <v>10668</v>
      </c>
      <c r="K570" t="str">
        <v>Germany</v>
      </c>
      <c r="L570">
        <v>90</v>
      </c>
    </row>
    <row r="571" spans="10:12" x14ac:dyDescent="0.2">
      <c r="J571">
        <v>10668</v>
      </c>
      <c r="K571" t="str">
        <v>Germany</v>
      </c>
      <c r="L571">
        <v>448.87</v>
      </c>
    </row>
    <row r="572" spans="10:12" x14ac:dyDescent="0.2">
      <c r="J572">
        <v>10670</v>
      </c>
      <c r="K572" t="str">
        <v>Germany</v>
      </c>
      <c r="L572">
        <v>350</v>
      </c>
    </row>
    <row r="573" spans="10:12" x14ac:dyDescent="0.2">
      <c r="J573">
        <v>10670</v>
      </c>
      <c r="K573" t="str">
        <v>Germany</v>
      </c>
      <c r="L573">
        <v>193.75</v>
      </c>
    </row>
    <row r="574" spans="10:12" x14ac:dyDescent="0.2">
      <c r="J574">
        <v>10670</v>
      </c>
      <c r="K574" t="str">
        <v>Germany</v>
      </c>
      <c r="L574">
        <v>288</v>
      </c>
    </row>
    <row r="575" spans="10:12" x14ac:dyDescent="0.2">
      <c r="J575">
        <v>10671</v>
      </c>
      <c r="K575" t="str">
        <v>France</v>
      </c>
      <c r="L575">
        <v>252.6</v>
      </c>
    </row>
    <row r="576" spans="10:12" x14ac:dyDescent="0.2">
      <c r="J576">
        <v>10671</v>
      </c>
      <c r="K576" t="str">
        <v>France</v>
      </c>
      <c r="L576">
        <v>493</v>
      </c>
    </row>
    <row r="577" spans="10:12" x14ac:dyDescent="0.2">
      <c r="J577">
        <v>10671</v>
      </c>
      <c r="K577" t="str">
        <v>France</v>
      </c>
      <c r="L577">
        <v>174.5</v>
      </c>
    </row>
    <row r="578" spans="10:12" x14ac:dyDescent="0.2">
      <c r="J578">
        <v>10672</v>
      </c>
      <c r="K578" t="str">
        <v>Sweden</v>
      </c>
      <c r="L578">
        <v>3557.25</v>
      </c>
    </row>
    <row r="579" spans="10:12" x14ac:dyDescent="0.2">
      <c r="J579">
        <v>10672</v>
      </c>
      <c r="K579" t="str">
        <v>Sweden</v>
      </c>
      <c r="L579">
        <v>258</v>
      </c>
    </row>
    <row r="580" spans="10:12" x14ac:dyDescent="0.2">
      <c r="J580">
        <v>10673</v>
      </c>
      <c r="K580" t="str">
        <v>Finland</v>
      </c>
      <c r="L580">
        <v>276</v>
      </c>
    </row>
    <row r="581" spans="10:12" x14ac:dyDescent="0.2">
      <c r="J581">
        <v>10673</v>
      </c>
      <c r="K581" t="str">
        <v>Finland</v>
      </c>
      <c r="L581">
        <v>52.35</v>
      </c>
    </row>
    <row r="582" spans="10:12" x14ac:dyDescent="0.2">
      <c r="J582">
        <v>10673</v>
      </c>
      <c r="K582" t="str">
        <v>Finland</v>
      </c>
      <c r="L582">
        <v>84</v>
      </c>
    </row>
    <row r="583" spans="10:12" x14ac:dyDescent="0.2">
      <c r="J583">
        <v>10674</v>
      </c>
      <c r="K583" t="str">
        <v>UK</v>
      </c>
      <c r="L583">
        <v>45</v>
      </c>
    </row>
    <row r="584" spans="10:12" x14ac:dyDescent="0.2">
      <c r="J584">
        <v>10675</v>
      </c>
      <c r="K584" t="str">
        <v>Germany</v>
      </c>
      <c r="L584">
        <v>697.5</v>
      </c>
    </row>
    <row r="585" spans="10:12" x14ac:dyDescent="0.2">
      <c r="J585">
        <v>10679</v>
      </c>
      <c r="K585" t="str">
        <v>France</v>
      </c>
      <c r="L585">
        <v>660</v>
      </c>
    </row>
    <row r="586" spans="10:12" x14ac:dyDescent="0.2">
      <c r="J586">
        <v>10684</v>
      </c>
      <c r="K586" t="str">
        <v>Germany</v>
      </c>
      <c r="L586">
        <v>380</v>
      </c>
    </row>
    <row r="587" spans="10:12" x14ac:dyDescent="0.2">
      <c r="J587">
        <v>10684</v>
      </c>
      <c r="K587" t="str">
        <v>Germany</v>
      </c>
      <c r="L587">
        <v>1020</v>
      </c>
    </row>
    <row r="588" spans="10:12" x14ac:dyDescent="0.2">
      <c r="J588">
        <v>10683</v>
      </c>
      <c r="K588" t="str">
        <v>France</v>
      </c>
      <c r="L588">
        <v>63</v>
      </c>
    </row>
    <row r="589" spans="10:12" x14ac:dyDescent="0.2">
      <c r="J589">
        <v>11171</v>
      </c>
      <c r="K589" t="str">
        <v>France</v>
      </c>
      <c r="L589">
        <v>212.8</v>
      </c>
    </row>
    <row r="590" spans="10:12" x14ac:dyDescent="0.2">
      <c r="J590">
        <v>11171</v>
      </c>
      <c r="K590" t="str">
        <v>France</v>
      </c>
      <c r="L590">
        <v>108</v>
      </c>
    </row>
    <row r="591" spans="10:12" x14ac:dyDescent="0.2">
      <c r="J591">
        <v>10686</v>
      </c>
      <c r="K591" t="str">
        <v>Austria</v>
      </c>
      <c r="L591">
        <v>468.45</v>
      </c>
    </row>
    <row r="592" spans="10:12" x14ac:dyDescent="0.2">
      <c r="J592">
        <v>10688</v>
      </c>
      <c r="K592" t="str">
        <v>Denmark</v>
      </c>
      <c r="L592">
        <v>196</v>
      </c>
    </row>
    <row r="593" spans="10:12" x14ac:dyDescent="0.2">
      <c r="J593">
        <v>10688</v>
      </c>
      <c r="K593" t="str">
        <v>Denmark</v>
      </c>
      <c r="L593">
        <v>2462.4</v>
      </c>
    </row>
    <row r="594" spans="10:12" x14ac:dyDescent="0.2">
      <c r="J594">
        <v>10689</v>
      </c>
      <c r="K594" t="str">
        <v>Sweden</v>
      </c>
      <c r="L594">
        <v>472.5</v>
      </c>
    </row>
    <row r="595" spans="10:12" x14ac:dyDescent="0.2">
      <c r="J595">
        <v>10692</v>
      </c>
      <c r="K595" t="str">
        <v>Germany</v>
      </c>
      <c r="L595">
        <v>878</v>
      </c>
    </row>
    <row r="596" spans="10:12" x14ac:dyDescent="0.2">
      <c r="J596">
        <v>10691</v>
      </c>
      <c r="K596" t="str">
        <v>Germany</v>
      </c>
      <c r="L596">
        <v>1840</v>
      </c>
    </row>
    <row r="597" spans="10:12" x14ac:dyDescent="0.2">
      <c r="J597">
        <v>10691</v>
      </c>
      <c r="K597" t="str">
        <v>Germany</v>
      </c>
      <c r="L597">
        <v>540</v>
      </c>
    </row>
    <row r="598" spans="10:12" x14ac:dyDescent="0.2">
      <c r="J598">
        <v>10691</v>
      </c>
      <c r="K598" t="str">
        <v>Germany</v>
      </c>
      <c r="L598">
        <v>466.8</v>
      </c>
    </row>
    <row r="599" spans="10:12" x14ac:dyDescent="0.2">
      <c r="J599">
        <v>10691</v>
      </c>
      <c r="K599" t="str">
        <v>Germany</v>
      </c>
      <c r="L599">
        <v>2366.4</v>
      </c>
    </row>
    <row r="600" spans="10:12" x14ac:dyDescent="0.2">
      <c r="J600">
        <v>10694</v>
      </c>
      <c r="K600" t="str">
        <v>Germany</v>
      </c>
      <c r="L600">
        <v>750</v>
      </c>
    </row>
    <row r="601" spans="10:12" x14ac:dyDescent="0.2">
      <c r="J601">
        <v>10694</v>
      </c>
      <c r="K601" t="str">
        <v>Germany</v>
      </c>
      <c r="L601">
        <v>1375</v>
      </c>
    </row>
    <row r="602" spans="10:12" x14ac:dyDescent="0.2">
      <c r="J602">
        <v>10694</v>
      </c>
      <c r="K602" t="str">
        <v>Germany</v>
      </c>
      <c r="L602">
        <v>2700</v>
      </c>
    </row>
    <row r="603" spans="10:12" x14ac:dyDescent="0.2">
      <c r="J603">
        <v>11175</v>
      </c>
      <c r="K603" t="str">
        <v>France</v>
      </c>
      <c r="L603">
        <v>228</v>
      </c>
    </row>
    <row r="604" spans="10:12" x14ac:dyDescent="0.2">
      <c r="J604">
        <v>11175</v>
      </c>
      <c r="K604" t="str">
        <v>France</v>
      </c>
      <c r="L604">
        <v>528</v>
      </c>
    </row>
    <row r="605" spans="10:12" x14ac:dyDescent="0.2">
      <c r="J605">
        <v>10695</v>
      </c>
      <c r="K605" t="str">
        <v>Finland</v>
      </c>
      <c r="L605">
        <v>90</v>
      </c>
    </row>
    <row r="606" spans="10:12" x14ac:dyDescent="0.2">
      <c r="J606">
        <v>10695</v>
      </c>
      <c r="K606" t="str">
        <v>Finland</v>
      </c>
      <c r="L606">
        <v>400</v>
      </c>
    </row>
    <row r="607" spans="10:12" x14ac:dyDescent="0.2">
      <c r="J607">
        <v>10695</v>
      </c>
      <c r="K607" t="str">
        <v>Finland</v>
      </c>
      <c r="L607">
        <v>152</v>
      </c>
    </row>
    <row r="608" spans="10:12" x14ac:dyDescent="0.2">
      <c r="J608">
        <v>10699</v>
      </c>
      <c r="K608" t="str">
        <v>Germany</v>
      </c>
      <c r="L608">
        <v>114</v>
      </c>
    </row>
    <row r="609" spans="10:12" x14ac:dyDescent="0.2">
      <c r="J609">
        <v>10698</v>
      </c>
      <c r="K609" t="str">
        <v>Austria</v>
      </c>
      <c r="L609">
        <v>114</v>
      </c>
    </row>
    <row r="610" spans="10:12" x14ac:dyDescent="0.2">
      <c r="J610">
        <v>10698</v>
      </c>
      <c r="K610" t="str">
        <v>Austria</v>
      </c>
      <c r="L610">
        <v>1299.8399999999999</v>
      </c>
    </row>
    <row r="611" spans="10:12" x14ac:dyDescent="0.2">
      <c r="J611">
        <v>10698</v>
      </c>
      <c r="K611" t="str">
        <v>Austria</v>
      </c>
      <c r="L611">
        <v>315</v>
      </c>
    </row>
    <row r="612" spans="10:12" x14ac:dyDescent="0.2">
      <c r="J612">
        <v>10701</v>
      </c>
      <c r="K612" t="str">
        <v>Ireland</v>
      </c>
      <c r="L612">
        <v>535.5</v>
      </c>
    </row>
    <row r="613" spans="10:12" x14ac:dyDescent="0.2">
      <c r="J613">
        <v>10701</v>
      </c>
      <c r="K613" t="str">
        <v>Ireland</v>
      </c>
      <c r="L613">
        <v>1963.5</v>
      </c>
    </row>
    <row r="614" spans="10:12" x14ac:dyDescent="0.2">
      <c r="J614">
        <v>10701</v>
      </c>
      <c r="K614" t="str">
        <v>Ireland</v>
      </c>
      <c r="L614">
        <v>365.5</v>
      </c>
    </row>
    <row r="615" spans="10:12" x14ac:dyDescent="0.2">
      <c r="J615">
        <v>10702</v>
      </c>
      <c r="K615" t="str">
        <v>Germany</v>
      </c>
      <c r="L615">
        <v>270</v>
      </c>
    </row>
    <row r="616" spans="10:12" x14ac:dyDescent="0.2">
      <c r="J616">
        <v>10702</v>
      </c>
      <c r="K616" t="str">
        <v>Germany</v>
      </c>
      <c r="L616">
        <v>60</v>
      </c>
    </row>
    <row r="617" spans="10:12" x14ac:dyDescent="0.2">
      <c r="J617">
        <v>10703</v>
      </c>
      <c r="K617" t="str">
        <v>Sweden</v>
      </c>
      <c r="L617">
        <v>95</v>
      </c>
    </row>
    <row r="618" spans="10:12" x14ac:dyDescent="0.2">
      <c r="J618">
        <v>10703</v>
      </c>
      <c r="K618" t="str">
        <v>Sweden</v>
      </c>
      <c r="L618">
        <v>1925</v>
      </c>
    </row>
    <row r="619" spans="10:12" x14ac:dyDescent="0.2">
      <c r="J619">
        <v>10707</v>
      </c>
      <c r="K619" t="str">
        <v>UK</v>
      </c>
      <c r="L619">
        <v>357</v>
      </c>
    </row>
    <row r="620" spans="10:12" x14ac:dyDescent="0.2">
      <c r="J620">
        <v>10707</v>
      </c>
      <c r="K620" t="str">
        <v>UK</v>
      </c>
      <c r="L620">
        <v>780</v>
      </c>
    </row>
    <row r="621" spans="10:12" x14ac:dyDescent="0.2">
      <c r="J621">
        <v>11178</v>
      </c>
      <c r="K621" t="str">
        <v>France</v>
      </c>
      <c r="L621">
        <v>226.8</v>
      </c>
    </row>
    <row r="622" spans="10:12" x14ac:dyDescent="0.2">
      <c r="J622">
        <v>11178</v>
      </c>
      <c r="K622" t="str">
        <v>France</v>
      </c>
      <c r="L622">
        <v>122.4</v>
      </c>
    </row>
    <row r="623" spans="10:12" x14ac:dyDescent="0.2">
      <c r="J623">
        <v>11178</v>
      </c>
      <c r="K623" t="str">
        <v>France</v>
      </c>
      <c r="L623">
        <v>259.2</v>
      </c>
    </row>
    <row r="624" spans="10:12" x14ac:dyDescent="0.2">
      <c r="J624">
        <v>10710</v>
      </c>
      <c r="K624" t="str">
        <v>Italy</v>
      </c>
      <c r="L624">
        <v>47.5</v>
      </c>
    </row>
    <row r="625" spans="10:12" x14ac:dyDescent="0.2">
      <c r="J625">
        <v>10710</v>
      </c>
      <c r="K625" t="str">
        <v>Italy</v>
      </c>
      <c r="L625">
        <v>46</v>
      </c>
    </row>
    <row r="626" spans="10:12" x14ac:dyDescent="0.2">
      <c r="J626">
        <v>10712</v>
      </c>
      <c r="K626" t="str">
        <v>Ireland</v>
      </c>
      <c r="L626">
        <v>1140</v>
      </c>
    </row>
    <row r="627" spans="10:12" x14ac:dyDescent="0.2">
      <c r="J627">
        <v>10715</v>
      </c>
      <c r="K627" t="str">
        <v>France</v>
      </c>
      <c r="L627">
        <v>645</v>
      </c>
    </row>
    <row r="628" spans="10:12" x14ac:dyDescent="0.2">
      <c r="J628">
        <v>10717</v>
      </c>
      <c r="K628" t="str">
        <v>Germany</v>
      </c>
      <c r="L628">
        <v>304</v>
      </c>
    </row>
    <row r="629" spans="10:12" x14ac:dyDescent="0.2">
      <c r="J629">
        <v>10717</v>
      </c>
      <c r="K629" t="str">
        <v>Germany</v>
      </c>
      <c r="L629">
        <v>855</v>
      </c>
    </row>
    <row r="630" spans="10:12" x14ac:dyDescent="0.2">
      <c r="J630">
        <v>11187</v>
      </c>
      <c r="K630" t="str">
        <v>France</v>
      </c>
      <c r="L630">
        <v>176.7</v>
      </c>
    </row>
    <row r="631" spans="10:12" x14ac:dyDescent="0.2">
      <c r="J631">
        <v>11187</v>
      </c>
      <c r="K631" t="str">
        <v>France</v>
      </c>
      <c r="L631">
        <v>346.56</v>
      </c>
    </row>
    <row r="632" spans="10:12" x14ac:dyDescent="0.2">
      <c r="J632">
        <v>10718</v>
      </c>
      <c r="K632" t="str">
        <v>Germany</v>
      </c>
      <c r="L632">
        <v>986</v>
      </c>
    </row>
    <row r="633" spans="10:12" x14ac:dyDescent="0.2">
      <c r="J633">
        <v>10718</v>
      </c>
      <c r="K633" t="str">
        <v>Germany</v>
      </c>
      <c r="L633">
        <v>349</v>
      </c>
    </row>
    <row r="634" spans="10:12" x14ac:dyDescent="0.2">
      <c r="J634">
        <v>10718</v>
      </c>
      <c r="K634" t="str">
        <v>Germany</v>
      </c>
      <c r="L634">
        <v>1368</v>
      </c>
    </row>
    <row r="635" spans="10:12" x14ac:dyDescent="0.2">
      <c r="J635">
        <v>10721</v>
      </c>
      <c r="K635" t="str">
        <v>Germany</v>
      </c>
      <c r="L635">
        <v>923.87</v>
      </c>
    </row>
    <row r="636" spans="10:12" x14ac:dyDescent="0.2">
      <c r="J636">
        <v>10726</v>
      </c>
      <c r="K636" t="str">
        <v>UK</v>
      </c>
      <c r="L636">
        <v>550</v>
      </c>
    </row>
    <row r="637" spans="10:12" x14ac:dyDescent="0.2">
      <c r="J637">
        <v>10726</v>
      </c>
      <c r="K637" t="str">
        <v>UK</v>
      </c>
      <c r="L637">
        <v>105</v>
      </c>
    </row>
    <row r="638" spans="10:12" x14ac:dyDescent="0.2">
      <c r="J638">
        <v>10727</v>
      </c>
      <c r="K638" t="str">
        <v>Italy</v>
      </c>
      <c r="L638">
        <v>522.5</v>
      </c>
    </row>
    <row r="639" spans="10:12" x14ac:dyDescent="0.2">
      <c r="J639">
        <v>10727</v>
      </c>
      <c r="K639" t="str">
        <v>Italy</v>
      </c>
      <c r="L639">
        <v>361</v>
      </c>
    </row>
    <row r="640" spans="10:12" x14ac:dyDescent="0.2">
      <c r="J640">
        <v>11189</v>
      </c>
      <c r="K640" t="str">
        <v>France</v>
      </c>
      <c r="L640">
        <v>935</v>
      </c>
    </row>
    <row r="641" spans="10:12" x14ac:dyDescent="0.2">
      <c r="J641">
        <v>11189</v>
      </c>
      <c r="K641" t="str">
        <v>France</v>
      </c>
      <c r="L641">
        <v>340</v>
      </c>
    </row>
    <row r="642" spans="10:12" x14ac:dyDescent="0.2">
      <c r="J642">
        <v>11189</v>
      </c>
      <c r="K642" t="str">
        <v>France</v>
      </c>
      <c r="L642">
        <v>1275</v>
      </c>
    </row>
    <row r="643" spans="10:12" x14ac:dyDescent="0.2">
      <c r="J643">
        <v>10730</v>
      </c>
      <c r="K643" t="str">
        <v>France</v>
      </c>
      <c r="L643">
        <v>199.97</v>
      </c>
    </row>
    <row r="644" spans="10:12" x14ac:dyDescent="0.2">
      <c r="J644">
        <v>10730</v>
      </c>
      <c r="K644" t="str">
        <v>France</v>
      </c>
      <c r="L644">
        <v>248.66</v>
      </c>
    </row>
    <row r="645" spans="10:12" x14ac:dyDescent="0.2">
      <c r="J645">
        <v>10730</v>
      </c>
      <c r="K645" t="str">
        <v>France</v>
      </c>
      <c r="L645">
        <v>35.619999999999997</v>
      </c>
    </row>
    <row r="646" spans="10:12" x14ac:dyDescent="0.2">
      <c r="J646">
        <v>10732</v>
      </c>
      <c r="K646" t="str">
        <v>France</v>
      </c>
      <c r="L646">
        <v>360</v>
      </c>
    </row>
    <row r="647" spans="10:12" x14ac:dyDescent="0.2">
      <c r="J647">
        <v>10731</v>
      </c>
      <c r="K647" t="str">
        <v>Switzerland</v>
      </c>
      <c r="L647">
        <v>380</v>
      </c>
    </row>
    <row r="648" spans="10:12" x14ac:dyDescent="0.2">
      <c r="J648">
        <v>10731</v>
      </c>
      <c r="K648" t="str">
        <v>Switzerland</v>
      </c>
      <c r="L648">
        <v>1510.5</v>
      </c>
    </row>
    <row r="649" spans="10:12" x14ac:dyDescent="0.2">
      <c r="J649">
        <v>10733</v>
      </c>
      <c r="K649" t="str">
        <v>Sweden</v>
      </c>
      <c r="L649">
        <v>175</v>
      </c>
    </row>
    <row r="650" spans="10:12" x14ac:dyDescent="0.2">
      <c r="J650">
        <v>10733</v>
      </c>
      <c r="K650" t="str">
        <v>Sweden</v>
      </c>
      <c r="L650">
        <v>912</v>
      </c>
    </row>
    <row r="651" spans="10:12" x14ac:dyDescent="0.2">
      <c r="J651">
        <v>10733</v>
      </c>
      <c r="K651" t="str">
        <v>Sweden</v>
      </c>
      <c r="L651">
        <v>372</v>
      </c>
    </row>
    <row r="652" spans="10:12" x14ac:dyDescent="0.2">
      <c r="J652">
        <v>10736</v>
      </c>
      <c r="K652" t="str">
        <v>Ireland</v>
      </c>
      <c r="L652">
        <v>155</v>
      </c>
    </row>
    <row r="653" spans="10:12" x14ac:dyDescent="0.2">
      <c r="J653">
        <v>10736</v>
      </c>
      <c r="K653" t="str">
        <v>Ireland</v>
      </c>
      <c r="L653">
        <v>842</v>
      </c>
    </row>
    <row r="654" spans="10:12" x14ac:dyDescent="0.2">
      <c r="J654">
        <v>10739</v>
      </c>
      <c r="K654" t="str">
        <v>France</v>
      </c>
      <c r="L654">
        <v>126</v>
      </c>
    </row>
    <row r="655" spans="10:12" x14ac:dyDescent="0.2">
      <c r="J655">
        <v>10738</v>
      </c>
      <c r="K655" t="str">
        <v>France</v>
      </c>
      <c r="L655">
        <v>52.35</v>
      </c>
    </row>
    <row r="656" spans="10:12" x14ac:dyDescent="0.2">
      <c r="J656">
        <v>10741</v>
      </c>
      <c r="K656" t="str">
        <v>UK</v>
      </c>
      <c r="L656">
        <v>228</v>
      </c>
    </row>
    <row r="657" spans="10:12" x14ac:dyDescent="0.2">
      <c r="J657">
        <v>10745</v>
      </c>
      <c r="K657" t="str">
        <v>Germany</v>
      </c>
      <c r="L657">
        <v>311.2</v>
      </c>
    </row>
    <row r="658" spans="10:12" x14ac:dyDescent="0.2">
      <c r="J658">
        <v>10745</v>
      </c>
      <c r="K658" t="str">
        <v>Germany</v>
      </c>
      <c r="L658">
        <v>2475</v>
      </c>
    </row>
    <row r="659" spans="10:12" x14ac:dyDescent="0.2">
      <c r="J659">
        <v>10745</v>
      </c>
      <c r="K659" t="str">
        <v>Germany</v>
      </c>
      <c r="L659">
        <v>243.6</v>
      </c>
    </row>
    <row r="660" spans="10:12" x14ac:dyDescent="0.2">
      <c r="J660">
        <v>10746</v>
      </c>
      <c r="K660" t="str">
        <v>Switzerland</v>
      </c>
      <c r="L660">
        <v>443.7</v>
      </c>
    </row>
    <row r="661" spans="10:12" x14ac:dyDescent="0.2">
      <c r="J661">
        <v>10746</v>
      </c>
      <c r="K661" t="str">
        <v>Switzerland</v>
      </c>
      <c r="L661">
        <v>1440</v>
      </c>
    </row>
    <row r="662" spans="10:12" x14ac:dyDescent="0.2">
      <c r="J662">
        <v>10746</v>
      </c>
      <c r="K662" t="str">
        <v>Switzerland</v>
      </c>
      <c r="L662">
        <v>392</v>
      </c>
    </row>
    <row r="663" spans="10:12" x14ac:dyDescent="0.2">
      <c r="J663">
        <v>10747</v>
      </c>
      <c r="K663" t="str">
        <v>Austria</v>
      </c>
      <c r="L663">
        <v>395.1</v>
      </c>
    </row>
    <row r="664" spans="10:12" x14ac:dyDescent="0.2">
      <c r="J664">
        <v>10747</v>
      </c>
      <c r="K664" t="str">
        <v>Austria</v>
      </c>
      <c r="L664">
        <v>1080</v>
      </c>
    </row>
    <row r="665" spans="10:12" x14ac:dyDescent="0.2">
      <c r="J665">
        <v>10747</v>
      </c>
      <c r="K665" t="str">
        <v>Austria</v>
      </c>
      <c r="L665">
        <v>100</v>
      </c>
    </row>
    <row r="666" spans="10:12" x14ac:dyDescent="0.2">
      <c r="J666">
        <v>10749</v>
      </c>
      <c r="K666" t="str">
        <v>UK</v>
      </c>
      <c r="L666">
        <v>180</v>
      </c>
    </row>
    <row r="667" spans="10:12" x14ac:dyDescent="0.2">
      <c r="J667">
        <v>10749</v>
      </c>
      <c r="K667" t="str">
        <v>UK</v>
      </c>
      <c r="L667">
        <v>330</v>
      </c>
    </row>
    <row r="668" spans="10:12" x14ac:dyDescent="0.2">
      <c r="J668">
        <v>10749</v>
      </c>
      <c r="K668" t="str">
        <v>UK</v>
      </c>
      <c r="L668">
        <v>570</v>
      </c>
    </row>
    <row r="669" spans="10:12" x14ac:dyDescent="0.2">
      <c r="J669">
        <v>10750</v>
      </c>
      <c r="K669" t="str">
        <v>Finland</v>
      </c>
      <c r="L669">
        <v>1168.75</v>
      </c>
    </row>
    <row r="670" spans="10:12" x14ac:dyDescent="0.2">
      <c r="J670">
        <v>10750</v>
      </c>
      <c r="K670" t="str">
        <v>Finland</v>
      </c>
      <c r="L670">
        <v>98.81</v>
      </c>
    </row>
    <row r="671" spans="10:12" x14ac:dyDescent="0.2">
      <c r="J671">
        <v>10752</v>
      </c>
      <c r="K671" t="str">
        <v>UK</v>
      </c>
      <c r="L671">
        <v>144</v>
      </c>
    </row>
    <row r="672" spans="10:12" x14ac:dyDescent="0.2">
      <c r="J672">
        <v>10752</v>
      </c>
      <c r="K672" t="str">
        <v>UK</v>
      </c>
      <c r="L672">
        <v>108</v>
      </c>
    </row>
    <row r="673" spans="10:12" x14ac:dyDescent="0.2">
      <c r="J673">
        <v>10751</v>
      </c>
      <c r="K673" t="str">
        <v>Switzerland</v>
      </c>
      <c r="L673">
        <v>337.28</v>
      </c>
    </row>
    <row r="674" spans="10:12" x14ac:dyDescent="0.2">
      <c r="J674">
        <v>10751</v>
      </c>
      <c r="K674" t="str">
        <v>Switzerland</v>
      </c>
      <c r="L674">
        <v>292.5</v>
      </c>
    </row>
    <row r="675" spans="10:12" x14ac:dyDescent="0.2">
      <c r="J675">
        <v>10753</v>
      </c>
      <c r="K675" t="str">
        <v>Italy</v>
      </c>
      <c r="L675">
        <v>50</v>
      </c>
    </row>
    <row r="676" spans="10:12" x14ac:dyDescent="0.2">
      <c r="J676">
        <v>10755</v>
      </c>
      <c r="K676" t="str">
        <v>France</v>
      </c>
      <c r="L676">
        <v>213.75</v>
      </c>
    </row>
    <row r="677" spans="10:12" x14ac:dyDescent="0.2">
      <c r="J677">
        <v>10755</v>
      </c>
      <c r="K677" t="str">
        <v>France</v>
      </c>
      <c r="L677">
        <v>675</v>
      </c>
    </row>
    <row r="678" spans="10:12" x14ac:dyDescent="0.2">
      <c r="J678">
        <v>10755</v>
      </c>
      <c r="K678" t="str">
        <v>France</v>
      </c>
      <c r="L678">
        <v>855</v>
      </c>
    </row>
    <row r="679" spans="10:12" x14ac:dyDescent="0.2">
      <c r="J679">
        <v>10755</v>
      </c>
      <c r="K679" t="str">
        <v>France</v>
      </c>
      <c r="L679">
        <v>204.75</v>
      </c>
    </row>
    <row r="680" spans="10:12" x14ac:dyDescent="0.2">
      <c r="J680">
        <v>10758</v>
      </c>
      <c r="K680" t="str">
        <v>Switzerland</v>
      </c>
      <c r="L680">
        <v>600</v>
      </c>
    </row>
    <row r="681" spans="10:12" x14ac:dyDescent="0.2">
      <c r="J681">
        <v>10758</v>
      </c>
      <c r="K681" t="str">
        <v>Switzerland</v>
      </c>
      <c r="L681">
        <v>624.6</v>
      </c>
    </row>
    <row r="682" spans="10:12" x14ac:dyDescent="0.2">
      <c r="J682">
        <v>10758</v>
      </c>
      <c r="K682" t="str">
        <v>Switzerland</v>
      </c>
      <c r="L682">
        <v>420</v>
      </c>
    </row>
    <row r="683" spans="10:12" x14ac:dyDescent="0.2">
      <c r="J683">
        <v>10760</v>
      </c>
      <c r="K683" t="str">
        <v>Belgium</v>
      </c>
      <c r="L683">
        <v>1035</v>
      </c>
    </row>
    <row r="684" spans="10:12" x14ac:dyDescent="0.2">
      <c r="J684">
        <v>10760</v>
      </c>
      <c r="K684" t="str">
        <v>Belgium</v>
      </c>
      <c r="L684">
        <v>1756</v>
      </c>
    </row>
    <row r="685" spans="10:12" x14ac:dyDescent="0.2">
      <c r="J685">
        <v>10760</v>
      </c>
      <c r="K685" t="str">
        <v>Belgium</v>
      </c>
      <c r="L685">
        <v>126</v>
      </c>
    </row>
    <row r="686" spans="10:12" x14ac:dyDescent="0.2">
      <c r="J686">
        <v>10762</v>
      </c>
      <c r="K686" t="str">
        <v>Sweden</v>
      </c>
      <c r="L686">
        <v>288</v>
      </c>
    </row>
    <row r="687" spans="10:12" x14ac:dyDescent="0.2">
      <c r="J687">
        <v>10762</v>
      </c>
      <c r="K687" t="str">
        <v>Sweden</v>
      </c>
      <c r="L687">
        <v>285</v>
      </c>
    </row>
    <row r="688" spans="10:12" x14ac:dyDescent="0.2">
      <c r="J688">
        <v>10762</v>
      </c>
      <c r="K688" t="str">
        <v>Sweden</v>
      </c>
      <c r="L688">
        <v>2280</v>
      </c>
    </row>
    <row r="689" spans="10:12" x14ac:dyDescent="0.2">
      <c r="J689">
        <v>10762</v>
      </c>
      <c r="K689" t="str">
        <v>Sweden</v>
      </c>
      <c r="L689">
        <v>1484</v>
      </c>
    </row>
    <row r="690" spans="10:12" x14ac:dyDescent="0.2">
      <c r="J690">
        <v>10763</v>
      </c>
      <c r="K690" t="str">
        <v>France</v>
      </c>
      <c r="L690">
        <v>90</v>
      </c>
    </row>
    <row r="691" spans="10:12" x14ac:dyDescent="0.2">
      <c r="J691">
        <v>10763</v>
      </c>
      <c r="K691" t="str">
        <v>France</v>
      </c>
      <c r="L691">
        <v>400</v>
      </c>
    </row>
    <row r="692" spans="10:12" x14ac:dyDescent="0.2">
      <c r="J692">
        <v>10763</v>
      </c>
      <c r="K692" t="str">
        <v>France</v>
      </c>
      <c r="L692">
        <v>126</v>
      </c>
    </row>
    <row r="693" spans="10:12" x14ac:dyDescent="0.2">
      <c r="J693">
        <v>10764</v>
      </c>
      <c r="K693" t="str">
        <v>Austria</v>
      </c>
      <c r="L693">
        <v>2106</v>
      </c>
    </row>
    <row r="694" spans="10:12" x14ac:dyDescent="0.2">
      <c r="J694">
        <v>10764</v>
      </c>
      <c r="K694" t="str">
        <v>Austria</v>
      </c>
      <c r="L694">
        <v>180</v>
      </c>
    </row>
    <row r="695" spans="10:12" x14ac:dyDescent="0.2">
      <c r="J695">
        <v>10765</v>
      </c>
      <c r="K695" t="str">
        <v>Germany</v>
      </c>
      <c r="L695">
        <v>1515.6</v>
      </c>
    </row>
    <row r="696" spans="10:12" x14ac:dyDescent="0.2">
      <c r="J696">
        <v>10766</v>
      </c>
      <c r="K696" t="str">
        <v>Germany</v>
      </c>
      <c r="L696">
        <v>760</v>
      </c>
    </row>
    <row r="697" spans="10:12" x14ac:dyDescent="0.2">
      <c r="J697">
        <v>10766</v>
      </c>
      <c r="K697" t="str">
        <v>Germany</v>
      </c>
      <c r="L697">
        <v>500</v>
      </c>
    </row>
    <row r="698" spans="10:12" x14ac:dyDescent="0.2">
      <c r="J698">
        <v>10766</v>
      </c>
      <c r="K698" t="str">
        <v>Germany</v>
      </c>
      <c r="L698">
        <v>1050</v>
      </c>
    </row>
    <row r="699" spans="10:12" x14ac:dyDescent="0.2">
      <c r="J699">
        <v>10767</v>
      </c>
      <c r="K699" t="str">
        <v>Belgium</v>
      </c>
      <c r="L699">
        <v>28</v>
      </c>
    </row>
    <row r="700" spans="10:12" x14ac:dyDescent="0.2">
      <c r="J700">
        <v>10769</v>
      </c>
      <c r="K700" t="str">
        <v>Denmark</v>
      </c>
      <c r="L700">
        <v>570</v>
      </c>
    </row>
    <row r="701" spans="10:12" x14ac:dyDescent="0.2">
      <c r="J701">
        <v>10769</v>
      </c>
      <c r="K701" t="str">
        <v>Denmark</v>
      </c>
      <c r="L701">
        <v>739.5</v>
      </c>
    </row>
    <row r="702" spans="10:12" x14ac:dyDescent="0.2">
      <c r="J702">
        <v>10769</v>
      </c>
      <c r="K702" t="str">
        <v>Denmark</v>
      </c>
      <c r="L702">
        <v>99.75</v>
      </c>
    </row>
    <row r="703" spans="10:12" x14ac:dyDescent="0.2">
      <c r="J703">
        <v>10768</v>
      </c>
      <c r="K703" t="str">
        <v>UK</v>
      </c>
      <c r="L703">
        <v>625</v>
      </c>
    </row>
    <row r="704" spans="10:12" x14ac:dyDescent="0.2">
      <c r="J704">
        <v>10768</v>
      </c>
      <c r="K704" t="str">
        <v>UK</v>
      </c>
      <c r="L704">
        <v>510</v>
      </c>
    </row>
    <row r="705" spans="10:12" x14ac:dyDescent="0.2">
      <c r="J705">
        <v>10768</v>
      </c>
      <c r="K705" t="str">
        <v>UK</v>
      </c>
      <c r="L705">
        <v>258</v>
      </c>
    </row>
    <row r="706" spans="10:12" x14ac:dyDescent="0.2">
      <c r="J706">
        <v>10768</v>
      </c>
      <c r="K706" t="str">
        <v>UK</v>
      </c>
      <c r="L706">
        <v>84</v>
      </c>
    </row>
    <row r="707" spans="10:12" x14ac:dyDescent="0.2">
      <c r="J707">
        <v>11199</v>
      </c>
      <c r="K707" t="str">
        <v>France</v>
      </c>
      <c r="L707">
        <v>540</v>
      </c>
    </row>
    <row r="708" spans="10:12" x14ac:dyDescent="0.2">
      <c r="J708">
        <v>11199</v>
      </c>
      <c r="K708" t="str">
        <v>France</v>
      </c>
      <c r="L708">
        <v>1972</v>
      </c>
    </row>
    <row r="709" spans="10:12" x14ac:dyDescent="0.2">
      <c r="J709">
        <v>11199</v>
      </c>
      <c r="K709" t="str">
        <v>France</v>
      </c>
      <c r="L709">
        <v>300</v>
      </c>
    </row>
    <row r="710" spans="10:12" x14ac:dyDescent="0.2">
      <c r="J710">
        <v>10772</v>
      </c>
      <c r="K710" t="str">
        <v>Germany</v>
      </c>
      <c r="L710">
        <v>1375</v>
      </c>
    </row>
    <row r="711" spans="10:12" x14ac:dyDescent="0.2">
      <c r="J711">
        <v>10771</v>
      </c>
      <c r="K711" t="str">
        <v>Austria</v>
      </c>
      <c r="L711">
        <v>344</v>
      </c>
    </row>
    <row r="712" spans="10:12" x14ac:dyDescent="0.2">
      <c r="J712">
        <v>10774</v>
      </c>
      <c r="K712" t="str">
        <v>Sweden</v>
      </c>
      <c r="L712">
        <v>850</v>
      </c>
    </row>
    <row r="713" spans="10:12" x14ac:dyDescent="0.2">
      <c r="J713">
        <v>10774</v>
      </c>
      <c r="K713" t="str">
        <v>Sweden</v>
      </c>
      <c r="L713">
        <v>18.75</v>
      </c>
    </row>
    <row r="714" spans="10:12" x14ac:dyDescent="0.2">
      <c r="J714">
        <v>10773</v>
      </c>
      <c r="K714" t="str">
        <v>Austria</v>
      </c>
      <c r="L714">
        <v>43.4</v>
      </c>
    </row>
    <row r="715" spans="10:12" x14ac:dyDescent="0.2">
      <c r="J715">
        <v>10773</v>
      </c>
      <c r="K715" t="str">
        <v>Austria</v>
      </c>
      <c r="L715">
        <v>700</v>
      </c>
    </row>
    <row r="716" spans="10:12" x14ac:dyDescent="0.2">
      <c r="J716">
        <v>10776</v>
      </c>
      <c r="K716" t="str">
        <v>Austria</v>
      </c>
      <c r="L716">
        <v>190</v>
      </c>
    </row>
    <row r="717" spans="10:12" x14ac:dyDescent="0.2">
      <c r="J717">
        <v>10776</v>
      </c>
      <c r="K717" t="str">
        <v>Austria</v>
      </c>
      <c r="L717">
        <v>159.6</v>
      </c>
    </row>
    <row r="718" spans="10:12" x14ac:dyDescent="0.2">
      <c r="J718">
        <v>10776</v>
      </c>
      <c r="K718" t="str">
        <v>Austria</v>
      </c>
      <c r="L718">
        <v>6042</v>
      </c>
    </row>
    <row r="719" spans="10:12" x14ac:dyDescent="0.2">
      <c r="J719">
        <v>10779</v>
      </c>
      <c r="K719" t="str">
        <v>Germany</v>
      </c>
      <c r="L719">
        <v>986</v>
      </c>
    </row>
    <row r="720" spans="10:12" x14ac:dyDescent="0.2">
      <c r="J720">
        <v>10779</v>
      </c>
      <c r="K720" t="str">
        <v>Germany</v>
      </c>
      <c r="L720">
        <v>349</v>
      </c>
    </row>
    <row r="721" spans="10:12" x14ac:dyDescent="0.2">
      <c r="J721">
        <v>10781</v>
      </c>
      <c r="K721" t="str">
        <v>Finland</v>
      </c>
      <c r="L721">
        <v>608</v>
      </c>
    </row>
    <row r="722" spans="10:12" x14ac:dyDescent="0.2">
      <c r="J722">
        <v>10781</v>
      </c>
      <c r="K722" t="str">
        <v>Finland</v>
      </c>
      <c r="L722">
        <v>350</v>
      </c>
    </row>
    <row r="723" spans="10:12" x14ac:dyDescent="0.2">
      <c r="J723">
        <v>10784</v>
      </c>
      <c r="K723" t="str">
        <v>Italy</v>
      </c>
      <c r="L723">
        <v>30.6</v>
      </c>
    </row>
    <row r="724" spans="10:12" x14ac:dyDescent="0.2">
      <c r="J724">
        <v>10784</v>
      </c>
      <c r="K724" t="str">
        <v>Italy</v>
      </c>
      <c r="L724">
        <v>887.4</v>
      </c>
    </row>
    <row r="725" spans="10:12" x14ac:dyDescent="0.2">
      <c r="J725">
        <v>10787</v>
      </c>
      <c r="K725" t="str">
        <v>France</v>
      </c>
      <c r="L725">
        <v>270.75</v>
      </c>
    </row>
    <row r="726" spans="10:12" x14ac:dyDescent="0.2">
      <c r="J726">
        <v>11207</v>
      </c>
      <c r="K726" t="str">
        <v>UK</v>
      </c>
      <c r="L726">
        <v>237.5</v>
      </c>
    </row>
    <row r="727" spans="10:12" x14ac:dyDescent="0.2">
      <c r="J727">
        <v>11207</v>
      </c>
      <c r="K727" t="str">
        <v>UK</v>
      </c>
      <c r="L727">
        <v>210</v>
      </c>
    </row>
    <row r="728" spans="10:12" x14ac:dyDescent="0.2">
      <c r="J728">
        <v>11207</v>
      </c>
      <c r="K728" t="str">
        <v>UK</v>
      </c>
      <c r="L728">
        <v>1060</v>
      </c>
    </row>
    <row r="729" spans="10:12" x14ac:dyDescent="0.2">
      <c r="J729">
        <v>10789</v>
      </c>
      <c r="K729" t="str">
        <v>France</v>
      </c>
      <c r="L729">
        <v>270</v>
      </c>
    </row>
    <row r="730" spans="10:12" x14ac:dyDescent="0.2">
      <c r="J730">
        <v>10789</v>
      </c>
      <c r="K730" t="str">
        <v>France</v>
      </c>
      <c r="L730">
        <v>1317</v>
      </c>
    </row>
    <row r="731" spans="10:12" x14ac:dyDescent="0.2">
      <c r="J731">
        <v>10789</v>
      </c>
      <c r="K731" t="str">
        <v>France</v>
      </c>
      <c r="L731">
        <v>225</v>
      </c>
    </row>
    <row r="732" spans="10:12" x14ac:dyDescent="0.2">
      <c r="J732">
        <v>10788</v>
      </c>
      <c r="K732" t="str">
        <v>Germany</v>
      </c>
      <c r="L732">
        <v>294.5</v>
      </c>
    </row>
    <row r="733" spans="10:12" x14ac:dyDescent="0.2">
      <c r="J733">
        <v>10788</v>
      </c>
      <c r="K733" t="str">
        <v>Germany</v>
      </c>
      <c r="L733">
        <v>437</v>
      </c>
    </row>
    <row r="734" spans="10:12" x14ac:dyDescent="0.2">
      <c r="J734">
        <v>10792</v>
      </c>
      <c r="K734" t="str">
        <v>Poland</v>
      </c>
      <c r="L734">
        <v>190</v>
      </c>
    </row>
    <row r="735" spans="10:12" x14ac:dyDescent="0.2">
      <c r="J735">
        <v>10792</v>
      </c>
      <c r="K735" t="str">
        <v>Poland</v>
      </c>
      <c r="L735">
        <v>187.5</v>
      </c>
    </row>
    <row r="736" spans="10:12" x14ac:dyDescent="0.2">
      <c r="J736">
        <v>10793</v>
      </c>
      <c r="K736" t="str">
        <v>UK</v>
      </c>
      <c r="L736">
        <v>56</v>
      </c>
    </row>
    <row r="737" spans="10:12" x14ac:dyDescent="0.2">
      <c r="J737">
        <v>10795</v>
      </c>
      <c r="K737" t="str">
        <v>Austria</v>
      </c>
      <c r="L737">
        <v>1134.25</v>
      </c>
    </row>
    <row r="738" spans="10:12" x14ac:dyDescent="0.2">
      <c r="J738">
        <v>10797</v>
      </c>
      <c r="K738" t="str">
        <v>Germany</v>
      </c>
      <c r="L738">
        <v>420</v>
      </c>
    </row>
    <row r="739" spans="10:12" x14ac:dyDescent="0.2">
      <c r="J739">
        <v>10798</v>
      </c>
      <c r="K739" t="str">
        <v>UK</v>
      </c>
      <c r="L739">
        <v>98.6</v>
      </c>
    </row>
    <row r="740" spans="10:12" x14ac:dyDescent="0.2">
      <c r="J740">
        <v>10798</v>
      </c>
      <c r="K740" t="str">
        <v>UK</v>
      </c>
      <c r="L740">
        <v>348</v>
      </c>
    </row>
    <row r="741" spans="10:12" x14ac:dyDescent="0.2">
      <c r="J741">
        <v>10799</v>
      </c>
      <c r="K741" t="str">
        <v>Germany</v>
      </c>
      <c r="L741">
        <v>76.5</v>
      </c>
    </row>
    <row r="742" spans="10:12" x14ac:dyDescent="0.2">
      <c r="J742">
        <v>10799</v>
      </c>
      <c r="K742" t="str">
        <v>Germany</v>
      </c>
      <c r="L742">
        <v>1375</v>
      </c>
    </row>
    <row r="743" spans="10:12" x14ac:dyDescent="0.2">
      <c r="J743">
        <v>10800</v>
      </c>
      <c r="K743" t="str">
        <v>UK</v>
      </c>
      <c r="L743">
        <v>945</v>
      </c>
    </row>
    <row r="744" spans="10:12" x14ac:dyDescent="0.2">
      <c r="J744">
        <v>10800</v>
      </c>
      <c r="K744" t="str">
        <v>UK</v>
      </c>
      <c r="L744">
        <v>477</v>
      </c>
    </row>
    <row r="745" spans="10:12" x14ac:dyDescent="0.2">
      <c r="J745">
        <v>10802</v>
      </c>
      <c r="K745" t="str">
        <v>Denmark</v>
      </c>
      <c r="L745">
        <v>184.88</v>
      </c>
    </row>
    <row r="746" spans="10:12" x14ac:dyDescent="0.2">
      <c r="J746">
        <v>10802</v>
      </c>
      <c r="K746" t="str">
        <v>Denmark</v>
      </c>
      <c r="L746">
        <v>1192.5</v>
      </c>
    </row>
    <row r="747" spans="10:12" x14ac:dyDescent="0.2">
      <c r="J747">
        <v>11212</v>
      </c>
      <c r="K747" t="str">
        <v>France</v>
      </c>
      <c r="L747">
        <v>180</v>
      </c>
    </row>
    <row r="748" spans="10:12" x14ac:dyDescent="0.2">
      <c r="J748">
        <v>11212</v>
      </c>
      <c r="K748" t="str">
        <v>France</v>
      </c>
      <c r="L748">
        <v>624.75</v>
      </c>
    </row>
    <row r="749" spans="10:12" x14ac:dyDescent="0.2">
      <c r="J749">
        <v>10804</v>
      </c>
      <c r="K749" t="str">
        <v>UK</v>
      </c>
      <c r="L749">
        <v>68</v>
      </c>
    </row>
    <row r="750" spans="10:12" x14ac:dyDescent="0.2">
      <c r="J750">
        <v>10804</v>
      </c>
      <c r="K750" t="str">
        <v>UK</v>
      </c>
      <c r="L750">
        <v>1094.4000000000001</v>
      </c>
    </row>
    <row r="751" spans="10:12" x14ac:dyDescent="0.2">
      <c r="J751">
        <v>10806</v>
      </c>
      <c r="K751" t="str">
        <v>France</v>
      </c>
      <c r="L751">
        <v>285</v>
      </c>
    </row>
    <row r="752" spans="10:12" x14ac:dyDescent="0.2">
      <c r="J752">
        <v>10806</v>
      </c>
      <c r="K752" t="str">
        <v>France</v>
      </c>
      <c r="L752">
        <v>42.1</v>
      </c>
    </row>
    <row r="753" spans="10:12" x14ac:dyDescent="0.2">
      <c r="J753">
        <v>10806</v>
      </c>
      <c r="K753" t="str">
        <v>France</v>
      </c>
      <c r="L753">
        <v>112.5</v>
      </c>
    </row>
    <row r="754" spans="10:12" x14ac:dyDescent="0.2">
      <c r="J754">
        <v>10812</v>
      </c>
      <c r="K754" t="str">
        <v>Italy</v>
      </c>
      <c r="L754">
        <v>260</v>
      </c>
    </row>
    <row r="755" spans="10:12" x14ac:dyDescent="0.2">
      <c r="J755">
        <v>10812</v>
      </c>
      <c r="K755" t="str">
        <v>Italy</v>
      </c>
      <c r="L755">
        <v>1252.8</v>
      </c>
    </row>
    <row r="756" spans="10:12" x14ac:dyDescent="0.2">
      <c r="J756">
        <v>10812</v>
      </c>
      <c r="K756" t="str">
        <v>Italy</v>
      </c>
      <c r="L756">
        <v>180</v>
      </c>
    </row>
    <row r="757" spans="10:12" x14ac:dyDescent="0.2">
      <c r="J757">
        <v>10814</v>
      </c>
      <c r="K757" t="str">
        <v>France</v>
      </c>
      <c r="L757">
        <v>782</v>
      </c>
    </row>
    <row r="758" spans="10:12" x14ac:dyDescent="0.2">
      <c r="J758">
        <v>10814</v>
      </c>
      <c r="K758" t="str">
        <v>France</v>
      </c>
      <c r="L758">
        <v>726.75</v>
      </c>
    </row>
    <row r="759" spans="10:12" x14ac:dyDescent="0.2">
      <c r="J759">
        <v>10814</v>
      </c>
      <c r="K759" t="str">
        <v>France</v>
      </c>
      <c r="L759">
        <v>86.7</v>
      </c>
    </row>
    <row r="760" spans="10:12" x14ac:dyDescent="0.2">
      <c r="J760">
        <v>10817</v>
      </c>
      <c r="K760" t="str">
        <v>Germany</v>
      </c>
      <c r="L760">
        <v>7905</v>
      </c>
    </row>
    <row r="761" spans="10:12" x14ac:dyDescent="0.2">
      <c r="J761">
        <v>10817</v>
      </c>
      <c r="K761" t="str">
        <v>Germany</v>
      </c>
      <c r="L761">
        <v>1061.82</v>
      </c>
    </row>
    <row r="762" spans="10:12" x14ac:dyDescent="0.2">
      <c r="J762">
        <v>10817</v>
      </c>
      <c r="K762" t="str">
        <v>Germany</v>
      </c>
      <c r="L762">
        <v>1047.6199999999999</v>
      </c>
    </row>
    <row r="763" spans="10:12" x14ac:dyDescent="0.2">
      <c r="J763">
        <v>10818</v>
      </c>
      <c r="K763" t="str">
        <v>Italy</v>
      </c>
      <c r="L763">
        <v>640</v>
      </c>
    </row>
    <row r="764" spans="10:12" x14ac:dyDescent="0.2">
      <c r="J764">
        <v>10825</v>
      </c>
      <c r="K764" t="str">
        <v>Germany</v>
      </c>
      <c r="L764">
        <v>374.76</v>
      </c>
    </row>
    <row r="765" spans="10:12" x14ac:dyDescent="0.2">
      <c r="J765">
        <v>10824</v>
      </c>
      <c r="K765" t="str">
        <v>Sweden</v>
      </c>
      <c r="L765">
        <v>135</v>
      </c>
    </row>
    <row r="766" spans="10:12" x14ac:dyDescent="0.2">
      <c r="J766">
        <v>10829</v>
      </c>
      <c r="K766" t="str">
        <v>UK</v>
      </c>
      <c r="L766">
        <v>190</v>
      </c>
    </row>
    <row r="767" spans="10:12" x14ac:dyDescent="0.2">
      <c r="J767">
        <v>10829</v>
      </c>
      <c r="K767" t="str">
        <v>UK</v>
      </c>
      <c r="L767">
        <v>800</v>
      </c>
    </row>
    <row r="768" spans="10:12" x14ac:dyDescent="0.2">
      <c r="J768">
        <v>10829</v>
      </c>
      <c r="K768" t="str">
        <v>UK</v>
      </c>
      <c r="L768">
        <v>714</v>
      </c>
    </row>
    <row r="769" spans="10:12" x14ac:dyDescent="0.2">
      <c r="J769">
        <v>10859</v>
      </c>
      <c r="K769" t="str">
        <v>Germany</v>
      </c>
      <c r="L769">
        <v>135</v>
      </c>
    </row>
    <row r="770" spans="10:12" x14ac:dyDescent="0.2">
      <c r="J770">
        <v>10859</v>
      </c>
      <c r="K770" t="str">
        <v>Germany</v>
      </c>
      <c r="L770">
        <v>748.12</v>
      </c>
    </row>
    <row r="771" spans="10:12" x14ac:dyDescent="0.2">
      <c r="J771">
        <v>10858</v>
      </c>
      <c r="K771" t="str">
        <v>France</v>
      </c>
      <c r="L771">
        <v>60</v>
      </c>
    </row>
    <row r="772" spans="10:12" x14ac:dyDescent="0.2">
      <c r="J772">
        <v>10858</v>
      </c>
      <c r="K772" t="str">
        <v>France</v>
      </c>
      <c r="L772">
        <v>439</v>
      </c>
    </row>
    <row r="773" spans="10:12" x14ac:dyDescent="0.2">
      <c r="J773">
        <v>10858</v>
      </c>
      <c r="K773" t="str">
        <v>France</v>
      </c>
      <c r="L773">
        <v>150</v>
      </c>
    </row>
    <row r="774" spans="10:12" x14ac:dyDescent="0.2">
      <c r="J774">
        <v>10860</v>
      </c>
      <c r="K774" t="str">
        <v>France</v>
      </c>
      <c r="L774">
        <v>360</v>
      </c>
    </row>
    <row r="775" spans="10:12" x14ac:dyDescent="0.2">
      <c r="J775">
        <v>10860</v>
      </c>
      <c r="K775" t="str">
        <v>France</v>
      </c>
      <c r="L775">
        <v>159</v>
      </c>
    </row>
    <row r="776" spans="10:12" x14ac:dyDescent="0.2">
      <c r="J776">
        <v>10826</v>
      </c>
      <c r="K776" t="str">
        <v>France</v>
      </c>
      <c r="L776">
        <v>437.5</v>
      </c>
    </row>
    <row r="777" spans="10:12" x14ac:dyDescent="0.2">
      <c r="J777">
        <v>10826</v>
      </c>
      <c r="K777" t="str">
        <v>France</v>
      </c>
      <c r="L777">
        <v>292.5</v>
      </c>
    </row>
    <row r="778" spans="10:12" x14ac:dyDescent="0.2">
      <c r="J778">
        <v>10827</v>
      </c>
      <c r="K778" t="str">
        <v>France</v>
      </c>
      <c r="L778">
        <v>378</v>
      </c>
    </row>
    <row r="779" spans="10:12" x14ac:dyDescent="0.2">
      <c r="J779">
        <v>10832</v>
      </c>
      <c r="K779" t="str">
        <v>France</v>
      </c>
      <c r="L779">
        <v>248.96</v>
      </c>
    </row>
    <row r="780" spans="10:12" x14ac:dyDescent="0.2">
      <c r="J780">
        <v>10832</v>
      </c>
      <c r="K780" t="str">
        <v>France</v>
      </c>
      <c r="L780">
        <v>112</v>
      </c>
    </row>
    <row r="781" spans="10:12" x14ac:dyDescent="0.2">
      <c r="J781">
        <v>10832</v>
      </c>
      <c r="K781" t="str">
        <v>France</v>
      </c>
      <c r="L781">
        <v>99.75</v>
      </c>
    </row>
    <row r="782" spans="10:12" x14ac:dyDescent="0.2">
      <c r="J782">
        <v>10831</v>
      </c>
      <c r="K782" t="str">
        <v>Norway</v>
      </c>
      <c r="L782">
        <v>2108</v>
      </c>
    </row>
    <row r="783" spans="10:12" x14ac:dyDescent="0.2">
      <c r="J783">
        <v>10831</v>
      </c>
      <c r="K783" t="str">
        <v>Norway</v>
      </c>
      <c r="L783">
        <v>414</v>
      </c>
    </row>
    <row r="784" spans="10:12" x14ac:dyDescent="0.2">
      <c r="J784">
        <v>10831</v>
      </c>
      <c r="K784" t="str">
        <v>Norway</v>
      </c>
      <c r="L784">
        <v>144</v>
      </c>
    </row>
    <row r="785" spans="10:12" x14ac:dyDescent="0.2">
      <c r="J785">
        <v>10831</v>
      </c>
      <c r="K785" t="str">
        <v>Norway</v>
      </c>
      <c r="L785">
        <v>18.399999999999999</v>
      </c>
    </row>
    <row r="786" spans="10:12" x14ac:dyDescent="0.2">
      <c r="J786">
        <v>10835</v>
      </c>
      <c r="K786" t="str">
        <v>Germany</v>
      </c>
      <c r="L786">
        <v>20.8</v>
      </c>
    </row>
    <row r="787" spans="10:12" x14ac:dyDescent="0.2">
      <c r="J787">
        <v>10835</v>
      </c>
      <c r="K787" t="str">
        <v>Germany</v>
      </c>
      <c r="L787">
        <v>825</v>
      </c>
    </row>
    <row r="788" spans="10:12" x14ac:dyDescent="0.2">
      <c r="J788">
        <v>10833</v>
      </c>
      <c r="K788" t="str">
        <v>Germany</v>
      </c>
      <c r="L788">
        <v>101.25</v>
      </c>
    </row>
    <row r="789" spans="10:12" x14ac:dyDescent="0.2">
      <c r="J789">
        <v>10833</v>
      </c>
      <c r="K789" t="str">
        <v>Germany</v>
      </c>
      <c r="L789">
        <v>540</v>
      </c>
    </row>
    <row r="790" spans="10:12" x14ac:dyDescent="0.2">
      <c r="J790">
        <v>11218</v>
      </c>
      <c r="K790" t="str">
        <v>France</v>
      </c>
      <c r="L790">
        <v>593.75</v>
      </c>
    </row>
    <row r="791" spans="10:12" x14ac:dyDescent="0.2">
      <c r="J791">
        <v>10836</v>
      </c>
      <c r="K791" t="str">
        <v>Austria</v>
      </c>
      <c r="L791">
        <v>108</v>
      </c>
    </row>
    <row r="792" spans="10:12" x14ac:dyDescent="0.2">
      <c r="J792">
        <v>10836</v>
      </c>
      <c r="K792" t="str">
        <v>Austria</v>
      </c>
      <c r="L792">
        <v>2040</v>
      </c>
    </row>
    <row r="793" spans="10:12" x14ac:dyDescent="0.2">
      <c r="J793">
        <v>10836</v>
      </c>
      <c r="K793" t="str">
        <v>Austria</v>
      </c>
      <c r="L793">
        <v>1092</v>
      </c>
    </row>
    <row r="794" spans="10:12" x14ac:dyDescent="0.2">
      <c r="J794">
        <v>10836</v>
      </c>
      <c r="K794" t="str">
        <v>Austria</v>
      </c>
      <c r="L794">
        <v>997.5</v>
      </c>
    </row>
    <row r="795" spans="10:12" x14ac:dyDescent="0.2">
      <c r="J795">
        <v>10836</v>
      </c>
      <c r="K795" t="str">
        <v>Austria</v>
      </c>
      <c r="L795">
        <v>468</v>
      </c>
    </row>
    <row r="796" spans="10:12" x14ac:dyDescent="0.2">
      <c r="J796">
        <v>10837</v>
      </c>
      <c r="K796" t="str">
        <v>Sweden</v>
      </c>
      <c r="L796">
        <v>283.5</v>
      </c>
    </row>
    <row r="797" spans="10:12" x14ac:dyDescent="0.2">
      <c r="J797">
        <v>10837</v>
      </c>
      <c r="K797" t="str">
        <v>Sweden</v>
      </c>
      <c r="L797">
        <v>285</v>
      </c>
    </row>
    <row r="798" spans="10:12" x14ac:dyDescent="0.2">
      <c r="J798">
        <v>10841</v>
      </c>
      <c r="K798" t="str">
        <v>Belgium</v>
      </c>
      <c r="L798">
        <v>195</v>
      </c>
    </row>
    <row r="799" spans="10:12" x14ac:dyDescent="0.2">
      <c r="J799">
        <v>10841</v>
      </c>
      <c r="K799" t="str">
        <v>Belgium</v>
      </c>
      <c r="L799">
        <v>2750</v>
      </c>
    </row>
    <row r="800" spans="10:12" x14ac:dyDescent="0.2">
      <c r="J800">
        <v>10841</v>
      </c>
      <c r="K800" t="str">
        <v>Belgium</v>
      </c>
      <c r="L800">
        <v>1140</v>
      </c>
    </row>
    <row r="801" spans="10:12" x14ac:dyDescent="0.2">
      <c r="J801">
        <v>10843</v>
      </c>
      <c r="K801" t="str">
        <v>France</v>
      </c>
      <c r="L801">
        <v>159</v>
      </c>
    </row>
    <row r="802" spans="10:12" x14ac:dyDescent="0.2">
      <c r="J802">
        <v>10844</v>
      </c>
      <c r="K802" t="str">
        <v>Austria</v>
      </c>
      <c r="L802">
        <v>735</v>
      </c>
    </row>
    <row r="803" spans="10:12" x14ac:dyDescent="0.2">
      <c r="J803">
        <v>10845</v>
      </c>
      <c r="K803" t="str">
        <v>Germany</v>
      </c>
      <c r="L803">
        <v>405</v>
      </c>
    </row>
    <row r="804" spans="10:12" x14ac:dyDescent="0.2">
      <c r="J804">
        <v>10845</v>
      </c>
      <c r="K804" t="str">
        <v>Germany</v>
      </c>
      <c r="L804">
        <v>1596</v>
      </c>
    </row>
    <row r="805" spans="10:12" x14ac:dyDescent="0.2">
      <c r="J805">
        <v>10845</v>
      </c>
      <c r="K805" t="str">
        <v>Germany</v>
      </c>
      <c r="L805">
        <v>567</v>
      </c>
    </row>
    <row r="806" spans="10:12" x14ac:dyDescent="0.2">
      <c r="J806">
        <v>10845</v>
      </c>
      <c r="K806" t="str">
        <v>Germany</v>
      </c>
      <c r="L806">
        <v>529.20000000000005</v>
      </c>
    </row>
    <row r="807" spans="10:12" x14ac:dyDescent="0.2">
      <c r="J807">
        <v>10846</v>
      </c>
      <c r="K807" t="str">
        <v>Belgium</v>
      </c>
      <c r="L807">
        <v>450</v>
      </c>
    </row>
    <row r="808" spans="10:12" x14ac:dyDescent="0.2">
      <c r="J808">
        <v>10846</v>
      </c>
      <c r="K808" t="str">
        <v>Belgium</v>
      </c>
      <c r="L808">
        <v>462</v>
      </c>
    </row>
    <row r="809" spans="10:12" x14ac:dyDescent="0.2">
      <c r="J809">
        <v>10846</v>
      </c>
      <c r="K809" t="str">
        <v>Belgium</v>
      </c>
      <c r="L809">
        <v>200</v>
      </c>
    </row>
    <row r="810" spans="10:12" x14ac:dyDescent="0.2">
      <c r="J810">
        <v>10848</v>
      </c>
      <c r="K810" t="str">
        <v>UK</v>
      </c>
      <c r="L810">
        <v>640.5</v>
      </c>
    </row>
    <row r="811" spans="10:12" x14ac:dyDescent="0.2">
      <c r="J811">
        <v>10849</v>
      </c>
      <c r="K811" t="str">
        <v>Germany</v>
      </c>
      <c r="L811">
        <v>490</v>
      </c>
    </row>
    <row r="812" spans="10:12" x14ac:dyDescent="0.2">
      <c r="J812">
        <v>10849</v>
      </c>
      <c r="K812" t="str">
        <v>Germany</v>
      </c>
      <c r="L812">
        <v>477.82</v>
      </c>
    </row>
    <row r="813" spans="10:12" x14ac:dyDescent="0.2">
      <c r="J813">
        <v>10850</v>
      </c>
      <c r="K813" t="str">
        <v>France</v>
      </c>
      <c r="L813">
        <v>382.5</v>
      </c>
    </row>
    <row r="814" spans="10:12" x14ac:dyDescent="0.2">
      <c r="J814">
        <v>10850</v>
      </c>
      <c r="K814" t="str">
        <v>France</v>
      </c>
      <c r="L814">
        <v>238</v>
      </c>
    </row>
    <row r="815" spans="10:12" x14ac:dyDescent="0.2">
      <c r="J815">
        <v>10850</v>
      </c>
      <c r="K815" t="str">
        <v>France</v>
      </c>
      <c r="L815">
        <v>8.5</v>
      </c>
    </row>
    <row r="816" spans="10:12" x14ac:dyDescent="0.2">
      <c r="J816">
        <v>10857</v>
      </c>
      <c r="K816" t="str">
        <v>Sweden</v>
      </c>
      <c r="L816">
        <v>300</v>
      </c>
    </row>
    <row r="817" spans="10:12" x14ac:dyDescent="0.2">
      <c r="J817">
        <v>10857</v>
      </c>
      <c r="K817" t="str">
        <v>Sweden</v>
      </c>
      <c r="L817">
        <v>819.79</v>
      </c>
    </row>
    <row r="818" spans="10:12" x14ac:dyDescent="0.2">
      <c r="J818">
        <v>10862</v>
      </c>
      <c r="K818" t="str">
        <v>Germany</v>
      </c>
      <c r="L818">
        <v>525</v>
      </c>
    </row>
    <row r="819" spans="10:12" x14ac:dyDescent="0.2">
      <c r="J819">
        <v>10862</v>
      </c>
      <c r="K819" t="str">
        <v>Germany</v>
      </c>
      <c r="L819">
        <v>56</v>
      </c>
    </row>
    <row r="820" spans="10:12" x14ac:dyDescent="0.2">
      <c r="J820">
        <v>10864</v>
      </c>
      <c r="K820" t="str">
        <v>UK</v>
      </c>
      <c r="L820">
        <v>210</v>
      </c>
    </row>
    <row r="821" spans="10:12" x14ac:dyDescent="0.2">
      <c r="J821">
        <v>10864</v>
      </c>
      <c r="K821" t="str">
        <v>UK</v>
      </c>
      <c r="L821">
        <v>72</v>
      </c>
    </row>
    <row r="822" spans="10:12" x14ac:dyDescent="0.2">
      <c r="J822">
        <v>10865</v>
      </c>
      <c r="K822" t="str">
        <v>Germany</v>
      </c>
      <c r="L822">
        <v>15019.5</v>
      </c>
    </row>
    <row r="823" spans="10:12" x14ac:dyDescent="0.2">
      <c r="J823">
        <v>10865</v>
      </c>
      <c r="K823" t="str">
        <v>Germany</v>
      </c>
      <c r="L823">
        <v>1368</v>
      </c>
    </row>
    <row r="824" spans="10:12" x14ac:dyDescent="0.2">
      <c r="J824">
        <v>10866</v>
      </c>
      <c r="K824" t="str">
        <v>Sweden</v>
      </c>
      <c r="L824">
        <v>299.25</v>
      </c>
    </row>
    <row r="825" spans="10:12" x14ac:dyDescent="0.2">
      <c r="J825">
        <v>10866</v>
      </c>
      <c r="K825" t="str">
        <v>Sweden</v>
      </c>
      <c r="L825">
        <v>20.25</v>
      </c>
    </row>
    <row r="826" spans="10:12" x14ac:dyDescent="0.2">
      <c r="J826">
        <v>10869</v>
      </c>
      <c r="K826" t="str">
        <v>UK</v>
      </c>
      <c r="L826">
        <v>720</v>
      </c>
    </row>
    <row r="827" spans="10:12" x14ac:dyDescent="0.2">
      <c r="J827">
        <v>10869</v>
      </c>
      <c r="K827" t="str">
        <v>UK</v>
      </c>
      <c r="L827">
        <v>250</v>
      </c>
    </row>
    <row r="828" spans="10:12" x14ac:dyDescent="0.2">
      <c r="J828">
        <v>10869</v>
      </c>
      <c r="K828" t="str">
        <v>UK</v>
      </c>
      <c r="L828">
        <v>210</v>
      </c>
    </row>
    <row r="829" spans="10:12" x14ac:dyDescent="0.2">
      <c r="J829">
        <v>10869</v>
      </c>
      <c r="K829" t="str">
        <v>UK</v>
      </c>
      <c r="L829">
        <v>450</v>
      </c>
    </row>
    <row r="830" spans="10:12" x14ac:dyDescent="0.2">
      <c r="J830">
        <v>10870</v>
      </c>
      <c r="K830" t="str">
        <v>Poland</v>
      </c>
      <c r="L830">
        <v>54</v>
      </c>
    </row>
    <row r="831" spans="10:12" x14ac:dyDescent="0.2">
      <c r="J831">
        <v>10870</v>
      </c>
      <c r="K831" t="str">
        <v>Poland</v>
      </c>
      <c r="L831">
        <v>106</v>
      </c>
    </row>
    <row r="832" spans="10:12" x14ac:dyDescent="0.2">
      <c r="J832">
        <v>10872</v>
      </c>
      <c r="K832" t="str">
        <v>Spain</v>
      </c>
      <c r="L832">
        <v>419.95</v>
      </c>
    </row>
    <row r="833" spans="10:12" x14ac:dyDescent="0.2">
      <c r="J833">
        <v>10872</v>
      </c>
      <c r="K833" t="str">
        <v>Spain</v>
      </c>
      <c r="L833">
        <v>936.7</v>
      </c>
    </row>
    <row r="834" spans="10:12" x14ac:dyDescent="0.2">
      <c r="J834">
        <v>10872</v>
      </c>
      <c r="K834" t="str">
        <v>Spain</v>
      </c>
      <c r="L834">
        <v>473.81</v>
      </c>
    </row>
    <row r="835" spans="10:12" x14ac:dyDescent="0.2">
      <c r="J835">
        <v>10871</v>
      </c>
      <c r="K835" t="str">
        <v>France</v>
      </c>
      <c r="L835">
        <v>1187.5</v>
      </c>
    </row>
    <row r="836" spans="10:12" x14ac:dyDescent="0.2">
      <c r="J836">
        <v>10871</v>
      </c>
      <c r="K836" t="str">
        <v>France</v>
      </c>
      <c r="L836">
        <v>198.93</v>
      </c>
    </row>
    <row r="837" spans="10:12" x14ac:dyDescent="0.2">
      <c r="J837">
        <v>10873</v>
      </c>
      <c r="K837" t="str">
        <v>Finland</v>
      </c>
      <c r="L837">
        <v>200</v>
      </c>
    </row>
    <row r="838" spans="10:12" x14ac:dyDescent="0.2">
      <c r="J838">
        <v>10873</v>
      </c>
      <c r="K838" t="str">
        <v>Finland</v>
      </c>
      <c r="L838">
        <v>136.80000000000001</v>
      </c>
    </row>
    <row r="839" spans="10:12" x14ac:dyDescent="0.2">
      <c r="J839">
        <v>10875</v>
      </c>
      <c r="K839" t="str">
        <v>Sweden</v>
      </c>
      <c r="L839">
        <v>300</v>
      </c>
    </row>
    <row r="840" spans="10:12" x14ac:dyDescent="0.2">
      <c r="J840">
        <v>10875</v>
      </c>
      <c r="K840" t="str">
        <v>Sweden</v>
      </c>
      <c r="L840">
        <v>230</v>
      </c>
    </row>
    <row r="841" spans="10:12" x14ac:dyDescent="0.2">
      <c r="J841">
        <v>10875</v>
      </c>
      <c r="K841" t="str">
        <v>Sweden</v>
      </c>
      <c r="L841">
        <v>179.55</v>
      </c>
    </row>
    <row r="842" spans="10:12" x14ac:dyDescent="0.2">
      <c r="J842">
        <v>10876</v>
      </c>
      <c r="K842" t="str">
        <v>France</v>
      </c>
      <c r="L842">
        <v>665</v>
      </c>
    </row>
    <row r="843" spans="10:12" x14ac:dyDescent="0.2">
      <c r="J843">
        <v>10878</v>
      </c>
      <c r="K843" t="str">
        <v>Germany</v>
      </c>
      <c r="L843">
        <v>1539</v>
      </c>
    </row>
    <row r="844" spans="10:12" x14ac:dyDescent="0.2">
      <c r="J844">
        <v>10879</v>
      </c>
      <c r="K844" t="str">
        <v>Finland</v>
      </c>
      <c r="L844">
        <v>180</v>
      </c>
    </row>
    <row r="845" spans="10:12" x14ac:dyDescent="0.2">
      <c r="J845">
        <v>10879</v>
      </c>
      <c r="K845" t="str">
        <v>Finland</v>
      </c>
      <c r="L845">
        <v>210.5</v>
      </c>
    </row>
    <row r="846" spans="10:12" x14ac:dyDescent="0.2">
      <c r="J846">
        <v>10880</v>
      </c>
      <c r="K846" t="str">
        <v>Sweden</v>
      </c>
      <c r="L846">
        <v>600</v>
      </c>
    </row>
    <row r="847" spans="10:12" x14ac:dyDescent="0.2">
      <c r="J847">
        <v>10880</v>
      </c>
      <c r="K847" t="str">
        <v>Sweden</v>
      </c>
      <c r="L847">
        <v>684</v>
      </c>
    </row>
    <row r="848" spans="10:12" x14ac:dyDescent="0.2">
      <c r="J848">
        <v>10880</v>
      </c>
      <c r="K848" t="str">
        <v>Sweden</v>
      </c>
      <c r="L848">
        <v>216</v>
      </c>
    </row>
    <row r="849" spans="10:12" x14ac:dyDescent="0.2">
      <c r="J849">
        <v>10885</v>
      </c>
      <c r="K849" t="str">
        <v>Belgium</v>
      </c>
      <c r="L849">
        <v>450</v>
      </c>
    </row>
    <row r="850" spans="10:12" x14ac:dyDescent="0.2">
      <c r="J850">
        <v>10885</v>
      </c>
      <c r="K850" t="str">
        <v>Belgium</v>
      </c>
      <c r="L850">
        <v>380</v>
      </c>
    </row>
    <row r="851" spans="10:12" x14ac:dyDescent="0.2">
      <c r="J851">
        <v>10885</v>
      </c>
      <c r="K851" t="str">
        <v>Belgium</v>
      </c>
      <c r="L851">
        <v>54</v>
      </c>
    </row>
    <row r="852" spans="10:12" x14ac:dyDescent="0.2">
      <c r="J852">
        <v>10885</v>
      </c>
      <c r="K852" t="str">
        <v>Belgium</v>
      </c>
      <c r="L852">
        <v>325</v>
      </c>
    </row>
    <row r="853" spans="10:12" x14ac:dyDescent="0.2">
      <c r="J853">
        <v>10887</v>
      </c>
      <c r="K853" t="str">
        <v>Spain</v>
      </c>
      <c r="L853">
        <v>70</v>
      </c>
    </row>
    <row r="854" spans="10:12" x14ac:dyDescent="0.2">
      <c r="J854">
        <v>10890</v>
      </c>
      <c r="K854" t="str">
        <v>France</v>
      </c>
      <c r="L854">
        <v>140</v>
      </c>
    </row>
    <row r="855" spans="10:12" x14ac:dyDescent="0.2">
      <c r="J855">
        <v>10888</v>
      </c>
      <c r="K855" t="str">
        <v>Spain</v>
      </c>
      <c r="L855">
        <v>380</v>
      </c>
    </row>
    <row r="856" spans="10:12" x14ac:dyDescent="0.2">
      <c r="J856">
        <v>10888</v>
      </c>
      <c r="K856" t="str">
        <v>Spain</v>
      </c>
      <c r="L856">
        <v>225</v>
      </c>
    </row>
    <row r="857" spans="10:12" x14ac:dyDescent="0.2">
      <c r="J857">
        <v>10892</v>
      </c>
      <c r="K857" t="str">
        <v>Belgium</v>
      </c>
      <c r="L857">
        <v>2090</v>
      </c>
    </row>
    <row r="858" spans="10:12" x14ac:dyDescent="0.2">
      <c r="J858">
        <v>10893</v>
      </c>
      <c r="K858" t="str">
        <v>Germany</v>
      </c>
      <c r="L858">
        <v>45</v>
      </c>
    </row>
    <row r="859" spans="10:12" x14ac:dyDescent="0.2">
      <c r="J859">
        <v>10893</v>
      </c>
      <c r="K859" t="str">
        <v>Germany</v>
      </c>
      <c r="L859">
        <v>1200</v>
      </c>
    </row>
    <row r="860" spans="10:12" x14ac:dyDescent="0.2">
      <c r="J860">
        <v>10895</v>
      </c>
      <c r="K860" t="str">
        <v>Austria</v>
      </c>
      <c r="L860">
        <v>810</v>
      </c>
    </row>
    <row r="861" spans="10:12" x14ac:dyDescent="0.2">
      <c r="J861">
        <v>10895</v>
      </c>
      <c r="K861" t="str">
        <v>Austria</v>
      </c>
      <c r="L861">
        <v>495</v>
      </c>
    </row>
    <row r="862" spans="10:12" x14ac:dyDescent="0.2">
      <c r="J862">
        <v>10895</v>
      </c>
      <c r="K862" t="str">
        <v>Austria</v>
      </c>
      <c r="L862">
        <v>3400</v>
      </c>
    </row>
    <row r="863" spans="10:12" x14ac:dyDescent="0.2">
      <c r="J863">
        <v>10896</v>
      </c>
      <c r="K863" t="str">
        <v>Belgium</v>
      </c>
      <c r="L863">
        <v>608</v>
      </c>
    </row>
    <row r="864" spans="10:12" x14ac:dyDescent="0.2">
      <c r="J864">
        <v>10902</v>
      </c>
      <c r="K864" t="str">
        <v>Sweden</v>
      </c>
      <c r="L864">
        <v>251.43</v>
      </c>
    </row>
    <row r="865" spans="10:12" x14ac:dyDescent="0.2">
      <c r="J865">
        <v>10907</v>
      </c>
      <c r="K865" t="str">
        <v>France</v>
      </c>
      <c r="L865">
        <v>108.5</v>
      </c>
    </row>
    <row r="866" spans="10:12" x14ac:dyDescent="0.2">
      <c r="J866">
        <v>10906</v>
      </c>
      <c r="K866" t="str">
        <v>Poland</v>
      </c>
      <c r="L866">
        <v>427.5</v>
      </c>
    </row>
    <row r="867" spans="10:12" x14ac:dyDescent="0.2">
      <c r="J867">
        <v>10910</v>
      </c>
      <c r="K867" t="str">
        <v>Finland</v>
      </c>
      <c r="L867">
        <v>142.5</v>
      </c>
    </row>
    <row r="868" spans="10:12" x14ac:dyDescent="0.2">
      <c r="J868">
        <v>10910</v>
      </c>
      <c r="K868" t="str">
        <v>Finland</v>
      </c>
      <c r="L868">
        <v>200</v>
      </c>
    </row>
    <row r="869" spans="10:12" x14ac:dyDescent="0.2">
      <c r="J869">
        <v>10910</v>
      </c>
      <c r="K869" t="str">
        <v>Finland</v>
      </c>
      <c r="L869">
        <v>110.4</v>
      </c>
    </row>
    <row r="870" spans="10:12" x14ac:dyDescent="0.2">
      <c r="J870">
        <v>10911</v>
      </c>
      <c r="K870" t="str">
        <v>Spain</v>
      </c>
      <c r="L870">
        <v>210</v>
      </c>
    </row>
    <row r="871" spans="10:12" x14ac:dyDescent="0.2">
      <c r="J871">
        <v>10911</v>
      </c>
      <c r="K871" t="str">
        <v>Spain</v>
      </c>
      <c r="L871">
        <v>180</v>
      </c>
    </row>
    <row r="872" spans="10:12" x14ac:dyDescent="0.2">
      <c r="J872">
        <v>10908</v>
      </c>
      <c r="K872" t="str">
        <v>Italy</v>
      </c>
      <c r="L872">
        <v>93.1</v>
      </c>
    </row>
    <row r="873" spans="10:12" x14ac:dyDescent="0.2">
      <c r="J873">
        <v>10908</v>
      </c>
      <c r="K873" t="str">
        <v>Italy</v>
      </c>
      <c r="L873">
        <v>570</v>
      </c>
    </row>
    <row r="874" spans="10:12" x14ac:dyDescent="0.2">
      <c r="J874">
        <v>10909</v>
      </c>
      <c r="K874" t="str">
        <v>Norway</v>
      </c>
      <c r="L874">
        <v>261.75</v>
      </c>
    </row>
    <row r="875" spans="10:12" x14ac:dyDescent="0.2">
      <c r="J875">
        <v>10909</v>
      </c>
      <c r="K875" t="str">
        <v>Norway</v>
      </c>
      <c r="L875">
        <v>360</v>
      </c>
    </row>
    <row r="876" spans="10:12" x14ac:dyDescent="0.2">
      <c r="J876">
        <v>10912</v>
      </c>
      <c r="K876" t="str">
        <v>Ireland</v>
      </c>
      <c r="L876">
        <v>630</v>
      </c>
    </row>
    <row r="877" spans="10:12" x14ac:dyDescent="0.2">
      <c r="J877">
        <v>11243</v>
      </c>
      <c r="K877" t="str">
        <v>France</v>
      </c>
      <c r="L877">
        <v>450</v>
      </c>
    </row>
    <row r="878" spans="10:12" x14ac:dyDescent="0.2">
      <c r="J878">
        <v>10917</v>
      </c>
      <c r="K878" t="str">
        <v>Spain</v>
      </c>
      <c r="L878">
        <v>340</v>
      </c>
    </row>
    <row r="879" spans="10:12" x14ac:dyDescent="0.2">
      <c r="J879">
        <v>11242</v>
      </c>
      <c r="K879" t="str">
        <v>France</v>
      </c>
      <c r="L879">
        <v>55.8</v>
      </c>
    </row>
    <row r="880" spans="10:12" x14ac:dyDescent="0.2">
      <c r="J880">
        <v>10920</v>
      </c>
      <c r="K880" t="str">
        <v>UK</v>
      </c>
      <c r="L880">
        <v>390</v>
      </c>
    </row>
    <row r="881" spans="10:12" x14ac:dyDescent="0.2">
      <c r="J881">
        <v>10921</v>
      </c>
      <c r="K881" t="str">
        <v>Denmark</v>
      </c>
      <c r="L881">
        <v>180</v>
      </c>
    </row>
    <row r="882" spans="10:12" x14ac:dyDescent="0.2">
      <c r="J882">
        <v>10921</v>
      </c>
      <c r="K882" t="str">
        <v>Denmark</v>
      </c>
      <c r="L882">
        <v>1756</v>
      </c>
    </row>
    <row r="883" spans="10:12" x14ac:dyDescent="0.2">
      <c r="J883">
        <v>10923</v>
      </c>
      <c r="K883" t="str">
        <v>France</v>
      </c>
      <c r="L883">
        <v>368</v>
      </c>
    </row>
    <row r="884" spans="10:12" x14ac:dyDescent="0.2">
      <c r="J884">
        <v>10923</v>
      </c>
      <c r="K884" t="str">
        <v>France</v>
      </c>
      <c r="L884">
        <v>268.8</v>
      </c>
    </row>
    <row r="885" spans="10:12" x14ac:dyDescent="0.2">
      <c r="J885">
        <v>10923</v>
      </c>
      <c r="K885" t="str">
        <v>France</v>
      </c>
      <c r="L885">
        <v>112</v>
      </c>
    </row>
    <row r="886" spans="10:12" x14ac:dyDescent="0.2">
      <c r="J886">
        <v>11244</v>
      </c>
      <c r="K886" t="str">
        <v>France</v>
      </c>
      <c r="L886">
        <v>15.5</v>
      </c>
    </row>
    <row r="887" spans="10:12" x14ac:dyDescent="0.2">
      <c r="J887">
        <v>11244</v>
      </c>
      <c r="K887" t="str">
        <v>France</v>
      </c>
      <c r="L887">
        <v>1050</v>
      </c>
    </row>
    <row r="888" spans="10:12" x14ac:dyDescent="0.2">
      <c r="J888">
        <v>11244</v>
      </c>
      <c r="K888" t="str">
        <v>France</v>
      </c>
      <c r="L888">
        <v>795</v>
      </c>
    </row>
    <row r="889" spans="10:12" x14ac:dyDescent="0.2">
      <c r="J889">
        <v>10924</v>
      </c>
      <c r="K889" t="str">
        <v>Sweden</v>
      </c>
      <c r="L889">
        <v>46.5</v>
      </c>
    </row>
    <row r="890" spans="10:12" x14ac:dyDescent="0.2">
      <c r="J890">
        <v>10924</v>
      </c>
      <c r="K890" t="str">
        <v>Sweden</v>
      </c>
      <c r="L890">
        <v>1231.2</v>
      </c>
    </row>
    <row r="891" spans="10:12" x14ac:dyDescent="0.2">
      <c r="J891">
        <v>10929</v>
      </c>
      <c r="K891" t="str">
        <v>Germany</v>
      </c>
      <c r="L891">
        <v>379.75</v>
      </c>
    </row>
    <row r="892" spans="10:12" x14ac:dyDescent="0.2">
      <c r="J892">
        <v>10929</v>
      </c>
      <c r="K892" t="str">
        <v>Germany</v>
      </c>
      <c r="L892">
        <v>195</v>
      </c>
    </row>
    <row r="893" spans="10:12" x14ac:dyDescent="0.2">
      <c r="J893">
        <v>10929</v>
      </c>
      <c r="K893" t="str">
        <v>Germany</v>
      </c>
      <c r="L893">
        <v>600</v>
      </c>
    </row>
    <row r="894" spans="10:12" x14ac:dyDescent="0.2">
      <c r="J894">
        <v>10928</v>
      </c>
      <c r="K894" t="str">
        <v>Spain</v>
      </c>
      <c r="L894">
        <v>90</v>
      </c>
    </row>
    <row r="895" spans="10:12" x14ac:dyDescent="0.2">
      <c r="J895">
        <v>10928</v>
      </c>
      <c r="K895" t="str">
        <v>Spain</v>
      </c>
      <c r="L895">
        <v>47.5</v>
      </c>
    </row>
    <row r="896" spans="10:12" x14ac:dyDescent="0.2">
      <c r="J896">
        <v>10927</v>
      </c>
      <c r="K896" t="str">
        <v>France</v>
      </c>
      <c r="L896">
        <v>360</v>
      </c>
    </row>
    <row r="897" spans="10:12" x14ac:dyDescent="0.2">
      <c r="J897">
        <v>10927</v>
      </c>
      <c r="K897" t="str">
        <v>France</v>
      </c>
      <c r="L897">
        <v>405</v>
      </c>
    </row>
    <row r="898" spans="10:12" x14ac:dyDescent="0.2">
      <c r="J898">
        <v>10927</v>
      </c>
      <c r="K898" t="str">
        <v>France</v>
      </c>
      <c r="L898">
        <v>35</v>
      </c>
    </row>
    <row r="899" spans="10:12" x14ac:dyDescent="0.2">
      <c r="J899">
        <v>10933</v>
      </c>
      <c r="K899" t="str">
        <v>UK</v>
      </c>
      <c r="L899">
        <v>855</v>
      </c>
    </row>
    <row r="900" spans="10:12" x14ac:dyDescent="0.2">
      <c r="J900">
        <v>10930</v>
      </c>
      <c r="K900" t="str">
        <v>Belgium</v>
      </c>
      <c r="L900">
        <v>1097.5</v>
      </c>
    </row>
    <row r="901" spans="10:12" x14ac:dyDescent="0.2">
      <c r="J901">
        <v>10930</v>
      </c>
      <c r="K901" t="str">
        <v>Belgium</v>
      </c>
      <c r="L901">
        <v>360</v>
      </c>
    </row>
    <row r="902" spans="10:12" x14ac:dyDescent="0.2">
      <c r="J902">
        <v>10931</v>
      </c>
      <c r="K902" t="str">
        <v>Switzerland</v>
      </c>
      <c r="L902">
        <v>585</v>
      </c>
    </row>
    <row r="903" spans="10:12" x14ac:dyDescent="0.2">
      <c r="J903">
        <v>10932</v>
      </c>
      <c r="K903" t="str">
        <v>France</v>
      </c>
      <c r="L903">
        <v>139.5</v>
      </c>
    </row>
    <row r="904" spans="10:12" x14ac:dyDescent="0.2">
      <c r="J904">
        <v>10932</v>
      </c>
      <c r="K904" t="str">
        <v>France</v>
      </c>
      <c r="L904">
        <v>621.17999999999995</v>
      </c>
    </row>
    <row r="905" spans="10:12" x14ac:dyDescent="0.2">
      <c r="J905">
        <v>10932</v>
      </c>
      <c r="K905" t="str">
        <v>France</v>
      </c>
      <c r="L905">
        <v>471.15</v>
      </c>
    </row>
    <row r="906" spans="10:12" x14ac:dyDescent="0.2">
      <c r="J906">
        <v>10932</v>
      </c>
      <c r="K906" t="str">
        <v>France</v>
      </c>
      <c r="L906">
        <v>556.79999999999995</v>
      </c>
    </row>
    <row r="907" spans="10:12" x14ac:dyDescent="0.2">
      <c r="J907">
        <v>10934</v>
      </c>
      <c r="K907" t="str">
        <v>Germany</v>
      </c>
      <c r="L907">
        <v>500</v>
      </c>
    </row>
    <row r="908" spans="10:12" x14ac:dyDescent="0.2">
      <c r="J908">
        <v>10939</v>
      </c>
      <c r="K908" t="str">
        <v>Italy</v>
      </c>
      <c r="L908">
        <v>476</v>
      </c>
    </row>
    <row r="909" spans="10:12" x14ac:dyDescent="0.2">
      <c r="J909">
        <v>10939</v>
      </c>
      <c r="K909" t="str">
        <v>Italy</v>
      </c>
      <c r="L909">
        <v>161.5</v>
      </c>
    </row>
    <row r="910" spans="10:12" x14ac:dyDescent="0.2">
      <c r="J910">
        <v>10938</v>
      </c>
      <c r="K910" t="str">
        <v>Germany</v>
      </c>
      <c r="L910">
        <v>828</v>
      </c>
    </row>
    <row r="911" spans="10:12" x14ac:dyDescent="0.2">
      <c r="J911">
        <v>10938</v>
      </c>
      <c r="K911" t="str">
        <v>Germany</v>
      </c>
      <c r="L911">
        <v>1249.5</v>
      </c>
    </row>
    <row r="912" spans="10:12" x14ac:dyDescent="0.2">
      <c r="J912">
        <v>10938</v>
      </c>
      <c r="K912" t="str">
        <v>Germany</v>
      </c>
      <c r="L912">
        <v>564.38</v>
      </c>
    </row>
    <row r="913" spans="10:12" x14ac:dyDescent="0.2">
      <c r="J913">
        <v>10942</v>
      </c>
      <c r="K913" t="str">
        <v>Italy</v>
      </c>
      <c r="L913">
        <v>560</v>
      </c>
    </row>
    <row r="914" spans="10:12" x14ac:dyDescent="0.2">
      <c r="J914">
        <v>10943</v>
      </c>
      <c r="K914" t="str">
        <v>UK</v>
      </c>
      <c r="L914">
        <v>441</v>
      </c>
    </row>
    <row r="915" spans="10:12" x14ac:dyDescent="0.2">
      <c r="J915">
        <v>10940</v>
      </c>
      <c r="K915" t="str">
        <v>France</v>
      </c>
      <c r="L915">
        <v>240</v>
      </c>
    </row>
    <row r="916" spans="10:12" x14ac:dyDescent="0.2">
      <c r="J916">
        <v>10945</v>
      </c>
      <c r="K916" t="str">
        <v>Germany</v>
      </c>
      <c r="L916">
        <v>125</v>
      </c>
    </row>
    <row r="917" spans="10:12" x14ac:dyDescent="0.2">
      <c r="J917">
        <v>10946</v>
      </c>
      <c r="K917" t="str">
        <v>Denmark</v>
      </c>
      <c r="L917">
        <v>112.5</v>
      </c>
    </row>
    <row r="918" spans="10:12" x14ac:dyDescent="0.2">
      <c r="J918">
        <v>10946</v>
      </c>
      <c r="K918" t="str">
        <v>Denmark</v>
      </c>
      <c r="L918">
        <v>520</v>
      </c>
    </row>
    <row r="919" spans="10:12" x14ac:dyDescent="0.2">
      <c r="J919">
        <v>10947</v>
      </c>
      <c r="K919" t="str">
        <v>UK</v>
      </c>
      <c r="L919">
        <v>220</v>
      </c>
    </row>
    <row r="920" spans="10:12" x14ac:dyDescent="0.2">
      <c r="J920">
        <v>10948</v>
      </c>
      <c r="K920" t="str">
        <v>Spain</v>
      </c>
      <c r="L920">
        <v>146.25</v>
      </c>
    </row>
    <row r="921" spans="10:12" x14ac:dyDescent="0.2">
      <c r="J921">
        <v>10948</v>
      </c>
      <c r="K921" t="str">
        <v>Spain</v>
      </c>
      <c r="L921">
        <v>2120</v>
      </c>
    </row>
    <row r="922" spans="10:12" x14ac:dyDescent="0.2">
      <c r="J922">
        <v>10950</v>
      </c>
      <c r="K922" t="str">
        <v>Italy</v>
      </c>
      <c r="L922">
        <v>110</v>
      </c>
    </row>
    <row r="923" spans="10:12" x14ac:dyDescent="0.2">
      <c r="J923">
        <v>10952</v>
      </c>
      <c r="K923" t="str">
        <v>Germany</v>
      </c>
      <c r="L923">
        <v>380</v>
      </c>
    </row>
    <row r="924" spans="10:12" x14ac:dyDescent="0.2">
      <c r="J924">
        <v>10952</v>
      </c>
      <c r="K924" t="str">
        <v>Germany</v>
      </c>
      <c r="L924">
        <v>91.2</v>
      </c>
    </row>
    <row r="925" spans="10:12" x14ac:dyDescent="0.2">
      <c r="J925">
        <v>10953</v>
      </c>
      <c r="K925" t="str">
        <v>UK</v>
      </c>
      <c r="L925">
        <v>3847.5</v>
      </c>
    </row>
    <row r="926" spans="10:12" x14ac:dyDescent="0.2">
      <c r="J926">
        <v>10953</v>
      </c>
      <c r="K926" t="str">
        <v>UK</v>
      </c>
      <c r="L926">
        <v>593.75</v>
      </c>
    </row>
    <row r="927" spans="10:12" x14ac:dyDescent="0.2">
      <c r="J927">
        <v>10951</v>
      </c>
      <c r="K927" t="str">
        <v>Switzerland</v>
      </c>
      <c r="L927">
        <v>368.12</v>
      </c>
    </row>
    <row r="928" spans="10:12" x14ac:dyDescent="0.2">
      <c r="J928">
        <v>10951</v>
      </c>
      <c r="K928" t="str">
        <v>Switzerland</v>
      </c>
      <c r="L928">
        <v>35.619999999999997</v>
      </c>
    </row>
    <row r="929" spans="10:12" x14ac:dyDescent="0.2">
      <c r="J929">
        <v>10955</v>
      </c>
      <c r="K929" t="str">
        <v>Sweden</v>
      </c>
      <c r="L929">
        <v>74.400000000000006</v>
      </c>
    </row>
    <row r="930" spans="10:12" x14ac:dyDescent="0.2">
      <c r="J930">
        <v>10956</v>
      </c>
      <c r="K930" t="str">
        <v>Germany</v>
      </c>
      <c r="L930">
        <v>133</v>
      </c>
    </row>
    <row r="931" spans="10:12" x14ac:dyDescent="0.2">
      <c r="J931">
        <v>10956</v>
      </c>
      <c r="K931" t="str">
        <v>Germany</v>
      </c>
      <c r="L931">
        <v>120</v>
      </c>
    </row>
    <row r="932" spans="10:12" x14ac:dyDescent="0.2">
      <c r="J932">
        <v>10956</v>
      </c>
      <c r="K932" t="str">
        <v>Germany</v>
      </c>
      <c r="L932">
        <v>424</v>
      </c>
    </row>
    <row r="933" spans="10:12" x14ac:dyDescent="0.2">
      <c r="J933">
        <v>10962</v>
      </c>
      <c r="K933" t="str">
        <v>Germany</v>
      </c>
      <c r="L933">
        <v>792</v>
      </c>
    </row>
    <row r="934" spans="10:12" x14ac:dyDescent="0.2">
      <c r="J934">
        <v>10962</v>
      </c>
      <c r="K934" t="str">
        <v>Germany</v>
      </c>
      <c r="L934">
        <v>324</v>
      </c>
    </row>
    <row r="935" spans="10:12" x14ac:dyDescent="0.2">
      <c r="J935">
        <v>10962</v>
      </c>
      <c r="K935" t="str">
        <v>Germany</v>
      </c>
      <c r="L935">
        <v>1350</v>
      </c>
    </row>
    <row r="936" spans="10:12" x14ac:dyDescent="0.2">
      <c r="J936">
        <v>10963</v>
      </c>
      <c r="K936" t="str">
        <v>Portugal</v>
      </c>
      <c r="L936">
        <v>57.8</v>
      </c>
    </row>
    <row r="937" spans="10:12" x14ac:dyDescent="0.2">
      <c r="J937">
        <v>10964</v>
      </c>
      <c r="K937" t="str">
        <v>France</v>
      </c>
      <c r="L937">
        <v>1317.5</v>
      </c>
    </row>
    <row r="938" spans="10:12" x14ac:dyDescent="0.2">
      <c r="J938">
        <v>10964</v>
      </c>
      <c r="K938" t="str">
        <v>France</v>
      </c>
      <c r="L938">
        <v>360</v>
      </c>
    </row>
    <row r="939" spans="10:12" x14ac:dyDescent="0.2">
      <c r="J939">
        <v>10966</v>
      </c>
      <c r="K939" t="str">
        <v>Switzerland</v>
      </c>
      <c r="L939">
        <v>502.86</v>
      </c>
    </row>
    <row r="940" spans="10:12" x14ac:dyDescent="0.2">
      <c r="J940">
        <v>10966</v>
      </c>
      <c r="K940" t="str">
        <v>Switzerland</v>
      </c>
      <c r="L940">
        <v>387.6</v>
      </c>
    </row>
    <row r="941" spans="10:12" x14ac:dyDescent="0.2">
      <c r="J941">
        <v>10968</v>
      </c>
      <c r="K941" t="str">
        <v>Austria</v>
      </c>
      <c r="L941">
        <v>135</v>
      </c>
    </row>
    <row r="942" spans="10:12" x14ac:dyDescent="0.2">
      <c r="J942">
        <v>10968</v>
      </c>
      <c r="K942" t="str">
        <v>Austria</v>
      </c>
      <c r="L942">
        <v>1140</v>
      </c>
    </row>
    <row r="943" spans="10:12" x14ac:dyDescent="0.2">
      <c r="J943">
        <v>10968</v>
      </c>
      <c r="K943" t="str">
        <v>Austria</v>
      </c>
      <c r="L943">
        <v>133</v>
      </c>
    </row>
    <row r="944" spans="10:12" x14ac:dyDescent="0.2">
      <c r="J944">
        <v>10967</v>
      </c>
      <c r="K944" t="str">
        <v>Germany</v>
      </c>
      <c r="L944">
        <v>800</v>
      </c>
    </row>
    <row r="945" spans="10:12" x14ac:dyDescent="0.2">
      <c r="J945">
        <v>10967</v>
      </c>
      <c r="K945" t="str">
        <v>Germany</v>
      </c>
      <c r="L945">
        <v>110.4</v>
      </c>
    </row>
    <row r="946" spans="10:12" x14ac:dyDescent="0.2">
      <c r="J946">
        <v>10972</v>
      </c>
      <c r="K946" t="str">
        <v>France</v>
      </c>
      <c r="L946">
        <v>17.5</v>
      </c>
    </row>
    <row r="947" spans="10:12" x14ac:dyDescent="0.2">
      <c r="J947">
        <v>10973</v>
      </c>
      <c r="K947" t="str">
        <v>France</v>
      </c>
      <c r="L947">
        <v>77.5</v>
      </c>
    </row>
    <row r="948" spans="10:12" x14ac:dyDescent="0.2">
      <c r="J948">
        <v>10973</v>
      </c>
      <c r="K948" t="str">
        <v>France</v>
      </c>
      <c r="L948">
        <v>156.15</v>
      </c>
    </row>
    <row r="949" spans="10:12" x14ac:dyDescent="0.2">
      <c r="J949">
        <v>10970</v>
      </c>
      <c r="K949" t="str">
        <v>Spain</v>
      </c>
      <c r="L949">
        <v>224</v>
      </c>
    </row>
    <row r="950" spans="10:12" x14ac:dyDescent="0.2">
      <c r="J950">
        <v>10979</v>
      </c>
      <c r="K950" t="str">
        <v>Austria</v>
      </c>
      <c r="L950">
        <v>360</v>
      </c>
    </row>
    <row r="951" spans="10:12" x14ac:dyDescent="0.2">
      <c r="J951">
        <v>10979</v>
      </c>
      <c r="K951" t="str">
        <v>Austria</v>
      </c>
      <c r="L951">
        <v>1536.5</v>
      </c>
    </row>
    <row r="952" spans="10:12" x14ac:dyDescent="0.2">
      <c r="J952">
        <v>10979</v>
      </c>
      <c r="K952" t="str">
        <v>Austria</v>
      </c>
      <c r="L952">
        <v>1317</v>
      </c>
    </row>
    <row r="953" spans="10:12" x14ac:dyDescent="0.2">
      <c r="J953">
        <v>10979</v>
      </c>
      <c r="K953" t="str">
        <v>Austria</v>
      </c>
      <c r="L953">
        <v>760</v>
      </c>
    </row>
    <row r="954" spans="10:12" x14ac:dyDescent="0.2">
      <c r="J954">
        <v>10979</v>
      </c>
      <c r="K954" t="str">
        <v>Austria</v>
      </c>
      <c r="L954">
        <v>300</v>
      </c>
    </row>
    <row r="955" spans="10:12" x14ac:dyDescent="0.2">
      <c r="J955">
        <v>10979</v>
      </c>
      <c r="K955" t="str">
        <v>Austria</v>
      </c>
      <c r="L955">
        <v>540</v>
      </c>
    </row>
    <row r="956" spans="10:12" x14ac:dyDescent="0.2">
      <c r="J956">
        <v>10977</v>
      </c>
      <c r="K956" t="str">
        <v>Sweden</v>
      </c>
      <c r="L956">
        <v>540</v>
      </c>
    </row>
    <row r="957" spans="10:12" x14ac:dyDescent="0.2">
      <c r="J957">
        <v>10977</v>
      </c>
      <c r="K957" t="str">
        <v>Sweden</v>
      </c>
      <c r="L957">
        <v>878</v>
      </c>
    </row>
    <row r="958" spans="10:12" x14ac:dyDescent="0.2">
      <c r="J958">
        <v>10977</v>
      </c>
      <c r="K958" t="str">
        <v>Sweden</v>
      </c>
      <c r="L958">
        <v>285</v>
      </c>
    </row>
    <row r="959" spans="10:12" x14ac:dyDescent="0.2">
      <c r="J959">
        <v>10977</v>
      </c>
      <c r="K959" t="str">
        <v>Sweden</v>
      </c>
      <c r="L959">
        <v>530</v>
      </c>
    </row>
    <row r="960" spans="10:12" x14ac:dyDescent="0.2">
      <c r="J960">
        <v>10978</v>
      </c>
      <c r="K960" t="str">
        <v>Belgium</v>
      </c>
      <c r="L960">
        <v>680</v>
      </c>
    </row>
    <row r="961" spans="10:12" x14ac:dyDescent="0.2">
      <c r="J961">
        <v>10978</v>
      </c>
      <c r="K961" t="str">
        <v>Belgium</v>
      </c>
      <c r="L961">
        <v>99.19</v>
      </c>
    </row>
    <row r="962" spans="10:12" x14ac:dyDescent="0.2">
      <c r="J962">
        <v>10978</v>
      </c>
      <c r="K962" t="str">
        <v>Belgium</v>
      </c>
      <c r="L962">
        <v>340</v>
      </c>
    </row>
    <row r="963" spans="10:12" x14ac:dyDescent="0.2">
      <c r="J963">
        <v>10980</v>
      </c>
      <c r="K963" t="str">
        <v>Sweden</v>
      </c>
      <c r="L963">
        <v>248</v>
      </c>
    </row>
    <row r="964" spans="10:12" x14ac:dyDescent="0.2">
      <c r="J964">
        <v>10985</v>
      </c>
      <c r="K964" t="str">
        <v>Ireland</v>
      </c>
      <c r="L964">
        <v>565.38</v>
      </c>
    </row>
    <row r="965" spans="10:12" x14ac:dyDescent="0.2">
      <c r="J965">
        <v>10985</v>
      </c>
      <c r="K965" t="str">
        <v>Ireland</v>
      </c>
      <c r="L965">
        <v>1008</v>
      </c>
    </row>
    <row r="966" spans="10:12" x14ac:dyDescent="0.2">
      <c r="J966">
        <v>11266</v>
      </c>
      <c r="K966" t="str">
        <v>France</v>
      </c>
      <c r="L966">
        <v>399</v>
      </c>
    </row>
    <row r="967" spans="10:12" x14ac:dyDescent="0.2">
      <c r="J967">
        <v>11266</v>
      </c>
      <c r="K967" t="str">
        <v>France</v>
      </c>
      <c r="L967">
        <v>1007</v>
      </c>
    </row>
    <row r="968" spans="10:12" x14ac:dyDescent="0.2">
      <c r="J968">
        <v>10987</v>
      </c>
      <c r="K968" t="str">
        <v>UK</v>
      </c>
      <c r="L968">
        <v>276</v>
      </c>
    </row>
    <row r="969" spans="10:12" x14ac:dyDescent="0.2">
      <c r="J969">
        <v>10987</v>
      </c>
      <c r="K969" t="str">
        <v>UK</v>
      </c>
      <c r="L969">
        <v>696</v>
      </c>
    </row>
    <row r="970" spans="10:12" x14ac:dyDescent="0.2">
      <c r="J970">
        <v>10987</v>
      </c>
      <c r="K970" t="str">
        <v>UK</v>
      </c>
      <c r="L970">
        <v>1800</v>
      </c>
    </row>
    <row r="971" spans="10:12" x14ac:dyDescent="0.2">
      <c r="J971">
        <v>10990</v>
      </c>
      <c r="K971" t="str">
        <v>Austria</v>
      </c>
      <c r="L971">
        <v>714</v>
      </c>
    </row>
    <row r="972" spans="10:12" x14ac:dyDescent="0.2">
      <c r="J972">
        <v>10990</v>
      </c>
      <c r="K972" t="str">
        <v>Austria</v>
      </c>
      <c r="L972">
        <v>1598.85</v>
      </c>
    </row>
    <row r="973" spans="10:12" x14ac:dyDescent="0.2">
      <c r="J973">
        <v>10990</v>
      </c>
      <c r="K973" t="str">
        <v>Austria</v>
      </c>
      <c r="L973">
        <v>650</v>
      </c>
    </row>
    <row r="974" spans="10:12" x14ac:dyDescent="0.2">
      <c r="J974">
        <v>10991</v>
      </c>
      <c r="K974" t="str">
        <v>Germany</v>
      </c>
      <c r="L974">
        <v>1296</v>
      </c>
    </row>
    <row r="975" spans="10:12" x14ac:dyDescent="0.2">
      <c r="J975">
        <v>10991</v>
      </c>
      <c r="K975" t="str">
        <v>Germany</v>
      </c>
      <c r="L975">
        <v>760</v>
      </c>
    </row>
    <row r="976" spans="10:12" x14ac:dyDescent="0.2">
      <c r="J976">
        <v>10991</v>
      </c>
      <c r="K976" t="str">
        <v>Germany</v>
      </c>
      <c r="L976">
        <v>240</v>
      </c>
    </row>
    <row r="977" spans="10:12" x14ac:dyDescent="0.2">
      <c r="J977">
        <v>10994</v>
      </c>
      <c r="K977" t="str">
        <v>Denmark</v>
      </c>
      <c r="L977">
        <v>940.5</v>
      </c>
    </row>
    <row r="978" spans="10:12" x14ac:dyDescent="0.2">
      <c r="J978">
        <v>10996</v>
      </c>
      <c r="K978" t="str">
        <v>Germany</v>
      </c>
      <c r="L978">
        <v>560</v>
      </c>
    </row>
    <row r="979" spans="10:12" x14ac:dyDescent="0.2">
      <c r="J979">
        <v>10999</v>
      </c>
      <c r="K979" t="str">
        <v>Germany</v>
      </c>
      <c r="L979">
        <v>259.35000000000002</v>
      </c>
    </row>
    <row r="980" spans="10:12" x14ac:dyDescent="0.2">
      <c r="J980">
        <v>10999</v>
      </c>
      <c r="K980" t="str">
        <v>Germany</v>
      </c>
      <c r="L980">
        <v>755.25</v>
      </c>
    </row>
    <row r="981" spans="10:12" x14ac:dyDescent="0.2">
      <c r="J981">
        <v>10998</v>
      </c>
      <c r="K981" t="str">
        <v>Poland</v>
      </c>
      <c r="L981">
        <v>232.5</v>
      </c>
    </row>
    <row r="982" spans="10:12" x14ac:dyDescent="0.2">
      <c r="J982">
        <v>10998</v>
      </c>
      <c r="K982" t="str">
        <v>Poland</v>
      </c>
      <c r="L982">
        <v>54</v>
      </c>
    </row>
    <row r="983" spans="10:12" x14ac:dyDescent="0.2">
      <c r="J983">
        <v>10998</v>
      </c>
      <c r="K983" t="str">
        <v>Poland</v>
      </c>
      <c r="L983">
        <v>199.5</v>
      </c>
    </row>
    <row r="984" spans="10:12" x14ac:dyDescent="0.2">
      <c r="J984">
        <v>10998</v>
      </c>
      <c r="K984" t="str">
        <v>Poland</v>
      </c>
      <c r="L984">
        <v>200</v>
      </c>
    </row>
    <row r="985" spans="10:12" x14ac:dyDescent="0.2">
      <c r="J985">
        <v>11001</v>
      </c>
      <c r="K985" t="str">
        <v>Sweden</v>
      </c>
      <c r="L985">
        <v>525</v>
      </c>
    </row>
    <row r="986" spans="10:12" x14ac:dyDescent="0.2">
      <c r="J986">
        <v>11001</v>
      </c>
      <c r="K986" t="str">
        <v>Sweden</v>
      </c>
      <c r="L986">
        <v>1800</v>
      </c>
    </row>
    <row r="987" spans="10:12" x14ac:dyDescent="0.2">
      <c r="J987">
        <v>11005</v>
      </c>
      <c r="K987" t="str">
        <v>Finland</v>
      </c>
      <c r="L987">
        <v>36</v>
      </c>
    </row>
    <row r="988" spans="10:12" x14ac:dyDescent="0.2">
      <c r="J988">
        <v>11005</v>
      </c>
      <c r="K988" t="str">
        <v>Finland</v>
      </c>
      <c r="L988">
        <v>550</v>
      </c>
    </row>
    <row r="989" spans="10:12" x14ac:dyDescent="0.2">
      <c r="J989">
        <v>11004</v>
      </c>
      <c r="K989" t="str">
        <v>Belgium</v>
      </c>
      <c r="L989">
        <v>108</v>
      </c>
    </row>
    <row r="990" spans="10:12" x14ac:dyDescent="0.2">
      <c r="J990">
        <v>11004</v>
      </c>
      <c r="K990" t="str">
        <v>Belgium</v>
      </c>
      <c r="L990">
        <v>187.38</v>
      </c>
    </row>
    <row r="991" spans="10:12" x14ac:dyDescent="0.2">
      <c r="J991">
        <v>11009</v>
      </c>
      <c r="K991" t="str">
        <v>Spain</v>
      </c>
      <c r="L991">
        <v>54</v>
      </c>
    </row>
    <row r="992" spans="10:12" x14ac:dyDescent="0.2">
      <c r="J992">
        <v>11009</v>
      </c>
      <c r="K992" t="str">
        <v>Spain</v>
      </c>
      <c r="L992">
        <v>306</v>
      </c>
    </row>
    <row r="993" spans="10:12" x14ac:dyDescent="0.2">
      <c r="J993">
        <v>11007</v>
      </c>
      <c r="K993" t="str">
        <v>Portugal</v>
      </c>
      <c r="L993">
        <v>1200</v>
      </c>
    </row>
    <row r="994" spans="10:12" x14ac:dyDescent="0.2">
      <c r="J994">
        <v>11007</v>
      </c>
      <c r="K994" t="str">
        <v>Portugal</v>
      </c>
      <c r="L994">
        <v>196</v>
      </c>
    </row>
    <row r="995" spans="10:12" x14ac:dyDescent="0.2">
      <c r="J995">
        <v>11013</v>
      </c>
      <c r="K995" t="str">
        <v>Spain</v>
      </c>
      <c r="L995">
        <v>25</v>
      </c>
    </row>
    <row r="996" spans="10:12" x14ac:dyDescent="0.2">
      <c r="J996">
        <v>11013</v>
      </c>
      <c r="K996" t="str">
        <v>Spain</v>
      </c>
      <c r="L996">
        <v>90</v>
      </c>
    </row>
    <row r="997" spans="10:12" x14ac:dyDescent="0.2">
      <c r="J997">
        <v>11013</v>
      </c>
      <c r="K997" t="str">
        <v>Spain</v>
      </c>
      <c r="L997">
        <v>56</v>
      </c>
    </row>
    <row r="998" spans="10:12" x14ac:dyDescent="0.2">
      <c r="J998">
        <v>11011</v>
      </c>
      <c r="K998" t="str">
        <v>Germany</v>
      </c>
      <c r="L998">
        <v>430</v>
      </c>
    </row>
    <row r="999" spans="10:12" x14ac:dyDescent="0.2">
      <c r="J999">
        <v>11012</v>
      </c>
      <c r="K999" t="str">
        <v>Germany</v>
      </c>
      <c r="L999">
        <v>437</v>
      </c>
    </row>
    <row r="1000" spans="10:12" x14ac:dyDescent="0.2">
      <c r="J1000">
        <v>11012</v>
      </c>
      <c r="K1000" t="str">
        <v>Germany</v>
      </c>
      <c r="L1000">
        <v>1225.5</v>
      </c>
    </row>
    <row r="1001" spans="10:12" x14ac:dyDescent="0.2">
      <c r="J1001">
        <v>11012</v>
      </c>
      <c r="K1001" t="str">
        <v>Germany</v>
      </c>
      <c r="L1001">
        <v>1162.8</v>
      </c>
    </row>
    <row r="1002" spans="10:12" x14ac:dyDescent="0.2">
      <c r="J1002">
        <v>11010</v>
      </c>
      <c r="K1002" t="str">
        <v>Italy</v>
      </c>
      <c r="L1002">
        <v>45</v>
      </c>
    </row>
    <row r="1003" spans="10:12" x14ac:dyDescent="0.2">
      <c r="J1003">
        <v>11010</v>
      </c>
      <c r="K1003" t="str">
        <v>Italy</v>
      </c>
      <c r="L1003">
        <v>600</v>
      </c>
    </row>
    <row r="1004" spans="10:12" x14ac:dyDescent="0.2">
      <c r="J1004">
        <v>11016</v>
      </c>
      <c r="K1004" t="str">
        <v>UK</v>
      </c>
      <c r="L1004">
        <v>187.5</v>
      </c>
    </row>
    <row r="1005" spans="10:12" x14ac:dyDescent="0.2">
      <c r="J1005">
        <v>11015</v>
      </c>
      <c r="K1005" t="str">
        <v>Norway</v>
      </c>
      <c r="L1005">
        <v>234</v>
      </c>
    </row>
    <row r="1006" spans="10:12" x14ac:dyDescent="0.2">
      <c r="J1006">
        <v>11262</v>
      </c>
      <c r="K1006" t="str">
        <v>France</v>
      </c>
      <c r="L1006">
        <v>660</v>
      </c>
    </row>
    <row r="1007" spans="10:12" x14ac:dyDescent="0.2">
      <c r="J1007">
        <v>11017</v>
      </c>
      <c r="K1007" t="str">
        <v>Austria</v>
      </c>
      <c r="L1007">
        <v>450</v>
      </c>
    </row>
    <row r="1008" spans="10:12" x14ac:dyDescent="0.2">
      <c r="J1008">
        <v>11017</v>
      </c>
      <c r="K1008" t="str">
        <v>Austria</v>
      </c>
      <c r="L1008">
        <v>250</v>
      </c>
    </row>
    <row r="1009" spans="10:12" x14ac:dyDescent="0.2">
      <c r="J1009">
        <v>11017</v>
      </c>
      <c r="K1009" t="str">
        <v>Austria</v>
      </c>
      <c r="L1009">
        <v>6050</v>
      </c>
    </row>
    <row r="1010" spans="10:12" x14ac:dyDescent="0.2">
      <c r="J1010">
        <v>11021</v>
      </c>
      <c r="K1010" t="str">
        <v>Germany</v>
      </c>
      <c r="L1010">
        <v>156.75</v>
      </c>
    </row>
    <row r="1011" spans="10:12" x14ac:dyDescent="0.2">
      <c r="J1011">
        <v>11021</v>
      </c>
      <c r="K1011" t="str">
        <v>Germany</v>
      </c>
      <c r="L1011">
        <v>1967.49</v>
      </c>
    </row>
    <row r="1012" spans="10:12" x14ac:dyDescent="0.2">
      <c r="J1012">
        <v>11021</v>
      </c>
      <c r="K1012" t="str">
        <v>Germany</v>
      </c>
      <c r="L1012">
        <v>1215</v>
      </c>
    </row>
    <row r="1013" spans="10:12" x14ac:dyDescent="0.2">
      <c r="J1013">
        <v>11021</v>
      </c>
      <c r="K1013" t="str">
        <v>Germany</v>
      </c>
      <c r="L1013">
        <v>1218</v>
      </c>
    </row>
    <row r="1014" spans="10:12" x14ac:dyDescent="0.2">
      <c r="J1014">
        <v>11021</v>
      </c>
      <c r="K1014" t="str">
        <v>Germany</v>
      </c>
      <c r="L1014">
        <v>1749</v>
      </c>
    </row>
    <row r="1015" spans="10:12" x14ac:dyDescent="0.2">
      <c r="J1015">
        <v>11023</v>
      </c>
      <c r="K1015" t="str">
        <v>UK</v>
      </c>
      <c r="L1015">
        <v>1380</v>
      </c>
    </row>
    <row r="1016" spans="10:12" x14ac:dyDescent="0.2">
      <c r="J1016">
        <v>11023</v>
      </c>
      <c r="K1016" t="str">
        <v>UK</v>
      </c>
      <c r="L1016">
        <v>120</v>
      </c>
    </row>
    <row r="1017" spans="10:12" x14ac:dyDescent="0.2">
      <c r="J1017">
        <v>11024</v>
      </c>
      <c r="K1017" t="str">
        <v>UK</v>
      </c>
      <c r="L1017">
        <v>442.05</v>
      </c>
    </row>
    <row r="1018" spans="10:12" x14ac:dyDescent="0.2">
      <c r="J1018">
        <v>11024</v>
      </c>
      <c r="K1018" t="str">
        <v>UK</v>
      </c>
      <c r="L1018">
        <v>374.76</v>
      </c>
    </row>
    <row r="1019" spans="10:12" x14ac:dyDescent="0.2">
      <c r="J1019">
        <v>11024</v>
      </c>
      <c r="K1019" t="str">
        <v>UK</v>
      </c>
      <c r="L1019">
        <v>1075</v>
      </c>
    </row>
    <row r="1020" spans="10:12" x14ac:dyDescent="0.2">
      <c r="J1020">
        <v>11024</v>
      </c>
      <c r="K1020" t="str">
        <v>UK</v>
      </c>
      <c r="L1020">
        <v>75</v>
      </c>
    </row>
    <row r="1021" spans="10:12" x14ac:dyDescent="0.2">
      <c r="J1021">
        <v>11025</v>
      </c>
      <c r="K1021" t="str">
        <v>Finland</v>
      </c>
      <c r="L1021">
        <v>162</v>
      </c>
    </row>
    <row r="1022" spans="10:12" x14ac:dyDescent="0.2">
      <c r="J1022">
        <v>11026</v>
      </c>
      <c r="K1022" t="str">
        <v>Italy</v>
      </c>
      <c r="L1022">
        <v>530</v>
      </c>
    </row>
    <row r="1023" spans="10:12" x14ac:dyDescent="0.2">
      <c r="J1023">
        <v>11028</v>
      </c>
      <c r="K1023" t="str">
        <v>Germany</v>
      </c>
      <c r="L1023">
        <v>1320</v>
      </c>
    </row>
    <row r="1024" spans="10:12" x14ac:dyDescent="0.2">
      <c r="J1024">
        <v>11029</v>
      </c>
      <c r="K1024" t="str">
        <v>Switzerland</v>
      </c>
      <c r="L1024">
        <v>526.79999999999995</v>
      </c>
    </row>
    <row r="1025" spans="10:12" x14ac:dyDescent="0.2">
      <c r="J1025">
        <v>11029</v>
      </c>
      <c r="K1025" t="str">
        <v>Switzerland</v>
      </c>
      <c r="L1025">
        <v>760</v>
      </c>
    </row>
    <row r="1026" spans="10:12" x14ac:dyDescent="0.2">
      <c r="J1026">
        <v>11033</v>
      </c>
      <c r="K1026" t="str">
        <v>Switzerland</v>
      </c>
      <c r="L1026">
        <v>1166.4000000000001</v>
      </c>
    </row>
    <row r="1027" spans="10:12" x14ac:dyDescent="0.2">
      <c r="J1027">
        <v>11036</v>
      </c>
      <c r="K1027" t="str">
        <v>Germany</v>
      </c>
      <c r="L1027">
        <v>1650</v>
      </c>
    </row>
    <row r="1028" spans="10:12" x14ac:dyDescent="0.2">
      <c r="J1028">
        <v>11035</v>
      </c>
      <c r="K1028" t="str">
        <v>Belgium</v>
      </c>
      <c r="L1028">
        <v>1080</v>
      </c>
    </row>
    <row r="1029" spans="10:12" x14ac:dyDescent="0.2">
      <c r="J1029">
        <v>11035</v>
      </c>
      <c r="K1029" t="str">
        <v>Belgium</v>
      </c>
      <c r="L1029">
        <v>180</v>
      </c>
    </row>
    <row r="1030" spans="10:12" x14ac:dyDescent="0.2">
      <c r="J1030">
        <v>11035</v>
      </c>
      <c r="K1030" t="str">
        <v>Belgium</v>
      </c>
      <c r="L1030">
        <v>420</v>
      </c>
    </row>
    <row r="1031" spans="10:12" x14ac:dyDescent="0.2">
      <c r="J1031">
        <v>11037</v>
      </c>
      <c r="K1031" t="str">
        <v>Spain</v>
      </c>
      <c r="L1031">
        <v>60</v>
      </c>
    </row>
    <row r="1032" spans="10:12" x14ac:dyDescent="0.2">
      <c r="J1032">
        <v>11038</v>
      </c>
      <c r="K1032" t="str">
        <v>Belgium</v>
      </c>
      <c r="L1032">
        <v>645</v>
      </c>
    </row>
    <row r="1033" spans="10:12" x14ac:dyDescent="0.2">
      <c r="J1033">
        <v>11038</v>
      </c>
      <c r="K1033" t="str">
        <v>Belgium</v>
      </c>
      <c r="L1033">
        <v>14</v>
      </c>
    </row>
    <row r="1034" spans="10:12" x14ac:dyDescent="0.2">
      <c r="J1034">
        <v>11041</v>
      </c>
      <c r="K1034" t="str">
        <v>Switzerland</v>
      </c>
      <c r="L1034">
        <v>456</v>
      </c>
    </row>
    <row r="1035" spans="10:12" x14ac:dyDescent="0.2">
      <c r="J1035">
        <v>11041</v>
      </c>
      <c r="K1035" t="str">
        <v>Switzerland</v>
      </c>
      <c r="L1035">
        <v>1317</v>
      </c>
    </row>
    <row r="1036" spans="10:12" x14ac:dyDescent="0.2">
      <c r="J1036">
        <v>11043</v>
      </c>
      <c r="K1036" t="str">
        <v>France</v>
      </c>
      <c r="L1036">
        <v>210</v>
      </c>
    </row>
    <row r="1037" spans="10:12" x14ac:dyDescent="0.2">
      <c r="J1037">
        <v>11046</v>
      </c>
      <c r="K1037" t="str">
        <v>Germany</v>
      </c>
      <c r="L1037">
        <v>307.8</v>
      </c>
    </row>
    <row r="1038" spans="10:12" x14ac:dyDescent="0.2">
      <c r="J1038">
        <v>11046</v>
      </c>
      <c r="K1038" t="str">
        <v>Germany</v>
      </c>
      <c r="L1038">
        <v>722</v>
      </c>
    </row>
    <row r="1039" spans="10:12" x14ac:dyDescent="0.2">
      <c r="J1039">
        <v>11046</v>
      </c>
      <c r="K1039" t="str">
        <v>Germany</v>
      </c>
      <c r="L1039">
        <v>456</v>
      </c>
    </row>
    <row r="1040" spans="10:12" x14ac:dyDescent="0.2">
      <c r="J1040">
        <v>11044</v>
      </c>
      <c r="K1040" t="str">
        <v>Poland</v>
      </c>
      <c r="L1040">
        <v>591.6</v>
      </c>
    </row>
    <row r="1041" spans="10:12" x14ac:dyDescent="0.2">
      <c r="J1041">
        <v>11047</v>
      </c>
      <c r="K1041" t="str">
        <v>UK</v>
      </c>
      <c r="L1041">
        <v>337.5</v>
      </c>
    </row>
    <row r="1042" spans="10:12" x14ac:dyDescent="0.2">
      <c r="J1042">
        <v>11047</v>
      </c>
      <c r="K1042" t="str">
        <v>UK</v>
      </c>
      <c r="L1042">
        <v>480.38</v>
      </c>
    </row>
    <row r="1043" spans="10:12" x14ac:dyDescent="0.2">
      <c r="J1043">
        <v>11053</v>
      </c>
      <c r="K1043" t="str">
        <v>Austria</v>
      </c>
      <c r="L1043">
        <v>640</v>
      </c>
    </row>
    <row r="1044" spans="10:12" x14ac:dyDescent="0.2">
      <c r="J1044">
        <v>11053</v>
      </c>
      <c r="K1044" t="str">
        <v>Austria</v>
      </c>
      <c r="L1044">
        <v>665</v>
      </c>
    </row>
    <row r="1045" spans="10:12" x14ac:dyDescent="0.2">
      <c r="J1045">
        <v>11050</v>
      </c>
      <c r="K1045" t="str">
        <v>Sweden</v>
      </c>
      <c r="L1045">
        <v>810</v>
      </c>
    </row>
    <row r="1046" spans="10:12" x14ac:dyDescent="0.2">
      <c r="J1046">
        <v>11056</v>
      </c>
      <c r="K1046" t="str">
        <v>UK</v>
      </c>
      <c r="L1046">
        <v>1700</v>
      </c>
    </row>
    <row r="1047" spans="10:12" x14ac:dyDescent="0.2">
      <c r="J1047">
        <v>11056</v>
      </c>
      <c r="K1047" t="str">
        <v>UK</v>
      </c>
      <c r="L1047">
        <v>1200</v>
      </c>
    </row>
    <row r="1048" spans="10:12" x14ac:dyDescent="0.2">
      <c r="J1048">
        <v>11057</v>
      </c>
      <c r="K1048" t="str">
        <v>UK</v>
      </c>
      <c r="L1048">
        <v>45</v>
      </c>
    </row>
    <row r="1049" spans="10:12" x14ac:dyDescent="0.2">
      <c r="J1049">
        <v>11060</v>
      </c>
      <c r="K1049" t="str">
        <v>Italy</v>
      </c>
      <c r="L1049">
        <v>130</v>
      </c>
    </row>
    <row r="1050" spans="10:12" x14ac:dyDescent="0.2">
      <c r="J1050">
        <v>11060</v>
      </c>
      <c r="K1050" t="str">
        <v>Italy</v>
      </c>
      <c r="L1050">
        <v>136</v>
      </c>
    </row>
    <row r="1051" spans="10:12" x14ac:dyDescent="0.2">
      <c r="J1051">
        <v>11063</v>
      </c>
      <c r="K1051" t="str">
        <v>Ireland</v>
      </c>
      <c r="L1051">
        <v>420</v>
      </c>
    </row>
    <row r="1052" spans="10:12" x14ac:dyDescent="0.2">
      <c r="J1052">
        <v>11062</v>
      </c>
      <c r="K1052" t="str">
        <v>Italy</v>
      </c>
      <c r="L1052">
        <v>144</v>
      </c>
    </row>
    <row r="1053" spans="10:12" x14ac:dyDescent="0.2">
      <c r="J1053">
        <v>11280</v>
      </c>
      <c r="K1053" t="str">
        <v>UK</v>
      </c>
      <c r="L1053">
        <v>357</v>
      </c>
    </row>
    <row r="1054" spans="10:12" x14ac:dyDescent="0.2">
      <c r="J1054">
        <v>11280</v>
      </c>
      <c r="K1054" t="str">
        <v>UK</v>
      </c>
      <c r="L1054">
        <v>780</v>
      </c>
    </row>
    <row r="1055" spans="10:12" x14ac:dyDescent="0.2">
      <c r="J1055">
        <v>11292</v>
      </c>
      <c r="K1055" t="str">
        <v>France</v>
      </c>
      <c r="L1055">
        <v>645</v>
      </c>
    </row>
    <row r="1056" spans="10:12" x14ac:dyDescent="0.2">
      <c r="J1056">
        <v>11301</v>
      </c>
      <c r="K1056" t="str">
        <v>France</v>
      </c>
      <c r="L1056">
        <v>199.97</v>
      </c>
    </row>
    <row r="1057" spans="10:12" x14ac:dyDescent="0.2">
      <c r="J1057">
        <v>11301</v>
      </c>
      <c r="K1057" t="str">
        <v>France</v>
      </c>
      <c r="L1057">
        <v>248.66</v>
      </c>
    </row>
    <row r="1058" spans="10:12" x14ac:dyDescent="0.2">
      <c r="J1058">
        <v>11301</v>
      </c>
      <c r="K1058" t="str">
        <v>France</v>
      </c>
      <c r="L1058">
        <v>35.619999999999997</v>
      </c>
    </row>
    <row r="1059" spans="10:12" x14ac:dyDescent="0.2">
      <c r="J1059">
        <v>11301</v>
      </c>
      <c r="K1059" t="str">
        <v>France</v>
      </c>
      <c r="L1059">
        <v>360</v>
      </c>
    </row>
    <row r="1060" spans="10:12" x14ac:dyDescent="0.2">
      <c r="J1060">
        <v>11309</v>
      </c>
      <c r="K1060" t="str">
        <v>France</v>
      </c>
      <c r="L1060">
        <v>52.35</v>
      </c>
    </row>
    <row r="1061" spans="10:12" x14ac:dyDescent="0.2">
      <c r="J1061">
        <v>11305</v>
      </c>
      <c r="K1061" t="str">
        <v>UK</v>
      </c>
      <c r="L1061">
        <v>228</v>
      </c>
    </row>
    <row r="1062" spans="10:12" x14ac:dyDescent="0.2">
      <c r="J1062">
        <v>11311</v>
      </c>
      <c r="K1062" t="str">
        <v>France</v>
      </c>
      <c r="L1062">
        <v>213.75</v>
      </c>
    </row>
    <row r="1063" spans="10:12" x14ac:dyDescent="0.2">
      <c r="J1063">
        <v>11311</v>
      </c>
      <c r="K1063" t="str">
        <v>France</v>
      </c>
      <c r="L1063">
        <v>675</v>
      </c>
    </row>
    <row r="1064" spans="10:12" x14ac:dyDescent="0.2">
      <c r="J1064">
        <v>11311</v>
      </c>
      <c r="K1064" t="str">
        <v>France</v>
      </c>
      <c r="L1064">
        <v>855</v>
      </c>
    </row>
    <row r="1065" spans="10:12" x14ac:dyDescent="0.2">
      <c r="J1065">
        <v>11311</v>
      </c>
      <c r="K1065" t="str">
        <v>France</v>
      </c>
      <c r="L1065">
        <v>204.75</v>
      </c>
    </row>
    <row r="1066" spans="10:12" x14ac:dyDescent="0.2">
      <c r="J1066">
        <v>11318</v>
      </c>
      <c r="K1066" t="str">
        <v>France</v>
      </c>
      <c r="L1066">
        <v>90</v>
      </c>
    </row>
    <row r="1067" spans="10:12" x14ac:dyDescent="0.2">
      <c r="J1067">
        <v>11318</v>
      </c>
      <c r="K1067" t="str">
        <v>France</v>
      </c>
      <c r="L1067">
        <v>400</v>
      </c>
    </row>
    <row r="1068" spans="10:12" x14ac:dyDescent="0.2">
      <c r="J1068">
        <v>11318</v>
      </c>
      <c r="K1068" t="str">
        <v>France</v>
      </c>
      <c r="L1068">
        <v>126</v>
      </c>
    </row>
    <row r="1069" spans="10:12" x14ac:dyDescent="0.2">
      <c r="J1069">
        <v>11321</v>
      </c>
      <c r="K1069" t="str">
        <v>UK</v>
      </c>
      <c r="L1069">
        <v>625</v>
      </c>
    </row>
    <row r="1070" spans="10:12" x14ac:dyDescent="0.2">
      <c r="J1070">
        <v>11321</v>
      </c>
      <c r="K1070" t="str">
        <v>UK</v>
      </c>
      <c r="L1070">
        <v>510</v>
      </c>
    </row>
    <row r="1071" spans="10:12" x14ac:dyDescent="0.2">
      <c r="J1071">
        <v>11321</v>
      </c>
      <c r="K1071" t="str">
        <v>UK</v>
      </c>
      <c r="L1071">
        <v>258</v>
      </c>
    </row>
    <row r="1072" spans="10:12" x14ac:dyDescent="0.2">
      <c r="J1072">
        <v>11321</v>
      </c>
      <c r="K1072" t="str">
        <v>UK</v>
      </c>
      <c r="L1072">
        <v>84</v>
      </c>
    </row>
    <row r="1073" spans="10:12" x14ac:dyDescent="0.2">
      <c r="J1073">
        <v>11346</v>
      </c>
      <c r="K1073" t="str">
        <v>France</v>
      </c>
      <c r="L1073">
        <v>782</v>
      </c>
    </row>
    <row r="1074" spans="10:12" x14ac:dyDescent="0.2">
      <c r="J1074">
        <v>11346</v>
      </c>
      <c r="K1074" t="str">
        <v>France</v>
      </c>
      <c r="L1074">
        <v>726.75</v>
      </c>
    </row>
    <row r="1075" spans="10:12" x14ac:dyDescent="0.2">
      <c r="J1075">
        <v>11346</v>
      </c>
      <c r="K1075" t="str">
        <v>France</v>
      </c>
      <c r="L1075">
        <v>86.7</v>
      </c>
    </row>
    <row r="1076" spans="10:12" x14ac:dyDescent="0.2">
      <c r="J1076">
        <v>11364</v>
      </c>
      <c r="K1076" t="str">
        <v>France</v>
      </c>
      <c r="L1076">
        <v>378</v>
      </c>
    </row>
    <row r="1077" spans="10:12" x14ac:dyDescent="0.2">
      <c r="J1077">
        <v>11366</v>
      </c>
      <c r="K1077" t="str">
        <v>France</v>
      </c>
      <c r="L1077">
        <v>437.5</v>
      </c>
    </row>
    <row r="1078" spans="10:12" x14ac:dyDescent="0.2">
      <c r="J1078">
        <v>11366</v>
      </c>
      <c r="K1078" t="str">
        <v>France</v>
      </c>
      <c r="L1078">
        <v>292.5</v>
      </c>
    </row>
    <row r="1079" spans="10:12" x14ac:dyDescent="0.2">
      <c r="J1079">
        <v>11350</v>
      </c>
      <c r="K1079" t="str">
        <v>France</v>
      </c>
      <c r="L1079">
        <v>248.96</v>
      </c>
    </row>
    <row r="1080" spans="10:12" x14ac:dyDescent="0.2">
      <c r="J1080">
        <v>11350</v>
      </c>
      <c r="K1080" t="str">
        <v>France</v>
      </c>
      <c r="L1080">
        <v>112</v>
      </c>
    </row>
    <row r="1081" spans="10:12" x14ac:dyDescent="0.2">
      <c r="J1081">
        <v>11350</v>
      </c>
      <c r="K1081" t="str">
        <v>France</v>
      </c>
      <c r="L1081">
        <v>99.75</v>
      </c>
    </row>
    <row r="1082" spans="10:12" x14ac:dyDescent="0.2">
      <c r="J1082">
        <v>11354</v>
      </c>
      <c r="K1082" t="str">
        <v>France</v>
      </c>
      <c r="L1082">
        <v>159</v>
      </c>
    </row>
    <row r="1083" spans="10:12" x14ac:dyDescent="0.2">
      <c r="J1083">
        <v>11354</v>
      </c>
      <c r="K1083" t="str">
        <v>France</v>
      </c>
      <c r="L1083">
        <v>382.5</v>
      </c>
    </row>
    <row r="1084" spans="10:12" x14ac:dyDescent="0.2">
      <c r="J1084">
        <v>11354</v>
      </c>
      <c r="K1084" t="str">
        <v>France</v>
      </c>
      <c r="L1084">
        <v>238</v>
      </c>
    </row>
    <row r="1085" spans="10:12" x14ac:dyDescent="0.2">
      <c r="J1085">
        <v>11354</v>
      </c>
      <c r="K1085" t="str">
        <v>France</v>
      </c>
      <c r="L1085">
        <v>8.5</v>
      </c>
    </row>
    <row r="1086" spans="10:12" x14ac:dyDescent="0.2">
      <c r="J1086">
        <v>11008</v>
      </c>
      <c r="K1086" t="str">
        <v>Austria</v>
      </c>
      <c r="L1086">
        <v>1197</v>
      </c>
    </row>
    <row r="1087" spans="10:12" x14ac:dyDescent="0.2">
      <c r="J1087">
        <v>11008</v>
      </c>
      <c r="K1087" t="str">
        <v>Austria</v>
      </c>
      <c r="L1087">
        <v>451.5</v>
      </c>
    </row>
    <row r="1088" spans="10:12" x14ac:dyDescent="0.2">
      <c r="J1088">
        <v>11008</v>
      </c>
      <c r="K1088" t="str">
        <v>Austria</v>
      </c>
      <c r="L1088">
        <v>3032.4</v>
      </c>
    </row>
    <row r="1089" spans="10:12" x14ac:dyDescent="0.2">
      <c r="J1089">
        <v>11074</v>
      </c>
      <c r="K1089" t="str">
        <v>Denmark</v>
      </c>
      <c r="L1089">
        <v>232.08</v>
      </c>
    </row>
    <row r="1090" spans="10:12" x14ac:dyDescent="0.2">
      <c r="J1090">
        <v>11075</v>
      </c>
      <c r="K1090" t="str">
        <v>Switzerland</v>
      </c>
      <c r="L1090">
        <v>161.5</v>
      </c>
    </row>
    <row r="1091" spans="10:12" x14ac:dyDescent="0.2">
      <c r="J1091">
        <v>11075</v>
      </c>
      <c r="K1091" t="str">
        <v>Switzerland</v>
      </c>
      <c r="L1091">
        <v>30.6</v>
      </c>
    </row>
    <row r="1092" spans="10:12" x14ac:dyDescent="0.2">
      <c r="J1092">
        <v>11076</v>
      </c>
      <c r="K1092" t="str">
        <v>France</v>
      </c>
      <c r="L1092">
        <v>375</v>
      </c>
    </row>
    <row r="1093" spans="10:12" x14ac:dyDescent="0.2">
      <c r="J1093">
        <v>11076</v>
      </c>
      <c r="K1093" t="str">
        <v>France</v>
      </c>
      <c r="L1093">
        <v>69</v>
      </c>
    </row>
    <row r="1094" spans="10:12" x14ac:dyDescent="0.2">
      <c r="J1094">
        <v>11076</v>
      </c>
      <c r="K1094" t="str">
        <v>France</v>
      </c>
      <c r="L1094">
        <v>348.75</v>
      </c>
    </row>
    <row r="1095" spans="10:12" x14ac:dyDescent="0.2">
      <c r="J1095">
        <v>11051</v>
      </c>
      <c r="K1095" t="str">
        <v>France</v>
      </c>
      <c r="L1095">
        <v>36</v>
      </c>
    </row>
    <row r="1096" spans="10:12" x14ac:dyDescent="0.2">
      <c r="J1096">
        <v>11368</v>
      </c>
      <c r="K1096" t="str">
        <v>UK</v>
      </c>
      <c r="L1096">
        <v>210</v>
      </c>
    </row>
    <row r="1097" spans="10:12" x14ac:dyDescent="0.2">
      <c r="J1097">
        <v>11368</v>
      </c>
      <c r="K1097" t="str">
        <v>UK</v>
      </c>
      <c r="L1097">
        <v>72</v>
      </c>
    </row>
    <row r="1098" spans="10:12" x14ac:dyDescent="0.2">
      <c r="J1098">
        <v>11370</v>
      </c>
      <c r="K1098" t="str">
        <v>France</v>
      </c>
      <c r="L1098">
        <v>1187.5</v>
      </c>
    </row>
    <row r="1099" spans="10:12" x14ac:dyDescent="0.2">
      <c r="J1099">
        <v>11370</v>
      </c>
      <c r="K1099" t="str">
        <v>France</v>
      </c>
      <c r="L1099">
        <v>198.92999999999998</v>
      </c>
    </row>
    <row r="1100" spans="10:12" x14ac:dyDescent="0.2">
      <c r="J1100">
        <v>11379</v>
      </c>
      <c r="K1100" t="str">
        <v>France</v>
      </c>
      <c r="L1100">
        <v>665</v>
      </c>
    </row>
    <row r="1101" spans="10:12" x14ac:dyDescent="0.2">
      <c r="J1101">
        <v>11387</v>
      </c>
      <c r="K1101" t="str">
        <v>France</v>
      </c>
      <c r="L1101">
        <v>108.5</v>
      </c>
    </row>
    <row r="1102" spans="10:12" x14ac:dyDescent="0.2">
      <c r="J1102">
        <v>11388</v>
      </c>
      <c r="K1102" t="str">
        <v>UK</v>
      </c>
      <c r="L1102">
        <v>390</v>
      </c>
    </row>
    <row r="1103" spans="10:12" x14ac:dyDescent="0.2">
      <c r="J1103">
        <v>11391</v>
      </c>
      <c r="K1103" t="str">
        <v>France</v>
      </c>
      <c r="L1103">
        <v>368</v>
      </c>
    </row>
    <row r="1104" spans="10:12" x14ac:dyDescent="0.2">
      <c r="J1104">
        <v>11391</v>
      </c>
      <c r="K1104" t="str">
        <v>France</v>
      </c>
      <c r="L1104">
        <v>268.8</v>
      </c>
    </row>
    <row r="1105" spans="10:12" x14ac:dyDescent="0.2">
      <c r="J1105">
        <v>11391</v>
      </c>
      <c r="K1105" t="str">
        <v>France</v>
      </c>
      <c r="L1105">
        <v>112</v>
      </c>
    </row>
    <row r="1106" spans="10:12" x14ac:dyDescent="0.2">
      <c r="J1106">
        <v>11406</v>
      </c>
      <c r="K1106" t="str">
        <v>France</v>
      </c>
      <c r="L1106">
        <v>139.5</v>
      </c>
    </row>
    <row r="1107" spans="10:12" x14ac:dyDescent="0.2">
      <c r="J1107">
        <v>11406</v>
      </c>
      <c r="K1107" t="str">
        <v>France</v>
      </c>
      <c r="L1107">
        <v>621.17999999999995</v>
      </c>
    </row>
    <row r="1108" spans="10:12" x14ac:dyDescent="0.2">
      <c r="J1108">
        <v>11406</v>
      </c>
      <c r="K1108" t="str">
        <v>France</v>
      </c>
      <c r="L1108">
        <v>471.15</v>
      </c>
    </row>
    <row r="1109" spans="10:12" x14ac:dyDescent="0.2">
      <c r="J1109">
        <v>11406</v>
      </c>
      <c r="K1109" t="str">
        <v>France</v>
      </c>
      <c r="L1109">
        <v>556.79999999999995</v>
      </c>
    </row>
    <row r="1110" spans="10:12" x14ac:dyDescent="0.2">
      <c r="J1110">
        <v>11412</v>
      </c>
      <c r="K1110" t="str">
        <v>France</v>
      </c>
      <c r="L1110">
        <v>1317.5</v>
      </c>
    </row>
    <row r="1111" spans="10:12" x14ac:dyDescent="0.2">
      <c r="J1111">
        <v>11412</v>
      </c>
      <c r="K1111" t="str">
        <v>France</v>
      </c>
      <c r="L1111">
        <v>360</v>
      </c>
    </row>
    <row r="1112" spans="10:12" x14ac:dyDescent="0.2">
      <c r="J1112">
        <v>11427</v>
      </c>
      <c r="K1112" t="str">
        <v>UK</v>
      </c>
      <c r="L1112">
        <v>187.5</v>
      </c>
    </row>
    <row r="1113" spans="10:12" x14ac:dyDescent="0.2">
      <c r="J1113">
        <v>11449</v>
      </c>
      <c r="K1113" t="str">
        <v>France</v>
      </c>
      <c r="L1113">
        <v>210</v>
      </c>
    </row>
    <row r="1114" spans="10:12" x14ac:dyDescent="0.2">
      <c r="J1114">
        <v>11406</v>
      </c>
      <c r="K1114" t="str">
        <v>France</v>
      </c>
      <c r="L1114">
        <v>240</v>
      </c>
    </row>
    <row r="1115" spans="10:12" x14ac:dyDescent="0.2">
      <c r="J1115">
        <v>11058</v>
      </c>
      <c r="K1115" t="str">
        <v>Germany</v>
      </c>
      <c r="L1115">
        <v>114</v>
      </c>
    </row>
    <row r="1116" spans="10:12" x14ac:dyDescent="0.2">
      <c r="J1116">
        <v>11058</v>
      </c>
      <c r="K1116" t="str">
        <v>Germany</v>
      </c>
      <c r="L1116">
        <v>30</v>
      </c>
    </row>
    <row r="1117" spans="10:12" x14ac:dyDescent="0.2">
      <c r="J1117">
        <v>11058</v>
      </c>
      <c r="K1117" t="str">
        <v>Germany</v>
      </c>
      <c r="L1117">
        <v>714</v>
      </c>
    </row>
    <row r="1118" spans="10:12" x14ac:dyDescent="0.2">
      <c r="J1118">
        <v>11644</v>
      </c>
      <c r="K1118" t="str">
        <v>Austria</v>
      </c>
      <c r="L1118">
        <v>816</v>
      </c>
    </row>
    <row r="1119" spans="10:12" x14ac:dyDescent="0.2">
      <c r="J1119">
        <v>11070</v>
      </c>
      <c r="K1119" t="str">
        <v>Germany</v>
      </c>
      <c r="L1119">
        <v>612</v>
      </c>
    </row>
    <row r="1120" spans="10:12" x14ac:dyDescent="0.2">
      <c r="J1120">
        <v>11070</v>
      </c>
      <c r="K1120" t="str">
        <v>Germany</v>
      </c>
      <c r="L1120">
        <v>323</v>
      </c>
    </row>
    <row r="1121" spans="10:12" x14ac:dyDescent="0.2">
      <c r="J1121">
        <v>11070</v>
      </c>
      <c r="K1121" t="str">
        <v>Germany</v>
      </c>
      <c r="L1121">
        <v>444.97</v>
      </c>
    </row>
    <row r="1122" spans="10:12" x14ac:dyDescent="0.2">
      <c r="J1122">
        <v>11070</v>
      </c>
      <c r="K1122" t="str">
        <v>Germany</v>
      </c>
      <c r="L1122">
        <v>250</v>
      </c>
    </row>
    <row r="1123" spans="10:12" x14ac:dyDescent="0.2">
      <c r="J1123">
        <v>11072</v>
      </c>
      <c r="K1123" t="str">
        <v>Austria</v>
      </c>
      <c r="L1123">
        <v>152</v>
      </c>
    </row>
    <row r="1124" spans="10:12" x14ac:dyDescent="0.2">
      <c r="J1124">
        <v>11072</v>
      </c>
      <c r="K1124" t="str">
        <v>Austria</v>
      </c>
      <c r="L1124">
        <v>357.5</v>
      </c>
    </row>
    <row r="1125" spans="10:12" x14ac:dyDescent="0.2">
      <c r="J1125">
        <v>11072</v>
      </c>
      <c r="K1125" t="str">
        <v>Austria</v>
      </c>
      <c r="L1125">
        <v>4322.5</v>
      </c>
    </row>
    <row r="1126" spans="10:12" x14ac:dyDescent="0.2">
      <c r="J1126">
        <v>11644</v>
      </c>
      <c r="K1126" t="str">
        <v>Austria</v>
      </c>
      <c r="L1126">
        <v>504</v>
      </c>
    </row>
    <row r="1127" spans="10:12" x14ac:dyDescent="0.2">
      <c r="J1127">
        <v>11415</v>
      </c>
      <c r="K1127" t="str">
        <v>UK</v>
      </c>
      <c r="L1127">
        <v>3847.5</v>
      </c>
    </row>
    <row r="1128" spans="10:12" x14ac:dyDescent="0.2">
      <c r="J1128">
        <v>11415</v>
      </c>
      <c r="K1128" t="str">
        <v>UK</v>
      </c>
      <c r="L1128">
        <v>593.75</v>
      </c>
    </row>
    <row r="1129" spans="10:12" x14ac:dyDescent="0.2">
      <c r="J1129">
        <v>11646</v>
      </c>
      <c r="K1129" t="str">
        <v>UK</v>
      </c>
      <c r="L1129">
        <v>144</v>
      </c>
    </row>
    <row r="1130" spans="10:12" x14ac:dyDescent="0.2">
      <c r="J1130">
        <v>11645</v>
      </c>
      <c r="K1130" t="str">
        <v>Finland</v>
      </c>
      <c r="L1130">
        <v>516</v>
      </c>
    </row>
    <row r="1131" spans="10:12" x14ac:dyDescent="0.2">
      <c r="J1131">
        <v>11648</v>
      </c>
      <c r="K1131" t="str">
        <v>Germany</v>
      </c>
      <c r="L1131">
        <v>57.6</v>
      </c>
    </row>
    <row r="1132" spans="10:12" x14ac:dyDescent="0.2">
      <c r="J1132">
        <v>11648</v>
      </c>
      <c r="K1132" t="str">
        <v>Germany</v>
      </c>
      <c r="L1132">
        <v>62</v>
      </c>
    </row>
    <row r="1133" spans="10:12" x14ac:dyDescent="0.2">
      <c r="J1133">
        <v>11648</v>
      </c>
      <c r="K1133" t="str">
        <v>Germany</v>
      </c>
      <c r="L1133">
        <v>44.8</v>
      </c>
    </row>
    <row r="1134" spans="10:12" x14ac:dyDescent="0.2">
      <c r="J1134">
        <v>11650</v>
      </c>
      <c r="K1134" t="str">
        <v>Germany</v>
      </c>
      <c r="L1134">
        <v>120</v>
      </c>
    </row>
    <row r="1135" spans="10:12" x14ac:dyDescent="0.2">
      <c r="J1135">
        <v>11650</v>
      </c>
      <c r="K1135" t="str">
        <v>Germany</v>
      </c>
      <c r="L1135">
        <v>1112</v>
      </c>
    </row>
    <row r="1136" spans="10:12" x14ac:dyDescent="0.2">
      <c r="J1136">
        <v>11650</v>
      </c>
      <c r="K1136" t="str">
        <v>Germany</v>
      </c>
      <c r="L1136">
        <v>40</v>
      </c>
    </row>
    <row r="1137" spans="10:12" x14ac:dyDescent="0.2">
      <c r="J1137">
        <v>11650</v>
      </c>
      <c r="K1137" t="str">
        <v>Germany</v>
      </c>
      <c r="L1137">
        <v>167.4</v>
      </c>
    </row>
    <row r="1138" spans="10:12" x14ac:dyDescent="0.2">
      <c r="J1138">
        <v>11651</v>
      </c>
      <c r="K1138" t="str">
        <v>Spain</v>
      </c>
      <c r="L1138">
        <v>310</v>
      </c>
    </row>
    <row r="1139" spans="10:12" x14ac:dyDescent="0.2">
      <c r="J1139">
        <v>11651</v>
      </c>
      <c r="K1139" t="str">
        <v>Spain</v>
      </c>
      <c r="L1139">
        <v>422.4</v>
      </c>
    </row>
    <row r="1140" spans="10:12" x14ac:dyDescent="0.2">
      <c r="J1140">
        <v>11651</v>
      </c>
      <c r="K1140" t="str">
        <v>Spain</v>
      </c>
      <c r="L1140">
        <v>249.6</v>
      </c>
    </row>
    <row r="1141" spans="10:12" x14ac:dyDescent="0.2">
      <c r="J1141">
        <v>11652</v>
      </c>
      <c r="K1141" t="str">
        <v>Sweden</v>
      </c>
      <c r="L1141">
        <v>304</v>
      </c>
    </row>
    <row r="1142" spans="10:12" x14ac:dyDescent="0.2">
      <c r="J1142">
        <v>11652</v>
      </c>
      <c r="K1142" t="str">
        <v>Sweden</v>
      </c>
      <c r="L1142">
        <v>672</v>
      </c>
    </row>
    <row r="1143" spans="10:12" x14ac:dyDescent="0.2">
      <c r="J1143">
        <v>11653</v>
      </c>
      <c r="K1143" t="str">
        <v>Portugal</v>
      </c>
      <c r="L1143">
        <v>672</v>
      </c>
    </row>
    <row r="1144" spans="10:12" x14ac:dyDescent="0.2">
      <c r="J1144">
        <v>11653</v>
      </c>
      <c r="K1144" t="str">
        <v>Portugal</v>
      </c>
      <c r="L1144">
        <v>100</v>
      </c>
    </row>
    <row r="1145" spans="10:12" x14ac:dyDescent="0.2">
      <c r="J1145">
        <v>11653</v>
      </c>
      <c r="K1145" t="str">
        <v>Portugal</v>
      </c>
      <c r="L1145">
        <v>396</v>
      </c>
    </row>
    <row r="1146" spans="10:12" x14ac:dyDescent="0.2">
      <c r="J1146">
        <v>11658</v>
      </c>
      <c r="K1146" t="str">
        <v>Finland</v>
      </c>
      <c r="L1146">
        <v>72</v>
      </c>
    </row>
    <row r="1147" spans="10:12" x14ac:dyDescent="0.2">
      <c r="J1147">
        <v>11658</v>
      </c>
      <c r="K1147" t="str">
        <v>Finland</v>
      </c>
      <c r="L1147">
        <v>619.20000000000005</v>
      </c>
    </row>
    <row r="1148" spans="10:12" x14ac:dyDescent="0.2">
      <c r="J1148">
        <v>11658</v>
      </c>
      <c r="K1148" t="str">
        <v>Finland</v>
      </c>
      <c r="L1148">
        <v>186</v>
      </c>
    </row>
    <row r="1149" spans="10:12" x14ac:dyDescent="0.2">
      <c r="J1149">
        <v>11659</v>
      </c>
      <c r="K1149" t="str">
        <v>France</v>
      </c>
      <c r="L1149">
        <v>100</v>
      </c>
    </row>
    <row r="1150" spans="10:12" x14ac:dyDescent="0.2">
      <c r="J1150">
        <v>11659</v>
      </c>
      <c r="K1150" t="str">
        <v>France</v>
      </c>
      <c r="L1150">
        <v>44.8</v>
      </c>
    </row>
    <row r="1151" spans="10:12" x14ac:dyDescent="0.2">
      <c r="J1151">
        <v>11660</v>
      </c>
      <c r="K1151" t="str">
        <v>Ireland</v>
      </c>
      <c r="L1151">
        <v>85.12</v>
      </c>
    </row>
    <row r="1152" spans="10:12" x14ac:dyDescent="0.2">
      <c r="J1152">
        <v>11660</v>
      </c>
      <c r="K1152" t="str">
        <v>Ireland</v>
      </c>
      <c r="L1152">
        <v>200</v>
      </c>
    </row>
    <row r="1153" spans="10:12" x14ac:dyDescent="0.2">
      <c r="J1153">
        <v>11660</v>
      </c>
      <c r="K1153" t="str">
        <v>Ireland</v>
      </c>
      <c r="L1153">
        <v>122.88</v>
      </c>
    </row>
    <row r="1154" spans="10:12" x14ac:dyDescent="0.2">
      <c r="J1154">
        <v>11660</v>
      </c>
      <c r="K1154" t="str">
        <v>Ireland</v>
      </c>
      <c r="L1154">
        <v>1628.16</v>
      </c>
    </row>
    <row r="1155" spans="10:12" x14ac:dyDescent="0.2">
      <c r="J1155">
        <v>11661</v>
      </c>
      <c r="K1155" t="str">
        <v>Portugal</v>
      </c>
      <c r="L1155">
        <v>285.12</v>
      </c>
    </row>
    <row r="1156" spans="10:12" x14ac:dyDescent="0.2">
      <c r="J1156">
        <v>11662</v>
      </c>
      <c r="K1156" t="str">
        <v>Germany</v>
      </c>
      <c r="L1156">
        <v>597.6</v>
      </c>
    </row>
    <row r="1157" spans="10:12" x14ac:dyDescent="0.2">
      <c r="J1157">
        <v>11662</v>
      </c>
      <c r="K1157" t="str">
        <v>Germany</v>
      </c>
      <c r="L1157">
        <v>695</v>
      </c>
    </row>
    <row r="1158" spans="10:12" x14ac:dyDescent="0.2">
      <c r="J1158">
        <v>11662</v>
      </c>
      <c r="K1158" t="str">
        <v>Germany</v>
      </c>
      <c r="L1158">
        <v>288</v>
      </c>
    </row>
    <row r="1159" spans="10:12" x14ac:dyDescent="0.2">
      <c r="J1159">
        <v>11666</v>
      </c>
      <c r="K1159" t="str">
        <v>Denmark</v>
      </c>
      <c r="L1159">
        <v>336.6</v>
      </c>
    </row>
    <row r="1160" spans="10:12" x14ac:dyDescent="0.2">
      <c r="J1160">
        <v>11666</v>
      </c>
      <c r="K1160" t="str">
        <v>Denmark</v>
      </c>
      <c r="L1160">
        <v>16</v>
      </c>
    </row>
    <row r="1161" spans="10:12" x14ac:dyDescent="0.2">
      <c r="J1161">
        <v>11665</v>
      </c>
      <c r="K1161" t="str">
        <v>France</v>
      </c>
      <c r="L1161">
        <v>1398.4</v>
      </c>
    </row>
    <row r="1162" spans="10:12" x14ac:dyDescent="0.2">
      <c r="J1162">
        <v>11667</v>
      </c>
      <c r="K1162" t="str">
        <v>Germany</v>
      </c>
      <c r="L1162">
        <v>291.83999999999997</v>
      </c>
    </row>
    <row r="1163" spans="10:12" x14ac:dyDescent="0.2">
      <c r="J1163">
        <v>11667</v>
      </c>
      <c r="K1163" t="str">
        <v>Germany</v>
      </c>
      <c r="L1163">
        <v>448</v>
      </c>
    </row>
    <row r="1164" spans="10:12" x14ac:dyDescent="0.2">
      <c r="J1164">
        <v>11668</v>
      </c>
      <c r="K1164" t="str">
        <v>Germany</v>
      </c>
      <c r="L1164">
        <v>216</v>
      </c>
    </row>
    <row r="1165" spans="10:12" x14ac:dyDescent="0.2">
      <c r="J1165">
        <v>11668</v>
      </c>
      <c r="K1165" t="str">
        <v>Germany</v>
      </c>
      <c r="L1165">
        <v>38</v>
      </c>
    </row>
    <row r="1166" spans="10:12" x14ac:dyDescent="0.2">
      <c r="J1166">
        <v>11668</v>
      </c>
      <c r="K1166" t="str">
        <v>Germany</v>
      </c>
      <c r="L1166">
        <v>1330</v>
      </c>
    </row>
    <row r="1167" spans="10:12" x14ac:dyDescent="0.2">
      <c r="J1167">
        <v>11670</v>
      </c>
      <c r="K1167" t="str">
        <v>Germany</v>
      </c>
      <c r="L1167">
        <v>2240</v>
      </c>
    </row>
    <row r="1168" spans="10:12" x14ac:dyDescent="0.2">
      <c r="J1168">
        <v>11670</v>
      </c>
      <c r="K1168" t="str">
        <v>Germany</v>
      </c>
      <c r="L1168">
        <v>584</v>
      </c>
    </row>
    <row r="1169" spans="10:12" x14ac:dyDescent="0.2">
      <c r="J1169">
        <v>11670</v>
      </c>
      <c r="K1169" t="str">
        <v>Germany</v>
      </c>
      <c r="L1169">
        <v>100.8</v>
      </c>
    </row>
    <row r="1170" spans="10:12" x14ac:dyDescent="0.2">
      <c r="J1170">
        <v>11673</v>
      </c>
      <c r="K1170" t="str">
        <v>Germany</v>
      </c>
      <c r="L1170">
        <v>183.6</v>
      </c>
    </row>
    <row r="1171" spans="10:12" x14ac:dyDescent="0.2">
      <c r="J1171">
        <v>11673</v>
      </c>
      <c r="K1171" t="str">
        <v>Germany</v>
      </c>
      <c r="L1171">
        <v>180</v>
      </c>
    </row>
    <row r="1172" spans="10:12" x14ac:dyDescent="0.2">
      <c r="J1172">
        <v>11676</v>
      </c>
      <c r="K1172" t="str">
        <v>Austria</v>
      </c>
      <c r="L1172">
        <v>4005.2</v>
      </c>
    </row>
    <row r="1173" spans="10:12" x14ac:dyDescent="0.2">
      <c r="J1173">
        <v>11676</v>
      </c>
      <c r="K1173" t="str">
        <v>Austria</v>
      </c>
      <c r="L1173">
        <v>1133.82</v>
      </c>
    </row>
    <row r="1174" spans="10:12" x14ac:dyDescent="0.2">
      <c r="J1174">
        <v>11676</v>
      </c>
      <c r="K1174" t="str">
        <v>Austria</v>
      </c>
      <c r="L1174">
        <v>159.6</v>
      </c>
    </row>
    <row r="1175" spans="10:12" x14ac:dyDescent="0.2">
      <c r="J1175">
        <v>11675</v>
      </c>
      <c r="K1175" t="str">
        <v>France</v>
      </c>
      <c r="L1175">
        <v>175.5</v>
      </c>
    </row>
    <row r="1176" spans="10:12" x14ac:dyDescent="0.2">
      <c r="J1176">
        <v>11675</v>
      </c>
      <c r="K1176" t="str">
        <v>France</v>
      </c>
      <c r="L1176">
        <v>466.56</v>
      </c>
    </row>
    <row r="1177" spans="10:12" x14ac:dyDescent="0.2">
      <c r="J1177">
        <v>11677</v>
      </c>
      <c r="K1177" t="str">
        <v>Portugal</v>
      </c>
      <c r="L1177">
        <v>36</v>
      </c>
    </row>
    <row r="1178" spans="10:12" x14ac:dyDescent="0.2">
      <c r="J1178">
        <v>11678</v>
      </c>
      <c r="K1178" t="str">
        <v>Austria</v>
      </c>
      <c r="L1178">
        <v>8432</v>
      </c>
    </row>
    <row r="1179" spans="10:12" x14ac:dyDescent="0.2">
      <c r="J1179">
        <v>11678</v>
      </c>
      <c r="K1179" t="str">
        <v>Austria</v>
      </c>
      <c r="L1179">
        <v>161.28</v>
      </c>
    </row>
    <row r="1180" spans="10:12" x14ac:dyDescent="0.2">
      <c r="J1180">
        <v>11680</v>
      </c>
      <c r="K1180" t="str">
        <v>UK</v>
      </c>
      <c r="L1180">
        <v>90</v>
      </c>
    </row>
    <row r="1181" spans="10:12" x14ac:dyDescent="0.2">
      <c r="J1181">
        <v>11680</v>
      </c>
      <c r="K1181" t="str">
        <v>UK</v>
      </c>
      <c r="L1181">
        <v>390</v>
      </c>
    </row>
    <row r="1182" spans="10:12" x14ac:dyDescent="0.2">
      <c r="J1182">
        <v>11681</v>
      </c>
      <c r="K1182" t="str">
        <v>Germany</v>
      </c>
      <c r="L1182">
        <v>576</v>
      </c>
    </row>
    <row r="1183" spans="10:12" x14ac:dyDescent="0.2">
      <c r="J1183">
        <v>11681</v>
      </c>
      <c r="K1183" t="str">
        <v>Germany</v>
      </c>
      <c r="L1183">
        <v>300</v>
      </c>
    </row>
    <row r="1184" spans="10:12" x14ac:dyDescent="0.2">
      <c r="J1184">
        <v>11683</v>
      </c>
      <c r="K1184" t="str">
        <v>France</v>
      </c>
      <c r="L1184">
        <v>106.4</v>
      </c>
    </row>
    <row r="1185" spans="10:12" x14ac:dyDescent="0.2">
      <c r="J1185">
        <v>11683</v>
      </c>
      <c r="K1185" t="str">
        <v>France</v>
      </c>
      <c r="L1185">
        <v>34.200000000000003</v>
      </c>
    </row>
    <row r="1186" spans="10:12" x14ac:dyDescent="0.2">
      <c r="J1186">
        <v>11684</v>
      </c>
      <c r="K1186" t="str">
        <v>UK</v>
      </c>
      <c r="L1186">
        <v>739.48</v>
      </c>
    </row>
    <row r="1187" spans="10:12" x14ac:dyDescent="0.2">
      <c r="J1187">
        <v>11684</v>
      </c>
      <c r="K1187" t="str">
        <v>UK</v>
      </c>
      <c r="L1187">
        <v>2067.1999999999998</v>
      </c>
    </row>
    <row r="1188" spans="10:12" x14ac:dyDescent="0.2">
      <c r="J1188">
        <v>11684</v>
      </c>
      <c r="K1188" t="str">
        <v>UK</v>
      </c>
      <c r="L1188">
        <v>665</v>
      </c>
    </row>
    <row r="1189" spans="10:12" x14ac:dyDescent="0.2">
      <c r="J1189">
        <v>11685</v>
      </c>
      <c r="K1189" t="str">
        <v>France</v>
      </c>
      <c r="L1189">
        <v>2108</v>
      </c>
    </row>
    <row r="1190" spans="10:12" x14ac:dyDescent="0.2">
      <c r="J1190">
        <v>11685</v>
      </c>
      <c r="K1190" t="str">
        <v>France</v>
      </c>
      <c r="L1190">
        <v>560</v>
      </c>
    </row>
    <row r="1191" spans="10:12" x14ac:dyDescent="0.2">
      <c r="J1191">
        <v>11685</v>
      </c>
      <c r="K1191" t="str">
        <v>France</v>
      </c>
      <c r="L1191">
        <v>1092</v>
      </c>
    </row>
    <row r="1192" spans="10:12" x14ac:dyDescent="0.2">
      <c r="J1192">
        <v>11686</v>
      </c>
      <c r="K1192" t="str">
        <v>Germany</v>
      </c>
      <c r="L1192">
        <v>699.84</v>
      </c>
    </row>
    <row r="1193" spans="10:12" x14ac:dyDescent="0.2">
      <c r="J1193">
        <v>11686</v>
      </c>
      <c r="K1193" t="str">
        <v>Germany</v>
      </c>
      <c r="L1193">
        <v>1346.4</v>
      </c>
    </row>
    <row r="1194" spans="10:12" x14ac:dyDescent="0.2">
      <c r="J1194">
        <v>11687</v>
      </c>
      <c r="K1194" t="str">
        <v>France</v>
      </c>
      <c r="L1194">
        <v>560</v>
      </c>
    </row>
    <row r="1195" spans="10:12" x14ac:dyDescent="0.2">
      <c r="J1195">
        <v>11687</v>
      </c>
      <c r="K1195" t="str">
        <v>France</v>
      </c>
      <c r="L1195">
        <v>848</v>
      </c>
    </row>
    <row r="1196" spans="10:12" x14ac:dyDescent="0.2">
      <c r="J1196">
        <v>11688</v>
      </c>
      <c r="K1196" t="str">
        <v>Germany</v>
      </c>
      <c r="L1196">
        <v>172.8</v>
      </c>
    </row>
    <row r="1197" spans="10:12" x14ac:dyDescent="0.2">
      <c r="J1197">
        <v>11688</v>
      </c>
      <c r="K1197" t="str">
        <v>Germany</v>
      </c>
      <c r="L1197">
        <v>74.400000000000006</v>
      </c>
    </row>
    <row r="1198" spans="10:12" x14ac:dyDescent="0.2">
      <c r="J1198">
        <v>11688</v>
      </c>
      <c r="K1198" t="str">
        <v>Germany</v>
      </c>
      <c r="L1198">
        <v>200</v>
      </c>
    </row>
    <row r="1199" spans="10:12" x14ac:dyDescent="0.2">
      <c r="J1199">
        <v>11689</v>
      </c>
      <c r="K1199" t="str">
        <v>UK</v>
      </c>
      <c r="L1199">
        <v>864</v>
      </c>
    </row>
    <row r="1200" spans="10:12" x14ac:dyDescent="0.2">
      <c r="J1200">
        <v>11689</v>
      </c>
      <c r="K1200" t="str">
        <v>UK</v>
      </c>
      <c r="L1200">
        <v>86</v>
      </c>
    </row>
    <row r="1201" spans="10:12" x14ac:dyDescent="0.2">
      <c r="J1201">
        <v>11692</v>
      </c>
      <c r="K1201" t="str">
        <v>Denmark</v>
      </c>
      <c r="L1201">
        <v>403.2</v>
      </c>
    </row>
    <row r="1202" spans="10:12" x14ac:dyDescent="0.2">
      <c r="J1202">
        <v>11692</v>
      </c>
      <c r="K1202" t="str">
        <v>Denmark</v>
      </c>
      <c r="L1202">
        <v>252</v>
      </c>
    </row>
    <row r="1203" spans="10:12" x14ac:dyDescent="0.2">
      <c r="J1203">
        <v>11692</v>
      </c>
      <c r="K1203" t="str">
        <v>Denmark</v>
      </c>
      <c r="L1203">
        <v>72.8</v>
      </c>
    </row>
    <row r="1204" spans="10:12" x14ac:dyDescent="0.2">
      <c r="J1204">
        <v>11691</v>
      </c>
      <c r="K1204" t="str">
        <v>Spain</v>
      </c>
      <c r="L1204">
        <v>84</v>
      </c>
    </row>
    <row r="1205" spans="10:12" x14ac:dyDescent="0.2">
      <c r="J1205">
        <v>11691</v>
      </c>
      <c r="K1205" t="str">
        <v>Spain</v>
      </c>
      <c r="L1205">
        <v>52</v>
      </c>
    </row>
    <row r="1206" spans="10:12" x14ac:dyDescent="0.2">
      <c r="J1206">
        <v>11693</v>
      </c>
      <c r="K1206" t="str">
        <v>Austria</v>
      </c>
      <c r="L1206">
        <v>36</v>
      </c>
    </row>
    <row r="1207" spans="10:12" x14ac:dyDescent="0.2">
      <c r="J1207">
        <v>11693</v>
      </c>
      <c r="K1207" t="str">
        <v>Austria</v>
      </c>
      <c r="L1207">
        <v>837.9</v>
      </c>
    </row>
    <row r="1208" spans="10:12" x14ac:dyDescent="0.2">
      <c r="J1208">
        <v>11693</v>
      </c>
      <c r="K1208" t="str">
        <v>Austria</v>
      </c>
      <c r="L1208">
        <v>390</v>
      </c>
    </row>
    <row r="1209" spans="10:12" x14ac:dyDescent="0.2">
      <c r="J1209">
        <v>11693</v>
      </c>
      <c r="K1209" t="str">
        <v>Austria</v>
      </c>
      <c r="L1209">
        <v>425.88</v>
      </c>
    </row>
    <row r="1210" spans="10:12" x14ac:dyDescent="0.2">
      <c r="J1210">
        <v>11695</v>
      </c>
      <c r="K1210" t="str">
        <v>Switzerland</v>
      </c>
      <c r="L1210">
        <v>183.6</v>
      </c>
    </row>
    <row r="1211" spans="10:12" x14ac:dyDescent="0.2">
      <c r="J1211">
        <v>11695</v>
      </c>
      <c r="K1211" t="str">
        <v>Switzerland</v>
      </c>
      <c r="L1211">
        <v>798</v>
      </c>
    </row>
    <row r="1212" spans="10:12" x14ac:dyDescent="0.2">
      <c r="J1212">
        <v>11695</v>
      </c>
      <c r="K1212" t="str">
        <v>Switzerland</v>
      </c>
      <c r="L1212">
        <v>136</v>
      </c>
    </row>
    <row r="1213" spans="10:12" x14ac:dyDescent="0.2">
      <c r="J1213">
        <v>11699</v>
      </c>
      <c r="K1213" t="str">
        <v>Poland</v>
      </c>
      <c r="L1213">
        <v>300</v>
      </c>
    </row>
    <row r="1214" spans="10:12" x14ac:dyDescent="0.2">
      <c r="J1214">
        <v>11698</v>
      </c>
      <c r="K1214" t="str">
        <v>Ireland</v>
      </c>
      <c r="L1214">
        <v>688</v>
      </c>
    </row>
    <row r="1215" spans="10:12" x14ac:dyDescent="0.2">
      <c r="J1215">
        <v>11702</v>
      </c>
      <c r="K1215" t="str">
        <v>UK</v>
      </c>
      <c r="L1215">
        <v>244.8</v>
      </c>
    </row>
    <row r="1216" spans="10:12" x14ac:dyDescent="0.2">
      <c r="J1216">
        <v>11702</v>
      </c>
      <c r="K1216" t="str">
        <v>UK</v>
      </c>
      <c r="L1216">
        <v>618.79999999999995</v>
      </c>
    </row>
    <row r="1217" spans="10:12" x14ac:dyDescent="0.2">
      <c r="J1217">
        <v>11703</v>
      </c>
      <c r="K1217" t="str">
        <v>Sweden</v>
      </c>
      <c r="L1217">
        <v>103.2</v>
      </c>
    </row>
    <row r="1218" spans="10:12" x14ac:dyDescent="0.2">
      <c r="J1218">
        <v>11705</v>
      </c>
      <c r="K1218" t="str">
        <v>Ireland</v>
      </c>
      <c r="L1218">
        <v>360</v>
      </c>
    </row>
    <row r="1219" spans="10:12" x14ac:dyDescent="0.2">
      <c r="J1219">
        <v>11705</v>
      </c>
      <c r="K1219" t="str">
        <v>Ireland</v>
      </c>
      <c r="L1219">
        <v>146.88</v>
      </c>
    </row>
    <row r="1220" spans="10:12" x14ac:dyDescent="0.2">
      <c r="J1220">
        <v>11707</v>
      </c>
      <c r="K1220" t="str">
        <v>Austria</v>
      </c>
      <c r="L1220">
        <v>544</v>
      </c>
    </row>
    <row r="1221" spans="10:12" x14ac:dyDescent="0.2">
      <c r="J1221">
        <v>11707</v>
      </c>
      <c r="K1221" t="str">
        <v>Austria</v>
      </c>
      <c r="L1221">
        <v>120</v>
      </c>
    </row>
    <row r="1222" spans="10:12" x14ac:dyDescent="0.2">
      <c r="J1222">
        <v>11707</v>
      </c>
      <c r="K1222" t="str">
        <v>Austria</v>
      </c>
      <c r="L1222">
        <v>400</v>
      </c>
    </row>
    <row r="1223" spans="10:12" x14ac:dyDescent="0.2">
      <c r="J1223">
        <v>11708</v>
      </c>
      <c r="K1223" t="str">
        <v>UK</v>
      </c>
      <c r="L1223">
        <v>195</v>
      </c>
    </row>
    <row r="1224" spans="10:12" x14ac:dyDescent="0.2">
      <c r="J1224">
        <v>11708</v>
      </c>
      <c r="K1224" t="str">
        <v>UK</v>
      </c>
      <c r="L1224">
        <v>608</v>
      </c>
    </row>
    <row r="1225" spans="10:12" x14ac:dyDescent="0.2">
      <c r="J1225">
        <v>11709</v>
      </c>
      <c r="K1225" t="str">
        <v>Sweden</v>
      </c>
      <c r="L1225">
        <v>1814.4</v>
      </c>
    </row>
    <row r="1226" spans="10:12" x14ac:dyDescent="0.2">
      <c r="J1226">
        <v>11709</v>
      </c>
      <c r="K1226" t="str">
        <v>Sweden</v>
      </c>
      <c r="L1226">
        <v>408</v>
      </c>
    </row>
    <row r="1227" spans="10:12" x14ac:dyDescent="0.2">
      <c r="J1227">
        <v>11712</v>
      </c>
      <c r="K1227" t="str">
        <v>Norway</v>
      </c>
      <c r="L1227">
        <v>54</v>
      </c>
    </row>
    <row r="1228" spans="10:12" x14ac:dyDescent="0.2">
      <c r="J1228">
        <v>11712</v>
      </c>
      <c r="K1228" t="str">
        <v>Norway</v>
      </c>
      <c r="L1228">
        <v>528</v>
      </c>
    </row>
    <row r="1229" spans="10:12" x14ac:dyDescent="0.2">
      <c r="J1229">
        <v>11712</v>
      </c>
      <c r="K1229" t="str">
        <v>Norway</v>
      </c>
      <c r="L1229">
        <v>258</v>
      </c>
    </row>
    <row r="1230" spans="10:12" x14ac:dyDescent="0.2">
      <c r="J1230">
        <v>11712</v>
      </c>
      <c r="K1230" t="str">
        <v>Norway</v>
      </c>
      <c r="L1230">
        <v>218.4</v>
      </c>
    </row>
    <row r="1231" spans="10:12" x14ac:dyDescent="0.2">
      <c r="J1231">
        <v>11713</v>
      </c>
      <c r="K1231" t="str">
        <v>UK</v>
      </c>
      <c r="L1231">
        <v>89.6</v>
      </c>
    </row>
    <row r="1232" spans="10:12" x14ac:dyDescent="0.2">
      <c r="J1232">
        <v>11715</v>
      </c>
      <c r="K1232" t="str">
        <v>Austria</v>
      </c>
      <c r="L1232">
        <v>518.4</v>
      </c>
    </row>
    <row r="1233" spans="10:12" x14ac:dyDescent="0.2">
      <c r="J1233">
        <v>11715</v>
      </c>
      <c r="K1233" t="str">
        <v>Austria</v>
      </c>
      <c r="L1233">
        <v>600.48</v>
      </c>
    </row>
    <row r="1234" spans="10:12" x14ac:dyDescent="0.2">
      <c r="J1234">
        <v>11715</v>
      </c>
      <c r="K1234" t="str">
        <v>Austria</v>
      </c>
      <c r="L1234">
        <v>540</v>
      </c>
    </row>
    <row r="1235" spans="10:12" x14ac:dyDescent="0.2">
      <c r="J1235">
        <v>11717</v>
      </c>
      <c r="K1235" t="str">
        <v>Austria</v>
      </c>
      <c r="L1235">
        <v>1440</v>
      </c>
    </row>
    <row r="1236" spans="10:12" x14ac:dyDescent="0.2">
      <c r="J1236">
        <v>11722</v>
      </c>
      <c r="K1236" t="str">
        <v>Portugal</v>
      </c>
      <c r="L1236">
        <v>68</v>
      </c>
    </row>
    <row r="1237" spans="10:12" x14ac:dyDescent="0.2">
      <c r="J1237">
        <v>11722</v>
      </c>
      <c r="K1237" t="str">
        <v>Portugal</v>
      </c>
      <c r="L1237">
        <v>648.72</v>
      </c>
    </row>
    <row r="1238" spans="10:12" x14ac:dyDescent="0.2">
      <c r="J1238">
        <v>11721</v>
      </c>
      <c r="K1238" t="str">
        <v>Germany</v>
      </c>
      <c r="L1238">
        <v>1032</v>
      </c>
    </row>
    <row r="1239" spans="10:12" x14ac:dyDescent="0.2">
      <c r="J1239">
        <v>11721</v>
      </c>
      <c r="K1239" t="str">
        <v>Germany</v>
      </c>
      <c r="L1239">
        <v>583.79999999999995</v>
      </c>
    </row>
    <row r="1240" spans="10:12" x14ac:dyDescent="0.2">
      <c r="J1240">
        <v>11721</v>
      </c>
      <c r="K1240" t="str">
        <v>Germany</v>
      </c>
      <c r="L1240">
        <v>288</v>
      </c>
    </row>
    <row r="1241" spans="10:12" x14ac:dyDescent="0.2">
      <c r="J1241">
        <v>11724</v>
      </c>
      <c r="K1241" t="str">
        <v>Denmark</v>
      </c>
      <c r="L1241">
        <v>504</v>
      </c>
    </row>
    <row r="1242" spans="10:12" x14ac:dyDescent="0.2">
      <c r="J1242">
        <v>11724</v>
      </c>
      <c r="K1242" t="str">
        <v>Denmark</v>
      </c>
      <c r="L1242">
        <v>145.6</v>
      </c>
    </row>
    <row r="1243" spans="10:12" x14ac:dyDescent="0.2">
      <c r="J1243">
        <v>11724</v>
      </c>
      <c r="K1243" t="str">
        <v>Denmark</v>
      </c>
      <c r="L1243">
        <v>600</v>
      </c>
    </row>
    <row r="1244" spans="10:12" x14ac:dyDescent="0.2">
      <c r="J1244">
        <v>11724</v>
      </c>
      <c r="K1244" t="str">
        <v>Denmark</v>
      </c>
      <c r="L1244">
        <v>516</v>
      </c>
    </row>
  </sheetData>
  <dataValidations disablePrompts="1" count="5">
    <dataValidation allowBlank="1" showInputMessage="1" sqref="C11" xr:uid="{78B77424-FA1A-4B12-A92C-10CC6B9A4972}"/>
    <dataValidation type="list" allowBlank="1" sqref="AC6" xr:uid="{D5F9B98E-7E46-424A-A195-C8EE9ACF23FD}">
      <formula1>_xlfn.ANCHORARRAY($AB$6)</formula1>
    </dataValidation>
    <dataValidation type="list" allowBlank="1" showInputMessage="1" showErrorMessage="1" sqref="C5 E5" xr:uid="{88E966B1-596D-40D4-80CF-CB60977CA28E}">
      <formula1>_xlfn.ANCHORARRAY($B$5)</formula1>
    </dataValidation>
    <dataValidation type="list" allowBlank="1" showInputMessage="1" showErrorMessage="1" sqref="C9" xr:uid="{D88EF30E-B16B-45FC-A4A0-957285A5A791}">
      <formula1>INDIRECT("tblCats[Cats]")</formula1>
    </dataValidation>
    <dataValidation type="list" allowBlank="1" showInputMessage="1" showErrorMessage="1" sqref="C7" xr:uid="{D5D3BB29-6BEB-4BC8-B84F-16B1C4E0BCB6}">
      <formula1>myCats</formula1>
    </dataValidation>
  </dataValidations>
  <pageMargins left="0.7" right="0.7" top="0.75" bottom="0.75" header="0.3" footer="0.3"/>
  <pageSetup paperSize="9" orientation="portrait" horizontalDpi="0" verticalDpi="0"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A1:M72"/>
  <sheetViews>
    <sheetView zoomScaleNormal="100" workbookViewId="0"/>
  </sheetViews>
  <sheetFormatPr defaultColWidth="9" defaultRowHeight="15" x14ac:dyDescent="0.3"/>
  <cols>
    <col min="1" max="1" width="9.5" style="27" customWidth="1"/>
    <col min="2" max="2" width="17" style="27" customWidth="1"/>
    <col min="3" max="3" width="13.875" style="27" customWidth="1"/>
    <col min="4" max="4" width="20.875" style="27" customWidth="1"/>
    <col min="5" max="13" width="13.75" style="27" customWidth="1"/>
    <col min="14" max="14" width="11.375" style="27" customWidth="1"/>
    <col min="15" max="21" width="10" style="27" customWidth="1"/>
    <col min="22" max="16384" width="9" style="27"/>
  </cols>
  <sheetData>
    <row r="1" spans="1:6" ht="34.5" customHeight="1" x14ac:dyDescent="0.3"/>
    <row r="2" spans="1:6" ht="15.75" x14ac:dyDescent="0.3">
      <c r="A2" s="28"/>
    </row>
    <row r="3" spans="1:6" x14ac:dyDescent="0.3">
      <c r="B3" s="55" t="s">
        <v>2713</v>
      </c>
      <c r="C3" s="56">
        <v>4.7500000000000001E-2</v>
      </c>
      <c r="D3" s="31" t="s">
        <v>2718</v>
      </c>
    </row>
    <row r="4" spans="1:6" customFormat="1" ht="15.75" x14ac:dyDescent="0.3">
      <c r="B4" s="57" t="s">
        <v>2715</v>
      </c>
      <c r="C4" s="57">
        <v>15</v>
      </c>
      <c r="D4" s="33"/>
      <c r="E4" s="27"/>
    </row>
    <row r="5" spans="1:6" customFormat="1" ht="14.25" x14ac:dyDescent="0.2">
      <c r="B5" s="60" t="s">
        <v>2716</v>
      </c>
      <c r="C5" s="61"/>
    </row>
    <row r="6" spans="1:6" customFormat="1" ht="14.25" x14ac:dyDescent="0.2">
      <c r="B6" s="58" t="s">
        <v>2717</v>
      </c>
      <c r="C6" s="59">
        <v>750</v>
      </c>
      <c r="D6" s="37"/>
    </row>
    <row r="7" spans="1:6" customFormat="1" ht="14.25" x14ac:dyDescent="0.2"/>
    <row r="8" spans="1:6" customFormat="1" ht="14.25" x14ac:dyDescent="0.2"/>
    <row r="9" spans="1:6" customFormat="1" ht="15.75" x14ac:dyDescent="0.3">
      <c r="B9" s="38"/>
      <c r="C9" s="39"/>
      <c r="E9" s="40"/>
      <c r="F9" s="39"/>
    </row>
    <row r="10" spans="1:6" customFormat="1" ht="14.25" x14ac:dyDescent="0.2">
      <c r="B10" s="41">
        <v>500</v>
      </c>
      <c r="C10" s="42"/>
      <c r="E10" s="43">
        <v>10</v>
      </c>
      <c r="F10" s="42"/>
    </row>
    <row r="11" spans="1:6" customFormat="1" ht="14.25" x14ac:dyDescent="0.2">
      <c r="B11" s="41">
        <v>550</v>
      </c>
      <c r="C11" s="42"/>
      <c r="E11" s="43">
        <v>11</v>
      </c>
      <c r="F11" s="42"/>
    </row>
    <row r="12" spans="1:6" customFormat="1" ht="14.25" x14ac:dyDescent="0.2">
      <c r="B12" s="41">
        <v>600</v>
      </c>
      <c r="C12" s="42"/>
      <c r="E12" s="43">
        <v>12</v>
      </c>
      <c r="F12" s="42"/>
    </row>
    <row r="13" spans="1:6" customFormat="1" ht="14.25" x14ac:dyDescent="0.2">
      <c r="B13" s="41">
        <v>650</v>
      </c>
      <c r="C13" s="42"/>
      <c r="E13" s="43">
        <v>13</v>
      </c>
      <c r="F13" s="42"/>
    </row>
    <row r="14" spans="1:6" customFormat="1" ht="14.25" x14ac:dyDescent="0.2">
      <c r="B14" s="41">
        <v>700</v>
      </c>
      <c r="C14" s="42"/>
      <c r="E14" s="43">
        <v>14</v>
      </c>
      <c r="F14" s="42"/>
    </row>
    <row r="15" spans="1:6" customFormat="1" ht="14.25" x14ac:dyDescent="0.2">
      <c r="B15" s="41">
        <v>750</v>
      </c>
      <c r="C15" s="42"/>
      <c r="E15" s="43">
        <v>15</v>
      </c>
      <c r="F15" s="42"/>
    </row>
    <row r="16" spans="1:6" customFormat="1" ht="14.25" x14ac:dyDescent="0.2">
      <c r="B16" s="41">
        <v>800</v>
      </c>
      <c r="C16" s="42"/>
      <c r="E16" s="43">
        <v>16</v>
      </c>
      <c r="F16" s="42"/>
    </row>
    <row r="17" spans="2:13" customFormat="1" ht="14.25" x14ac:dyDescent="0.2">
      <c r="B17" s="41">
        <v>850</v>
      </c>
      <c r="C17" s="42"/>
      <c r="E17" s="43">
        <v>17</v>
      </c>
      <c r="F17" s="42"/>
    </row>
    <row r="18" spans="2:13" customFormat="1" ht="14.25" x14ac:dyDescent="0.2">
      <c r="B18" s="41">
        <v>900</v>
      </c>
      <c r="C18" s="42"/>
      <c r="E18" s="43">
        <v>18</v>
      </c>
      <c r="F18" s="42"/>
    </row>
    <row r="19" spans="2:13" customFormat="1" ht="14.25" x14ac:dyDescent="0.2">
      <c r="B19" s="41">
        <v>950</v>
      </c>
      <c r="C19" s="42"/>
      <c r="E19" s="43">
        <v>19</v>
      </c>
      <c r="F19" s="42"/>
    </row>
    <row r="20" spans="2:13" customFormat="1" ht="14.25" x14ac:dyDescent="0.2">
      <c r="B20" s="44">
        <v>1000</v>
      </c>
      <c r="C20" s="45"/>
      <c r="E20" s="46">
        <v>20</v>
      </c>
      <c r="F20" s="45"/>
    </row>
    <row r="21" spans="2:13" customFormat="1" ht="14.25" x14ac:dyDescent="0.2">
      <c r="B21" s="37"/>
    </row>
    <row r="22" spans="2:13" customFormat="1" ht="14.25" x14ac:dyDescent="0.2">
      <c r="B22" s="37"/>
    </row>
    <row r="23" spans="2:13" customFormat="1" ht="14.25" x14ac:dyDescent="0.2"/>
    <row r="24" spans="2:13" customFormat="1" ht="14.25" x14ac:dyDescent="0.2">
      <c r="B24" s="47"/>
      <c r="C24" s="48">
        <v>10</v>
      </c>
      <c r="D24" s="49">
        <v>11</v>
      </c>
      <c r="E24" s="49">
        <v>12</v>
      </c>
      <c r="F24" s="49">
        <v>13</v>
      </c>
      <c r="G24" s="49">
        <v>14</v>
      </c>
      <c r="H24" s="49">
        <v>15</v>
      </c>
      <c r="I24" s="49">
        <v>16</v>
      </c>
      <c r="J24" s="49">
        <v>17</v>
      </c>
      <c r="K24" s="49">
        <v>18</v>
      </c>
      <c r="L24" s="49">
        <v>19</v>
      </c>
      <c r="M24" s="50">
        <v>20</v>
      </c>
    </row>
    <row r="25" spans="2:13" customFormat="1" ht="14.25" x14ac:dyDescent="0.2">
      <c r="B25" s="51">
        <v>500</v>
      </c>
      <c r="C25" s="37"/>
      <c r="D25" s="37"/>
      <c r="E25" s="37"/>
      <c r="F25" s="37"/>
      <c r="G25" s="37"/>
      <c r="H25" s="37"/>
      <c r="I25" s="37"/>
      <c r="J25" s="37"/>
      <c r="K25" s="37"/>
      <c r="L25" s="37"/>
      <c r="M25" s="52"/>
    </row>
    <row r="26" spans="2:13" customFormat="1" ht="14.25" x14ac:dyDescent="0.2">
      <c r="B26" s="41">
        <v>550</v>
      </c>
      <c r="C26" s="37"/>
      <c r="D26" s="37"/>
      <c r="E26" s="37"/>
      <c r="F26" s="37"/>
      <c r="G26" s="37"/>
      <c r="H26" s="37"/>
      <c r="I26" s="37"/>
      <c r="J26" s="37"/>
      <c r="K26" s="37"/>
      <c r="L26" s="37"/>
      <c r="M26" s="52"/>
    </row>
    <row r="27" spans="2:13" customFormat="1" ht="14.25" x14ac:dyDescent="0.2">
      <c r="B27" s="41">
        <v>600</v>
      </c>
      <c r="C27" s="37"/>
      <c r="D27" s="37"/>
      <c r="E27" s="37"/>
      <c r="F27" s="37"/>
      <c r="G27" s="37"/>
      <c r="H27" s="37"/>
      <c r="I27" s="37"/>
      <c r="J27" s="37"/>
      <c r="K27" s="37"/>
      <c r="L27" s="37"/>
      <c r="M27" s="52"/>
    </row>
    <row r="28" spans="2:13" customFormat="1" ht="14.25" x14ac:dyDescent="0.2">
      <c r="B28" s="41">
        <v>650</v>
      </c>
      <c r="C28" s="37"/>
      <c r="D28" s="37"/>
      <c r="E28" s="37"/>
      <c r="F28" s="37"/>
      <c r="G28" s="37"/>
      <c r="H28" s="37"/>
      <c r="I28" s="37"/>
      <c r="J28" s="37"/>
      <c r="K28" s="37"/>
      <c r="L28" s="37"/>
      <c r="M28" s="52"/>
    </row>
    <row r="29" spans="2:13" customFormat="1" ht="14.25" x14ac:dyDescent="0.2">
      <c r="B29" s="41">
        <v>700</v>
      </c>
      <c r="C29" s="37"/>
      <c r="D29" s="37"/>
      <c r="E29" s="37"/>
      <c r="F29" s="37"/>
      <c r="G29" s="37"/>
      <c r="H29" s="37"/>
      <c r="I29" s="37"/>
      <c r="J29" s="37"/>
      <c r="K29" s="37"/>
      <c r="L29" s="37"/>
      <c r="M29" s="52"/>
    </row>
    <row r="30" spans="2:13" customFormat="1" ht="14.25" x14ac:dyDescent="0.2">
      <c r="B30" s="41">
        <v>750</v>
      </c>
      <c r="C30" s="37"/>
      <c r="D30" s="37"/>
      <c r="E30" s="37"/>
      <c r="F30" s="37"/>
      <c r="G30" s="37"/>
      <c r="H30" s="37"/>
      <c r="I30" s="37"/>
      <c r="J30" s="37"/>
      <c r="K30" s="37"/>
      <c r="L30" s="37"/>
      <c r="M30" s="52"/>
    </row>
    <row r="31" spans="2:13" customFormat="1" ht="14.25" x14ac:dyDescent="0.2">
      <c r="B31" s="41">
        <v>800</v>
      </c>
      <c r="C31" s="37"/>
      <c r="D31" s="37"/>
      <c r="E31" s="37"/>
      <c r="F31" s="37"/>
      <c r="G31" s="37"/>
      <c r="H31" s="37"/>
      <c r="I31" s="37"/>
      <c r="J31" s="37"/>
      <c r="K31" s="37"/>
      <c r="L31" s="37"/>
      <c r="M31" s="52"/>
    </row>
    <row r="32" spans="2:13" customFormat="1" ht="14.25" x14ac:dyDescent="0.2">
      <c r="B32" s="41">
        <v>850</v>
      </c>
      <c r="C32" s="37"/>
      <c r="D32" s="37"/>
      <c r="E32" s="37"/>
      <c r="F32" s="37"/>
      <c r="G32" s="37"/>
      <c r="H32" s="37"/>
      <c r="I32" s="37"/>
      <c r="J32" s="37"/>
      <c r="K32" s="37"/>
      <c r="L32" s="37"/>
      <c r="M32" s="52"/>
    </row>
    <row r="33" spans="2:13" customFormat="1" ht="14.25" x14ac:dyDescent="0.2">
      <c r="B33" s="41">
        <v>900</v>
      </c>
      <c r="C33" s="37"/>
      <c r="D33" s="37"/>
      <c r="E33" s="37"/>
      <c r="F33" s="37"/>
      <c r="G33" s="37"/>
      <c r="H33" s="37"/>
      <c r="I33" s="37"/>
      <c r="J33" s="37"/>
      <c r="K33" s="37"/>
      <c r="L33" s="37"/>
      <c r="M33" s="52"/>
    </row>
    <row r="34" spans="2:13" customFormat="1" ht="14.25" x14ac:dyDescent="0.2">
      <c r="B34" s="41">
        <v>950</v>
      </c>
      <c r="C34" s="37"/>
      <c r="D34" s="37"/>
      <c r="E34" s="37"/>
      <c r="F34" s="37"/>
      <c r="G34" s="37"/>
      <c r="H34" s="37"/>
      <c r="I34" s="37"/>
      <c r="J34" s="37"/>
      <c r="K34" s="37"/>
      <c r="L34" s="37"/>
      <c r="M34" s="52"/>
    </row>
    <row r="35" spans="2:13" customFormat="1" ht="14.25" x14ac:dyDescent="0.2">
      <c r="B35" s="44">
        <v>1000</v>
      </c>
      <c r="C35" s="53"/>
      <c r="D35" s="53"/>
      <c r="E35" s="53"/>
      <c r="F35" s="53"/>
      <c r="G35" s="53"/>
      <c r="H35" s="53"/>
      <c r="I35" s="53"/>
      <c r="J35" s="53"/>
      <c r="K35" s="53"/>
      <c r="L35" s="53"/>
      <c r="M35" s="54"/>
    </row>
    <row r="36" spans="2:13" customFormat="1" ht="14.25" x14ac:dyDescent="0.2"/>
    <row r="37" spans="2:13" customFormat="1" ht="14.25" x14ac:dyDescent="0.2"/>
    <row r="38" spans="2:13" customFormat="1" ht="14.25" x14ac:dyDescent="0.2"/>
    <row r="39" spans="2:13" customFormat="1" ht="14.25" x14ac:dyDescent="0.2"/>
    <row r="40" spans="2:13" customFormat="1" ht="14.25" x14ac:dyDescent="0.2"/>
    <row r="41" spans="2:13" customFormat="1" ht="14.25" x14ac:dyDescent="0.2"/>
    <row r="42" spans="2:13" customFormat="1" ht="14.25" x14ac:dyDescent="0.2"/>
    <row r="43" spans="2:13" customFormat="1" ht="14.25" x14ac:dyDescent="0.2"/>
    <row r="44" spans="2:13" customFormat="1" ht="14.25" x14ac:dyDescent="0.2"/>
    <row r="45" spans="2:13" customFormat="1" ht="14.25" x14ac:dyDescent="0.2"/>
    <row r="46" spans="2:13" customFormat="1" ht="14.25" x14ac:dyDescent="0.2"/>
    <row r="47" spans="2:13" customFormat="1" ht="14.25" x14ac:dyDescent="0.2"/>
    <row r="48" spans="2:13" customFormat="1" ht="14.25" x14ac:dyDescent="0.2"/>
    <row r="49" customFormat="1" ht="14.25" x14ac:dyDescent="0.2"/>
    <row r="50" customFormat="1" ht="14.25" x14ac:dyDescent="0.2"/>
    <row r="51" customFormat="1" ht="14.25" x14ac:dyDescent="0.2"/>
    <row r="52" customFormat="1" ht="14.25" x14ac:dyDescent="0.2"/>
    <row r="53" customFormat="1" ht="14.25" x14ac:dyDescent="0.2"/>
    <row r="54" customFormat="1" ht="14.25" x14ac:dyDescent="0.2"/>
    <row r="55" customFormat="1" ht="14.25" x14ac:dyDescent="0.2"/>
    <row r="56" customFormat="1" ht="14.25" x14ac:dyDescent="0.2"/>
    <row r="57" customFormat="1" ht="14.25" x14ac:dyDescent="0.2"/>
    <row r="58" customFormat="1" ht="14.25" x14ac:dyDescent="0.2"/>
    <row r="59" customFormat="1" ht="14.25" x14ac:dyDescent="0.2"/>
    <row r="60" customFormat="1" ht="14.25" x14ac:dyDescent="0.2"/>
    <row r="61" customFormat="1" ht="14.25" x14ac:dyDescent="0.2"/>
    <row r="62" customFormat="1" ht="14.25" x14ac:dyDescent="0.2"/>
    <row r="63" customFormat="1" ht="14.25" x14ac:dyDescent="0.2"/>
    <row r="64" customFormat="1" ht="14.25" x14ac:dyDescent="0.2"/>
    <row r="65" customFormat="1" ht="14.25" x14ac:dyDescent="0.2"/>
    <row r="66" customFormat="1" ht="14.25" x14ac:dyDescent="0.2"/>
    <row r="67" customFormat="1" ht="14.25" x14ac:dyDescent="0.2"/>
    <row r="68" customFormat="1" ht="14.25" x14ac:dyDescent="0.2"/>
    <row r="69" customFormat="1" ht="14.25" x14ac:dyDescent="0.2"/>
    <row r="70" customFormat="1" ht="14.25" x14ac:dyDescent="0.2"/>
    <row r="71" customFormat="1" ht="14.25" x14ac:dyDescent="0.2"/>
    <row r="72" customFormat="1" ht="14.25" x14ac:dyDescent="0.2"/>
  </sheetData>
  <printOptions verticalCentered="1"/>
  <pageMargins left="0.39370078740157483" right="0.39370078740157483" top="0.39370078740157483" bottom="0.39370078740157483" header="0.39370078740157483" footer="0.39370078740157483"/>
  <pageSetup paperSize="9" scale="79" orientation="landscape" horizontalDpi="300" verticalDpi="300" r:id="rId1"/>
  <headerFooter alignWithMargins="0">
    <oddHeader>&amp;F</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2DF1C-D4B9-4483-905C-C4D44255BCCD}">
  <dimension ref="B3:K26"/>
  <sheetViews>
    <sheetView workbookViewId="0"/>
  </sheetViews>
  <sheetFormatPr defaultRowHeight="14.25" x14ac:dyDescent="0.2"/>
  <cols>
    <col min="1" max="1" width="10.875" customWidth="1"/>
    <col min="3" max="3" width="11.375" bestFit="1" customWidth="1"/>
    <col min="4" max="4" width="13.5" customWidth="1"/>
    <col min="5" max="5" width="13.125" customWidth="1"/>
    <col min="6" max="6" width="10.75" customWidth="1"/>
    <col min="7" max="7" width="4.375" customWidth="1"/>
    <col min="8" max="8" width="26.625" customWidth="1"/>
    <col min="9" max="9" width="10.375" bestFit="1" customWidth="1"/>
    <col min="10" max="10" width="14.875" customWidth="1"/>
    <col min="11" max="11" width="14" customWidth="1"/>
    <col min="13" max="13" width="33.5" customWidth="1"/>
    <col min="17" max="17" width="18.25" customWidth="1"/>
  </cols>
  <sheetData>
    <row r="3" spans="2:11" ht="15" x14ac:dyDescent="0.25">
      <c r="B3" s="350" t="s">
        <v>8583</v>
      </c>
      <c r="C3" s="350" t="s">
        <v>8584</v>
      </c>
      <c r="D3" s="350" t="s">
        <v>8585</v>
      </c>
      <c r="E3" s="350" t="s">
        <v>8586</v>
      </c>
      <c r="F3" s="350" t="s">
        <v>8587</v>
      </c>
      <c r="I3" s="350" t="s">
        <v>8588</v>
      </c>
      <c r="J3" s="350" t="s">
        <v>8585</v>
      </c>
      <c r="K3" s="350" t="s">
        <v>8589</v>
      </c>
    </row>
    <row r="4" spans="2:11" x14ac:dyDescent="0.2">
      <c r="B4">
        <v>45</v>
      </c>
      <c r="C4">
        <f>IF(B4,B4,"empty")</f>
        <v>45</v>
      </c>
      <c r="D4" cm="1">
        <f t="array" ref="D4">_xlfn.LAMBDA(_xlpm.val,_xlpm.valBlank,IF(ISBLANK(_xlpm.val),_xlpm.valBlank,_xlpm.val))(B4,$F$4)</f>
        <v>45</v>
      </c>
      <c r="E4" cm="1">
        <f t="array" ref="E4">IfBlank(B4,$F$4)</f>
        <v>45</v>
      </c>
      <c r="F4" t="s">
        <v>8590</v>
      </c>
      <c r="H4" t="s">
        <v>8591</v>
      </c>
      <c r="I4">
        <f>LEN(TRIM(H4))-LEN(SUBSTITUTE(H4," ",""))+1</f>
        <v>9</v>
      </c>
      <c r="J4" cm="1">
        <f t="array" ref="J4">_xlfn.LAMBDA(_xlpm.text,LEN(TRIM(_xlpm.text))-LEN(SUBSTITUTE(_xlpm.text," ",""))+1)(H4)</f>
        <v>9</v>
      </c>
      <c r="K4" cm="1">
        <f t="array" ref="K4">CountWords(H4)</f>
        <v>9</v>
      </c>
    </row>
    <row r="5" spans="2:11" x14ac:dyDescent="0.2">
      <c r="B5">
        <v>46</v>
      </c>
      <c r="C5">
        <f t="shared" ref="C5:C10" si="0">IF(B5,B5,"empty")</f>
        <v>46</v>
      </c>
      <c r="D5" cm="1">
        <f t="array" ref="D5">_xlfn.LAMBDA(_xlpm.val,_xlpm.valBlank,IF(ISBLANK(_xlpm.val),_xlpm.valBlank,_xlpm.val))(B5,$F$4)</f>
        <v>46</v>
      </c>
      <c r="E5" cm="1">
        <f t="array" ref="E5">IfBlank(B5,$F$4)</f>
        <v>46</v>
      </c>
    </row>
    <row r="6" spans="2:11" x14ac:dyDescent="0.2">
      <c r="B6">
        <v>47</v>
      </c>
      <c r="C6">
        <f t="shared" si="0"/>
        <v>47</v>
      </c>
      <c r="D6" cm="1">
        <f t="array" ref="D6">_xlfn.LAMBDA(_xlpm.val,_xlpm.valBlank,IF(ISBLANK(_xlpm.val),_xlpm.valBlank,_xlpm.val))(B6,$F$4)</f>
        <v>47</v>
      </c>
      <c r="E6" cm="1">
        <f t="array" ref="E6">IfBlank(B6,$F$4)</f>
        <v>47</v>
      </c>
    </row>
    <row r="7" spans="2:11" x14ac:dyDescent="0.2">
      <c r="C7" t="str">
        <f t="shared" si="0"/>
        <v>empty</v>
      </c>
      <c r="D7" t="str" cm="1">
        <f t="array" ref="D7">_xlfn.LAMBDA(_xlpm.val,_xlpm.valBlank,IF(ISBLANK(_xlpm.val),_xlpm.valBlank,_xlpm.val))(B7,$F$4)</f>
        <v>Not found</v>
      </c>
      <c r="E7" t="str" cm="1">
        <f t="array" ref="E7">IfBlank(B7,$F$4)</f>
        <v>Not found</v>
      </c>
    </row>
    <row r="8" spans="2:11" x14ac:dyDescent="0.2">
      <c r="B8">
        <v>49</v>
      </c>
      <c r="C8">
        <f t="shared" si="0"/>
        <v>49</v>
      </c>
      <c r="D8" cm="1">
        <f t="array" ref="D8">_xlfn.LAMBDA(_xlpm.val,_xlpm.valBlank,IF(ISBLANK(_xlpm.val),_xlpm.valBlank,_xlpm.val))(B8,$F$4)</f>
        <v>49</v>
      </c>
      <c r="E8" cm="1">
        <f t="array" ref="E8">IfBlank(B8,$F$4)</f>
        <v>49</v>
      </c>
    </row>
    <row r="9" spans="2:11" x14ac:dyDescent="0.2">
      <c r="B9">
        <v>50</v>
      </c>
      <c r="C9">
        <f t="shared" si="0"/>
        <v>50</v>
      </c>
      <c r="D9" cm="1">
        <f t="array" ref="D9">_xlfn.LAMBDA(_xlpm.val,_xlpm.valBlank,IF(ISBLANK(_xlpm.val),_xlpm.valBlank,_xlpm.val))(B9,$F$4)</f>
        <v>50</v>
      </c>
      <c r="E9" cm="1">
        <f t="array" ref="E9">IfBlank(B9,$F$4)</f>
        <v>50</v>
      </c>
    </row>
    <row r="10" spans="2:11" x14ac:dyDescent="0.2">
      <c r="B10">
        <v>51</v>
      </c>
      <c r="C10">
        <f t="shared" si="0"/>
        <v>51</v>
      </c>
      <c r="D10" cm="1">
        <f t="array" ref="D10">_xlfn.LAMBDA(_xlpm.val,_xlpm.valBlank,IF(ISBLANK(_xlpm.val),_xlpm.valBlank,_xlpm.val))(B10,$F$4)</f>
        <v>51</v>
      </c>
      <c r="E10" cm="1">
        <f t="array" ref="E10">IfBlank(B10,$F$4)</f>
        <v>51</v>
      </c>
    </row>
    <row r="11" spans="2:11" x14ac:dyDescent="0.2">
      <c r="C11" t="str">
        <f>IF(B11,B11,"empty")</f>
        <v>empty</v>
      </c>
      <c r="D11" t="str" cm="1">
        <f t="array" ref="D11">_xlfn.LAMBDA(_xlpm.val,_xlpm.valBlank,IF(ISBLANK(_xlpm.val),_xlpm.valBlank,_xlpm.val))(B11,$F$4)</f>
        <v>Not found</v>
      </c>
      <c r="E11" t="str" cm="1">
        <f t="array" ref="E11">IfBlank(B11,$F$4)</f>
        <v>Not found</v>
      </c>
    </row>
    <row r="12" spans="2:11" x14ac:dyDescent="0.2">
      <c r="B12" s="351" t="s">
        <v>8592</v>
      </c>
      <c r="C12" t="e">
        <f t="shared" ref="C12:C13" si="1">IF(B12,B12,"empty")</f>
        <v>#VALUE!</v>
      </c>
      <c r="D12" t="str" cm="1">
        <f t="array" ref="D12">_xlfn.LAMBDA(_xlpm.val,_xlpm.valBlank,IF(ISBLANK(_xlpm.val),_xlpm.valBlank,_xlpm.val))(B12,$F$4)</f>
        <v>5457</v>
      </c>
      <c r="E12" t="str" cm="1">
        <f t="array" ref="E12">IfBlank(B12,$F$4)</f>
        <v>5457</v>
      </c>
    </row>
    <row r="13" spans="2:11" x14ac:dyDescent="0.2">
      <c r="C13" t="str">
        <f t="shared" si="1"/>
        <v>empty</v>
      </c>
      <c r="D13" t="str" cm="1">
        <f t="array" ref="D13">_xlfn.LAMBDA(_xlpm.val,_xlpm.valBlank,IF(ISBLANK(_xlpm.val),_xlpm.valBlank,_xlpm.val))(B13,$F$4)</f>
        <v>Not found</v>
      </c>
      <c r="E13" t="str" cm="1">
        <f t="array" ref="E13">IfBlank(B13,$F$4)</f>
        <v>Not found</v>
      </c>
    </row>
    <row r="16" spans="2:11" ht="15" x14ac:dyDescent="0.25">
      <c r="B16" s="352" t="s">
        <v>6787</v>
      </c>
      <c r="C16" s="353" t="s">
        <v>8593</v>
      </c>
      <c r="D16" s="352"/>
      <c r="E16" s="352"/>
      <c r="H16" s="350" t="s">
        <v>8200</v>
      </c>
      <c r="I16" s="350" t="s">
        <v>8594</v>
      </c>
      <c r="J16" s="350" t="s">
        <v>8595</v>
      </c>
    </row>
    <row r="17" spans="2:10" ht="15" x14ac:dyDescent="0.25">
      <c r="B17" s="350" t="s">
        <v>8596</v>
      </c>
      <c r="C17" s="350" t="s">
        <v>8585</v>
      </c>
      <c r="D17" s="350" t="s">
        <v>8597</v>
      </c>
      <c r="H17" t="s">
        <v>8598</v>
      </c>
      <c r="I17">
        <v>5</v>
      </c>
      <c r="J17" s="354">
        <v>3684.61</v>
      </c>
    </row>
    <row r="18" spans="2:10" x14ac:dyDescent="0.2">
      <c r="B18" s="355">
        <v>2</v>
      </c>
      <c r="C18" s="356" cm="1">
        <f t="array" ref="C18">_xlfn.LAMBDA(_xlpm.r,4/3*PI()*_xlpm.r^3)(B18)</f>
        <v>33.510321638291124</v>
      </c>
      <c r="D18" s="356" cm="1">
        <f t="array" ref="D18">VolumeSphere(B18)</f>
        <v>33.510321638291124</v>
      </c>
      <c r="H18" t="s">
        <v>86</v>
      </c>
      <c r="I18">
        <v>17</v>
      </c>
      <c r="J18" s="354">
        <v>2750.69</v>
      </c>
    </row>
    <row r="19" spans="2:10" x14ac:dyDescent="0.2">
      <c r="B19" s="355">
        <v>3</v>
      </c>
      <c r="C19" s="356" cm="1">
        <f t="array" ref="C19">_xlfn.LAMBDA(_xlpm.r,4/3*PI()*_xlpm.r^3)(B19)</f>
        <v>113.09733552923254</v>
      </c>
      <c r="D19" s="356" cm="1">
        <f t="array" ref="D19">VolumeSphere(B19)</f>
        <v>113.09733552923254</v>
      </c>
      <c r="H19" t="s">
        <v>2435</v>
      </c>
      <c r="I19">
        <v>10</v>
      </c>
      <c r="J19" s="354">
        <v>4884.6153846153848</v>
      </c>
    </row>
    <row r="20" spans="2:10" x14ac:dyDescent="0.2">
      <c r="B20" s="355">
        <v>4</v>
      </c>
      <c r="C20" s="356" cm="1">
        <f t="array" ref="C20">_xlfn.LAMBDA(_xlpm.r,4/3*PI()*_xlpm.r^3)(B20)</f>
        <v>268.08257310632899</v>
      </c>
      <c r="D20" s="356" cm="1">
        <f t="array" ref="D20">VolumeSphere(B20)</f>
        <v>268.08257310632899</v>
      </c>
      <c r="H20" t="s">
        <v>8599</v>
      </c>
      <c r="I20">
        <v>3</v>
      </c>
      <c r="J20" s="354">
        <v>5461.5384615384601</v>
      </c>
    </row>
    <row r="21" spans="2:10" x14ac:dyDescent="0.2">
      <c r="B21" s="355">
        <v>5</v>
      </c>
      <c r="C21" s="356" cm="1">
        <f t="array" ref="C21">_xlfn.LAMBDA(_xlpm.r,4/3*PI()*_xlpm.r^3)(B21)</f>
        <v>523.59877559829886</v>
      </c>
      <c r="D21" s="356" cm="1">
        <f t="array" ref="D21">VolumeSphere(B21)</f>
        <v>523.59877559829886</v>
      </c>
    </row>
    <row r="22" spans="2:10" ht="15" x14ac:dyDescent="0.25">
      <c r="B22" s="355">
        <v>6</v>
      </c>
      <c r="C22" s="356" cm="1">
        <f t="array" ref="C22">_xlfn.LAMBDA(_xlpm.r,4/3*PI()*_xlpm.r^3)(B22)</f>
        <v>904.7786842338603</v>
      </c>
      <c r="D22" s="356" cm="1">
        <f t="array" ref="D22">VolumeSphere(B22)</f>
        <v>904.7786842338603</v>
      </c>
      <c r="H22" s="357" t="s">
        <v>8600</v>
      </c>
      <c r="J22" s="354">
        <f>AVERAGE(J17:J20)</f>
        <v>4195.3634615384617</v>
      </c>
    </row>
    <row r="23" spans="2:10" ht="15" x14ac:dyDescent="0.25">
      <c r="B23" s="355">
        <v>7</v>
      </c>
      <c r="C23" s="356" cm="1">
        <f t="array" ref="C23">_xlfn.LAMBDA(_xlpm.r,4/3*PI()*_xlpm.r^3)(B23)</f>
        <v>1436.7550402417319</v>
      </c>
      <c r="D23" s="356" cm="1">
        <f t="array" ref="D23">VolumeSphere(B23)</f>
        <v>1436.7550402417319</v>
      </c>
      <c r="H23" s="357" t="s">
        <v>8601</v>
      </c>
      <c r="J23" s="354">
        <f>SUMPRODUCT(I17:I20,J17:J20)/SUM(I17:I20)</f>
        <v>3726.1585494505489</v>
      </c>
    </row>
    <row r="24" spans="2:10" ht="15" x14ac:dyDescent="0.25">
      <c r="B24" s="355">
        <v>8</v>
      </c>
      <c r="C24" s="356" cm="1">
        <f t="array" ref="C24">_xlfn.LAMBDA(_xlpm.r,4/3*PI()*_xlpm.r^3)(B24)</f>
        <v>2144.6605848506319</v>
      </c>
      <c r="D24" s="356" cm="1">
        <f t="array" ref="D24">VolumeSphere(B24)</f>
        <v>2144.6605848506319</v>
      </c>
      <c r="H24" s="357" t="s">
        <v>8602</v>
      </c>
      <c r="J24" s="354" cm="1">
        <f t="array" ref="J24">_xlfn.LAMBDA(_xlpm.values,_xlpm.weights, SUMPRODUCT(_xlpm.values, _xlpm.weights)/SUM(_xlpm.weights))(J17:J20,I17:I20)</f>
        <v>3726.1585494505489</v>
      </c>
    </row>
    <row r="25" spans="2:10" ht="15" x14ac:dyDescent="0.25">
      <c r="B25" s="355">
        <v>9</v>
      </c>
      <c r="C25" s="356" cm="1">
        <f t="array" ref="C25">_xlfn.LAMBDA(_xlpm.r,4/3*PI()*_xlpm.r^3)(B25)</f>
        <v>3053.6280592892786</v>
      </c>
      <c r="D25" s="356" cm="1">
        <f t="array" ref="D25">VolumeSphere(B25)</f>
        <v>3053.6280592892786</v>
      </c>
      <c r="H25" s="357" t="s">
        <v>8603</v>
      </c>
      <c r="J25" s="354" cm="1">
        <f t="array" ref="J25">wAverage(J17:J20,I17:I20)</f>
        <v>3726.1585494505489</v>
      </c>
    </row>
    <row r="26" spans="2:10" x14ac:dyDescent="0.2">
      <c r="B26" s="355">
        <v>10</v>
      </c>
      <c r="C26" s="356" cm="1">
        <f t="array" ref="C26">_xlfn.LAMBDA(_xlpm.r,4/3*PI()*_xlpm.r^3)(B26)</f>
        <v>4188.7902047863909</v>
      </c>
      <c r="D26" s="356" cm="1">
        <f t="array" ref="D26">VolumeSphere(B26)</f>
        <v>4188.7902047863909</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13F0-8D63-47A3-A9BF-C0D941BF615D}">
  <dimension ref="B1:S2315"/>
  <sheetViews>
    <sheetView workbookViewId="0"/>
  </sheetViews>
  <sheetFormatPr defaultColWidth="8" defaultRowHeight="14.25" x14ac:dyDescent="0.2"/>
  <cols>
    <col min="1" max="1" width="12" customWidth="1"/>
    <col min="2" max="2" width="12.375" customWidth="1"/>
    <col min="3" max="3" width="24.875" customWidth="1"/>
    <col min="4" max="4" width="18.125" customWidth="1"/>
    <col min="5" max="5" width="11.125" bestFit="1" customWidth="1"/>
    <col min="7" max="7" width="17.875" customWidth="1"/>
    <col min="9" max="9" width="12.625" customWidth="1"/>
    <col min="10" max="10" width="15.75" customWidth="1"/>
    <col min="11" max="11" width="11.625" customWidth="1"/>
    <col min="12" max="12" width="9.25" customWidth="1"/>
    <col min="15" max="15" width="28.875" bestFit="1" customWidth="1"/>
    <col min="16" max="16" width="14.5" bestFit="1" customWidth="1"/>
    <col min="17" max="17" width="11.75" customWidth="1"/>
    <col min="18" max="18" width="11.25" customWidth="1"/>
    <col min="19" max="19" width="23.125" customWidth="1"/>
  </cols>
  <sheetData>
    <row r="1" spans="2:19" x14ac:dyDescent="0.2">
      <c r="E1" s="225"/>
    </row>
    <row r="2" spans="2:19" x14ac:dyDescent="0.2">
      <c r="E2" s="225"/>
      <c r="P2" s="382" t="s">
        <v>8783</v>
      </c>
      <c r="Q2" s="382" t="s">
        <v>8784</v>
      </c>
      <c r="R2" s="382" t="s">
        <v>8785</v>
      </c>
      <c r="S2" s="382" t="s">
        <v>8934</v>
      </c>
    </row>
    <row r="4" spans="2:19" x14ac:dyDescent="0.2">
      <c r="B4" s="381" t="s">
        <v>8217</v>
      </c>
      <c r="C4" s="381" t="s">
        <v>8218</v>
      </c>
      <c r="D4" s="381" t="s">
        <v>8219</v>
      </c>
      <c r="E4" s="381" t="s">
        <v>2437</v>
      </c>
      <c r="F4" s="381" t="s">
        <v>8223</v>
      </c>
      <c r="G4" s="381" t="s">
        <v>8224</v>
      </c>
      <c r="H4" s="381" t="s">
        <v>2436</v>
      </c>
      <c r="I4" s="381" t="s">
        <v>8225</v>
      </c>
      <c r="J4" s="381" t="s">
        <v>8226</v>
      </c>
      <c r="K4" s="381" t="s">
        <v>8228</v>
      </c>
      <c r="L4" s="381" t="s">
        <v>8229</v>
      </c>
      <c r="O4" s="381" t="s">
        <v>8782</v>
      </c>
      <c r="P4" s="381">
        <v>2020</v>
      </c>
      <c r="Q4" s="381">
        <v>2020</v>
      </c>
      <c r="R4" s="381">
        <v>2020</v>
      </c>
      <c r="S4" s="430">
        <v>43895</v>
      </c>
    </row>
    <row r="5" spans="2:19" x14ac:dyDescent="0.2">
      <c r="B5">
        <v>10248</v>
      </c>
      <c r="C5" t="s">
        <v>8242</v>
      </c>
      <c r="D5" t="s">
        <v>8237</v>
      </c>
      <c r="E5" s="225">
        <v>168</v>
      </c>
      <c r="F5" t="s">
        <v>8238</v>
      </c>
      <c r="G5" t="s">
        <v>8239</v>
      </c>
      <c r="H5" t="s">
        <v>8236</v>
      </c>
      <c r="I5" s="99">
        <v>43486</v>
      </c>
      <c r="J5" s="99">
        <v>43498</v>
      </c>
      <c r="K5" t="s">
        <v>8241</v>
      </c>
      <c r="L5" t="s">
        <v>6934</v>
      </c>
    </row>
    <row r="6" spans="2:19" x14ac:dyDescent="0.2">
      <c r="B6">
        <v>10248</v>
      </c>
      <c r="C6" t="s">
        <v>8235</v>
      </c>
      <c r="D6" t="s">
        <v>8237</v>
      </c>
      <c r="E6" s="225">
        <v>174</v>
      </c>
      <c r="F6" t="s">
        <v>8238</v>
      </c>
      <c r="G6" t="s">
        <v>8239</v>
      </c>
      <c r="H6" t="s">
        <v>8236</v>
      </c>
      <c r="I6" s="99">
        <v>43486</v>
      </c>
      <c r="J6" s="99">
        <v>43498</v>
      </c>
      <c r="K6" t="s">
        <v>8241</v>
      </c>
      <c r="L6" t="s">
        <v>6934</v>
      </c>
    </row>
    <row r="7" spans="2:19" x14ac:dyDescent="0.2">
      <c r="B7">
        <v>10248</v>
      </c>
      <c r="C7" t="s">
        <v>8243</v>
      </c>
      <c r="D7" t="s">
        <v>8244</v>
      </c>
      <c r="E7" s="225">
        <v>98</v>
      </c>
      <c r="F7" t="s">
        <v>8238</v>
      </c>
      <c r="G7" t="s">
        <v>8239</v>
      </c>
      <c r="H7" t="s">
        <v>8236</v>
      </c>
      <c r="I7" s="99">
        <v>43486</v>
      </c>
      <c r="J7" s="99">
        <v>43498</v>
      </c>
      <c r="K7" t="s">
        <v>8241</v>
      </c>
      <c r="L7" t="s">
        <v>6934</v>
      </c>
    </row>
    <row r="8" spans="2:19" x14ac:dyDescent="0.2">
      <c r="B8">
        <v>10249</v>
      </c>
      <c r="C8" t="s">
        <v>8252</v>
      </c>
      <c r="D8" t="s">
        <v>8247</v>
      </c>
      <c r="E8" s="225">
        <v>167.4</v>
      </c>
      <c r="F8" t="s">
        <v>8248</v>
      </c>
      <c r="G8" t="s">
        <v>8249</v>
      </c>
      <c r="H8" t="s">
        <v>8246</v>
      </c>
      <c r="I8" s="99">
        <v>43487</v>
      </c>
      <c r="J8" s="99">
        <v>43492</v>
      </c>
      <c r="K8" t="s">
        <v>8251</v>
      </c>
      <c r="L8" t="s">
        <v>269</v>
      </c>
    </row>
    <row r="9" spans="2:19" x14ac:dyDescent="0.2">
      <c r="B9">
        <v>10249</v>
      </c>
      <c r="C9" t="s">
        <v>8245</v>
      </c>
      <c r="D9" t="s">
        <v>8247</v>
      </c>
      <c r="E9" s="225">
        <v>1696</v>
      </c>
      <c r="F9" t="s">
        <v>8248</v>
      </c>
      <c r="G9" t="s">
        <v>8249</v>
      </c>
      <c r="H9" t="s">
        <v>8246</v>
      </c>
      <c r="I9" s="99">
        <v>43487</v>
      </c>
      <c r="J9" s="99">
        <v>43492</v>
      </c>
      <c r="K9" t="s">
        <v>8251</v>
      </c>
      <c r="L9" t="s">
        <v>269</v>
      </c>
    </row>
    <row r="10" spans="2:19" x14ac:dyDescent="0.2">
      <c r="B10">
        <v>10250</v>
      </c>
      <c r="C10" t="s">
        <v>8253</v>
      </c>
      <c r="D10" t="s">
        <v>8254</v>
      </c>
      <c r="E10" s="225">
        <v>214.2</v>
      </c>
      <c r="F10" t="s">
        <v>8728</v>
      </c>
      <c r="G10" t="s">
        <v>8727</v>
      </c>
      <c r="H10" t="s">
        <v>8710</v>
      </c>
      <c r="I10" s="99">
        <v>43490</v>
      </c>
      <c r="J10" s="99">
        <v>43494</v>
      </c>
      <c r="K10" t="s">
        <v>8266</v>
      </c>
      <c r="L10" t="s">
        <v>8267</v>
      </c>
    </row>
    <row r="11" spans="2:19" x14ac:dyDescent="0.2">
      <c r="B11">
        <v>10250</v>
      </c>
      <c r="C11" t="s">
        <v>8245</v>
      </c>
      <c r="D11" t="s">
        <v>8247</v>
      </c>
      <c r="E11" s="225">
        <v>1261.4000000000001</v>
      </c>
      <c r="F11" t="s">
        <v>8728</v>
      </c>
      <c r="G11" t="s">
        <v>8727</v>
      </c>
      <c r="H11" t="s">
        <v>8710</v>
      </c>
      <c r="I11" s="99">
        <v>43490</v>
      </c>
      <c r="J11" s="99">
        <v>43494</v>
      </c>
      <c r="K11" t="s">
        <v>8266</v>
      </c>
      <c r="L11" t="s">
        <v>8267</v>
      </c>
    </row>
    <row r="12" spans="2:19" x14ac:dyDescent="0.2">
      <c r="B12">
        <v>10251</v>
      </c>
      <c r="C12" t="s">
        <v>8253</v>
      </c>
      <c r="D12" t="s">
        <v>8254</v>
      </c>
      <c r="E12" s="225">
        <v>336</v>
      </c>
      <c r="F12" t="s">
        <v>8255</v>
      </c>
      <c r="G12" t="s">
        <v>8256</v>
      </c>
      <c r="H12" t="s">
        <v>8236</v>
      </c>
      <c r="I12" s="99">
        <v>43490</v>
      </c>
      <c r="J12" s="99">
        <v>43497</v>
      </c>
      <c r="K12" t="s">
        <v>8257</v>
      </c>
      <c r="L12" t="s">
        <v>6984</v>
      </c>
    </row>
    <row r="13" spans="2:19" x14ac:dyDescent="0.2">
      <c r="B13">
        <v>10251</v>
      </c>
      <c r="C13" t="s">
        <v>8259</v>
      </c>
      <c r="D13" t="s">
        <v>8244</v>
      </c>
      <c r="E13" s="225">
        <v>95.76</v>
      </c>
      <c r="F13" t="s">
        <v>8255</v>
      </c>
      <c r="G13" t="s">
        <v>8256</v>
      </c>
      <c r="H13" t="s">
        <v>8236</v>
      </c>
      <c r="I13" s="99">
        <v>43490</v>
      </c>
      <c r="J13" s="99">
        <v>43497</v>
      </c>
      <c r="K13" t="s">
        <v>8257</v>
      </c>
      <c r="L13" t="s">
        <v>6984</v>
      </c>
    </row>
    <row r="14" spans="2:19" x14ac:dyDescent="0.2">
      <c r="B14">
        <v>10251</v>
      </c>
      <c r="C14" t="s">
        <v>8258</v>
      </c>
      <c r="D14" t="s">
        <v>8244</v>
      </c>
      <c r="E14" s="225">
        <v>222.3</v>
      </c>
      <c r="F14" t="s">
        <v>8255</v>
      </c>
      <c r="G14" t="s">
        <v>8256</v>
      </c>
      <c r="H14" t="s">
        <v>8236</v>
      </c>
      <c r="I14" s="99">
        <v>43490</v>
      </c>
      <c r="J14" s="99">
        <v>43497</v>
      </c>
      <c r="K14" t="s">
        <v>8257</v>
      </c>
      <c r="L14" t="s">
        <v>6984</v>
      </c>
    </row>
    <row r="15" spans="2:19" x14ac:dyDescent="0.2">
      <c r="B15">
        <v>10252</v>
      </c>
      <c r="C15" t="s">
        <v>8260</v>
      </c>
      <c r="D15" t="s">
        <v>8262</v>
      </c>
      <c r="E15" s="225">
        <v>2462.4</v>
      </c>
      <c r="F15" t="s">
        <v>8263</v>
      </c>
      <c r="G15" t="s">
        <v>8264</v>
      </c>
      <c r="H15" t="s">
        <v>8261</v>
      </c>
      <c r="I15" s="99">
        <v>43491</v>
      </c>
      <c r="J15" s="99">
        <v>43493</v>
      </c>
      <c r="K15" t="s">
        <v>8266</v>
      </c>
      <c r="L15" t="s">
        <v>8267</v>
      </c>
    </row>
    <row r="16" spans="2:19" x14ac:dyDescent="0.2">
      <c r="B16">
        <v>10252</v>
      </c>
      <c r="C16" t="s">
        <v>8269</v>
      </c>
      <c r="D16" t="s">
        <v>8237</v>
      </c>
      <c r="E16" s="225">
        <v>47.5</v>
      </c>
      <c r="F16" t="s">
        <v>8263</v>
      </c>
      <c r="G16" t="s">
        <v>8264</v>
      </c>
      <c r="H16" t="s">
        <v>8261</v>
      </c>
      <c r="I16" s="99">
        <v>43491</v>
      </c>
      <c r="J16" s="99">
        <v>43493</v>
      </c>
      <c r="K16" t="s">
        <v>8266</v>
      </c>
      <c r="L16" t="s">
        <v>8267</v>
      </c>
    </row>
    <row r="17" spans="2:12" x14ac:dyDescent="0.2">
      <c r="B17">
        <v>10252</v>
      </c>
      <c r="C17" t="s">
        <v>8268</v>
      </c>
      <c r="D17" t="s">
        <v>8237</v>
      </c>
      <c r="E17" s="225">
        <v>1088</v>
      </c>
      <c r="F17" t="s">
        <v>8263</v>
      </c>
      <c r="G17" t="s">
        <v>8264</v>
      </c>
      <c r="H17" t="s">
        <v>8261</v>
      </c>
      <c r="I17" s="99">
        <v>43491</v>
      </c>
      <c r="J17" s="99">
        <v>43493</v>
      </c>
      <c r="K17" t="s">
        <v>8266</v>
      </c>
      <c r="L17" t="s">
        <v>8267</v>
      </c>
    </row>
    <row r="18" spans="2:12" x14ac:dyDescent="0.2">
      <c r="B18">
        <v>10253</v>
      </c>
      <c r="C18" t="s">
        <v>8342</v>
      </c>
      <c r="D18" t="s">
        <v>8272</v>
      </c>
      <c r="E18" s="225">
        <v>604.79999999999995</v>
      </c>
      <c r="F18" t="s">
        <v>8728</v>
      </c>
      <c r="G18" t="s">
        <v>8727</v>
      </c>
      <c r="H18" t="s">
        <v>8710</v>
      </c>
      <c r="I18" s="99">
        <v>43492</v>
      </c>
      <c r="J18" s="99">
        <v>43498</v>
      </c>
      <c r="K18" t="s">
        <v>8257</v>
      </c>
      <c r="L18" t="s">
        <v>6984</v>
      </c>
    </row>
    <row r="19" spans="2:12" x14ac:dyDescent="0.2">
      <c r="B19">
        <v>10253</v>
      </c>
      <c r="C19" t="s">
        <v>8390</v>
      </c>
      <c r="D19" t="s">
        <v>8262</v>
      </c>
      <c r="E19" s="225">
        <v>640</v>
      </c>
      <c r="F19" t="s">
        <v>8728</v>
      </c>
      <c r="G19" t="s">
        <v>8727</v>
      </c>
      <c r="H19" t="s">
        <v>8710</v>
      </c>
      <c r="I19" s="99">
        <v>43492</v>
      </c>
      <c r="J19" s="99">
        <v>43498</v>
      </c>
      <c r="K19" t="s">
        <v>8257</v>
      </c>
      <c r="L19" t="s">
        <v>6984</v>
      </c>
    </row>
    <row r="20" spans="2:12" x14ac:dyDescent="0.2">
      <c r="B20">
        <v>10253</v>
      </c>
      <c r="C20" t="s">
        <v>8309</v>
      </c>
      <c r="D20" t="s">
        <v>8237</v>
      </c>
      <c r="E20" s="225">
        <v>200</v>
      </c>
      <c r="F20" t="s">
        <v>8728</v>
      </c>
      <c r="G20" t="s">
        <v>8727</v>
      </c>
      <c r="H20" t="s">
        <v>8710</v>
      </c>
      <c r="I20" s="99">
        <v>43492</v>
      </c>
      <c r="J20" s="99">
        <v>43498</v>
      </c>
      <c r="K20" t="s">
        <v>8257</v>
      </c>
      <c r="L20" t="s">
        <v>6984</v>
      </c>
    </row>
    <row r="21" spans="2:12" x14ac:dyDescent="0.2">
      <c r="B21">
        <v>10254</v>
      </c>
      <c r="C21" t="s">
        <v>8270</v>
      </c>
      <c r="D21" t="s">
        <v>8272</v>
      </c>
      <c r="E21" s="225">
        <v>45.9</v>
      </c>
      <c r="F21" t="s">
        <v>8273</v>
      </c>
      <c r="G21" t="s">
        <v>8274</v>
      </c>
      <c r="H21" t="s">
        <v>8271</v>
      </c>
      <c r="I21" s="99">
        <v>43493</v>
      </c>
      <c r="J21" s="99">
        <v>43505</v>
      </c>
      <c r="K21" t="s">
        <v>8241</v>
      </c>
      <c r="L21" t="s">
        <v>6934</v>
      </c>
    </row>
    <row r="22" spans="2:12" x14ac:dyDescent="0.2">
      <c r="B22">
        <v>10254</v>
      </c>
      <c r="C22" t="s">
        <v>8275</v>
      </c>
      <c r="D22" t="s">
        <v>8247</v>
      </c>
      <c r="E22" s="225">
        <v>168</v>
      </c>
      <c r="F22" t="s">
        <v>8273</v>
      </c>
      <c r="G22" t="s">
        <v>8274</v>
      </c>
      <c r="H22" t="s">
        <v>8271</v>
      </c>
      <c r="I22" s="99">
        <v>43493</v>
      </c>
      <c r="J22" s="99">
        <v>43505</v>
      </c>
      <c r="K22" t="s">
        <v>8241</v>
      </c>
      <c r="L22" t="s">
        <v>6934</v>
      </c>
    </row>
    <row r="23" spans="2:12" x14ac:dyDescent="0.2">
      <c r="B23">
        <v>10255</v>
      </c>
      <c r="C23" t="s">
        <v>8276</v>
      </c>
      <c r="D23" t="s">
        <v>8272</v>
      </c>
      <c r="E23" s="225">
        <v>304</v>
      </c>
      <c r="F23" t="s">
        <v>8277</v>
      </c>
      <c r="G23" t="s">
        <v>8278</v>
      </c>
      <c r="H23" t="s">
        <v>8271</v>
      </c>
      <c r="I23" s="99">
        <v>43494</v>
      </c>
      <c r="J23" s="99">
        <v>43497</v>
      </c>
      <c r="K23" t="s">
        <v>8279</v>
      </c>
      <c r="L23" t="s">
        <v>710</v>
      </c>
    </row>
    <row r="24" spans="2:12" x14ac:dyDescent="0.2">
      <c r="B24">
        <v>10255</v>
      </c>
      <c r="C24" t="s">
        <v>8280</v>
      </c>
      <c r="D24" t="s">
        <v>8262</v>
      </c>
      <c r="E24" s="225">
        <v>486.5</v>
      </c>
      <c r="F24" t="s">
        <v>8277</v>
      </c>
      <c r="G24" t="s">
        <v>8278</v>
      </c>
      <c r="H24" t="s">
        <v>8271</v>
      </c>
      <c r="I24" s="99">
        <v>43494</v>
      </c>
      <c r="J24" s="99">
        <v>43497</v>
      </c>
      <c r="K24" t="s">
        <v>8279</v>
      </c>
      <c r="L24" t="s">
        <v>710</v>
      </c>
    </row>
    <row r="25" spans="2:12" x14ac:dyDescent="0.2">
      <c r="B25">
        <v>10255</v>
      </c>
      <c r="C25" t="s">
        <v>8281</v>
      </c>
      <c r="D25" t="s">
        <v>8237</v>
      </c>
      <c r="E25" s="225">
        <v>1320</v>
      </c>
      <c r="F25" t="s">
        <v>8277</v>
      </c>
      <c r="G25" t="s">
        <v>8278</v>
      </c>
      <c r="H25" t="s">
        <v>8271</v>
      </c>
      <c r="I25" s="99">
        <v>43494</v>
      </c>
      <c r="J25" s="99">
        <v>43497</v>
      </c>
      <c r="K25" t="s">
        <v>8279</v>
      </c>
      <c r="L25" t="s">
        <v>710</v>
      </c>
    </row>
    <row r="26" spans="2:12" x14ac:dyDescent="0.2">
      <c r="B26">
        <v>10256</v>
      </c>
      <c r="C26" t="s">
        <v>8397</v>
      </c>
      <c r="D26" t="s">
        <v>8254</v>
      </c>
      <c r="E26" s="225">
        <v>124.8</v>
      </c>
      <c r="F26" t="s">
        <v>8730</v>
      </c>
      <c r="G26" t="s">
        <v>8729</v>
      </c>
      <c r="H26" t="s">
        <v>8710</v>
      </c>
      <c r="I26" s="99">
        <v>43497</v>
      </c>
      <c r="J26" s="99">
        <v>43499</v>
      </c>
      <c r="K26" t="s">
        <v>8257</v>
      </c>
      <c r="L26" t="s">
        <v>6984</v>
      </c>
    </row>
    <row r="27" spans="2:12" x14ac:dyDescent="0.2">
      <c r="B27">
        <v>10257</v>
      </c>
      <c r="C27" t="s">
        <v>8342</v>
      </c>
      <c r="D27" t="s">
        <v>8272</v>
      </c>
      <c r="E27" s="225">
        <v>86.4</v>
      </c>
      <c r="F27" t="s">
        <v>8732</v>
      </c>
      <c r="G27" t="s">
        <v>8731</v>
      </c>
      <c r="H27" t="s">
        <v>8707</v>
      </c>
      <c r="I27" s="99">
        <v>43498</v>
      </c>
      <c r="J27" s="99">
        <v>43504</v>
      </c>
      <c r="K27" t="s">
        <v>8266</v>
      </c>
      <c r="L27" t="s">
        <v>8267</v>
      </c>
    </row>
    <row r="28" spans="2:12" x14ac:dyDescent="0.2">
      <c r="B28">
        <v>10257</v>
      </c>
      <c r="C28" t="s">
        <v>8397</v>
      </c>
      <c r="D28" t="s">
        <v>8254</v>
      </c>
      <c r="E28" s="225">
        <v>156</v>
      </c>
      <c r="F28" t="s">
        <v>8732</v>
      </c>
      <c r="G28" t="s">
        <v>8731</v>
      </c>
      <c r="H28" t="s">
        <v>8707</v>
      </c>
      <c r="I28" s="99">
        <v>43498</v>
      </c>
      <c r="J28" s="99">
        <v>43504</v>
      </c>
      <c r="K28" t="s">
        <v>8266</v>
      </c>
      <c r="L28" t="s">
        <v>8267</v>
      </c>
    </row>
    <row r="29" spans="2:12" x14ac:dyDescent="0.2">
      <c r="B29">
        <v>10257</v>
      </c>
      <c r="C29" t="s">
        <v>8332</v>
      </c>
      <c r="D29" t="s">
        <v>8262</v>
      </c>
      <c r="E29" s="225">
        <v>877.5</v>
      </c>
      <c r="F29" t="s">
        <v>8732</v>
      </c>
      <c r="G29" t="s">
        <v>8731</v>
      </c>
      <c r="H29" t="s">
        <v>8707</v>
      </c>
      <c r="I29" s="99">
        <v>43498</v>
      </c>
      <c r="J29" s="99">
        <v>43504</v>
      </c>
      <c r="K29" t="s">
        <v>8266</v>
      </c>
      <c r="L29" t="s">
        <v>8267</v>
      </c>
    </row>
    <row r="30" spans="2:12" x14ac:dyDescent="0.2">
      <c r="B30">
        <v>10258</v>
      </c>
      <c r="C30" t="s">
        <v>8276</v>
      </c>
      <c r="D30" t="s">
        <v>8272</v>
      </c>
      <c r="E30" s="225">
        <v>608</v>
      </c>
      <c r="F30" t="s">
        <v>8283</v>
      </c>
      <c r="G30" t="s">
        <v>8284</v>
      </c>
      <c r="H30" t="s">
        <v>8282</v>
      </c>
      <c r="I30" s="99">
        <v>43499</v>
      </c>
      <c r="J30" s="99">
        <v>43505</v>
      </c>
      <c r="K30" t="s">
        <v>8285</v>
      </c>
      <c r="L30" t="s">
        <v>2317</v>
      </c>
    </row>
    <row r="31" spans="2:12" x14ac:dyDescent="0.2">
      <c r="B31">
        <v>10258</v>
      </c>
      <c r="C31" t="s">
        <v>8286</v>
      </c>
      <c r="D31" t="s">
        <v>8254</v>
      </c>
      <c r="E31" s="225">
        <v>884</v>
      </c>
      <c r="F31" t="s">
        <v>8283</v>
      </c>
      <c r="G31" t="s">
        <v>8284</v>
      </c>
      <c r="H31" t="s">
        <v>8282</v>
      </c>
      <c r="I31" s="99">
        <v>43499</v>
      </c>
      <c r="J31" s="99">
        <v>43505</v>
      </c>
      <c r="K31" t="s">
        <v>8285</v>
      </c>
      <c r="L31" t="s">
        <v>2317</v>
      </c>
    </row>
    <row r="32" spans="2:12" x14ac:dyDescent="0.2">
      <c r="B32">
        <v>10258</v>
      </c>
      <c r="C32" t="s">
        <v>8287</v>
      </c>
      <c r="D32" t="s">
        <v>8237</v>
      </c>
      <c r="E32" s="225">
        <v>122.88</v>
      </c>
      <c r="F32" t="s">
        <v>8283</v>
      </c>
      <c r="G32" t="s">
        <v>8284</v>
      </c>
      <c r="H32" t="s">
        <v>8282</v>
      </c>
      <c r="I32" s="99">
        <v>43499</v>
      </c>
      <c r="J32" s="99">
        <v>43505</v>
      </c>
      <c r="K32" t="s">
        <v>8285</v>
      </c>
      <c r="L32" t="s">
        <v>2317</v>
      </c>
    </row>
    <row r="33" spans="2:12" x14ac:dyDescent="0.2">
      <c r="B33">
        <v>10259</v>
      </c>
      <c r="C33" t="s">
        <v>8368</v>
      </c>
      <c r="D33" t="s">
        <v>8262</v>
      </c>
      <c r="E33" s="225">
        <v>80</v>
      </c>
      <c r="F33" t="s">
        <v>8734</v>
      </c>
      <c r="G33" t="s">
        <v>8733</v>
      </c>
      <c r="H33" t="s">
        <v>8704</v>
      </c>
      <c r="I33" s="99">
        <v>43500</v>
      </c>
      <c r="J33" s="99">
        <v>43507</v>
      </c>
      <c r="K33" t="s">
        <v>8266</v>
      </c>
      <c r="L33" t="s">
        <v>8267</v>
      </c>
    </row>
    <row r="34" spans="2:12" x14ac:dyDescent="0.2">
      <c r="B34">
        <v>10260</v>
      </c>
      <c r="C34" t="s">
        <v>8288</v>
      </c>
      <c r="D34" t="s">
        <v>8272</v>
      </c>
      <c r="E34" s="225">
        <v>189</v>
      </c>
      <c r="F34" t="s">
        <v>8289</v>
      </c>
      <c r="G34" t="s">
        <v>8290</v>
      </c>
      <c r="H34" t="s">
        <v>8246</v>
      </c>
      <c r="I34" s="99">
        <v>43501</v>
      </c>
      <c r="J34" s="99">
        <v>43511</v>
      </c>
      <c r="K34" t="s">
        <v>8266</v>
      </c>
      <c r="L34" t="s">
        <v>8267</v>
      </c>
    </row>
    <row r="35" spans="2:12" x14ac:dyDescent="0.2">
      <c r="B35">
        <v>10260</v>
      </c>
      <c r="C35" t="s">
        <v>8291</v>
      </c>
      <c r="D35" t="s">
        <v>8262</v>
      </c>
      <c r="E35" s="225">
        <v>443.25</v>
      </c>
      <c r="F35" t="s">
        <v>8289</v>
      </c>
      <c r="G35" t="s">
        <v>8290</v>
      </c>
      <c r="H35" t="s">
        <v>8246</v>
      </c>
      <c r="I35" s="99">
        <v>43501</v>
      </c>
      <c r="J35" s="99">
        <v>43511</v>
      </c>
      <c r="K35" t="s">
        <v>8266</v>
      </c>
      <c r="L35" t="s">
        <v>8267</v>
      </c>
    </row>
    <row r="36" spans="2:12" x14ac:dyDescent="0.2">
      <c r="B36">
        <v>10260</v>
      </c>
      <c r="C36" t="s">
        <v>8258</v>
      </c>
      <c r="D36" t="s">
        <v>8244</v>
      </c>
      <c r="E36" s="225">
        <v>780</v>
      </c>
      <c r="F36" t="s">
        <v>8289</v>
      </c>
      <c r="G36" t="s">
        <v>8290</v>
      </c>
      <c r="H36" t="s">
        <v>8246</v>
      </c>
      <c r="I36" s="99">
        <v>43501</v>
      </c>
      <c r="J36" s="99">
        <v>43511</v>
      </c>
      <c r="K36" t="s">
        <v>8266</v>
      </c>
      <c r="L36" t="s">
        <v>8267</v>
      </c>
    </row>
    <row r="37" spans="2:12" x14ac:dyDescent="0.2">
      <c r="B37">
        <v>10261</v>
      </c>
      <c r="C37" t="s">
        <v>8323</v>
      </c>
      <c r="D37" t="s">
        <v>8272</v>
      </c>
      <c r="E37" s="225">
        <v>288</v>
      </c>
      <c r="F37" t="s">
        <v>8736</v>
      </c>
      <c r="G37" t="s">
        <v>8735</v>
      </c>
      <c r="H37" t="s">
        <v>8710</v>
      </c>
      <c r="I37" s="99">
        <v>43501</v>
      </c>
      <c r="J37" s="99">
        <v>43512</v>
      </c>
      <c r="K37" t="s">
        <v>8266</v>
      </c>
      <c r="L37" t="s">
        <v>8267</v>
      </c>
    </row>
    <row r="38" spans="2:12" x14ac:dyDescent="0.2">
      <c r="B38">
        <v>10261</v>
      </c>
      <c r="C38" t="s">
        <v>8368</v>
      </c>
      <c r="D38" t="s">
        <v>8262</v>
      </c>
      <c r="E38" s="225">
        <v>160</v>
      </c>
      <c r="F38" t="s">
        <v>8736</v>
      </c>
      <c r="G38" t="s">
        <v>8735</v>
      </c>
      <c r="H38" t="s">
        <v>8710</v>
      </c>
      <c r="I38" s="99">
        <v>43501</v>
      </c>
      <c r="J38" s="99">
        <v>43512</v>
      </c>
      <c r="K38" t="s">
        <v>8266</v>
      </c>
      <c r="L38" t="s">
        <v>8267</v>
      </c>
    </row>
    <row r="39" spans="2:12" x14ac:dyDescent="0.2">
      <c r="B39">
        <v>10262</v>
      </c>
      <c r="C39" t="s">
        <v>8286</v>
      </c>
      <c r="D39" t="s">
        <v>8254</v>
      </c>
      <c r="E39" s="225">
        <v>163.19999999999999</v>
      </c>
      <c r="F39" t="s">
        <v>8703</v>
      </c>
      <c r="G39" t="s">
        <v>8702</v>
      </c>
      <c r="H39" t="s">
        <v>8701</v>
      </c>
      <c r="I39" s="99">
        <v>43504</v>
      </c>
      <c r="J39" s="99">
        <v>43507</v>
      </c>
      <c r="K39" t="s">
        <v>8320</v>
      </c>
      <c r="L39" t="s">
        <v>8321</v>
      </c>
    </row>
    <row r="40" spans="2:12" x14ac:dyDescent="0.2">
      <c r="B40">
        <v>10262</v>
      </c>
      <c r="C40" t="s">
        <v>8341</v>
      </c>
      <c r="D40" t="s">
        <v>8244</v>
      </c>
      <c r="E40" s="225">
        <v>60.8</v>
      </c>
      <c r="F40" t="s">
        <v>8703</v>
      </c>
      <c r="G40" t="s">
        <v>8702</v>
      </c>
      <c r="H40" t="s">
        <v>8701</v>
      </c>
      <c r="I40" s="99">
        <v>43504</v>
      </c>
      <c r="J40" s="99">
        <v>43507</v>
      </c>
      <c r="K40" t="s">
        <v>8320</v>
      </c>
      <c r="L40" t="s">
        <v>8321</v>
      </c>
    </row>
    <row r="41" spans="2:12" x14ac:dyDescent="0.2">
      <c r="B41">
        <v>10262</v>
      </c>
      <c r="C41" t="s">
        <v>8415</v>
      </c>
      <c r="D41" t="s">
        <v>8247</v>
      </c>
      <c r="E41" s="225">
        <v>360</v>
      </c>
      <c r="F41" t="s">
        <v>8703</v>
      </c>
      <c r="G41" t="s">
        <v>8702</v>
      </c>
      <c r="H41" t="s">
        <v>8701</v>
      </c>
      <c r="I41" s="99">
        <v>43504</v>
      </c>
      <c r="J41" s="99">
        <v>43507</v>
      </c>
      <c r="K41" t="s">
        <v>8320</v>
      </c>
      <c r="L41" t="s">
        <v>8321</v>
      </c>
    </row>
    <row r="42" spans="2:12" x14ac:dyDescent="0.2">
      <c r="B42">
        <v>10263</v>
      </c>
      <c r="C42" t="s">
        <v>8270</v>
      </c>
      <c r="D42" t="s">
        <v>8272</v>
      </c>
      <c r="E42" s="225">
        <v>100.8</v>
      </c>
      <c r="F42" t="s">
        <v>8283</v>
      </c>
      <c r="G42" t="s">
        <v>8284</v>
      </c>
      <c r="H42" t="s">
        <v>8282</v>
      </c>
      <c r="I42" s="99">
        <v>43505</v>
      </c>
      <c r="J42" s="99">
        <v>43513</v>
      </c>
      <c r="K42" t="s">
        <v>8279</v>
      </c>
      <c r="L42" t="s">
        <v>710</v>
      </c>
    </row>
    <row r="43" spans="2:12" x14ac:dyDescent="0.2">
      <c r="B43">
        <v>10263</v>
      </c>
      <c r="C43" t="s">
        <v>8280</v>
      </c>
      <c r="D43" t="s">
        <v>8262</v>
      </c>
      <c r="E43" s="225">
        <v>625.5</v>
      </c>
      <c r="F43" t="s">
        <v>8283</v>
      </c>
      <c r="G43" t="s">
        <v>8284</v>
      </c>
      <c r="H43" t="s">
        <v>8282</v>
      </c>
      <c r="I43" s="99">
        <v>43505</v>
      </c>
      <c r="J43" s="99">
        <v>43513</v>
      </c>
      <c r="K43" t="s">
        <v>8279</v>
      </c>
      <c r="L43" t="s">
        <v>710</v>
      </c>
    </row>
    <row r="44" spans="2:12" x14ac:dyDescent="0.2">
      <c r="B44">
        <v>10263</v>
      </c>
      <c r="C44" t="s">
        <v>8275</v>
      </c>
      <c r="D44" t="s">
        <v>8247</v>
      </c>
      <c r="E44" s="225">
        <v>216</v>
      </c>
      <c r="F44" t="s">
        <v>8283</v>
      </c>
      <c r="G44" t="s">
        <v>8284</v>
      </c>
      <c r="H44" t="s">
        <v>8282</v>
      </c>
      <c r="I44" s="99">
        <v>43505</v>
      </c>
      <c r="J44" s="99">
        <v>43513</v>
      </c>
      <c r="K44" t="s">
        <v>8279</v>
      </c>
      <c r="L44" t="s">
        <v>710</v>
      </c>
    </row>
    <row r="45" spans="2:12" x14ac:dyDescent="0.2">
      <c r="B45">
        <v>10264</v>
      </c>
      <c r="C45" t="s">
        <v>8276</v>
      </c>
      <c r="D45" t="s">
        <v>8272</v>
      </c>
      <c r="E45" s="225">
        <v>532</v>
      </c>
      <c r="F45" t="s">
        <v>8293</v>
      </c>
      <c r="G45" t="s">
        <v>8294</v>
      </c>
      <c r="H45" t="s">
        <v>8292</v>
      </c>
      <c r="I45" s="99">
        <v>43506</v>
      </c>
      <c r="J45" s="99">
        <v>43536</v>
      </c>
      <c r="K45" t="s">
        <v>8251</v>
      </c>
      <c r="L45" t="s">
        <v>269</v>
      </c>
    </row>
    <row r="46" spans="2:12" x14ac:dyDescent="0.2">
      <c r="B46">
        <v>10265</v>
      </c>
      <c r="C46" t="s">
        <v>8288</v>
      </c>
      <c r="D46" t="s">
        <v>8272</v>
      </c>
      <c r="E46" s="225">
        <v>240</v>
      </c>
      <c r="F46" t="s">
        <v>8295</v>
      </c>
      <c r="G46" t="s">
        <v>8296</v>
      </c>
      <c r="H46" t="s">
        <v>8236</v>
      </c>
      <c r="I46" s="99">
        <v>43507</v>
      </c>
      <c r="J46" s="99">
        <v>43525</v>
      </c>
      <c r="K46" t="s">
        <v>8297</v>
      </c>
      <c r="L46" t="s">
        <v>8298</v>
      </c>
    </row>
    <row r="47" spans="2:12" x14ac:dyDescent="0.2">
      <c r="B47">
        <v>10266</v>
      </c>
      <c r="C47" t="s">
        <v>8299</v>
      </c>
      <c r="D47" t="s">
        <v>8237</v>
      </c>
      <c r="E47" s="225">
        <v>346.56</v>
      </c>
      <c r="F47" t="s">
        <v>8301</v>
      </c>
      <c r="G47" t="s">
        <v>8302</v>
      </c>
      <c r="H47" t="s">
        <v>8300</v>
      </c>
      <c r="I47" s="99">
        <v>43508</v>
      </c>
      <c r="J47" s="99">
        <v>43513</v>
      </c>
      <c r="K47" t="s">
        <v>8257</v>
      </c>
      <c r="L47" t="s">
        <v>6984</v>
      </c>
    </row>
    <row r="48" spans="2:12" x14ac:dyDescent="0.2">
      <c r="B48">
        <v>10267</v>
      </c>
      <c r="C48" t="s">
        <v>8303</v>
      </c>
      <c r="D48" t="s">
        <v>8272</v>
      </c>
      <c r="E48" s="225">
        <v>183.6</v>
      </c>
      <c r="F48" t="s">
        <v>8304</v>
      </c>
      <c r="G48" t="s">
        <v>8305</v>
      </c>
      <c r="H48" t="s">
        <v>8246</v>
      </c>
      <c r="I48" s="99">
        <v>43511</v>
      </c>
      <c r="J48" s="99">
        <v>43519</v>
      </c>
      <c r="K48" t="s">
        <v>8266</v>
      </c>
      <c r="L48" t="s">
        <v>8267</v>
      </c>
    </row>
    <row r="49" spans="2:12" x14ac:dyDescent="0.2">
      <c r="B49">
        <v>10267</v>
      </c>
      <c r="C49" t="s">
        <v>8281</v>
      </c>
      <c r="D49" t="s">
        <v>8237</v>
      </c>
      <c r="E49" s="225">
        <v>2618</v>
      </c>
      <c r="F49" t="s">
        <v>8304</v>
      </c>
      <c r="G49" t="s">
        <v>8305</v>
      </c>
      <c r="H49" t="s">
        <v>8246</v>
      </c>
      <c r="I49" s="99">
        <v>43511</v>
      </c>
      <c r="J49" s="99">
        <v>43519</v>
      </c>
      <c r="K49" t="s">
        <v>8266</v>
      </c>
      <c r="L49" t="s">
        <v>8267</v>
      </c>
    </row>
    <row r="50" spans="2:12" x14ac:dyDescent="0.2">
      <c r="B50">
        <v>10268</v>
      </c>
      <c r="C50" t="s">
        <v>8235</v>
      </c>
      <c r="D50" t="s">
        <v>8237</v>
      </c>
      <c r="E50" s="225">
        <v>111.2</v>
      </c>
      <c r="F50" t="s">
        <v>8738</v>
      </c>
      <c r="G50" t="s">
        <v>8737</v>
      </c>
      <c r="H50" t="s">
        <v>8707</v>
      </c>
      <c r="I50" s="99">
        <v>43512</v>
      </c>
      <c r="J50" s="99">
        <v>43515</v>
      </c>
      <c r="K50" t="s">
        <v>8320</v>
      </c>
      <c r="L50" t="s">
        <v>8321</v>
      </c>
    </row>
    <row r="51" spans="2:12" x14ac:dyDescent="0.2">
      <c r="B51">
        <v>10269</v>
      </c>
      <c r="C51" t="s">
        <v>8269</v>
      </c>
      <c r="D51" t="s">
        <v>8237</v>
      </c>
      <c r="E51" s="225">
        <v>114</v>
      </c>
      <c r="F51" t="s">
        <v>8740</v>
      </c>
      <c r="G51" t="s">
        <v>8739</v>
      </c>
      <c r="H51" t="s">
        <v>8701</v>
      </c>
      <c r="I51" s="99">
        <v>43513</v>
      </c>
      <c r="J51" s="99">
        <v>43522</v>
      </c>
      <c r="K51" t="s">
        <v>8241</v>
      </c>
      <c r="L51" t="s">
        <v>6934</v>
      </c>
    </row>
    <row r="52" spans="2:12" x14ac:dyDescent="0.2">
      <c r="B52">
        <v>10269</v>
      </c>
      <c r="C52" t="s">
        <v>8235</v>
      </c>
      <c r="D52" t="s">
        <v>8237</v>
      </c>
      <c r="E52" s="225">
        <v>528.20000000000005</v>
      </c>
      <c r="F52" t="s">
        <v>8740</v>
      </c>
      <c r="G52" t="s">
        <v>8739</v>
      </c>
      <c r="H52" t="s">
        <v>8701</v>
      </c>
      <c r="I52" s="99">
        <v>43513</v>
      </c>
      <c r="J52" s="99">
        <v>43522</v>
      </c>
      <c r="K52" t="s">
        <v>8241</v>
      </c>
      <c r="L52" t="s">
        <v>6934</v>
      </c>
    </row>
    <row r="53" spans="2:12" x14ac:dyDescent="0.2">
      <c r="B53">
        <v>10270</v>
      </c>
      <c r="C53" t="s">
        <v>8306</v>
      </c>
      <c r="D53" t="s">
        <v>8272</v>
      </c>
      <c r="E53" s="225">
        <v>920</v>
      </c>
      <c r="F53" t="s">
        <v>8301</v>
      </c>
      <c r="G53" t="s">
        <v>8302</v>
      </c>
      <c r="H53" t="s">
        <v>8300</v>
      </c>
      <c r="I53" s="99">
        <v>43514</v>
      </c>
      <c r="J53" s="99">
        <v>43515</v>
      </c>
      <c r="K53" t="s">
        <v>8285</v>
      </c>
      <c r="L53" t="s">
        <v>2317</v>
      </c>
    </row>
    <row r="54" spans="2:12" x14ac:dyDescent="0.2">
      <c r="B54">
        <v>10271</v>
      </c>
      <c r="C54" t="s">
        <v>8269</v>
      </c>
      <c r="D54" t="s">
        <v>8237</v>
      </c>
      <c r="E54" s="225">
        <v>48</v>
      </c>
      <c r="F54" t="s">
        <v>8744</v>
      </c>
      <c r="G54" t="s">
        <v>8743</v>
      </c>
      <c r="H54" t="s">
        <v>8701</v>
      </c>
      <c r="I54" s="99">
        <v>43514</v>
      </c>
      <c r="J54" s="99">
        <v>43543</v>
      </c>
      <c r="K54" t="s">
        <v>8251</v>
      </c>
      <c r="L54" t="s">
        <v>269</v>
      </c>
    </row>
    <row r="55" spans="2:12" x14ac:dyDescent="0.2">
      <c r="B55">
        <v>10272</v>
      </c>
      <c r="C55" t="s">
        <v>8260</v>
      </c>
      <c r="D55" t="s">
        <v>8262</v>
      </c>
      <c r="E55" s="225">
        <v>388.8</v>
      </c>
      <c r="F55" t="s">
        <v>8703</v>
      </c>
      <c r="G55" t="s">
        <v>8702</v>
      </c>
      <c r="H55" t="s">
        <v>8701</v>
      </c>
      <c r="I55" s="99">
        <v>43515</v>
      </c>
      <c r="J55" s="99">
        <v>43519</v>
      </c>
      <c r="K55" t="s">
        <v>8251</v>
      </c>
      <c r="L55" t="s">
        <v>269</v>
      </c>
    </row>
    <row r="56" spans="2:12" x14ac:dyDescent="0.2">
      <c r="B56">
        <v>10272</v>
      </c>
      <c r="C56" t="s">
        <v>8309</v>
      </c>
      <c r="D56" t="s">
        <v>8237</v>
      </c>
      <c r="E56" s="225">
        <v>400</v>
      </c>
      <c r="F56" t="s">
        <v>8703</v>
      </c>
      <c r="G56" t="s">
        <v>8702</v>
      </c>
      <c r="H56" t="s">
        <v>8701</v>
      </c>
      <c r="I56" s="99">
        <v>43515</v>
      </c>
      <c r="J56" s="99">
        <v>43519</v>
      </c>
      <c r="K56" t="s">
        <v>8251</v>
      </c>
      <c r="L56" t="s">
        <v>269</v>
      </c>
    </row>
    <row r="57" spans="2:12" x14ac:dyDescent="0.2">
      <c r="B57">
        <v>10272</v>
      </c>
      <c r="C57" t="s">
        <v>8235</v>
      </c>
      <c r="D57" t="s">
        <v>8237</v>
      </c>
      <c r="E57" s="225">
        <v>667.2</v>
      </c>
      <c r="F57" t="s">
        <v>8703</v>
      </c>
      <c r="G57" t="s">
        <v>8702</v>
      </c>
      <c r="H57" t="s">
        <v>8701</v>
      </c>
      <c r="I57" s="99">
        <v>43515</v>
      </c>
      <c r="J57" s="99">
        <v>43519</v>
      </c>
      <c r="K57" t="s">
        <v>8251</v>
      </c>
      <c r="L57" t="s">
        <v>269</v>
      </c>
    </row>
    <row r="58" spans="2:12" x14ac:dyDescent="0.2">
      <c r="B58">
        <v>10273</v>
      </c>
      <c r="C58" t="s">
        <v>8303</v>
      </c>
      <c r="D58" t="s">
        <v>8272</v>
      </c>
      <c r="E58" s="225">
        <v>451.44</v>
      </c>
      <c r="F58" t="s">
        <v>8307</v>
      </c>
      <c r="G58" t="s">
        <v>8308</v>
      </c>
      <c r="H58" t="s">
        <v>8246</v>
      </c>
      <c r="I58" s="99">
        <v>43518</v>
      </c>
      <c r="J58" s="99">
        <v>43525</v>
      </c>
      <c r="K58" t="s">
        <v>8257</v>
      </c>
      <c r="L58" t="s">
        <v>6984</v>
      </c>
    </row>
    <row r="59" spans="2:12" x14ac:dyDescent="0.2">
      <c r="B59">
        <v>10273</v>
      </c>
      <c r="C59" t="s">
        <v>8309</v>
      </c>
      <c r="D59" t="s">
        <v>8237</v>
      </c>
      <c r="E59" s="225">
        <v>142.5</v>
      </c>
      <c r="F59" t="s">
        <v>8307</v>
      </c>
      <c r="G59" t="s">
        <v>8308</v>
      </c>
      <c r="H59" t="s">
        <v>8246</v>
      </c>
      <c r="I59" s="99">
        <v>43518</v>
      </c>
      <c r="J59" s="99">
        <v>43525</v>
      </c>
      <c r="K59" t="s">
        <v>8257</v>
      </c>
      <c r="L59" t="s">
        <v>6984</v>
      </c>
    </row>
    <row r="60" spans="2:12" x14ac:dyDescent="0.2">
      <c r="B60">
        <v>10273</v>
      </c>
      <c r="C60" t="s">
        <v>8269</v>
      </c>
      <c r="D60" t="s">
        <v>8237</v>
      </c>
      <c r="E60" s="225">
        <v>40</v>
      </c>
      <c r="F60" t="s">
        <v>8307</v>
      </c>
      <c r="G60" t="s">
        <v>8308</v>
      </c>
      <c r="H60" t="s">
        <v>8246</v>
      </c>
      <c r="I60" s="99">
        <v>43518</v>
      </c>
      <c r="J60" s="99">
        <v>43525</v>
      </c>
      <c r="K60" t="s">
        <v>8257</v>
      </c>
      <c r="L60" t="s">
        <v>6984</v>
      </c>
    </row>
    <row r="61" spans="2:12" x14ac:dyDescent="0.2">
      <c r="B61">
        <v>10274</v>
      </c>
      <c r="C61" t="s">
        <v>8310</v>
      </c>
      <c r="D61" t="s">
        <v>8237</v>
      </c>
      <c r="E61" s="225">
        <v>344</v>
      </c>
      <c r="F61" t="s">
        <v>8238</v>
      </c>
      <c r="G61" t="s">
        <v>8239</v>
      </c>
      <c r="H61" t="s">
        <v>8236</v>
      </c>
      <c r="I61" s="99">
        <v>43519</v>
      </c>
      <c r="J61" s="99">
        <v>43529</v>
      </c>
      <c r="K61" t="s">
        <v>8251</v>
      </c>
      <c r="L61" t="s">
        <v>269</v>
      </c>
    </row>
    <row r="62" spans="2:12" x14ac:dyDescent="0.2">
      <c r="B62">
        <v>10274</v>
      </c>
      <c r="C62" t="s">
        <v>8235</v>
      </c>
      <c r="D62" t="s">
        <v>8237</v>
      </c>
      <c r="E62" s="225">
        <v>194.6</v>
      </c>
      <c r="F62" t="s">
        <v>8238</v>
      </c>
      <c r="G62" t="s">
        <v>8239</v>
      </c>
      <c r="H62" t="s">
        <v>8236</v>
      </c>
      <c r="I62" s="99">
        <v>43519</v>
      </c>
      <c r="J62" s="99">
        <v>43529</v>
      </c>
      <c r="K62" t="s">
        <v>8251</v>
      </c>
      <c r="L62" t="s">
        <v>269</v>
      </c>
    </row>
    <row r="63" spans="2:12" x14ac:dyDescent="0.2">
      <c r="B63">
        <v>10275</v>
      </c>
      <c r="C63" t="s">
        <v>8270</v>
      </c>
      <c r="D63" t="s">
        <v>8272</v>
      </c>
      <c r="E63" s="225">
        <v>41.04</v>
      </c>
      <c r="F63" t="s">
        <v>8312</v>
      </c>
      <c r="G63" t="s">
        <v>8313</v>
      </c>
      <c r="H63" t="s">
        <v>8311</v>
      </c>
      <c r="I63" s="99">
        <v>43520</v>
      </c>
      <c r="J63" s="99">
        <v>43522</v>
      </c>
      <c r="K63" t="s">
        <v>8285</v>
      </c>
      <c r="L63" t="s">
        <v>2317</v>
      </c>
    </row>
    <row r="64" spans="2:12" x14ac:dyDescent="0.2">
      <c r="B64">
        <v>10275</v>
      </c>
      <c r="C64" t="s">
        <v>8281</v>
      </c>
      <c r="D64" t="s">
        <v>8237</v>
      </c>
      <c r="E64" s="225">
        <v>250.8</v>
      </c>
      <c r="F64" t="s">
        <v>8312</v>
      </c>
      <c r="G64" t="s">
        <v>8313</v>
      </c>
      <c r="H64" t="s">
        <v>8311</v>
      </c>
      <c r="I64" s="99">
        <v>43520</v>
      </c>
      <c r="J64" s="99">
        <v>43522</v>
      </c>
      <c r="K64" t="s">
        <v>8285</v>
      </c>
      <c r="L64" t="s">
        <v>2317</v>
      </c>
    </row>
    <row r="65" spans="2:12" x14ac:dyDescent="0.2">
      <c r="B65">
        <v>10277</v>
      </c>
      <c r="C65" t="s">
        <v>8291</v>
      </c>
      <c r="D65" t="s">
        <v>8262</v>
      </c>
      <c r="E65" s="225">
        <v>472.8</v>
      </c>
      <c r="F65" t="s">
        <v>8314</v>
      </c>
      <c r="G65" t="s">
        <v>8315</v>
      </c>
      <c r="H65" t="s">
        <v>8246</v>
      </c>
      <c r="I65" s="99">
        <v>43522</v>
      </c>
      <c r="J65" s="99">
        <v>43526</v>
      </c>
      <c r="K65" t="s">
        <v>8297</v>
      </c>
      <c r="L65" t="s">
        <v>8298</v>
      </c>
    </row>
    <row r="66" spans="2:12" x14ac:dyDescent="0.2">
      <c r="B66">
        <v>10277</v>
      </c>
      <c r="C66" t="s">
        <v>8316</v>
      </c>
      <c r="D66" t="s">
        <v>8247</v>
      </c>
      <c r="E66" s="225">
        <v>728</v>
      </c>
      <c r="F66" t="s">
        <v>8314</v>
      </c>
      <c r="G66" t="s">
        <v>8315</v>
      </c>
      <c r="H66" t="s">
        <v>8246</v>
      </c>
      <c r="I66" s="99">
        <v>43522</v>
      </c>
      <c r="J66" s="99">
        <v>43526</v>
      </c>
      <c r="K66" t="s">
        <v>8297</v>
      </c>
      <c r="L66" t="s">
        <v>8298</v>
      </c>
    </row>
    <row r="67" spans="2:12" x14ac:dyDescent="0.2">
      <c r="B67">
        <v>10278</v>
      </c>
      <c r="C67" t="s">
        <v>8322</v>
      </c>
      <c r="D67" t="s">
        <v>8254</v>
      </c>
      <c r="E67" s="225">
        <v>248</v>
      </c>
      <c r="F67" t="s">
        <v>8318</v>
      </c>
      <c r="G67" t="s">
        <v>8319</v>
      </c>
      <c r="H67" t="s">
        <v>8292</v>
      </c>
      <c r="I67" s="99">
        <v>43525</v>
      </c>
      <c r="J67" s="99">
        <v>43529</v>
      </c>
      <c r="K67" t="s">
        <v>8320</v>
      </c>
      <c r="L67" t="s">
        <v>8321</v>
      </c>
    </row>
    <row r="68" spans="2:12" x14ac:dyDescent="0.2">
      <c r="B68">
        <v>10278</v>
      </c>
      <c r="C68" t="s">
        <v>8317</v>
      </c>
      <c r="D68" t="s">
        <v>8254</v>
      </c>
      <c r="E68" s="225">
        <v>280.8</v>
      </c>
      <c r="F68" t="s">
        <v>8318</v>
      </c>
      <c r="G68" t="s">
        <v>8319</v>
      </c>
      <c r="H68" t="s">
        <v>8292</v>
      </c>
      <c r="I68" s="99">
        <v>43525</v>
      </c>
      <c r="J68" s="99">
        <v>43529</v>
      </c>
      <c r="K68" t="s">
        <v>8320</v>
      </c>
      <c r="L68" t="s">
        <v>8321</v>
      </c>
    </row>
    <row r="69" spans="2:12" x14ac:dyDescent="0.2">
      <c r="B69">
        <v>10278</v>
      </c>
      <c r="C69" t="s">
        <v>8281</v>
      </c>
      <c r="D69" t="s">
        <v>8237</v>
      </c>
      <c r="E69" s="225">
        <v>660</v>
      </c>
      <c r="F69" t="s">
        <v>8318</v>
      </c>
      <c r="G69" t="s">
        <v>8319</v>
      </c>
      <c r="H69" t="s">
        <v>8292</v>
      </c>
      <c r="I69" s="99">
        <v>43525</v>
      </c>
      <c r="J69" s="99">
        <v>43529</v>
      </c>
      <c r="K69" t="s">
        <v>8320</v>
      </c>
      <c r="L69" t="s">
        <v>8321</v>
      </c>
    </row>
    <row r="70" spans="2:12" x14ac:dyDescent="0.2">
      <c r="B70">
        <v>10280</v>
      </c>
      <c r="C70" t="s">
        <v>8270</v>
      </c>
      <c r="D70" t="s">
        <v>8272</v>
      </c>
      <c r="E70" s="225">
        <v>43.2</v>
      </c>
      <c r="F70" t="s">
        <v>8318</v>
      </c>
      <c r="G70" t="s">
        <v>8319</v>
      </c>
      <c r="H70" t="s">
        <v>8292</v>
      </c>
      <c r="I70" s="99">
        <v>43527</v>
      </c>
      <c r="J70" s="99">
        <v>43556</v>
      </c>
      <c r="K70" t="s">
        <v>8297</v>
      </c>
      <c r="L70" t="s">
        <v>8298</v>
      </c>
    </row>
    <row r="71" spans="2:12" x14ac:dyDescent="0.2">
      <c r="B71">
        <v>10280</v>
      </c>
      <c r="C71" t="s">
        <v>8328</v>
      </c>
      <c r="D71" t="s">
        <v>8272</v>
      </c>
      <c r="E71" s="225">
        <v>186</v>
      </c>
      <c r="F71" t="s">
        <v>8318</v>
      </c>
      <c r="G71" t="s">
        <v>8319</v>
      </c>
      <c r="H71" t="s">
        <v>8292</v>
      </c>
      <c r="I71" s="99">
        <v>43527</v>
      </c>
      <c r="J71" s="99">
        <v>43556</v>
      </c>
      <c r="K71" t="s">
        <v>8297</v>
      </c>
      <c r="L71" t="s">
        <v>8298</v>
      </c>
    </row>
    <row r="72" spans="2:12" x14ac:dyDescent="0.2">
      <c r="B72">
        <v>10281</v>
      </c>
      <c r="C72" t="s">
        <v>8270</v>
      </c>
      <c r="D72" t="s">
        <v>8272</v>
      </c>
      <c r="E72" s="225">
        <v>21.6</v>
      </c>
      <c r="F72" t="s">
        <v>8325</v>
      </c>
      <c r="G72" t="s">
        <v>8326</v>
      </c>
      <c r="H72" t="s">
        <v>8324</v>
      </c>
      <c r="I72" s="99">
        <v>43527</v>
      </c>
      <c r="J72" s="99">
        <v>43534</v>
      </c>
      <c r="K72" t="s">
        <v>8266</v>
      </c>
      <c r="L72" t="s">
        <v>8267</v>
      </c>
    </row>
    <row r="73" spans="2:12" x14ac:dyDescent="0.2">
      <c r="B73">
        <v>10281</v>
      </c>
      <c r="C73" t="s">
        <v>8323</v>
      </c>
      <c r="D73" t="s">
        <v>8272</v>
      </c>
      <c r="E73" s="225">
        <v>57.6</v>
      </c>
      <c r="F73" t="s">
        <v>8325</v>
      </c>
      <c r="G73" t="s">
        <v>8326</v>
      </c>
      <c r="H73" t="s">
        <v>8324</v>
      </c>
      <c r="I73" s="99">
        <v>43527</v>
      </c>
      <c r="J73" s="99">
        <v>43534</v>
      </c>
      <c r="K73" t="s">
        <v>8266</v>
      </c>
      <c r="L73" t="s">
        <v>8267</v>
      </c>
    </row>
    <row r="74" spans="2:12" x14ac:dyDescent="0.2">
      <c r="B74">
        <v>10281</v>
      </c>
      <c r="C74" t="s">
        <v>8327</v>
      </c>
      <c r="D74" t="s">
        <v>8262</v>
      </c>
      <c r="E74" s="225">
        <v>7.3</v>
      </c>
      <c r="F74" t="s">
        <v>8325</v>
      </c>
      <c r="G74" t="s">
        <v>8326</v>
      </c>
      <c r="H74" t="s">
        <v>8324</v>
      </c>
      <c r="I74" s="99">
        <v>43527</v>
      </c>
      <c r="J74" s="99">
        <v>43534</v>
      </c>
      <c r="K74" t="s">
        <v>8266</v>
      </c>
      <c r="L74" t="s">
        <v>8267</v>
      </c>
    </row>
    <row r="75" spans="2:12" x14ac:dyDescent="0.2">
      <c r="B75">
        <v>10282</v>
      </c>
      <c r="C75" t="s">
        <v>8258</v>
      </c>
      <c r="D75" t="s">
        <v>8244</v>
      </c>
      <c r="E75" s="225">
        <v>31.2</v>
      </c>
      <c r="F75" t="s">
        <v>8325</v>
      </c>
      <c r="G75" t="s">
        <v>8326</v>
      </c>
      <c r="H75" t="s">
        <v>8324</v>
      </c>
      <c r="I75" s="99">
        <v>43528</v>
      </c>
      <c r="J75" s="99">
        <v>43534</v>
      </c>
      <c r="K75" t="s">
        <v>8266</v>
      </c>
      <c r="L75" t="s">
        <v>8267</v>
      </c>
    </row>
    <row r="76" spans="2:12" x14ac:dyDescent="0.2">
      <c r="B76">
        <v>10283</v>
      </c>
      <c r="C76" t="s">
        <v>8361</v>
      </c>
      <c r="D76" t="s">
        <v>8254</v>
      </c>
      <c r="E76" s="225">
        <v>248</v>
      </c>
      <c r="F76" t="s">
        <v>8709</v>
      </c>
      <c r="G76" t="s">
        <v>8708</v>
      </c>
      <c r="H76" t="s">
        <v>8707</v>
      </c>
      <c r="I76" s="99">
        <v>43529</v>
      </c>
      <c r="J76" s="99">
        <v>43536</v>
      </c>
      <c r="K76" t="s">
        <v>8257</v>
      </c>
      <c r="L76" t="s">
        <v>6984</v>
      </c>
    </row>
    <row r="77" spans="2:12" x14ac:dyDescent="0.2">
      <c r="B77">
        <v>10283</v>
      </c>
      <c r="C77" t="s">
        <v>8327</v>
      </c>
      <c r="D77" t="s">
        <v>8262</v>
      </c>
      <c r="E77" s="225">
        <v>131.4</v>
      </c>
      <c r="F77" t="s">
        <v>8709</v>
      </c>
      <c r="G77" t="s">
        <v>8708</v>
      </c>
      <c r="H77" t="s">
        <v>8707</v>
      </c>
      <c r="I77" s="99">
        <v>43529</v>
      </c>
      <c r="J77" s="99">
        <v>43536</v>
      </c>
      <c r="K77" t="s">
        <v>8257</v>
      </c>
      <c r="L77" t="s">
        <v>6984</v>
      </c>
    </row>
    <row r="78" spans="2:12" x14ac:dyDescent="0.2">
      <c r="B78">
        <v>10283</v>
      </c>
      <c r="C78" t="s">
        <v>8268</v>
      </c>
      <c r="D78" t="s">
        <v>8237</v>
      </c>
      <c r="E78" s="225">
        <v>952</v>
      </c>
      <c r="F78" t="s">
        <v>8709</v>
      </c>
      <c r="G78" t="s">
        <v>8708</v>
      </c>
      <c r="H78" t="s">
        <v>8707</v>
      </c>
      <c r="I78" s="99">
        <v>43529</v>
      </c>
      <c r="J78" s="99">
        <v>43536</v>
      </c>
      <c r="K78" t="s">
        <v>8257</v>
      </c>
      <c r="L78" t="s">
        <v>6984</v>
      </c>
    </row>
    <row r="79" spans="2:12" x14ac:dyDescent="0.2">
      <c r="B79">
        <v>10283</v>
      </c>
      <c r="C79" t="s">
        <v>8235</v>
      </c>
      <c r="D79" t="s">
        <v>8237</v>
      </c>
      <c r="E79" s="225">
        <v>83.4</v>
      </c>
      <c r="F79" t="s">
        <v>8709</v>
      </c>
      <c r="G79" t="s">
        <v>8708</v>
      </c>
      <c r="H79" t="s">
        <v>8707</v>
      </c>
      <c r="I79" s="99">
        <v>43529</v>
      </c>
      <c r="J79" s="99">
        <v>43536</v>
      </c>
      <c r="K79" t="s">
        <v>8257</v>
      </c>
      <c r="L79" t="s">
        <v>6984</v>
      </c>
    </row>
    <row r="80" spans="2:12" x14ac:dyDescent="0.2">
      <c r="B80">
        <v>10284</v>
      </c>
      <c r="C80" t="s">
        <v>8329</v>
      </c>
      <c r="D80" t="s">
        <v>8272</v>
      </c>
      <c r="E80" s="225">
        <v>42</v>
      </c>
      <c r="F80" t="s">
        <v>8330</v>
      </c>
      <c r="G80" t="s">
        <v>8331</v>
      </c>
      <c r="H80" t="s">
        <v>8246</v>
      </c>
      <c r="I80" s="99">
        <v>43532</v>
      </c>
      <c r="J80" s="99">
        <v>43540</v>
      </c>
      <c r="K80" t="s">
        <v>8266</v>
      </c>
      <c r="L80" t="s">
        <v>8267</v>
      </c>
    </row>
    <row r="81" spans="2:12" x14ac:dyDescent="0.2">
      <c r="B81">
        <v>10284</v>
      </c>
      <c r="C81" t="s">
        <v>8322</v>
      </c>
      <c r="D81" t="s">
        <v>8254</v>
      </c>
      <c r="E81" s="225">
        <v>325.5</v>
      </c>
      <c r="F81" t="s">
        <v>8330</v>
      </c>
      <c r="G81" t="s">
        <v>8331</v>
      </c>
      <c r="H81" t="s">
        <v>8246</v>
      </c>
      <c r="I81" s="99">
        <v>43532</v>
      </c>
      <c r="J81" s="99">
        <v>43540</v>
      </c>
      <c r="K81" t="s">
        <v>8266</v>
      </c>
      <c r="L81" t="s">
        <v>8267</v>
      </c>
    </row>
    <row r="82" spans="2:12" x14ac:dyDescent="0.2">
      <c r="B82">
        <v>10284</v>
      </c>
      <c r="C82" t="s">
        <v>8332</v>
      </c>
      <c r="D82" t="s">
        <v>8262</v>
      </c>
      <c r="E82" s="225">
        <v>394.88</v>
      </c>
      <c r="F82" t="s">
        <v>8330</v>
      </c>
      <c r="G82" t="s">
        <v>8331</v>
      </c>
      <c r="H82" t="s">
        <v>8246</v>
      </c>
      <c r="I82" s="99">
        <v>43532</v>
      </c>
      <c r="J82" s="99">
        <v>43540</v>
      </c>
      <c r="K82" t="s">
        <v>8266</v>
      </c>
      <c r="L82" t="s">
        <v>8267</v>
      </c>
    </row>
    <row r="83" spans="2:12" x14ac:dyDescent="0.2">
      <c r="B83">
        <v>10284</v>
      </c>
      <c r="C83" t="s">
        <v>8268</v>
      </c>
      <c r="D83" t="s">
        <v>8237</v>
      </c>
      <c r="E83" s="225">
        <v>408</v>
      </c>
      <c r="F83" t="s">
        <v>8330</v>
      </c>
      <c r="G83" t="s">
        <v>8331</v>
      </c>
      <c r="H83" t="s">
        <v>8246</v>
      </c>
      <c r="I83" s="99">
        <v>43532</v>
      </c>
      <c r="J83" s="99">
        <v>43540</v>
      </c>
      <c r="K83" t="s">
        <v>8266</v>
      </c>
      <c r="L83" t="s">
        <v>8267</v>
      </c>
    </row>
    <row r="84" spans="2:12" x14ac:dyDescent="0.2">
      <c r="B84">
        <v>10285</v>
      </c>
      <c r="C84" t="s">
        <v>8333</v>
      </c>
      <c r="D84" t="s">
        <v>8272</v>
      </c>
      <c r="E84" s="225">
        <v>518.4</v>
      </c>
      <c r="F84" t="s">
        <v>8307</v>
      </c>
      <c r="G84" t="s">
        <v>8308</v>
      </c>
      <c r="H84" t="s">
        <v>8246</v>
      </c>
      <c r="I84" s="99">
        <v>43533</v>
      </c>
      <c r="J84" s="99">
        <v>43539</v>
      </c>
      <c r="K84" t="s">
        <v>8285</v>
      </c>
      <c r="L84" t="s">
        <v>2317</v>
      </c>
    </row>
    <row r="85" spans="2:12" x14ac:dyDescent="0.2">
      <c r="B85">
        <v>10286</v>
      </c>
      <c r="C85" t="s">
        <v>8323</v>
      </c>
      <c r="D85" t="s">
        <v>8272</v>
      </c>
      <c r="E85" s="225">
        <v>1440</v>
      </c>
      <c r="F85" t="s">
        <v>8307</v>
      </c>
      <c r="G85" t="s">
        <v>8308</v>
      </c>
      <c r="H85" t="s">
        <v>8246</v>
      </c>
      <c r="I85" s="99">
        <v>43534</v>
      </c>
      <c r="J85" s="99">
        <v>43543</v>
      </c>
      <c r="K85" t="s">
        <v>8320</v>
      </c>
      <c r="L85" t="s">
        <v>8321</v>
      </c>
    </row>
    <row r="86" spans="2:12" x14ac:dyDescent="0.2">
      <c r="B86">
        <v>10286</v>
      </c>
      <c r="C86" t="s">
        <v>8291</v>
      </c>
      <c r="D86" t="s">
        <v>8262</v>
      </c>
      <c r="E86" s="225">
        <v>1576</v>
      </c>
      <c r="F86" t="s">
        <v>8307</v>
      </c>
      <c r="G86" t="s">
        <v>8308</v>
      </c>
      <c r="H86" t="s">
        <v>8246</v>
      </c>
      <c r="I86" s="99">
        <v>43534</v>
      </c>
      <c r="J86" s="99">
        <v>43543</v>
      </c>
      <c r="K86" t="s">
        <v>8320</v>
      </c>
      <c r="L86" t="s">
        <v>8321</v>
      </c>
    </row>
    <row r="87" spans="2:12" x14ac:dyDescent="0.2">
      <c r="B87">
        <v>10287</v>
      </c>
      <c r="C87" t="s">
        <v>8358</v>
      </c>
      <c r="D87" t="s">
        <v>8272</v>
      </c>
      <c r="E87" s="225">
        <v>224</v>
      </c>
      <c r="F87" t="s">
        <v>8716</v>
      </c>
      <c r="G87" t="s">
        <v>8715</v>
      </c>
      <c r="H87" t="s">
        <v>8710</v>
      </c>
      <c r="I87" s="99">
        <v>43535</v>
      </c>
      <c r="J87" s="99">
        <v>43541</v>
      </c>
      <c r="K87" t="s">
        <v>8320</v>
      </c>
      <c r="L87" t="s">
        <v>8321</v>
      </c>
    </row>
    <row r="88" spans="2:12" x14ac:dyDescent="0.2">
      <c r="B88">
        <v>10287</v>
      </c>
      <c r="C88" t="s">
        <v>8280</v>
      </c>
      <c r="D88" t="s">
        <v>8262</v>
      </c>
      <c r="E88" s="225">
        <v>472.6</v>
      </c>
      <c r="F88" t="s">
        <v>8716</v>
      </c>
      <c r="G88" t="s">
        <v>8715</v>
      </c>
      <c r="H88" t="s">
        <v>8710</v>
      </c>
      <c r="I88" s="99">
        <v>43535</v>
      </c>
      <c r="J88" s="99">
        <v>43541</v>
      </c>
      <c r="K88" t="s">
        <v>8320</v>
      </c>
      <c r="L88" t="s">
        <v>8321</v>
      </c>
    </row>
    <row r="89" spans="2:12" x14ac:dyDescent="0.2">
      <c r="B89">
        <v>10288</v>
      </c>
      <c r="C89" t="s">
        <v>8334</v>
      </c>
      <c r="D89" t="s">
        <v>8262</v>
      </c>
      <c r="E89" s="225">
        <v>27</v>
      </c>
      <c r="F89" t="s">
        <v>8335</v>
      </c>
      <c r="G89" t="s">
        <v>8336</v>
      </c>
      <c r="H89" t="s">
        <v>8311</v>
      </c>
      <c r="I89" s="99">
        <v>43536</v>
      </c>
      <c r="J89" s="99">
        <v>43547</v>
      </c>
      <c r="K89" t="s">
        <v>8266</v>
      </c>
      <c r="L89" t="s">
        <v>8267</v>
      </c>
    </row>
    <row r="90" spans="2:12" x14ac:dyDescent="0.2">
      <c r="B90">
        <v>10289</v>
      </c>
      <c r="C90" t="s">
        <v>8337</v>
      </c>
      <c r="D90" t="s">
        <v>8254</v>
      </c>
      <c r="E90" s="225">
        <v>240</v>
      </c>
      <c r="F90" t="s">
        <v>8338</v>
      </c>
      <c r="G90" t="s">
        <v>8339</v>
      </c>
      <c r="H90" t="s">
        <v>2434</v>
      </c>
      <c r="I90" s="99">
        <v>43539</v>
      </c>
      <c r="J90" s="99">
        <v>43541</v>
      </c>
      <c r="K90" t="s">
        <v>8158</v>
      </c>
      <c r="L90" t="s">
        <v>861</v>
      </c>
    </row>
    <row r="91" spans="2:12" x14ac:dyDescent="0.2">
      <c r="B91">
        <v>10289</v>
      </c>
      <c r="C91" t="s">
        <v>8340</v>
      </c>
      <c r="D91" t="s">
        <v>8244</v>
      </c>
      <c r="E91" s="225">
        <v>239.4</v>
      </c>
      <c r="F91" t="s">
        <v>8338</v>
      </c>
      <c r="G91" t="s">
        <v>8339</v>
      </c>
      <c r="H91" t="s">
        <v>2434</v>
      </c>
      <c r="I91" s="99">
        <v>43539</v>
      </c>
      <c r="J91" s="99">
        <v>43541</v>
      </c>
      <c r="K91" t="s">
        <v>8158</v>
      </c>
      <c r="L91" t="s">
        <v>861</v>
      </c>
    </row>
    <row r="92" spans="2:12" x14ac:dyDescent="0.2">
      <c r="B92">
        <v>10290</v>
      </c>
      <c r="C92" t="s">
        <v>8286</v>
      </c>
      <c r="D92" t="s">
        <v>8254</v>
      </c>
      <c r="E92" s="225">
        <v>340</v>
      </c>
      <c r="F92" t="s">
        <v>8748</v>
      </c>
      <c r="G92" t="s">
        <v>8747</v>
      </c>
      <c r="H92" t="s">
        <v>8710</v>
      </c>
      <c r="I92" s="99">
        <v>43540</v>
      </c>
      <c r="J92" s="99">
        <v>43547</v>
      </c>
      <c r="K92" t="s">
        <v>8320</v>
      </c>
      <c r="L92" t="s">
        <v>8321</v>
      </c>
    </row>
    <row r="93" spans="2:12" x14ac:dyDescent="0.2">
      <c r="B93">
        <v>10290</v>
      </c>
      <c r="C93" t="s">
        <v>8397</v>
      </c>
      <c r="D93" t="s">
        <v>8254</v>
      </c>
      <c r="E93" s="225">
        <v>104</v>
      </c>
      <c r="F93" t="s">
        <v>8748</v>
      </c>
      <c r="G93" t="s">
        <v>8747</v>
      </c>
      <c r="H93" t="s">
        <v>8710</v>
      </c>
      <c r="I93" s="99">
        <v>43540</v>
      </c>
      <c r="J93" s="99">
        <v>43547</v>
      </c>
      <c r="K93" t="s">
        <v>8320</v>
      </c>
      <c r="L93" t="s">
        <v>8321</v>
      </c>
    </row>
    <row r="94" spans="2:12" x14ac:dyDescent="0.2">
      <c r="B94">
        <v>10290</v>
      </c>
      <c r="C94" t="s">
        <v>8390</v>
      </c>
      <c r="D94" t="s">
        <v>8262</v>
      </c>
      <c r="E94" s="225">
        <v>240</v>
      </c>
      <c r="F94" t="s">
        <v>8748</v>
      </c>
      <c r="G94" t="s">
        <v>8747</v>
      </c>
      <c r="H94" t="s">
        <v>8710</v>
      </c>
      <c r="I94" s="99">
        <v>43540</v>
      </c>
      <c r="J94" s="99">
        <v>43547</v>
      </c>
      <c r="K94" t="s">
        <v>8320</v>
      </c>
      <c r="L94" t="s">
        <v>8321</v>
      </c>
    </row>
    <row r="95" spans="2:12" x14ac:dyDescent="0.2">
      <c r="B95">
        <v>10291</v>
      </c>
      <c r="C95" t="s">
        <v>8322</v>
      </c>
      <c r="D95" t="s">
        <v>8254</v>
      </c>
      <c r="E95" s="225">
        <v>334.8</v>
      </c>
      <c r="F95" t="s">
        <v>8736</v>
      </c>
      <c r="G95" t="s">
        <v>8735</v>
      </c>
      <c r="H95" t="s">
        <v>8710</v>
      </c>
      <c r="I95" s="99">
        <v>43540</v>
      </c>
      <c r="J95" s="99">
        <v>43548</v>
      </c>
      <c r="K95" t="s">
        <v>8251</v>
      </c>
      <c r="L95" t="s">
        <v>269</v>
      </c>
    </row>
    <row r="96" spans="2:12" x14ac:dyDescent="0.2">
      <c r="B96">
        <v>10291</v>
      </c>
      <c r="C96" t="s">
        <v>8245</v>
      </c>
      <c r="D96" t="s">
        <v>8247</v>
      </c>
      <c r="E96" s="225">
        <v>76.319999999999993</v>
      </c>
      <c r="F96" t="s">
        <v>8736</v>
      </c>
      <c r="G96" t="s">
        <v>8735</v>
      </c>
      <c r="H96" t="s">
        <v>8710</v>
      </c>
      <c r="I96" s="99">
        <v>43540</v>
      </c>
      <c r="J96" s="99">
        <v>43548</v>
      </c>
      <c r="K96" t="s">
        <v>8251</v>
      </c>
      <c r="L96" t="s">
        <v>269</v>
      </c>
    </row>
    <row r="97" spans="2:12" x14ac:dyDescent="0.2">
      <c r="B97">
        <v>10292</v>
      </c>
      <c r="C97" t="s">
        <v>8260</v>
      </c>
      <c r="D97" t="s">
        <v>8262</v>
      </c>
      <c r="E97" s="225">
        <v>1296</v>
      </c>
      <c r="F97" t="s">
        <v>8746</v>
      </c>
      <c r="G97" t="s">
        <v>8745</v>
      </c>
      <c r="H97" t="s">
        <v>8710</v>
      </c>
      <c r="I97" s="99">
        <v>43541</v>
      </c>
      <c r="J97" s="99">
        <v>43546</v>
      </c>
      <c r="K97" t="s">
        <v>8285</v>
      </c>
      <c r="L97" t="s">
        <v>2317</v>
      </c>
    </row>
    <row r="98" spans="2:12" x14ac:dyDescent="0.2">
      <c r="B98">
        <v>10293</v>
      </c>
      <c r="C98" t="s">
        <v>8270</v>
      </c>
      <c r="D98" t="s">
        <v>8272</v>
      </c>
      <c r="E98" s="225">
        <v>36</v>
      </c>
      <c r="F98" t="s">
        <v>8742</v>
      </c>
      <c r="G98" t="s">
        <v>8741</v>
      </c>
      <c r="H98" t="s">
        <v>8704</v>
      </c>
      <c r="I98" s="99">
        <v>43542</v>
      </c>
      <c r="J98" s="99">
        <v>43555</v>
      </c>
      <c r="K98" t="s">
        <v>8285</v>
      </c>
      <c r="L98" t="s">
        <v>2317</v>
      </c>
    </row>
    <row r="99" spans="2:12" x14ac:dyDescent="0.2">
      <c r="B99">
        <v>10293</v>
      </c>
      <c r="C99" t="s">
        <v>8328</v>
      </c>
      <c r="D99" t="s">
        <v>8272</v>
      </c>
      <c r="E99" s="225">
        <v>37.200000000000003</v>
      </c>
      <c r="F99" t="s">
        <v>8742</v>
      </c>
      <c r="G99" t="s">
        <v>8741</v>
      </c>
      <c r="H99" t="s">
        <v>8704</v>
      </c>
      <c r="I99" s="99">
        <v>43542</v>
      </c>
      <c r="J99" s="99">
        <v>43555</v>
      </c>
      <c r="K99" t="s">
        <v>8285</v>
      </c>
      <c r="L99" t="s">
        <v>2317</v>
      </c>
    </row>
    <row r="100" spans="2:12" x14ac:dyDescent="0.2">
      <c r="B100">
        <v>10293</v>
      </c>
      <c r="C100" t="s">
        <v>8317</v>
      </c>
      <c r="D100" t="s">
        <v>8254</v>
      </c>
      <c r="E100" s="225">
        <v>175.5</v>
      </c>
      <c r="F100" t="s">
        <v>8742</v>
      </c>
      <c r="G100" t="s">
        <v>8741</v>
      </c>
      <c r="H100" t="s">
        <v>8704</v>
      </c>
      <c r="I100" s="99">
        <v>43542</v>
      </c>
      <c r="J100" s="99">
        <v>43555</v>
      </c>
      <c r="K100" t="s">
        <v>8285</v>
      </c>
      <c r="L100" t="s">
        <v>2317</v>
      </c>
    </row>
    <row r="101" spans="2:12" x14ac:dyDescent="0.2">
      <c r="B101">
        <v>10294</v>
      </c>
      <c r="C101" t="s">
        <v>8333</v>
      </c>
      <c r="D101" t="s">
        <v>8272</v>
      </c>
      <c r="E101" s="225">
        <v>259.2</v>
      </c>
      <c r="F101" t="s">
        <v>8703</v>
      </c>
      <c r="G101" t="s">
        <v>8702</v>
      </c>
      <c r="H101" t="s">
        <v>8701</v>
      </c>
      <c r="I101" s="99">
        <v>43543</v>
      </c>
      <c r="J101" s="99">
        <v>43549</v>
      </c>
      <c r="K101" t="s">
        <v>8266</v>
      </c>
      <c r="L101" t="s">
        <v>8267</v>
      </c>
    </row>
    <row r="102" spans="2:12" x14ac:dyDescent="0.2">
      <c r="B102">
        <v>10294</v>
      </c>
      <c r="C102" t="s">
        <v>8306</v>
      </c>
      <c r="D102" t="s">
        <v>8272</v>
      </c>
      <c r="E102" s="225">
        <v>552</v>
      </c>
      <c r="F102" t="s">
        <v>8703</v>
      </c>
      <c r="G102" t="s">
        <v>8702</v>
      </c>
      <c r="H102" t="s">
        <v>8701</v>
      </c>
      <c r="I102" s="99">
        <v>43543</v>
      </c>
      <c r="J102" s="99">
        <v>43549</v>
      </c>
      <c r="K102" t="s">
        <v>8266</v>
      </c>
      <c r="L102" t="s">
        <v>8267</v>
      </c>
    </row>
    <row r="103" spans="2:12" x14ac:dyDescent="0.2">
      <c r="B103">
        <v>10294</v>
      </c>
      <c r="C103" t="s">
        <v>8328</v>
      </c>
      <c r="D103" t="s">
        <v>8272</v>
      </c>
      <c r="E103" s="225">
        <v>37.200000000000003</v>
      </c>
      <c r="F103" t="s">
        <v>8703</v>
      </c>
      <c r="G103" t="s">
        <v>8702</v>
      </c>
      <c r="H103" t="s">
        <v>8701</v>
      </c>
      <c r="I103" s="99">
        <v>43543</v>
      </c>
      <c r="J103" s="99">
        <v>43549</v>
      </c>
      <c r="K103" t="s">
        <v>8266</v>
      </c>
      <c r="L103" t="s">
        <v>8267</v>
      </c>
    </row>
    <row r="104" spans="2:12" x14ac:dyDescent="0.2">
      <c r="B104">
        <v>10294</v>
      </c>
      <c r="C104" t="s">
        <v>8268</v>
      </c>
      <c r="D104" t="s">
        <v>8237</v>
      </c>
      <c r="E104" s="225">
        <v>571.20000000000005</v>
      </c>
      <c r="F104" t="s">
        <v>8703</v>
      </c>
      <c r="G104" t="s">
        <v>8702</v>
      </c>
      <c r="H104" t="s">
        <v>8701</v>
      </c>
      <c r="I104" s="99">
        <v>43543</v>
      </c>
      <c r="J104" s="99">
        <v>43549</v>
      </c>
      <c r="K104" t="s">
        <v>8266</v>
      </c>
      <c r="L104" t="s">
        <v>8267</v>
      </c>
    </row>
    <row r="105" spans="2:12" x14ac:dyDescent="0.2">
      <c r="B105">
        <v>10295</v>
      </c>
      <c r="C105" t="s">
        <v>8341</v>
      </c>
      <c r="D105" t="s">
        <v>8244</v>
      </c>
      <c r="E105" s="225">
        <v>121.6</v>
      </c>
      <c r="F105" t="s">
        <v>8238</v>
      </c>
      <c r="G105" t="s">
        <v>8239</v>
      </c>
      <c r="H105" t="s">
        <v>8236</v>
      </c>
      <c r="I105" s="99">
        <v>43546</v>
      </c>
      <c r="J105" s="99">
        <v>43554</v>
      </c>
      <c r="K105" t="s">
        <v>8297</v>
      </c>
      <c r="L105" t="s">
        <v>8298</v>
      </c>
    </row>
    <row r="106" spans="2:12" x14ac:dyDescent="0.2">
      <c r="B106">
        <v>10296</v>
      </c>
      <c r="C106" t="s">
        <v>8280</v>
      </c>
      <c r="D106" t="s">
        <v>8262</v>
      </c>
      <c r="E106" s="225">
        <v>417</v>
      </c>
      <c r="F106" t="s">
        <v>8709</v>
      </c>
      <c r="G106" t="s">
        <v>8708</v>
      </c>
      <c r="H106" t="s">
        <v>8707</v>
      </c>
      <c r="I106" s="99">
        <v>43547</v>
      </c>
      <c r="J106" s="99">
        <v>43555</v>
      </c>
      <c r="K106" t="s">
        <v>8251</v>
      </c>
      <c r="L106" t="s">
        <v>269</v>
      </c>
    </row>
    <row r="107" spans="2:12" x14ac:dyDescent="0.2">
      <c r="B107">
        <v>10296</v>
      </c>
      <c r="C107" t="s">
        <v>8242</v>
      </c>
      <c r="D107" t="s">
        <v>8237</v>
      </c>
      <c r="E107" s="225">
        <v>201.6</v>
      </c>
      <c r="F107" t="s">
        <v>8709</v>
      </c>
      <c r="G107" t="s">
        <v>8708</v>
      </c>
      <c r="H107" t="s">
        <v>8707</v>
      </c>
      <c r="I107" s="99">
        <v>43547</v>
      </c>
      <c r="J107" s="99">
        <v>43555</v>
      </c>
      <c r="K107" t="s">
        <v>8251</v>
      </c>
      <c r="L107" t="s">
        <v>269</v>
      </c>
    </row>
    <row r="108" spans="2:12" x14ac:dyDescent="0.2">
      <c r="B108">
        <v>10296</v>
      </c>
      <c r="C108" t="s">
        <v>8353</v>
      </c>
      <c r="D108" t="s">
        <v>8237</v>
      </c>
      <c r="E108" s="225">
        <v>432</v>
      </c>
      <c r="F108" t="s">
        <v>8709</v>
      </c>
      <c r="G108" t="s">
        <v>8708</v>
      </c>
      <c r="H108" t="s">
        <v>8707</v>
      </c>
      <c r="I108" s="99">
        <v>43547</v>
      </c>
      <c r="J108" s="99">
        <v>43555</v>
      </c>
      <c r="K108" t="s">
        <v>8251</v>
      </c>
      <c r="L108" t="s">
        <v>269</v>
      </c>
    </row>
    <row r="109" spans="2:12" x14ac:dyDescent="0.2">
      <c r="B109">
        <v>10297</v>
      </c>
      <c r="C109" t="s">
        <v>8342</v>
      </c>
      <c r="D109" t="s">
        <v>8272</v>
      </c>
      <c r="E109" s="225">
        <v>864</v>
      </c>
      <c r="F109" t="s">
        <v>8295</v>
      </c>
      <c r="G109" t="s">
        <v>8296</v>
      </c>
      <c r="H109" t="s">
        <v>8236</v>
      </c>
      <c r="I109" s="99">
        <v>43548</v>
      </c>
      <c r="J109" s="99">
        <v>43554</v>
      </c>
      <c r="K109" t="s">
        <v>8241</v>
      </c>
      <c r="L109" t="s">
        <v>6934</v>
      </c>
    </row>
    <row r="110" spans="2:12" x14ac:dyDescent="0.2">
      <c r="B110">
        <v>10297</v>
      </c>
      <c r="C110" t="s">
        <v>8235</v>
      </c>
      <c r="D110" t="s">
        <v>8237</v>
      </c>
      <c r="E110" s="225">
        <v>556</v>
      </c>
      <c r="F110" t="s">
        <v>8295</v>
      </c>
      <c r="G110" t="s">
        <v>8296</v>
      </c>
      <c r="H110" t="s">
        <v>8236</v>
      </c>
      <c r="I110" s="99">
        <v>43548</v>
      </c>
      <c r="J110" s="99">
        <v>43554</v>
      </c>
      <c r="K110" t="s">
        <v>8241</v>
      </c>
      <c r="L110" t="s">
        <v>6934</v>
      </c>
    </row>
    <row r="111" spans="2:12" x14ac:dyDescent="0.2">
      <c r="B111">
        <v>10298</v>
      </c>
      <c r="C111" t="s">
        <v>8276</v>
      </c>
      <c r="D111" t="s">
        <v>8272</v>
      </c>
      <c r="E111" s="225">
        <v>608</v>
      </c>
      <c r="F111" t="s">
        <v>8344</v>
      </c>
      <c r="G111" t="s">
        <v>8345</v>
      </c>
      <c r="H111" t="s">
        <v>8343</v>
      </c>
      <c r="I111" s="99">
        <v>43549</v>
      </c>
      <c r="J111" s="99">
        <v>43555</v>
      </c>
      <c r="K111" t="s">
        <v>8251</v>
      </c>
      <c r="L111" t="s">
        <v>269</v>
      </c>
    </row>
    <row r="112" spans="2:12" x14ac:dyDescent="0.2">
      <c r="B112">
        <v>10298</v>
      </c>
      <c r="C112" t="s">
        <v>8291</v>
      </c>
      <c r="D112" t="s">
        <v>8262</v>
      </c>
      <c r="E112" s="225">
        <v>591</v>
      </c>
      <c r="F112" t="s">
        <v>8344</v>
      </c>
      <c r="G112" t="s">
        <v>8345</v>
      </c>
      <c r="H112" t="s">
        <v>8343</v>
      </c>
      <c r="I112" s="99">
        <v>43549</v>
      </c>
      <c r="J112" s="99">
        <v>43555</v>
      </c>
      <c r="K112" t="s">
        <v>8251</v>
      </c>
      <c r="L112" t="s">
        <v>269</v>
      </c>
    </row>
    <row r="113" spans="2:12" x14ac:dyDescent="0.2">
      <c r="B113">
        <v>10298</v>
      </c>
      <c r="C113" t="s">
        <v>8281</v>
      </c>
      <c r="D113" t="s">
        <v>8237</v>
      </c>
      <c r="E113" s="225">
        <v>990</v>
      </c>
      <c r="F113" t="s">
        <v>8344</v>
      </c>
      <c r="G113" t="s">
        <v>8345</v>
      </c>
      <c r="H113" t="s">
        <v>8343</v>
      </c>
      <c r="I113" s="99">
        <v>43549</v>
      </c>
      <c r="J113" s="99">
        <v>43555</v>
      </c>
      <c r="K113" t="s">
        <v>8251</v>
      </c>
      <c r="L113" t="s">
        <v>269</v>
      </c>
    </row>
    <row r="114" spans="2:12" x14ac:dyDescent="0.2">
      <c r="B114">
        <v>10299</v>
      </c>
      <c r="C114" t="s">
        <v>8288</v>
      </c>
      <c r="D114" t="s">
        <v>8272</v>
      </c>
      <c r="E114" s="225">
        <v>240</v>
      </c>
      <c r="F114" t="s">
        <v>8716</v>
      </c>
      <c r="G114" t="s">
        <v>8715</v>
      </c>
      <c r="H114" t="s">
        <v>8710</v>
      </c>
      <c r="I114" s="99">
        <v>43550</v>
      </c>
      <c r="J114" s="99">
        <v>43557</v>
      </c>
      <c r="K114" t="s">
        <v>8266</v>
      </c>
      <c r="L114" t="s">
        <v>8267</v>
      </c>
    </row>
    <row r="115" spans="2:12" x14ac:dyDescent="0.2">
      <c r="B115">
        <v>10299</v>
      </c>
      <c r="C115" t="s">
        <v>8327</v>
      </c>
      <c r="D115" t="s">
        <v>8262</v>
      </c>
      <c r="E115" s="225">
        <v>109.5</v>
      </c>
      <c r="F115" t="s">
        <v>8716</v>
      </c>
      <c r="G115" t="s">
        <v>8715</v>
      </c>
      <c r="H115" t="s">
        <v>8710</v>
      </c>
      <c r="I115" s="99">
        <v>43550</v>
      </c>
      <c r="J115" s="99">
        <v>43557</v>
      </c>
      <c r="K115" t="s">
        <v>8266</v>
      </c>
      <c r="L115" t="s">
        <v>8267</v>
      </c>
    </row>
    <row r="116" spans="2:12" x14ac:dyDescent="0.2">
      <c r="B116">
        <v>10300</v>
      </c>
      <c r="C116" t="s">
        <v>8348</v>
      </c>
      <c r="D116" t="s">
        <v>8254</v>
      </c>
      <c r="E116" s="225">
        <v>408</v>
      </c>
      <c r="F116" t="s">
        <v>8312</v>
      </c>
      <c r="G116" t="s">
        <v>8313</v>
      </c>
      <c r="H116" t="s">
        <v>8311</v>
      </c>
      <c r="I116" s="99">
        <v>43553</v>
      </c>
      <c r="J116" s="99">
        <v>43562</v>
      </c>
      <c r="K116" t="s">
        <v>8297</v>
      </c>
      <c r="L116" t="s">
        <v>8298</v>
      </c>
    </row>
    <row r="117" spans="2:12" x14ac:dyDescent="0.2">
      <c r="B117">
        <v>10300</v>
      </c>
      <c r="C117" t="s">
        <v>8334</v>
      </c>
      <c r="D117" t="s">
        <v>8262</v>
      </c>
      <c r="E117" s="225">
        <v>200</v>
      </c>
      <c r="F117" t="s">
        <v>8312</v>
      </c>
      <c r="G117" t="s">
        <v>8313</v>
      </c>
      <c r="H117" t="s">
        <v>8311</v>
      </c>
      <c r="I117" s="99">
        <v>43553</v>
      </c>
      <c r="J117" s="99">
        <v>43562</v>
      </c>
      <c r="K117" t="s">
        <v>8297</v>
      </c>
      <c r="L117" t="s">
        <v>8298</v>
      </c>
    </row>
    <row r="118" spans="2:12" x14ac:dyDescent="0.2">
      <c r="B118">
        <v>10301</v>
      </c>
      <c r="C118" t="s">
        <v>8341</v>
      </c>
      <c r="D118" t="s">
        <v>8244</v>
      </c>
      <c r="E118" s="225">
        <v>608</v>
      </c>
      <c r="F118" t="s">
        <v>8346</v>
      </c>
      <c r="G118" t="s">
        <v>8347</v>
      </c>
      <c r="H118" t="s">
        <v>8246</v>
      </c>
      <c r="I118" s="99">
        <v>43553</v>
      </c>
      <c r="J118" s="99">
        <v>43561</v>
      </c>
      <c r="K118" t="s">
        <v>8320</v>
      </c>
      <c r="L118" t="s">
        <v>8321</v>
      </c>
    </row>
    <row r="119" spans="2:12" x14ac:dyDescent="0.2">
      <c r="B119">
        <v>10302</v>
      </c>
      <c r="C119" t="s">
        <v>8306</v>
      </c>
      <c r="D119" t="s">
        <v>8272</v>
      </c>
      <c r="E119" s="225">
        <v>441.6</v>
      </c>
      <c r="F119" t="s">
        <v>8263</v>
      </c>
      <c r="G119" t="s">
        <v>8264</v>
      </c>
      <c r="H119" t="s">
        <v>8261</v>
      </c>
      <c r="I119" s="99">
        <v>43554</v>
      </c>
      <c r="J119" s="99">
        <v>43583</v>
      </c>
      <c r="K119" t="s">
        <v>8266</v>
      </c>
      <c r="L119" t="s">
        <v>8267</v>
      </c>
    </row>
    <row r="120" spans="2:12" x14ac:dyDescent="0.2">
      <c r="B120">
        <v>10302</v>
      </c>
      <c r="C120" t="s">
        <v>8316</v>
      </c>
      <c r="D120" t="s">
        <v>8247</v>
      </c>
      <c r="E120" s="225">
        <v>1019.2</v>
      </c>
      <c r="F120" t="s">
        <v>8263</v>
      </c>
      <c r="G120" t="s">
        <v>8264</v>
      </c>
      <c r="H120" t="s">
        <v>8261</v>
      </c>
      <c r="I120" s="99">
        <v>43554</v>
      </c>
      <c r="J120" s="99">
        <v>43583</v>
      </c>
      <c r="K120" t="s">
        <v>8266</v>
      </c>
      <c r="L120" t="s">
        <v>8267</v>
      </c>
    </row>
    <row r="121" spans="2:12" x14ac:dyDescent="0.2">
      <c r="B121">
        <v>10303</v>
      </c>
      <c r="C121" t="s">
        <v>8253</v>
      </c>
      <c r="D121" t="s">
        <v>8254</v>
      </c>
      <c r="E121" s="225">
        <v>453.6</v>
      </c>
      <c r="F121" t="s">
        <v>8349</v>
      </c>
      <c r="G121" t="s">
        <v>8350</v>
      </c>
      <c r="H121" t="s">
        <v>8324</v>
      </c>
      <c r="I121" s="99">
        <v>43555</v>
      </c>
      <c r="J121" s="99">
        <v>43562</v>
      </c>
      <c r="K121" t="s">
        <v>8158</v>
      </c>
      <c r="L121" t="s">
        <v>861</v>
      </c>
    </row>
    <row r="122" spans="2:12" x14ac:dyDescent="0.2">
      <c r="B122">
        <v>10303</v>
      </c>
      <c r="C122" t="s">
        <v>8334</v>
      </c>
      <c r="D122" t="s">
        <v>8262</v>
      </c>
      <c r="E122" s="225">
        <v>135</v>
      </c>
      <c r="F122" t="s">
        <v>8349</v>
      </c>
      <c r="G122" t="s">
        <v>8350</v>
      </c>
      <c r="H122" t="s">
        <v>8324</v>
      </c>
      <c r="I122" s="99">
        <v>43555</v>
      </c>
      <c r="J122" s="99">
        <v>43562</v>
      </c>
      <c r="K122" t="s">
        <v>8158</v>
      </c>
      <c r="L122" t="s">
        <v>861</v>
      </c>
    </row>
    <row r="123" spans="2:12" x14ac:dyDescent="0.2">
      <c r="B123">
        <v>10304</v>
      </c>
      <c r="C123" t="s">
        <v>8390</v>
      </c>
      <c r="D123" t="s">
        <v>8262</v>
      </c>
      <c r="E123" s="225">
        <v>480</v>
      </c>
      <c r="F123" t="s">
        <v>8742</v>
      </c>
      <c r="G123" t="s">
        <v>8741</v>
      </c>
      <c r="H123" t="s">
        <v>8704</v>
      </c>
      <c r="I123" s="99">
        <v>43556</v>
      </c>
      <c r="J123" s="99">
        <v>43561</v>
      </c>
      <c r="K123" t="s">
        <v>8285</v>
      </c>
      <c r="L123" t="s">
        <v>2317</v>
      </c>
    </row>
    <row r="124" spans="2:12" x14ac:dyDescent="0.2">
      <c r="B124">
        <v>10304</v>
      </c>
      <c r="C124" t="s">
        <v>8281</v>
      </c>
      <c r="D124" t="s">
        <v>8237</v>
      </c>
      <c r="E124" s="225">
        <v>440</v>
      </c>
      <c r="F124" t="s">
        <v>8742</v>
      </c>
      <c r="G124" t="s">
        <v>8741</v>
      </c>
      <c r="H124" t="s">
        <v>8704</v>
      </c>
      <c r="I124" s="99">
        <v>43556</v>
      </c>
      <c r="J124" s="99">
        <v>43561</v>
      </c>
      <c r="K124" t="s">
        <v>8285</v>
      </c>
      <c r="L124" t="s">
        <v>2317</v>
      </c>
    </row>
    <row r="125" spans="2:12" x14ac:dyDescent="0.2">
      <c r="B125">
        <v>10304</v>
      </c>
      <c r="C125" t="s">
        <v>8310</v>
      </c>
      <c r="D125" t="s">
        <v>8237</v>
      </c>
      <c r="E125" s="225">
        <v>34.4</v>
      </c>
      <c r="F125" t="s">
        <v>8742</v>
      </c>
      <c r="G125" t="s">
        <v>8741</v>
      </c>
      <c r="H125" t="s">
        <v>8704</v>
      </c>
      <c r="I125" s="99">
        <v>43556</v>
      </c>
      <c r="J125" s="99">
        <v>43561</v>
      </c>
      <c r="K125" t="s">
        <v>8285</v>
      </c>
      <c r="L125" t="s">
        <v>2317</v>
      </c>
    </row>
    <row r="126" spans="2:12" x14ac:dyDescent="0.2">
      <c r="B126">
        <v>10305</v>
      </c>
      <c r="C126" t="s">
        <v>8342</v>
      </c>
      <c r="D126" t="s">
        <v>8272</v>
      </c>
      <c r="E126" s="225">
        <v>388.8</v>
      </c>
      <c r="F126" t="s">
        <v>8756</v>
      </c>
      <c r="G126" t="s">
        <v>8755</v>
      </c>
      <c r="H126" t="s">
        <v>8701</v>
      </c>
      <c r="I126" s="99">
        <v>43557</v>
      </c>
      <c r="J126" s="99">
        <v>43583</v>
      </c>
      <c r="K126" t="s">
        <v>8320</v>
      </c>
      <c r="L126" t="s">
        <v>8321</v>
      </c>
    </row>
    <row r="127" spans="2:12" x14ac:dyDescent="0.2">
      <c r="B127">
        <v>10307</v>
      </c>
      <c r="C127" t="s">
        <v>8291</v>
      </c>
      <c r="D127" t="s">
        <v>8262</v>
      </c>
      <c r="E127" s="225">
        <v>394</v>
      </c>
      <c r="F127" t="s">
        <v>8752</v>
      </c>
      <c r="G127" t="s">
        <v>8751</v>
      </c>
      <c r="H127" t="s">
        <v>8701</v>
      </c>
      <c r="I127" s="99">
        <v>43561</v>
      </c>
      <c r="J127" s="99">
        <v>43569</v>
      </c>
      <c r="K127" t="s">
        <v>8297</v>
      </c>
      <c r="L127" t="s">
        <v>8298</v>
      </c>
    </row>
    <row r="128" spans="2:12" x14ac:dyDescent="0.2">
      <c r="B128">
        <v>10307</v>
      </c>
      <c r="C128" t="s">
        <v>8334</v>
      </c>
      <c r="D128" t="s">
        <v>8262</v>
      </c>
      <c r="E128" s="225">
        <v>30</v>
      </c>
      <c r="F128" t="s">
        <v>8752</v>
      </c>
      <c r="G128" t="s">
        <v>8751</v>
      </c>
      <c r="H128" t="s">
        <v>8701</v>
      </c>
      <c r="I128" s="99">
        <v>43561</v>
      </c>
      <c r="J128" s="99">
        <v>43569</v>
      </c>
      <c r="K128" t="s">
        <v>8297</v>
      </c>
      <c r="L128" t="s">
        <v>8298</v>
      </c>
    </row>
    <row r="129" spans="2:12" x14ac:dyDescent="0.2">
      <c r="B129">
        <v>10308</v>
      </c>
      <c r="C129" t="s">
        <v>8288</v>
      </c>
      <c r="D129" t="s">
        <v>8272</v>
      </c>
      <c r="E129" s="225">
        <v>60</v>
      </c>
      <c r="F129" t="s">
        <v>8750</v>
      </c>
      <c r="G129" t="s">
        <v>8749</v>
      </c>
      <c r="H129" t="s">
        <v>8704</v>
      </c>
      <c r="I129" s="99">
        <v>43562</v>
      </c>
      <c r="J129" s="99">
        <v>43568</v>
      </c>
      <c r="K129" t="s">
        <v>8158</v>
      </c>
      <c r="L129" t="s">
        <v>861</v>
      </c>
    </row>
    <row r="130" spans="2:12" x14ac:dyDescent="0.2">
      <c r="B130">
        <v>10308</v>
      </c>
      <c r="C130" t="s">
        <v>8353</v>
      </c>
      <c r="D130" t="s">
        <v>8237</v>
      </c>
      <c r="E130" s="225">
        <v>28.8</v>
      </c>
      <c r="F130" t="s">
        <v>8750</v>
      </c>
      <c r="G130" t="s">
        <v>8749</v>
      </c>
      <c r="H130" t="s">
        <v>8704</v>
      </c>
      <c r="I130" s="99">
        <v>43562</v>
      </c>
      <c r="J130" s="99">
        <v>43568</v>
      </c>
      <c r="K130" t="s">
        <v>8158</v>
      </c>
      <c r="L130" t="s">
        <v>861</v>
      </c>
    </row>
    <row r="131" spans="2:12" x14ac:dyDescent="0.2">
      <c r="B131">
        <v>10309</v>
      </c>
      <c r="C131" t="s">
        <v>8306</v>
      </c>
      <c r="D131" t="s">
        <v>8272</v>
      </c>
      <c r="E131" s="225">
        <v>736</v>
      </c>
      <c r="F131" t="s">
        <v>8344</v>
      </c>
      <c r="G131" t="s">
        <v>8345</v>
      </c>
      <c r="H131" t="s">
        <v>8343</v>
      </c>
      <c r="I131" s="99">
        <v>43563</v>
      </c>
      <c r="J131" s="99">
        <v>43597</v>
      </c>
      <c r="K131" t="s">
        <v>8257</v>
      </c>
      <c r="L131" t="s">
        <v>6984</v>
      </c>
    </row>
    <row r="132" spans="2:12" x14ac:dyDescent="0.2">
      <c r="B132">
        <v>10309</v>
      </c>
      <c r="C132" t="s">
        <v>8352</v>
      </c>
      <c r="D132" t="s">
        <v>8254</v>
      </c>
      <c r="E132" s="225">
        <v>352</v>
      </c>
      <c r="F132" t="s">
        <v>8344</v>
      </c>
      <c r="G132" t="s">
        <v>8345</v>
      </c>
      <c r="H132" t="s">
        <v>8343</v>
      </c>
      <c r="I132" s="99">
        <v>43563</v>
      </c>
      <c r="J132" s="99">
        <v>43597</v>
      </c>
      <c r="K132" t="s">
        <v>8257</v>
      </c>
      <c r="L132" t="s">
        <v>6984</v>
      </c>
    </row>
    <row r="133" spans="2:12" x14ac:dyDescent="0.2">
      <c r="B133">
        <v>10309</v>
      </c>
      <c r="C133" t="s">
        <v>8351</v>
      </c>
      <c r="D133" t="s">
        <v>8254</v>
      </c>
      <c r="E133" s="225">
        <v>600</v>
      </c>
      <c r="F133" t="s">
        <v>8344</v>
      </c>
      <c r="G133" t="s">
        <v>8345</v>
      </c>
      <c r="H133" t="s">
        <v>8343</v>
      </c>
      <c r="I133" s="99">
        <v>43563</v>
      </c>
      <c r="J133" s="99">
        <v>43597</v>
      </c>
      <c r="K133" t="s">
        <v>8257</v>
      </c>
      <c r="L133" t="s">
        <v>6984</v>
      </c>
    </row>
    <row r="134" spans="2:12" x14ac:dyDescent="0.2">
      <c r="B134">
        <v>10309</v>
      </c>
      <c r="C134" t="s">
        <v>8310</v>
      </c>
      <c r="D134" t="s">
        <v>8237</v>
      </c>
      <c r="E134" s="225">
        <v>51.6</v>
      </c>
      <c r="F134" t="s">
        <v>8344</v>
      </c>
      <c r="G134" t="s">
        <v>8345</v>
      </c>
      <c r="H134" t="s">
        <v>8343</v>
      </c>
      <c r="I134" s="99">
        <v>43563</v>
      </c>
      <c r="J134" s="99">
        <v>43597</v>
      </c>
      <c r="K134" t="s">
        <v>8257</v>
      </c>
      <c r="L134" t="s">
        <v>6984</v>
      </c>
    </row>
    <row r="135" spans="2:12" x14ac:dyDescent="0.2">
      <c r="B135">
        <v>10309</v>
      </c>
      <c r="C135" t="s">
        <v>8243</v>
      </c>
      <c r="D135" t="s">
        <v>8244</v>
      </c>
      <c r="E135" s="225">
        <v>22.4</v>
      </c>
      <c r="F135" t="s">
        <v>8344</v>
      </c>
      <c r="G135" t="s">
        <v>8345</v>
      </c>
      <c r="H135" t="s">
        <v>8343</v>
      </c>
      <c r="I135" s="99">
        <v>43563</v>
      </c>
      <c r="J135" s="99">
        <v>43597</v>
      </c>
      <c r="K135" t="s">
        <v>8257</v>
      </c>
      <c r="L135" t="s">
        <v>6984</v>
      </c>
    </row>
    <row r="136" spans="2:12" x14ac:dyDescent="0.2">
      <c r="B136">
        <v>10310</v>
      </c>
      <c r="C136" t="s">
        <v>8280</v>
      </c>
      <c r="D136" t="s">
        <v>8262</v>
      </c>
      <c r="E136" s="225">
        <v>139</v>
      </c>
      <c r="F136" t="s">
        <v>8754</v>
      </c>
      <c r="G136" t="s">
        <v>8753</v>
      </c>
      <c r="H136" t="s">
        <v>8701</v>
      </c>
      <c r="I136" s="99">
        <v>43564</v>
      </c>
      <c r="J136" s="99">
        <v>43571</v>
      </c>
      <c r="K136" t="s">
        <v>8320</v>
      </c>
      <c r="L136" t="s">
        <v>8321</v>
      </c>
    </row>
    <row r="137" spans="2:12" x14ac:dyDescent="0.2">
      <c r="B137">
        <v>10310</v>
      </c>
      <c r="C137" t="s">
        <v>8291</v>
      </c>
      <c r="D137" t="s">
        <v>8262</v>
      </c>
      <c r="E137" s="225">
        <v>197</v>
      </c>
      <c r="F137" t="s">
        <v>8754</v>
      </c>
      <c r="G137" t="s">
        <v>8753</v>
      </c>
      <c r="H137" t="s">
        <v>8701</v>
      </c>
      <c r="I137" s="99">
        <v>43564</v>
      </c>
      <c r="J137" s="99">
        <v>43571</v>
      </c>
      <c r="K137" t="s">
        <v>8320</v>
      </c>
      <c r="L137" t="s">
        <v>8321</v>
      </c>
    </row>
    <row r="138" spans="2:12" x14ac:dyDescent="0.2">
      <c r="B138">
        <v>10311</v>
      </c>
      <c r="C138" t="s">
        <v>8353</v>
      </c>
      <c r="D138" t="s">
        <v>8237</v>
      </c>
      <c r="E138" s="225">
        <v>201.6</v>
      </c>
      <c r="F138" t="s">
        <v>8354</v>
      </c>
      <c r="G138" t="s">
        <v>8355</v>
      </c>
      <c r="H138" t="s">
        <v>8236</v>
      </c>
      <c r="I138" s="99">
        <v>43564</v>
      </c>
      <c r="J138" s="99">
        <v>43570</v>
      </c>
      <c r="K138" t="s">
        <v>8285</v>
      </c>
      <c r="L138" t="s">
        <v>2317</v>
      </c>
    </row>
    <row r="139" spans="2:12" x14ac:dyDescent="0.2">
      <c r="B139">
        <v>10311</v>
      </c>
      <c r="C139" t="s">
        <v>8243</v>
      </c>
      <c r="D139" t="s">
        <v>8244</v>
      </c>
      <c r="E139" s="225">
        <v>67.2</v>
      </c>
      <c r="F139" t="s">
        <v>8354</v>
      </c>
      <c r="G139" t="s">
        <v>8355</v>
      </c>
      <c r="H139" t="s">
        <v>8236</v>
      </c>
      <c r="I139" s="99">
        <v>43564</v>
      </c>
      <c r="J139" s="99">
        <v>43570</v>
      </c>
      <c r="K139" t="s">
        <v>8285</v>
      </c>
      <c r="L139" t="s">
        <v>2317</v>
      </c>
    </row>
    <row r="140" spans="2:12" x14ac:dyDescent="0.2">
      <c r="B140">
        <v>10312</v>
      </c>
      <c r="C140" t="s">
        <v>8306</v>
      </c>
      <c r="D140" t="s">
        <v>8272</v>
      </c>
      <c r="E140" s="225">
        <v>883.2</v>
      </c>
      <c r="F140" t="s">
        <v>8346</v>
      </c>
      <c r="G140" t="s">
        <v>8347</v>
      </c>
      <c r="H140" t="s">
        <v>8246</v>
      </c>
      <c r="I140" s="99">
        <v>43567</v>
      </c>
      <c r="J140" s="99">
        <v>43577</v>
      </c>
      <c r="K140" t="s">
        <v>8297</v>
      </c>
      <c r="L140" t="s">
        <v>8298</v>
      </c>
    </row>
    <row r="141" spans="2:12" x14ac:dyDescent="0.2">
      <c r="B141">
        <v>10312</v>
      </c>
      <c r="C141" t="s">
        <v>8328</v>
      </c>
      <c r="D141" t="s">
        <v>8272</v>
      </c>
      <c r="E141" s="225">
        <v>62</v>
      </c>
      <c r="F141" t="s">
        <v>8346</v>
      </c>
      <c r="G141" t="s">
        <v>8347</v>
      </c>
      <c r="H141" t="s">
        <v>8246</v>
      </c>
      <c r="I141" s="99">
        <v>43567</v>
      </c>
      <c r="J141" s="99">
        <v>43577</v>
      </c>
      <c r="K141" t="s">
        <v>8297</v>
      </c>
      <c r="L141" t="s">
        <v>8298</v>
      </c>
    </row>
    <row r="142" spans="2:12" x14ac:dyDescent="0.2">
      <c r="B142">
        <v>10312</v>
      </c>
      <c r="C142" t="s">
        <v>8316</v>
      </c>
      <c r="D142" t="s">
        <v>8247</v>
      </c>
      <c r="E142" s="225">
        <v>145.6</v>
      </c>
      <c r="F142" t="s">
        <v>8346</v>
      </c>
      <c r="G142" t="s">
        <v>8347</v>
      </c>
      <c r="H142" t="s">
        <v>8246</v>
      </c>
      <c r="I142" s="99">
        <v>43567</v>
      </c>
      <c r="J142" s="99">
        <v>43577</v>
      </c>
      <c r="K142" t="s">
        <v>8297</v>
      </c>
      <c r="L142" t="s">
        <v>8298</v>
      </c>
    </row>
    <row r="143" spans="2:12" x14ac:dyDescent="0.2">
      <c r="B143">
        <v>10314</v>
      </c>
      <c r="C143" t="s">
        <v>8291</v>
      </c>
      <c r="D143" t="s">
        <v>8262</v>
      </c>
      <c r="E143" s="225">
        <v>886.5</v>
      </c>
      <c r="F143" t="s">
        <v>8703</v>
      </c>
      <c r="G143" t="s">
        <v>8702</v>
      </c>
      <c r="H143" t="s">
        <v>8701</v>
      </c>
      <c r="I143" s="99">
        <v>43569</v>
      </c>
      <c r="J143" s="99">
        <v>43578</v>
      </c>
      <c r="K143" t="s">
        <v>8285</v>
      </c>
      <c r="L143" t="s">
        <v>2317</v>
      </c>
    </row>
    <row r="144" spans="2:12" x14ac:dyDescent="0.2">
      <c r="B144">
        <v>10314</v>
      </c>
      <c r="C144" t="s">
        <v>8287</v>
      </c>
      <c r="D144" t="s">
        <v>8237</v>
      </c>
      <c r="E144" s="225">
        <v>921.6</v>
      </c>
      <c r="F144" t="s">
        <v>8703</v>
      </c>
      <c r="G144" t="s">
        <v>8702</v>
      </c>
      <c r="H144" t="s">
        <v>8701</v>
      </c>
      <c r="I144" s="99">
        <v>43569</v>
      </c>
      <c r="J144" s="99">
        <v>43578</v>
      </c>
      <c r="K144" t="s">
        <v>8285</v>
      </c>
      <c r="L144" t="s">
        <v>2317</v>
      </c>
    </row>
    <row r="145" spans="2:12" x14ac:dyDescent="0.2">
      <c r="B145">
        <v>10315</v>
      </c>
      <c r="C145" t="s">
        <v>8358</v>
      </c>
      <c r="D145" t="s">
        <v>8272</v>
      </c>
      <c r="E145" s="225">
        <v>156.80000000000001</v>
      </c>
      <c r="F145" t="s">
        <v>8356</v>
      </c>
      <c r="G145" t="s">
        <v>8357</v>
      </c>
      <c r="H145" t="s">
        <v>2434</v>
      </c>
      <c r="I145" s="99">
        <v>43570</v>
      </c>
      <c r="J145" s="99">
        <v>43577</v>
      </c>
      <c r="K145" t="s">
        <v>8266</v>
      </c>
      <c r="L145" t="s">
        <v>8267</v>
      </c>
    </row>
    <row r="146" spans="2:12" x14ac:dyDescent="0.2">
      <c r="B146">
        <v>10315</v>
      </c>
      <c r="C146" t="s">
        <v>8288</v>
      </c>
      <c r="D146" t="s">
        <v>8272</v>
      </c>
      <c r="E146" s="225">
        <v>360</v>
      </c>
      <c r="F146" t="s">
        <v>8356</v>
      </c>
      <c r="G146" t="s">
        <v>8357</v>
      </c>
      <c r="H146" t="s">
        <v>2434</v>
      </c>
      <c r="I146" s="99">
        <v>43570</v>
      </c>
      <c r="J146" s="99">
        <v>43577</v>
      </c>
      <c r="K146" t="s">
        <v>8266</v>
      </c>
      <c r="L146" t="s">
        <v>8267</v>
      </c>
    </row>
    <row r="147" spans="2:12" x14ac:dyDescent="0.2">
      <c r="B147">
        <v>10316</v>
      </c>
      <c r="C147" t="s">
        <v>8291</v>
      </c>
      <c r="D147" t="s">
        <v>8262</v>
      </c>
      <c r="E147" s="225">
        <v>2758</v>
      </c>
      <c r="F147" t="s">
        <v>8703</v>
      </c>
      <c r="G147" t="s">
        <v>8702</v>
      </c>
      <c r="H147" t="s">
        <v>8701</v>
      </c>
      <c r="I147" s="99">
        <v>43571</v>
      </c>
      <c r="J147" s="99">
        <v>43582</v>
      </c>
      <c r="K147" t="s">
        <v>8285</v>
      </c>
      <c r="L147" t="s">
        <v>2317</v>
      </c>
    </row>
    <row r="148" spans="2:12" x14ac:dyDescent="0.2">
      <c r="B148">
        <v>10317</v>
      </c>
      <c r="C148" t="s">
        <v>8333</v>
      </c>
      <c r="D148" t="s">
        <v>8272</v>
      </c>
      <c r="E148" s="225">
        <v>288</v>
      </c>
      <c r="F148" t="s">
        <v>8752</v>
      </c>
      <c r="G148" t="s">
        <v>8751</v>
      </c>
      <c r="H148" t="s">
        <v>8701</v>
      </c>
      <c r="I148" s="99">
        <v>43574</v>
      </c>
      <c r="J148" s="99">
        <v>43584</v>
      </c>
      <c r="K148" t="s">
        <v>8251</v>
      </c>
      <c r="L148" t="s">
        <v>269</v>
      </c>
    </row>
    <row r="149" spans="2:12" x14ac:dyDescent="0.2">
      <c r="B149">
        <v>10318</v>
      </c>
      <c r="C149" t="s">
        <v>8303</v>
      </c>
      <c r="D149" t="s">
        <v>8272</v>
      </c>
      <c r="E149" s="225">
        <v>86.4</v>
      </c>
      <c r="F149" t="s">
        <v>8356</v>
      </c>
      <c r="G149" t="s">
        <v>8357</v>
      </c>
      <c r="H149" t="s">
        <v>2434</v>
      </c>
      <c r="I149" s="99">
        <v>43575</v>
      </c>
      <c r="J149" s="99">
        <v>43578</v>
      </c>
      <c r="K149" t="s">
        <v>8320</v>
      </c>
      <c r="L149" t="s">
        <v>8321</v>
      </c>
    </row>
    <row r="150" spans="2:12" x14ac:dyDescent="0.2">
      <c r="B150">
        <v>10319</v>
      </c>
      <c r="C150" t="s">
        <v>8303</v>
      </c>
      <c r="D150" t="s">
        <v>8272</v>
      </c>
      <c r="E150" s="225">
        <v>432</v>
      </c>
      <c r="F150" t="s">
        <v>8742</v>
      </c>
      <c r="G150" t="s">
        <v>8741</v>
      </c>
      <c r="H150" t="s">
        <v>8704</v>
      </c>
      <c r="I150" s="99">
        <v>43576</v>
      </c>
      <c r="J150" s="99">
        <v>43585</v>
      </c>
      <c r="K150" t="s">
        <v>8158</v>
      </c>
      <c r="L150" t="s">
        <v>861</v>
      </c>
    </row>
    <row r="151" spans="2:12" x14ac:dyDescent="0.2">
      <c r="B151">
        <v>10319</v>
      </c>
      <c r="C151" t="s">
        <v>8316</v>
      </c>
      <c r="D151" t="s">
        <v>8247</v>
      </c>
      <c r="E151" s="225">
        <v>509.6</v>
      </c>
      <c r="F151" t="s">
        <v>8742</v>
      </c>
      <c r="G151" t="s">
        <v>8741</v>
      </c>
      <c r="H151" t="s">
        <v>8704</v>
      </c>
      <c r="I151" s="99">
        <v>43576</v>
      </c>
      <c r="J151" s="99">
        <v>43585</v>
      </c>
      <c r="K151" t="s">
        <v>8158</v>
      </c>
      <c r="L151" t="s">
        <v>861</v>
      </c>
    </row>
    <row r="152" spans="2:12" x14ac:dyDescent="0.2">
      <c r="B152">
        <v>10320</v>
      </c>
      <c r="C152" t="s">
        <v>8310</v>
      </c>
      <c r="D152" t="s">
        <v>8237</v>
      </c>
      <c r="E152" s="225">
        <v>516</v>
      </c>
      <c r="F152" t="s">
        <v>8301</v>
      </c>
      <c r="G152" t="s">
        <v>8302</v>
      </c>
      <c r="H152" t="s">
        <v>8300</v>
      </c>
      <c r="I152" s="99">
        <v>43577</v>
      </c>
      <c r="J152" s="99">
        <v>43592</v>
      </c>
      <c r="K152" t="s">
        <v>8241</v>
      </c>
      <c r="L152" t="s">
        <v>6934</v>
      </c>
    </row>
    <row r="153" spans="2:12" x14ac:dyDescent="0.2">
      <c r="B153">
        <v>10321</v>
      </c>
      <c r="C153" t="s">
        <v>8323</v>
      </c>
      <c r="D153" t="s">
        <v>8272</v>
      </c>
      <c r="E153" s="225">
        <v>144</v>
      </c>
      <c r="F153" t="s">
        <v>8356</v>
      </c>
      <c r="G153" t="s">
        <v>8357</v>
      </c>
      <c r="H153" t="s">
        <v>2434</v>
      </c>
      <c r="I153" s="99">
        <v>43577</v>
      </c>
      <c r="J153" s="99">
        <v>43585</v>
      </c>
      <c r="K153" t="s">
        <v>8257</v>
      </c>
      <c r="L153" t="s">
        <v>6984</v>
      </c>
    </row>
    <row r="154" spans="2:12" x14ac:dyDescent="0.2">
      <c r="B154">
        <v>10322</v>
      </c>
      <c r="C154" t="s">
        <v>8369</v>
      </c>
      <c r="D154" t="s">
        <v>8244</v>
      </c>
      <c r="E154" s="225">
        <v>112</v>
      </c>
      <c r="F154" t="s">
        <v>8706</v>
      </c>
      <c r="G154" t="s">
        <v>8705</v>
      </c>
      <c r="H154" t="s">
        <v>8704</v>
      </c>
      <c r="I154" s="99">
        <v>43578</v>
      </c>
      <c r="J154" s="99">
        <v>43597</v>
      </c>
      <c r="K154" t="s">
        <v>8158</v>
      </c>
      <c r="L154" t="s">
        <v>861</v>
      </c>
    </row>
    <row r="155" spans="2:12" x14ac:dyDescent="0.2">
      <c r="B155">
        <v>10323</v>
      </c>
      <c r="C155" t="s">
        <v>8342</v>
      </c>
      <c r="D155" t="s">
        <v>8272</v>
      </c>
      <c r="E155" s="225">
        <v>57.6</v>
      </c>
      <c r="F155" t="s">
        <v>8359</v>
      </c>
      <c r="G155" t="s">
        <v>8360</v>
      </c>
      <c r="H155" t="s">
        <v>8246</v>
      </c>
      <c r="I155" s="99">
        <v>43581</v>
      </c>
      <c r="J155" s="99">
        <v>43588</v>
      </c>
      <c r="K155" t="s">
        <v>8266</v>
      </c>
      <c r="L155" t="s">
        <v>8267</v>
      </c>
    </row>
    <row r="156" spans="2:12" x14ac:dyDescent="0.2">
      <c r="B156">
        <v>10323</v>
      </c>
      <c r="C156" t="s">
        <v>8361</v>
      </c>
      <c r="D156" t="s">
        <v>8254</v>
      </c>
      <c r="E156" s="225">
        <v>62</v>
      </c>
      <c r="F156" t="s">
        <v>8359</v>
      </c>
      <c r="G156" t="s">
        <v>8360</v>
      </c>
      <c r="H156" t="s">
        <v>8246</v>
      </c>
      <c r="I156" s="99">
        <v>43581</v>
      </c>
      <c r="J156" s="99">
        <v>43588</v>
      </c>
      <c r="K156" t="s">
        <v>8266</v>
      </c>
      <c r="L156" t="s">
        <v>8267</v>
      </c>
    </row>
    <row r="157" spans="2:12" x14ac:dyDescent="0.2">
      <c r="B157">
        <v>10323</v>
      </c>
      <c r="C157" t="s">
        <v>8362</v>
      </c>
      <c r="D157" t="s">
        <v>8262</v>
      </c>
      <c r="E157" s="225">
        <v>44.8</v>
      </c>
      <c r="F157" t="s">
        <v>8359</v>
      </c>
      <c r="G157" t="s">
        <v>8360</v>
      </c>
      <c r="H157" t="s">
        <v>8246</v>
      </c>
      <c r="I157" s="99">
        <v>43581</v>
      </c>
      <c r="J157" s="99">
        <v>43588</v>
      </c>
      <c r="K157" t="s">
        <v>8266</v>
      </c>
      <c r="L157" t="s">
        <v>8267</v>
      </c>
    </row>
    <row r="158" spans="2:12" x14ac:dyDescent="0.2">
      <c r="B158">
        <v>10324</v>
      </c>
      <c r="C158" t="s">
        <v>8323</v>
      </c>
      <c r="D158" t="s">
        <v>8272</v>
      </c>
      <c r="E158" s="225">
        <v>856.8</v>
      </c>
      <c r="F158" t="s">
        <v>8758</v>
      </c>
      <c r="G158" t="s">
        <v>8757</v>
      </c>
      <c r="H158" t="s">
        <v>8701</v>
      </c>
      <c r="I158" s="99">
        <v>43582</v>
      </c>
      <c r="J158" s="99">
        <v>43584</v>
      </c>
      <c r="K158" t="s">
        <v>8279</v>
      </c>
      <c r="L158" t="s">
        <v>710</v>
      </c>
    </row>
    <row r="159" spans="2:12" x14ac:dyDescent="0.2">
      <c r="B159">
        <v>10324</v>
      </c>
      <c r="C159" t="s">
        <v>8317</v>
      </c>
      <c r="D159" t="s">
        <v>8254</v>
      </c>
      <c r="E159" s="225">
        <v>2386.8000000000002</v>
      </c>
      <c r="F159" t="s">
        <v>8758</v>
      </c>
      <c r="G159" t="s">
        <v>8757</v>
      </c>
      <c r="H159" t="s">
        <v>8701</v>
      </c>
      <c r="I159" s="99">
        <v>43582</v>
      </c>
      <c r="J159" s="99">
        <v>43584</v>
      </c>
      <c r="K159" t="s">
        <v>8279</v>
      </c>
      <c r="L159" t="s">
        <v>710</v>
      </c>
    </row>
    <row r="160" spans="2:12" x14ac:dyDescent="0.2">
      <c r="B160">
        <v>10324</v>
      </c>
      <c r="C160" t="s">
        <v>8280</v>
      </c>
      <c r="D160" t="s">
        <v>8262</v>
      </c>
      <c r="E160" s="225">
        <v>248.11</v>
      </c>
      <c r="F160" t="s">
        <v>8758</v>
      </c>
      <c r="G160" t="s">
        <v>8757</v>
      </c>
      <c r="H160" t="s">
        <v>8701</v>
      </c>
      <c r="I160" s="99">
        <v>43582</v>
      </c>
      <c r="J160" s="99">
        <v>43584</v>
      </c>
      <c r="K160" t="s">
        <v>8279</v>
      </c>
      <c r="L160" t="s">
        <v>710</v>
      </c>
    </row>
    <row r="161" spans="2:12" x14ac:dyDescent="0.2">
      <c r="B161">
        <v>10324</v>
      </c>
      <c r="C161" t="s">
        <v>8281</v>
      </c>
      <c r="D161" t="s">
        <v>8237</v>
      </c>
      <c r="E161" s="225">
        <v>1496</v>
      </c>
      <c r="F161" t="s">
        <v>8758</v>
      </c>
      <c r="G161" t="s">
        <v>8757</v>
      </c>
      <c r="H161" t="s">
        <v>8701</v>
      </c>
      <c r="I161" s="99">
        <v>43582</v>
      </c>
      <c r="J161" s="99">
        <v>43584</v>
      </c>
      <c r="K161" t="s">
        <v>8279</v>
      </c>
      <c r="L161" t="s">
        <v>710</v>
      </c>
    </row>
    <row r="162" spans="2:12" x14ac:dyDescent="0.2">
      <c r="B162">
        <v>10325</v>
      </c>
      <c r="C162" t="s">
        <v>8351</v>
      </c>
      <c r="D162" t="s">
        <v>8254</v>
      </c>
      <c r="E162" s="225">
        <v>120</v>
      </c>
      <c r="F162" t="s">
        <v>8359</v>
      </c>
      <c r="G162" t="s">
        <v>8360</v>
      </c>
      <c r="H162" t="s">
        <v>8246</v>
      </c>
      <c r="I162" s="99">
        <v>43583</v>
      </c>
      <c r="J162" s="99">
        <v>43588</v>
      </c>
      <c r="K162" t="s">
        <v>8285</v>
      </c>
      <c r="L162" t="s">
        <v>2317</v>
      </c>
    </row>
    <row r="163" spans="2:12" x14ac:dyDescent="0.2">
      <c r="B163">
        <v>10325</v>
      </c>
      <c r="C163" t="s">
        <v>8309</v>
      </c>
      <c r="D163" t="s">
        <v>8237</v>
      </c>
      <c r="E163" s="225">
        <v>40</v>
      </c>
      <c r="F163" t="s">
        <v>8359</v>
      </c>
      <c r="G163" t="s">
        <v>8360</v>
      </c>
      <c r="H163" t="s">
        <v>8246</v>
      </c>
      <c r="I163" s="99">
        <v>43583</v>
      </c>
      <c r="J163" s="99">
        <v>43588</v>
      </c>
      <c r="K163" t="s">
        <v>8285</v>
      </c>
      <c r="L163" t="s">
        <v>2317</v>
      </c>
    </row>
    <row r="164" spans="2:12" x14ac:dyDescent="0.2">
      <c r="B164">
        <v>10325</v>
      </c>
      <c r="C164" t="s">
        <v>8235</v>
      </c>
      <c r="D164" t="s">
        <v>8237</v>
      </c>
      <c r="E164" s="225">
        <v>1112</v>
      </c>
      <c r="F164" t="s">
        <v>8359</v>
      </c>
      <c r="G164" t="s">
        <v>8360</v>
      </c>
      <c r="H164" t="s">
        <v>8246</v>
      </c>
      <c r="I164" s="99">
        <v>43583</v>
      </c>
      <c r="J164" s="99">
        <v>43588</v>
      </c>
      <c r="K164" t="s">
        <v>8285</v>
      </c>
      <c r="L164" t="s">
        <v>2317</v>
      </c>
    </row>
    <row r="165" spans="2:12" x14ac:dyDescent="0.2">
      <c r="B165">
        <v>10325</v>
      </c>
      <c r="C165" t="s">
        <v>8252</v>
      </c>
      <c r="D165" t="s">
        <v>8247</v>
      </c>
      <c r="E165" s="225">
        <v>167.4</v>
      </c>
      <c r="F165" t="s">
        <v>8359</v>
      </c>
      <c r="G165" t="s">
        <v>8360</v>
      </c>
      <c r="H165" t="s">
        <v>8246</v>
      </c>
      <c r="I165" s="99">
        <v>43583</v>
      </c>
      <c r="J165" s="99">
        <v>43588</v>
      </c>
      <c r="K165" t="s">
        <v>8285</v>
      </c>
      <c r="L165" t="s">
        <v>2317</v>
      </c>
    </row>
    <row r="166" spans="2:12" x14ac:dyDescent="0.2">
      <c r="B166">
        <v>10326</v>
      </c>
      <c r="C166" t="s">
        <v>8328</v>
      </c>
      <c r="D166" t="s">
        <v>8272</v>
      </c>
      <c r="E166" s="225">
        <v>310</v>
      </c>
      <c r="F166" t="s">
        <v>8363</v>
      </c>
      <c r="G166" t="s">
        <v>8364</v>
      </c>
      <c r="H166" t="s">
        <v>8324</v>
      </c>
      <c r="I166" s="99">
        <v>43584</v>
      </c>
      <c r="J166" s="99">
        <v>43588</v>
      </c>
      <c r="K166" t="s">
        <v>8266</v>
      </c>
      <c r="L166" t="s">
        <v>8267</v>
      </c>
    </row>
    <row r="167" spans="2:12" x14ac:dyDescent="0.2">
      <c r="B167">
        <v>10326</v>
      </c>
      <c r="C167" t="s">
        <v>8352</v>
      </c>
      <c r="D167" t="s">
        <v>8254</v>
      </c>
      <c r="E167" s="225">
        <v>422.4</v>
      </c>
      <c r="F167" t="s">
        <v>8363</v>
      </c>
      <c r="G167" t="s">
        <v>8364</v>
      </c>
      <c r="H167" t="s">
        <v>8324</v>
      </c>
      <c r="I167" s="99">
        <v>43584</v>
      </c>
      <c r="J167" s="99">
        <v>43588</v>
      </c>
      <c r="K167" t="s">
        <v>8266</v>
      </c>
      <c r="L167" t="s">
        <v>8267</v>
      </c>
    </row>
    <row r="168" spans="2:12" x14ac:dyDescent="0.2">
      <c r="B168">
        <v>10326</v>
      </c>
      <c r="C168" t="s">
        <v>8258</v>
      </c>
      <c r="D168" t="s">
        <v>8244</v>
      </c>
      <c r="E168" s="225">
        <v>249.6</v>
      </c>
      <c r="F168" t="s">
        <v>8363</v>
      </c>
      <c r="G168" t="s">
        <v>8364</v>
      </c>
      <c r="H168" t="s">
        <v>8324</v>
      </c>
      <c r="I168" s="99">
        <v>43584</v>
      </c>
      <c r="J168" s="99">
        <v>43588</v>
      </c>
      <c r="K168" t="s">
        <v>8266</v>
      </c>
      <c r="L168" t="s">
        <v>8267</v>
      </c>
    </row>
    <row r="169" spans="2:12" x14ac:dyDescent="0.2">
      <c r="B169">
        <v>10327</v>
      </c>
      <c r="C169" t="s">
        <v>8276</v>
      </c>
      <c r="D169" t="s">
        <v>8272</v>
      </c>
      <c r="E169" s="225">
        <v>304</v>
      </c>
      <c r="F169" t="s">
        <v>8293</v>
      </c>
      <c r="G169" t="s">
        <v>8294</v>
      </c>
      <c r="H169" t="s">
        <v>8292</v>
      </c>
      <c r="I169" s="99">
        <v>43585</v>
      </c>
      <c r="J169" s="99">
        <v>43588</v>
      </c>
      <c r="K169" t="s">
        <v>8297</v>
      </c>
      <c r="L169" t="s">
        <v>8298</v>
      </c>
    </row>
    <row r="170" spans="2:12" x14ac:dyDescent="0.2">
      <c r="B170">
        <v>10327</v>
      </c>
      <c r="C170" t="s">
        <v>8242</v>
      </c>
      <c r="D170" t="s">
        <v>8237</v>
      </c>
      <c r="E170" s="225">
        <v>672</v>
      </c>
      <c r="F170" t="s">
        <v>8293</v>
      </c>
      <c r="G170" t="s">
        <v>8294</v>
      </c>
      <c r="H170" t="s">
        <v>8292</v>
      </c>
      <c r="I170" s="99">
        <v>43585</v>
      </c>
      <c r="J170" s="99">
        <v>43588</v>
      </c>
      <c r="K170" t="s">
        <v>8297</v>
      </c>
      <c r="L170" t="s">
        <v>8298</v>
      </c>
    </row>
    <row r="171" spans="2:12" x14ac:dyDescent="0.2">
      <c r="B171">
        <v>10328</v>
      </c>
      <c r="C171" t="s">
        <v>8253</v>
      </c>
      <c r="D171" t="s">
        <v>8254</v>
      </c>
      <c r="E171" s="225">
        <v>672</v>
      </c>
      <c r="F171" t="s">
        <v>8366</v>
      </c>
      <c r="G171" t="s">
        <v>8367</v>
      </c>
      <c r="H171" t="s">
        <v>8365</v>
      </c>
      <c r="I171" s="99">
        <v>43588</v>
      </c>
      <c r="J171" s="99">
        <v>43591</v>
      </c>
      <c r="K171" t="s">
        <v>8266</v>
      </c>
      <c r="L171" t="s">
        <v>8267</v>
      </c>
    </row>
    <row r="172" spans="2:12" x14ac:dyDescent="0.2">
      <c r="B172">
        <v>10328</v>
      </c>
      <c r="C172" t="s">
        <v>8334</v>
      </c>
      <c r="D172" t="s">
        <v>8262</v>
      </c>
      <c r="E172" s="225">
        <v>100</v>
      </c>
      <c r="F172" t="s">
        <v>8366</v>
      </c>
      <c r="G172" t="s">
        <v>8367</v>
      </c>
      <c r="H172" t="s">
        <v>8365</v>
      </c>
      <c r="I172" s="99">
        <v>43588</v>
      </c>
      <c r="J172" s="99">
        <v>43591</v>
      </c>
      <c r="K172" t="s">
        <v>8266</v>
      </c>
      <c r="L172" t="s">
        <v>8267</v>
      </c>
    </row>
    <row r="173" spans="2:12" x14ac:dyDescent="0.2">
      <c r="B173">
        <v>10328</v>
      </c>
      <c r="C173" t="s">
        <v>8281</v>
      </c>
      <c r="D173" t="s">
        <v>8237</v>
      </c>
      <c r="E173" s="225">
        <v>396</v>
      </c>
      <c r="F173" t="s">
        <v>8366</v>
      </c>
      <c r="G173" t="s">
        <v>8367</v>
      </c>
      <c r="H173" t="s">
        <v>8365</v>
      </c>
      <c r="I173" s="99">
        <v>43588</v>
      </c>
      <c r="J173" s="99">
        <v>43591</v>
      </c>
      <c r="K173" t="s">
        <v>8266</v>
      </c>
      <c r="L173" t="s">
        <v>8267</v>
      </c>
    </row>
    <row r="174" spans="2:12" x14ac:dyDescent="0.2">
      <c r="B174">
        <v>10329</v>
      </c>
      <c r="C174" t="s">
        <v>8380</v>
      </c>
      <c r="D174" t="s">
        <v>8272</v>
      </c>
      <c r="E174" s="225">
        <v>4005.2</v>
      </c>
      <c r="F174" t="s">
        <v>8744</v>
      </c>
      <c r="G174" t="s">
        <v>8743</v>
      </c>
      <c r="H174" t="s">
        <v>8701</v>
      </c>
      <c r="I174" s="99">
        <v>43589</v>
      </c>
      <c r="J174" s="99">
        <v>43597</v>
      </c>
      <c r="K174" t="s">
        <v>8266</v>
      </c>
      <c r="L174" t="s">
        <v>8267</v>
      </c>
    </row>
    <row r="175" spans="2:12" x14ac:dyDescent="0.2">
      <c r="B175">
        <v>10329</v>
      </c>
      <c r="C175" t="s">
        <v>8327</v>
      </c>
      <c r="D175" t="s">
        <v>8262</v>
      </c>
      <c r="E175" s="225">
        <v>69.349999999999994</v>
      </c>
      <c r="F175" t="s">
        <v>8744</v>
      </c>
      <c r="G175" t="s">
        <v>8743</v>
      </c>
      <c r="H175" t="s">
        <v>8701</v>
      </c>
      <c r="I175" s="99">
        <v>43589</v>
      </c>
      <c r="J175" s="99">
        <v>43597</v>
      </c>
      <c r="K175" t="s">
        <v>8266</v>
      </c>
      <c r="L175" t="s">
        <v>8267</v>
      </c>
    </row>
    <row r="176" spans="2:12" x14ac:dyDescent="0.2">
      <c r="B176">
        <v>10329</v>
      </c>
      <c r="C176" t="s">
        <v>8341</v>
      </c>
      <c r="D176" t="s">
        <v>8244</v>
      </c>
      <c r="E176" s="225">
        <v>346.56</v>
      </c>
      <c r="F176" t="s">
        <v>8744</v>
      </c>
      <c r="G176" t="s">
        <v>8743</v>
      </c>
      <c r="H176" t="s">
        <v>8701</v>
      </c>
      <c r="I176" s="99">
        <v>43589</v>
      </c>
      <c r="J176" s="99">
        <v>43597</v>
      </c>
      <c r="K176" t="s">
        <v>8266</v>
      </c>
      <c r="L176" t="s">
        <v>8267</v>
      </c>
    </row>
    <row r="177" spans="2:12" x14ac:dyDescent="0.2">
      <c r="B177">
        <v>10330</v>
      </c>
      <c r="C177" t="s">
        <v>8372</v>
      </c>
      <c r="D177" t="s">
        <v>8262</v>
      </c>
      <c r="E177" s="225">
        <v>1058.25</v>
      </c>
      <c r="F177" t="s">
        <v>8709</v>
      </c>
      <c r="G177" t="s">
        <v>8708</v>
      </c>
      <c r="H177" t="s">
        <v>8707</v>
      </c>
      <c r="I177" s="99">
        <v>43590</v>
      </c>
      <c r="J177" s="99">
        <v>43602</v>
      </c>
      <c r="K177" t="s">
        <v>8257</v>
      </c>
      <c r="L177" t="s">
        <v>6984</v>
      </c>
    </row>
    <row r="178" spans="2:12" x14ac:dyDescent="0.2">
      <c r="B178">
        <v>10330</v>
      </c>
      <c r="C178" t="s">
        <v>8235</v>
      </c>
      <c r="D178" t="s">
        <v>8237</v>
      </c>
      <c r="E178" s="225">
        <v>590.75</v>
      </c>
      <c r="F178" t="s">
        <v>8709</v>
      </c>
      <c r="G178" t="s">
        <v>8708</v>
      </c>
      <c r="H178" t="s">
        <v>8707</v>
      </c>
      <c r="I178" s="99">
        <v>43590</v>
      </c>
      <c r="J178" s="99">
        <v>43602</v>
      </c>
      <c r="K178" t="s">
        <v>8257</v>
      </c>
      <c r="L178" t="s">
        <v>6984</v>
      </c>
    </row>
    <row r="179" spans="2:12" x14ac:dyDescent="0.2">
      <c r="B179">
        <v>10332</v>
      </c>
      <c r="C179" t="s">
        <v>8410</v>
      </c>
      <c r="D179" t="s">
        <v>8262</v>
      </c>
      <c r="E179" s="225">
        <v>97.28</v>
      </c>
      <c r="F179" t="s">
        <v>8760</v>
      </c>
      <c r="G179" t="s">
        <v>8759</v>
      </c>
      <c r="H179" t="s">
        <v>8720</v>
      </c>
      <c r="I179" s="99">
        <v>43591</v>
      </c>
      <c r="J179" s="99">
        <v>43595</v>
      </c>
      <c r="K179" t="s">
        <v>8257</v>
      </c>
      <c r="L179" t="s">
        <v>6984</v>
      </c>
    </row>
    <row r="180" spans="2:12" x14ac:dyDescent="0.2">
      <c r="B180">
        <v>10332</v>
      </c>
      <c r="C180" t="s">
        <v>8243</v>
      </c>
      <c r="D180" t="s">
        <v>8244</v>
      </c>
      <c r="E180" s="225">
        <v>89.6</v>
      </c>
      <c r="F180" t="s">
        <v>8760</v>
      </c>
      <c r="G180" t="s">
        <v>8759</v>
      </c>
      <c r="H180" t="s">
        <v>8720</v>
      </c>
      <c r="I180" s="99">
        <v>43591</v>
      </c>
      <c r="J180" s="99">
        <v>43595</v>
      </c>
      <c r="K180" t="s">
        <v>8257</v>
      </c>
      <c r="L180" t="s">
        <v>6984</v>
      </c>
    </row>
    <row r="181" spans="2:12" x14ac:dyDescent="0.2">
      <c r="B181">
        <v>10333</v>
      </c>
      <c r="C181" t="s">
        <v>8368</v>
      </c>
      <c r="D181" t="s">
        <v>8262</v>
      </c>
      <c r="E181" s="225">
        <v>72</v>
      </c>
      <c r="F181" t="s">
        <v>8301</v>
      </c>
      <c r="G181" t="s">
        <v>8302</v>
      </c>
      <c r="H181" t="s">
        <v>8300</v>
      </c>
      <c r="I181" s="99">
        <v>43592</v>
      </c>
      <c r="J181" s="99">
        <v>43599</v>
      </c>
      <c r="K181" t="s">
        <v>8241</v>
      </c>
      <c r="L181" t="s">
        <v>6934</v>
      </c>
    </row>
    <row r="182" spans="2:12" x14ac:dyDescent="0.2">
      <c r="B182">
        <v>10333</v>
      </c>
      <c r="C182" t="s">
        <v>8310</v>
      </c>
      <c r="D182" t="s">
        <v>8237</v>
      </c>
      <c r="E182" s="225">
        <v>619.20000000000005</v>
      </c>
      <c r="F182" t="s">
        <v>8301</v>
      </c>
      <c r="G182" t="s">
        <v>8302</v>
      </c>
      <c r="H182" t="s">
        <v>8300</v>
      </c>
      <c r="I182" s="99">
        <v>43592</v>
      </c>
      <c r="J182" s="99">
        <v>43599</v>
      </c>
      <c r="K182" t="s">
        <v>8241</v>
      </c>
      <c r="L182" t="s">
        <v>6934</v>
      </c>
    </row>
    <row r="183" spans="2:12" x14ac:dyDescent="0.2">
      <c r="B183">
        <v>10333</v>
      </c>
      <c r="C183" t="s">
        <v>8252</v>
      </c>
      <c r="D183" t="s">
        <v>8247</v>
      </c>
      <c r="E183" s="225">
        <v>186</v>
      </c>
      <c r="F183" t="s">
        <v>8301</v>
      </c>
      <c r="G183" t="s">
        <v>8302</v>
      </c>
      <c r="H183" t="s">
        <v>8300</v>
      </c>
      <c r="I183" s="99">
        <v>43592</v>
      </c>
      <c r="J183" s="99">
        <v>43599</v>
      </c>
      <c r="K183" t="s">
        <v>8241</v>
      </c>
      <c r="L183" t="s">
        <v>6934</v>
      </c>
    </row>
    <row r="184" spans="2:12" x14ac:dyDescent="0.2">
      <c r="B184">
        <v>10334</v>
      </c>
      <c r="C184" t="s">
        <v>8334</v>
      </c>
      <c r="D184" t="s">
        <v>8262</v>
      </c>
      <c r="E184" s="225">
        <v>100</v>
      </c>
      <c r="F184" t="s">
        <v>8255</v>
      </c>
      <c r="G184" t="s">
        <v>8256</v>
      </c>
      <c r="H184" t="s">
        <v>8236</v>
      </c>
      <c r="I184" s="99">
        <v>43595</v>
      </c>
      <c r="J184" s="99">
        <v>43602</v>
      </c>
      <c r="K184" t="s">
        <v>8320</v>
      </c>
      <c r="L184" t="s">
        <v>8321</v>
      </c>
    </row>
    <row r="185" spans="2:12" x14ac:dyDescent="0.2">
      <c r="B185">
        <v>10334</v>
      </c>
      <c r="C185" t="s">
        <v>8369</v>
      </c>
      <c r="D185" t="s">
        <v>8244</v>
      </c>
      <c r="E185" s="225">
        <v>44.8</v>
      </c>
      <c r="F185" t="s">
        <v>8255</v>
      </c>
      <c r="G185" t="s">
        <v>8256</v>
      </c>
      <c r="H185" t="s">
        <v>8236</v>
      </c>
      <c r="I185" s="99">
        <v>43595</v>
      </c>
      <c r="J185" s="99">
        <v>43602</v>
      </c>
      <c r="K185" t="s">
        <v>8320</v>
      </c>
      <c r="L185" t="s">
        <v>8321</v>
      </c>
    </row>
    <row r="186" spans="2:12" x14ac:dyDescent="0.2">
      <c r="B186">
        <v>10335</v>
      </c>
      <c r="C186" t="s">
        <v>8276</v>
      </c>
      <c r="D186" t="s">
        <v>8272</v>
      </c>
      <c r="E186" s="225">
        <v>85.12</v>
      </c>
      <c r="F186" t="s">
        <v>8344</v>
      </c>
      <c r="G186" t="s">
        <v>8345</v>
      </c>
      <c r="H186" t="s">
        <v>8343</v>
      </c>
      <c r="I186" s="99">
        <v>43596</v>
      </c>
      <c r="J186" s="99">
        <v>43598</v>
      </c>
      <c r="K186" t="s">
        <v>8158</v>
      </c>
      <c r="L186" t="s">
        <v>861</v>
      </c>
    </row>
    <row r="187" spans="2:12" x14ac:dyDescent="0.2">
      <c r="B187">
        <v>10335</v>
      </c>
      <c r="C187" t="s">
        <v>8309</v>
      </c>
      <c r="D187" t="s">
        <v>8237</v>
      </c>
      <c r="E187" s="225">
        <v>200</v>
      </c>
      <c r="F187" t="s">
        <v>8344</v>
      </c>
      <c r="G187" t="s">
        <v>8345</v>
      </c>
      <c r="H187" t="s">
        <v>8343</v>
      </c>
      <c r="I187" s="99">
        <v>43596</v>
      </c>
      <c r="J187" s="99">
        <v>43598</v>
      </c>
      <c r="K187" t="s">
        <v>8158</v>
      </c>
      <c r="L187" t="s">
        <v>861</v>
      </c>
    </row>
    <row r="188" spans="2:12" x14ac:dyDescent="0.2">
      <c r="B188">
        <v>10335</v>
      </c>
      <c r="C188" t="s">
        <v>8287</v>
      </c>
      <c r="D188" t="s">
        <v>8237</v>
      </c>
      <c r="E188" s="225">
        <v>122.88</v>
      </c>
      <c r="F188" t="s">
        <v>8344</v>
      </c>
      <c r="G188" t="s">
        <v>8345</v>
      </c>
      <c r="H188" t="s">
        <v>8343</v>
      </c>
      <c r="I188" s="99">
        <v>43596</v>
      </c>
      <c r="J188" s="99">
        <v>43598</v>
      </c>
      <c r="K188" t="s">
        <v>8158</v>
      </c>
      <c r="L188" t="s">
        <v>861</v>
      </c>
    </row>
    <row r="189" spans="2:12" x14ac:dyDescent="0.2">
      <c r="B189">
        <v>10335</v>
      </c>
      <c r="C189" t="s">
        <v>8245</v>
      </c>
      <c r="D189" t="s">
        <v>8247</v>
      </c>
      <c r="E189" s="225">
        <v>1628.16</v>
      </c>
      <c r="F189" t="s">
        <v>8344</v>
      </c>
      <c r="G189" t="s">
        <v>8345</v>
      </c>
      <c r="H189" t="s">
        <v>8343</v>
      </c>
      <c r="I189" s="99">
        <v>43596</v>
      </c>
      <c r="J189" s="99">
        <v>43598</v>
      </c>
      <c r="K189" t="s">
        <v>8158</v>
      </c>
      <c r="L189" t="s">
        <v>861</v>
      </c>
    </row>
    <row r="190" spans="2:12" x14ac:dyDescent="0.2">
      <c r="B190">
        <v>10336</v>
      </c>
      <c r="C190" t="s">
        <v>8352</v>
      </c>
      <c r="D190" t="s">
        <v>8254</v>
      </c>
      <c r="E190" s="225">
        <v>285.12</v>
      </c>
      <c r="F190" t="s">
        <v>8370</v>
      </c>
      <c r="G190" t="s">
        <v>8371</v>
      </c>
      <c r="H190" t="s">
        <v>8365</v>
      </c>
      <c r="I190" s="99">
        <v>43597</v>
      </c>
      <c r="J190" s="99">
        <v>43599</v>
      </c>
      <c r="K190" t="s">
        <v>8158</v>
      </c>
      <c r="L190" t="s">
        <v>861</v>
      </c>
    </row>
    <row r="191" spans="2:12" x14ac:dyDescent="0.2">
      <c r="B191">
        <v>10337</v>
      </c>
      <c r="C191" t="s">
        <v>8372</v>
      </c>
      <c r="D191" t="s">
        <v>8262</v>
      </c>
      <c r="E191" s="225">
        <v>597.6</v>
      </c>
      <c r="F191" t="s">
        <v>8304</v>
      </c>
      <c r="G191" t="s">
        <v>8305</v>
      </c>
      <c r="H191" t="s">
        <v>8246</v>
      </c>
      <c r="I191" s="99">
        <v>43598</v>
      </c>
      <c r="J191" s="99">
        <v>43603</v>
      </c>
      <c r="K191" t="s">
        <v>8266</v>
      </c>
      <c r="L191" t="s">
        <v>8267</v>
      </c>
    </row>
    <row r="192" spans="2:12" x14ac:dyDescent="0.2">
      <c r="B192">
        <v>10337</v>
      </c>
      <c r="C192" t="s">
        <v>8235</v>
      </c>
      <c r="D192" t="s">
        <v>8237</v>
      </c>
      <c r="E192" s="225">
        <v>695</v>
      </c>
      <c r="F192" t="s">
        <v>8304</v>
      </c>
      <c r="G192" t="s">
        <v>8305</v>
      </c>
      <c r="H192" t="s">
        <v>8246</v>
      </c>
      <c r="I192" s="99">
        <v>43598</v>
      </c>
      <c r="J192" s="99">
        <v>43603</v>
      </c>
      <c r="K192" t="s">
        <v>8266</v>
      </c>
      <c r="L192" t="s">
        <v>8267</v>
      </c>
    </row>
    <row r="193" spans="2:12" x14ac:dyDescent="0.2">
      <c r="B193">
        <v>10337</v>
      </c>
      <c r="C193" t="s">
        <v>8373</v>
      </c>
      <c r="D193" t="s">
        <v>8244</v>
      </c>
      <c r="E193" s="225">
        <v>288</v>
      </c>
      <c r="F193" t="s">
        <v>8304</v>
      </c>
      <c r="G193" t="s">
        <v>8305</v>
      </c>
      <c r="H193" t="s">
        <v>8246</v>
      </c>
      <c r="I193" s="99">
        <v>43598</v>
      </c>
      <c r="J193" s="99">
        <v>43603</v>
      </c>
      <c r="K193" t="s">
        <v>8266</v>
      </c>
      <c r="L193" t="s">
        <v>8267</v>
      </c>
    </row>
    <row r="194" spans="2:12" x14ac:dyDescent="0.2">
      <c r="B194">
        <v>10339</v>
      </c>
      <c r="C194" t="s">
        <v>8352</v>
      </c>
      <c r="D194" t="s">
        <v>8254</v>
      </c>
      <c r="E194" s="225">
        <v>176</v>
      </c>
      <c r="F194" t="s">
        <v>8760</v>
      </c>
      <c r="G194" t="s">
        <v>8759</v>
      </c>
      <c r="H194" t="s">
        <v>8720</v>
      </c>
      <c r="I194" s="99">
        <v>43602</v>
      </c>
      <c r="J194" s="99">
        <v>43609</v>
      </c>
      <c r="K194" t="s">
        <v>8297</v>
      </c>
      <c r="L194" t="s">
        <v>8298</v>
      </c>
    </row>
    <row r="195" spans="2:12" x14ac:dyDescent="0.2">
      <c r="B195">
        <v>10339</v>
      </c>
      <c r="C195" t="s">
        <v>8291</v>
      </c>
      <c r="D195" t="s">
        <v>8262</v>
      </c>
      <c r="E195" s="225">
        <v>1103.2</v>
      </c>
      <c r="F195" t="s">
        <v>8760</v>
      </c>
      <c r="G195" t="s">
        <v>8759</v>
      </c>
      <c r="H195" t="s">
        <v>8720</v>
      </c>
      <c r="I195" s="99">
        <v>43602</v>
      </c>
      <c r="J195" s="99">
        <v>43609</v>
      </c>
      <c r="K195" t="s">
        <v>8297</v>
      </c>
      <c r="L195" t="s">
        <v>8298</v>
      </c>
    </row>
    <row r="196" spans="2:12" x14ac:dyDescent="0.2">
      <c r="B196">
        <v>10340</v>
      </c>
      <c r="C196" t="s">
        <v>8306</v>
      </c>
      <c r="D196" t="s">
        <v>8272</v>
      </c>
      <c r="E196" s="225">
        <v>1398.4</v>
      </c>
      <c r="F196" t="s">
        <v>8377</v>
      </c>
      <c r="G196" t="s">
        <v>8378</v>
      </c>
      <c r="H196" t="s">
        <v>8236</v>
      </c>
      <c r="I196" s="99">
        <v>43603</v>
      </c>
      <c r="J196" s="99">
        <v>43613</v>
      </c>
      <c r="K196" t="s">
        <v>8285</v>
      </c>
      <c r="L196" t="s">
        <v>2317</v>
      </c>
    </row>
    <row r="197" spans="2:12" x14ac:dyDescent="0.2">
      <c r="B197">
        <v>10341</v>
      </c>
      <c r="C197" t="s">
        <v>8269</v>
      </c>
      <c r="D197" t="s">
        <v>8237</v>
      </c>
      <c r="E197" s="225">
        <v>16</v>
      </c>
      <c r="F197" t="s">
        <v>8375</v>
      </c>
      <c r="G197" t="s">
        <v>8376</v>
      </c>
      <c r="H197" t="s">
        <v>8374</v>
      </c>
      <c r="I197" s="99">
        <v>43603</v>
      </c>
      <c r="J197" s="99">
        <v>43610</v>
      </c>
      <c r="K197" t="s">
        <v>8158</v>
      </c>
      <c r="L197" t="s">
        <v>861</v>
      </c>
    </row>
    <row r="198" spans="2:12" x14ac:dyDescent="0.2">
      <c r="B198">
        <v>10341</v>
      </c>
      <c r="C198" t="s">
        <v>8281</v>
      </c>
      <c r="D198" t="s">
        <v>8237</v>
      </c>
      <c r="E198" s="225">
        <v>336.6</v>
      </c>
      <c r="F198" t="s">
        <v>8375</v>
      </c>
      <c r="G198" t="s">
        <v>8376</v>
      </c>
      <c r="H198" t="s">
        <v>8374</v>
      </c>
      <c r="I198" s="99">
        <v>43603</v>
      </c>
      <c r="J198" s="99">
        <v>43610</v>
      </c>
      <c r="K198" t="s">
        <v>8158</v>
      </c>
      <c r="L198" t="s">
        <v>861</v>
      </c>
    </row>
    <row r="199" spans="2:12" x14ac:dyDescent="0.2">
      <c r="B199">
        <v>10342</v>
      </c>
      <c r="C199" t="s">
        <v>8276</v>
      </c>
      <c r="D199" t="s">
        <v>8272</v>
      </c>
      <c r="E199" s="225">
        <v>291.83999999999997</v>
      </c>
      <c r="F199" t="s">
        <v>8304</v>
      </c>
      <c r="G199" t="s">
        <v>8305</v>
      </c>
      <c r="H199" t="s">
        <v>8246</v>
      </c>
      <c r="I199" s="99">
        <v>43604</v>
      </c>
      <c r="J199" s="99">
        <v>43609</v>
      </c>
      <c r="K199" t="s">
        <v>8266</v>
      </c>
      <c r="L199" t="s">
        <v>8267</v>
      </c>
    </row>
    <row r="200" spans="2:12" x14ac:dyDescent="0.2">
      <c r="B200">
        <v>10342</v>
      </c>
      <c r="C200" t="s">
        <v>8309</v>
      </c>
      <c r="D200" t="s">
        <v>8237</v>
      </c>
      <c r="E200" s="225">
        <v>448</v>
      </c>
      <c r="F200" t="s">
        <v>8304</v>
      </c>
      <c r="G200" t="s">
        <v>8305</v>
      </c>
      <c r="H200" t="s">
        <v>8246</v>
      </c>
      <c r="I200" s="99">
        <v>43604</v>
      </c>
      <c r="J200" s="99">
        <v>43609</v>
      </c>
      <c r="K200" t="s">
        <v>8266</v>
      </c>
      <c r="L200" t="s">
        <v>8267</v>
      </c>
    </row>
    <row r="201" spans="2:12" x14ac:dyDescent="0.2">
      <c r="B201">
        <v>10343</v>
      </c>
      <c r="C201" t="s">
        <v>8303</v>
      </c>
      <c r="D201" t="s">
        <v>8272</v>
      </c>
      <c r="E201" s="225">
        <v>216</v>
      </c>
      <c r="F201" t="s">
        <v>8330</v>
      </c>
      <c r="G201" t="s">
        <v>8331</v>
      </c>
      <c r="H201" t="s">
        <v>8246</v>
      </c>
      <c r="I201" s="99">
        <v>43605</v>
      </c>
      <c r="J201" s="99">
        <v>43611</v>
      </c>
      <c r="K201" t="s">
        <v>8266</v>
      </c>
      <c r="L201" t="s">
        <v>8267</v>
      </c>
    </row>
    <row r="202" spans="2:12" x14ac:dyDescent="0.2">
      <c r="B202">
        <v>10343</v>
      </c>
      <c r="C202" t="s">
        <v>8334</v>
      </c>
      <c r="D202" t="s">
        <v>8262</v>
      </c>
      <c r="E202" s="225">
        <v>38</v>
      </c>
      <c r="F202" t="s">
        <v>8330</v>
      </c>
      <c r="G202" t="s">
        <v>8331</v>
      </c>
      <c r="H202" t="s">
        <v>8246</v>
      </c>
      <c r="I202" s="99">
        <v>43605</v>
      </c>
      <c r="J202" s="99">
        <v>43611</v>
      </c>
      <c r="K202" t="s">
        <v>8266</v>
      </c>
      <c r="L202" t="s">
        <v>8267</v>
      </c>
    </row>
    <row r="203" spans="2:12" x14ac:dyDescent="0.2">
      <c r="B203">
        <v>10343</v>
      </c>
      <c r="C203" t="s">
        <v>8340</v>
      </c>
      <c r="D203" t="s">
        <v>8244</v>
      </c>
      <c r="E203" s="225">
        <v>1330</v>
      </c>
      <c r="F203" t="s">
        <v>8330</v>
      </c>
      <c r="G203" t="s">
        <v>8331</v>
      </c>
      <c r="H203" t="s">
        <v>8246</v>
      </c>
      <c r="I203" s="99">
        <v>43605</v>
      </c>
      <c r="J203" s="99">
        <v>43611</v>
      </c>
      <c r="K203" t="s">
        <v>8266</v>
      </c>
      <c r="L203" t="s">
        <v>8267</v>
      </c>
    </row>
    <row r="204" spans="2:12" x14ac:dyDescent="0.2">
      <c r="B204">
        <v>10344</v>
      </c>
      <c r="C204" t="s">
        <v>8352</v>
      </c>
      <c r="D204" t="s">
        <v>8254</v>
      </c>
      <c r="E204" s="225">
        <v>616</v>
      </c>
      <c r="F204" t="s">
        <v>8740</v>
      </c>
      <c r="G204" t="s">
        <v>8739</v>
      </c>
      <c r="H204" t="s">
        <v>8701</v>
      </c>
      <c r="I204" s="99">
        <v>43606</v>
      </c>
      <c r="J204" s="99">
        <v>43610</v>
      </c>
      <c r="K204" t="s">
        <v>8266</v>
      </c>
      <c r="L204" t="s">
        <v>8267</v>
      </c>
    </row>
    <row r="205" spans="2:12" x14ac:dyDescent="0.2">
      <c r="B205">
        <v>10344</v>
      </c>
      <c r="C205" t="s">
        <v>8379</v>
      </c>
      <c r="D205" t="s">
        <v>8254</v>
      </c>
      <c r="E205" s="225">
        <v>1680</v>
      </c>
      <c r="F205" t="s">
        <v>8740</v>
      </c>
      <c r="G205" t="s">
        <v>8739</v>
      </c>
      <c r="H205" t="s">
        <v>8701</v>
      </c>
      <c r="I205" s="99">
        <v>43606</v>
      </c>
      <c r="J205" s="99">
        <v>43610</v>
      </c>
      <c r="K205" t="s">
        <v>8266</v>
      </c>
      <c r="L205" t="s">
        <v>8267</v>
      </c>
    </row>
    <row r="206" spans="2:12" x14ac:dyDescent="0.2">
      <c r="B206">
        <v>10345</v>
      </c>
      <c r="C206" t="s">
        <v>8379</v>
      </c>
      <c r="D206" t="s">
        <v>8254</v>
      </c>
      <c r="E206" s="225">
        <v>2240</v>
      </c>
      <c r="F206" t="s">
        <v>8307</v>
      </c>
      <c r="G206" t="s">
        <v>8308</v>
      </c>
      <c r="H206" t="s">
        <v>8246</v>
      </c>
      <c r="I206" s="99">
        <v>43609</v>
      </c>
      <c r="J206" s="99">
        <v>43616</v>
      </c>
      <c r="K206" t="s">
        <v>8297</v>
      </c>
      <c r="L206" t="s">
        <v>8298</v>
      </c>
    </row>
    <row r="207" spans="2:12" x14ac:dyDescent="0.2">
      <c r="B207">
        <v>10345</v>
      </c>
      <c r="C207" t="s">
        <v>8327</v>
      </c>
      <c r="D207" t="s">
        <v>8262</v>
      </c>
      <c r="E207" s="225">
        <v>584</v>
      </c>
      <c r="F207" t="s">
        <v>8307</v>
      </c>
      <c r="G207" t="s">
        <v>8308</v>
      </c>
      <c r="H207" t="s">
        <v>8246</v>
      </c>
      <c r="I207" s="99">
        <v>43609</v>
      </c>
      <c r="J207" s="99">
        <v>43616</v>
      </c>
      <c r="K207" t="s">
        <v>8297</v>
      </c>
      <c r="L207" t="s">
        <v>8298</v>
      </c>
    </row>
    <row r="208" spans="2:12" x14ac:dyDescent="0.2">
      <c r="B208">
        <v>10345</v>
      </c>
      <c r="C208" t="s">
        <v>8243</v>
      </c>
      <c r="D208" t="s">
        <v>8244</v>
      </c>
      <c r="E208" s="225">
        <v>100.8</v>
      </c>
      <c r="F208" t="s">
        <v>8307</v>
      </c>
      <c r="G208" t="s">
        <v>8308</v>
      </c>
      <c r="H208" t="s">
        <v>8246</v>
      </c>
      <c r="I208" s="99">
        <v>43609</v>
      </c>
      <c r="J208" s="99">
        <v>43616</v>
      </c>
      <c r="K208" t="s">
        <v>8297</v>
      </c>
      <c r="L208" t="s">
        <v>8298</v>
      </c>
    </row>
    <row r="209" spans="2:12" x14ac:dyDescent="0.2">
      <c r="B209">
        <v>10346</v>
      </c>
      <c r="C209" t="s">
        <v>8341</v>
      </c>
      <c r="D209" t="s">
        <v>8244</v>
      </c>
      <c r="E209" s="225">
        <v>608</v>
      </c>
      <c r="F209" t="s">
        <v>8703</v>
      </c>
      <c r="G209" t="s">
        <v>8702</v>
      </c>
      <c r="H209" t="s">
        <v>8701</v>
      </c>
      <c r="I209" s="99">
        <v>43610</v>
      </c>
      <c r="J209" s="99">
        <v>43613</v>
      </c>
      <c r="K209" t="s">
        <v>8257</v>
      </c>
      <c r="L209" t="s">
        <v>6984</v>
      </c>
    </row>
    <row r="210" spans="2:12" x14ac:dyDescent="0.2">
      <c r="B210">
        <v>10347</v>
      </c>
      <c r="C210" t="s">
        <v>8342</v>
      </c>
      <c r="D210" t="s">
        <v>8272</v>
      </c>
      <c r="E210" s="225">
        <v>612</v>
      </c>
      <c r="F210" t="s">
        <v>8762</v>
      </c>
      <c r="G210" t="s">
        <v>8761</v>
      </c>
      <c r="H210" t="s">
        <v>8710</v>
      </c>
      <c r="I210" s="99">
        <v>43611</v>
      </c>
      <c r="J210" s="99">
        <v>43613</v>
      </c>
      <c r="K210" t="s">
        <v>8266</v>
      </c>
      <c r="L210" t="s">
        <v>8267</v>
      </c>
    </row>
    <row r="211" spans="2:12" x14ac:dyDescent="0.2">
      <c r="B211">
        <v>10347</v>
      </c>
      <c r="C211" t="s">
        <v>8328</v>
      </c>
      <c r="D211" t="s">
        <v>8272</v>
      </c>
      <c r="E211" s="225">
        <v>31.62</v>
      </c>
      <c r="F211" t="s">
        <v>8762</v>
      </c>
      <c r="G211" t="s">
        <v>8761</v>
      </c>
      <c r="H211" t="s">
        <v>8710</v>
      </c>
      <c r="I211" s="99">
        <v>43611</v>
      </c>
      <c r="J211" s="99">
        <v>43613</v>
      </c>
      <c r="K211" t="s">
        <v>8266</v>
      </c>
      <c r="L211" t="s">
        <v>8267</v>
      </c>
    </row>
    <row r="212" spans="2:12" x14ac:dyDescent="0.2">
      <c r="B212">
        <v>10347</v>
      </c>
      <c r="C212" t="s">
        <v>8362</v>
      </c>
      <c r="D212" t="s">
        <v>8262</v>
      </c>
      <c r="E212" s="225">
        <v>112</v>
      </c>
      <c r="F212" t="s">
        <v>8762</v>
      </c>
      <c r="G212" t="s">
        <v>8761</v>
      </c>
      <c r="H212" t="s">
        <v>8710</v>
      </c>
      <c r="I212" s="99">
        <v>43611</v>
      </c>
      <c r="J212" s="99">
        <v>43613</v>
      </c>
      <c r="K212" t="s">
        <v>8266</v>
      </c>
      <c r="L212" t="s">
        <v>8267</v>
      </c>
    </row>
    <row r="213" spans="2:12" x14ac:dyDescent="0.2">
      <c r="B213">
        <v>10348</v>
      </c>
      <c r="C213" t="s">
        <v>8333</v>
      </c>
      <c r="D213" t="s">
        <v>8272</v>
      </c>
      <c r="E213" s="225">
        <v>183.6</v>
      </c>
      <c r="F213" t="s">
        <v>8346</v>
      </c>
      <c r="G213" t="s">
        <v>8347</v>
      </c>
      <c r="H213" t="s">
        <v>8246</v>
      </c>
      <c r="I213" s="99">
        <v>43612</v>
      </c>
      <c r="J213" s="99">
        <v>43620</v>
      </c>
      <c r="K213" t="s">
        <v>8266</v>
      </c>
      <c r="L213" t="s">
        <v>8267</v>
      </c>
    </row>
    <row r="214" spans="2:12" x14ac:dyDescent="0.2">
      <c r="B214">
        <v>10348</v>
      </c>
      <c r="C214" t="s">
        <v>8373</v>
      </c>
      <c r="D214" t="s">
        <v>8244</v>
      </c>
      <c r="E214" s="225">
        <v>180</v>
      </c>
      <c r="F214" t="s">
        <v>8346</v>
      </c>
      <c r="G214" t="s">
        <v>8347</v>
      </c>
      <c r="H214" t="s">
        <v>8246</v>
      </c>
      <c r="I214" s="99">
        <v>43612</v>
      </c>
      <c r="J214" s="99">
        <v>43620</v>
      </c>
      <c r="K214" t="s">
        <v>8266</v>
      </c>
      <c r="L214" t="s">
        <v>8267</v>
      </c>
    </row>
    <row r="215" spans="2:12" x14ac:dyDescent="0.2">
      <c r="B215">
        <v>10350</v>
      </c>
      <c r="C215" t="s">
        <v>8381</v>
      </c>
      <c r="D215" t="s">
        <v>8262</v>
      </c>
      <c r="E215" s="225">
        <v>175.5</v>
      </c>
      <c r="F215" t="s">
        <v>8382</v>
      </c>
      <c r="G215" t="s">
        <v>8383</v>
      </c>
      <c r="H215" t="s">
        <v>8236</v>
      </c>
      <c r="I215" s="99">
        <v>43616</v>
      </c>
      <c r="J215" s="99">
        <v>43638</v>
      </c>
      <c r="K215" t="s">
        <v>8251</v>
      </c>
      <c r="L215" t="s">
        <v>269</v>
      </c>
    </row>
    <row r="216" spans="2:12" x14ac:dyDescent="0.2">
      <c r="B216">
        <v>10350</v>
      </c>
      <c r="C216" t="s">
        <v>8353</v>
      </c>
      <c r="D216" t="s">
        <v>8237</v>
      </c>
      <c r="E216" s="225">
        <v>466.56</v>
      </c>
      <c r="F216" t="s">
        <v>8382</v>
      </c>
      <c r="G216" t="s">
        <v>8383</v>
      </c>
      <c r="H216" t="s">
        <v>8236</v>
      </c>
      <c r="I216" s="99">
        <v>43616</v>
      </c>
      <c r="J216" s="99">
        <v>43638</v>
      </c>
      <c r="K216" t="s">
        <v>8251</v>
      </c>
      <c r="L216" t="s">
        <v>269</v>
      </c>
    </row>
    <row r="217" spans="2:12" x14ac:dyDescent="0.2">
      <c r="B217">
        <v>10351</v>
      </c>
      <c r="C217" t="s">
        <v>8380</v>
      </c>
      <c r="D217" t="s">
        <v>8272</v>
      </c>
      <c r="E217" s="225">
        <v>4005.2</v>
      </c>
      <c r="F217" t="s">
        <v>8283</v>
      </c>
      <c r="G217" t="s">
        <v>8284</v>
      </c>
      <c r="H217" t="s">
        <v>8282</v>
      </c>
      <c r="I217" s="99">
        <v>43616</v>
      </c>
      <c r="J217" s="99">
        <v>43625</v>
      </c>
      <c r="K217" t="s">
        <v>8285</v>
      </c>
      <c r="L217" t="s">
        <v>2317</v>
      </c>
    </row>
    <row r="218" spans="2:12" x14ac:dyDescent="0.2">
      <c r="B218">
        <v>10351</v>
      </c>
      <c r="C218" t="s">
        <v>8322</v>
      </c>
      <c r="D218" t="s">
        <v>8254</v>
      </c>
      <c r="E218" s="225">
        <v>1133.82</v>
      </c>
      <c r="F218" t="s">
        <v>8283</v>
      </c>
      <c r="G218" t="s">
        <v>8284</v>
      </c>
      <c r="H218" t="s">
        <v>8282</v>
      </c>
      <c r="I218" s="99">
        <v>43616</v>
      </c>
      <c r="J218" s="99">
        <v>43625</v>
      </c>
      <c r="K218" t="s">
        <v>8285</v>
      </c>
      <c r="L218" t="s">
        <v>2317</v>
      </c>
    </row>
    <row r="219" spans="2:12" x14ac:dyDescent="0.2">
      <c r="B219">
        <v>10351</v>
      </c>
      <c r="C219" t="s">
        <v>8253</v>
      </c>
      <c r="D219" t="s">
        <v>8254</v>
      </c>
      <c r="E219" s="225">
        <v>159.6</v>
      </c>
      <c r="F219" t="s">
        <v>8283</v>
      </c>
      <c r="G219" t="s">
        <v>8284</v>
      </c>
      <c r="H219" t="s">
        <v>8282</v>
      </c>
      <c r="I219" s="99">
        <v>43616</v>
      </c>
      <c r="J219" s="99">
        <v>43625</v>
      </c>
      <c r="K219" t="s">
        <v>8285</v>
      </c>
      <c r="L219" t="s">
        <v>2317</v>
      </c>
    </row>
    <row r="220" spans="2:12" x14ac:dyDescent="0.2">
      <c r="B220">
        <v>10352</v>
      </c>
      <c r="C220" t="s">
        <v>8270</v>
      </c>
      <c r="D220" t="s">
        <v>8272</v>
      </c>
      <c r="E220" s="225">
        <v>36</v>
      </c>
      <c r="F220" t="s">
        <v>8366</v>
      </c>
      <c r="G220" t="s">
        <v>8367</v>
      </c>
      <c r="H220" t="s">
        <v>8365</v>
      </c>
      <c r="I220" s="99">
        <v>43617</v>
      </c>
      <c r="J220" s="99">
        <v>43623</v>
      </c>
      <c r="K220" t="s">
        <v>8257</v>
      </c>
      <c r="L220" t="s">
        <v>6984</v>
      </c>
    </row>
    <row r="221" spans="2:12" x14ac:dyDescent="0.2">
      <c r="B221">
        <v>10353</v>
      </c>
      <c r="C221" t="s">
        <v>8380</v>
      </c>
      <c r="D221" t="s">
        <v>8272</v>
      </c>
      <c r="E221" s="225">
        <v>8432</v>
      </c>
      <c r="F221" t="s">
        <v>8384</v>
      </c>
      <c r="G221" t="s">
        <v>8385</v>
      </c>
      <c r="H221" t="s">
        <v>8282</v>
      </c>
      <c r="I221" s="99">
        <v>43618</v>
      </c>
      <c r="J221" s="99">
        <v>43630</v>
      </c>
      <c r="K221" t="s">
        <v>8158</v>
      </c>
      <c r="L221" t="s">
        <v>861</v>
      </c>
    </row>
    <row r="222" spans="2:12" x14ac:dyDescent="0.2">
      <c r="B222">
        <v>10353</v>
      </c>
      <c r="C222" t="s">
        <v>8242</v>
      </c>
      <c r="D222" t="s">
        <v>8237</v>
      </c>
      <c r="E222" s="225">
        <v>161.28</v>
      </c>
      <c r="F222" t="s">
        <v>8384</v>
      </c>
      <c r="G222" t="s">
        <v>8385</v>
      </c>
      <c r="H222" t="s">
        <v>8282</v>
      </c>
      <c r="I222" s="99">
        <v>43618</v>
      </c>
      <c r="J222" s="99">
        <v>43630</v>
      </c>
      <c r="K222" t="s">
        <v>8158</v>
      </c>
      <c r="L222" t="s">
        <v>861</v>
      </c>
    </row>
    <row r="223" spans="2:12" x14ac:dyDescent="0.2">
      <c r="B223">
        <v>10354</v>
      </c>
      <c r="C223" t="s">
        <v>8333</v>
      </c>
      <c r="D223" t="s">
        <v>8272</v>
      </c>
      <c r="E223" s="225">
        <v>172.8</v>
      </c>
      <c r="F223" t="s">
        <v>8706</v>
      </c>
      <c r="G223" t="s">
        <v>8705</v>
      </c>
      <c r="H223" t="s">
        <v>8704</v>
      </c>
      <c r="I223" s="99">
        <v>43619</v>
      </c>
      <c r="J223" s="99">
        <v>43625</v>
      </c>
      <c r="K223" t="s">
        <v>8320</v>
      </c>
      <c r="L223" t="s">
        <v>8321</v>
      </c>
    </row>
    <row r="224" spans="2:12" x14ac:dyDescent="0.2">
      <c r="B224">
        <v>10355</v>
      </c>
      <c r="C224" t="s">
        <v>8270</v>
      </c>
      <c r="D224" t="s">
        <v>8272</v>
      </c>
      <c r="E224" s="225">
        <v>90</v>
      </c>
      <c r="F224" t="s">
        <v>8386</v>
      </c>
      <c r="G224" t="s">
        <v>8387</v>
      </c>
      <c r="H224" t="s">
        <v>2434</v>
      </c>
      <c r="I224" s="99">
        <v>43620</v>
      </c>
      <c r="J224" s="99">
        <v>43625</v>
      </c>
      <c r="K224" t="s">
        <v>8251</v>
      </c>
      <c r="L224" t="s">
        <v>269</v>
      </c>
    </row>
    <row r="225" spans="2:12" x14ac:dyDescent="0.2">
      <c r="B225">
        <v>10355</v>
      </c>
      <c r="C225" t="s">
        <v>8258</v>
      </c>
      <c r="D225" t="s">
        <v>8244</v>
      </c>
      <c r="E225" s="225">
        <v>390</v>
      </c>
      <c r="F225" t="s">
        <v>8386</v>
      </c>
      <c r="G225" t="s">
        <v>8387</v>
      </c>
      <c r="H225" t="s">
        <v>2434</v>
      </c>
      <c r="I225" s="99">
        <v>43620</v>
      </c>
      <c r="J225" s="99">
        <v>43625</v>
      </c>
      <c r="K225" t="s">
        <v>8251</v>
      </c>
      <c r="L225" t="s">
        <v>269</v>
      </c>
    </row>
    <row r="226" spans="2:12" x14ac:dyDescent="0.2">
      <c r="B226">
        <v>10356</v>
      </c>
      <c r="C226" t="s">
        <v>8309</v>
      </c>
      <c r="D226" t="s">
        <v>8237</v>
      </c>
      <c r="E226" s="225">
        <v>300</v>
      </c>
      <c r="F226" t="s">
        <v>8346</v>
      </c>
      <c r="G226" t="s">
        <v>8347</v>
      </c>
      <c r="H226" t="s">
        <v>8246</v>
      </c>
      <c r="I226" s="99">
        <v>43623</v>
      </c>
      <c r="J226" s="99">
        <v>43632</v>
      </c>
      <c r="K226" t="s">
        <v>8251</v>
      </c>
      <c r="L226" t="s">
        <v>269</v>
      </c>
    </row>
    <row r="227" spans="2:12" x14ac:dyDescent="0.2">
      <c r="B227">
        <v>10356</v>
      </c>
      <c r="C227" t="s">
        <v>8353</v>
      </c>
      <c r="D227" t="s">
        <v>8237</v>
      </c>
      <c r="E227" s="225">
        <v>576</v>
      </c>
      <c r="F227" t="s">
        <v>8346</v>
      </c>
      <c r="G227" t="s">
        <v>8347</v>
      </c>
      <c r="H227" t="s">
        <v>8246</v>
      </c>
      <c r="I227" s="99">
        <v>43623</v>
      </c>
      <c r="J227" s="99">
        <v>43632</v>
      </c>
      <c r="K227" t="s">
        <v>8251</v>
      </c>
      <c r="L227" t="s">
        <v>269</v>
      </c>
    </row>
    <row r="228" spans="2:12" x14ac:dyDescent="0.2">
      <c r="B228">
        <v>10357</v>
      </c>
      <c r="C228" t="s">
        <v>8372</v>
      </c>
      <c r="D228" t="s">
        <v>8262</v>
      </c>
      <c r="E228" s="225">
        <v>398.4</v>
      </c>
      <c r="F228" t="s">
        <v>8709</v>
      </c>
      <c r="G228" t="s">
        <v>8708</v>
      </c>
      <c r="H228" t="s">
        <v>8707</v>
      </c>
      <c r="I228" s="99">
        <v>43624</v>
      </c>
      <c r="J228" s="99">
        <v>43637</v>
      </c>
      <c r="K228" t="s">
        <v>8285</v>
      </c>
      <c r="L228" t="s">
        <v>2317</v>
      </c>
    </row>
    <row r="229" spans="2:12" x14ac:dyDescent="0.2">
      <c r="B229">
        <v>10357</v>
      </c>
      <c r="C229" t="s">
        <v>8268</v>
      </c>
      <c r="D229" t="s">
        <v>8237</v>
      </c>
      <c r="E229" s="225">
        <v>174.08</v>
      </c>
      <c r="F229" t="s">
        <v>8709</v>
      </c>
      <c r="G229" t="s">
        <v>8708</v>
      </c>
      <c r="H229" t="s">
        <v>8707</v>
      </c>
      <c r="I229" s="99">
        <v>43624</v>
      </c>
      <c r="J229" s="99">
        <v>43637</v>
      </c>
      <c r="K229" t="s">
        <v>8285</v>
      </c>
      <c r="L229" t="s">
        <v>2317</v>
      </c>
    </row>
    <row r="230" spans="2:12" x14ac:dyDescent="0.2">
      <c r="B230">
        <v>10358</v>
      </c>
      <c r="C230" t="s">
        <v>8270</v>
      </c>
      <c r="D230" t="s">
        <v>8272</v>
      </c>
      <c r="E230" s="225">
        <v>34.200000000000003</v>
      </c>
      <c r="F230" t="s">
        <v>8382</v>
      </c>
      <c r="G230" t="s">
        <v>8383</v>
      </c>
      <c r="H230" t="s">
        <v>8236</v>
      </c>
      <c r="I230" s="99">
        <v>43625</v>
      </c>
      <c r="J230" s="99">
        <v>43632</v>
      </c>
      <c r="K230" t="s">
        <v>8241</v>
      </c>
      <c r="L230" t="s">
        <v>6934</v>
      </c>
    </row>
    <row r="231" spans="2:12" x14ac:dyDescent="0.2">
      <c r="B231">
        <v>10358</v>
      </c>
      <c r="C231" t="s">
        <v>8358</v>
      </c>
      <c r="D231" t="s">
        <v>8272</v>
      </c>
      <c r="E231" s="225">
        <v>106.4</v>
      </c>
      <c r="F231" t="s">
        <v>8382</v>
      </c>
      <c r="G231" t="s">
        <v>8383</v>
      </c>
      <c r="H231" t="s">
        <v>8236</v>
      </c>
      <c r="I231" s="99">
        <v>43625</v>
      </c>
      <c r="J231" s="99">
        <v>43632</v>
      </c>
      <c r="K231" t="s">
        <v>8241</v>
      </c>
      <c r="L231" t="s">
        <v>6934</v>
      </c>
    </row>
    <row r="232" spans="2:12" x14ac:dyDescent="0.2">
      <c r="B232">
        <v>10359</v>
      </c>
      <c r="C232" t="s">
        <v>8280</v>
      </c>
      <c r="D232" t="s">
        <v>8262</v>
      </c>
      <c r="E232" s="225">
        <v>739.48</v>
      </c>
      <c r="F232" t="s">
        <v>8388</v>
      </c>
      <c r="G232" t="s">
        <v>8389</v>
      </c>
      <c r="H232" t="s">
        <v>2434</v>
      </c>
      <c r="I232" s="99">
        <v>43626</v>
      </c>
      <c r="J232" s="99">
        <v>43631</v>
      </c>
      <c r="K232" t="s">
        <v>8241</v>
      </c>
      <c r="L232" t="s">
        <v>6934</v>
      </c>
    </row>
    <row r="233" spans="2:12" x14ac:dyDescent="0.2">
      <c r="B233">
        <v>10359</v>
      </c>
      <c r="C233" t="s">
        <v>8309</v>
      </c>
      <c r="D233" t="s">
        <v>8237</v>
      </c>
      <c r="E233" s="225">
        <v>665</v>
      </c>
      <c r="F233" t="s">
        <v>8388</v>
      </c>
      <c r="G233" t="s">
        <v>8389</v>
      </c>
      <c r="H233" t="s">
        <v>2434</v>
      </c>
      <c r="I233" s="99">
        <v>43626</v>
      </c>
      <c r="J233" s="99">
        <v>43631</v>
      </c>
      <c r="K233" t="s">
        <v>8241</v>
      </c>
      <c r="L233" t="s">
        <v>6934</v>
      </c>
    </row>
    <row r="234" spans="2:12" x14ac:dyDescent="0.2">
      <c r="B234">
        <v>10359</v>
      </c>
      <c r="C234" t="s">
        <v>8268</v>
      </c>
      <c r="D234" t="s">
        <v>8237</v>
      </c>
      <c r="E234" s="225">
        <v>2067.1999999999998</v>
      </c>
      <c r="F234" t="s">
        <v>8388</v>
      </c>
      <c r="G234" t="s">
        <v>8389</v>
      </c>
      <c r="H234" t="s">
        <v>2434</v>
      </c>
      <c r="I234" s="99">
        <v>43626</v>
      </c>
      <c r="J234" s="99">
        <v>43631</v>
      </c>
      <c r="K234" t="s">
        <v>8241</v>
      </c>
      <c r="L234" t="s">
        <v>6934</v>
      </c>
    </row>
    <row r="235" spans="2:12" x14ac:dyDescent="0.2">
      <c r="B235">
        <v>10360</v>
      </c>
      <c r="C235" t="s">
        <v>8380</v>
      </c>
      <c r="D235" t="s">
        <v>8272</v>
      </c>
      <c r="E235" s="225">
        <v>2108</v>
      </c>
      <c r="F235" t="s">
        <v>8295</v>
      </c>
      <c r="G235" t="s">
        <v>8296</v>
      </c>
      <c r="H235" t="s">
        <v>8236</v>
      </c>
      <c r="I235" s="99">
        <v>43627</v>
      </c>
      <c r="J235" s="99">
        <v>43637</v>
      </c>
      <c r="K235" t="s">
        <v>8266</v>
      </c>
      <c r="L235" t="s">
        <v>8267</v>
      </c>
    </row>
    <row r="236" spans="2:12" x14ac:dyDescent="0.2">
      <c r="B236">
        <v>10360</v>
      </c>
      <c r="C236" t="s">
        <v>8390</v>
      </c>
      <c r="D236" t="s">
        <v>8262</v>
      </c>
      <c r="E236" s="225">
        <v>560</v>
      </c>
      <c r="F236" t="s">
        <v>8295</v>
      </c>
      <c r="G236" t="s">
        <v>8296</v>
      </c>
      <c r="H236" t="s">
        <v>8236</v>
      </c>
      <c r="I236" s="99">
        <v>43627</v>
      </c>
      <c r="J236" s="99">
        <v>43637</v>
      </c>
      <c r="K236" t="s">
        <v>8266</v>
      </c>
      <c r="L236" t="s">
        <v>8267</v>
      </c>
    </row>
    <row r="237" spans="2:12" x14ac:dyDescent="0.2">
      <c r="B237">
        <v>10360</v>
      </c>
      <c r="C237" t="s">
        <v>8316</v>
      </c>
      <c r="D237" t="s">
        <v>8247</v>
      </c>
      <c r="E237" s="225">
        <v>1092</v>
      </c>
      <c r="F237" t="s">
        <v>8295</v>
      </c>
      <c r="G237" t="s">
        <v>8296</v>
      </c>
      <c r="H237" t="s">
        <v>8236</v>
      </c>
      <c r="I237" s="99">
        <v>43627</v>
      </c>
      <c r="J237" s="99">
        <v>43637</v>
      </c>
      <c r="K237" t="s">
        <v>8266</v>
      </c>
      <c r="L237" t="s">
        <v>8267</v>
      </c>
    </row>
    <row r="238" spans="2:12" x14ac:dyDescent="0.2">
      <c r="B238">
        <v>10361</v>
      </c>
      <c r="C238" t="s">
        <v>8342</v>
      </c>
      <c r="D238" t="s">
        <v>8272</v>
      </c>
      <c r="E238" s="225">
        <v>699.84</v>
      </c>
      <c r="F238" t="s">
        <v>8307</v>
      </c>
      <c r="G238" t="s">
        <v>8308</v>
      </c>
      <c r="H238" t="s">
        <v>8246</v>
      </c>
      <c r="I238" s="99">
        <v>43627</v>
      </c>
      <c r="J238" s="99">
        <v>43638</v>
      </c>
      <c r="K238" t="s">
        <v>8285</v>
      </c>
      <c r="L238" t="s">
        <v>2317</v>
      </c>
    </row>
    <row r="239" spans="2:12" x14ac:dyDescent="0.2">
      <c r="B239">
        <v>10361</v>
      </c>
      <c r="C239" t="s">
        <v>8268</v>
      </c>
      <c r="D239" t="s">
        <v>8237</v>
      </c>
      <c r="E239" s="225">
        <v>1346.4</v>
      </c>
      <c r="F239" t="s">
        <v>8307</v>
      </c>
      <c r="G239" t="s">
        <v>8308</v>
      </c>
      <c r="H239" t="s">
        <v>8246</v>
      </c>
      <c r="I239" s="99">
        <v>43627</v>
      </c>
      <c r="J239" s="99">
        <v>43638</v>
      </c>
      <c r="K239" t="s">
        <v>8285</v>
      </c>
      <c r="L239" t="s">
        <v>2317</v>
      </c>
    </row>
    <row r="240" spans="2:12" x14ac:dyDescent="0.2">
      <c r="B240">
        <v>10362</v>
      </c>
      <c r="C240" t="s">
        <v>8362</v>
      </c>
      <c r="D240" t="s">
        <v>8262</v>
      </c>
      <c r="E240" s="225">
        <v>560</v>
      </c>
      <c r="F240" t="s">
        <v>8377</v>
      </c>
      <c r="G240" t="s">
        <v>8378</v>
      </c>
      <c r="H240" t="s">
        <v>8236</v>
      </c>
      <c r="I240" s="99">
        <v>43630</v>
      </c>
      <c r="J240" s="99">
        <v>43633</v>
      </c>
      <c r="K240" t="s">
        <v>8257</v>
      </c>
      <c r="L240" t="s">
        <v>6984</v>
      </c>
    </row>
    <row r="241" spans="2:12" x14ac:dyDescent="0.2">
      <c r="B241">
        <v>10362</v>
      </c>
      <c r="C241" t="s">
        <v>8245</v>
      </c>
      <c r="D241" t="s">
        <v>8247</v>
      </c>
      <c r="E241" s="225">
        <v>848</v>
      </c>
      <c r="F241" t="s">
        <v>8377</v>
      </c>
      <c r="G241" t="s">
        <v>8378</v>
      </c>
      <c r="H241" t="s">
        <v>8236</v>
      </c>
      <c r="I241" s="99">
        <v>43630</v>
      </c>
      <c r="J241" s="99">
        <v>43633</v>
      </c>
      <c r="K241" t="s">
        <v>8257</v>
      </c>
      <c r="L241" t="s">
        <v>6984</v>
      </c>
    </row>
    <row r="242" spans="2:12" x14ac:dyDescent="0.2">
      <c r="B242">
        <v>10363</v>
      </c>
      <c r="C242" t="s">
        <v>8328</v>
      </c>
      <c r="D242" t="s">
        <v>8272</v>
      </c>
      <c r="E242" s="225">
        <v>74.400000000000006</v>
      </c>
      <c r="F242" t="s">
        <v>8391</v>
      </c>
      <c r="G242" t="s">
        <v>8392</v>
      </c>
      <c r="H242" t="s">
        <v>8246</v>
      </c>
      <c r="I242" s="99">
        <v>43631</v>
      </c>
      <c r="J242" s="99">
        <v>43639</v>
      </c>
      <c r="K242" t="s">
        <v>8266</v>
      </c>
      <c r="L242" t="s">
        <v>8267</v>
      </c>
    </row>
    <row r="243" spans="2:12" x14ac:dyDescent="0.2">
      <c r="B243">
        <v>10363</v>
      </c>
      <c r="C243" t="s">
        <v>8303</v>
      </c>
      <c r="D243" t="s">
        <v>8272</v>
      </c>
      <c r="E243" s="225">
        <v>172.8</v>
      </c>
      <c r="F243" t="s">
        <v>8391</v>
      </c>
      <c r="G243" t="s">
        <v>8392</v>
      </c>
      <c r="H243" t="s">
        <v>8246</v>
      </c>
      <c r="I243" s="99">
        <v>43631</v>
      </c>
      <c r="J243" s="99">
        <v>43639</v>
      </c>
      <c r="K243" t="s">
        <v>8266</v>
      </c>
      <c r="L243" t="s">
        <v>8267</v>
      </c>
    </row>
    <row r="244" spans="2:12" x14ac:dyDescent="0.2">
      <c r="B244">
        <v>10363</v>
      </c>
      <c r="C244" t="s">
        <v>8309</v>
      </c>
      <c r="D244" t="s">
        <v>8237</v>
      </c>
      <c r="E244" s="225">
        <v>200</v>
      </c>
      <c r="F244" t="s">
        <v>8391</v>
      </c>
      <c r="G244" t="s">
        <v>8392</v>
      </c>
      <c r="H244" t="s">
        <v>8246</v>
      </c>
      <c r="I244" s="99">
        <v>43631</v>
      </c>
      <c r="J244" s="99">
        <v>43639</v>
      </c>
      <c r="K244" t="s">
        <v>8266</v>
      </c>
      <c r="L244" t="s">
        <v>8267</v>
      </c>
    </row>
    <row r="245" spans="2:12" x14ac:dyDescent="0.2">
      <c r="B245">
        <v>10364</v>
      </c>
      <c r="C245" t="s">
        <v>8353</v>
      </c>
      <c r="D245" t="s">
        <v>8237</v>
      </c>
      <c r="E245" s="225">
        <v>864</v>
      </c>
      <c r="F245" t="s">
        <v>8393</v>
      </c>
      <c r="G245" t="s">
        <v>8394</v>
      </c>
      <c r="H245" t="s">
        <v>2434</v>
      </c>
      <c r="I245" s="99">
        <v>43631</v>
      </c>
      <c r="J245" s="99">
        <v>43639</v>
      </c>
      <c r="K245" t="s">
        <v>8285</v>
      </c>
      <c r="L245" t="s">
        <v>2317</v>
      </c>
    </row>
    <row r="246" spans="2:12" x14ac:dyDescent="0.2">
      <c r="B246">
        <v>10364</v>
      </c>
      <c r="C246" t="s">
        <v>8310</v>
      </c>
      <c r="D246" t="s">
        <v>8237</v>
      </c>
      <c r="E246" s="225">
        <v>86</v>
      </c>
      <c r="F246" t="s">
        <v>8393</v>
      </c>
      <c r="G246" t="s">
        <v>8394</v>
      </c>
      <c r="H246" t="s">
        <v>2434</v>
      </c>
      <c r="I246" s="99">
        <v>43631</v>
      </c>
      <c r="J246" s="99">
        <v>43639</v>
      </c>
      <c r="K246" t="s">
        <v>8285</v>
      </c>
      <c r="L246" t="s">
        <v>2317</v>
      </c>
    </row>
    <row r="247" spans="2:12" x14ac:dyDescent="0.2">
      <c r="B247">
        <v>10365</v>
      </c>
      <c r="C247" t="s">
        <v>8242</v>
      </c>
      <c r="D247" t="s">
        <v>8237</v>
      </c>
      <c r="E247" s="225">
        <v>403.2</v>
      </c>
      <c r="F247" t="s">
        <v>8764</v>
      </c>
      <c r="G247" t="s">
        <v>8763</v>
      </c>
      <c r="H247" t="s">
        <v>8704</v>
      </c>
      <c r="I247" s="99">
        <v>43632</v>
      </c>
      <c r="J247" s="99">
        <v>43637</v>
      </c>
      <c r="K247" t="s">
        <v>8257</v>
      </c>
      <c r="L247" t="s">
        <v>6984</v>
      </c>
    </row>
    <row r="248" spans="2:12" x14ac:dyDescent="0.2">
      <c r="B248">
        <v>10366</v>
      </c>
      <c r="C248" t="s">
        <v>8253</v>
      </c>
      <c r="D248" t="s">
        <v>8254</v>
      </c>
      <c r="E248" s="225">
        <v>84</v>
      </c>
      <c r="F248" t="s">
        <v>8398</v>
      </c>
      <c r="G248" t="s">
        <v>8399</v>
      </c>
      <c r="H248" t="s">
        <v>8324</v>
      </c>
      <c r="I248" s="99">
        <v>43633</v>
      </c>
      <c r="J248" s="99">
        <v>43665</v>
      </c>
      <c r="K248" t="s">
        <v>8320</v>
      </c>
      <c r="L248" t="s">
        <v>8321</v>
      </c>
    </row>
    <row r="249" spans="2:12" x14ac:dyDescent="0.2">
      <c r="B249">
        <v>10366</v>
      </c>
      <c r="C249" t="s">
        <v>8397</v>
      </c>
      <c r="D249" t="s">
        <v>8254</v>
      </c>
      <c r="E249" s="225">
        <v>52</v>
      </c>
      <c r="F249" t="s">
        <v>8398</v>
      </c>
      <c r="G249" t="s">
        <v>8399</v>
      </c>
      <c r="H249" t="s">
        <v>8324</v>
      </c>
      <c r="I249" s="99">
        <v>43633</v>
      </c>
      <c r="J249" s="99">
        <v>43665</v>
      </c>
      <c r="K249" t="s">
        <v>8320</v>
      </c>
      <c r="L249" t="s">
        <v>8321</v>
      </c>
    </row>
    <row r="250" spans="2:12" x14ac:dyDescent="0.2">
      <c r="B250">
        <v>10367</v>
      </c>
      <c r="C250" t="s">
        <v>8358</v>
      </c>
      <c r="D250" t="s">
        <v>8272</v>
      </c>
      <c r="E250" s="225">
        <v>403.2</v>
      </c>
      <c r="F250" t="s">
        <v>8395</v>
      </c>
      <c r="G250" t="s">
        <v>8396</v>
      </c>
      <c r="H250" t="s">
        <v>8374</v>
      </c>
      <c r="I250" s="99">
        <v>43633</v>
      </c>
      <c r="J250" s="99">
        <v>43637</v>
      </c>
      <c r="K250" t="s">
        <v>8158</v>
      </c>
      <c r="L250" t="s">
        <v>861</v>
      </c>
    </row>
    <row r="251" spans="2:12" x14ac:dyDescent="0.2">
      <c r="B251">
        <v>10367</v>
      </c>
      <c r="C251" t="s">
        <v>8253</v>
      </c>
      <c r="D251" t="s">
        <v>8254</v>
      </c>
      <c r="E251" s="225">
        <v>252</v>
      </c>
      <c r="F251" t="s">
        <v>8395</v>
      </c>
      <c r="G251" t="s">
        <v>8396</v>
      </c>
      <c r="H251" t="s">
        <v>8374</v>
      </c>
      <c r="I251" s="99">
        <v>43633</v>
      </c>
      <c r="J251" s="99">
        <v>43637</v>
      </c>
      <c r="K251" t="s">
        <v>8158</v>
      </c>
      <c r="L251" t="s">
        <v>861</v>
      </c>
    </row>
    <row r="252" spans="2:12" x14ac:dyDescent="0.2">
      <c r="B252">
        <v>10367</v>
      </c>
      <c r="C252" t="s">
        <v>8397</v>
      </c>
      <c r="D252" t="s">
        <v>8254</v>
      </c>
      <c r="E252" s="225">
        <v>72.8</v>
      </c>
      <c r="F252" t="s">
        <v>8395</v>
      </c>
      <c r="G252" t="s">
        <v>8396</v>
      </c>
      <c r="H252" t="s">
        <v>8374</v>
      </c>
      <c r="I252" s="99">
        <v>43633</v>
      </c>
      <c r="J252" s="99">
        <v>43637</v>
      </c>
      <c r="K252" t="s">
        <v>8158</v>
      </c>
      <c r="L252" t="s">
        <v>861</v>
      </c>
    </row>
    <row r="253" spans="2:12" x14ac:dyDescent="0.2">
      <c r="B253">
        <v>10368</v>
      </c>
      <c r="C253" t="s">
        <v>8368</v>
      </c>
      <c r="D253" t="s">
        <v>8262</v>
      </c>
      <c r="E253" s="225">
        <v>36</v>
      </c>
      <c r="F253" t="s">
        <v>8283</v>
      </c>
      <c r="G253" t="s">
        <v>8284</v>
      </c>
      <c r="H253" t="s">
        <v>8282</v>
      </c>
      <c r="I253" s="99">
        <v>43634</v>
      </c>
      <c r="J253" s="99">
        <v>43637</v>
      </c>
      <c r="K253" t="s">
        <v>8297</v>
      </c>
      <c r="L253" t="s">
        <v>8298</v>
      </c>
    </row>
    <row r="254" spans="2:12" x14ac:dyDescent="0.2">
      <c r="B254">
        <v>10368</v>
      </c>
      <c r="C254" t="s">
        <v>8258</v>
      </c>
      <c r="D254" t="s">
        <v>8244</v>
      </c>
      <c r="E254" s="225">
        <v>390</v>
      </c>
      <c r="F254" t="s">
        <v>8283</v>
      </c>
      <c r="G254" t="s">
        <v>8284</v>
      </c>
      <c r="H254" t="s">
        <v>8282</v>
      </c>
      <c r="I254" s="99">
        <v>43634</v>
      </c>
      <c r="J254" s="99">
        <v>43637</v>
      </c>
      <c r="K254" t="s">
        <v>8297</v>
      </c>
      <c r="L254" t="s">
        <v>8298</v>
      </c>
    </row>
    <row r="255" spans="2:12" x14ac:dyDescent="0.2">
      <c r="B255">
        <v>10368</v>
      </c>
      <c r="C255" t="s">
        <v>8340</v>
      </c>
      <c r="D255" t="s">
        <v>8244</v>
      </c>
      <c r="E255" s="225">
        <v>837.9</v>
      </c>
      <c r="F255" t="s">
        <v>8283</v>
      </c>
      <c r="G255" t="s">
        <v>8284</v>
      </c>
      <c r="H255" t="s">
        <v>8282</v>
      </c>
      <c r="I255" s="99">
        <v>43634</v>
      </c>
      <c r="J255" s="99">
        <v>43637</v>
      </c>
      <c r="K255" t="s">
        <v>8297</v>
      </c>
      <c r="L255" t="s">
        <v>8298</v>
      </c>
    </row>
    <row r="256" spans="2:12" x14ac:dyDescent="0.2">
      <c r="B256">
        <v>10368</v>
      </c>
      <c r="C256" t="s">
        <v>8316</v>
      </c>
      <c r="D256" t="s">
        <v>8247</v>
      </c>
      <c r="E256" s="225">
        <v>425.88</v>
      </c>
      <c r="F256" t="s">
        <v>8283</v>
      </c>
      <c r="G256" t="s">
        <v>8284</v>
      </c>
      <c r="H256" t="s">
        <v>8282</v>
      </c>
      <c r="I256" s="99">
        <v>43634</v>
      </c>
      <c r="J256" s="99">
        <v>43637</v>
      </c>
      <c r="K256" t="s">
        <v>8297</v>
      </c>
      <c r="L256" t="s">
        <v>8298</v>
      </c>
    </row>
    <row r="257" spans="2:12" x14ac:dyDescent="0.2">
      <c r="B257">
        <v>10369</v>
      </c>
      <c r="C257" t="s">
        <v>8341</v>
      </c>
      <c r="D257" t="s">
        <v>8244</v>
      </c>
      <c r="E257" s="225">
        <v>410.4</v>
      </c>
      <c r="F257" t="s">
        <v>8744</v>
      </c>
      <c r="G257" t="s">
        <v>8743</v>
      </c>
      <c r="H257" t="s">
        <v>8701</v>
      </c>
      <c r="I257" s="99">
        <v>43637</v>
      </c>
      <c r="J257" s="99">
        <v>43644</v>
      </c>
      <c r="K257" t="s">
        <v>8320</v>
      </c>
      <c r="L257" t="s">
        <v>8321</v>
      </c>
    </row>
    <row r="258" spans="2:12" x14ac:dyDescent="0.2">
      <c r="B258">
        <v>10370</v>
      </c>
      <c r="C258" t="s">
        <v>8333</v>
      </c>
      <c r="D258" t="s">
        <v>8272</v>
      </c>
      <c r="E258" s="225">
        <v>183.6</v>
      </c>
      <c r="F258" t="s">
        <v>8273</v>
      </c>
      <c r="G258" t="s">
        <v>8274</v>
      </c>
      <c r="H258" t="s">
        <v>8271</v>
      </c>
      <c r="I258" s="99">
        <v>43638</v>
      </c>
      <c r="J258" s="99">
        <v>43662</v>
      </c>
      <c r="K258" t="s">
        <v>8251</v>
      </c>
      <c r="L258" t="s">
        <v>269</v>
      </c>
    </row>
    <row r="259" spans="2:12" x14ac:dyDescent="0.2">
      <c r="B259">
        <v>10370</v>
      </c>
      <c r="C259" t="s">
        <v>8340</v>
      </c>
      <c r="D259" t="s">
        <v>8244</v>
      </c>
      <c r="E259" s="225">
        <v>798</v>
      </c>
      <c r="F259" t="s">
        <v>8273</v>
      </c>
      <c r="G259" t="s">
        <v>8274</v>
      </c>
      <c r="H259" t="s">
        <v>8271</v>
      </c>
      <c r="I259" s="99">
        <v>43638</v>
      </c>
      <c r="J259" s="99">
        <v>43662</v>
      </c>
      <c r="K259" t="s">
        <v>8251</v>
      </c>
      <c r="L259" t="s">
        <v>269</v>
      </c>
    </row>
    <row r="260" spans="2:12" x14ac:dyDescent="0.2">
      <c r="B260">
        <v>10370</v>
      </c>
      <c r="C260" t="s">
        <v>8275</v>
      </c>
      <c r="D260" t="s">
        <v>8247</v>
      </c>
      <c r="E260" s="225">
        <v>136</v>
      </c>
      <c r="F260" t="s">
        <v>8273</v>
      </c>
      <c r="G260" t="s">
        <v>8274</v>
      </c>
      <c r="H260" t="s">
        <v>8271</v>
      </c>
      <c r="I260" s="99">
        <v>43638</v>
      </c>
      <c r="J260" s="99">
        <v>43662</v>
      </c>
      <c r="K260" t="s">
        <v>8251</v>
      </c>
      <c r="L260" t="s">
        <v>269</v>
      </c>
    </row>
    <row r="261" spans="2:12" x14ac:dyDescent="0.2">
      <c r="B261">
        <v>10372</v>
      </c>
      <c r="C261" t="s">
        <v>8380</v>
      </c>
      <c r="D261" t="s">
        <v>8272</v>
      </c>
      <c r="E261" s="225">
        <v>6324</v>
      </c>
      <c r="F261" t="s">
        <v>8712</v>
      </c>
      <c r="G261" t="s">
        <v>8711</v>
      </c>
      <c r="H261" t="s">
        <v>8710</v>
      </c>
      <c r="I261" s="99">
        <v>43639</v>
      </c>
      <c r="J261" s="99">
        <v>43644</v>
      </c>
      <c r="K261" t="s">
        <v>8241</v>
      </c>
      <c r="L261" t="s">
        <v>6934</v>
      </c>
    </row>
    <row r="262" spans="2:12" x14ac:dyDescent="0.2">
      <c r="B262">
        <v>10372</v>
      </c>
      <c r="C262" t="s">
        <v>8260</v>
      </c>
      <c r="D262" t="s">
        <v>8262</v>
      </c>
      <c r="E262" s="225">
        <v>583.20000000000005</v>
      </c>
      <c r="F262" t="s">
        <v>8712</v>
      </c>
      <c r="G262" t="s">
        <v>8711</v>
      </c>
      <c r="H262" t="s">
        <v>8710</v>
      </c>
      <c r="I262" s="99">
        <v>43639</v>
      </c>
      <c r="J262" s="99">
        <v>43644</v>
      </c>
      <c r="K262" t="s">
        <v>8241</v>
      </c>
      <c r="L262" t="s">
        <v>6934</v>
      </c>
    </row>
    <row r="263" spans="2:12" x14ac:dyDescent="0.2">
      <c r="B263">
        <v>10372</v>
      </c>
      <c r="C263" t="s">
        <v>8268</v>
      </c>
      <c r="D263" t="s">
        <v>8237</v>
      </c>
      <c r="E263" s="225">
        <v>1428</v>
      </c>
      <c r="F263" t="s">
        <v>8712</v>
      </c>
      <c r="G263" t="s">
        <v>8711</v>
      </c>
      <c r="H263" t="s">
        <v>8710</v>
      </c>
      <c r="I263" s="99">
        <v>43639</v>
      </c>
      <c r="J263" s="99">
        <v>43644</v>
      </c>
      <c r="K263" t="s">
        <v>8241</v>
      </c>
      <c r="L263" t="s">
        <v>6934</v>
      </c>
    </row>
    <row r="264" spans="2:12" x14ac:dyDescent="0.2">
      <c r="B264">
        <v>10372</v>
      </c>
      <c r="C264" t="s">
        <v>8235</v>
      </c>
      <c r="D264" t="s">
        <v>8237</v>
      </c>
      <c r="E264" s="225">
        <v>875.7</v>
      </c>
      <c r="F264" t="s">
        <v>8712</v>
      </c>
      <c r="G264" t="s">
        <v>8711</v>
      </c>
      <c r="H264" t="s">
        <v>8710</v>
      </c>
      <c r="I264" s="99">
        <v>43639</v>
      </c>
      <c r="J264" s="99">
        <v>43644</v>
      </c>
      <c r="K264" t="s">
        <v>8241</v>
      </c>
      <c r="L264" t="s">
        <v>6934</v>
      </c>
    </row>
    <row r="265" spans="2:12" x14ac:dyDescent="0.2">
      <c r="B265">
        <v>10373</v>
      </c>
      <c r="C265" t="s">
        <v>8310</v>
      </c>
      <c r="D265" t="s">
        <v>8237</v>
      </c>
      <c r="E265" s="225">
        <v>688</v>
      </c>
      <c r="F265" t="s">
        <v>8344</v>
      </c>
      <c r="G265" t="s">
        <v>8345</v>
      </c>
      <c r="H265" t="s">
        <v>8343</v>
      </c>
      <c r="I265" s="99">
        <v>43640</v>
      </c>
      <c r="J265" s="99">
        <v>43646</v>
      </c>
      <c r="K265" t="s">
        <v>8266</v>
      </c>
      <c r="L265" t="s">
        <v>8267</v>
      </c>
    </row>
    <row r="266" spans="2:12" x14ac:dyDescent="0.2">
      <c r="B266">
        <v>10374</v>
      </c>
      <c r="C266" t="s">
        <v>8309</v>
      </c>
      <c r="D266" t="s">
        <v>8237</v>
      </c>
      <c r="E266" s="225">
        <v>300</v>
      </c>
      <c r="F266" t="s">
        <v>8401</v>
      </c>
      <c r="G266" t="s">
        <v>8402</v>
      </c>
      <c r="H266" t="s">
        <v>8400</v>
      </c>
      <c r="I266" s="99">
        <v>43640</v>
      </c>
      <c r="J266" s="99">
        <v>43644</v>
      </c>
      <c r="K266" t="s">
        <v>8285</v>
      </c>
      <c r="L266" t="s">
        <v>2317</v>
      </c>
    </row>
    <row r="267" spans="2:12" x14ac:dyDescent="0.2">
      <c r="B267">
        <v>10375</v>
      </c>
      <c r="C267" t="s">
        <v>8252</v>
      </c>
      <c r="D267" t="s">
        <v>8247</v>
      </c>
      <c r="E267" s="225">
        <v>279</v>
      </c>
      <c r="F267" t="s">
        <v>8766</v>
      </c>
      <c r="G267" t="s">
        <v>8765</v>
      </c>
      <c r="H267" t="s">
        <v>8701</v>
      </c>
      <c r="I267" s="99">
        <v>43641</v>
      </c>
      <c r="J267" s="99">
        <v>43644</v>
      </c>
      <c r="K267" t="s">
        <v>8257</v>
      </c>
      <c r="L267" t="s">
        <v>6984</v>
      </c>
    </row>
    <row r="268" spans="2:12" x14ac:dyDescent="0.2">
      <c r="B268">
        <v>10376</v>
      </c>
      <c r="C268" t="s">
        <v>8309</v>
      </c>
      <c r="D268" t="s">
        <v>8237</v>
      </c>
      <c r="E268" s="225">
        <v>399</v>
      </c>
      <c r="F268" t="s">
        <v>8760</v>
      </c>
      <c r="G268" t="s">
        <v>8759</v>
      </c>
      <c r="H268" t="s">
        <v>8720</v>
      </c>
      <c r="I268" s="99">
        <v>43644</v>
      </c>
      <c r="J268" s="99">
        <v>43648</v>
      </c>
      <c r="K268" t="s">
        <v>8285</v>
      </c>
      <c r="L268" t="s">
        <v>2317</v>
      </c>
    </row>
    <row r="269" spans="2:12" x14ac:dyDescent="0.2">
      <c r="B269">
        <v>10377</v>
      </c>
      <c r="C269" t="s">
        <v>8342</v>
      </c>
      <c r="D269" t="s">
        <v>8272</v>
      </c>
      <c r="E269" s="225">
        <v>244.8</v>
      </c>
      <c r="F269" t="s">
        <v>8388</v>
      </c>
      <c r="G269" t="s">
        <v>8389</v>
      </c>
      <c r="H269" t="s">
        <v>2434</v>
      </c>
      <c r="I269" s="99">
        <v>43644</v>
      </c>
      <c r="J269" s="99">
        <v>43648</v>
      </c>
      <c r="K269" t="s">
        <v>8285</v>
      </c>
      <c r="L269" t="s">
        <v>2317</v>
      </c>
    </row>
    <row r="270" spans="2:12" x14ac:dyDescent="0.2">
      <c r="B270">
        <v>10377</v>
      </c>
      <c r="C270" t="s">
        <v>8316</v>
      </c>
      <c r="D270" t="s">
        <v>8247</v>
      </c>
      <c r="E270" s="225">
        <v>618.79999999999995</v>
      </c>
      <c r="F270" t="s">
        <v>8388</v>
      </c>
      <c r="G270" t="s">
        <v>8389</v>
      </c>
      <c r="H270" t="s">
        <v>2434</v>
      </c>
      <c r="I270" s="99">
        <v>43644</v>
      </c>
      <c r="J270" s="99">
        <v>43648</v>
      </c>
      <c r="K270" t="s">
        <v>8285</v>
      </c>
      <c r="L270" t="s">
        <v>2317</v>
      </c>
    </row>
    <row r="271" spans="2:12" x14ac:dyDescent="0.2">
      <c r="B271">
        <v>10378</v>
      </c>
      <c r="C271" t="s">
        <v>8310</v>
      </c>
      <c r="D271" t="s">
        <v>8237</v>
      </c>
      <c r="E271" s="225">
        <v>103.2</v>
      </c>
      <c r="F271" t="s">
        <v>8293</v>
      </c>
      <c r="G271" t="s">
        <v>8294</v>
      </c>
      <c r="H271" t="s">
        <v>8292</v>
      </c>
      <c r="I271" s="99">
        <v>43645</v>
      </c>
      <c r="J271" s="99">
        <v>43654</v>
      </c>
      <c r="K271" t="s">
        <v>8241</v>
      </c>
      <c r="L271" t="s">
        <v>6934</v>
      </c>
    </row>
    <row r="272" spans="2:12" x14ac:dyDescent="0.2">
      <c r="B272">
        <v>10379</v>
      </c>
      <c r="C272" t="s">
        <v>8317</v>
      </c>
      <c r="D272" t="s">
        <v>8254</v>
      </c>
      <c r="E272" s="225">
        <v>505.44</v>
      </c>
      <c r="F272" t="s">
        <v>8736</v>
      </c>
      <c r="G272" t="s">
        <v>8735</v>
      </c>
      <c r="H272" t="s">
        <v>8710</v>
      </c>
      <c r="I272" s="99">
        <v>43646</v>
      </c>
      <c r="J272" s="99">
        <v>43648</v>
      </c>
      <c r="K272" t="s">
        <v>8297</v>
      </c>
      <c r="L272" t="s">
        <v>8298</v>
      </c>
    </row>
    <row r="273" spans="2:12" x14ac:dyDescent="0.2">
      <c r="B273">
        <v>10379</v>
      </c>
      <c r="C273" t="s">
        <v>8253</v>
      </c>
      <c r="D273" t="s">
        <v>8254</v>
      </c>
      <c r="E273" s="225">
        <v>302.39999999999998</v>
      </c>
      <c r="F273" t="s">
        <v>8736</v>
      </c>
      <c r="G273" t="s">
        <v>8735</v>
      </c>
      <c r="H273" t="s">
        <v>8710</v>
      </c>
      <c r="I273" s="99">
        <v>43646</v>
      </c>
      <c r="J273" s="99">
        <v>43648</v>
      </c>
      <c r="K273" t="s">
        <v>8297</v>
      </c>
      <c r="L273" t="s">
        <v>8298</v>
      </c>
    </row>
    <row r="274" spans="2:12" x14ac:dyDescent="0.2">
      <c r="B274">
        <v>10380</v>
      </c>
      <c r="C274" t="s">
        <v>8288</v>
      </c>
      <c r="D274" t="s">
        <v>8272</v>
      </c>
      <c r="E274" s="225">
        <v>360</v>
      </c>
      <c r="F274" t="s">
        <v>8344</v>
      </c>
      <c r="G274" t="s">
        <v>8345</v>
      </c>
      <c r="H274" t="s">
        <v>8343</v>
      </c>
      <c r="I274" s="99">
        <v>43647</v>
      </c>
      <c r="J274" s="99">
        <v>43682</v>
      </c>
      <c r="K274" t="s">
        <v>8320</v>
      </c>
      <c r="L274" t="s">
        <v>8321</v>
      </c>
    </row>
    <row r="275" spans="2:12" x14ac:dyDescent="0.2">
      <c r="B275">
        <v>10380</v>
      </c>
      <c r="C275" t="s">
        <v>8268</v>
      </c>
      <c r="D275" t="s">
        <v>8237</v>
      </c>
      <c r="E275" s="225">
        <v>146.88</v>
      </c>
      <c r="F275" t="s">
        <v>8344</v>
      </c>
      <c r="G275" t="s">
        <v>8345</v>
      </c>
      <c r="H275" t="s">
        <v>8343</v>
      </c>
      <c r="I275" s="99">
        <v>43647</v>
      </c>
      <c r="J275" s="99">
        <v>43682</v>
      </c>
      <c r="K275" t="s">
        <v>8320</v>
      </c>
      <c r="L275" t="s">
        <v>8321</v>
      </c>
    </row>
    <row r="276" spans="2:12" x14ac:dyDescent="0.2">
      <c r="B276">
        <v>10381</v>
      </c>
      <c r="C276" t="s">
        <v>8275</v>
      </c>
      <c r="D276" t="s">
        <v>8247</v>
      </c>
      <c r="E276" s="225">
        <v>112</v>
      </c>
      <c r="F276" t="s">
        <v>8709</v>
      </c>
      <c r="G276" t="s">
        <v>8708</v>
      </c>
      <c r="H276" t="s">
        <v>8707</v>
      </c>
      <c r="I276" s="99">
        <v>43647</v>
      </c>
      <c r="J276" s="99">
        <v>43648</v>
      </c>
      <c r="K276" t="s">
        <v>8257</v>
      </c>
      <c r="L276" t="s">
        <v>6984</v>
      </c>
    </row>
    <row r="277" spans="2:12" x14ac:dyDescent="0.2">
      <c r="B277">
        <v>10382</v>
      </c>
      <c r="C277" t="s">
        <v>8286</v>
      </c>
      <c r="D277" t="s">
        <v>8254</v>
      </c>
      <c r="E277" s="225">
        <v>544</v>
      </c>
      <c r="F277" t="s">
        <v>8283</v>
      </c>
      <c r="G277" t="s">
        <v>8284</v>
      </c>
      <c r="H277" t="s">
        <v>8282</v>
      </c>
      <c r="I277" s="99">
        <v>43648</v>
      </c>
      <c r="J277" s="99">
        <v>43651</v>
      </c>
      <c r="K277" t="s">
        <v>8266</v>
      </c>
      <c r="L277" t="s">
        <v>8267</v>
      </c>
    </row>
    <row r="278" spans="2:12" x14ac:dyDescent="0.2">
      <c r="B278">
        <v>10382</v>
      </c>
      <c r="C278" t="s">
        <v>8269</v>
      </c>
      <c r="D278" t="s">
        <v>8237</v>
      </c>
      <c r="E278" s="225">
        <v>120</v>
      </c>
      <c r="F278" t="s">
        <v>8283</v>
      </c>
      <c r="G278" t="s">
        <v>8284</v>
      </c>
      <c r="H278" t="s">
        <v>8282</v>
      </c>
      <c r="I278" s="99">
        <v>43648</v>
      </c>
      <c r="J278" s="99">
        <v>43651</v>
      </c>
      <c r="K278" t="s">
        <v>8266</v>
      </c>
      <c r="L278" t="s">
        <v>8267</v>
      </c>
    </row>
    <row r="279" spans="2:12" x14ac:dyDescent="0.2">
      <c r="B279">
        <v>10382</v>
      </c>
      <c r="C279" t="s">
        <v>8275</v>
      </c>
      <c r="D279" t="s">
        <v>8247</v>
      </c>
      <c r="E279" s="225">
        <v>400</v>
      </c>
      <c r="F279" t="s">
        <v>8283</v>
      </c>
      <c r="G279" t="s">
        <v>8284</v>
      </c>
      <c r="H279" t="s">
        <v>8282</v>
      </c>
      <c r="I279" s="99">
        <v>43648</v>
      </c>
      <c r="J279" s="99">
        <v>43651</v>
      </c>
      <c r="K279" t="s">
        <v>8266</v>
      </c>
      <c r="L279" t="s">
        <v>8267</v>
      </c>
    </row>
    <row r="280" spans="2:12" x14ac:dyDescent="0.2">
      <c r="B280">
        <v>10383</v>
      </c>
      <c r="C280" t="s">
        <v>8381</v>
      </c>
      <c r="D280" t="s">
        <v>8262</v>
      </c>
      <c r="E280" s="225">
        <v>195</v>
      </c>
      <c r="F280" t="s">
        <v>8386</v>
      </c>
      <c r="G280" t="s">
        <v>8387</v>
      </c>
      <c r="H280" t="s">
        <v>2434</v>
      </c>
      <c r="I280" s="99">
        <v>43651</v>
      </c>
      <c r="J280" s="99">
        <v>43653</v>
      </c>
      <c r="K280" t="s">
        <v>8320</v>
      </c>
      <c r="L280" t="s">
        <v>8321</v>
      </c>
    </row>
    <row r="281" spans="2:12" x14ac:dyDescent="0.2">
      <c r="B281">
        <v>10383</v>
      </c>
      <c r="C281" t="s">
        <v>8341</v>
      </c>
      <c r="D281" t="s">
        <v>8244</v>
      </c>
      <c r="E281" s="225">
        <v>608</v>
      </c>
      <c r="F281" t="s">
        <v>8386</v>
      </c>
      <c r="G281" t="s">
        <v>8387</v>
      </c>
      <c r="H281" t="s">
        <v>2434</v>
      </c>
      <c r="I281" s="99">
        <v>43651</v>
      </c>
      <c r="J281" s="99">
        <v>43653</v>
      </c>
      <c r="K281" t="s">
        <v>8320</v>
      </c>
      <c r="L281" t="s">
        <v>8321</v>
      </c>
    </row>
    <row r="282" spans="2:12" x14ac:dyDescent="0.2">
      <c r="B282">
        <v>10384</v>
      </c>
      <c r="C282" t="s">
        <v>8260</v>
      </c>
      <c r="D282" t="s">
        <v>8262</v>
      </c>
      <c r="E282" s="225">
        <v>1814.4</v>
      </c>
      <c r="F282" t="s">
        <v>8318</v>
      </c>
      <c r="G282" t="s">
        <v>8319</v>
      </c>
      <c r="H282" t="s">
        <v>8292</v>
      </c>
      <c r="I282" s="99">
        <v>43651</v>
      </c>
      <c r="J282" s="99">
        <v>43655</v>
      </c>
      <c r="K282" t="s">
        <v>8257</v>
      </c>
      <c r="L282" t="s">
        <v>6984</v>
      </c>
    </row>
    <row r="283" spans="2:12" x14ac:dyDescent="0.2">
      <c r="B283">
        <v>10384</v>
      </c>
      <c r="C283" t="s">
        <v>8268</v>
      </c>
      <c r="D283" t="s">
        <v>8237</v>
      </c>
      <c r="E283" s="225">
        <v>408</v>
      </c>
      <c r="F283" t="s">
        <v>8318</v>
      </c>
      <c r="G283" t="s">
        <v>8319</v>
      </c>
      <c r="H283" t="s">
        <v>8292</v>
      </c>
      <c r="I283" s="99">
        <v>43651</v>
      </c>
      <c r="J283" s="99">
        <v>43655</v>
      </c>
      <c r="K283" t="s">
        <v>8257</v>
      </c>
      <c r="L283" t="s">
        <v>6984</v>
      </c>
    </row>
    <row r="284" spans="2:12" x14ac:dyDescent="0.2">
      <c r="B284">
        <v>10385</v>
      </c>
      <c r="C284" t="s">
        <v>8334</v>
      </c>
      <c r="D284" t="s">
        <v>8262</v>
      </c>
      <c r="E284" s="225">
        <v>64</v>
      </c>
      <c r="F284" t="s">
        <v>8744</v>
      </c>
      <c r="G284" t="s">
        <v>8743</v>
      </c>
      <c r="H284" t="s">
        <v>8701</v>
      </c>
      <c r="I284" s="99">
        <v>43652</v>
      </c>
      <c r="J284" s="99">
        <v>43658</v>
      </c>
      <c r="K284" t="s">
        <v>8285</v>
      </c>
      <c r="L284" t="s">
        <v>2317</v>
      </c>
    </row>
    <row r="285" spans="2:12" x14ac:dyDescent="0.2">
      <c r="B285">
        <v>10385</v>
      </c>
      <c r="C285" t="s">
        <v>8268</v>
      </c>
      <c r="D285" t="s">
        <v>8237</v>
      </c>
      <c r="E285" s="225">
        <v>435.2</v>
      </c>
      <c r="F285" t="s">
        <v>8744</v>
      </c>
      <c r="G285" t="s">
        <v>8743</v>
      </c>
      <c r="H285" t="s">
        <v>8701</v>
      </c>
      <c r="I285" s="99">
        <v>43652</v>
      </c>
      <c r="J285" s="99">
        <v>43658</v>
      </c>
      <c r="K285" t="s">
        <v>8285</v>
      </c>
      <c r="L285" t="s">
        <v>2317</v>
      </c>
    </row>
    <row r="286" spans="2:12" x14ac:dyDescent="0.2">
      <c r="B286">
        <v>10385</v>
      </c>
      <c r="C286" t="s">
        <v>8415</v>
      </c>
      <c r="D286" t="s">
        <v>8247</v>
      </c>
      <c r="E286" s="225">
        <v>192</v>
      </c>
      <c r="F286" t="s">
        <v>8744</v>
      </c>
      <c r="G286" t="s">
        <v>8743</v>
      </c>
      <c r="H286" t="s">
        <v>8701</v>
      </c>
      <c r="I286" s="99">
        <v>43652</v>
      </c>
      <c r="J286" s="99">
        <v>43658</v>
      </c>
      <c r="K286" t="s">
        <v>8285</v>
      </c>
      <c r="L286" t="s">
        <v>2317</v>
      </c>
    </row>
    <row r="287" spans="2:12" x14ac:dyDescent="0.2">
      <c r="B287">
        <v>10386</v>
      </c>
      <c r="C287" t="s">
        <v>8270</v>
      </c>
      <c r="D287" t="s">
        <v>8272</v>
      </c>
      <c r="E287" s="225">
        <v>54</v>
      </c>
      <c r="F287" t="s">
        <v>8762</v>
      </c>
      <c r="G287" t="s">
        <v>8761</v>
      </c>
      <c r="H287" t="s">
        <v>8710</v>
      </c>
      <c r="I287" s="99">
        <v>43653</v>
      </c>
      <c r="J287" s="99">
        <v>43660</v>
      </c>
      <c r="K287" t="s">
        <v>8279</v>
      </c>
      <c r="L287" t="s">
        <v>710</v>
      </c>
    </row>
    <row r="288" spans="2:12" x14ac:dyDescent="0.2">
      <c r="B288">
        <v>10386</v>
      </c>
      <c r="C288" t="s">
        <v>8358</v>
      </c>
      <c r="D288" t="s">
        <v>8272</v>
      </c>
      <c r="E288" s="225">
        <v>112</v>
      </c>
      <c r="F288" t="s">
        <v>8762</v>
      </c>
      <c r="G288" t="s">
        <v>8761</v>
      </c>
      <c r="H288" t="s">
        <v>8710</v>
      </c>
      <c r="I288" s="99">
        <v>43653</v>
      </c>
      <c r="J288" s="99">
        <v>43660</v>
      </c>
      <c r="K288" t="s">
        <v>8279</v>
      </c>
      <c r="L288" t="s">
        <v>710</v>
      </c>
    </row>
    <row r="289" spans="2:12" x14ac:dyDescent="0.2">
      <c r="B289">
        <v>10387</v>
      </c>
      <c r="C289" t="s">
        <v>8270</v>
      </c>
      <c r="D289" t="s">
        <v>8272</v>
      </c>
      <c r="E289" s="225">
        <v>54</v>
      </c>
      <c r="F289" t="s">
        <v>8404</v>
      </c>
      <c r="G289" t="s">
        <v>8405</v>
      </c>
      <c r="H289" t="s">
        <v>8403</v>
      </c>
      <c r="I289" s="99">
        <v>43653</v>
      </c>
      <c r="J289" s="99">
        <v>43655</v>
      </c>
      <c r="K289" t="s">
        <v>8285</v>
      </c>
      <c r="L289" t="s">
        <v>2317</v>
      </c>
    </row>
    <row r="290" spans="2:12" x14ac:dyDescent="0.2">
      <c r="B290">
        <v>10387</v>
      </c>
      <c r="C290" t="s">
        <v>8281</v>
      </c>
      <c r="D290" t="s">
        <v>8237</v>
      </c>
      <c r="E290" s="225">
        <v>528</v>
      </c>
      <c r="F290" t="s">
        <v>8404</v>
      </c>
      <c r="G290" t="s">
        <v>8405</v>
      </c>
      <c r="H290" t="s">
        <v>8403</v>
      </c>
      <c r="I290" s="99">
        <v>43653</v>
      </c>
      <c r="J290" s="99">
        <v>43655</v>
      </c>
      <c r="K290" t="s">
        <v>8285</v>
      </c>
      <c r="L290" t="s">
        <v>2317</v>
      </c>
    </row>
    <row r="291" spans="2:12" x14ac:dyDescent="0.2">
      <c r="B291">
        <v>10387</v>
      </c>
      <c r="C291" t="s">
        <v>8310</v>
      </c>
      <c r="D291" t="s">
        <v>8237</v>
      </c>
      <c r="E291" s="225">
        <v>258</v>
      </c>
      <c r="F291" t="s">
        <v>8404</v>
      </c>
      <c r="G291" t="s">
        <v>8405</v>
      </c>
      <c r="H291" t="s">
        <v>8403</v>
      </c>
      <c r="I291" s="99">
        <v>43653</v>
      </c>
      <c r="J291" s="99">
        <v>43655</v>
      </c>
      <c r="K291" t="s">
        <v>8285</v>
      </c>
      <c r="L291" t="s">
        <v>2317</v>
      </c>
    </row>
    <row r="292" spans="2:12" x14ac:dyDescent="0.2">
      <c r="B292">
        <v>10387</v>
      </c>
      <c r="C292" t="s">
        <v>8316</v>
      </c>
      <c r="D292" t="s">
        <v>8247</v>
      </c>
      <c r="E292" s="225">
        <v>218.4</v>
      </c>
      <c r="F292" t="s">
        <v>8404</v>
      </c>
      <c r="G292" t="s">
        <v>8405</v>
      </c>
      <c r="H292" t="s">
        <v>8403</v>
      </c>
      <c r="I292" s="99">
        <v>43653</v>
      </c>
      <c r="J292" s="99">
        <v>43655</v>
      </c>
      <c r="K292" t="s">
        <v>8285</v>
      </c>
      <c r="L292" t="s">
        <v>2317</v>
      </c>
    </row>
    <row r="293" spans="2:12" x14ac:dyDescent="0.2">
      <c r="B293">
        <v>10388</v>
      </c>
      <c r="C293" t="s">
        <v>8369</v>
      </c>
      <c r="D293" t="s">
        <v>8244</v>
      </c>
      <c r="E293" s="225">
        <v>89.6</v>
      </c>
      <c r="F293" t="s">
        <v>8388</v>
      </c>
      <c r="G293" t="s">
        <v>8389</v>
      </c>
      <c r="H293" t="s">
        <v>2434</v>
      </c>
      <c r="I293" s="99">
        <v>43654</v>
      </c>
      <c r="J293" s="99">
        <v>43655</v>
      </c>
      <c r="K293" t="s">
        <v>8297</v>
      </c>
      <c r="L293" t="s">
        <v>8298</v>
      </c>
    </row>
    <row r="294" spans="2:12" x14ac:dyDescent="0.2">
      <c r="B294">
        <v>10389</v>
      </c>
      <c r="C294" t="s">
        <v>8288</v>
      </c>
      <c r="D294" t="s">
        <v>8272</v>
      </c>
      <c r="E294" s="225">
        <v>360</v>
      </c>
      <c r="F294" t="s">
        <v>8722</v>
      </c>
      <c r="G294" t="s">
        <v>8721</v>
      </c>
      <c r="H294" t="s">
        <v>8720</v>
      </c>
      <c r="I294" s="99">
        <v>43655</v>
      </c>
      <c r="J294" s="99">
        <v>43659</v>
      </c>
      <c r="K294" t="s">
        <v>8266</v>
      </c>
      <c r="L294" t="s">
        <v>8267</v>
      </c>
    </row>
    <row r="295" spans="2:12" x14ac:dyDescent="0.2">
      <c r="B295">
        <v>10389</v>
      </c>
      <c r="C295" t="s">
        <v>8291</v>
      </c>
      <c r="D295" t="s">
        <v>8262</v>
      </c>
      <c r="E295" s="225">
        <v>788</v>
      </c>
      <c r="F295" t="s">
        <v>8722</v>
      </c>
      <c r="G295" t="s">
        <v>8721</v>
      </c>
      <c r="H295" t="s">
        <v>8720</v>
      </c>
      <c r="I295" s="99">
        <v>43655</v>
      </c>
      <c r="J295" s="99">
        <v>43659</v>
      </c>
      <c r="K295" t="s">
        <v>8266</v>
      </c>
      <c r="L295" t="s">
        <v>8267</v>
      </c>
    </row>
    <row r="296" spans="2:12" x14ac:dyDescent="0.2">
      <c r="B296">
        <v>10390</v>
      </c>
      <c r="C296" t="s">
        <v>8323</v>
      </c>
      <c r="D296" t="s">
        <v>8272</v>
      </c>
      <c r="E296" s="225">
        <v>518.4</v>
      </c>
      <c r="F296" t="s">
        <v>8283</v>
      </c>
      <c r="G296" t="s">
        <v>8284</v>
      </c>
      <c r="H296" t="s">
        <v>8282</v>
      </c>
      <c r="I296" s="99">
        <v>43658</v>
      </c>
      <c r="J296" s="99">
        <v>43661</v>
      </c>
      <c r="K296" t="s">
        <v>8251</v>
      </c>
      <c r="L296" t="s">
        <v>269</v>
      </c>
    </row>
    <row r="297" spans="2:12" x14ac:dyDescent="0.2">
      <c r="B297">
        <v>10390</v>
      </c>
      <c r="C297" t="s">
        <v>8309</v>
      </c>
      <c r="D297" t="s">
        <v>8237</v>
      </c>
      <c r="E297" s="225">
        <v>540</v>
      </c>
      <c r="F297" t="s">
        <v>8283</v>
      </c>
      <c r="G297" t="s">
        <v>8284</v>
      </c>
      <c r="H297" t="s">
        <v>8282</v>
      </c>
      <c r="I297" s="99">
        <v>43658</v>
      </c>
      <c r="J297" s="99">
        <v>43661</v>
      </c>
      <c r="K297" t="s">
        <v>8251</v>
      </c>
      <c r="L297" t="s">
        <v>269</v>
      </c>
    </row>
    <row r="298" spans="2:12" x14ac:dyDescent="0.2">
      <c r="B298">
        <v>10390</v>
      </c>
      <c r="C298" t="s">
        <v>8235</v>
      </c>
      <c r="D298" t="s">
        <v>8237</v>
      </c>
      <c r="E298" s="225">
        <v>600.48</v>
      </c>
      <c r="F298" t="s">
        <v>8283</v>
      </c>
      <c r="G298" t="s">
        <v>8284</v>
      </c>
      <c r="H298" t="s">
        <v>8282</v>
      </c>
      <c r="I298" s="99">
        <v>43658</v>
      </c>
      <c r="J298" s="99">
        <v>43661</v>
      </c>
      <c r="K298" t="s">
        <v>8251</v>
      </c>
      <c r="L298" t="s">
        <v>269</v>
      </c>
    </row>
    <row r="299" spans="2:12" x14ac:dyDescent="0.2">
      <c r="B299">
        <v>10392</v>
      </c>
      <c r="C299" t="s">
        <v>8353</v>
      </c>
      <c r="D299" t="s">
        <v>8237</v>
      </c>
      <c r="E299" s="225">
        <v>1440</v>
      </c>
      <c r="F299" t="s">
        <v>8384</v>
      </c>
      <c r="G299" t="s">
        <v>8385</v>
      </c>
      <c r="H299" t="s">
        <v>8282</v>
      </c>
      <c r="I299" s="99">
        <v>43659</v>
      </c>
      <c r="J299" s="99">
        <v>43667</v>
      </c>
      <c r="K299" t="s">
        <v>8297</v>
      </c>
      <c r="L299" t="s">
        <v>8298</v>
      </c>
    </row>
    <row r="300" spans="2:12" x14ac:dyDescent="0.2">
      <c r="B300">
        <v>10393</v>
      </c>
      <c r="C300" t="s">
        <v>8276</v>
      </c>
      <c r="D300" t="s">
        <v>8272</v>
      </c>
      <c r="E300" s="225">
        <v>285</v>
      </c>
      <c r="F300" t="s">
        <v>8758</v>
      </c>
      <c r="G300" t="s">
        <v>8757</v>
      </c>
      <c r="H300" t="s">
        <v>8701</v>
      </c>
      <c r="I300" s="99">
        <v>43660</v>
      </c>
      <c r="J300" s="99">
        <v>43669</v>
      </c>
      <c r="K300" t="s">
        <v>8285</v>
      </c>
      <c r="L300" t="s">
        <v>2317</v>
      </c>
    </row>
    <row r="301" spans="2:12" x14ac:dyDescent="0.2">
      <c r="B301">
        <v>10393</v>
      </c>
      <c r="C301" t="s">
        <v>8362</v>
      </c>
      <c r="D301" t="s">
        <v>8262</v>
      </c>
      <c r="E301" s="225">
        <v>58.8</v>
      </c>
      <c r="F301" t="s">
        <v>8758</v>
      </c>
      <c r="G301" t="s">
        <v>8757</v>
      </c>
      <c r="H301" t="s">
        <v>8701</v>
      </c>
      <c r="I301" s="99">
        <v>43660</v>
      </c>
      <c r="J301" s="99">
        <v>43669</v>
      </c>
      <c r="K301" t="s">
        <v>8285</v>
      </c>
      <c r="L301" t="s">
        <v>2317</v>
      </c>
    </row>
    <row r="302" spans="2:12" x14ac:dyDescent="0.2">
      <c r="B302">
        <v>10393</v>
      </c>
      <c r="C302" t="s">
        <v>8372</v>
      </c>
      <c r="D302" t="s">
        <v>8262</v>
      </c>
      <c r="E302" s="225">
        <v>1307.25</v>
      </c>
      <c r="F302" t="s">
        <v>8758</v>
      </c>
      <c r="G302" t="s">
        <v>8757</v>
      </c>
      <c r="H302" t="s">
        <v>8701</v>
      </c>
      <c r="I302" s="99">
        <v>43660</v>
      </c>
      <c r="J302" s="99">
        <v>43669</v>
      </c>
      <c r="K302" t="s">
        <v>8285</v>
      </c>
      <c r="L302" t="s">
        <v>2317</v>
      </c>
    </row>
    <row r="303" spans="2:12" x14ac:dyDescent="0.2">
      <c r="B303">
        <v>10393</v>
      </c>
      <c r="C303" t="s">
        <v>8309</v>
      </c>
      <c r="D303" t="s">
        <v>8237</v>
      </c>
      <c r="E303" s="225">
        <v>320</v>
      </c>
      <c r="F303" t="s">
        <v>8758</v>
      </c>
      <c r="G303" t="s">
        <v>8757</v>
      </c>
      <c r="H303" t="s">
        <v>8701</v>
      </c>
      <c r="I303" s="99">
        <v>43660</v>
      </c>
      <c r="J303" s="99">
        <v>43669</v>
      </c>
      <c r="K303" t="s">
        <v>8285</v>
      </c>
      <c r="L303" t="s">
        <v>2317</v>
      </c>
    </row>
    <row r="304" spans="2:12" x14ac:dyDescent="0.2">
      <c r="B304">
        <v>10393</v>
      </c>
      <c r="C304" t="s">
        <v>8252</v>
      </c>
      <c r="D304" t="s">
        <v>8247</v>
      </c>
      <c r="E304" s="225">
        <v>585.9</v>
      </c>
      <c r="F304" t="s">
        <v>8758</v>
      </c>
      <c r="G304" t="s">
        <v>8757</v>
      </c>
      <c r="H304" t="s">
        <v>8701</v>
      </c>
      <c r="I304" s="99">
        <v>43660</v>
      </c>
      <c r="J304" s="99">
        <v>43669</v>
      </c>
      <c r="K304" t="s">
        <v>8285</v>
      </c>
      <c r="L304" t="s">
        <v>2317</v>
      </c>
    </row>
    <row r="305" spans="2:12" x14ac:dyDescent="0.2">
      <c r="B305">
        <v>10394</v>
      </c>
      <c r="C305" t="s">
        <v>8291</v>
      </c>
      <c r="D305" t="s">
        <v>8262</v>
      </c>
      <c r="E305" s="225">
        <v>394</v>
      </c>
      <c r="F305" t="s">
        <v>8766</v>
      </c>
      <c r="G305" t="s">
        <v>8765</v>
      </c>
      <c r="H305" t="s">
        <v>8701</v>
      </c>
      <c r="I305" s="99">
        <v>43660</v>
      </c>
      <c r="J305" s="99">
        <v>43669</v>
      </c>
      <c r="K305" t="s">
        <v>8285</v>
      </c>
      <c r="L305" t="s">
        <v>2317</v>
      </c>
    </row>
    <row r="306" spans="2:12" x14ac:dyDescent="0.2">
      <c r="B306">
        <v>10395</v>
      </c>
      <c r="C306" t="s">
        <v>8353</v>
      </c>
      <c r="D306" t="s">
        <v>8237</v>
      </c>
      <c r="E306" s="225">
        <v>230.4</v>
      </c>
      <c r="F306" t="s">
        <v>8732</v>
      </c>
      <c r="G306" t="s">
        <v>8731</v>
      </c>
      <c r="H306" t="s">
        <v>8707</v>
      </c>
      <c r="I306" s="99">
        <v>43661</v>
      </c>
      <c r="J306" s="99">
        <v>43669</v>
      </c>
      <c r="K306" t="s">
        <v>8251</v>
      </c>
      <c r="L306" t="s">
        <v>269</v>
      </c>
    </row>
    <row r="307" spans="2:12" x14ac:dyDescent="0.2">
      <c r="B307">
        <v>10396</v>
      </c>
      <c r="C307" t="s">
        <v>8310</v>
      </c>
      <c r="D307" t="s">
        <v>8237</v>
      </c>
      <c r="E307" s="225">
        <v>1032</v>
      </c>
      <c r="F307" t="s">
        <v>8304</v>
      </c>
      <c r="G307" t="s">
        <v>8305</v>
      </c>
      <c r="H307" t="s">
        <v>8246</v>
      </c>
      <c r="I307" s="99">
        <v>43662</v>
      </c>
      <c r="J307" s="99">
        <v>43672</v>
      </c>
      <c r="K307" t="s">
        <v>8285</v>
      </c>
      <c r="L307" t="s">
        <v>2317</v>
      </c>
    </row>
    <row r="308" spans="2:12" x14ac:dyDescent="0.2">
      <c r="B308">
        <v>10396</v>
      </c>
      <c r="C308" t="s">
        <v>8235</v>
      </c>
      <c r="D308" t="s">
        <v>8237</v>
      </c>
      <c r="E308" s="225">
        <v>583.79999999999995</v>
      </c>
      <c r="F308" t="s">
        <v>8304</v>
      </c>
      <c r="G308" t="s">
        <v>8305</v>
      </c>
      <c r="H308" t="s">
        <v>8246</v>
      </c>
      <c r="I308" s="99">
        <v>43662</v>
      </c>
      <c r="J308" s="99">
        <v>43672</v>
      </c>
      <c r="K308" t="s">
        <v>8285</v>
      </c>
      <c r="L308" t="s">
        <v>2317</v>
      </c>
    </row>
    <row r="309" spans="2:12" x14ac:dyDescent="0.2">
      <c r="B309">
        <v>10396</v>
      </c>
      <c r="C309" t="s">
        <v>8373</v>
      </c>
      <c r="D309" t="s">
        <v>8244</v>
      </c>
      <c r="E309" s="225">
        <v>288</v>
      </c>
      <c r="F309" t="s">
        <v>8304</v>
      </c>
      <c r="G309" t="s">
        <v>8305</v>
      </c>
      <c r="H309" t="s">
        <v>8246</v>
      </c>
      <c r="I309" s="99">
        <v>43662</v>
      </c>
      <c r="J309" s="99">
        <v>43672</v>
      </c>
      <c r="K309" t="s">
        <v>8285</v>
      </c>
      <c r="L309" t="s">
        <v>2317</v>
      </c>
    </row>
    <row r="310" spans="2:12" x14ac:dyDescent="0.2">
      <c r="B310">
        <v>10397</v>
      </c>
      <c r="C310" t="s">
        <v>8368</v>
      </c>
      <c r="D310" t="s">
        <v>8262</v>
      </c>
      <c r="E310" s="225">
        <v>68</v>
      </c>
      <c r="F310" t="s">
        <v>8370</v>
      </c>
      <c r="G310" t="s">
        <v>8371</v>
      </c>
      <c r="H310" t="s">
        <v>8365</v>
      </c>
      <c r="I310" s="99">
        <v>43662</v>
      </c>
      <c r="J310" s="99">
        <v>43668</v>
      </c>
      <c r="K310" t="s">
        <v>8241</v>
      </c>
      <c r="L310" t="s">
        <v>6934</v>
      </c>
    </row>
    <row r="311" spans="2:12" x14ac:dyDescent="0.2">
      <c r="B311">
        <v>10397</v>
      </c>
      <c r="C311" t="s">
        <v>8245</v>
      </c>
      <c r="D311" t="s">
        <v>8247</v>
      </c>
      <c r="E311" s="225">
        <v>648.72</v>
      </c>
      <c r="F311" t="s">
        <v>8370</v>
      </c>
      <c r="G311" t="s">
        <v>8371</v>
      </c>
      <c r="H311" t="s">
        <v>8365</v>
      </c>
      <c r="I311" s="99">
        <v>43662</v>
      </c>
      <c r="J311" s="99">
        <v>43668</v>
      </c>
      <c r="K311" t="s">
        <v>8241</v>
      </c>
      <c r="L311" t="s">
        <v>6934</v>
      </c>
    </row>
    <row r="312" spans="2:12" x14ac:dyDescent="0.2">
      <c r="B312">
        <v>10398</v>
      </c>
      <c r="C312" t="s">
        <v>8323</v>
      </c>
      <c r="D312" t="s">
        <v>8272</v>
      </c>
      <c r="E312" s="225">
        <v>432</v>
      </c>
      <c r="F312" t="s">
        <v>8758</v>
      </c>
      <c r="G312" t="s">
        <v>8757</v>
      </c>
      <c r="H312" t="s">
        <v>8701</v>
      </c>
      <c r="I312" s="99">
        <v>43665</v>
      </c>
      <c r="J312" s="99">
        <v>43675</v>
      </c>
      <c r="K312" t="s">
        <v>8297</v>
      </c>
      <c r="L312" t="s">
        <v>8298</v>
      </c>
    </row>
    <row r="313" spans="2:12" x14ac:dyDescent="0.2">
      <c r="B313">
        <v>10399</v>
      </c>
      <c r="C313" t="s">
        <v>8303</v>
      </c>
      <c r="D313" t="s">
        <v>8272</v>
      </c>
      <c r="E313" s="225">
        <v>504</v>
      </c>
      <c r="F313" t="s">
        <v>8395</v>
      </c>
      <c r="G313" t="s">
        <v>8396</v>
      </c>
      <c r="H313" t="s">
        <v>8374</v>
      </c>
      <c r="I313" s="99">
        <v>43666</v>
      </c>
      <c r="J313" s="99">
        <v>43674</v>
      </c>
      <c r="K313" t="s">
        <v>8320</v>
      </c>
      <c r="L313" t="s">
        <v>8321</v>
      </c>
    </row>
    <row r="314" spans="2:12" x14ac:dyDescent="0.2">
      <c r="B314">
        <v>10399</v>
      </c>
      <c r="C314" t="s">
        <v>8397</v>
      </c>
      <c r="D314" t="s">
        <v>8254</v>
      </c>
      <c r="E314" s="225">
        <v>145.6</v>
      </c>
      <c r="F314" t="s">
        <v>8395</v>
      </c>
      <c r="G314" t="s">
        <v>8396</v>
      </c>
      <c r="H314" t="s">
        <v>8374</v>
      </c>
      <c r="I314" s="99">
        <v>43666</v>
      </c>
      <c r="J314" s="99">
        <v>43674</v>
      </c>
      <c r="K314" t="s">
        <v>8320</v>
      </c>
      <c r="L314" t="s">
        <v>8321</v>
      </c>
    </row>
    <row r="315" spans="2:12" x14ac:dyDescent="0.2">
      <c r="B315">
        <v>10399</v>
      </c>
      <c r="C315" t="s">
        <v>8334</v>
      </c>
      <c r="D315" t="s">
        <v>8262</v>
      </c>
      <c r="E315" s="225">
        <v>600</v>
      </c>
      <c r="F315" t="s">
        <v>8395</v>
      </c>
      <c r="G315" t="s">
        <v>8396</v>
      </c>
      <c r="H315" t="s">
        <v>8374</v>
      </c>
      <c r="I315" s="99">
        <v>43666</v>
      </c>
      <c r="J315" s="99">
        <v>43674</v>
      </c>
      <c r="K315" t="s">
        <v>8320</v>
      </c>
      <c r="L315" t="s">
        <v>8321</v>
      </c>
    </row>
    <row r="316" spans="2:12" x14ac:dyDescent="0.2">
      <c r="B316">
        <v>10399</v>
      </c>
      <c r="C316" t="s">
        <v>8310</v>
      </c>
      <c r="D316" t="s">
        <v>8237</v>
      </c>
      <c r="E316" s="225">
        <v>516</v>
      </c>
      <c r="F316" t="s">
        <v>8395</v>
      </c>
      <c r="G316" t="s">
        <v>8396</v>
      </c>
      <c r="H316" t="s">
        <v>8374</v>
      </c>
      <c r="I316" s="99">
        <v>43666</v>
      </c>
      <c r="J316" s="99">
        <v>43674</v>
      </c>
      <c r="K316" t="s">
        <v>8320</v>
      </c>
      <c r="L316" t="s">
        <v>8321</v>
      </c>
    </row>
    <row r="317" spans="2:12" x14ac:dyDescent="0.2">
      <c r="B317">
        <v>10400</v>
      </c>
      <c r="C317" t="s">
        <v>8323</v>
      </c>
      <c r="D317" t="s">
        <v>8272</v>
      </c>
      <c r="E317" s="225">
        <v>504</v>
      </c>
      <c r="F317" t="s">
        <v>8393</v>
      </c>
      <c r="G317" t="s">
        <v>8394</v>
      </c>
      <c r="H317" t="s">
        <v>2434</v>
      </c>
      <c r="I317" s="99">
        <v>43667</v>
      </c>
      <c r="J317" s="99">
        <v>43682</v>
      </c>
      <c r="K317" t="s">
        <v>8285</v>
      </c>
      <c r="L317" t="s">
        <v>2317</v>
      </c>
    </row>
    <row r="318" spans="2:12" x14ac:dyDescent="0.2">
      <c r="B318">
        <v>10400</v>
      </c>
      <c r="C318" t="s">
        <v>8390</v>
      </c>
      <c r="D318" t="s">
        <v>8262</v>
      </c>
      <c r="E318" s="225">
        <v>480</v>
      </c>
      <c r="F318" t="s">
        <v>8393</v>
      </c>
      <c r="G318" t="s">
        <v>8394</v>
      </c>
      <c r="H318" t="s">
        <v>2434</v>
      </c>
      <c r="I318" s="99">
        <v>43667</v>
      </c>
      <c r="J318" s="99">
        <v>43682</v>
      </c>
      <c r="K318" t="s">
        <v>8285</v>
      </c>
      <c r="L318" t="s">
        <v>2317</v>
      </c>
    </row>
    <row r="319" spans="2:12" x14ac:dyDescent="0.2">
      <c r="B319">
        <v>10401</v>
      </c>
      <c r="C319" t="s">
        <v>8253</v>
      </c>
      <c r="D319" t="s">
        <v>8254</v>
      </c>
      <c r="E319" s="225">
        <v>336</v>
      </c>
      <c r="F319" t="s">
        <v>8703</v>
      </c>
      <c r="G319" t="s">
        <v>8702</v>
      </c>
      <c r="H319" t="s">
        <v>8701</v>
      </c>
      <c r="I319" s="99">
        <v>43667</v>
      </c>
      <c r="J319" s="99">
        <v>43676</v>
      </c>
      <c r="K319" t="s">
        <v>8285</v>
      </c>
      <c r="L319" t="s">
        <v>2317</v>
      </c>
    </row>
    <row r="320" spans="2:12" x14ac:dyDescent="0.2">
      <c r="B320">
        <v>10401</v>
      </c>
      <c r="C320" t="s">
        <v>8310</v>
      </c>
      <c r="D320" t="s">
        <v>8237</v>
      </c>
      <c r="E320" s="225">
        <v>1032</v>
      </c>
      <c r="F320" t="s">
        <v>8703</v>
      </c>
      <c r="G320" t="s">
        <v>8702</v>
      </c>
      <c r="H320" t="s">
        <v>8701</v>
      </c>
      <c r="I320" s="99">
        <v>43667</v>
      </c>
      <c r="J320" s="99">
        <v>43676</v>
      </c>
      <c r="K320" t="s">
        <v>8285</v>
      </c>
      <c r="L320" t="s">
        <v>2317</v>
      </c>
    </row>
    <row r="321" spans="2:12" x14ac:dyDescent="0.2">
      <c r="B321">
        <v>10401</v>
      </c>
      <c r="C321" t="s">
        <v>8341</v>
      </c>
      <c r="D321" t="s">
        <v>8244</v>
      </c>
      <c r="E321" s="225">
        <v>2128</v>
      </c>
      <c r="F321" t="s">
        <v>8703</v>
      </c>
      <c r="G321" t="s">
        <v>8702</v>
      </c>
      <c r="H321" t="s">
        <v>8701</v>
      </c>
      <c r="I321" s="99">
        <v>43667</v>
      </c>
      <c r="J321" s="99">
        <v>43676</v>
      </c>
      <c r="K321" t="s">
        <v>8285</v>
      </c>
      <c r="L321" t="s">
        <v>2317</v>
      </c>
    </row>
    <row r="322" spans="2:12" x14ac:dyDescent="0.2">
      <c r="B322">
        <v>10402</v>
      </c>
      <c r="C322" t="s">
        <v>8317</v>
      </c>
      <c r="D322" t="s">
        <v>8254</v>
      </c>
      <c r="E322" s="225">
        <v>2281.5</v>
      </c>
      <c r="F322" t="s">
        <v>8283</v>
      </c>
      <c r="G322" t="s">
        <v>8284</v>
      </c>
      <c r="H322" t="s">
        <v>8282</v>
      </c>
      <c r="I322" s="99">
        <v>43668</v>
      </c>
      <c r="J322" s="99">
        <v>43676</v>
      </c>
      <c r="K322" t="s">
        <v>8320</v>
      </c>
      <c r="L322" t="s">
        <v>8321</v>
      </c>
    </row>
    <row r="323" spans="2:12" x14ac:dyDescent="0.2">
      <c r="B323">
        <v>10402</v>
      </c>
      <c r="C323" t="s">
        <v>8373</v>
      </c>
      <c r="D323" t="s">
        <v>8244</v>
      </c>
      <c r="E323" s="225">
        <v>432</v>
      </c>
      <c r="F323" t="s">
        <v>8283</v>
      </c>
      <c r="G323" t="s">
        <v>8284</v>
      </c>
      <c r="H323" t="s">
        <v>8282</v>
      </c>
      <c r="I323" s="99">
        <v>43668</v>
      </c>
      <c r="J323" s="99">
        <v>43676</v>
      </c>
      <c r="K323" t="s">
        <v>8320</v>
      </c>
      <c r="L323" t="s">
        <v>8321</v>
      </c>
    </row>
    <row r="324" spans="2:12" x14ac:dyDescent="0.2">
      <c r="B324">
        <v>10403</v>
      </c>
      <c r="C324" t="s">
        <v>8280</v>
      </c>
      <c r="D324" t="s">
        <v>8262</v>
      </c>
      <c r="E324" s="225">
        <v>248.11</v>
      </c>
      <c r="F324" t="s">
        <v>8283</v>
      </c>
      <c r="G324" t="s">
        <v>8284</v>
      </c>
      <c r="H324" t="s">
        <v>8282</v>
      </c>
      <c r="I324" s="99">
        <v>43669</v>
      </c>
      <c r="J324" s="99">
        <v>43675</v>
      </c>
      <c r="K324" t="s">
        <v>8266</v>
      </c>
      <c r="L324" t="s">
        <v>8267</v>
      </c>
    </row>
    <row r="325" spans="2:12" x14ac:dyDescent="0.2">
      <c r="B325">
        <v>10403</v>
      </c>
      <c r="C325" t="s">
        <v>8406</v>
      </c>
      <c r="D325" t="s">
        <v>8262</v>
      </c>
      <c r="E325" s="225">
        <v>606.9</v>
      </c>
      <c r="F325" t="s">
        <v>8283</v>
      </c>
      <c r="G325" t="s">
        <v>8284</v>
      </c>
      <c r="H325" t="s">
        <v>8282</v>
      </c>
      <c r="I325" s="99">
        <v>43669</v>
      </c>
      <c r="J325" s="99">
        <v>43675</v>
      </c>
      <c r="K325" t="s">
        <v>8266</v>
      </c>
      <c r="L325" t="s">
        <v>8267</v>
      </c>
    </row>
    <row r="326" spans="2:12" x14ac:dyDescent="0.2">
      <c r="B326">
        <v>10404</v>
      </c>
      <c r="C326" t="s">
        <v>8372</v>
      </c>
      <c r="D326" t="s">
        <v>8262</v>
      </c>
      <c r="E326" s="225">
        <v>709.65</v>
      </c>
      <c r="F326" t="s">
        <v>8312</v>
      </c>
      <c r="G326" t="s">
        <v>8313</v>
      </c>
      <c r="H326" t="s">
        <v>8311</v>
      </c>
      <c r="I326" s="99">
        <v>43669</v>
      </c>
      <c r="J326" s="99">
        <v>43674</v>
      </c>
      <c r="K326" t="s">
        <v>8297</v>
      </c>
      <c r="L326" t="s">
        <v>8298</v>
      </c>
    </row>
    <row r="327" spans="2:12" x14ac:dyDescent="0.2">
      <c r="B327">
        <v>10404</v>
      </c>
      <c r="C327" t="s">
        <v>8390</v>
      </c>
      <c r="D327" t="s">
        <v>8262</v>
      </c>
      <c r="E327" s="225">
        <v>456</v>
      </c>
      <c r="F327" t="s">
        <v>8312</v>
      </c>
      <c r="G327" t="s">
        <v>8313</v>
      </c>
      <c r="H327" t="s">
        <v>8311</v>
      </c>
      <c r="I327" s="99">
        <v>43669</v>
      </c>
      <c r="J327" s="99">
        <v>43674</v>
      </c>
      <c r="K327" t="s">
        <v>8297</v>
      </c>
      <c r="L327" t="s">
        <v>8298</v>
      </c>
    </row>
    <row r="328" spans="2:12" x14ac:dyDescent="0.2">
      <c r="B328">
        <v>10404</v>
      </c>
      <c r="C328" t="s">
        <v>8243</v>
      </c>
      <c r="D328" t="s">
        <v>8244</v>
      </c>
      <c r="E328" s="225">
        <v>425.6</v>
      </c>
      <c r="F328" t="s">
        <v>8312</v>
      </c>
      <c r="G328" t="s">
        <v>8313</v>
      </c>
      <c r="H328" t="s">
        <v>8311</v>
      </c>
      <c r="I328" s="99">
        <v>43669</v>
      </c>
      <c r="J328" s="99">
        <v>43674</v>
      </c>
      <c r="K328" t="s">
        <v>8297</v>
      </c>
      <c r="L328" t="s">
        <v>8298</v>
      </c>
    </row>
    <row r="329" spans="2:12" x14ac:dyDescent="0.2">
      <c r="B329">
        <v>10405</v>
      </c>
      <c r="C329" t="s">
        <v>8337</v>
      </c>
      <c r="D329" t="s">
        <v>8254</v>
      </c>
      <c r="E329" s="225">
        <v>400</v>
      </c>
      <c r="F329" t="s">
        <v>8724</v>
      </c>
      <c r="G329" t="s">
        <v>8723</v>
      </c>
      <c r="H329" t="s">
        <v>8707</v>
      </c>
      <c r="I329" s="99">
        <v>43672</v>
      </c>
      <c r="J329" s="99">
        <v>43688</v>
      </c>
      <c r="K329" t="s">
        <v>8285</v>
      </c>
      <c r="L329" t="s">
        <v>2317</v>
      </c>
    </row>
    <row r="330" spans="2:12" x14ac:dyDescent="0.2">
      <c r="B330">
        <v>10406</v>
      </c>
      <c r="C330" t="s">
        <v>8333</v>
      </c>
      <c r="D330" t="s">
        <v>8272</v>
      </c>
      <c r="E330" s="225">
        <v>144</v>
      </c>
      <c r="F330" t="s">
        <v>8712</v>
      </c>
      <c r="G330" t="s">
        <v>8711</v>
      </c>
      <c r="H330" t="s">
        <v>8710</v>
      </c>
      <c r="I330" s="99">
        <v>43673</v>
      </c>
      <c r="J330" s="99">
        <v>43679</v>
      </c>
      <c r="K330" t="s">
        <v>8158</v>
      </c>
      <c r="L330" t="s">
        <v>861</v>
      </c>
    </row>
    <row r="331" spans="2:12" x14ac:dyDescent="0.2">
      <c r="B331">
        <v>10406</v>
      </c>
      <c r="C331" t="s">
        <v>8368</v>
      </c>
      <c r="D331" t="s">
        <v>8262</v>
      </c>
      <c r="E331" s="225">
        <v>216</v>
      </c>
      <c r="F331" t="s">
        <v>8712</v>
      </c>
      <c r="G331" t="s">
        <v>8711</v>
      </c>
      <c r="H331" t="s">
        <v>8710</v>
      </c>
      <c r="I331" s="99">
        <v>43673</v>
      </c>
      <c r="J331" s="99">
        <v>43679</v>
      </c>
      <c r="K331" t="s">
        <v>8158</v>
      </c>
      <c r="L331" t="s">
        <v>861</v>
      </c>
    </row>
    <row r="332" spans="2:12" x14ac:dyDescent="0.2">
      <c r="B332">
        <v>10406</v>
      </c>
      <c r="C332" t="s">
        <v>8316</v>
      </c>
      <c r="D332" t="s">
        <v>8247</v>
      </c>
      <c r="E332" s="225">
        <v>1375.92</v>
      </c>
      <c r="F332" t="s">
        <v>8712</v>
      </c>
      <c r="G332" t="s">
        <v>8711</v>
      </c>
      <c r="H332" t="s">
        <v>8710</v>
      </c>
      <c r="I332" s="99">
        <v>43673</v>
      </c>
      <c r="J332" s="99">
        <v>43679</v>
      </c>
      <c r="K332" t="s">
        <v>8158</v>
      </c>
      <c r="L332" t="s">
        <v>861</v>
      </c>
    </row>
    <row r="333" spans="2:12" x14ac:dyDescent="0.2">
      <c r="B333">
        <v>10407</v>
      </c>
      <c r="C333" t="s">
        <v>8242</v>
      </c>
      <c r="D333" t="s">
        <v>8237</v>
      </c>
      <c r="E333" s="225">
        <v>504</v>
      </c>
      <c r="F333" t="s">
        <v>8289</v>
      </c>
      <c r="G333" t="s">
        <v>8290</v>
      </c>
      <c r="H333" t="s">
        <v>8246</v>
      </c>
      <c r="I333" s="99">
        <v>43673</v>
      </c>
      <c r="J333" s="99">
        <v>43696</v>
      </c>
      <c r="K333" t="s">
        <v>8297</v>
      </c>
      <c r="L333" t="s">
        <v>8298</v>
      </c>
    </row>
    <row r="334" spans="2:12" x14ac:dyDescent="0.2">
      <c r="B334">
        <v>10407</v>
      </c>
      <c r="C334" t="s">
        <v>8353</v>
      </c>
      <c r="D334" t="s">
        <v>8237</v>
      </c>
      <c r="E334" s="225">
        <v>432</v>
      </c>
      <c r="F334" t="s">
        <v>8289</v>
      </c>
      <c r="G334" t="s">
        <v>8290</v>
      </c>
      <c r="H334" t="s">
        <v>8246</v>
      </c>
      <c r="I334" s="99">
        <v>43673</v>
      </c>
      <c r="J334" s="99">
        <v>43696</v>
      </c>
      <c r="K334" t="s">
        <v>8297</v>
      </c>
      <c r="L334" t="s">
        <v>8298</v>
      </c>
    </row>
    <row r="335" spans="2:12" x14ac:dyDescent="0.2">
      <c r="B335">
        <v>10407</v>
      </c>
      <c r="C335" t="s">
        <v>8310</v>
      </c>
      <c r="D335" t="s">
        <v>8237</v>
      </c>
      <c r="E335" s="225">
        <v>258</v>
      </c>
      <c r="F335" t="s">
        <v>8289</v>
      </c>
      <c r="G335" t="s">
        <v>8290</v>
      </c>
      <c r="H335" t="s">
        <v>8246</v>
      </c>
      <c r="I335" s="99">
        <v>43673</v>
      </c>
      <c r="J335" s="99">
        <v>43696</v>
      </c>
      <c r="K335" t="s">
        <v>8297</v>
      </c>
      <c r="L335" t="s">
        <v>8298</v>
      </c>
    </row>
    <row r="336" spans="2:12" x14ac:dyDescent="0.2">
      <c r="B336">
        <v>10408</v>
      </c>
      <c r="C336" t="s">
        <v>8291</v>
      </c>
      <c r="D336" t="s">
        <v>8262</v>
      </c>
      <c r="E336" s="225">
        <v>1379</v>
      </c>
      <c r="F336" t="s">
        <v>8407</v>
      </c>
      <c r="G336" t="s">
        <v>8408</v>
      </c>
      <c r="H336" t="s">
        <v>8236</v>
      </c>
      <c r="I336" s="99">
        <v>43674</v>
      </c>
      <c r="J336" s="99">
        <v>43680</v>
      </c>
      <c r="K336" t="s">
        <v>8320</v>
      </c>
      <c r="L336" t="s">
        <v>8321</v>
      </c>
    </row>
    <row r="337" spans="2:12" x14ac:dyDescent="0.2">
      <c r="B337">
        <v>10409</v>
      </c>
      <c r="C337" t="s">
        <v>8368</v>
      </c>
      <c r="D337" t="s">
        <v>8262</v>
      </c>
      <c r="E337" s="225">
        <v>96</v>
      </c>
      <c r="F337" t="s">
        <v>8768</v>
      </c>
      <c r="G337" t="s">
        <v>8767</v>
      </c>
      <c r="H337" t="s">
        <v>8717</v>
      </c>
      <c r="I337" s="99">
        <v>43675</v>
      </c>
      <c r="J337" s="99">
        <v>43680</v>
      </c>
      <c r="K337" t="s">
        <v>8257</v>
      </c>
      <c r="L337" t="s">
        <v>6984</v>
      </c>
    </row>
    <row r="338" spans="2:12" x14ac:dyDescent="0.2">
      <c r="B338">
        <v>10409</v>
      </c>
      <c r="C338" t="s">
        <v>8252</v>
      </c>
      <c r="D338" t="s">
        <v>8247</v>
      </c>
      <c r="E338" s="225">
        <v>223.2</v>
      </c>
      <c r="F338" t="s">
        <v>8768</v>
      </c>
      <c r="G338" t="s">
        <v>8767</v>
      </c>
      <c r="H338" t="s">
        <v>8717</v>
      </c>
      <c r="I338" s="99">
        <v>43675</v>
      </c>
      <c r="J338" s="99">
        <v>43680</v>
      </c>
      <c r="K338" t="s">
        <v>8257</v>
      </c>
      <c r="L338" t="s">
        <v>6984</v>
      </c>
    </row>
    <row r="339" spans="2:12" x14ac:dyDescent="0.2">
      <c r="B339">
        <v>10410</v>
      </c>
      <c r="C339" t="s">
        <v>8269</v>
      </c>
      <c r="D339" t="s">
        <v>8237</v>
      </c>
      <c r="E339" s="225">
        <v>98</v>
      </c>
      <c r="F339" t="s">
        <v>8722</v>
      </c>
      <c r="G339" t="s">
        <v>8721</v>
      </c>
      <c r="H339" t="s">
        <v>8720</v>
      </c>
      <c r="I339" s="99">
        <v>43676</v>
      </c>
      <c r="J339" s="99">
        <v>43681</v>
      </c>
      <c r="K339" t="s">
        <v>8257</v>
      </c>
      <c r="L339" t="s">
        <v>6984</v>
      </c>
    </row>
    <row r="340" spans="2:12" x14ac:dyDescent="0.2">
      <c r="B340">
        <v>10410</v>
      </c>
      <c r="C340" t="s">
        <v>8281</v>
      </c>
      <c r="D340" t="s">
        <v>8237</v>
      </c>
      <c r="E340" s="225">
        <v>704</v>
      </c>
      <c r="F340" t="s">
        <v>8722</v>
      </c>
      <c r="G340" t="s">
        <v>8721</v>
      </c>
      <c r="H340" t="s">
        <v>8720</v>
      </c>
      <c r="I340" s="99">
        <v>43676</v>
      </c>
      <c r="J340" s="99">
        <v>43681</v>
      </c>
      <c r="K340" t="s">
        <v>8257</v>
      </c>
      <c r="L340" t="s">
        <v>6984</v>
      </c>
    </row>
    <row r="341" spans="2:12" x14ac:dyDescent="0.2">
      <c r="B341">
        <v>10411</v>
      </c>
      <c r="C341" t="s">
        <v>8322</v>
      </c>
      <c r="D341" t="s">
        <v>8254</v>
      </c>
      <c r="E341" s="225">
        <v>496</v>
      </c>
      <c r="F341" t="s">
        <v>8722</v>
      </c>
      <c r="G341" t="s">
        <v>8721</v>
      </c>
      <c r="H341" t="s">
        <v>8720</v>
      </c>
      <c r="I341" s="99">
        <v>43676</v>
      </c>
      <c r="J341" s="99">
        <v>43687</v>
      </c>
      <c r="K341" t="s">
        <v>8279</v>
      </c>
      <c r="L341" t="s">
        <v>710</v>
      </c>
    </row>
    <row r="342" spans="2:12" x14ac:dyDescent="0.2">
      <c r="B342">
        <v>10411</v>
      </c>
      <c r="C342" t="s">
        <v>8281</v>
      </c>
      <c r="D342" t="s">
        <v>8237</v>
      </c>
      <c r="E342" s="225">
        <v>316.8</v>
      </c>
      <c r="F342" t="s">
        <v>8722</v>
      </c>
      <c r="G342" t="s">
        <v>8721</v>
      </c>
      <c r="H342" t="s">
        <v>8720</v>
      </c>
      <c r="I342" s="99">
        <v>43676</v>
      </c>
      <c r="J342" s="99">
        <v>43687</v>
      </c>
      <c r="K342" t="s">
        <v>8279</v>
      </c>
      <c r="L342" t="s">
        <v>710</v>
      </c>
    </row>
    <row r="343" spans="2:12" x14ac:dyDescent="0.2">
      <c r="B343">
        <v>10412</v>
      </c>
      <c r="C343" t="s">
        <v>8252</v>
      </c>
      <c r="D343" t="s">
        <v>8247</v>
      </c>
      <c r="E343" s="225">
        <v>334.8</v>
      </c>
      <c r="F343" t="s">
        <v>8301</v>
      </c>
      <c r="G343" t="s">
        <v>8302</v>
      </c>
      <c r="H343" t="s">
        <v>8300</v>
      </c>
      <c r="I343" s="99">
        <v>43679</v>
      </c>
      <c r="J343" s="99">
        <v>43681</v>
      </c>
      <c r="K343" t="s">
        <v>8320</v>
      </c>
      <c r="L343" t="s">
        <v>8321</v>
      </c>
    </row>
    <row r="344" spans="2:12" x14ac:dyDescent="0.2">
      <c r="B344">
        <v>10413</v>
      </c>
      <c r="C344" t="s">
        <v>8333</v>
      </c>
      <c r="D344" t="s">
        <v>8272</v>
      </c>
      <c r="E344" s="225">
        <v>345.6</v>
      </c>
      <c r="F344" t="s">
        <v>8382</v>
      </c>
      <c r="G344" t="s">
        <v>8383</v>
      </c>
      <c r="H344" t="s">
        <v>8236</v>
      </c>
      <c r="I344" s="99">
        <v>43680</v>
      </c>
      <c r="J344" s="99">
        <v>43682</v>
      </c>
      <c r="K344" t="s">
        <v>8257</v>
      </c>
      <c r="L344" t="s">
        <v>6984</v>
      </c>
    </row>
    <row r="345" spans="2:12" x14ac:dyDescent="0.2">
      <c r="B345">
        <v>10413</v>
      </c>
      <c r="C345" t="s">
        <v>8303</v>
      </c>
      <c r="D345" t="s">
        <v>8272</v>
      </c>
      <c r="E345" s="225">
        <v>201.6</v>
      </c>
      <c r="F345" t="s">
        <v>8382</v>
      </c>
      <c r="G345" t="s">
        <v>8383</v>
      </c>
      <c r="H345" t="s">
        <v>8236</v>
      </c>
      <c r="I345" s="99">
        <v>43680</v>
      </c>
      <c r="J345" s="99">
        <v>43682</v>
      </c>
      <c r="K345" t="s">
        <v>8257</v>
      </c>
      <c r="L345" t="s">
        <v>6984</v>
      </c>
    </row>
    <row r="346" spans="2:12" x14ac:dyDescent="0.2">
      <c r="B346">
        <v>10413</v>
      </c>
      <c r="C346" t="s">
        <v>8291</v>
      </c>
      <c r="D346" t="s">
        <v>8262</v>
      </c>
      <c r="E346" s="225">
        <v>1576</v>
      </c>
      <c r="F346" t="s">
        <v>8382</v>
      </c>
      <c r="G346" t="s">
        <v>8383</v>
      </c>
      <c r="H346" t="s">
        <v>8236</v>
      </c>
      <c r="I346" s="99">
        <v>43680</v>
      </c>
      <c r="J346" s="99">
        <v>43682</v>
      </c>
      <c r="K346" t="s">
        <v>8257</v>
      </c>
      <c r="L346" t="s">
        <v>6984</v>
      </c>
    </row>
    <row r="347" spans="2:12" x14ac:dyDescent="0.2">
      <c r="B347">
        <v>10414</v>
      </c>
      <c r="C347" t="s">
        <v>8327</v>
      </c>
      <c r="D347" t="s">
        <v>8262</v>
      </c>
      <c r="E347" s="225">
        <v>124.83</v>
      </c>
      <c r="F347" t="s">
        <v>8762</v>
      </c>
      <c r="G347" t="s">
        <v>8761</v>
      </c>
      <c r="H347" t="s">
        <v>8710</v>
      </c>
      <c r="I347" s="99">
        <v>43680</v>
      </c>
      <c r="J347" s="99">
        <v>43683</v>
      </c>
      <c r="K347" t="s">
        <v>8297</v>
      </c>
      <c r="L347" t="s">
        <v>8298</v>
      </c>
    </row>
    <row r="348" spans="2:12" x14ac:dyDescent="0.2">
      <c r="B348">
        <v>10414</v>
      </c>
      <c r="C348" t="s">
        <v>8269</v>
      </c>
      <c r="D348" t="s">
        <v>8237</v>
      </c>
      <c r="E348" s="225">
        <v>100</v>
      </c>
      <c r="F348" t="s">
        <v>8762</v>
      </c>
      <c r="G348" t="s">
        <v>8761</v>
      </c>
      <c r="H348" t="s">
        <v>8710</v>
      </c>
      <c r="I348" s="99">
        <v>43680</v>
      </c>
      <c r="J348" s="99">
        <v>43683</v>
      </c>
      <c r="K348" t="s">
        <v>8297</v>
      </c>
      <c r="L348" t="s">
        <v>8298</v>
      </c>
    </row>
    <row r="349" spans="2:12" x14ac:dyDescent="0.2">
      <c r="B349">
        <v>10415</v>
      </c>
      <c r="C349" t="s">
        <v>8269</v>
      </c>
      <c r="D349" t="s">
        <v>8237</v>
      </c>
      <c r="E349" s="225">
        <v>40</v>
      </c>
      <c r="F349" t="s">
        <v>8766</v>
      </c>
      <c r="G349" t="s">
        <v>8765</v>
      </c>
      <c r="H349" t="s">
        <v>8701</v>
      </c>
      <c r="I349" s="99">
        <v>43681</v>
      </c>
      <c r="J349" s="99">
        <v>43690</v>
      </c>
      <c r="K349" t="s">
        <v>8257</v>
      </c>
      <c r="L349" t="s">
        <v>6984</v>
      </c>
    </row>
    <row r="350" spans="2:12" x14ac:dyDescent="0.2">
      <c r="B350">
        <v>10416</v>
      </c>
      <c r="C350" t="s">
        <v>8327</v>
      </c>
      <c r="D350" t="s">
        <v>8262</v>
      </c>
      <c r="E350" s="225">
        <v>146</v>
      </c>
      <c r="F350" t="s">
        <v>8301</v>
      </c>
      <c r="G350" t="s">
        <v>8302</v>
      </c>
      <c r="H350" t="s">
        <v>8300</v>
      </c>
      <c r="I350" s="99">
        <v>43682</v>
      </c>
      <c r="J350" s="99">
        <v>43693</v>
      </c>
      <c r="K350" t="s">
        <v>8320</v>
      </c>
      <c r="L350" t="s">
        <v>8321</v>
      </c>
    </row>
    <row r="351" spans="2:12" x14ac:dyDescent="0.2">
      <c r="B351">
        <v>10416</v>
      </c>
      <c r="C351" t="s">
        <v>8258</v>
      </c>
      <c r="D351" t="s">
        <v>8244</v>
      </c>
      <c r="E351" s="225">
        <v>312</v>
      </c>
      <c r="F351" t="s">
        <v>8301</v>
      </c>
      <c r="G351" t="s">
        <v>8302</v>
      </c>
      <c r="H351" t="s">
        <v>8300</v>
      </c>
      <c r="I351" s="99">
        <v>43682</v>
      </c>
      <c r="J351" s="99">
        <v>43693</v>
      </c>
      <c r="K351" t="s">
        <v>8320</v>
      </c>
      <c r="L351" t="s">
        <v>8321</v>
      </c>
    </row>
    <row r="352" spans="2:12" x14ac:dyDescent="0.2">
      <c r="B352">
        <v>10417</v>
      </c>
      <c r="C352" t="s">
        <v>8380</v>
      </c>
      <c r="D352" t="s">
        <v>8272</v>
      </c>
      <c r="E352" s="225">
        <v>10540</v>
      </c>
      <c r="F352" t="s">
        <v>8375</v>
      </c>
      <c r="G352" t="s">
        <v>8376</v>
      </c>
      <c r="H352" t="s">
        <v>8374</v>
      </c>
      <c r="I352" s="99">
        <v>43682</v>
      </c>
      <c r="J352" s="99">
        <v>43694</v>
      </c>
      <c r="K352" t="s">
        <v>8266</v>
      </c>
      <c r="L352" t="s">
        <v>8267</v>
      </c>
    </row>
    <row r="353" spans="2:12" x14ac:dyDescent="0.2">
      <c r="B353">
        <v>10417</v>
      </c>
      <c r="C353" t="s">
        <v>8397</v>
      </c>
      <c r="D353" t="s">
        <v>8254</v>
      </c>
      <c r="E353" s="225">
        <v>364</v>
      </c>
      <c r="F353" t="s">
        <v>8375</v>
      </c>
      <c r="G353" t="s">
        <v>8376</v>
      </c>
      <c r="H353" t="s">
        <v>8374</v>
      </c>
      <c r="I353" s="99">
        <v>43682</v>
      </c>
      <c r="J353" s="99">
        <v>43694</v>
      </c>
      <c r="K353" t="s">
        <v>8266</v>
      </c>
      <c r="L353" t="s">
        <v>8267</v>
      </c>
    </row>
    <row r="354" spans="2:12" x14ac:dyDescent="0.2">
      <c r="B354">
        <v>10417</v>
      </c>
      <c r="C354" t="s">
        <v>8334</v>
      </c>
      <c r="D354" t="s">
        <v>8262</v>
      </c>
      <c r="E354" s="225">
        <v>270</v>
      </c>
      <c r="F354" t="s">
        <v>8375</v>
      </c>
      <c r="G354" t="s">
        <v>8376</v>
      </c>
      <c r="H354" t="s">
        <v>8374</v>
      </c>
      <c r="I354" s="99">
        <v>43682</v>
      </c>
      <c r="J354" s="99">
        <v>43694</v>
      </c>
      <c r="K354" t="s">
        <v>8266</v>
      </c>
      <c r="L354" t="s">
        <v>8267</v>
      </c>
    </row>
    <row r="355" spans="2:12" x14ac:dyDescent="0.2">
      <c r="B355">
        <v>10418</v>
      </c>
      <c r="C355" t="s">
        <v>8276</v>
      </c>
      <c r="D355" t="s">
        <v>8272</v>
      </c>
      <c r="E355" s="225">
        <v>912</v>
      </c>
      <c r="F355" t="s">
        <v>8307</v>
      </c>
      <c r="G355" t="s">
        <v>8308</v>
      </c>
      <c r="H355" t="s">
        <v>8246</v>
      </c>
      <c r="I355" s="99">
        <v>43683</v>
      </c>
      <c r="J355" s="99">
        <v>43690</v>
      </c>
      <c r="K355" t="s">
        <v>8266</v>
      </c>
      <c r="L355" t="s">
        <v>8267</v>
      </c>
    </row>
    <row r="356" spans="2:12" x14ac:dyDescent="0.2">
      <c r="B356">
        <v>10418</v>
      </c>
      <c r="C356" t="s">
        <v>8409</v>
      </c>
      <c r="D356" t="s">
        <v>8254</v>
      </c>
      <c r="E356" s="225">
        <v>364.8</v>
      </c>
      <c r="F356" t="s">
        <v>8307</v>
      </c>
      <c r="G356" t="s">
        <v>8308</v>
      </c>
      <c r="H356" t="s">
        <v>8246</v>
      </c>
      <c r="I356" s="99">
        <v>43683</v>
      </c>
      <c r="J356" s="99">
        <v>43690</v>
      </c>
      <c r="K356" t="s">
        <v>8266</v>
      </c>
      <c r="L356" t="s">
        <v>8267</v>
      </c>
    </row>
    <row r="357" spans="2:12" x14ac:dyDescent="0.2">
      <c r="B357">
        <v>10418</v>
      </c>
      <c r="C357" t="s">
        <v>8410</v>
      </c>
      <c r="D357" t="s">
        <v>8262</v>
      </c>
      <c r="E357" s="225">
        <v>418</v>
      </c>
      <c r="F357" t="s">
        <v>8307</v>
      </c>
      <c r="G357" t="s">
        <v>8308</v>
      </c>
      <c r="H357" t="s">
        <v>8246</v>
      </c>
      <c r="I357" s="99">
        <v>43683</v>
      </c>
      <c r="J357" s="99">
        <v>43690</v>
      </c>
      <c r="K357" t="s">
        <v>8266</v>
      </c>
      <c r="L357" t="s">
        <v>8267</v>
      </c>
    </row>
    <row r="358" spans="2:12" x14ac:dyDescent="0.2">
      <c r="B358">
        <v>10418</v>
      </c>
      <c r="C358" t="s">
        <v>8275</v>
      </c>
      <c r="D358" t="s">
        <v>8247</v>
      </c>
      <c r="E358" s="225">
        <v>120</v>
      </c>
      <c r="F358" t="s">
        <v>8307</v>
      </c>
      <c r="G358" t="s">
        <v>8308</v>
      </c>
      <c r="H358" t="s">
        <v>8246</v>
      </c>
      <c r="I358" s="99">
        <v>43683</v>
      </c>
      <c r="J358" s="99">
        <v>43690</v>
      </c>
      <c r="K358" t="s">
        <v>8266</v>
      </c>
      <c r="L358" t="s">
        <v>8267</v>
      </c>
    </row>
    <row r="359" spans="2:12" x14ac:dyDescent="0.2">
      <c r="B359">
        <v>10419</v>
      </c>
      <c r="C359" t="s">
        <v>8268</v>
      </c>
      <c r="D359" t="s">
        <v>8237</v>
      </c>
      <c r="E359" s="225">
        <v>1550.4</v>
      </c>
      <c r="F359" t="s">
        <v>8277</v>
      </c>
      <c r="G359" t="s">
        <v>8278</v>
      </c>
      <c r="H359" t="s">
        <v>8271</v>
      </c>
      <c r="I359" s="99">
        <v>43686</v>
      </c>
      <c r="J359" s="99">
        <v>43696</v>
      </c>
      <c r="K359" t="s">
        <v>8266</v>
      </c>
      <c r="L359" t="s">
        <v>8267</v>
      </c>
    </row>
    <row r="360" spans="2:12" x14ac:dyDescent="0.2">
      <c r="B360">
        <v>10419</v>
      </c>
      <c r="C360" t="s">
        <v>8353</v>
      </c>
      <c r="D360" t="s">
        <v>8237</v>
      </c>
      <c r="E360" s="225">
        <v>547.20000000000005</v>
      </c>
      <c r="F360" t="s">
        <v>8277</v>
      </c>
      <c r="G360" t="s">
        <v>8278</v>
      </c>
      <c r="H360" t="s">
        <v>8271</v>
      </c>
      <c r="I360" s="99">
        <v>43686</v>
      </c>
      <c r="J360" s="99">
        <v>43696</v>
      </c>
      <c r="K360" t="s">
        <v>8266</v>
      </c>
      <c r="L360" t="s">
        <v>8267</v>
      </c>
    </row>
    <row r="361" spans="2:12" x14ac:dyDescent="0.2">
      <c r="B361">
        <v>10420</v>
      </c>
      <c r="C361" t="s">
        <v>8288</v>
      </c>
      <c r="D361" t="s">
        <v>8272</v>
      </c>
      <c r="E361" s="225">
        <v>86.4</v>
      </c>
      <c r="F361" t="s">
        <v>8730</v>
      </c>
      <c r="G361" t="s">
        <v>8729</v>
      </c>
      <c r="H361" t="s">
        <v>8710</v>
      </c>
      <c r="I361" s="99">
        <v>43687</v>
      </c>
      <c r="J361" s="99">
        <v>43693</v>
      </c>
      <c r="K361" t="s">
        <v>8257</v>
      </c>
      <c r="L361" t="s">
        <v>6984</v>
      </c>
    </row>
    <row r="362" spans="2:12" x14ac:dyDescent="0.2">
      <c r="B362">
        <v>10421</v>
      </c>
      <c r="C362" t="s">
        <v>8397</v>
      </c>
      <c r="D362" t="s">
        <v>8254</v>
      </c>
      <c r="E362" s="225">
        <v>88.4</v>
      </c>
      <c r="F362" t="s">
        <v>8736</v>
      </c>
      <c r="G362" t="s">
        <v>8735</v>
      </c>
      <c r="H362" t="s">
        <v>8710</v>
      </c>
      <c r="I362" s="99">
        <v>43687</v>
      </c>
      <c r="J362" s="99">
        <v>43693</v>
      </c>
      <c r="K362" t="s">
        <v>8320</v>
      </c>
      <c r="L362" t="s">
        <v>8321</v>
      </c>
    </row>
    <row r="363" spans="2:12" x14ac:dyDescent="0.2">
      <c r="B363">
        <v>10421</v>
      </c>
      <c r="C363" t="s">
        <v>8327</v>
      </c>
      <c r="D363" t="s">
        <v>8262</v>
      </c>
      <c r="E363" s="225">
        <v>24.82</v>
      </c>
      <c r="F363" t="s">
        <v>8736</v>
      </c>
      <c r="G363" t="s">
        <v>8735</v>
      </c>
      <c r="H363" t="s">
        <v>8710</v>
      </c>
      <c r="I363" s="99">
        <v>43687</v>
      </c>
      <c r="J363" s="99">
        <v>43693</v>
      </c>
      <c r="K363" t="s">
        <v>8320</v>
      </c>
      <c r="L363" t="s">
        <v>8321</v>
      </c>
    </row>
    <row r="364" spans="2:12" x14ac:dyDescent="0.2">
      <c r="B364">
        <v>10421</v>
      </c>
      <c r="C364" t="s">
        <v>8372</v>
      </c>
      <c r="D364" t="s">
        <v>8262</v>
      </c>
      <c r="E364" s="225">
        <v>747</v>
      </c>
      <c r="F364" t="s">
        <v>8736</v>
      </c>
      <c r="G364" t="s">
        <v>8735</v>
      </c>
      <c r="H364" t="s">
        <v>8710</v>
      </c>
      <c r="I364" s="99">
        <v>43687</v>
      </c>
      <c r="J364" s="99">
        <v>43693</v>
      </c>
      <c r="K364" t="s">
        <v>8320</v>
      </c>
      <c r="L364" t="s">
        <v>8321</v>
      </c>
    </row>
    <row r="365" spans="2:12" x14ac:dyDescent="0.2">
      <c r="B365">
        <v>10422</v>
      </c>
      <c r="C365" t="s">
        <v>8372</v>
      </c>
      <c r="D365" t="s">
        <v>8262</v>
      </c>
      <c r="E365" s="225">
        <v>49.8</v>
      </c>
      <c r="F365" t="s">
        <v>8411</v>
      </c>
      <c r="G365" t="s">
        <v>8412</v>
      </c>
      <c r="H365" t="s">
        <v>8311</v>
      </c>
      <c r="I365" s="99">
        <v>43688</v>
      </c>
      <c r="J365" s="99">
        <v>43697</v>
      </c>
      <c r="K365" t="s">
        <v>8297</v>
      </c>
      <c r="L365" t="s">
        <v>8298</v>
      </c>
    </row>
    <row r="366" spans="2:12" x14ac:dyDescent="0.2">
      <c r="B366">
        <v>10423</v>
      </c>
      <c r="C366" t="s">
        <v>8309</v>
      </c>
      <c r="D366" t="s">
        <v>8237</v>
      </c>
      <c r="E366" s="225">
        <v>140</v>
      </c>
      <c r="F366" t="s">
        <v>8770</v>
      </c>
      <c r="G366" t="s">
        <v>8769</v>
      </c>
      <c r="H366" t="s">
        <v>8710</v>
      </c>
      <c r="I366" s="99">
        <v>43689</v>
      </c>
      <c r="J366" s="99">
        <v>43721</v>
      </c>
      <c r="K366" t="s">
        <v>8251</v>
      </c>
      <c r="L366" t="s">
        <v>269</v>
      </c>
    </row>
    <row r="367" spans="2:12" x14ac:dyDescent="0.2">
      <c r="B367">
        <v>10423</v>
      </c>
      <c r="C367" t="s">
        <v>8281</v>
      </c>
      <c r="D367" t="s">
        <v>8237</v>
      </c>
      <c r="E367" s="225">
        <v>880</v>
      </c>
      <c r="F367" t="s">
        <v>8770</v>
      </c>
      <c r="G367" t="s">
        <v>8769</v>
      </c>
      <c r="H367" t="s">
        <v>8710</v>
      </c>
      <c r="I367" s="99">
        <v>43689</v>
      </c>
      <c r="J367" s="99">
        <v>43721</v>
      </c>
      <c r="K367" t="s">
        <v>8251</v>
      </c>
      <c r="L367" t="s">
        <v>269</v>
      </c>
    </row>
    <row r="368" spans="2:12" x14ac:dyDescent="0.2">
      <c r="B368">
        <v>10424</v>
      </c>
      <c r="C368" t="s">
        <v>8323</v>
      </c>
      <c r="D368" t="s">
        <v>8272</v>
      </c>
      <c r="E368" s="225">
        <v>691.2</v>
      </c>
      <c r="F368" t="s">
        <v>8760</v>
      </c>
      <c r="G368" t="s">
        <v>8759</v>
      </c>
      <c r="H368" t="s">
        <v>8720</v>
      </c>
      <c r="I368" s="99">
        <v>43689</v>
      </c>
      <c r="J368" s="99">
        <v>43693</v>
      </c>
      <c r="K368" t="s">
        <v>8158</v>
      </c>
      <c r="L368" t="s">
        <v>861</v>
      </c>
    </row>
    <row r="369" spans="2:12" x14ac:dyDescent="0.2">
      <c r="B369">
        <v>10424</v>
      </c>
      <c r="C369" t="s">
        <v>8380</v>
      </c>
      <c r="D369" t="s">
        <v>8272</v>
      </c>
      <c r="E369" s="225">
        <v>8263.36</v>
      </c>
      <c r="F369" t="s">
        <v>8760</v>
      </c>
      <c r="G369" t="s">
        <v>8759</v>
      </c>
      <c r="H369" t="s">
        <v>8720</v>
      </c>
      <c r="I369" s="99">
        <v>43689</v>
      </c>
      <c r="J369" s="99">
        <v>43693</v>
      </c>
      <c r="K369" t="s">
        <v>8158</v>
      </c>
      <c r="L369" t="s">
        <v>861</v>
      </c>
    </row>
    <row r="370" spans="2:12" x14ac:dyDescent="0.2">
      <c r="B370">
        <v>10424</v>
      </c>
      <c r="C370" t="s">
        <v>8334</v>
      </c>
      <c r="D370" t="s">
        <v>8262</v>
      </c>
      <c r="E370" s="225">
        <v>240</v>
      </c>
      <c r="F370" t="s">
        <v>8760</v>
      </c>
      <c r="G370" t="s">
        <v>8759</v>
      </c>
      <c r="H370" t="s">
        <v>8720</v>
      </c>
      <c r="I370" s="99">
        <v>43689</v>
      </c>
      <c r="J370" s="99">
        <v>43693</v>
      </c>
      <c r="K370" t="s">
        <v>8158</v>
      </c>
      <c r="L370" t="s">
        <v>861</v>
      </c>
    </row>
    <row r="371" spans="2:12" x14ac:dyDescent="0.2">
      <c r="B371">
        <v>10425</v>
      </c>
      <c r="C371" t="s">
        <v>8303</v>
      </c>
      <c r="D371" t="s">
        <v>8272</v>
      </c>
      <c r="E371" s="225">
        <v>216</v>
      </c>
      <c r="F371" t="s">
        <v>8382</v>
      </c>
      <c r="G371" t="s">
        <v>8383</v>
      </c>
      <c r="H371" t="s">
        <v>8236</v>
      </c>
      <c r="I371" s="99">
        <v>43690</v>
      </c>
      <c r="J371" s="99">
        <v>43711</v>
      </c>
      <c r="K371" t="s">
        <v>8251</v>
      </c>
      <c r="L371" t="s">
        <v>269</v>
      </c>
    </row>
    <row r="372" spans="2:12" x14ac:dyDescent="0.2">
      <c r="B372">
        <v>10426</v>
      </c>
      <c r="C372" t="s">
        <v>8341</v>
      </c>
      <c r="D372" t="s">
        <v>8244</v>
      </c>
      <c r="E372" s="225">
        <v>152</v>
      </c>
      <c r="F372" t="s">
        <v>8398</v>
      </c>
      <c r="G372" t="s">
        <v>8399</v>
      </c>
      <c r="H372" t="s">
        <v>8324</v>
      </c>
      <c r="I372" s="99">
        <v>43693</v>
      </c>
      <c r="J372" s="99">
        <v>43703</v>
      </c>
      <c r="K372" t="s">
        <v>8266</v>
      </c>
      <c r="L372" t="s">
        <v>8267</v>
      </c>
    </row>
    <row r="373" spans="2:12" x14ac:dyDescent="0.2">
      <c r="B373">
        <v>10426</v>
      </c>
      <c r="C373" t="s">
        <v>8340</v>
      </c>
      <c r="D373" t="s">
        <v>8244</v>
      </c>
      <c r="E373" s="225">
        <v>186.2</v>
      </c>
      <c r="F373" t="s">
        <v>8398</v>
      </c>
      <c r="G373" t="s">
        <v>8399</v>
      </c>
      <c r="H373" t="s">
        <v>8324</v>
      </c>
      <c r="I373" s="99">
        <v>43693</v>
      </c>
      <c r="J373" s="99">
        <v>43703</v>
      </c>
      <c r="K373" t="s">
        <v>8266</v>
      </c>
      <c r="L373" t="s">
        <v>8267</v>
      </c>
    </row>
    <row r="374" spans="2:12" x14ac:dyDescent="0.2">
      <c r="B374">
        <v>10427</v>
      </c>
      <c r="C374" t="s">
        <v>8252</v>
      </c>
      <c r="D374" t="s">
        <v>8247</v>
      </c>
      <c r="E374" s="225">
        <v>651</v>
      </c>
      <c r="F374" t="s">
        <v>8384</v>
      </c>
      <c r="G374" t="s">
        <v>8385</v>
      </c>
      <c r="H374" t="s">
        <v>8282</v>
      </c>
      <c r="I374" s="99">
        <v>43693</v>
      </c>
      <c r="J374" s="99">
        <v>43728</v>
      </c>
      <c r="K374" t="s">
        <v>8266</v>
      </c>
      <c r="L374" t="s">
        <v>8267</v>
      </c>
    </row>
    <row r="375" spans="2:12" x14ac:dyDescent="0.2">
      <c r="B375">
        <v>10429</v>
      </c>
      <c r="C375" t="s">
        <v>8317</v>
      </c>
      <c r="D375" t="s">
        <v>8254</v>
      </c>
      <c r="E375" s="225">
        <v>921.38</v>
      </c>
      <c r="F375" t="s">
        <v>8344</v>
      </c>
      <c r="G375" t="s">
        <v>8345</v>
      </c>
      <c r="H375" t="s">
        <v>8343</v>
      </c>
      <c r="I375" s="99">
        <v>43695</v>
      </c>
      <c r="J375" s="99">
        <v>43704</v>
      </c>
      <c r="K375" t="s">
        <v>8257</v>
      </c>
      <c r="L375" t="s">
        <v>6984</v>
      </c>
    </row>
    <row r="376" spans="2:12" x14ac:dyDescent="0.2">
      <c r="B376">
        <v>10429</v>
      </c>
      <c r="C376" t="s">
        <v>8381</v>
      </c>
      <c r="D376" t="s">
        <v>8262</v>
      </c>
      <c r="E376" s="225">
        <v>520</v>
      </c>
      <c r="F376" t="s">
        <v>8344</v>
      </c>
      <c r="G376" t="s">
        <v>8345</v>
      </c>
      <c r="H376" t="s">
        <v>8343</v>
      </c>
      <c r="I376" s="99">
        <v>43695</v>
      </c>
      <c r="J376" s="99">
        <v>43704</v>
      </c>
      <c r="K376" t="s">
        <v>8257</v>
      </c>
      <c r="L376" t="s">
        <v>6984</v>
      </c>
    </row>
    <row r="377" spans="2:12" x14ac:dyDescent="0.2">
      <c r="B377">
        <v>10430</v>
      </c>
      <c r="C377" t="s">
        <v>8368</v>
      </c>
      <c r="D377" t="s">
        <v>8262</v>
      </c>
      <c r="E377" s="225">
        <v>400</v>
      </c>
      <c r="F377" t="s">
        <v>8283</v>
      </c>
      <c r="G377" t="s">
        <v>8284</v>
      </c>
      <c r="H377" t="s">
        <v>8282</v>
      </c>
      <c r="I377" s="99">
        <v>43696</v>
      </c>
      <c r="J377" s="99">
        <v>43700</v>
      </c>
      <c r="K377" t="s">
        <v>8266</v>
      </c>
      <c r="L377" t="s">
        <v>8267</v>
      </c>
    </row>
    <row r="378" spans="2:12" x14ac:dyDescent="0.2">
      <c r="B378">
        <v>10430</v>
      </c>
      <c r="C378" t="s">
        <v>8281</v>
      </c>
      <c r="D378" t="s">
        <v>8237</v>
      </c>
      <c r="E378" s="225">
        <v>2464</v>
      </c>
      <c r="F378" t="s">
        <v>8283</v>
      </c>
      <c r="G378" t="s">
        <v>8284</v>
      </c>
      <c r="H378" t="s">
        <v>8282</v>
      </c>
      <c r="I378" s="99">
        <v>43696</v>
      </c>
      <c r="J378" s="99">
        <v>43700</v>
      </c>
      <c r="K378" t="s">
        <v>8266</v>
      </c>
      <c r="L378" t="s">
        <v>8267</v>
      </c>
    </row>
    <row r="379" spans="2:12" x14ac:dyDescent="0.2">
      <c r="B379">
        <v>10430</v>
      </c>
      <c r="C379" t="s">
        <v>8341</v>
      </c>
      <c r="D379" t="s">
        <v>8244</v>
      </c>
      <c r="E379" s="225">
        <v>912</v>
      </c>
      <c r="F379" t="s">
        <v>8283</v>
      </c>
      <c r="G379" t="s">
        <v>8284</v>
      </c>
      <c r="H379" t="s">
        <v>8282</v>
      </c>
      <c r="I379" s="99">
        <v>43696</v>
      </c>
      <c r="J379" s="99">
        <v>43700</v>
      </c>
      <c r="K379" t="s">
        <v>8266</v>
      </c>
      <c r="L379" t="s">
        <v>8267</v>
      </c>
    </row>
    <row r="380" spans="2:12" x14ac:dyDescent="0.2">
      <c r="B380">
        <v>10431</v>
      </c>
      <c r="C380" t="s">
        <v>8410</v>
      </c>
      <c r="D380" t="s">
        <v>8262</v>
      </c>
      <c r="E380" s="225">
        <v>171</v>
      </c>
      <c r="F380" t="s">
        <v>8722</v>
      </c>
      <c r="G380" t="s">
        <v>8721</v>
      </c>
      <c r="H380" t="s">
        <v>8720</v>
      </c>
      <c r="I380" s="99">
        <v>43696</v>
      </c>
      <c r="J380" s="99">
        <v>43704</v>
      </c>
      <c r="K380" t="s">
        <v>8266</v>
      </c>
      <c r="L380" t="s">
        <v>8267</v>
      </c>
    </row>
    <row r="381" spans="2:12" x14ac:dyDescent="0.2">
      <c r="B381">
        <v>10432</v>
      </c>
      <c r="C381" t="s">
        <v>8372</v>
      </c>
      <c r="D381" t="s">
        <v>8262</v>
      </c>
      <c r="E381" s="225">
        <v>249</v>
      </c>
      <c r="F381" t="s">
        <v>8744</v>
      </c>
      <c r="G381" t="s">
        <v>8743</v>
      </c>
      <c r="H381" t="s">
        <v>8701</v>
      </c>
      <c r="I381" s="99">
        <v>43697</v>
      </c>
      <c r="J381" s="99">
        <v>43704</v>
      </c>
      <c r="K381" t="s">
        <v>8257</v>
      </c>
      <c r="L381" t="s">
        <v>6984</v>
      </c>
    </row>
    <row r="382" spans="2:12" x14ac:dyDescent="0.2">
      <c r="B382">
        <v>10433</v>
      </c>
      <c r="C382" t="s">
        <v>8341</v>
      </c>
      <c r="D382" t="s">
        <v>8244</v>
      </c>
      <c r="E382" s="225">
        <v>851.2</v>
      </c>
      <c r="F382" t="s">
        <v>8370</v>
      </c>
      <c r="G382" t="s">
        <v>8371</v>
      </c>
      <c r="H382" t="s">
        <v>8365</v>
      </c>
      <c r="I382" s="99">
        <v>43700</v>
      </c>
      <c r="J382" s="99">
        <v>43729</v>
      </c>
      <c r="K382" t="s">
        <v>8257</v>
      </c>
      <c r="L382" t="s">
        <v>6984</v>
      </c>
    </row>
    <row r="383" spans="2:12" x14ac:dyDescent="0.2">
      <c r="B383">
        <v>10434</v>
      </c>
      <c r="C383" t="s">
        <v>8303</v>
      </c>
      <c r="D383" t="s">
        <v>8272</v>
      </c>
      <c r="E383" s="225">
        <v>220.32</v>
      </c>
      <c r="F383" t="s">
        <v>8293</v>
      </c>
      <c r="G383" t="s">
        <v>8294</v>
      </c>
      <c r="H383" t="s">
        <v>8292</v>
      </c>
      <c r="I383" s="99">
        <v>43700</v>
      </c>
      <c r="J383" s="99">
        <v>43710</v>
      </c>
      <c r="K383" t="s">
        <v>8257</v>
      </c>
      <c r="L383" t="s">
        <v>6984</v>
      </c>
    </row>
    <row r="384" spans="2:12" x14ac:dyDescent="0.2">
      <c r="B384">
        <v>10434</v>
      </c>
      <c r="C384" t="s">
        <v>8242</v>
      </c>
      <c r="D384" t="s">
        <v>8237</v>
      </c>
      <c r="E384" s="225">
        <v>100.8</v>
      </c>
      <c r="F384" t="s">
        <v>8293</v>
      </c>
      <c r="G384" t="s">
        <v>8294</v>
      </c>
      <c r="H384" t="s">
        <v>8292</v>
      </c>
      <c r="I384" s="99">
        <v>43700</v>
      </c>
      <c r="J384" s="99">
        <v>43710</v>
      </c>
      <c r="K384" t="s">
        <v>8257</v>
      </c>
      <c r="L384" t="s">
        <v>6984</v>
      </c>
    </row>
    <row r="385" spans="2:12" x14ac:dyDescent="0.2">
      <c r="B385">
        <v>10435</v>
      </c>
      <c r="C385" t="s">
        <v>8276</v>
      </c>
      <c r="D385" t="s">
        <v>8272</v>
      </c>
      <c r="E385" s="225">
        <v>152</v>
      </c>
      <c r="F385" t="s">
        <v>8413</v>
      </c>
      <c r="G385" t="s">
        <v>8414</v>
      </c>
      <c r="H385" t="s">
        <v>2434</v>
      </c>
      <c r="I385" s="99">
        <v>43701</v>
      </c>
      <c r="J385" s="99">
        <v>43704</v>
      </c>
      <c r="K385" t="s">
        <v>8320</v>
      </c>
      <c r="L385" t="s">
        <v>8321</v>
      </c>
    </row>
    <row r="386" spans="2:12" x14ac:dyDescent="0.2">
      <c r="B386">
        <v>10435</v>
      </c>
      <c r="C386" t="s">
        <v>8235</v>
      </c>
      <c r="D386" t="s">
        <v>8237</v>
      </c>
      <c r="E386" s="225">
        <v>278</v>
      </c>
      <c r="F386" t="s">
        <v>8413</v>
      </c>
      <c r="G386" t="s">
        <v>8414</v>
      </c>
      <c r="H386" t="s">
        <v>2434</v>
      </c>
      <c r="I386" s="99">
        <v>43701</v>
      </c>
      <c r="J386" s="99">
        <v>43704</v>
      </c>
      <c r="K386" t="s">
        <v>8320</v>
      </c>
      <c r="L386" t="s">
        <v>8321</v>
      </c>
    </row>
    <row r="387" spans="2:12" x14ac:dyDescent="0.2">
      <c r="B387">
        <v>10435</v>
      </c>
      <c r="C387" t="s">
        <v>8259</v>
      </c>
      <c r="D387" t="s">
        <v>8244</v>
      </c>
      <c r="E387" s="225">
        <v>201.6</v>
      </c>
      <c r="F387" t="s">
        <v>8413</v>
      </c>
      <c r="G387" t="s">
        <v>8414</v>
      </c>
      <c r="H387" t="s">
        <v>2434</v>
      </c>
      <c r="I387" s="99">
        <v>43701</v>
      </c>
      <c r="J387" s="99">
        <v>43704</v>
      </c>
      <c r="K387" t="s">
        <v>8320</v>
      </c>
      <c r="L387" t="s">
        <v>8321</v>
      </c>
    </row>
    <row r="388" spans="2:12" x14ac:dyDescent="0.2">
      <c r="B388">
        <v>10436</v>
      </c>
      <c r="C388" t="s">
        <v>8328</v>
      </c>
      <c r="D388" t="s">
        <v>8272</v>
      </c>
      <c r="E388" s="225">
        <v>133.91999999999999</v>
      </c>
      <c r="F388" t="s">
        <v>8295</v>
      </c>
      <c r="G388" t="s">
        <v>8296</v>
      </c>
      <c r="H388" t="s">
        <v>8236</v>
      </c>
      <c r="I388" s="99">
        <v>43702</v>
      </c>
      <c r="J388" s="99">
        <v>43708</v>
      </c>
      <c r="K388" t="s">
        <v>8257</v>
      </c>
      <c r="L388" t="s">
        <v>6984</v>
      </c>
    </row>
    <row r="389" spans="2:12" x14ac:dyDescent="0.2">
      <c r="B389">
        <v>10436</v>
      </c>
      <c r="C389" t="s">
        <v>8341</v>
      </c>
      <c r="D389" t="s">
        <v>8244</v>
      </c>
      <c r="E389" s="225">
        <v>1094.4000000000001</v>
      </c>
      <c r="F389" t="s">
        <v>8295</v>
      </c>
      <c r="G389" t="s">
        <v>8296</v>
      </c>
      <c r="H389" t="s">
        <v>8236</v>
      </c>
      <c r="I389" s="99">
        <v>43702</v>
      </c>
      <c r="J389" s="99">
        <v>43708</v>
      </c>
      <c r="K389" t="s">
        <v>8257</v>
      </c>
      <c r="L389" t="s">
        <v>6984</v>
      </c>
    </row>
    <row r="390" spans="2:12" x14ac:dyDescent="0.2">
      <c r="B390">
        <v>10436</v>
      </c>
      <c r="C390" t="s">
        <v>8340</v>
      </c>
      <c r="D390" t="s">
        <v>8244</v>
      </c>
      <c r="E390" s="225">
        <v>718.2</v>
      </c>
      <c r="F390" t="s">
        <v>8295</v>
      </c>
      <c r="G390" t="s">
        <v>8296</v>
      </c>
      <c r="H390" t="s">
        <v>8236</v>
      </c>
      <c r="I390" s="99">
        <v>43702</v>
      </c>
      <c r="J390" s="99">
        <v>43708</v>
      </c>
      <c r="K390" t="s">
        <v>8257</v>
      </c>
      <c r="L390" t="s">
        <v>6984</v>
      </c>
    </row>
    <row r="391" spans="2:12" x14ac:dyDescent="0.2">
      <c r="B391">
        <v>10438</v>
      </c>
      <c r="C391" t="s">
        <v>8358</v>
      </c>
      <c r="D391" t="s">
        <v>8272</v>
      </c>
      <c r="E391" s="225">
        <v>179.2</v>
      </c>
      <c r="F391" t="s">
        <v>8248</v>
      </c>
      <c r="G391" t="s">
        <v>8249</v>
      </c>
      <c r="H391" t="s">
        <v>8246</v>
      </c>
      <c r="I391" s="99">
        <v>43703</v>
      </c>
      <c r="J391" s="99">
        <v>43711</v>
      </c>
      <c r="K391" t="s">
        <v>8257</v>
      </c>
      <c r="L391" t="s">
        <v>6984</v>
      </c>
    </row>
    <row r="392" spans="2:12" x14ac:dyDescent="0.2">
      <c r="B392">
        <v>10438</v>
      </c>
      <c r="C392" t="s">
        <v>8327</v>
      </c>
      <c r="D392" t="s">
        <v>8262</v>
      </c>
      <c r="E392" s="225">
        <v>87.6</v>
      </c>
      <c r="F392" t="s">
        <v>8248</v>
      </c>
      <c r="G392" t="s">
        <v>8249</v>
      </c>
      <c r="H392" t="s">
        <v>8246</v>
      </c>
      <c r="I392" s="99">
        <v>43703</v>
      </c>
      <c r="J392" s="99">
        <v>43711</v>
      </c>
      <c r="K392" t="s">
        <v>8257</v>
      </c>
      <c r="L392" t="s">
        <v>6984</v>
      </c>
    </row>
    <row r="393" spans="2:12" x14ac:dyDescent="0.2">
      <c r="B393">
        <v>10438</v>
      </c>
      <c r="C393" t="s">
        <v>8258</v>
      </c>
      <c r="D393" t="s">
        <v>8244</v>
      </c>
      <c r="E393" s="225">
        <v>187.2</v>
      </c>
      <c r="F393" t="s">
        <v>8248</v>
      </c>
      <c r="G393" t="s">
        <v>8249</v>
      </c>
      <c r="H393" t="s">
        <v>8246</v>
      </c>
      <c r="I393" s="99">
        <v>43703</v>
      </c>
      <c r="J393" s="99">
        <v>43711</v>
      </c>
      <c r="K393" t="s">
        <v>8257</v>
      </c>
      <c r="L393" t="s">
        <v>6984</v>
      </c>
    </row>
    <row r="394" spans="2:12" x14ac:dyDescent="0.2">
      <c r="B394">
        <v>10439</v>
      </c>
      <c r="C394" t="s">
        <v>8280</v>
      </c>
      <c r="D394" t="s">
        <v>8262</v>
      </c>
      <c r="E394" s="225">
        <v>222.4</v>
      </c>
      <c r="F394" t="s">
        <v>8760</v>
      </c>
      <c r="G394" t="s">
        <v>8759</v>
      </c>
      <c r="H394" t="s">
        <v>8720</v>
      </c>
      <c r="I394" s="99">
        <v>43704</v>
      </c>
      <c r="J394" s="99">
        <v>43707</v>
      </c>
      <c r="K394" t="s">
        <v>8251</v>
      </c>
      <c r="L394" t="s">
        <v>269</v>
      </c>
    </row>
    <row r="395" spans="2:12" x14ac:dyDescent="0.2">
      <c r="B395">
        <v>10439</v>
      </c>
      <c r="C395" t="s">
        <v>8299</v>
      </c>
      <c r="D395" t="s">
        <v>8237</v>
      </c>
      <c r="E395" s="225">
        <v>456</v>
      </c>
      <c r="F395" t="s">
        <v>8760</v>
      </c>
      <c r="G395" t="s">
        <v>8759</v>
      </c>
      <c r="H395" t="s">
        <v>8720</v>
      </c>
      <c r="I395" s="99">
        <v>43704</v>
      </c>
      <c r="J395" s="99">
        <v>43707</v>
      </c>
      <c r="K395" t="s">
        <v>8251</v>
      </c>
      <c r="L395" t="s">
        <v>269</v>
      </c>
    </row>
    <row r="396" spans="2:12" x14ac:dyDescent="0.2">
      <c r="B396">
        <v>10439</v>
      </c>
      <c r="C396" t="s">
        <v>8340</v>
      </c>
      <c r="D396" t="s">
        <v>8244</v>
      </c>
      <c r="E396" s="225">
        <v>159.6</v>
      </c>
      <c r="F396" t="s">
        <v>8760</v>
      </c>
      <c r="G396" t="s">
        <v>8759</v>
      </c>
      <c r="H396" t="s">
        <v>8720</v>
      </c>
      <c r="I396" s="99">
        <v>43704</v>
      </c>
      <c r="J396" s="99">
        <v>43707</v>
      </c>
      <c r="K396" t="s">
        <v>8251</v>
      </c>
      <c r="L396" t="s">
        <v>269</v>
      </c>
    </row>
    <row r="397" spans="2:12" x14ac:dyDescent="0.2">
      <c r="B397">
        <v>10439</v>
      </c>
      <c r="C397" t="s">
        <v>8275</v>
      </c>
      <c r="D397" t="s">
        <v>8247</v>
      </c>
      <c r="E397" s="225">
        <v>240</v>
      </c>
      <c r="F397" t="s">
        <v>8760</v>
      </c>
      <c r="G397" t="s">
        <v>8759</v>
      </c>
      <c r="H397" t="s">
        <v>8720</v>
      </c>
      <c r="I397" s="99">
        <v>43704</v>
      </c>
      <c r="J397" s="99">
        <v>43707</v>
      </c>
      <c r="K397" t="s">
        <v>8251</v>
      </c>
      <c r="L397" t="s">
        <v>269</v>
      </c>
    </row>
    <row r="398" spans="2:12" x14ac:dyDescent="0.2">
      <c r="B398">
        <v>10440</v>
      </c>
      <c r="C398" t="s">
        <v>8276</v>
      </c>
      <c r="D398" t="s">
        <v>8272</v>
      </c>
      <c r="E398" s="225">
        <v>581.4</v>
      </c>
      <c r="F398" t="s">
        <v>8758</v>
      </c>
      <c r="G398" t="s">
        <v>8757</v>
      </c>
      <c r="H398" t="s">
        <v>8701</v>
      </c>
      <c r="I398" s="99">
        <v>43707</v>
      </c>
      <c r="J398" s="99">
        <v>43725</v>
      </c>
      <c r="K398" t="s">
        <v>8266</v>
      </c>
      <c r="L398" t="s">
        <v>8267</v>
      </c>
    </row>
    <row r="399" spans="2:12" x14ac:dyDescent="0.2">
      <c r="B399">
        <v>10440</v>
      </c>
      <c r="C399" t="s">
        <v>8409</v>
      </c>
      <c r="D399" t="s">
        <v>8254</v>
      </c>
      <c r="E399" s="225">
        <v>1744.2</v>
      </c>
      <c r="F399" t="s">
        <v>8758</v>
      </c>
      <c r="G399" t="s">
        <v>8757</v>
      </c>
      <c r="H399" t="s">
        <v>8701</v>
      </c>
      <c r="I399" s="99">
        <v>43707</v>
      </c>
      <c r="J399" s="99">
        <v>43725</v>
      </c>
      <c r="K399" t="s">
        <v>8266</v>
      </c>
      <c r="L399" t="s">
        <v>8267</v>
      </c>
    </row>
    <row r="400" spans="2:12" x14ac:dyDescent="0.2">
      <c r="B400">
        <v>10440</v>
      </c>
      <c r="C400" t="s">
        <v>8280</v>
      </c>
      <c r="D400" t="s">
        <v>8262</v>
      </c>
      <c r="E400" s="225">
        <v>578.92999999999995</v>
      </c>
      <c r="F400" t="s">
        <v>8758</v>
      </c>
      <c r="G400" t="s">
        <v>8757</v>
      </c>
      <c r="H400" t="s">
        <v>8701</v>
      </c>
      <c r="I400" s="99">
        <v>43707</v>
      </c>
      <c r="J400" s="99">
        <v>43725</v>
      </c>
      <c r="K400" t="s">
        <v>8266</v>
      </c>
      <c r="L400" t="s">
        <v>8267</v>
      </c>
    </row>
    <row r="401" spans="2:12" x14ac:dyDescent="0.2">
      <c r="B401">
        <v>10441</v>
      </c>
      <c r="C401" t="s">
        <v>8332</v>
      </c>
      <c r="D401" t="s">
        <v>8262</v>
      </c>
      <c r="E401" s="225">
        <v>1755</v>
      </c>
      <c r="F401" t="s">
        <v>8756</v>
      </c>
      <c r="G401" t="s">
        <v>8755</v>
      </c>
      <c r="H401" t="s">
        <v>8701</v>
      </c>
      <c r="I401" s="99">
        <v>43707</v>
      </c>
      <c r="J401" s="99">
        <v>43739</v>
      </c>
      <c r="K401" t="s">
        <v>8257</v>
      </c>
      <c r="L401" t="s">
        <v>6984</v>
      </c>
    </row>
    <row r="402" spans="2:12" x14ac:dyDescent="0.2">
      <c r="B402">
        <v>10442</v>
      </c>
      <c r="C402" t="s">
        <v>8348</v>
      </c>
      <c r="D402" t="s">
        <v>8254</v>
      </c>
      <c r="E402" s="225">
        <v>816</v>
      </c>
      <c r="F402" t="s">
        <v>8283</v>
      </c>
      <c r="G402" t="s">
        <v>8284</v>
      </c>
      <c r="H402" t="s">
        <v>8282</v>
      </c>
      <c r="I402" s="99">
        <v>43708</v>
      </c>
      <c r="J402" s="99">
        <v>43715</v>
      </c>
      <c r="K402" t="s">
        <v>8257</v>
      </c>
      <c r="L402" t="s">
        <v>6984</v>
      </c>
    </row>
    <row r="403" spans="2:12" x14ac:dyDescent="0.2">
      <c r="B403">
        <v>10442</v>
      </c>
      <c r="C403" t="s">
        <v>8242</v>
      </c>
      <c r="D403" t="s">
        <v>8237</v>
      </c>
      <c r="E403" s="225">
        <v>504</v>
      </c>
      <c r="F403" t="s">
        <v>8283</v>
      </c>
      <c r="G403" t="s">
        <v>8284</v>
      </c>
      <c r="H403" t="s">
        <v>8282</v>
      </c>
      <c r="I403" s="99">
        <v>43708</v>
      </c>
      <c r="J403" s="99">
        <v>43715</v>
      </c>
      <c r="K403" t="s">
        <v>8257</v>
      </c>
      <c r="L403" t="s">
        <v>6984</v>
      </c>
    </row>
    <row r="404" spans="2:12" x14ac:dyDescent="0.2">
      <c r="B404">
        <v>10443</v>
      </c>
      <c r="C404" t="s">
        <v>8242</v>
      </c>
      <c r="D404" t="s">
        <v>8237</v>
      </c>
      <c r="E404" s="225">
        <v>80.64</v>
      </c>
      <c r="F404" t="s">
        <v>8335</v>
      </c>
      <c r="G404" t="s">
        <v>8336</v>
      </c>
      <c r="H404" t="s">
        <v>8311</v>
      </c>
      <c r="I404" s="99">
        <v>43709</v>
      </c>
      <c r="J404" s="99">
        <v>43711</v>
      </c>
      <c r="K404" t="s">
        <v>8320</v>
      </c>
      <c r="L404" t="s">
        <v>8321</v>
      </c>
    </row>
    <row r="405" spans="2:12" x14ac:dyDescent="0.2">
      <c r="B405">
        <v>10443</v>
      </c>
      <c r="C405" t="s">
        <v>8316</v>
      </c>
      <c r="D405" t="s">
        <v>8247</v>
      </c>
      <c r="E405" s="225">
        <v>436.8</v>
      </c>
      <c r="F405" t="s">
        <v>8335</v>
      </c>
      <c r="G405" t="s">
        <v>8336</v>
      </c>
      <c r="H405" t="s">
        <v>8311</v>
      </c>
      <c r="I405" s="99">
        <v>43709</v>
      </c>
      <c r="J405" s="99">
        <v>43711</v>
      </c>
      <c r="K405" t="s">
        <v>8320</v>
      </c>
      <c r="L405" t="s">
        <v>8321</v>
      </c>
    </row>
    <row r="406" spans="2:12" x14ac:dyDescent="0.2">
      <c r="B406">
        <v>10444</v>
      </c>
      <c r="C406" t="s">
        <v>8323</v>
      </c>
      <c r="D406" t="s">
        <v>8272</v>
      </c>
      <c r="E406" s="225">
        <v>115.2</v>
      </c>
      <c r="F406" t="s">
        <v>8318</v>
      </c>
      <c r="G406" t="s">
        <v>8319</v>
      </c>
      <c r="H406" t="s">
        <v>8292</v>
      </c>
      <c r="I406" s="99">
        <v>43709</v>
      </c>
      <c r="J406" s="99">
        <v>43718</v>
      </c>
      <c r="K406" t="s">
        <v>8257</v>
      </c>
      <c r="L406" t="s">
        <v>6984</v>
      </c>
    </row>
    <row r="407" spans="2:12" x14ac:dyDescent="0.2">
      <c r="B407">
        <v>10444</v>
      </c>
      <c r="C407" t="s">
        <v>8372</v>
      </c>
      <c r="D407" t="s">
        <v>8262</v>
      </c>
      <c r="E407" s="225">
        <v>373.5</v>
      </c>
      <c r="F407" t="s">
        <v>8318</v>
      </c>
      <c r="G407" t="s">
        <v>8319</v>
      </c>
      <c r="H407" t="s">
        <v>8292</v>
      </c>
      <c r="I407" s="99">
        <v>43709</v>
      </c>
      <c r="J407" s="99">
        <v>43718</v>
      </c>
      <c r="K407" t="s">
        <v>8257</v>
      </c>
      <c r="L407" t="s">
        <v>6984</v>
      </c>
    </row>
    <row r="408" spans="2:12" x14ac:dyDescent="0.2">
      <c r="B408">
        <v>10445</v>
      </c>
      <c r="C408" t="s">
        <v>8342</v>
      </c>
      <c r="D408" t="s">
        <v>8272</v>
      </c>
      <c r="E408" s="225">
        <v>86.4</v>
      </c>
      <c r="F408" t="s">
        <v>8318</v>
      </c>
      <c r="G408" t="s">
        <v>8319</v>
      </c>
      <c r="H408" t="s">
        <v>8292</v>
      </c>
      <c r="I408" s="99">
        <v>43710</v>
      </c>
      <c r="J408" s="99">
        <v>43717</v>
      </c>
      <c r="K408" t="s">
        <v>8257</v>
      </c>
      <c r="L408" t="s">
        <v>6984</v>
      </c>
    </row>
    <row r="409" spans="2:12" x14ac:dyDescent="0.2">
      <c r="B409">
        <v>10446</v>
      </c>
      <c r="C409" t="s">
        <v>8270</v>
      </c>
      <c r="D409" t="s">
        <v>8272</v>
      </c>
      <c r="E409" s="225">
        <v>64.8</v>
      </c>
      <c r="F409" t="s">
        <v>8248</v>
      </c>
      <c r="G409" t="s">
        <v>8249</v>
      </c>
      <c r="H409" t="s">
        <v>8246</v>
      </c>
      <c r="I409" s="99">
        <v>43711</v>
      </c>
      <c r="J409" s="99">
        <v>43716</v>
      </c>
      <c r="K409" t="s">
        <v>8251</v>
      </c>
      <c r="L409" t="s">
        <v>269</v>
      </c>
    </row>
    <row r="410" spans="2:12" x14ac:dyDescent="0.2">
      <c r="B410">
        <v>10446</v>
      </c>
      <c r="C410" t="s">
        <v>8327</v>
      </c>
      <c r="D410" t="s">
        <v>8262</v>
      </c>
      <c r="E410" s="225">
        <v>78.84</v>
      </c>
      <c r="F410" t="s">
        <v>8248</v>
      </c>
      <c r="G410" t="s">
        <v>8249</v>
      </c>
      <c r="H410" t="s">
        <v>8246</v>
      </c>
      <c r="I410" s="99">
        <v>43711</v>
      </c>
      <c r="J410" s="99">
        <v>43716</v>
      </c>
      <c r="K410" t="s">
        <v>8251</v>
      </c>
      <c r="L410" t="s">
        <v>269</v>
      </c>
    </row>
    <row r="411" spans="2:12" x14ac:dyDescent="0.2">
      <c r="B411">
        <v>10446</v>
      </c>
      <c r="C411" t="s">
        <v>8309</v>
      </c>
      <c r="D411" t="s">
        <v>8237</v>
      </c>
      <c r="E411" s="225">
        <v>27</v>
      </c>
      <c r="F411" t="s">
        <v>8248</v>
      </c>
      <c r="G411" t="s">
        <v>8249</v>
      </c>
      <c r="H411" t="s">
        <v>8246</v>
      </c>
      <c r="I411" s="99">
        <v>43711</v>
      </c>
      <c r="J411" s="99">
        <v>43716</v>
      </c>
      <c r="K411" t="s">
        <v>8251</v>
      </c>
      <c r="L411" t="s">
        <v>269</v>
      </c>
    </row>
    <row r="412" spans="2:12" x14ac:dyDescent="0.2">
      <c r="B412">
        <v>10446</v>
      </c>
      <c r="C412" t="s">
        <v>8369</v>
      </c>
      <c r="D412" t="s">
        <v>8244</v>
      </c>
      <c r="E412" s="225">
        <v>75.599999999999994</v>
      </c>
      <c r="F412" t="s">
        <v>8248</v>
      </c>
      <c r="G412" t="s">
        <v>8249</v>
      </c>
      <c r="H412" t="s">
        <v>8246</v>
      </c>
      <c r="I412" s="99">
        <v>43711</v>
      </c>
      <c r="J412" s="99">
        <v>43716</v>
      </c>
      <c r="K412" t="s">
        <v>8251</v>
      </c>
      <c r="L412" t="s">
        <v>269</v>
      </c>
    </row>
    <row r="413" spans="2:12" x14ac:dyDescent="0.2">
      <c r="B413">
        <v>10447</v>
      </c>
      <c r="C413" t="s">
        <v>8253</v>
      </c>
      <c r="D413" t="s">
        <v>8254</v>
      </c>
      <c r="E413" s="225">
        <v>588</v>
      </c>
      <c r="F413" t="s">
        <v>8716</v>
      </c>
      <c r="G413" t="s">
        <v>8715</v>
      </c>
      <c r="H413" t="s">
        <v>8710</v>
      </c>
      <c r="I413" s="99">
        <v>43711</v>
      </c>
      <c r="J413" s="99">
        <v>43732</v>
      </c>
      <c r="K413" t="s">
        <v>8266</v>
      </c>
      <c r="L413" t="s">
        <v>8267</v>
      </c>
    </row>
    <row r="414" spans="2:12" x14ac:dyDescent="0.2">
      <c r="B414">
        <v>10447</v>
      </c>
      <c r="C414" t="s">
        <v>8327</v>
      </c>
      <c r="D414" t="s">
        <v>8262</v>
      </c>
      <c r="E414" s="225">
        <v>292</v>
      </c>
      <c r="F414" t="s">
        <v>8716</v>
      </c>
      <c r="G414" t="s">
        <v>8715</v>
      </c>
      <c r="H414" t="s">
        <v>8710</v>
      </c>
      <c r="I414" s="99">
        <v>43711</v>
      </c>
      <c r="J414" s="99">
        <v>43732</v>
      </c>
      <c r="K414" t="s">
        <v>8266</v>
      </c>
      <c r="L414" t="s">
        <v>8267</v>
      </c>
    </row>
    <row r="415" spans="2:12" x14ac:dyDescent="0.2">
      <c r="B415">
        <v>10447</v>
      </c>
      <c r="C415" t="s">
        <v>8310</v>
      </c>
      <c r="D415" t="s">
        <v>8237</v>
      </c>
      <c r="E415" s="225">
        <v>34.4</v>
      </c>
      <c r="F415" t="s">
        <v>8716</v>
      </c>
      <c r="G415" t="s">
        <v>8715</v>
      </c>
      <c r="H415" t="s">
        <v>8710</v>
      </c>
      <c r="I415" s="99">
        <v>43711</v>
      </c>
      <c r="J415" s="99">
        <v>43732</v>
      </c>
      <c r="K415" t="s">
        <v>8266</v>
      </c>
      <c r="L415" t="s">
        <v>8267</v>
      </c>
    </row>
    <row r="416" spans="2:12" x14ac:dyDescent="0.2">
      <c r="B416">
        <v>10448</v>
      </c>
      <c r="C416" t="s">
        <v>8372</v>
      </c>
      <c r="D416" t="s">
        <v>8262</v>
      </c>
      <c r="E416" s="225">
        <v>149.4</v>
      </c>
      <c r="F416" t="s">
        <v>8726</v>
      </c>
      <c r="G416" t="s">
        <v>8725</v>
      </c>
      <c r="H416" t="s">
        <v>8717</v>
      </c>
      <c r="I416" s="99">
        <v>43714</v>
      </c>
      <c r="J416" s="99">
        <v>43721</v>
      </c>
      <c r="K416" t="s">
        <v>8266</v>
      </c>
      <c r="L416" t="s">
        <v>8267</v>
      </c>
    </row>
    <row r="417" spans="2:12" x14ac:dyDescent="0.2">
      <c r="B417">
        <v>10449</v>
      </c>
      <c r="C417" t="s">
        <v>8291</v>
      </c>
      <c r="D417" t="s">
        <v>8262</v>
      </c>
      <c r="E417" s="225">
        <v>1379</v>
      </c>
      <c r="F417" t="s">
        <v>8295</v>
      </c>
      <c r="G417" t="s">
        <v>8296</v>
      </c>
      <c r="H417" t="s">
        <v>8236</v>
      </c>
      <c r="I417" s="99">
        <v>43715</v>
      </c>
      <c r="J417" s="99">
        <v>43724</v>
      </c>
      <c r="K417" t="s">
        <v>8257</v>
      </c>
      <c r="L417" t="s">
        <v>6984</v>
      </c>
    </row>
    <row r="418" spans="2:12" x14ac:dyDescent="0.2">
      <c r="B418">
        <v>10449</v>
      </c>
      <c r="C418" t="s">
        <v>8369</v>
      </c>
      <c r="D418" t="s">
        <v>8244</v>
      </c>
      <c r="E418" s="225">
        <v>112</v>
      </c>
      <c r="F418" t="s">
        <v>8295</v>
      </c>
      <c r="G418" t="s">
        <v>8296</v>
      </c>
      <c r="H418" t="s">
        <v>8236</v>
      </c>
      <c r="I418" s="99">
        <v>43715</v>
      </c>
      <c r="J418" s="99">
        <v>43724</v>
      </c>
      <c r="K418" t="s">
        <v>8257</v>
      </c>
      <c r="L418" t="s">
        <v>6984</v>
      </c>
    </row>
    <row r="419" spans="2:12" x14ac:dyDescent="0.2">
      <c r="B419">
        <v>10451</v>
      </c>
      <c r="C419" t="s">
        <v>8253</v>
      </c>
      <c r="D419" t="s">
        <v>8254</v>
      </c>
      <c r="E419" s="225">
        <v>423.36</v>
      </c>
      <c r="F419" t="s">
        <v>8307</v>
      </c>
      <c r="G419" t="s">
        <v>8308</v>
      </c>
      <c r="H419" t="s">
        <v>8246</v>
      </c>
      <c r="I419" s="99">
        <v>43716</v>
      </c>
      <c r="J419" s="99">
        <v>43737</v>
      </c>
      <c r="K419" t="s">
        <v>8266</v>
      </c>
      <c r="L419" t="s">
        <v>8267</v>
      </c>
    </row>
    <row r="420" spans="2:12" x14ac:dyDescent="0.2">
      <c r="B420">
        <v>10451</v>
      </c>
      <c r="C420" t="s">
        <v>8397</v>
      </c>
      <c r="D420" t="s">
        <v>8254</v>
      </c>
      <c r="E420" s="225">
        <v>514.79999999999995</v>
      </c>
      <c r="F420" t="s">
        <v>8307</v>
      </c>
      <c r="G420" t="s">
        <v>8308</v>
      </c>
      <c r="H420" t="s">
        <v>8246</v>
      </c>
      <c r="I420" s="99">
        <v>43716</v>
      </c>
      <c r="J420" s="99">
        <v>43737</v>
      </c>
      <c r="K420" t="s">
        <v>8266</v>
      </c>
      <c r="L420" t="s">
        <v>8267</v>
      </c>
    </row>
    <row r="421" spans="2:12" x14ac:dyDescent="0.2">
      <c r="B421">
        <v>10451</v>
      </c>
      <c r="C421" t="s">
        <v>8340</v>
      </c>
      <c r="D421" t="s">
        <v>8244</v>
      </c>
      <c r="E421" s="225">
        <v>837.9</v>
      </c>
      <c r="F421" t="s">
        <v>8307</v>
      </c>
      <c r="G421" t="s">
        <v>8308</v>
      </c>
      <c r="H421" t="s">
        <v>8246</v>
      </c>
      <c r="I421" s="99">
        <v>43716</v>
      </c>
      <c r="J421" s="99">
        <v>43737</v>
      </c>
      <c r="K421" t="s">
        <v>8266</v>
      </c>
      <c r="L421" t="s">
        <v>8267</v>
      </c>
    </row>
    <row r="422" spans="2:12" x14ac:dyDescent="0.2">
      <c r="B422">
        <v>10452</v>
      </c>
      <c r="C422" t="s">
        <v>8322</v>
      </c>
      <c r="D422" t="s">
        <v>8254</v>
      </c>
      <c r="E422" s="225">
        <v>1472.5</v>
      </c>
      <c r="F422" t="s">
        <v>8758</v>
      </c>
      <c r="G422" t="s">
        <v>8757</v>
      </c>
      <c r="H422" t="s">
        <v>8701</v>
      </c>
      <c r="I422" s="99">
        <v>43717</v>
      </c>
      <c r="J422" s="99">
        <v>43723</v>
      </c>
      <c r="K422" t="s">
        <v>8320</v>
      </c>
      <c r="L422" t="s">
        <v>8321</v>
      </c>
    </row>
    <row r="423" spans="2:12" x14ac:dyDescent="0.2">
      <c r="B423">
        <v>10452</v>
      </c>
      <c r="C423" t="s">
        <v>8316</v>
      </c>
      <c r="D423" t="s">
        <v>8247</v>
      </c>
      <c r="E423" s="225">
        <v>546</v>
      </c>
      <c r="F423" t="s">
        <v>8758</v>
      </c>
      <c r="G423" t="s">
        <v>8757</v>
      </c>
      <c r="H423" t="s">
        <v>8701</v>
      </c>
      <c r="I423" s="99">
        <v>43717</v>
      </c>
      <c r="J423" s="99">
        <v>43723</v>
      </c>
      <c r="K423" t="s">
        <v>8320</v>
      </c>
      <c r="L423" t="s">
        <v>8321</v>
      </c>
    </row>
    <row r="424" spans="2:12" x14ac:dyDescent="0.2">
      <c r="B424">
        <v>10453</v>
      </c>
      <c r="C424" t="s">
        <v>8288</v>
      </c>
      <c r="D424" t="s">
        <v>8272</v>
      </c>
      <c r="E424" s="225">
        <v>270</v>
      </c>
      <c r="F424" t="s">
        <v>8386</v>
      </c>
      <c r="G424" t="s">
        <v>8387</v>
      </c>
      <c r="H424" t="s">
        <v>2434</v>
      </c>
      <c r="I424" s="99">
        <v>43718</v>
      </c>
      <c r="J424" s="99">
        <v>43723</v>
      </c>
      <c r="K424" t="s">
        <v>8285</v>
      </c>
      <c r="L424" t="s">
        <v>2317</v>
      </c>
    </row>
    <row r="425" spans="2:12" x14ac:dyDescent="0.2">
      <c r="B425">
        <v>10453</v>
      </c>
      <c r="C425" t="s">
        <v>8406</v>
      </c>
      <c r="D425" t="s">
        <v>8262</v>
      </c>
      <c r="E425" s="225">
        <v>137.69999999999999</v>
      </c>
      <c r="F425" t="s">
        <v>8386</v>
      </c>
      <c r="G425" t="s">
        <v>8387</v>
      </c>
      <c r="H425" t="s">
        <v>2434</v>
      </c>
      <c r="I425" s="99">
        <v>43718</v>
      </c>
      <c r="J425" s="99">
        <v>43723</v>
      </c>
      <c r="K425" t="s">
        <v>8285</v>
      </c>
      <c r="L425" t="s">
        <v>2317</v>
      </c>
    </row>
    <row r="426" spans="2:12" x14ac:dyDescent="0.2">
      <c r="B426">
        <v>10454</v>
      </c>
      <c r="C426" t="s">
        <v>8280</v>
      </c>
      <c r="D426" t="s">
        <v>8262</v>
      </c>
      <c r="E426" s="225">
        <v>222.4</v>
      </c>
      <c r="F426" t="s">
        <v>8382</v>
      </c>
      <c r="G426" t="s">
        <v>8383</v>
      </c>
      <c r="H426" t="s">
        <v>8236</v>
      </c>
      <c r="I426" s="99">
        <v>43718</v>
      </c>
      <c r="J426" s="99">
        <v>43722</v>
      </c>
      <c r="K426" t="s">
        <v>8266</v>
      </c>
      <c r="L426" t="s">
        <v>8267</v>
      </c>
    </row>
    <row r="427" spans="2:12" x14ac:dyDescent="0.2">
      <c r="B427">
        <v>10454</v>
      </c>
      <c r="C427" t="s">
        <v>8269</v>
      </c>
      <c r="D427" t="s">
        <v>8237</v>
      </c>
      <c r="E427" s="225">
        <v>32</v>
      </c>
      <c r="F427" t="s">
        <v>8382</v>
      </c>
      <c r="G427" t="s">
        <v>8383</v>
      </c>
      <c r="H427" t="s">
        <v>8236</v>
      </c>
      <c r="I427" s="99">
        <v>43718</v>
      </c>
      <c r="J427" s="99">
        <v>43722</v>
      </c>
      <c r="K427" t="s">
        <v>8266</v>
      </c>
      <c r="L427" t="s">
        <v>8267</v>
      </c>
    </row>
    <row r="428" spans="2:12" x14ac:dyDescent="0.2">
      <c r="B428">
        <v>10455</v>
      </c>
      <c r="C428" t="s">
        <v>8342</v>
      </c>
      <c r="D428" t="s">
        <v>8272</v>
      </c>
      <c r="E428" s="225">
        <v>288</v>
      </c>
      <c r="F428" t="s">
        <v>8301</v>
      </c>
      <c r="G428" t="s">
        <v>8302</v>
      </c>
      <c r="H428" t="s">
        <v>8300</v>
      </c>
      <c r="I428" s="99">
        <v>43721</v>
      </c>
      <c r="J428" s="99">
        <v>43728</v>
      </c>
      <c r="K428" t="s">
        <v>8320</v>
      </c>
      <c r="L428" t="s">
        <v>8321</v>
      </c>
    </row>
    <row r="429" spans="2:12" x14ac:dyDescent="0.2">
      <c r="B429">
        <v>10455</v>
      </c>
      <c r="C429" t="s">
        <v>8409</v>
      </c>
      <c r="D429" t="s">
        <v>8254</v>
      </c>
      <c r="E429" s="225">
        <v>570</v>
      </c>
      <c r="F429" t="s">
        <v>8301</v>
      </c>
      <c r="G429" t="s">
        <v>8302</v>
      </c>
      <c r="H429" t="s">
        <v>8300</v>
      </c>
      <c r="I429" s="99">
        <v>43721</v>
      </c>
      <c r="J429" s="99">
        <v>43728</v>
      </c>
      <c r="K429" t="s">
        <v>8320</v>
      </c>
      <c r="L429" t="s">
        <v>8321</v>
      </c>
    </row>
    <row r="430" spans="2:12" x14ac:dyDescent="0.2">
      <c r="B430">
        <v>10455</v>
      </c>
      <c r="C430" t="s">
        <v>8310</v>
      </c>
      <c r="D430" t="s">
        <v>8237</v>
      </c>
      <c r="E430" s="225">
        <v>516</v>
      </c>
      <c r="F430" t="s">
        <v>8301</v>
      </c>
      <c r="G430" t="s">
        <v>8302</v>
      </c>
      <c r="H430" t="s">
        <v>8300</v>
      </c>
      <c r="I430" s="99">
        <v>43721</v>
      </c>
      <c r="J430" s="99">
        <v>43728</v>
      </c>
      <c r="K430" t="s">
        <v>8320</v>
      </c>
      <c r="L430" t="s">
        <v>8321</v>
      </c>
    </row>
    <row r="431" spans="2:12" x14ac:dyDescent="0.2">
      <c r="B431">
        <v>10456</v>
      </c>
      <c r="C431" t="s">
        <v>8368</v>
      </c>
      <c r="D431" t="s">
        <v>8262</v>
      </c>
      <c r="E431" s="225">
        <v>272</v>
      </c>
      <c r="F431" t="s">
        <v>8359</v>
      </c>
      <c r="G431" t="s">
        <v>8360</v>
      </c>
      <c r="H431" t="s">
        <v>8246</v>
      </c>
      <c r="I431" s="99">
        <v>43722</v>
      </c>
      <c r="J431" s="99">
        <v>43725</v>
      </c>
      <c r="K431" t="s">
        <v>8320</v>
      </c>
      <c r="L431" t="s">
        <v>8321</v>
      </c>
    </row>
    <row r="432" spans="2:12" x14ac:dyDescent="0.2">
      <c r="B432">
        <v>10456</v>
      </c>
      <c r="C432" t="s">
        <v>8390</v>
      </c>
      <c r="D432" t="s">
        <v>8262</v>
      </c>
      <c r="E432" s="225">
        <v>285.60000000000002</v>
      </c>
      <c r="F432" t="s">
        <v>8359</v>
      </c>
      <c r="G432" t="s">
        <v>8360</v>
      </c>
      <c r="H432" t="s">
        <v>8246</v>
      </c>
      <c r="I432" s="99">
        <v>43722</v>
      </c>
      <c r="J432" s="99">
        <v>43725</v>
      </c>
      <c r="K432" t="s">
        <v>8320</v>
      </c>
      <c r="L432" t="s">
        <v>8321</v>
      </c>
    </row>
    <row r="433" spans="2:12" x14ac:dyDescent="0.2">
      <c r="B433">
        <v>10457</v>
      </c>
      <c r="C433" t="s">
        <v>8281</v>
      </c>
      <c r="D433" t="s">
        <v>8237</v>
      </c>
      <c r="E433" s="225">
        <v>1584</v>
      </c>
      <c r="F433" t="s">
        <v>8359</v>
      </c>
      <c r="G433" t="s">
        <v>8360</v>
      </c>
      <c r="H433" t="s">
        <v>8246</v>
      </c>
      <c r="I433" s="99">
        <v>43722</v>
      </c>
      <c r="J433" s="99">
        <v>43728</v>
      </c>
      <c r="K433" t="s">
        <v>8297</v>
      </c>
      <c r="L433" t="s">
        <v>8298</v>
      </c>
    </row>
    <row r="434" spans="2:12" x14ac:dyDescent="0.2">
      <c r="B434">
        <v>10458</v>
      </c>
      <c r="C434" t="s">
        <v>8306</v>
      </c>
      <c r="D434" t="s">
        <v>8272</v>
      </c>
      <c r="E434" s="225">
        <v>736</v>
      </c>
      <c r="F434" t="s">
        <v>8263</v>
      </c>
      <c r="G434" t="s">
        <v>8264</v>
      </c>
      <c r="H434" t="s">
        <v>8261</v>
      </c>
      <c r="I434" s="99">
        <v>43723</v>
      </c>
      <c r="J434" s="99">
        <v>43729</v>
      </c>
      <c r="K434" t="s">
        <v>8158</v>
      </c>
      <c r="L434" t="s">
        <v>861</v>
      </c>
    </row>
    <row r="435" spans="2:12" x14ac:dyDescent="0.2">
      <c r="B435">
        <v>10458</v>
      </c>
      <c r="C435" t="s">
        <v>8372</v>
      </c>
      <c r="D435" t="s">
        <v>8262</v>
      </c>
      <c r="E435" s="225">
        <v>747</v>
      </c>
      <c r="F435" t="s">
        <v>8263</v>
      </c>
      <c r="G435" t="s">
        <v>8264</v>
      </c>
      <c r="H435" t="s">
        <v>8261</v>
      </c>
      <c r="I435" s="99">
        <v>43723</v>
      </c>
      <c r="J435" s="99">
        <v>43729</v>
      </c>
      <c r="K435" t="s">
        <v>8158</v>
      </c>
      <c r="L435" t="s">
        <v>861</v>
      </c>
    </row>
    <row r="436" spans="2:12" x14ac:dyDescent="0.2">
      <c r="B436">
        <v>10458</v>
      </c>
      <c r="C436" t="s">
        <v>8310</v>
      </c>
      <c r="D436" t="s">
        <v>8237</v>
      </c>
      <c r="E436" s="225">
        <v>860</v>
      </c>
      <c r="F436" t="s">
        <v>8263</v>
      </c>
      <c r="G436" t="s">
        <v>8264</v>
      </c>
      <c r="H436" t="s">
        <v>8261</v>
      </c>
      <c r="I436" s="99">
        <v>43723</v>
      </c>
      <c r="J436" s="99">
        <v>43729</v>
      </c>
      <c r="K436" t="s">
        <v>8158</v>
      </c>
      <c r="L436" t="s">
        <v>861</v>
      </c>
    </row>
    <row r="437" spans="2:12" x14ac:dyDescent="0.2">
      <c r="B437">
        <v>10458</v>
      </c>
      <c r="C437" t="s">
        <v>8341</v>
      </c>
      <c r="D437" t="s">
        <v>8244</v>
      </c>
      <c r="E437" s="225">
        <v>456</v>
      </c>
      <c r="F437" t="s">
        <v>8263</v>
      </c>
      <c r="G437" t="s">
        <v>8264</v>
      </c>
      <c r="H437" t="s">
        <v>8261</v>
      </c>
      <c r="I437" s="99">
        <v>43723</v>
      </c>
      <c r="J437" s="99">
        <v>43729</v>
      </c>
      <c r="K437" t="s">
        <v>8158</v>
      </c>
      <c r="L437" t="s">
        <v>861</v>
      </c>
    </row>
    <row r="438" spans="2:12" x14ac:dyDescent="0.2">
      <c r="B438">
        <v>10458</v>
      </c>
      <c r="C438" t="s">
        <v>8316</v>
      </c>
      <c r="D438" t="s">
        <v>8247</v>
      </c>
      <c r="E438" s="225">
        <v>1092</v>
      </c>
      <c r="F438" t="s">
        <v>8263</v>
      </c>
      <c r="G438" t="s">
        <v>8264</v>
      </c>
      <c r="H438" t="s">
        <v>8261</v>
      </c>
      <c r="I438" s="99">
        <v>43723</v>
      </c>
      <c r="J438" s="99">
        <v>43729</v>
      </c>
      <c r="K438" t="s">
        <v>8158</v>
      </c>
      <c r="L438" t="s">
        <v>861</v>
      </c>
    </row>
    <row r="439" spans="2:12" x14ac:dyDescent="0.2">
      <c r="B439">
        <v>10459</v>
      </c>
      <c r="C439" t="s">
        <v>8235</v>
      </c>
      <c r="D439" t="s">
        <v>8237</v>
      </c>
      <c r="E439" s="225">
        <v>1112</v>
      </c>
      <c r="F439" t="s">
        <v>8255</v>
      </c>
      <c r="G439" t="s">
        <v>8256</v>
      </c>
      <c r="H439" t="s">
        <v>8236</v>
      </c>
      <c r="I439" s="99">
        <v>43724</v>
      </c>
      <c r="J439" s="99">
        <v>43725</v>
      </c>
      <c r="K439" t="s">
        <v>8266</v>
      </c>
      <c r="L439" t="s">
        <v>8267</v>
      </c>
    </row>
    <row r="440" spans="2:12" x14ac:dyDescent="0.2">
      <c r="B440">
        <v>10459</v>
      </c>
      <c r="C440" t="s">
        <v>8415</v>
      </c>
      <c r="D440" t="s">
        <v>8247</v>
      </c>
      <c r="E440" s="225">
        <v>364.8</v>
      </c>
      <c r="F440" t="s">
        <v>8255</v>
      </c>
      <c r="G440" t="s">
        <v>8256</v>
      </c>
      <c r="H440" t="s">
        <v>8236</v>
      </c>
      <c r="I440" s="99">
        <v>43724</v>
      </c>
      <c r="J440" s="99">
        <v>43725</v>
      </c>
      <c r="K440" t="s">
        <v>8266</v>
      </c>
      <c r="L440" t="s">
        <v>8267</v>
      </c>
    </row>
    <row r="441" spans="2:12" x14ac:dyDescent="0.2">
      <c r="B441">
        <v>10460</v>
      </c>
      <c r="C441" t="s">
        <v>8328</v>
      </c>
      <c r="D441" t="s">
        <v>8272</v>
      </c>
      <c r="E441" s="225">
        <v>18.600000000000001</v>
      </c>
      <c r="F441" t="s">
        <v>8293</v>
      </c>
      <c r="G441" t="s">
        <v>8294</v>
      </c>
      <c r="H441" t="s">
        <v>8292</v>
      </c>
      <c r="I441" s="99">
        <v>43725</v>
      </c>
      <c r="J441" s="99">
        <v>43728</v>
      </c>
      <c r="K441" t="s">
        <v>8320</v>
      </c>
      <c r="L441" t="s">
        <v>8321</v>
      </c>
    </row>
    <row r="442" spans="2:12" x14ac:dyDescent="0.2">
      <c r="B442">
        <v>10460</v>
      </c>
      <c r="C442" t="s">
        <v>8334</v>
      </c>
      <c r="D442" t="s">
        <v>8262</v>
      </c>
      <c r="E442" s="225">
        <v>157.5</v>
      </c>
      <c r="F442" t="s">
        <v>8293</v>
      </c>
      <c r="G442" t="s">
        <v>8294</v>
      </c>
      <c r="H442" t="s">
        <v>8292</v>
      </c>
      <c r="I442" s="99">
        <v>43725</v>
      </c>
      <c r="J442" s="99">
        <v>43728</v>
      </c>
      <c r="K442" t="s">
        <v>8320</v>
      </c>
      <c r="L442" t="s">
        <v>8321</v>
      </c>
    </row>
    <row r="443" spans="2:12" x14ac:dyDescent="0.2">
      <c r="B443">
        <v>10461</v>
      </c>
      <c r="C443" t="s">
        <v>8368</v>
      </c>
      <c r="D443" t="s">
        <v>8262</v>
      </c>
      <c r="E443" s="225">
        <v>240</v>
      </c>
      <c r="F443" t="s">
        <v>8709</v>
      </c>
      <c r="G443" t="s">
        <v>8708</v>
      </c>
      <c r="H443" t="s">
        <v>8707</v>
      </c>
      <c r="I443" s="99">
        <v>43725</v>
      </c>
      <c r="J443" s="99">
        <v>43730</v>
      </c>
      <c r="K443" t="s">
        <v>8285</v>
      </c>
      <c r="L443" t="s">
        <v>2317</v>
      </c>
    </row>
    <row r="444" spans="2:12" x14ac:dyDescent="0.2">
      <c r="B444">
        <v>10462</v>
      </c>
      <c r="C444" t="s">
        <v>8373</v>
      </c>
      <c r="D444" t="s">
        <v>8244</v>
      </c>
      <c r="E444" s="225">
        <v>151.19999999999999</v>
      </c>
      <c r="F444" t="s">
        <v>8413</v>
      </c>
      <c r="G444" t="s">
        <v>8414</v>
      </c>
      <c r="H444" t="s">
        <v>2434</v>
      </c>
      <c r="I444" s="99">
        <v>43728</v>
      </c>
      <c r="J444" s="99">
        <v>43743</v>
      </c>
      <c r="K444" t="s">
        <v>8297</v>
      </c>
      <c r="L444" t="s">
        <v>8298</v>
      </c>
    </row>
    <row r="445" spans="2:12" x14ac:dyDescent="0.2">
      <c r="B445">
        <v>10463</v>
      </c>
      <c r="C445" t="s">
        <v>8327</v>
      </c>
      <c r="D445" t="s">
        <v>8262</v>
      </c>
      <c r="E445" s="225">
        <v>153.30000000000001</v>
      </c>
      <c r="F445" t="s">
        <v>8263</v>
      </c>
      <c r="G445" t="s">
        <v>8264</v>
      </c>
      <c r="H445" t="s">
        <v>8261</v>
      </c>
      <c r="I445" s="99">
        <v>43729</v>
      </c>
      <c r="J445" s="99">
        <v>43731</v>
      </c>
      <c r="K445" t="s">
        <v>8241</v>
      </c>
      <c r="L445" t="s">
        <v>6934</v>
      </c>
    </row>
    <row r="446" spans="2:12" x14ac:dyDescent="0.2">
      <c r="B446">
        <v>10463</v>
      </c>
      <c r="C446" t="s">
        <v>8243</v>
      </c>
      <c r="D446" t="s">
        <v>8244</v>
      </c>
      <c r="E446" s="225">
        <v>560</v>
      </c>
      <c r="F446" t="s">
        <v>8263</v>
      </c>
      <c r="G446" t="s">
        <v>8264</v>
      </c>
      <c r="H446" t="s">
        <v>8261</v>
      </c>
      <c r="I446" s="99">
        <v>43729</v>
      </c>
      <c r="J446" s="99">
        <v>43731</v>
      </c>
      <c r="K446" t="s">
        <v>8241</v>
      </c>
      <c r="L446" t="s">
        <v>6934</v>
      </c>
    </row>
    <row r="447" spans="2:12" x14ac:dyDescent="0.2">
      <c r="B447">
        <v>10464</v>
      </c>
      <c r="C447" t="s">
        <v>8306</v>
      </c>
      <c r="D447" t="s">
        <v>8272</v>
      </c>
      <c r="E447" s="225">
        <v>110.4</v>
      </c>
      <c r="F447" t="s">
        <v>8366</v>
      </c>
      <c r="G447" t="s">
        <v>8367</v>
      </c>
      <c r="H447" t="s">
        <v>8365</v>
      </c>
      <c r="I447" s="99">
        <v>43729</v>
      </c>
      <c r="J447" s="99">
        <v>43739</v>
      </c>
      <c r="K447" t="s">
        <v>8266</v>
      </c>
      <c r="L447" t="s">
        <v>8267</v>
      </c>
    </row>
    <row r="448" spans="2:12" x14ac:dyDescent="0.2">
      <c r="B448">
        <v>10464</v>
      </c>
      <c r="C448" t="s">
        <v>8352</v>
      </c>
      <c r="D448" t="s">
        <v>8254</v>
      </c>
      <c r="E448" s="225">
        <v>225.28</v>
      </c>
      <c r="F448" t="s">
        <v>8366</v>
      </c>
      <c r="G448" t="s">
        <v>8367</v>
      </c>
      <c r="H448" t="s">
        <v>8365</v>
      </c>
      <c r="I448" s="99">
        <v>43729</v>
      </c>
      <c r="J448" s="99">
        <v>43739</v>
      </c>
      <c r="K448" t="s">
        <v>8266</v>
      </c>
      <c r="L448" t="s">
        <v>8267</v>
      </c>
    </row>
    <row r="449" spans="2:12" x14ac:dyDescent="0.2">
      <c r="B449">
        <v>10464</v>
      </c>
      <c r="C449" t="s">
        <v>8268</v>
      </c>
      <c r="D449" t="s">
        <v>8237</v>
      </c>
      <c r="E449" s="225">
        <v>544</v>
      </c>
      <c r="F449" t="s">
        <v>8366</v>
      </c>
      <c r="G449" t="s">
        <v>8367</v>
      </c>
      <c r="H449" t="s">
        <v>8365</v>
      </c>
      <c r="I449" s="99">
        <v>43729</v>
      </c>
      <c r="J449" s="99">
        <v>43739</v>
      </c>
      <c r="K449" t="s">
        <v>8266</v>
      </c>
      <c r="L449" t="s">
        <v>8267</v>
      </c>
    </row>
    <row r="450" spans="2:12" x14ac:dyDescent="0.2">
      <c r="B450">
        <v>10464</v>
      </c>
      <c r="C450" t="s">
        <v>8341</v>
      </c>
      <c r="D450" t="s">
        <v>8244</v>
      </c>
      <c r="E450" s="225">
        <v>729.6</v>
      </c>
      <c r="F450" t="s">
        <v>8366</v>
      </c>
      <c r="G450" t="s">
        <v>8367</v>
      </c>
      <c r="H450" t="s">
        <v>8365</v>
      </c>
      <c r="I450" s="99">
        <v>43729</v>
      </c>
      <c r="J450" s="99">
        <v>43739</v>
      </c>
      <c r="K450" t="s">
        <v>8266</v>
      </c>
      <c r="L450" t="s">
        <v>8267</v>
      </c>
    </row>
    <row r="451" spans="2:12" x14ac:dyDescent="0.2">
      <c r="B451">
        <v>10465</v>
      </c>
      <c r="C451" t="s">
        <v>8270</v>
      </c>
      <c r="D451" t="s">
        <v>8272</v>
      </c>
      <c r="E451" s="225">
        <v>90</v>
      </c>
      <c r="F451" t="s">
        <v>8395</v>
      </c>
      <c r="G451" t="s">
        <v>8396</v>
      </c>
      <c r="H451" t="s">
        <v>8374</v>
      </c>
      <c r="I451" s="99">
        <v>43730</v>
      </c>
      <c r="J451" s="99">
        <v>43739</v>
      </c>
      <c r="K451" t="s">
        <v>8285</v>
      </c>
      <c r="L451" t="s">
        <v>2317</v>
      </c>
    </row>
    <row r="452" spans="2:12" x14ac:dyDescent="0.2">
      <c r="B452">
        <v>10465</v>
      </c>
      <c r="C452" t="s">
        <v>8381</v>
      </c>
      <c r="D452" t="s">
        <v>8262</v>
      </c>
      <c r="E452" s="225">
        <v>325</v>
      </c>
      <c r="F452" t="s">
        <v>8395</v>
      </c>
      <c r="G452" t="s">
        <v>8396</v>
      </c>
      <c r="H452" t="s">
        <v>8374</v>
      </c>
      <c r="I452" s="99">
        <v>43730</v>
      </c>
      <c r="J452" s="99">
        <v>43739</v>
      </c>
      <c r="K452" t="s">
        <v>8285</v>
      </c>
      <c r="L452" t="s">
        <v>2317</v>
      </c>
    </row>
    <row r="453" spans="2:12" x14ac:dyDescent="0.2">
      <c r="B453">
        <v>10466</v>
      </c>
      <c r="C453" t="s">
        <v>8242</v>
      </c>
      <c r="D453" t="s">
        <v>8237</v>
      </c>
      <c r="E453" s="225">
        <v>168</v>
      </c>
      <c r="F453" t="s">
        <v>8748</v>
      </c>
      <c r="G453" t="s">
        <v>8747</v>
      </c>
      <c r="H453" t="s">
        <v>8710</v>
      </c>
      <c r="I453" s="99">
        <v>43731</v>
      </c>
      <c r="J453" s="99">
        <v>43738</v>
      </c>
      <c r="K453" t="s">
        <v>8266</v>
      </c>
      <c r="L453" t="s">
        <v>8267</v>
      </c>
    </row>
    <row r="454" spans="2:12" x14ac:dyDescent="0.2">
      <c r="B454">
        <v>10467</v>
      </c>
      <c r="C454" t="s">
        <v>8270</v>
      </c>
      <c r="D454" t="s">
        <v>8272</v>
      </c>
      <c r="E454" s="225">
        <v>100.8</v>
      </c>
      <c r="F454" t="s">
        <v>8312</v>
      </c>
      <c r="G454" t="s">
        <v>8313</v>
      </c>
      <c r="H454" t="s">
        <v>8311</v>
      </c>
      <c r="I454" s="99">
        <v>43731</v>
      </c>
      <c r="J454" s="99">
        <v>43736</v>
      </c>
      <c r="K454" t="s">
        <v>8320</v>
      </c>
      <c r="L454" t="s">
        <v>8321</v>
      </c>
    </row>
    <row r="455" spans="2:12" x14ac:dyDescent="0.2">
      <c r="B455">
        <v>10467</v>
      </c>
      <c r="C455" t="s">
        <v>8362</v>
      </c>
      <c r="D455" t="s">
        <v>8262</v>
      </c>
      <c r="E455" s="225">
        <v>134.4</v>
      </c>
      <c r="F455" t="s">
        <v>8312</v>
      </c>
      <c r="G455" t="s">
        <v>8313</v>
      </c>
      <c r="H455" t="s">
        <v>8311</v>
      </c>
      <c r="I455" s="99">
        <v>43731</v>
      </c>
      <c r="J455" s="99">
        <v>43736</v>
      </c>
      <c r="K455" t="s">
        <v>8320</v>
      </c>
      <c r="L455" t="s">
        <v>8321</v>
      </c>
    </row>
    <row r="456" spans="2:12" x14ac:dyDescent="0.2">
      <c r="B456">
        <v>10468</v>
      </c>
      <c r="C456" t="s">
        <v>8306</v>
      </c>
      <c r="D456" t="s">
        <v>8272</v>
      </c>
      <c r="E456" s="225">
        <v>552</v>
      </c>
      <c r="F456" t="s">
        <v>8359</v>
      </c>
      <c r="G456" t="s">
        <v>8360</v>
      </c>
      <c r="H456" t="s">
        <v>8246</v>
      </c>
      <c r="I456" s="99">
        <v>43732</v>
      </c>
      <c r="J456" s="99">
        <v>43737</v>
      </c>
      <c r="K456" t="s">
        <v>8257</v>
      </c>
      <c r="L456" t="s">
        <v>6984</v>
      </c>
    </row>
    <row r="457" spans="2:12" x14ac:dyDescent="0.2">
      <c r="B457">
        <v>10469</v>
      </c>
      <c r="C457" t="s">
        <v>8276</v>
      </c>
      <c r="D457" t="s">
        <v>8272</v>
      </c>
      <c r="E457" s="225">
        <v>516.79999999999995</v>
      </c>
      <c r="F457" t="s">
        <v>8740</v>
      </c>
      <c r="G457" t="s">
        <v>8739</v>
      </c>
      <c r="H457" t="s">
        <v>8701</v>
      </c>
      <c r="I457" s="99">
        <v>43735</v>
      </c>
      <c r="J457" s="99">
        <v>43739</v>
      </c>
      <c r="K457" t="s">
        <v>8285</v>
      </c>
      <c r="L457" t="s">
        <v>2317</v>
      </c>
    </row>
    <row r="458" spans="2:12" x14ac:dyDescent="0.2">
      <c r="B458">
        <v>10469</v>
      </c>
      <c r="C458" t="s">
        <v>8322</v>
      </c>
      <c r="D458" t="s">
        <v>8254</v>
      </c>
      <c r="E458" s="225">
        <v>26.35</v>
      </c>
      <c r="F458" t="s">
        <v>8740</v>
      </c>
      <c r="G458" t="s">
        <v>8739</v>
      </c>
      <c r="H458" t="s">
        <v>8701</v>
      </c>
      <c r="I458" s="99">
        <v>43735</v>
      </c>
      <c r="J458" s="99">
        <v>43739</v>
      </c>
      <c r="K458" t="s">
        <v>8285</v>
      </c>
      <c r="L458" t="s">
        <v>2317</v>
      </c>
    </row>
    <row r="459" spans="2:12" x14ac:dyDescent="0.2">
      <c r="B459">
        <v>10469</v>
      </c>
      <c r="C459" t="s">
        <v>8280</v>
      </c>
      <c r="D459" t="s">
        <v>8262</v>
      </c>
      <c r="E459" s="225">
        <v>413.52</v>
      </c>
      <c r="F459" t="s">
        <v>8740</v>
      </c>
      <c r="G459" t="s">
        <v>8739</v>
      </c>
      <c r="H459" t="s">
        <v>8701</v>
      </c>
      <c r="I459" s="99">
        <v>43735</v>
      </c>
      <c r="J459" s="99">
        <v>43739</v>
      </c>
      <c r="K459" t="s">
        <v>8285</v>
      </c>
      <c r="L459" t="s">
        <v>2317</v>
      </c>
    </row>
    <row r="460" spans="2:12" x14ac:dyDescent="0.2">
      <c r="B460">
        <v>10470</v>
      </c>
      <c r="C460" t="s">
        <v>8373</v>
      </c>
      <c r="D460" t="s">
        <v>8244</v>
      </c>
      <c r="E460" s="225">
        <v>108</v>
      </c>
      <c r="F460" t="s">
        <v>8377</v>
      </c>
      <c r="G460" t="s">
        <v>8378</v>
      </c>
      <c r="H460" t="s">
        <v>8236</v>
      </c>
      <c r="I460" s="99">
        <v>43736</v>
      </c>
      <c r="J460" s="99">
        <v>43739</v>
      </c>
      <c r="K460" t="s">
        <v>8266</v>
      </c>
      <c r="L460" t="s">
        <v>8267</v>
      </c>
    </row>
    <row r="461" spans="2:12" x14ac:dyDescent="0.2">
      <c r="B461">
        <v>10470</v>
      </c>
      <c r="C461" t="s">
        <v>8340</v>
      </c>
      <c r="D461" t="s">
        <v>8244</v>
      </c>
      <c r="E461" s="225">
        <v>212.8</v>
      </c>
      <c r="F461" t="s">
        <v>8377</v>
      </c>
      <c r="G461" t="s">
        <v>8378</v>
      </c>
      <c r="H461" t="s">
        <v>8236</v>
      </c>
      <c r="I461" s="99">
        <v>43736</v>
      </c>
      <c r="J461" s="99">
        <v>43739</v>
      </c>
      <c r="K461" t="s">
        <v>8266</v>
      </c>
      <c r="L461" t="s">
        <v>8267</v>
      </c>
    </row>
    <row r="462" spans="2:12" x14ac:dyDescent="0.2">
      <c r="B462">
        <v>10471</v>
      </c>
      <c r="C462" t="s">
        <v>8341</v>
      </c>
      <c r="D462" t="s">
        <v>8244</v>
      </c>
      <c r="E462" s="225">
        <v>608</v>
      </c>
      <c r="F462" t="s">
        <v>8338</v>
      </c>
      <c r="G462" t="s">
        <v>8339</v>
      </c>
      <c r="H462" t="s">
        <v>2434</v>
      </c>
      <c r="I462" s="99">
        <v>43736</v>
      </c>
      <c r="J462" s="99">
        <v>43743</v>
      </c>
      <c r="K462" t="s">
        <v>8297</v>
      </c>
      <c r="L462" t="s">
        <v>8298</v>
      </c>
    </row>
    <row r="463" spans="2:12" x14ac:dyDescent="0.2">
      <c r="B463">
        <v>10471</v>
      </c>
      <c r="C463" t="s">
        <v>8415</v>
      </c>
      <c r="D463" t="s">
        <v>8247</v>
      </c>
      <c r="E463" s="225">
        <v>720</v>
      </c>
      <c r="F463" t="s">
        <v>8338</v>
      </c>
      <c r="G463" t="s">
        <v>8339</v>
      </c>
      <c r="H463" t="s">
        <v>2434</v>
      </c>
      <c r="I463" s="99">
        <v>43736</v>
      </c>
      <c r="J463" s="99">
        <v>43743</v>
      </c>
      <c r="K463" t="s">
        <v>8297</v>
      </c>
      <c r="L463" t="s">
        <v>8298</v>
      </c>
    </row>
    <row r="464" spans="2:12" x14ac:dyDescent="0.2">
      <c r="B464">
        <v>10472</v>
      </c>
      <c r="C464" t="s">
        <v>8270</v>
      </c>
      <c r="D464" t="s">
        <v>8272</v>
      </c>
      <c r="E464" s="225">
        <v>273.60000000000002</v>
      </c>
      <c r="F464" t="s">
        <v>8388</v>
      </c>
      <c r="G464" t="s">
        <v>8389</v>
      </c>
      <c r="H464" t="s">
        <v>2434</v>
      </c>
      <c r="I464" s="99">
        <v>43737</v>
      </c>
      <c r="J464" s="99">
        <v>43744</v>
      </c>
      <c r="K464" t="s">
        <v>8320</v>
      </c>
      <c r="L464" t="s">
        <v>8321</v>
      </c>
    </row>
    <row r="465" spans="2:12" x14ac:dyDescent="0.2">
      <c r="B465">
        <v>10472</v>
      </c>
      <c r="C465" t="s">
        <v>8245</v>
      </c>
      <c r="D465" t="s">
        <v>8247</v>
      </c>
      <c r="E465" s="225">
        <v>763.2</v>
      </c>
      <c r="F465" t="s">
        <v>8388</v>
      </c>
      <c r="G465" t="s">
        <v>8389</v>
      </c>
      <c r="H465" t="s">
        <v>2434</v>
      </c>
      <c r="I465" s="99">
        <v>43737</v>
      </c>
      <c r="J465" s="99">
        <v>43744</v>
      </c>
      <c r="K465" t="s">
        <v>8320</v>
      </c>
      <c r="L465" t="s">
        <v>8321</v>
      </c>
    </row>
    <row r="466" spans="2:12" x14ac:dyDescent="0.2">
      <c r="B466">
        <v>10473</v>
      </c>
      <c r="C466" t="s">
        <v>8269</v>
      </c>
      <c r="D466" t="s">
        <v>8237</v>
      </c>
      <c r="E466" s="225">
        <v>24</v>
      </c>
      <c r="F466" t="s">
        <v>8356</v>
      </c>
      <c r="G466" t="s">
        <v>8357</v>
      </c>
      <c r="H466" t="s">
        <v>2434</v>
      </c>
      <c r="I466" s="99">
        <v>43738</v>
      </c>
      <c r="J466" s="99">
        <v>43746</v>
      </c>
      <c r="K466" t="s">
        <v>8285</v>
      </c>
      <c r="L466" t="s">
        <v>2317</v>
      </c>
    </row>
    <row r="467" spans="2:12" x14ac:dyDescent="0.2">
      <c r="B467">
        <v>10473</v>
      </c>
      <c r="C467" t="s">
        <v>8310</v>
      </c>
      <c r="D467" t="s">
        <v>8237</v>
      </c>
      <c r="E467" s="225">
        <v>206.4</v>
      </c>
      <c r="F467" t="s">
        <v>8356</v>
      </c>
      <c r="G467" t="s">
        <v>8357</v>
      </c>
      <c r="H467" t="s">
        <v>2434</v>
      </c>
      <c r="I467" s="99">
        <v>43738</v>
      </c>
      <c r="J467" s="99">
        <v>43746</v>
      </c>
      <c r="K467" t="s">
        <v>8285</v>
      </c>
      <c r="L467" t="s">
        <v>2317</v>
      </c>
    </row>
    <row r="468" spans="2:12" x14ac:dyDescent="0.2">
      <c r="B468">
        <v>10474</v>
      </c>
      <c r="C468" t="s">
        <v>8328</v>
      </c>
      <c r="D468" t="s">
        <v>8272</v>
      </c>
      <c r="E468" s="225">
        <v>62</v>
      </c>
      <c r="F468" t="s">
        <v>8706</v>
      </c>
      <c r="G468" t="s">
        <v>8705</v>
      </c>
      <c r="H468" t="s">
        <v>8704</v>
      </c>
      <c r="I468" s="99">
        <v>43738</v>
      </c>
      <c r="J468" s="99">
        <v>43746</v>
      </c>
      <c r="K468" t="s">
        <v>8241</v>
      </c>
      <c r="L468" t="s">
        <v>6934</v>
      </c>
    </row>
    <row r="469" spans="2:12" x14ac:dyDescent="0.2">
      <c r="B469">
        <v>10474</v>
      </c>
      <c r="C469" t="s">
        <v>8252</v>
      </c>
      <c r="D469" t="s">
        <v>8247</v>
      </c>
      <c r="E469" s="225">
        <v>223.2</v>
      </c>
      <c r="F469" t="s">
        <v>8706</v>
      </c>
      <c r="G469" t="s">
        <v>8705</v>
      </c>
      <c r="H469" t="s">
        <v>8704</v>
      </c>
      <c r="I469" s="99">
        <v>43738</v>
      </c>
      <c r="J469" s="99">
        <v>43746</v>
      </c>
      <c r="K469" t="s">
        <v>8241</v>
      </c>
      <c r="L469" t="s">
        <v>6934</v>
      </c>
    </row>
    <row r="470" spans="2:12" x14ac:dyDescent="0.2">
      <c r="B470">
        <v>10474</v>
      </c>
      <c r="C470" t="s">
        <v>8316</v>
      </c>
      <c r="D470" t="s">
        <v>8247</v>
      </c>
      <c r="E470" s="225">
        <v>655.20000000000005</v>
      </c>
      <c r="F470" t="s">
        <v>8706</v>
      </c>
      <c r="G470" t="s">
        <v>8705</v>
      </c>
      <c r="H470" t="s">
        <v>8704</v>
      </c>
      <c r="I470" s="99">
        <v>43738</v>
      </c>
      <c r="J470" s="99">
        <v>43746</v>
      </c>
      <c r="K470" t="s">
        <v>8241</v>
      </c>
      <c r="L470" t="s">
        <v>6934</v>
      </c>
    </row>
    <row r="471" spans="2:12" x14ac:dyDescent="0.2">
      <c r="B471">
        <v>10475</v>
      </c>
      <c r="C471" t="s">
        <v>8303</v>
      </c>
      <c r="D471" t="s">
        <v>8272</v>
      </c>
      <c r="E471" s="225">
        <v>514.08000000000004</v>
      </c>
      <c r="F471" t="s">
        <v>8263</v>
      </c>
      <c r="G471" t="s">
        <v>8264</v>
      </c>
      <c r="H471" t="s">
        <v>8261</v>
      </c>
      <c r="I471" s="99">
        <v>43739</v>
      </c>
      <c r="J471" s="99">
        <v>43760</v>
      </c>
      <c r="K471" t="s">
        <v>8279</v>
      </c>
      <c r="L471" t="s">
        <v>710</v>
      </c>
    </row>
    <row r="472" spans="2:12" x14ac:dyDescent="0.2">
      <c r="B472">
        <v>10475</v>
      </c>
      <c r="C472" t="s">
        <v>8348</v>
      </c>
      <c r="D472" t="s">
        <v>8254</v>
      </c>
      <c r="E472" s="225">
        <v>693.6</v>
      </c>
      <c r="F472" t="s">
        <v>8263</v>
      </c>
      <c r="G472" t="s">
        <v>8264</v>
      </c>
      <c r="H472" t="s">
        <v>8261</v>
      </c>
      <c r="I472" s="99">
        <v>43739</v>
      </c>
      <c r="J472" s="99">
        <v>43760</v>
      </c>
      <c r="K472" t="s">
        <v>8279</v>
      </c>
      <c r="L472" t="s">
        <v>710</v>
      </c>
    </row>
    <row r="473" spans="2:12" x14ac:dyDescent="0.2">
      <c r="B473">
        <v>10475</v>
      </c>
      <c r="C473" t="s">
        <v>8309</v>
      </c>
      <c r="D473" t="s">
        <v>8237</v>
      </c>
      <c r="E473" s="225">
        <v>297.5</v>
      </c>
      <c r="F473" t="s">
        <v>8263</v>
      </c>
      <c r="G473" t="s">
        <v>8264</v>
      </c>
      <c r="H473" t="s">
        <v>8261</v>
      </c>
      <c r="I473" s="99">
        <v>43739</v>
      </c>
      <c r="J473" s="99">
        <v>43760</v>
      </c>
      <c r="K473" t="s">
        <v>8279</v>
      </c>
      <c r="L473" t="s">
        <v>710</v>
      </c>
    </row>
    <row r="474" spans="2:12" x14ac:dyDescent="0.2">
      <c r="B474">
        <v>10476</v>
      </c>
      <c r="C474" t="s">
        <v>8288</v>
      </c>
      <c r="D474" t="s">
        <v>8272</v>
      </c>
      <c r="E474" s="225">
        <v>144</v>
      </c>
      <c r="F474" t="s">
        <v>8732</v>
      </c>
      <c r="G474" t="s">
        <v>8731</v>
      </c>
      <c r="H474" t="s">
        <v>8707</v>
      </c>
      <c r="I474" s="99">
        <v>43742</v>
      </c>
      <c r="J474" s="99">
        <v>43749</v>
      </c>
      <c r="K474" t="s">
        <v>8320</v>
      </c>
      <c r="L474" t="s">
        <v>8321</v>
      </c>
    </row>
    <row r="475" spans="2:12" x14ac:dyDescent="0.2">
      <c r="B475">
        <v>10477</v>
      </c>
      <c r="C475" t="s">
        <v>8333</v>
      </c>
      <c r="D475" t="s">
        <v>8272</v>
      </c>
      <c r="E475" s="225">
        <v>216</v>
      </c>
      <c r="F475" t="s">
        <v>8370</v>
      </c>
      <c r="G475" t="s">
        <v>8371</v>
      </c>
      <c r="H475" t="s">
        <v>8365</v>
      </c>
      <c r="I475" s="99">
        <v>43742</v>
      </c>
      <c r="J475" s="99">
        <v>43750</v>
      </c>
      <c r="K475" t="s">
        <v>8241</v>
      </c>
      <c r="L475" t="s">
        <v>6934</v>
      </c>
    </row>
    <row r="476" spans="2:12" x14ac:dyDescent="0.2">
      <c r="B476">
        <v>10477</v>
      </c>
      <c r="C476" t="s">
        <v>8342</v>
      </c>
      <c r="D476" t="s">
        <v>8272</v>
      </c>
      <c r="E476" s="225">
        <v>216</v>
      </c>
      <c r="F476" t="s">
        <v>8370</v>
      </c>
      <c r="G476" t="s">
        <v>8371</v>
      </c>
      <c r="H476" t="s">
        <v>8365</v>
      </c>
      <c r="I476" s="99">
        <v>43742</v>
      </c>
      <c r="J476" s="99">
        <v>43750</v>
      </c>
      <c r="K476" t="s">
        <v>8241</v>
      </c>
      <c r="L476" t="s">
        <v>6934</v>
      </c>
    </row>
    <row r="477" spans="2:12" x14ac:dyDescent="0.2">
      <c r="B477">
        <v>10477</v>
      </c>
      <c r="C477" t="s">
        <v>8368</v>
      </c>
      <c r="D477" t="s">
        <v>8262</v>
      </c>
      <c r="E477" s="225">
        <v>126</v>
      </c>
      <c r="F477" t="s">
        <v>8370</v>
      </c>
      <c r="G477" t="s">
        <v>8371</v>
      </c>
      <c r="H477" t="s">
        <v>8365</v>
      </c>
      <c r="I477" s="99">
        <v>43742</v>
      </c>
      <c r="J477" s="99">
        <v>43750</v>
      </c>
      <c r="K477" t="s">
        <v>8241</v>
      </c>
      <c r="L477" t="s">
        <v>6934</v>
      </c>
    </row>
    <row r="478" spans="2:12" x14ac:dyDescent="0.2">
      <c r="B478">
        <v>10479</v>
      </c>
      <c r="C478" t="s">
        <v>8380</v>
      </c>
      <c r="D478" t="s">
        <v>8272</v>
      </c>
      <c r="E478" s="225">
        <v>6324</v>
      </c>
      <c r="F478" t="s">
        <v>8703</v>
      </c>
      <c r="G478" t="s">
        <v>8702</v>
      </c>
      <c r="H478" t="s">
        <v>8701</v>
      </c>
      <c r="I478" s="99">
        <v>43744</v>
      </c>
      <c r="J478" s="99">
        <v>43746</v>
      </c>
      <c r="K478" t="s">
        <v>8257</v>
      </c>
      <c r="L478" t="s">
        <v>6984</v>
      </c>
    </row>
    <row r="479" spans="2:12" x14ac:dyDescent="0.2">
      <c r="B479">
        <v>10479</v>
      </c>
      <c r="C479" t="s">
        <v>8281</v>
      </c>
      <c r="D479" t="s">
        <v>8237</v>
      </c>
      <c r="E479" s="225">
        <v>2640</v>
      </c>
      <c r="F479" t="s">
        <v>8703</v>
      </c>
      <c r="G479" t="s">
        <v>8702</v>
      </c>
      <c r="H479" t="s">
        <v>8701</v>
      </c>
      <c r="I479" s="99">
        <v>43744</v>
      </c>
      <c r="J479" s="99">
        <v>43746</v>
      </c>
      <c r="K479" t="s">
        <v>8257</v>
      </c>
      <c r="L479" t="s">
        <v>6984</v>
      </c>
    </row>
    <row r="480" spans="2:12" x14ac:dyDescent="0.2">
      <c r="B480">
        <v>10479</v>
      </c>
      <c r="C480" t="s">
        <v>8340</v>
      </c>
      <c r="D480" t="s">
        <v>8244</v>
      </c>
      <c r="E480" s="225">
        <v>798</v>
      </c>
      <c r="F480" t="s">
        <v>8703</v>
      </c>
      <c r="G480" t="s">
        <v>8702</v>
      </c>
      <c r="H480" t="s">
        <v>8701</v>
      </c>
      <c r="I480" s="99">
        <v>43744</v>
      </c>
      <c r="J480" s="99">
        <v>43746</v>
      </c>
      <c r="K480" t="s">
        <v>8257</v>
      </c>
      <c r="L480" t="s">
        <v>6984</v>
      </c>
    </row>
    <row r="481" spans="2:12" x14ac:dyDescent="0.2">
      <c r="B481">
        <v>10480</v>
      </c>
      <c r="C481" t="s">
        <v>8410</v>
      </c>
      <c r="D481" t="s">
        <v>8262</v>
      </c>
      <c r="E481" s="225">
        <v>228</v>
      </c>
      <c r="F481" t="s">
        <v>8407</v>
      </c>
      <c r="G481" t="s">
        <v>8408</v>
      </c>
      <c r="H481" t="s">
        <v>8236</v>
      </c>
      <c r="I481" s="99">
        <v>43745</v>
      </c>
      <c r="J481" s="99">
        <v>43749</v>
      </c>
      <c r="K481" t="s">
        <v>8251</v>
      </c>
      <c r="L481" t="s">
        <v>269</v>
      </c>
    </row>
    <row r="482" spans="2:12" x14ac:dyDescent="0.2">
      <c r="B482">
        <v>10480</v>
      </c>
      <c r="C482" t="s">
        <v>8281</v>
      </c>
      <c r="D482" t="s">
        <v>8237</v>
      </c>
      <c r="E482" s="225">
        <v>528</v>
      </c>
      <c r="F482" t="s">
        <v>8407</v>
      </c>
      <c r="G482" t="s">
        <v>8408</v>
      </c>
      <c r="H482" t="s">
        <v>8236</v>
      </c>
      <c r="I482" s="99">
        <v>43745</v>
      </c>
      <c r="J482" s="99">
        <v>43749</v>
      </c>
      <c r="K482" t="s">
        <v>8251</v>
      </c>
      <c r="L482" t="s">
        <v>269</v>
      </c>
    </row>
    <row r="483" spans="2:12" x14ac:dyDescent="0.2">
      <c r="B483">
        <v>10481</v>
      </c>
      <c r="C483" t="s">
        <v>8390</v>
      </c>
      <c r="D483" t="s">
        <v>8262</v>
      </c>
      <c r="E483" s="225">
        <v>384</v>
      </c>
      <c r="F483" t="s">
        <v>8716</v>
      </c>
      <c r="G483" t="s">
        <v>8715</v>
      </c>
      <c r="H483" t="s">
        <v>8710</v>
      </c>
      <c r="I483" s="99">
        <v>43745</v>
      </c>
      <c r="J483" s="99">
        <v>43750</v>
      </c>
      <c r="K483" t="s">
        <v>8320</v>
      </c>
      <c r="L483" t="s">
        <v>8321</v>
      </c>
    </row>
    <row r="484" spans="2:12" x14ac:dyDescent="0.2">
      <c r="B484">
        <v>10481</v>
      </c>
      <c r="C484" t="s">
        <v>8268</v>
      </c>
      <c r="D484" t="s">
        <v>8237</v>
      </c>
      <c r="E484" s="225">
        <v>1088</v>
      </c>
      <c r="F484" t="s">
        <v>8716</v>
      </c>
      <c r="G484" t="s">
        <v>8715</v>
      </c>
      <c r="H484" t="s">
        <v>8710</v>
      </c>
      <c r="I484" s="99">
        <v>43745</v>
      </c>
      <c r="J484" s="99">
        <v>43750</v>
      </c>
      <c r="K484" t="s">
        <v>8320</v>
      </c>
      <c r="L484" t="s">
        <v>8321</v>
      </c>
    </row>
    <row r="485" spans="2:12" x14ac:dyDescent="0.2">
      <c r="B485">
        <v>10483</v>
      </c>
      <c r="C485" t="s">
        <v>8358</v>
      </c>
      <c r="D485" t="s">
        <v>8272</v>
      </c>
      <c r="E485" s="225">
        <v>372.4</v>
      </c>
      <c r="F485" t="s">
        <v>8740</v>
      </c>
      <c r="G485" t="s">
        <v>8739</v>
      </c>
      <c r="H485" t="s">
        <v>8701</v>
      </c>
      <c r="I485" s="99">
        <v>43749</v>
      </c>
      <c r="J485" s="99">
        <v>43781</v>
      </c>
      <c r="K485" t="s">
        <v>8158</v>
      </c>
      <c r="L485" t="s">
        <v>861</v>
      </c>
    </row>
    <row r="486" spans="2:12" x14ac:dyDescent="0.2">
      <c r="B486">
        <v>10483</v>
      </c>
      <c r="C486" t="s">
        <v>8397</v>
      </c>
      <c r="D486" t="s">
        <v>8254</v>
      </c>
      <c r="E486" s="225">
        <v>296.39999999999998</v>
      </c>
      <c r="F486" t="s">
        <v>8740</v>
      </c>
      <c r="G486" t="s">
        <v>8739</v>
      </c>
      <c r="H486" t="s">
        <v>8701</v>
      </c>
      <c r="I486" s="99">
        <v>43749</v>
      </c>
      <c r="J486" s="99">
        <v>43781</v>
      </c>
      <c r="K486" t="s">
        <v>8158</v>
      </c>
      <c r="L486" t="s">
        <v>861</v>
      </c>
    </row>
    <row r="487" spans="2:12" x14ac:dyDescent="0.2">
      <c r="B487">
        <v>10484</v>
      </c>
      <c r="C487" t="s">
        <v>8368</v>
      </c>
      <c r="D487" t="s">
        <v>8262</v>
      </c>
      <c r="E487" s="225">
        <v>112</v>
      </c>
      <c r="F487" t="s">
        <v>8338</v>
      </c>
      <c r="G487" t="s">
        <v>8339</v>
      </c>
      <c r="H487" t="s">
        <v>2434</v>
      </c>
      <c r="I487" s="99">
        <v>43749</v>
      </c>
      <c r="J487" s="99">
        <v>43757</v>
      </c>
      <c r="K487" t="s">
        <v>8257</v>
      </c>
      <c r="L487" t="s">
        <v>6984</v>
      </c>
    </row>
    <row r="488" spans="2:12" x14ac:dyDescent="0.2">
      <c r="B488">
        <v>10484</v>
      </c>
      <c r="C488" t="s">
        <v>8245</v>
      </c>
      <c r="D488" t="s">
        <v>8247</v>
      </c>
      <c r="E488" s="225">
        <v>127.2</v>
      </c>
      <c r="F488" t="s">
        <v>8338</v>
      </c>
      <c r="G488" t="s">
        <v>8339</v>
      </c>
      <c r="H488" t="s">
        <v>2434</v>
      </c>
      <c r="I488" s="99">
        <v>43749</v>
      </c>
      <c r="J488" s="99">
        <v>43757</v>
      </c>
      <c r="K488" t="s">
        <v>8257</v>
      </c>
      <c r="L488" t="s">
        <v>6984</v>
      </c>
    </row>
    <row r="489" spans="2:12" x14ac:dyDescent="0.2">
      <c r="B489">
        <v>10485</v>
      </c>
      <c r="C489" t="s">
        <v>8276</v>
      </c>
      <c r="D489" t="s">
        <v>8272</v>
      </c>
      <c r="E489" s="225">
        <v>273.60000000000002</v>
      </c>
      <c r="F489" t="s">
        <v>8724</v>
      </c>
      <c r="G489" t="s">
        <v>8723</v>
      </c>
      <c r="H489" t="s">
        <v>8707</v>
      </c>
      <c r="I489" s="99">
        <v>43750</v>
      </c>
      <c r="J489" s="99">
        <v>43756</v>
      </c>
      <c r="K489" t="s">
        <v>8266</v>
      </c>
      <c r="L489" t="s">
        <v>8267</v>
      </c>
    </row>
    <row r="490" spans="2:12" x14ac:dyDescent="0.2">
      <c r="B490">
        <v>10485</v>
      </c>
      <c r="C490" t="s">
        <v>8288</v>
      </c>
      <c r="D490" t="s">
        <v>8272</v>
      </c>
      <c r="E490" s="225">
        <v>648</v>
      </c>
      <c r="F490" t="s">
        <v>8724</v>
      </c>
      <c r="G490" t="s">
        <v>8723</v>
      </c>
      <c r="H490" t="s">
        <v>8707</v>
      </c>
      <c r="I490" s="99">
        <v>43750</v>
      </c>
      <c r="J490" s="99">
        <v>43756</v>
      </c>
      <c r="K490" t="s">
        <v>8266</v>
      </c>
      <c r="L490" t="s">
        <v>8267</v>
      </c>
    </row>
    <row r="491" spans="2:12" x14ac:dyDescent="0.2">
      <c r="B491">
        <v>10485</v>
      </c>
      <c r="C491" t="s">
        <v>8337</v>
      </c>
      <c r="D491" t="s">
        <v>8254</v>
      </c>
      <c r="E491" s="225">
        <v>144</v>
      </c>
      <c r="F491" t="s">
        <v>8724</v>
      </c>
      <c r="G491" t="s">
        <v>8723</v>
      </c>
      <c r="H491" t="s">
        <v>8707</v>
      </c>
      <c r="I491" s="99">
        <v>43750</v>
      </c>
      <c r="J491" s="99">
        <v>43756</v>
      </c>
      <c r="K491" t="s">
        <v>8266</v>
      </c>
      <c r="L491" t="s">
        <v>8267</v>
      </c>
    </row>
    <row r="492" spans="2:12" x14ac:dyDescent="0.2">
      <c r="B492">
        <v>10486</v>
      </c>
      <c r="C492" t="s">
        <v>8242</v>
      </c>
      <c r="D492" t="s">
        <v>8237</v>
      </c>
      <c r="E492" s="225">
        <v>84</v>
      </c>
      <c r="F492" t="s">
        <v>8732</v>
      </c>
      <c r="G492" t="s">
        <v>8731</v>
      </c>
      <c r="H492" t="s">
        <v>8707</v>
      </c>
      <c r="I492" s="99">
        <v>43751</v>
      </c>
      <c r="J492" s="99">
        <v>43758</v>
      </c>
      <c r="K492" t="s">
        <v>8285</v>
      </c>
      <c r="L492" t="s">
        <v>2317</v>
      </c>
    </row>
    <row r="493" spans="2:12" x14ac:dyDescent="0.2">
      <c r="B493">
        <v>10486</v>
      </c>
      <c r="C493" t="s">
        <v>8245</v>
      </c>
      <c r="D493" t="s">
        <v>8247</v>
      </c>
      <c r="E493" s="225">
        <v>1060</v>
      </c>
      <c r="F493" t="s">
        <v>8732</v>
      </c>
      <c r="G493" t="s">
        <v>8731</v>
      </c>
      <c r="H493" t="s">
        <v>8707</v>
      </c>
      <c r="I493" s="99">
        <v>43751</v>
      </c>
      <c r="J493" s="99">
        <v>43758</v>
      </c>
      <c r="K493" t="s">
        <v>8285</v>
      </c>
      <c r="L493" t="s">
        <v>2317</v>
      </c>
    </row>
    <row r="494" spans="2:12" x14ac:dyDescent="0.2">
      <c r="B494">
        <v>10486</v>
      </c>
      <c r="C494" t="s">
        <v>8275</v>
      </c>
      <c r="D494" t="s">
        <v>8247</v>
      </c>
      <c r="E494" s="225">
        <v>128</v>
      </c>
      <c r="F494" t="s">
        <v>8732</v>
      </c>
      <c r="G494" t="s">
        <v>8731</v>
      </c>
      <c r="H494" t="s">
        <v>8707</v>
      </c>
      <c r="I494" s="99">
        <v>43751</v>
      </c>
      <c r="J494" s="99">
        <v>43758</v>
      </c>
      <c r="K494" t="s">
        <v>8285</v>
      </c>
      <c r="L494" t="s">
        <v>2317</v>
      </c>
    </row>
    <row r="495" spans="2:12" x14ac:dyDescent="0.2">
      <c r="B495">
        <v>10487</v>
      </c>
      <c r="C495" t="s">
        <v>8327</v>
      </c>
      <c r="D495" t="s">
        <v>8262</v>
      </c>
      <c r="E495" s="225">
        <v>36.5</v>
      </c>
      <c r="F495" t="s">
        <v>8712</v>
      </c>
      <c r="G495" t="s">
        <v>8711</v>
      </c>
      <c r="H495" t="s">
        <v>8710</v>
      </c>
      <c r="I495" s="99">
        <v>43751</v>
      </c>
      <c r="J495" s="99">
        <v>43753</v>
      </c>
      <c r="K495" t="s">
        <v>8297</v>
      </c>
      <c r="L495" t="s">
        <v>8298</v>
      </c>
    </row>
    <row r="496" spans="2:12" x14ac:dyDescent="0.2">
      <c r="B496">
        <v>10487</v>
      </c>
      <c r="C496" t="s">
        <v>8372</v>
      </c>
      <c r="D496" t="s">
        <v>8262</v>
      </c>
      <c r="E496" s="225">
        <v>747</v>
      </c>
      <c r="F496" t="s">
        <v>8712</v>
      </c>
      <c r="G496" t="s">
        <v>8711</v>
      </c>
      <c r="H496" t="s">
        <v>8710</v>
      </c>
      <c r="I496" s="99">
        <v>43751</v>
      </c>
      <c r="J496" s="99">
        <v>43753</v>
      </c>
      <c r="K496" t="s">
        <v>8297</v>
      </c>
      <c r="L496" t="s">
        <v>8298</v>
      </c>
    </row>
    <row r="497" spans="2:12" x14ac:dyDescent="0.2">
      <c r="B497">
        <v>10488</v>
      </c>
      <c r="C497" t="s">
        <v>8281</v>
      </c>
      <c r="D497" t="s">
        <v>8237</v>
      </c>
      <c r="E497" s="225">
        <v>1320</v>
      </c>
      <c r="F497" t="s">
        <v>8304</v>
      </c>
      <c r="G497" t="s">
        <v>8305</v>
      </c>
      <c r="H497" t="s">
        <v>8246</v>
      </c>
      <c r="I497" s="99">
        <v>43752</v>
      </c>
      <c r="J497" s="99">
        <v>43758</v>
      </c>
      <c r="K497" t="s">
        <v>8320</v>
      </c>
      <c r="L497" t="s">
        <v>8321</v>
      </c>
    </row>
    <row r="498" spans="2:12" x14ac:dyDescent="0.2">
      <c r="B498">
        <v>10489</v>
      </c>
      <c r="C498" t="s">
        <v>8280</v>
      </c>
      <c r="D498" t="s">
        <v>8262</v>
      </c>
      <c r="E498" s="225">
        <v>250.2</v>
      </c>
      <c r="F498" t="s">
        <v>8384</v>
      </c>
      <c r="G498" t="s">
        <v>8385</v>
      </c>
      <c r="H498" t="s">
        <v>8282</v>
      </c>
      <c r="I498" s="99">
        <v>43753</v>
      </c>
      <c r="J498" s="99">
        <v>43765</v>
      </c>
      <c r="K498" t="s">
        <v>8251</v>
      </c>
      <c r="L498" t="s">
        <v>269</v>
      </c>
    </row>
    <row r="499" spans="2:12" x14ac:dyDescent="0.2">
      <c r="B499">
        <v>10489</v>
      </c>
      <c r="C499" t="s">
        <v>8242</v>
      </c>
      <c r="D499" t="s">
        <v>8237</v>
      </c>
      <c r="E499" s="225">
        <v>189</v>
      </c>
      <c r="F499" t="s">
        <v>8384</v>
      </c>
      <c r="G499" t="s">
        <v>8385</v>
      </c>
      <c r="H499" t="s">
        <v>8282</v>
      </c>
      <c r="I499" s="99">
        <v>43753</v>
      </c>
      <c r="J499" s="99">
        <v>43765</v>
      </c>
      <c r="K499" t="s">
        <v>8251</v>
      </c>
      <c r="L499" t="s">
        <v>269</v>
      </c>
    </row>
    <row r="500" spans="2:12" x14ac:dyDescent="0.2">
      <c r="B500">
        <v>10490</v>
      </c>
      <c r="C500" t="s">
        <v>8328</v>
      </c>
      <c r="D500" t="s">
        <v>8272</v>
      </c>
      <c r="E500" s="225">
        <v>223.2</v>
      </c>
      <c r="F500" t="s">
        <v>8732</v>
      </c>
      <c r="G500" t="s">
        <v>8731</v>
      </c>
      <c r="H500" t="s">
        <v>8707</v>
      </c>
      <c r="I500" s="99">
        <v>43756</v>
      </c>
      <c r="J500" s="99">
        <v>43759</v>
      </c>
      <c r="K500" t="s">
        <v>8158</v>
      </c>
      <c r="L500" t="s">
        <v>861</v>
      </c>
    </row>
    <row r="501" spans="2:12" x14ac:dyDescent="0.2">
      <c r="B501">
        <v>10490</v>
      </c>
      <c r="C501" t="s">
        <v>8334</v>
      </c>
      <c r="D501" t="s">
        <v>8262</v>
      </c>
      <c r="E501" s="225">
        <v>300</v>
      </c>
      <c r="F501" t="s">
        <v>8732</v>
      </c>
      <c r="G501" t="s">
        <v>8731</v>
      </c>
      <c r="H501" t="s">
        <v>8707</v>
      </c>
      <c r="I501" s="99">
        <v>43756</v>
      </c>
      <c r="J501" s="99">
        <v>43759</v>
      </c>
      <c r="K501" t="s">
        <v>8158</v>
      </c>
      <c r="L501" t="s">
        <v>861</v>
      </c>
    </row>
    <row r="502" spans="2:12" x14ac:dyDescent="0.2">
      <c r="B502">
        <v>10490</v>
      </c>
      <c r="C502" t="s">
        <v>8281</v>
      </c>
      <c r="D502" t="s">
        <v>8237</v>
      </c>
      <c r="E502" s="225">
        <v>2640</v>
      </c>
      <c r="F502" t="s">
        <v>8732</v>
      </c>
      <c r="G502" t="s">
        <v>8731</v>
      </c>
      <c r="H502" t="s">
        <v>8707</v>
      </c>
      <c r="I502" s="99">
        <v>43756</v>
      </c>
      <c r="J502" s="99">
        <v>43759</v>
      </c>
      <c r="K502" t="s">
        <v>8158</v>
      </c>
      <c r="L502" t="s">
        <v>861</v>
      </c>
    </row>
    <row r="503" spans="2:12" x14ac:dyDescent="0.2">
      <c r="B503">
        <v>10491</v>
      </c>
      <c r="C503" t="s">
        <v>8322</v>
      </c>
      <c r="D503" t="s">
        <v>8254</v>
      </c>
      <c r="E503" s="225">
        <v>197.62</v>
      </c>
      <c r="F503" t="s">
        <v>8366</v>
      </c>
      <c r="G503" t="s">
        <v>8367</v>
      </c>
      <c r="H503" t="s">
        <v>8365</v>
      </c>
      <c r="I503" s="99">
        <v>43756</v>
      </c>
      <c r="J503" s="99">
        <v>43764</v>
      </c>
      <c r="K503" t="s">
        <v>8320</v>
      </c>
      <c r="L503" t="s">
        <v>8321</v>
      </c>
    </row>
    <row r="504" spans="2:12" x14ac:dyDescent="0.2">
      <c r="B504">
        <v>10491</v>
      </c>
      <c r="C504" t="s">
        <v>8397</v>
      </c>
      <c r="D504" t="s">
        <v>8254</v>
      </c>
      <c r="E504" s="225">
        <v>61.88</v>
      </c>
      <c r="F504" t="s">
        <v>8366</v>
      </c>
      <c r="G504" t="s">
        <v>8367</v>
      </c>
      <c r="H504" t="s">
        <v>8365</v>
      </c>
      <c r="I504" s="99">
        <v>43756</v>
      </c>
      <c r="J504" s="99">
        <v>43764</v>
      </c>
      <c r="K504" t="s">
        <v>8320</v>
      </c>
      <c r="L504" t="s">
        <v>8321</v>
      </c>
    </row>
    <row r="505" spans="2:12" x14ac:dyDescent="0.2">
      <c r="B505">
        <v>10492</v>
      </c>
      <c r="C505" t="s">
        <v>8362</v>
      </c>
      <c r="D505" t="s">
        <v>8262</v>
      </c>
      <c r="E505" s="225">
        <v>638.4</v>
      </c>
      <c r="F505" t="s">
        <v>8722</v>
      </c>
      <c r="G505" t="s">
        <v>8721</v>
      </c>
      <c r="H505" t="s">
        <v>8720</v>
      </c>
      <c r="I505" s="99">
        <v>43757</v>
      </c>
      <c r="J505" s="99">
        <v>43767</v>
      </c>
      <c r="K505" t="s">
        <v>8257</v>
      </c>
      <c r="L505" t="s">
        <v>6984</v>
      </c>
    </row>
    <row r="506" spans="2:12" x14ac:dyDescent="0.2">
      <c r="B506">
        <v>10492</v>
      </c>
      <c r="C506" t="s">
        <v>8243</v>
      </c>
      <c r="D506" t="s">
        <v>8244</v>
      </c>
      <c r="E506" s="225">
        <v>212.8</v>
      </c>
      <c r="F506" t="s">
        <v>8722</v>
      </c>
      <c r="G506" t="s">
        <v>8721</v>
      </c>
      <c r="H506" t="s">
        <v>8720</v>
      </c>
      <c r="I506" s="99">
        <v>43757</v>
      </c>
      <c r="J506" s="99">
        <v>43767</v>
      </c>
      <c r="K506" t="s">
        <v>8257</v>
      </c>
      <c r="L506" t="s">
        <v>6984</v>
      </c>
    </row>
    <row r="507" spans="2:12" x14ac:dyDescent="0.2">
      <c r="B507">
        <v>10493</v>
      </c>
      <c r="C507" t="s">
        <v>8253</v>
      </c>
      <c r="D507" t="s">
        <v>8254</v>
      </c>
      <c r="E507" s="225">
        <v>226.8</v>
      </c>
      <c r="F507" t="s">
        <v>8382</v>
      </c>
      <c r="G507" t="s">
        <v>8383</v>
      </c>
      <c r="H507" t="s">
        <v>8236</v>
      </c>
      <c r="I507" s="99">
        <v>43758</v>
      </c>
      <c r="J507" s="99">
        <v>43766</v>
      </c>
      <c r="K507" t="s">
        <v>8266</v>
      </c>
      <c r="L507" t="s">
        <v>8267</v>
      </c>
    </row>
    <row r="508" spans="2:12" x14ac:dyDescent="0.2">
      <c r="B508">
        <v>10493</v>
      </c>
      <c r="C508" t="s">
        <v>8348</v>
      </c>
      <c r="D508" t="s">
        <v>8254</v>
      </c>
      <c r="E508" s="225">
        <v>122.4</v>
      </c>
      <c r="F508" t="s">
        <v>8382</v>
      </c>
      <c r="G508" t="s">
        <v>8383</v>
      </c>
      <c r="H508" t="s">
        <v>8236</v>
      </c>
      <c r="I508" s="99">
        <v>43758</v>
      </c>
      <c r="J508" s="99">
        <v>43766</v>
      </c>
      <c r="K508" t="s">
        <v>8266</v>
      </c>
      <c r="L508" t="s">
        <v>8267</v>
      </c>
    </row>
    <row r="509" spans="2:12" x14ac:dyDescent="0.2">
      <c r="B509">
        <v>10493</v>
      </c>
      <c r="C509" t="s">
        <v>8353</v>
      </c>
      <c r="D509" t="s">
        <v>8237</v>
      </c>
      <c r="E509" s="225">
        <v>259.2</v>
      </c>
      <c r="F509" t="s">
        <v>8382</v>
      </c>
      <c r="G509" t="s">
        <v>8383</v>
      </c>
      <c r="H509" t="s">
        <v>8236</v>
      </c>
      <c r="I509" s="99">
        <v>43758</v>
      </c>
      <c r="J509" s="99">
        <v>43766</v>
      </c>
      <c r="K509" t="s">
        <v>8266</v>
      </c>
      <c r="L509" t="s">
        <v>8267</v>
      </c>
    </row>
    <row r="510" spans="2:12" x14ac:dyDescent="0.2">
      <c r="B510">
        <v>10494</v>
      </c>
      <c r="C510" t="s">
        <v>8341</v>
      </c>
      <c r="D510" t="s">
        <v>8244</v>
      </c>
      <c r="E510" s="225">
        <v>912</v>
      </c>
      <c r="F510" t="s">
        <v>8748</v>
      </c>
      <c r="G510" t="s">
        <v>8747</v>
      </c>
      <c r="H510" t="s">
        <v>8710</v>
      </c>
      <c r="I510" s="99">
        <v>43758</v>
      </c>
      <c r="J510" s="99">
        <v>43765</v>
      </c>
      <c r="K510" t="s">
        <v>8266</v>
      </c>
      <c r="L510" t="s">
        <v>8267</v>
      </c>
    </row>
    <row r="511" spans="2:12" x14ac:dyDescent="0.2">
      <c r="B511">
        <v>10495</v>
      </c>
      <c r="C511" t="s">
        <v>8397</v>
      </c>
      <c r="D511" t="s">
        <v>8254</v>
      </c>
      <c r="E511" s="225">
        <v>52</v>
      </c>
      <c r="F511" t="s">
        <v>8774</v>
      </c>
      <c r="G511" t="s">
        <v>8773</v>
      </c>
      <c r="H511" t="s">
        <v>8720</v>
      </c>
      <c r="I511" s="99">
        <v>43759</v>
      </c>
      <c r="J511" s="99">
        <v>43767</v>
      </c>
      <c r="K511" t="s">
        <v>8257</v>
      </c>
      <c r="L511" t="s">
        <v>6984</v>
      </c>
    </row>
    <row r="512" spans="2:12" x14ac:dyDescent="0.2">
      <c r="B512">
        <v>10495</v>
      </c>
      <c r="C512" t="s">
        <v>8373</v>
      </c>
      <c r="D512" t="s">
        <v>8244</v>
      </c>
      <c r="E512" s="225">
        <v>72</v>
      </c>
      <c r="F512" t="s">
        <v>8774</v>
      </c>
      <c r="G512" t="s">
        <v>8773</v>
      </c>
      <c r="H512" t="s">
        <v>8720</v>
      </c>
      <c r="I512" s="99">
        <v>43759</v>
      </c>
      <c r="J512" s="99">
        <v>43767</v>
      </c>
      <c r="K512" t="s">
        <v>8257</v>
      </c>
      <c r="L512" t="s">
        <v>6984</v>
      </c>
    </row>
    <row r="513" spans="2:12" x14ac:dyDescent="0.2">
      <c r="B513">
        <v>10496</v>
      </c>
      <c r="C513" t="s">
        <v>8309</v>
      </c>
      <c r="D513" t="s">
        <v>8237</v>
      </c>
      <c r="E513" s="225">
        <v>190</v>
      </c>
      <c r="F513" t="s">
        <v>8746</v>
      </c>
      <c r="G513" t="s">
        <v>8745</v>
      </c>
      <c r="H513" t="s">
        <v>8710</v>
      </c>
      <c r="I513" s="99">
        <v>43760</v>
      </c>
      <c r="J513" s="99">
        <v>43763</v>
      </c>
      <c r="K513" t="s">
        <v>8158</v>
      </c>
      <c r="L513" t="s">
        <v>861</v>
      </c>
    </row>
    <row r="514" spans="2:12" x14ac:dyDescent="0.2">
      <c r="B514">
        <v>10497</v>
      </c>
      <c r="C514" t="s">
        <v>8397</v>
      </c>
      <c r="D514" t="s">
        <v>8254</v>
      </c>
      <c r="E514" s="225">
        <v>260</v>
      </c>
      <c r="F514" t="s">
        <v>8330</v>
      </c>
      <c r="G514" t="s">
        <v>8331</v>
      </c>
      <c r="H514" t="s">
        <v>8246</v>
      </c>
      <c r="I514" s="99">
        <v>43760</v>
      </c>
      <c r="J514" s="99">
        <v>43763</v>
      </c>
      <c r="K514" t="s">
        <v>8158</v>
      </c>
      <c r="L514" t="s">
        <v>861</v>
      </c>
    </row>
    <row r="515" spans="2:12" x14ac:dyDescent="0.2">
      <c r="B515">
        <v>10497</v>
      </c>
      <c r="C515" t="s">
        <v>8235</v>
      </c>
      <c r="D515" t="s">
        <v>8237</v>
      </c>
      <c r="E515" s="225">
        <v>695</v>
      </c>
      <c r="F515" t="s">
        <v>8330</v>
      </c>
      <c r="G515" t="s">
        <v>8331</v>
      </c>
      <c r="H515" t="s">
        <v>8246</v>
      </c>
      <c r="I515" s="99">
        <v>43760</v>
      </c>
      <c r="J515" s="99">
        <v>43763</v>
      </c>
      <c r="K515" t="s">
        <v>8158</v>
      </c>
      <c r="L515" t="s">
        <v>861</v>
      </c>
    </row>
    <row r="516" spans="2:12" x14ac:dyDescent="0.2">
      <c r="B516">
        <v>10497</v>
      </c>
      <c r="C516" t="s">
        <v>8341</v>
      </c>
      <c r="D516" t="s">
        <v>8244</v>
      </c>
      <c r="E516" s="225">
        <v>425.6</v>
      </c>
      <c r="F516" t="s">
        <v>8330</v>
      </c>
      <c r="G516" t="s">
        <v>8331</v>
      </c>
      <c r="H516" t="s">
        <v>8246</v>
      </c>
      <c r="I516" s="99">
        <v>43760</v>
      </c>
      <c r="J516" s="99">
        <v>43763</v>
      </c>
      <c r="K516" t="s">
        <v>8158</v>
      </c>
      <c r="L516" t="s">
        <v>861</v>
      </c>
    </row>
    <row r="517" spans="2:12" x14ac:dyDescent="0.2">
      <c r="B517">
        <v>10498</v>
      </c>
      <c r="C517" t="s">
        <v>8270</v>
      </c>
      <c r="D517" t="s">
        <v>8272</v>
      </c>
      <c r="E517" s="225">
        <v>63</v>
      </c>
      <c r="F517" t="s">
        <v>8732</v>
      </c>
      <c r="G517" t="s">
        <v>8731</v>
      </c>
      <c r="H517" t="s">
        <v>8707</v>
      </c>
      <c r="I517" s="99">
        <v>43763</v>
      </c>
      <c r="J517" s="99">
        <v>43767</v>
      </c>
      <c r="K517" t="s">
        <v>8320</v>
      </c>
      <c r="L517" t="s">
        <v>8321</v>
      </c>
    </row>
    <row r="518" spans="2:12" x14ac:dyDescent="0.2">
      <c r="B518">
        <v>10498</v>
      </c>
      <c r="C518" t="s">
        <v>8243</v>
      </c>
      <c r="D518" t="s">
        <v>8244</v>
      </c>
      <c r="E518" s="225">
        <v>420</v>
      </c>
      <c r="F518" t="s">
        <v>8732</v>
      </c>
      <c r="G518" t="s">
        <v>8731</v>
      </c>
      <c r="H518" t="s">
        <v>8707</v>
      </c>
      <c r="I518" s="99">
        <v>43763</v>
      </c>
      <c r="J518" s="99">
        <v>43767</v>
      </c>
      <c r="K518" t="s">
        <v>8320</v>
      </c>
      <c r="L518" t="s">
        <v>8321</v>
      </c>
    </row>
    <row r="519" spans="2:12" x14ac:dyDescent="0.2">
      <c r="B519">
        <v>10499</v>
      </c>
      <c r="C519" t="s">
        <v>8390</v>
      </c>
      <c r="D519" t="s">
        <v>8262</v>
      </c>
      <c r="E519" s="225">
        <v>500</v>
      </c>
      <c r="F519" t="s">
        <v>8709</v>
      </c>
      <c r="G519" t="s">
        <v>8708</v>
      </c>
      <c r="H519" t="s">
        <v>8707</v>
      </c>
      <c r="I519" s="99">
        <v>43764</v>
      </c>
      <c r="J519" s="99">
        <v>43772</v>
      </c>
      <c r="K519" t="s">
        <v>8266</v>
      </c>
      <c r="L519" t="s">
        <v>8267</v>
      </c>
    </row>
    <row r="520" spans="2:12" x14ac:dyDescent="0.2">
      <c r="B520">
        <v>10499</v>
      </c>
      <c r="C520" t="s">
        <v>8316</v>
      </c>
      <c r="D520" t="s">
        <v>8247</v>
      </c>
      <c r="E520" s="225">
        <v>912</v>
      </c>
      <c r="F520" t="s">
        <v>8709</v>
      </c>
      <c r="G520" t="s">
        <v>8708</v>
      </c>
      <c r="H520" t="s">
        <v>8707</v>
      </c>
      <c r="I520" s="99">
        <v>43764</v>
      </c>
      <c r="J520" s="99">
        <v>43772</v>
      </c>
      <c r="K520" t="s">
        <v>8266</v>
      </c>
      <c r="L520" t="s">
        <v>8267</v>
      </c>
    </row>
    <row r="521" spans="2:12" x14ac:dyDescent="0.2">
      <c r="B521">
        <v>10500</v>
      </c>
      <c r="C521" t="s">
        <v>8361</v>
      </c>
      <c r="D521" t="s">
        <v>8254</v>
      </c>
      <c r="E521" s="225">
        <v>176.7</v>
      </c>
      <c r="F521" t="s">
        <v>8382</v>
      </c>
      <c r="G521" t="s">
        <v>8383</v>
      </c>
      <c r="H521" t="s">
        <v>8236</v>
      </c>
      <c r="I521" s="99">
        <v>43765</v>
      </c>
      <c r="J521" s="99">
        <v>43773</v>
      </c>
      <c r="K521" t="s">
        <v>8251</v>
      </c>
      <c r="L521" t="s">
        <v>269</v>
      </c>
    </row>
    <row r="522" spans="2:12" x14ac:dyDescent="0.2">
      <c r="B522">
        <v>10500</v>
      </c>
      <c r="C522" t="s">
        <v>8316</v>
      </c>
      <c r="D522" t="s">
        <v>8247</v>
      </c>
      <c r="E522" s="225">
        <v>346.56</v>
      </c>
      <c r="F522" t="s">
        <v>8382</v>
      </c>
      <c r="G522" t="s">
        <v>8383</v>
      </c>
      <c r="H522" t="s">
        <v>8236</v>
      </c>
      <c r="I522" s="99">
        <v>43765</v>
      </c>
      <c r="J522" s="99">
        <v>43773</v>
      </c>
      <c r="K522" t="s">
        <v>8251</v>
      </c>
      <c r="L522" t="s">
        <v>269</v>
      </c>
    </row>
    <row r="523" spans="2:12" x14ac:dyDescent="0.2">
      <c r="B523">
        <v>10502</v>
      </c>
      <c r="C523" t="s">
        <v>8329</v>
      </c>
      <c r="D523" t="s">
        <v>8272</v>
      </c>
      <c r="E523" s="225">
        <v>420</v>
      </c>
      <c r="F523" t="s">
        <v>8706</v>
      </c>
      <c r="G523" t="s">
        <v>8705</v>
      </c>
      <c r="H523" t="s">
        <v>8704</v>
      </c>
      <c r="I523" s="99">
        <v>43766</v>
      </c>
      <c r="J523" s="99">
        <v>43785</v>
      </c>
      <c r="K523" t="s">
        <v>8297</v>
      </c>
      <c r="L523" t="s">
        <v>8298</v>
      </c>
    </row>
    <row r="524" spans="2:12" x14ac:dyDescent="0.2">
      <c r="B524">
        <v>10503</v>
      </c>
      <c r="C524" t="s">
        <v>8253</v>
      </c>
      <c r="D524" t="s">
        <v>8254</v>
      </c>
      <c r="E524" s="225">
        <v>421</v>
      </c>
      <c r="F524" t="s">
        <v>8344</v>
      </c>
      <c r="G524" t="s">
        <v>8345</v>
      </c>
      <c r="H524" t="s">
        <v>8343</v>
      </c>
      <c r="I524" s="99">
        <v>43767</v>
      </c>
      <c r="J524" s="99">
        <v>43772</v>
      </c>
      <c r="K524" t="s">
        <v>8251</v>
      </c>
      <c r="L524" t="s">
        <v>269</v>
      </c>
    </row>
    <row r="525" spans="2:12" x14ac:dyDescent="0.2">
      <c r="B525">
        <v>10503</v>
      </c>
      <c r="C525" t="s">
        <v>8252</v>
      </c>
      <c r="D525" t="s">
        <v>8247</v>
      </c>
      <c r="E525" s="225">
        <v>1627.5</v>
      </c>
      <c r="F525" t="s">
        <v>8344</v>
      </c>
      <c r="G525" t="s">
        <v>8345</v>
      </c>
      <c r="H525" t="s">
        <v>8343</v>
      </c>
      <c r="I525" s="99">
        <v>43767</v>
      </c>
      <c r="J525" s="99">
        <v>43772</v>
      </c>
      <c r="K525" t="s">
        <v>8251</v>
      </c>
      <c r="L525" t="s">
        <v>269</v>
      </c>
    </row>
    <row r="526" spans="2:12" x14ac:dyDescent="0.2">
      <c r="B526">
        <v>10504</v>
      </c>
      <c r="C526" t="s">
        <v>8276</v>
      </c>
      <c r="D526" t="s">
        <v>8272</v>
      </c>
      <c r="E526" s="225">
        <v>228</v>
      </c>
      <c r="F526" t="s">
        <v>8740</v>
      </c>
      <c r="G526" t="s">
        <v>8739</v>
      </c>
      <c r="H526" t="s">
        <v>8701</v>
      </c>
      <c r="I526" s="99">
        <v>43767</v>
      </c>
      <c r="J526" s="99">
        <v>43774</v>
      </c>
      <c r="K526" t="s">
        <v>8266</v>
      </c>
      <c r="L526" t="s">
        <v>8267</v>
      </c>
    </row>
    <row r="527" spans="2:12" x14ac:dyDescent="0.2">
      <c r="B527">
        <v>10504</v>
      </c>
      <c r="C527" t="s">
        <v>8409</v>
      </c>
      <c r="D527" t="s">
        <v>8254</v>
      </c>
      <c r="E527" s="225">
        <v>712.5</v>
      </c>
      <c r="F527" t="s">
        <v>8740</v>
      </c>
      <c r="G527" t="s">
        <v>8739</v>
      </c>
      <c r="H527" t="s">
        <v>8701</v>
      </c>
      <c r="I527" s="99">
        <v>43767</v>
      </c>
      <c r="J527" s="99">
        <v>43774</v>
      </c>
      <c r="K527" t="s">
        <v>8266</v>
      </c>
      <c r="L527" t="s">
        <v>8267</v>
      </c>
    </row>
    <row r="528" spans="2:12" x14ac:dyDescent="0.2">
      <c r="B528">
        <v>10504</v>
      </c>
      <c r="C528" t="s">
        <v>8368</v>
      </c>
      <c r="D528" t="s">
        <v>8262</v>
      </c>
      <c r="E528" s="225">
        <v>120</v>
      </c>
      <c r="F528" t="s">
        <v>8740</v>
      </c>
      <c r="G528" t="s">
        <v>8739</v>
      </c>
      <c r="H528" t="s">
        <v>8701</v>
      </c>
      <c r="I528" s="99">
        <v>43767</v>
      </c>
      <c r="J528" s="99">
        <v>43774</v>
      </c>
      <c r="K528" t="s">
        <v>8266</v>
      </c>
      <c r="L528" t="s">
        <v>8267</v>
      </c>
    </row>
    <row r="529" spans="2:12" x14ac:dyDescent="0.2">
      <c r="B529">
        <v>10505</v>
      </c>
      <c r="C529" t="s">
        <v>8291</v>
      </c>
      <c r="D529" t="s">
        <v>8262</v>
      </c>
      <c r="E529" s="225">
        <v>147.9</v>
      </c>
      <c r="F529" t="s">
        <v>8760</v>
      </c>
      <c r="G529" t="s">
        <v>8759</v>
      </c>
      <c r="H529" t="s">
        <v>8720</v>
      </c>
      <c r="I529" s="99">
        <v>43770</v>
      </c>
      <c r="J529" s="99">
        <v>43777</v>
      </c>
      <c r="K529" t="s">
        <v>8257</v>
      </c>
      <c r="L529" t="s">
        <v>6984</v>
      </c>
    </row>
    <row r="530" spans="2:12" x14ac:dyDescent="0.2">
      <c r="B530">
        <v>10506</v>
      </c>
      <c r="C530" t="s">
        <v>8288</v>
      </c>
      <c r="D530" t="s">
        <v>8272</v>
      </c>
      <c r="E530" s="225">
        <v>189</v>
      </c>
      <c r="F530" t="s">
        <v>8359</v>
      </c>
      <c r="G530" t="s">
        <v>8360</v>
      </c>
      <c r="H530" t="s">
        <v>8246</v>
      </c>
      <c r="I530" s="99">
        <v>43771</v>
      </c>
      <c r="J530" s="99">
        <v>43788</v>
      </c>
      <c r="K530" t="s">
        <v>8279</v>
      </c>
      <c r="L530" t="s">
        <v>710</v>
      </c>
    </row>
    <row r="531" spans="2:12" x14ac:dyDescent="0.2">
      <c r="B531">
        <v>10506</v>
      </c>
      <c r="C531" t="s">
        <v>8362</v>
      </c>
      <c r="D531" t="s">
        <v>8262</v>
      </c>
      <c r="E531" s="225">
        <v>226.8</v>
      </c>
      <c r="F531" t="s">
        <v>8359</v>
      </c>
      <c r="G531" t="s">
        <v>8360</v>
      </c>
      <c r="H531" t="s">
        <v>8246</v>
      </c>
      <c r="I531" s="99">
        <v>43771</v>
      </c>
      <c r="J531" s="99">
        <v>43788</v>
      </c>
      <c r="K531" t="s">
        <v>8279</v>
      </c>
      <c r="L531" t="s">
        <v>710</v>
      </c>
    </row>
    <row r="532" spans="2:12" x14ac:dyDescent="0.2">
      <c r="B532">
        <v>10507</v>
      </c>
      <c r="C532" t="s">
        <v>8306</v>
      </c>
      <c r="D532" t="s">
        <v>8272</v>
      </c>
      <c r="E532" s="225">
        <v>586.5</v>
      </c>
      <c r="F532" t="s">
        <v>8764</v>
      </c>
      <c r="G532" t="s">
        <v>8763</v>
      </c>
      <c r="H532" t="s">
        <v>8704</v>
      </c>
      <c r="I532" s="99">
        <v>43771</v>
      </c>
      <c r="J532" s="99">
        <v>43778</v>
      </c>
      <c r="K532" t="s">
        <v>8158</v>
      </c>
      <c r="L532" t="s">
        <v>861</v>
      </c>
    </row>
    <row r="533" spans="2:12" x14ac:dyDescent="0.2">
      <c r="B533">
        <v>10507</v>
      </c>
      <c r="C533" t="s">
        <v>8406</v>
      </c>
      <c r="D533" t="s">
        <v>8262</v>
      </c>
      <c r="E533" s="225">
        <v>162.56</v>
      </c>
      <c r="F533" t="s">
        <v>8764</v>
      </c>
      <c r="G533" t="s">
        <v>8763</v>
      </c>
      <c r="H533" t="s">
        <v>8704</v>
      </c>
      <c r="I533" s="99">
        <v>43771</v>
      </c>
      <c r="J533" s="99">
        <v>43778</v>
      </c>
      <c r="K533" t="s">
        <v>8158</v>
      </c>
      <c r="L533" t="s">
        <v>861</v>
      </c>
    </row>
    <row r="534" spans="2:12" x14ac:dyDescent="0.2">
      <c r="B534">
        <v>10508</v>
      </c>
      <c r="C534" t="s">
        <v>8342</v>
      </c>
      <c r="D534" t="s">
        <v>8272</v>
      </c>
      <c r="E534" s="225">
        <v>180</v>
      </c>
      <c r="F534" t="s">
        <v>8289</v>
      </c>
      <c r="G534" t="s">
        <v>8290</v>
      </c>
      <c r="H534" t="s">
        <v>8246</v>
      </c>
      <c r="I534" s="99">
        <v>43772</v>
      </c>
      <c r="J534" s="99">
        <v>43799</v>
      </c>
      <c r="K534" t="s">
        <v>8285</v>
      </c>
      <c r="L534" t="s">
        <v>2317</v>
      </c>
    </row>
    <row r="535" spans="2:12" x14ac:dyDescent="0.2">
      <c r="B535">
        <v>10509</v>
      </c>
      <c r="C535" t="s">
        <v>8316</v>
      </c>
      <c r="D535" t="s">
        <v>8247</v>
      </c>
      <c r="E535" s="225">
        <v>136.80000000000001</v>
      </c>
      <c r="F535" t="s">
        <v>8416</v>
      </c>
      <c r="G535" t="s">
        <v>8417</v>
      </c>
      <c r="H535" t="s">
        <v>8246</v>
      </c>
      <c r="I535" s="99">
        <v>43773</v>
      </c>
      <c r="J535" s="99">
        <v>43785</v>
      </c>
      <c r="K535" t="s">
        <v>8266</v>
      </c>
      <c r="L535" t="s">
        <v>8267</v>
      </c>
    </row>
    <row r="536" spans="2:12" x14ac:dyDescent="0.2">
      <c r="B536">
        <v>10510</v>
      </c>
      <c r="C536" t="s">
        <v>8328</v>
      </c>
      <c r="D536" t="s">
        <v>8272</v>
      </c>
      <c r="E536" s="225">
        <v>251.1</v>
      </c>
      <c r="F536" t="s">
        <v>8758</v>
      </c>
      <c r="G536" t="s">
        <v>8757</v>
      </c>
      <c r="H536" t="s">
        <v>8701</v>
      </c>
      <c r="I536" s="99">
        <v>43774</v>
      </c>
      <c r="J536" s="99">
        <v>43784</v>
      </c>
      <c r="K536" t="s">
        <v>8251</v>
      </c>
      <c r="L536" t="s">
        <v>269</v>
      </c>
    </row>
    <row r="537" spans="2:12" x14ac:dyDescent="0.2">
      <c r="B537">
        <v>10511</v>
      </c>
      <c r="C537" t="s">
        <v>8352</v>
      </c>
      <c r="D537" t="s">
        <v>8254</v>
      </c>
      <c r="E537" s="225">
        <v>935</v>
      </c>
      <c r="F537" t="s">
        <v>8377</v>
      </c>
      <c r="G537" t="s">
        <v>8378</v>
      </c>
      <c r="H537" t="s">
        <v>8236</v>
      </c>
      <c r="I537" s="99">
        <v>43774</v>
      </c>
      <c r="J537" s="99">
        <v>43777</v>
      </c>
      <c r="K537" t="s">
        <v>8266</v>
      </c>
      <c r="L537" t="s">
        <v>8267</v>
      </c>
    </row>
    <row r="538" spans="2:12" x14ac:dyDescent="0.2">
      <c r="B538">
        <v>10511</v>
      </c>
      <c r="C538" t="s">
        <v>8379</v>
      </c>
      <c r="D538" t="s">
        <v>8254</v>
      </c>
      <c r="E538" s="225">
        <v>340</v>
      </c>
      <c r="F538" t="s">
        <v>8377</v>
      </c>
      <c r="G538" t="s">
        <v>8378</v>
      </c>
      <c r="H538" t="s">
        <v>8236</v>
      </c>
      <c r="I538" s="99">
        <v>43774</v>
      </c>
      <c r="J538" s="99">
        <v>43777</v>
      </c>
      <c r="K538" t="s">
        <v>8266</v>
      </c>
      <c r="L538" t="s">
        <v>8267</v>
      </c>
    </row>
    <row r="539" spans="2:12" x14ac:dyDescent="0.2">
      <c r="B539">
        <v>10511</v>
      </c>
      <c r="C539" t="s">
        <v>8415</v>
      </c>
      <c r="D539" t="s">
        <v>8247</v>
      </c>
      <c r="E539" s="225">
        <v>1275</v>
      </c>
      <c r="F539" t="s">
        <v>8377</v>
      </c>
      <c r="G539" t="s">
        <v>8378</v>
      </c>
      <c r="H539" t="s">
        <v>8236</v>
      </c>
      <c r="I539" s="99">
        <v>43774</v>
      </c>
      <c r="J539" s="99">
        <v>43777</v>
      </c>
      <c r="K539" t="s">
        <v>8266</v>
      </c>
      <c r="L539" t="s">
        <v>8267</v>
      </c>
    </row>
    <row r="540" spans="2:12" x14ac:dyDescent="0.2">
      <c r="B540">
        <v>10512</v>
      </c>
      <c r="C540" t="s">
        <v>8270</v>
      </c>
      <c r="D540" t="s">
        <v>8272</v>
      </c>
      <c r="E540" s="225">
        <v>38.25</v>
      </c>
      <c r="F540" t="s">
        <v>8762</v>
      </c>
      <c r="G540" t="s">
        <v>8761</v>
      </c>
      <c r="H540" t="s">
        <v>8710</v>
      </c>
      <c r="I540" s="99">
        <v>43777</v>
      </c>
      <c r="J540" s="99">
        <v>43780</v>
      </c>
      <c r="K540" t="s">
        <v>8158</v>
      </c>
      <c r="L540" t="s">
        <v>861</v>
      </c>
    </row>
    <row r="541" spans="2:12" x14ac:dyDescent="0.2">
      <c r="B541">
        <v>10512</v>
      </c>
      <c r="C541" t="s">
        <v>8410</v>
      </c>
      <c r="D541" t="s">
        <v>8262</v>
      </c>
      <c r="E541" s="225">
        <v>48.45</v>
      </c>
      <c r="F541" t="s">
        <v>8762</v>
      </c>
      <c r="G541" t="s">
        <v>8761</v>
      </c>
      <c r="H541" t="s">
        <v>8710</v>
      </c>
      <c r="I541" s="99">
        <v>43777</v>
      </c>
      <c r="J541" s="99">
        <v>43780</v>
      </c>
      <c r="K541" t="s">
        <v>8158</v>
      </c>
      <c r="L541" t="s">
        <v>861</v>
      </c>
    </row>
    <row r="542" spans="2:12" x14ac:dyDescent="0.2">
      <c r="B542">
        <v>10512</v>
      </c>
      <c r="C542" t="s">
        <v>8268</v>
      </c>
      <c r="D542" t="s">
        <v>8237</v>
      </c>
      <c r="E542" s="225">
        <v>346.8</v>
      </c>
      <c r="F542" t="s">
        <v>8762</v>
      </c>
      <c r="G542" t="s">
        <v>8761</v>
      </c>
      <c r="H542" t="s">
        <v>8710</v>
      </c>
      <c r="I542" s="99">
        <v>43777</v>
      </c>
      <c r="J542" s="99">
        <v>43780</v>
      </c>
      <c r="K542" t="s">
        <v>8158</v>
      </c>
      <c r="L542" t="s">
        <v>861</v>
      </c>
    </row>
    <row r="543" spans="2:12" x14ac:dyDescent="0.2">
      <c r="B543">
        <v>10513</v>
      </c>
      <c r="C543" t="s">
        <v>8409</v>
      </c>
      <c r="D543" t="s">
        <v>8254</v>
      </c>
      <c r="E543" s="225">
        <v>342</v>
      </c>
      <c r="F543" t="s">
        <v>8346</v>
      </c>
      <c r="G543" t="s">
        <v>8347</v>
      </c>
      <c r="H543" t="s">
        <v>8246</v>
      </c>
      <c r="I543" s="99">
        <v>43778</v>
      </c>
      <c r="J543" s="99">
        <v>43784</v>
      </c>
      <c r="K543" t="s">
        <v>8158</v>
      </c>
      <c r="L543" t="s">
        <v>861</v>
      </c>
    </row>
    <row r="544" spans="2:12" x14ac:dyDescent="0.2">
      <c r="B544">
        <v>10513</v>
      </c>
      <c r="C544" t="s">
        <v>8368</v>
      </c>
      <c r="D544" t="s">
        <v>8262</v>
      </c>
      <c r="E544" s="225">
        <v>320</v>
      </c>
      <c r="F544" t="s">
        <v>8346</v>
      </c>
      <c r="G544" t="s">
        <v>8347</v>
      </c>
      <c r="H544" t="s">
        <v>8246</v>
      </c>
      <c r="I544" s="99">
        <v>43778</v>
      </c>
      <c r="J544" s="99">
        <v>43784</v>
      </c>
      <c r="K544" t="s">
        <v>8158</v>
      </c>
      <c r="L544" t="s">
        <v>861</v>
      </c>
    </row>
    <row r="545" spans="2:12" x14ac:dyDescent="0.2">
      <c r="B545">
        <v>10513</v>
      </c>
      <c r="C545" t="s">
        <v>8287</v>
      </c>
      <c r="D545" t="s">
        <v>8237</v>
      </c>
      <c r="E545" s="225">
        <v>1280</v>
      </c>
      <c r="F545" t="s">
        <v>8346</v>
      </c>
      <c r="G545" t="s">
        <v>8347</v>
      </c>
      <c r="H545" t="s">
        <v>8246</v>
      </c>
      <c r="I545" s="99">
        <v>43778</v>
      </c>
      <c r="J545" s="99">
        <v>43784</v>
      </c>
      <c r="K545" t="s">
        <v>8158</v>
      </c>
      <c r="L545" t="s">
        <v>861</v>
      </c>
    </row>
    <row r="546" spans="2:12" x14ac:dyDescent="0.2">
      <c r="B546">
        <v>10514</v>
      </c>
      <c r="C546" t="s">
        <v>8328</v>
      </c>
      <c r="D546" t="s">
        <v>8272</v>
      </c>
      <c r="E546" s="225">
        <v>387.5</v>
      </c>
      <c r="F546" t="s">
        <v>8283</v>
      </c>
      <c r="G546" t="s">
        <v>8284</v>
      </c>
      <c r="H546" t="s">
        <v>8282</v>
      </c>
      <c r="I546" s="99">
        <v>43778</v>
      </c>
      <c r="J546" s="99">
        <v>43802</v>
      </c>
      <c r="K546" t="s">
        <v>8257</v>
      </c>
      <c r="L546" t="s">
        <v>6984</v>
      </c>
    </row>
    <row r="547" spans="2:12" x14ac:dyDescent="0.2">
      <c r="B547">
        <v>10514</v>
      </c>
      <c r="C547" t="s">
        <v>8253</v>
      </c>
      <c r="D547" t="s">
        <v>8254</v>
      </c>
      <c r="E547" s="225">
        <v>820.95</v>
      </c>
      <c r="F547" t="s">
        <v>8283</v>
      </c>
      <c r="G547" t="s">
        <v>8284</v>
      </c>
      <c r="H547" t="s">
        <v>8282</v>
      </c>
      <c r="I547" s="99">
        <v>43778</v>
      </c>
      <c r="J547" s="99">
        <v>43802</v>
      </c>
      <c r="K547" t="s">
        <v>8257</v>
      </c>
      <c r="L547" t="s">
        <v>6984</v>
      </c>
    </row>
    <row r="548" spans="2:12" x14ac:dyDescent="0.2">
      <c r="B548">
        <v>10514</v>
      </c>
      <c r="C548" t="s">
        <v>8260</v>
      </c>
      <c r="D548" t="s">
        <v>8262</v>
      </c>
      <c r="E548" s="225">
        <v>3159</v>
      </c>
      <c r="F548" t="s">
        <v>8283</v>
      </c>
      <c r="G548" t="s">
        <v>8284</v>
      </c>
      <c r="H548" t="s">
        <v>8282</v>
      </c>
      <c r="I548" s="99">
        <v>43778</v>
      </c>
      <c r="J548" s="99">
        <v>43802</v>
      </c>
      <c r="K548" t="s">
        <v>8257</v>
      </c>
      <c r="L548" t="s">
        <v>6984</v>
      </c>
    </row>
    <row r="549" spans="2:12" x14ac:dyDescent="0.2">
      <c r="B549">
        <v>10514</v>
      </c>
      <c r="C549" t="s">
        <v>8341</v>
      </c>
      <c r="D549" t="s">
        <v>8244</v>
      </c>
      <c r="E549" s="225">
        <v>2660</v>
      </c>
      <c r="F549" t="s">
        <v>8283</v>
      </c>
      <c r="G549" t="s">
        <v>8284</v>
      </c>
      <c r="H549" t="s">
        <v>8282</v>
      </c>
      <c r="I549" s="99">
        <v>43778</v>
      </c>
      <c r="J549" s="99">
        <v>43802</v>
      </c>
      <c r="K549" t="s">
        <v>8257</v>
      </c>
      <c r="L549" t="s">
        <v>6984</v>
      </c>
    </row>
    <row r="550" spans="2:12" x14ac:dyDescent="0.2">
      <c r="B550">
        <v>10514</v>
      </c>
      <c r="C550" t="s">
        <v>8316</v>
      </c>
      <c r="D550" t="s">
        <v>8247</v>
      </c>
      <c r="E550" s="225">
        <v>1596</v>
      </c>
      <c r="F550" t="s">
        <v>8283</v>
      </c>
      <c r="G550" t="s">
        <v>8284</v>
      </c>
      <c r="H550" t="s">
        <v>8282</v>
      </c>
      <c r="I550" s="99">
        <v>43778</v>
      </c>
      <c r="J550" s="99">
        <v>43802</v>
      </c>
      <c r="K550" t="s">
        <v>8257</v>
      </c>
      <c r="L550" t="s">
        <v>6984</v>
      </c>
    </row>
    <row r="551" spans="2:12" x14ac:dyDescent="0.2">
      <c r="B551">
        <v>10515</v>
      </c>
      <c r="C551" t="s">
        <v>8280</v>
      </c>
      <c r="D551" t="s">
        <v>8262</v>
      </c>
      <c r="E551" s="225">
        <v>872.5</v>
      </c>
      <c r="F551" t="s">
        <v>8307</v>
      </c>
      <c r="G551" t="s">
        <v>8308</v>
      </c>
      <c r="H551" t="s">
        <v>8246</v>
      </c>
      <c r="I551" s="99">
        <v>43779</v>
      </c>
      <c r="J551" s="99">
        <v>43809</v>
      </c>
      <c r="K551" t="s">
        <v>8297</v>
      </c>
      <c r="L551" t="s">
        <v>8298</v>
      </c>
    </row>
    <row r="552" spans="2:12" x14ac:dyDescent="0.2">
      <c r="B552">
        <v>10515</v>
      </c>
      <c r="C552" t="s">
        <v>8332</v>
      </c>
      <c r="D552" t="s">
        <v>8262</v>
      </c>
      <c r="E552" s="225">
        <v>5268</v>
      </c>
      <c r="F552" t="s">
        <v>8307</v>
      </c>
      <c r="G552" t="s">
        <v>8308</v>
      </c>
      <c r="H552" t="s">
        <v>8246</v>
      </c>
      <c r="I552" s="99">
        <v>43779</v>
      </c>
      <c r="J552" s="99">
        <v>43809</v>
      </c>
      <c r="K552" t="s">
        <v>8297</v>
      </c>
      <c r="L552" t="s">
        <v>8298</v>
      </c>
    </row>
    <row r="553" spans="2:12" x14ac:dyDescent="0.2">
      <c r="B553">
        <v>10515</v>
      </c>
      <c r="C553" t="s">
        <v>8269</v>
      </c>
      <c r="D553" t="s">
        <v>8237</v>
      </c>
      <c r="E553" s="225">
        <v>34</v>
      </c>
      <c r="F553" t="s">
        <v>8307</v>
      </c>
      <c r="G553" t="s">
        <v>8308</v>
      </c>
      <c r="H553" t="s">
        <v>8246</v>
      </c>
      <c r="I553" s="99">
        <v>43779</v>
      </c>
      <c r="J553" s="99">
        <v>43809</v>
      </c>
      <c r="K553" t="s">
        <v>8297</v>
      </c>
      <c r="L553" t="s">
        <v>8298</v>
      </c>
    </row>
    <row r="554" spans="2:12" x14ac:dyDescent="0.2">
      <c r="B554">
        <v>10515</v>
      </c>
      <c r="C554" t="s">
        <v>8268</v>
      </c>
      <c r="D554" t="s">
        <v>8237</v>
      </c>
      <c r="E554" s="225">
        <v>2427.6</v>
      </c>
      <c r="F554" t="s">
        <v>8307</v>
      </c>
      <c r="G554" t="s">
        <v>8308</v>
      </c>
      <c r="H554" t="s">
        <v>8246</v>
      </c>
      <c r="I554" s="99">
        <v>43779</v>
      </c>
      <c r="J554" s="99">
        <v>43809</v>
      </c>
      <c r="K554" t="s">
        <v>8297</v>
      </c>
      <c r="L554" t="s">
        <v>8298</v>
      </c>
    </row>
    <row r="555" spans="2:12" x14ac:dyDescent="0.2">
      <c r="B555">
        <v>10516</v>
      </c>
      <c r="C555" t="s">
        <v>8243</v>
      </c>
      <c r="D555" t="s">
        <v>8244</v>
      </c>
      <c r="E555" s="225">
        <v>280</v>
      </c>
      <c r="F555" t="s">
        <v>8344</v>
      </c>
      <c r="G555" t="s">
        <v>8345</v>
      </c>
      <c r="H555" t="s">
        <v>8343</v>
      </c>
      <c r="I555" s="99">
        <v>43780</v>
      </c>
      <c r="J555" s="99">
        <v>43787</v>
      </c>
      <c r="K555" t="s">
        <v>8297</v>
      </c>
      <c r="L555" t="s">
        <v>8298</v>
      </c>
    </row>
    <row r="556" spans="2:12" x14ac:dyDescent="0.2">
      <c r="B556">
        <v>10517</v>
      </c>
      <c r="C556" t="s">
        <v>8288</v>
      </c>
      <c r="D556" t="s">
        <v>8272</v>
      </c>
      <c r="E556" s="225">
        <v>90</v>
      </c>
      <c r="F556" t="s">
        <v>8418</v>
      </c>
      <c r="G556" t="s">
        <v>8419</v>
      </c>
      <c r="H556" t="s">
        <v>2434</v>
      </c>
      <c r="I556" s="99">
        <v>43780</v>
      </c>
      <c r="J556" s="99">
        <v>43785</v>
      </c>
      <c r="K556" t="s">
        <v>8257</v>
      </c>
      <c r="L556" t="s">
        <v>6984</v>
      </c>
    </row>
    <row r="557" spans="2:12" x14ac:dyDescent="0.2">
      <c r="B557">
        <v>10517</v>
      </c>
      <c r="C557" t="s">
        <v>8281</v>
      </c>
      <c r="D557" t="s">
        <v>8237</v>
      </c>
      <c r="E557" s="225">
        <v>220</v>
      </c>
      <c r="F557" t="s">
        <v>8418</v>
      </c>
      <c r="G557" t="s">
        <v>8419</v>
      </c>
      <c r="H557" t="s">
        <v>2434</v>
      </c>
      <c r="I557" s="99">
        <v>43780</v>
      </c>
      <c r="J557" s="99">
        <v>43785</v>
      </c>
      <c r="K557" t="s">
        <v>8257</v>
      </c>
      <c r="L557" t="s">
        <v>6984</v>
      </c>
    </row>
    <row r="558" spans="2:12" x14ac:dyDescent="0.2">
      <c r="B558">
        <v>10517</v>
      </c>
      <c r="C558" t="s">
        <v>8369</v>
      </c>
      <c r="D558" t="s">
        <v>8244</v>
      </c>
      <c r="E558" s="225">
        <v>42</v>
      </c>
      <c r="F558" t="s">
        <v>8418</v>
      </c>
      <c r="G558" t="s">
        <v>8419</v>
      </c>
      <c r="H558" t="s">
        <v>2434</v>
      </c>
      <c r="I558" s="99">
        <v>43780</v>
      </c>
      <c r="J558" s="99">
        <v>43785</v>
      </c>
      <c r="K558" t="s">
        <v>8257</v>
      </c>
      <c r="L558" t="s">
        <v>6984</v>
      </c>
    </row>
    <row r="559" spans="2:12" x14ac:dyDescent="0.2">
      <c r="B559">
        <v>10518</v>
      </c>
      <c r="C559" t="s">
        <v>8270</v>
      </c>
      <c r="D559" t="s">
        <v>8272</v>
      </c>
      <c r="E559" s="225">
        <v>22.5</v>
      </c>
      <c r="F559" t="s">
        <v>8742</v>
      </c>
      <c r="G559" t="s">
        <v>8741</v>
      </c>
      <c r="H559" t="s">
        <v>8704</v>
      </c>
      <c r="I559" s="99">
        <v>43781</v>
      </c>
      <c r="J559" s="99">
        <v>43791</v>
      </c>
      <c r="K559" t="s">
        <v>8266</v>
      </c>
      <c r="L559" t="s">
        <v>8267</v>
      </c>
    </row>
    <row r="560" spans="2:12" x14ac:dyDescent="0.2">
      <c r="B560">
        <v>10518</v>
      </c>
      <c r="C560" t="s">
        <v>8380</v>
      </c>
      <c r="D560" t="s">
        <v>8272</v>
      </c>
      <c r="E560" s="225">
        <v>3952.5</v>
      </c>
      <c r="F560" t="s">
        <v>8742</v>
      </c>
      <c r="G560" t="s">
        <v>8741</v>
      </c>
      <c r="H560" t="s">
        <v>8704</v>
      </c>
      <c r="I560" s="99">
        <v>43781</v>
      </c>
      <c r="J560" s="99">
        <v>43791</v>
      </c>
      <c r="K560" t="s">
        <v>8266</v>
      </c>
      <c r="L560" t="s">
        <v>8267</v>
      </c>
    </row>
    <row r="561" spans="2:12" x14ac:dyDescent="0.2">
      <c r="B561">
        <v>10518</v>
      </c>
      <c r="C561" t="s">
        <v>8322</v>
      </c>
      <c r="D561" t="s">
        <v>8254</v>
      </c>
      <c r="E561" s="225">
        <v>175.05</v>
      </c>
      <c r="F561" t="s">
        <v>8742</v>
      </c>
      <c r="G561" t="s">
        <v>8741</v>
      </c>
      <c r="H561" t="s">
        <v>8704</v>
      </c>
      <c r="I561" s="99">
        <v>43781</v>
      </c>
      <c r="J561" s="99">
        <v>43791</v>
      </c>
      <c r="K561" t="s">
        <v>8266</v>
      </c>
      <c r="L561" t="s">
        <v>8267</v>
      </c>
    </row>
    <row r="562" spans="2:12" x14ac:dyDescent="0.2">
      <c r="B562">
        <v>10519</v>
      </c>
      <c r="C562" t="s">
        <v>8268</v>
      </c>
      <c r="D562" t="s">
        <v>8237</v>
      </c>
      <c r="E562" s="225">
        <v>323</v>
      </c>
      <c r="F562" t="s">
        <v>8273</v>
      </c>
      <c r="G562" t="s">
        <v>8274</v>
      </c>
      <c r="H562" t="s">
        <v>8271</v>
      </c>
      <c r="I562" s="99">
        <v>43784</v>
      </c>
      <c r="J562" s="99">
        <v>43787</v>
      </c>
      <c r="K562" t="s">
        <v>8251</v>
      </c>
      <c r="L562" t="s">
        <v>269</v>
      </c>
    </row>
    <row r="563" spans="2:12" x14ac:dyDescent="0.2">
      <c r="B563">
        <v>10519</v>
      </c>
      <c r="C563" t="s">
        <v>8341</v>
      </c>
      <c r="D563" t="s">
        <v>8244</v>
      </c>
      <c r="E563" s="225">
        <v>1520</v>
      </c>
      <c r="F563" t="s">
        <v>8273</v>
      </c>
      <c r="G563" t="s">
        <v>8274</v>
      </c>
      <c r="H563" t="s">
        <v>8271</v>
      </c>
      <c r="I563" s="99">
        <v>43784</v>
      </c>
      <c r="J563" s="99">
        <v>43787</v>
      </c>
      <c r="K563" t="s">
        <v>8251</v>
      </c>
      <c r="L563" t="s">
        <v>269</v>
      </c>
    </row>
    <row r="564" spans="2:12" x14ac:dyDescent="0.2">
      <c r="B564">
        <v>10520</v>
      </c>
      <c r="C564" t="s">
        <v>8270</v>
      </c>
      <c r="D564" t="s">
        <v>8272</v>
      </c>
      <c r="E564" s="225">
        <v>36</v>
      </c>
      <c r="F564" t="s">
        <v>8404</v>
      </c>
      <c r="G564" t="s">
        <v>8405</v>
      </c>
      <c r="H564" t="s">
        <v>8403</v>
      </c>
      <c r="I564" s="99">
        <v>43785</v>
      </c>
      <c r="J564" s="99">
        <v>43787</v>
      </c>
      <c r="K564" t="s">
        <v>8158</v>
      </c>
      <c r="L564" t="s">
        <v>861</v>
      </c>
    </row>
    <row r="565" spans="2:12" x14ac:dyDescent="0.2">
      <c r="B565">
        <v>10521</v>
      </c>
      <c r="C565" t="s">
        <v>8323</v>
      </c>
      <c r="D565" t="s">
        <v>8272</v>
      </c>
      <c r="E565" s="225">
        <v>54</v>
      </c>
      <c r="F565" t="s">
        <v>8719</v>
      </c>
      <c r="G565" t="s">
        <v>8718</v>
      </c>
      <c r="H565" t="s">
        <v>8717</v>
      </c>
      <c r="I565" s="99">
        <v>43785</v>
      </c>
      <c r="J565" s="99">
        <v>43788</v>
      </c>
      <c r="K565" t="s">
        <v>8320</v>
      </c>
      <c r="L565" t="s">
        <v>8321</v>
      </c>
    </row>
    <row r="566" spans="2:12" x14ac:dyDescent="0.2">
      <c r="B566">
        <v>10521</v>
      </c>
      <c r="C566" t="s">
        <v>8334</v>
      </c>
      <c r="D566" t="s">
        <v>8262</v>
      </c>
      <c r="E566" s="225">
        <v>75</v>
      </c>
      <c r="F566" t="s">
        <v>8719</v>
      </c>
      <c r="G566" t="s">
        <v>8718</v>
      </c>
      <c r="H566" t="s">
        <v>8717</v>
      </c>
      <c r="I566" s="99">
        <v>43785</v>
      </c>
      <c r="J566" s="99">
        <v>43788</v>
      </c>
      <c r="K566" t="s">
        <v>8320</v>
      </c>
      <c r="L566" t="s">
        <v>8321</v>
      </c>
    </row>
    <row r="567" spans="2:12" x14ac:dyDescent="0.2">
      <c r="B567">
        <v>10522</v>
      </c>
      <c r="C567" t="s">
        <v>8333</v>
      </c>
      <c r="D567" t="s">
        <v>8272</v>
      </c>
      <c r="E567" s="225">
        <v>576</v>
      </c>
      <c r="F567" t="s">
        <v>8330</v>
      </c>
      <c r="G567" t="s">
        <v>8331</v>
      </c>
      <c r="H567" t="s">
        <v>8246</v>
      </c>
      <c r="I567" s="99">
        <v>43786</v>
      </c>
      <c r="J567" s="99">
        <v>43792</v>
      </c>
      <c r="K567" t="s">
        <v>8266</v>
      </c>
      <c r="L567" t="s">
        <v>8267</v>
      </c>
    </row>
    <row r="568" spans="2:12" x14ac:dyDescent="0.2">
      <c r="B568">
        <v>10522</v>
      </c>
      <c r="C568" t="s">
        <v>8379</v>
      </c>
      <c r="D568" t="s">
        <v>8254</v>
      </c>
      <c r="E568" s="225">
        <v>960</v>
      </c>
      <c r="F568" t="s">
        <v>8330</v>
      </c>
      <c r="G568" t="s">
        <v>8331</v>
      </c>
      <c r="H568" t="s">
        <v>8246</v>
      </c>
      <c r="I568" s="99">
        <v>43786</v>
      </c>
      <c r="J568" s="99">
        <v>43792</v>
      </c>
      <c r="K568" t="s">
        <v>8266</v>
      </c>
      <c r="L568" t="s">
        <v>8267</v>
      </c>
    </row>
    <row r="569" spans="2:12" x14ac:dyDescent="0.2">
      <c r="B569">
        <v>10523</v>
      </c>
      <c r="C569" t="s">
        <v>8260</v>
      </c>
      <c r="D569" t="s">
        <v>8262</v>
      </c>
      <c r="E569" s="225">
        <v>1093.5</v>
      </c>
      <c r="F569" t="s">
        <v>8388</v>
      </c>
      <c r="G569" t="s">
        <v>8389</v>
      </c>
      <c r="H569" t="s">
        <v>2434</v>
      </c>
      <c r="I569" s="99">
        <v>43787</v>
      </c>
      <c r="J569" s="99">
        <v>43816</v>
      </c>
      <c r="K569" t="s">
        <v>8158</v>
      </c>
      <c r="L569" t="s">
        <v>861</v>
      </c>
    </row>
    <row r="570" spans="2:12" x14ac:dyDescent="0.2">
      <c r="B570">
        <v>10524</v>
      </c>
      <c r="C570" t="s">
        <v>8306</v>
      </c>
      <c r="D570" t="s">
        <v>8272</v>
      </c>
      <c r="E570" s="225">
        <v>2760</v>
      </c>
      <c r="F570" t="s">
        <v>8318</v>
      </c>
      <c r="G570" t="s">
        <v>8319</v>
      </c>
      <c r="H570" t="s">
        <v>8292</v>
      </c>
      <c r="I570" s="99">
        <v>43787</v>
      </c>
      <c r="J570" s="99">
        <v>43793</v>
      </c>
      <c r="K570" t="s">
        <v>8285</v>
      </c>
      <c r="L570" t="s">
        <v>2317</v>
      </c>
    </row>
    <row r="571" spans="2:12" x14ac:dyDescent="0.2">
      <c r="B571">
        <v>10526</v>
      </c>
      <c r="C571" t="s">
        <v>8333</v>
      </c>
      <c r="D571" t="s">
        <v>8272</v>
      </c>
      <c r="E571" s="225">
        <v>122.4</v>
      </c>
      <c r="F571" t="s">
        <v>8301</v>
      </c>
      <c r="G571" t="s">
        <v>8302</v>
      </c>
      <c r="H571" t="s">
        <v>8300</v>
      </c>
      <c r="I571" s="99">
        <v>43791</v>
      </c>
      <c r="J571" s="99">
        <v>43801</v>
      </c>
      <c r="K571" t="s">
        <v>8266</v>
      </c>
      <c r="L571" t="s">
        <v>8267</v>
      </c>
    </row>
    <row r="572" spans="2:12" x14ac:dyDescent="0.2">
      <c r="B572">
        <v>10526</v>
      </c>
      <c r="C572" t="s">
        <v>8341</v>
      </c>
      <c r="D572" t="s">
        <v>8244</v>
      </c>
      <c r="E572" s="225">
        <v>969</v>
      </c>
      <c r="F572" t="s">
        <v>8301</v>
      </c>
      <c r="G572" t="s">
        <v>8302</v>
      </c>
      <c r="H572" t="s">
        <v>8300</v>
      </c>
      <c r="I572" s="99">
        <v>43791</v>
      </c>
      <c r="J572" s="99">
        <v>43801</v>
      </c>
      <c r="K572" t="s">
        <v>8266</v>
      </c>
      <c r="L572" t="s">
        <v>8267</v>
      </c>
    </row>
    <row r="573" spans="2:12" x14ac:dyDescent="0.2">
      <c r="B573">
        <v>10527</v>
      </c>
      <c r="C573" t="s">
        <v>8352</v>
      </c>
      <c r="D573" t="s">
        <v>8254</v>
      </c>
      <c r="E573" s="225">
        <v>990</v>
      </c>
      <c r="F573" t="s">
        <v>8307</v>
      </c>
      <c r="G573" t="s">
        <v>8308</v>
      </c>
      <c r="H573" t="s">
        <v>8246</v>
      </c>
      <c r="I573" s="99">
        <v>43791</v>
      </c>
      <c r="J573" s="99">
        <v>43793</v>
      </c>
      <c r="K573" t="s">
        <v>8158</v>
      </c>
      <c r="L573" t="s">
        <v>861</v>
      </c>
    </row>
    <row r="574" spans="2:12" x14ac:dyDescent="0.2">
      <c r="B574">
        <v>10528</v>
      </c>
      <c r="C574" t="s">
        <v>8242</v>
      </c>
      <c r="D574" t="s">
        <v>8237</v>
      </c>
      <c r="E574" s="225">
        <v>63</v>
      </c>
      <c r="F574" t="s">
        <v>8714</v>
      </c>
      <c r="G574" t="s">
        <v>8713</v>
      </c>
      <c r="H574" t="s">
        <v>8701</v>
      </c>
      <c r="I574" s="99">
        <v>43792</v>
      </c>
      <c r="J574" s="99">
        <v>43795</v>
      </c>
      <c r="K574" t="s">
        <v>8251</v>
      </c>
      <c r="L574" t="s">
        <v>269</v>
      </c>
    </row>
    <row r="575" spans="2:12" x14ac:dyDescent="0.2">
      <c r="B575">
        <v>10528</v>
      </c>
      <c r="C575" t="s">
        <v>8269</v>
      </c>
      <c r="D575" t="s">
        <v>8237</v>
      </c>
      <c r="E575" s="225">
        <v>16</v>
      </c>
      <c r="F575" t="s">
        <v>8714</v>
      </c>
      <c r="G575" t="s">
        <v>8713</v>
      </c>
      <c r="H575" t="s">
        <v>8701</v>
      </c>
      <c r="I575" s="99">
        <v>43792</v>
      </c>
      <c r="J575" s="99">
        <v>43795</v>
      </c>
      <c r="K575" t="s">
        <v>8251</v>
      </c>
      <c r="L575" t="s">
        <v>269</v>
      </c>
    </row>
    <row r="576" spans="2:12" x14ac:dyDescent="0.2">
      <c r="B576">
        <v>10528</v>
      </c>
      <c r="C576" t="s">
        <v>8235</v>
      </c>
      <c r="D576" t="s">
        <v>8237</v>
      </c>
      <c r="E576" s="225">
        <v>313.2</v>
      </c>
      <c r="F576" t="s">
        <v>8714</v>
      </c>
      <c r="G576" t="s">
        <v>8713</v>
      </c>
      <c r="H576" t="s">
        <v>8701</v>
      </c>
      <c r="I576" s="99">
        <v>43792</v>
      </c>
      <c r="J576" s="99">
        <v>43795</v>
      </c>
      <c r="K576" t="s">
        <v>8251</v>
      </c>
      <c r="L576" t="s">
        <v>269</v>
      </c>
    </row>
    <row r="577" spans="2:12" x14ac:dyDescent="0.2">
      <c r="B577">
        <v>10529</v>
      </c>
      <c r="C577" t="s">
        <v>8334</v>
      </c>
      <c r="D577" t="s">
        <v>8262</v>
      </c>
      <c r="E577" s="225">
        <v>250</v>
      </c>
      <c r="F577" t="s">
        <v>8420</v>
      </c>
      <c r="G577" t="s">
        <v>8421</v>
      </c>
      <c r="H577" t="s">
        <v>8261</v>
      </c>
      <c r="I577" s="99">
        <v>43793</v>
      </c>
      <c r="J577" s="99">
        <v>43795</v>
      </c>
      <c r="K577" t="s">
        <v>8241</v>
      </c>
      <c r="L577" t="s">
        <v>6934</v>
      </c>
    </row>
    <row r="578" spans="2:12" x14ac:dyDescent="0.2">
      <c r="B578">
        <v>10529</v>
      </c>
      <c r="C578" t="s">
        <v>8353</v>
      </c>
      <c r="D578" t="s">
        <v>8237</v>
      </c>
      <c r="E578" s="225">
        <v>360</v>
      </c>
      <c r="F578" t="s">
        <v>8420</v>
      </c>
      <c r="G578" t="s">
        <v>8421</v>
      </c>
      <c r="H578" t="s">
        <v>8261</v>
      </c>
      <c r="I578" s="99">
        <v>43793</v>
      </c>
      <c r="J578" s="99">
        <v>43795</v>
      </c>
      <c r="K578" t="s">
        <v>8241</v>
      </c>
      <c r="L578" t="s">
        <v>6934</v>
      </c>
    </row>
    <row r="579" spans="2:12" x14ac:dyDescent="0.2">
      <c r="B579">
        <v>10530</v>
      </c>
      <c r="C579" t="s">
        <v>8306</v>
      </c>
      <c r="D579" t="s">
        <v>8272</v>
      </c>
      <c r="E579" s="225">
        <v>1150</v>
      </c>
      <c r="F579" t="s">
        <v>8384</v>
      </c>
      <c r="G579" t="s">
        <v>8385</v>
      </c>
      <c r="H579" t="s">
        <v>8282</v>
      </c>
      <c r="I579" s="99">
        <v>43794</v>
      </c>
      <c r="J579" s="99">
        <v>43798</v>
      </c>
      <c r="K579" t="s">
        <v>8257</v>
      </c>
      <c r="L579" t="s">
        <v>6984</v>
      </c>
    </row>
    <row r="580" spans="2:12" x14ac:dyDescent="0.2">
      <c r="B580">
        <v>10530</v>
      </c>
      <c r="C580" t="s">
        <v>8303</v>
      </c>
      <c r="D580" t="s">
        <v>8272</v>
      </c>
      <c r="E580" s="225">
        <v>900</v>
      </c>
      <c r="F580" t="s">
        <v>8384</v>
      </c>
      <c r="G580" t="s">
        <v>8385</v>
      </c>
      <c r="H580" t="s">
        <v>8282</v>
      </c>
      <c r="I580" s="99">
        <v>43794</v>
      </c>
      <c r="J580" s="99">
        <v>43798</v>
      </c>
      <c r="K580" t="s">
        <v>8257</v>
      </c>
      <c r="L580" t="s">
        <v>6984</v>
      </c>
    </row>
    <row r="581" spans="2:12" x14ac:dyDescent="0.2">
      <c r="B581">
        <v>10530</v>
      </c>
      <c r="C581" t="s">
        <v>8409</v>
      </c>
      <c r="D581" t="s">
        <v>8254</v>
      </c>
      <c r="E581" s="225">
        <v>570</v>
      </c>
      <c r="F581" t="s">
        <v>8384</v>
      </c>
      <c r="G581" t="s">
        <v>8385</v>
      </c>
      <c r="H581" t="s">
        <v>8282</v>
      </c>
      <c r="I581" s="99">
        <v>43794</v>
      </c>
      <c r="J581" s="99">
        <v>43798</v>
      </c>
      <c r="K581" t="s">
        <v>8257</v>
      </c>
      <c r="L581" t="s">
        <v>6984</v>
      </c>
    </row>
    <row r="582" spans="2:12" x14ac:dyDescent="0.2">
      <c r="B582">
        <v>10531</v>
      </c>
      <c r="C582" t="s">
        <v>8281</v>
      </c>
      <c r="D582" t="s">
        <v>8237</v>
      </c>
      <c r="E582" s="225">
        <v>110</v>
      </c>
      <c r="F582" t="s">
        <v>8768</v>
      </c>
      <c r="G582" t="s">
        <v>8767</v>
      </c>
      <c r="H582" t="s">
        <v>8717</v>
      </c>
      <c r="I582" s="99">
        <v>43794</v>
      </c>
      <c r="J582" s="99">
        <v>43805</v>
      </c>
      <c r="K582" t="s">
        <v>8158</v>
      </c>
      <c r="L582" t="s">
        <v>861</v>
      </c>
    </row>
    <row r="583" spans="2:12" x14ac:dyDescent="0.2">
      <c r="B583">
        <v>10532</v>
      </c>
      <c r="C583" t="s">
        <v>8348</v>
      </c>
      <c r="D583" t="s">
        <v>8254</v>
      </c>
      <c r="E583" s="225">
        <v>408</v>
      </c>
      <c r="F583" t="s">
        <v>8393</v>
      </c>
      <c r="G583" t="s">
        <v>8394</v>
      </c>
      <c r="H583" t="s">
        <v>2434</v>
      </c>
      <c r="I583" s="99">
        <v>43795</v>
      </c>
      <c r="J583" s="99">
        <v>43798</v>
      </c>
      <c r="K583" t="s">
        <v>8158</v>
      </c>
      <c r="L583" t="s">
        <v>861</v>
      </c>
    </row>
    <row r="584" spans="2:12" x14ac:dyDescent="0.2">
      <c r="B584">
        <v>10533</v>
      </c>
      <c r="C584" t="s">
        <v>8352</v>
      </c>
      <c r="D584" t="s">
        <v>8254</v>
      </c>
      <c r="E584" s="225">
        <v>1045</v>
      </c>
      <c r="F584" t="s">
        <v>8293</v>
      </c>
      <c r="G584" t="s">
        <v>8294</v>
      </c>
      <c r="H584" t="s">
        <v>8292</v>
      </c>
      <c r="I584" s="99">
        <v>43798</v>
      </c>
      <c r="J584" s="99">
        <v>43808</v>
      </c>
      <c r="K584" t="s">
        <v>8320</v>
      </c>
      <c r="L584" t="s">
        <v>8321</v>
      </c>
    </row>
    <row r="585" spans="2:12" x14ac:dyDescent="0.2">
      <c r="B585">
        <v>10533</v>
      </c>
      <c r="C585" t="s">
        <v>8235</v>
      </c>
      <c r="D585" t="s">
        <v>8237</v>
      </c>
      <c r="E585" s="225">
        <v>835.2</v>
      </c>
      <c r="F585" t="s">
        <v>8293</v>
      </c>
      <c r="G585" t="s">
        <v>8294</v>
      </c>
      <c r="H585" t="s">
        <v>8292</v>
      </c>
      <c r="I585" s="99">
        <v>43798</v>
      </c>
      <c r="J585" s="99">
        <v>43808</v>
      </c>
      <c r="K585" t="s">
        <v>8320</v>
      </c>
      <c r="L585" t="s">
        <v>8321</v>
      </c>
    </row>
    <row r="586" spans="2:12" x14ac:dyDescent="0.2">
      <c r="B586">
        <v>10535</v>
      </c>
      <c r="C586" t="s">
        <v>8242</v>
      </c>
      <c r="D586" t="s">
        <v>8237</v>
      </c>
      <c r="E586" s="225">
        <v>945</v>
      </c>
      <c r="F586" t="s">
        <v>8764</v>
      </c>
      <c r="G586" t="s">
        <v>8763</v>
      </c>
      <c r="H586" t="s">
        <v>8704</v>
      </c>
      <c r="I586" s="99">
        <v>43799</v>
      </c>
      <c r="J586" s="99">
        <v>43807</v>
      </c>
      <c r="K586" t="s">
        <v>8266</v>
      </c>
      <c r="L586" t="s">
        <v>8267</v>
      </c>
    </row>
    <row r="587" spans="2:12" x14ac:dyDescent="0.2">
      <c r="B587">
        <v>10535</v>
      </c>
      <c r="C587" t="s">
        <v>8281</v>
      </c>
      <c r="D587" t="s">
        <v>8237</v>
      </c>
      <c r="E587" s="225">
        <v>742.5</v>
      </c>
      <c r="F587" t="s">
        <v>8764</v>
      </c>
      <c r="G587" t="s">
        <v>8763</v>
      </c>
      <c r="H587" t="s">
        <v>8704</v>
      </c>
      <c r="I587" s="99">
        <v>43799</v>
      </c>
      <c r="J587" s="99">
        <v>43807</v>
      </c>
      <c r="K587" t="s">
        <v>8266</v>
      </c>
      <c r="L587" t="s">
        <v>8267</v>
      </c>
    </row>
    <row r="588" spans="2:12" x14ac:dyDescent="0.2">
      <c r="B588">
        <v>10535</v>
      </c>
      <c r="C588" t="s">
        <v>8258</v>
      </c>
      <c r="D588" t="s">
        <v>8244</v>
      </c>
      <c r="E588" s="225">
        <v>87.75</v>
      </c>
      <c r="F588" t="s">
        <v>8764</v>
      </c>
      <c r="G588" t="s">
        <v>8763</v>
      </c>
      <c r="H588" t="s">
        <v>8704</v>
      </c>
      <c r="I588" s="99">
        <v>43799</v>
      </c>
      <c r="J588" s="99">
        <v>43807</v>
      </c>
      <c r="K588" t="s">
        <v>8266</v>
      </c>
      <c r="L588" t="s">
        <v>8267</v>
      </c>
    </row>
    <row r="589" spans="2:12" x14ac:dyDescent="0.2">
      <c r="B589">
        <v>10536</v>
      </c>
      <c r="C589" t="s">
        <v>8299</v>
      </c>
      <c r="D589" t="s">
        <v>8237</v>
      </c>
      <c r="E589" s="225">
        <v>427.5</v>
      </c>
      <c r="F589" t="s">
        <v>8330</v>
      </c>
      <c r="G589" t="s">
        <v>8331</v>
      </c>
      <c r="H589" t="s">
        <v>8246</v>
      </c>
      <c r="I589" s="99">
        <v>43800</v>
      </c>
      <c r="J589" s="99">
        <v>43823</v>
      </c>
      <c r="K589" t="s">
        <v>8257</v>
      </c>
      <c r="L589" t="s">
        <v>6984</v>
      </c>
    </row>
    <row r="590" spans="2:12" x14ac:dyDescent="0.2">
      <c r="B590">
        <v>10536</v>
      </c>
      <c r="C590" t="s">
        <v>8309</v>
      </c>
      <c r="D590" t="s">
        <v>8237</v>
      </c>
      <c r="E590" s="225">
        <v>250</v>
      </c>
      <c r="F590" t="s">
        <v>8330</v>
      </c>
      <c r="G590" t="s">
        <v>8331</v>
      </c>
      <c r="H590" t="s">
        <v>8246</v>
      </c>
      <c r="I590" s="99">
        <v>43800</v>
      </c>
      <c r="J590" s="99">
        <v>43823</v>
      </c>
      <c r="K590" t="s">
        <v>8257</v>
      </c>
      <c r="L590" t="s">
        <v>6984</v>
      </c>
    </row>
    <row r="591" spans="2:12" x14ac:dyDescent="0.2">
      <c r="B591">
        <v>10536</v>
      </c>
      <c r="C591" t="s">
        <v>8269</v>
      </c>
      <c r="D591" t="s">
        <v>8237</v>
      </c>
      <c r="E591" s="225">
        <v>75</v>
      </c>
      <c r="F591" t="s">
        <v>8330</v>
      </c>
      <c r="G591" t="s">
        <v>8331</v>
      </c>
      <c r="H591" t="s">
        <v>8246</v>
      </c>
      <c r="I591" s="99">
        <v>43800</v>
      </c>
      <c r="J591" s="99">
        <v>43823</v>
      </c>
      <c r="K591" t="s">
        <v>8257</v>
      </c>
      <c r="L591" t="s">
        <v>6984</v>
      </c>
    </row>
    <row r="592" spans="2:12" x14ac:dyDescent="0.2">
      <c r="B592">
        <v>10536</v>
      </c>
      <c r="C592" t="s">
        <v>8268</v>
      </c>
      <c r="D592" t="s">
        <v>8237</v>
      </c>
      <c r="E592" s="225">
        <v>892.5</v>
      </c>
      <c r="F592" t="s">
        <v>8330</v>
      </c>
      <c r="G592" t="s">
        <v>8331</v>
      </c>
      <c r="H592" t="s">
        <v>8246</v>
      </c>
      <c r="I592" s="99">
        <v>43800</v>
      </c>
      <c r="J592" s="99">
        <v>43823</v>
      </c>
      <c r="K592" t="s">
        <v>8257</v>
      </c>
      <c r="L592" t="s">
        <v>6984</v>
      </c>
    </row>
    <row r="593" spans="2:12" x14ac:dyDescent="0.2">
      <c r="B593">
        <v>10537</v>
      </c>
      <c r="C593" t="s">
        <v>8309</v>
      </c>
      <c r="D593" t="s">
        <v>8237</v>
      </c>
      <c r="E593" s="225">
        <v>375</v>
      </c>
      <c r="F593" t="s">
        <v>8277</v>
      </c>
      <c r="G593" t="s">
        <v>8278</v>
      </c>
      <c r="H593" t="s">
        <v>8271</v>
      </c>
      <c r="I593" s="99">
        <v>43800</v>
      </c>
      <c r="J593" s="99">
        <v>43805</v>
      </c>
      <c r="K593" t="s">
        <v>8285</v>
      </c>
      <c r="L593" t="s">
        <v>2317</v>
      </c>
    </row>
    <row r="594" spans="2:12" x14ac:dyDescent="0.2">
      <c r="B594">
        <v>10537</v>
      </c>
      <c r="C594" t="s">
        <v>8235</v>
      </c>
      <c r="D594" t="s">
        <v>8237</v>
      </c>
      <c r="E594" s="225">
        <v>730.8</v>
      </c>
      <c r="F594" t="s">
        <v>8277</v>
      </c>
      <c r="G594" t="s">
        <v>8278</v>
      </c>
      <c r="H594" t="s">
        <v>8271</v>
      </c>
      <c r="I594" s="99">
        <v>43800</v>
      </c>
      <c r="J594" s="99">
        <v>43805</v>
      </c>
      <c r="K594" t="s">
        <v>8285</v>
      </c>
      <c r="L594" t="s">
        <v>2317</v>
      </c>
    </row>
    <row r="595" spans="2:12" x14ac:dyDescent="0.2">
      <c r="B595">
        <v>10537</v>
      </c>
      <c r="C595" t="s">
        <v>8245</v>
      </c>
      <c r="D595" t="s">
        <v>8247</v>
      </c>
      <c r="E595" s="225">
        <v>318</v>
      </c>
      <c r="F595" t="s">
        <v>8277</v>
      </c>
      <c r="G595" t="s">
        <v>8278</v>
      </c>
      <c r="H595" t="s">
        <v>8271</v>
      </c>
      <c r="I595" s="99">
        <v>43800</v>
      </c>
      <c r="J595" s="99">
        <v>43805</v>
      </c>
      <c r="K595" t="s">
        <v>8285</v>
      </c>
      <c r="L595" t="s">
        <v>2317</v>
      </c>
    </row>
    <row r="596" spans="2:12" x14ac:dyDescent="0.2">
      <c r="B596">
        <v>10538</v>
      </c>
      <c r="C596" t="s">
        <v>8288</v>
      </c>
      <c r="D596" t="s">
        <v>8272</v>
      </c>
      <c r="E596" s="225">
        <v>105</v>
      </c>
      <c r="F596" t="s">
        <v>8338</v>
      </c>
      <c r="G596" t="s">
        <v>8339</v>
      </c>
      <c r="H596" t="s">
        <v>2434</v>
      </c>
      <c r="I596" s="99">
        <v>43801</v>
      </c>
      <c r="J596" s="99">
        <v>43802</v>
      </c>
      <c r="K596" t="s">
        <v>8279</v>
      </c>
      <c r="L596" t="s">
        <v>710</v>
      </c>
    </row>
    <row r="597" spans="2:12" x14ac:dyDescent="0.2">
      <c r="B597">
        <v>10538</v>
      </c>
      <c r="C597" t="s">
        <v>8235</v>
      </c>
      <c r="D597" t="s">
        <v>8237</v>
      </c>
      <c r="E597" s="225">
        <v>34.799999999999997</v>
      </c>
      <c r="F597" t="s">
        <v>8338</v>
      </c>
      <c r="G597" t="s">
        <v>8339</v>
      </c>
      <c r="H597" t="s">
        <v>2434</v>
      </c>
      <c r="I597" s="99">
        <v>43801</v>
      </c>
      <c r="J597" s="99">
        <v>43802</v>
      </c>
      <c r="K597" t="s">
        <v>8279</v>
      </c>
      <c r="L597" t="s">
        <v>710</v>
      </c>
    </row>
    <row r="598" spans="2:12" x14ac:dyDescent="0.2">
      <c r="B598">
        <v>10539</v>
      </c>
      <c r="C598" t="s">
        <v>8368</v>
      </c>
      <c r="D598" t="s">
        <v>8262</v>
      </c>
      <c r="E598" s="225">
        <v>150</v>
      </c>
      <c r="F598" t="s">
        <v>8338</v>
      </c>
      <c r="G598" t="s">
        <v>8339</v>
      </c>
      <c r="H598" t="s">
        <v>2434</v>
      </c>
      <c r="I598" s="99">
        <v>43802</v>
      </c>
      <c r="J598" s="99">
        <v>43809</v>
      </c>
      <c r="K598" t="s">
        <v>8251</v>
      </c>
      <c r="L598" t="s">
        <v>269</v>
      </c>
    </row>
    <row r="599" spans="2:12" x14ac:dyDescent="0.2">
      <c r="B599">
        <v>10539</v>
      </c>
      <c r="C599" t="s">
        <v>8390</v>
      </c>
      <c r="D599" t="s">
        <v>8262</v>
      </c>
      <c r="E599" s="225">
        <v>120</v>
      </c>
      <c r="F599" t="s">
        <v>8338</v>
      </c>
      <c r="G599" t="s">
        <v>8339</v>
      </c>
      <c r="H599" t="s">
        <v>2434</v>
      </c>
      <c r="I599" s="99">
        <v>43802</v>
      </c>
      <c r="J599" s="99">
        <v>43809</v>
      </c>
      <c r="K599" t="s">
        <v>8251</v>
      </c>
      <c r="L599" t="s">
        <v>269</v>
      </c>
    </row>
    <row r="600" spans="2:12" x14ac:dyDescent="0.2">
      <c r="B600">
        <v>10539</v>
      </c>
      <c r="C600" t="s">
        <v>8269</v>
      </c>
      <c r="D600" t="s">
        <v>8237</v>
      </c>
      <c r="E600" s="225">
        <v>37.5</v>
      </c>
      <c r="F600" t="s">
        <v>8338</v>
      </c>
      <c r="G600" t="s">
        <v>8339</v>
      </c>
      <c r="H600" t="s">
        <v>2434</v>
      </c>
      <c r="I600" s="99">
        <v>43802</v>
      </c>
      <c r="J600" s="99">
        <v>43809</v>
      </c>
      <c r="K600" t="s">
        <v>8251</v>
      </c>
      <c r="L600" t="s">
        <v>269</v>
      </c>
    </row>
    <row r="601" spans="2:12" x14ac:dyDescent="0.2">
      <c r="B601">
        <v>10540</v>
      </c>
      <c r="C601" t="s">
        <v>8380</v>
      </c>
      <c r="D601" t="s">
        <v>8272</v>
      </c>
      <c r="E601" s="225">
        <v>7905</v>
      </c>
      <c r="F601" t="s">
        <v>8307</v>
      </c>
      <c r="G601" t="s">
        <v>8308</v>
      </c>
      <c r="H601" t="s">
        <v>8246</v>
      </c>
      <c r="I601" s="99">
        <v>43805</v>
      </c>
      <c r="J601" s="99">
        <v>43830</v>
      </c>
      <c r="K601" t="s">
        <v>8257</v>
      </c>
      <c r="L601" t="s">
        <v>6984</v>
      </c>
    </row>
    <row r="602" spans="2:12" x14ac:dyDescent="0.2">
      <c r="B602">
        <v>10540</v>
      </c>
      <c r="C602" t="s">
        <v>8337</v>
      </c>
      <c r="D602" t="s">
        <v>8254</v>
      </c>
      <c r="E602" s="225">
        <v>600</v>
      </c>
      <c r="F602" t="s">
        <v>8307</v>
      </c>
      <c r="G602" t="s">
        <v>8308</v>
      </c>
      <c r="H602" t="s">
        <v>8246</v>
      </c>
      <c r="I602" s="99">
        <v>43805</v>
      </c>
      <c r="J602" s="99">
        <v>43830</v>
      </c>
      <c r="K602" t="s">
        <v>8257</v>
      </c>
      <c r="L602" t="s">
        <v>6984</v>
      </c>
    </row>
    <row r="603" spans="2:12" x14ac:dyDescent="0.2">
      <c r="B603">
        <v>10540</v>
      </c>
      <c r="C603" t="s">
        <v>8372</v>
      </c>
      <c r="D603" t="s">
        <v>8262</v>
      </c>
      <c r="E603" s="225">
        <v>1249.2</v>
      </c>
      <c r="F603" t="s">
        <v>8307</v>
      </c>
      <c r="G603" t="s">
        <v>8308</v>
      </c>
      <c r="H603" t="s">
        <v>8246</v>
      </c>
      <c r="I603" s="99">
        <v>43805</v>
      </c>
      <c r="J603" s="99">
        <v>43830</v>
      </c>
      <c r="K603" t="s">
        <v>8257</v>
      </c>
      <c r="L603" t="s">
        <v>6984</v>
      </c>
    </row>
    <row r="604" spans="2:12" x14ac:dyDescent="0.2">
      <c r="B604">
        <v>10540</v>
      </c>
      <c r="C604" t="s">
        <v>8334</v>
      </c>
      <c r="D604" t="s">
        <v>8262</v>
      </c>
      <c r="E604" s="225">
        <v>437.5</v>
      </c>
      <c r="F604" t="s">
        <v>8307</v>
      </c>
      <c r="G604" t="s">
        <v>8308</v>
      </c>
      <c r="H604" t="s">
        <v>8246</v>
      </c>
      <c r="I604" s="99">
        <v>43805</v>
      </c>
      <c r="J604" s="99">
        <v>43830</v>
      </c>
      <c r="K604" t="s">
        <v>8257</v>
      </c>
      <c r="L604" t="s">
        <v>6984</v>
      </c>
    </row>
    <row r="605" spans="2:12" x14ac:dyDescent="0.2">
      <c r="B605">
        <v>10541</v>
      </c>
      <c r="C605" t="s">
        <v>8270</v>
      </c>
      <c r="D605" t="s">
        <v>8272</v>
      </c>
      <c r="E605" s="225">
        <v>141.75</v>
      </c>
      <c r="F605" t="s">
        <v>8728</v>
      </c>
      <c r="G605" t="s">
        <v>8727</v>
      </c>
      <c r="H605" t="s">
        <v>8710</v>
      </c>
      <c r="I605" s="99">
        <v>43805</v>
      </c>
      <c r="J605" s="99">
        <v>43815</v>
      </c>
      <c r="K605" t="s">
        <v>8297</v>
      </c>
      <c r="L605" t="s">
        <v>8298</v>
      </c>
    </row>
    <row r="606" spans="2:12" x14ac:dyDescent="0.2">
      <c r="B606">
        <v>10541</v>
      </c>
      <c r="C606" t="s">
        <v>8380</v>
      </c>
      <c r="D606" t="s">
        <v>8272</v>
      </c>
      <c r="E606" s="225">
        <v>948.6</v>
      </c>
      <c r="F606" t="s">
        <v>8728</v>
      </c>
      <c r="G606" t="s">
        <v>8727</v>
      </c>
      <c r="H606" t="s">
        <v>8710</v>
      </c>
      <c r="I606" s="99">
        <v>43805</v>
      </c>
      <c r="J606" s="99">
        <v>43815</v>
      </c>
      <c r="K606" t="s">
        <v>8297</v>
      </c>
      <c r="L606" t="s">
        <v>8298</v>
      </c>
    </row>
    <row r="607" spans="2:12" x14ac:dyDescent="0.2">
      <c r="B607">
        <v>10541</v>
      </c>
      <c r="C607" t="s">
        <v>8253</v>
      </c>
      <c r="D607" t="s">
        <v>8254</v>
      </c>
      <c r="E607" s="225">
        <v>682.02</v>
      </c>
      <c r="F607" t="s">
        <v>8728</v>
      </c>
      <c r="G607" t="s">
        <v>8727</v>
      </c>
      <c r="H607" t="s">
        <v>8710</v>
      </c>
      <c r="I607" s="99">
        <v>43805</v>
      </c>
      <c r="J607" s="99">
        <v>43815</v>
      </c>
      <c r="K607" t="s">
        <v>8297</v>
      </c>
      <c r="L607" t="s">
        <v>8298</v>
      </c>
    </row>
    <row r="608" spans="2:12" x14ac:dyDescent="0.2">
      <c r="B608">
        <v>10541</v>
      </c>
      <c r="C608" t="s">
        <v>8310</v>
      </c>
      <c r="D608" t="s">
        <v>8237</v>
      </c>
      <c r="E608" s="225">
        <v>174.15</v>
      </c>
      <c r="F608" t="s">
        <v>8728</v>
      </c>
      <c r="G608" t="s">
        <v>8727</v>
      </c>
      <c r="H608" t="s">
        <v>8710</v>
      </c>
      <c r="I608" s="99">
        <v>43805</v>
      </c>
      <c r="J608" s="99">
        <v>43815</v>
      </c>
      <c r="K608" t="s">
        <v>8297</v>
      </c>
      <c r="L608" t="s">
        <v>8298</v>
      </c>
    </row>
    <row r="609" spans="2:12" x14ac:dyDescent="0.2">
      <c r="B609">
        <v>10542</v>
      </c>
      <c r="C609" t="s">
        <v>8242</v>
      </c>
      <c r="D609" t="s">
        <v>8237</v>
      </c>
      <c r="E609" s="225">
        <v>299.25</v>
      </c>
      <c r="F609" t="s">
        <v>8359</v>
      </c>
      <c r="G609" t="s">
        <v>8360</v>
      </c>
      <c r="H609" t="s">
        <v>8246</v>
      </c>
      <c r="I609" s="99">
        <v>43806</v>
      </c>
      <c r="J609" s="99">
        <v>43812</v>
      </c>
      <c r="K609" t="s">
        <v>8285</v>
      </c>
      <c r="L609" t="s">
        <v>2317</v>
      </c>
    </row>
    <row r="610" spans="2:12" x14ac:dyDescent="0.2">
      <c r="B610">
        <v>10543</v>
      </c>
      <c r="C610" t="s">
        <v>8299</v>
      </c>
      <c r="D610" t="s">
        <v>8237</v>
      </c>
      <c r="E610" s="225">
        <v>969</v>
      </c>
      <c r="F610" t="s">
        <v>8709</v>
      </c>
      <c r="G610" t="s">
        <v>8708</v>
      </c>
      <c r="H610" t="s">
        <v>8707</v>
      </c>
      <c r="I610" s="99">
        <v>43807</v>
      </c>
      <c r="J610" s="99">
        <v>43809</v>
      </c>
      <c r="K610" t="s">
        <v>8320</v>
      </c>
      <c r="L610" t="s">
        <v>8321</v>
      </c>
    </row>
    <row r="611" spans="2:12" x14ac:dyDescent="0.2">
      <c r="B611">
        <v>10543</v>
      </c>
      <c r="C611" t="s">
        <v>8373</v>
      </c>
      <c r="D611" t="s">
        <v>8244</v>
      </c>
      <c r="E611" s="225">
        <v>535.5</v>
      </c>
      <c r="F611" t="s">
        <v>8709</v>
      </c>
      <c r="G611" t="s">
        <v>8708</v>
      </c>
      <c r="H611" t="s">
        <v>8707</v>
      </c>
      <c r="I611" s="99">
        <v>43807</v>
      </c>
      <c r="J611" s="99">
        <v>43809</v>
      </c>
      <c r="K611" t="s">
        <v>8320</v>
      </c>
      <c r="L611" t="s">
        <v>8321</v>
      </c>
    </row>
    <row r="612" spans="2:12" x14ac:dyDescent="0.2">
      <c r="B612">
        <v>10544</v>
      </c>
      <c r="C612" t="s">
        <v>8329</v>
      </c>
      <c r="D612" t="s">
        <v>8272</v>
      </c>
      <c r="E612" s="225">
        <v>98</v>
      </c>
      <c r="F612" t="s">
        <v>8752</v>
      </c>
      <c r="G612" t="s">
        <v>8751</v>
      </c>
      <c r="H612" t="s">
        <v>8701</v>
      </c>
      <c r="I612" s="99">
        <v>43807</v>
      </c>
      <c r="J612" s="99">
        <v>43816</v>
      </c>
      <c r="K612" t="s">
        <v>8266</v>
      </c>
      <c r="L612" t="s">
        <v>8267</v>
      </c>
    </row>
    <row r="613" spans="2:12" x14ac:dyDescent="0.2">
      <c r="B613">
        <v>10544</v>
      </c>
      <c r="C613" t="s">
        <v>8316</v>
      </c>
      <c r="D613" t="s">
        <v>8247</v>
      </c>
      <c r="E613" s="225">
        <v>319.2</v>
      </c>
      <c r="F613" t="s">
        <v>8752</v>
      </c>
      <c r="G613" t="s">
        <v>8751</v>
      </c>
      <c r="H613" t="s">
        <v>8701</v>
      </c>
      <c r="I613" s="99">
        <v>43807</v>
      </c>
      <c r="J613" s="99">
        <v>43816</v>
      </c>
      <c r="K613" t="s">
        <v>8266</v>
      </c>
      <c r="L613" t="s">
        <v>8267</v>
      </c>
    </row>
    <row r="614" spans="2:12" x14ac:dyDescent="0.2">
      <c r="B614">
        <v>10545</v>
      </c>
      <c r="C614" t="s">
        <v>8242</v>
      </c>
      <c r="D614" t="s">
        <v>8237</v>
      </c>
      <c r="E614" s="225">
        <v>210</v>
      </c>
      <c r="F614" t="s">
        <v>8772</v>
      </c>
      <c r="G614" t="s">
        <v>8771</v>
      </c>
      <c r="H614" t="s">
        <v>8701</v>
      </c>
      <c r="I614" s="99">
        <v>43808</v>
      </c>
      <c r="J614" s="99">
        <v>43843</v>
      </c>
      <c r="K614" t="s">
        <v>8320</v>
      </c>
      <c r="L614" t="s">
        <v>8321</v>
      </c>
    </row>
    <row r="615" spans="2:12" x14ac:dyDescent="0.2">
      <c r="B615">
        <v>10546</v>
      </c>
      <c r="C615" t="s">
        <v>8323</v>
      </c>
      <c r="D615" t="s">
        <v>8272</v>
      </c>
      <c r="E615" s="225">
        <v>540</v>
      </c>
      <c r="F615" t="s">
        <v>8255</v>
      </c>
      <c r="G615" t="s">
        <v>8256</v>
      </c>
      <c r="H615" t="s">
        <v>8236</v>
      </c>
      <c r="I615" s="99">
        <v>43809</v>
      </c>
      <c r="J615" s="99">
        <v>43813</v>
      </c>
      <c r="K615" t="s">
        <v>8285</v>
      </c>
      <c r="L615" t="s">
        <v>2317</v>
      </c>
    </row>
    <row r="616" spans="2:12" x14ac:dyDescent="0.2">
      <c r="B616">
        <v>10546</v>
      </c>
      <c r="C616" t="s">
        <v>8291</v>
      </c>
      <c r="D616" t="s">
        <v>8262</v>
      </c>
      <c r="E616" s="225">
        <v>1972</v>
      </c>
      <c r="F616" t="s">
        <v>8255</v>
      </c>
      <c r="G616" t="s">
        <v>8256</v>
      </c>
      <c r="H616" t="s">
        <v>8236</v>
      </c>
      <c r="I616" s="99">
        <v>43809</v>
      </c>
      <c r="J616" s="99">
        <v>43813</v>
      </c>
      <c r="K616" t="s">
        <v>8285</v>
      </c>
      <c r="L616" t="s">
        <v>2317</v>
      </c>
    </row>
    <row r="617" spans="2:12" x14ac:dyDescent="0.2">
      <c r="B617">
        <v>10546</v>
      </c>
      <c r="C617" t="s">
        <v>8415</v>
      </c>
      <c r="D617" t="s">
        <v>8247</v>
      </c>
      <c r="E617" s="225">
        <v>300</v>
      </c>
      <c r="F617" t="s">
        <v>8255</v>
      </c>
      <c r="G617" t="s">
        <v>8256</v>
      </c>
      <c r="H617" t="s">
        <v>8236</v>
      </c>
      <c r="I617" s="99">
        <v>43809</v>
      </c>
      <c r="J617" s="99">
        <v>43813</v>
      </c>
      <c r="K617" t="s">
        <v>8285</v>
      </c>
      <c r="L617" t="s">
        <v>2317</v>
      </c>
    </row>
    <row r="618" spans="2:12" x14ac:dyDescent="0.2">
      <c r="B618">
        <v>10547</v>
      </c>
      <c r="C618" t="s">
        <v>8287</v>
      </c>
      <c r="D618" t="s">
        <v>8237</v>
      </c>
      <c r="E618" s="225">
        <v>652.79999999999995</v>
      </c>
      <c r="F618" t="s">
        <v>8388</v>
      </c>
      <c r="G618" t="s">
        <v>8389</v>
      </c>
      <c r="H618" t="s">
        <v>2434</v>
      </c>
      <c r="I618" s="99">
        <v>43809</v>
      </c>
      <c r="J618" s="99">
        <v>43819</v>
      </c>
      <c r="K618" t="s">
        <v>8257</v>
      </c>
      <c r="L618" t="s">
        <v>6984</v>
      </c>
    </row>
    <row r="619" spans="2:12" x14ac:dyDescent="0.2">
      <c r="B619">
        <v>10548</v>
      </c>
      <c r="C619" t="s">
        <v>8358</v>
      </c>
      <c r="D619" t="s">
        <v>8272</v>
      </c>
      <c r="E619" s="225">
        <v>105</v>
      </c>
      <c r="F619" t="s">
        <v>8248</v>
      </c>
      <c r="G619" t="s">
        <v>8249</v>
      </c>
      <c r="H619" t="s">
        <v>8246</v>
      </c>
      <c r="I619" s="99">
        <v>43812</v>
      </c>
      <c r="J619" s="99">
        <v>43819</v>
      </c>
      <c r="K619" t="s">
        <v>8257</v>
      </c>
      <c r="L619" t="s">
        <v>6984</v>
      </c>
    </row>
    <row r="620" spans="2:12" x14ac:dyDescent="0.2">
      <c r="B620">
        <v>10549</v>
      </c>
      <c r="C620" t="s">
        <v>8309</v>
      </c>
      <c r="D620" t="s">
        <v>8237</v>
      </c>
      <c r="E620" s="225">
        <v>584.37</v>
      </c>
      <c r="F620" t="s">
        <v>8307</v>
      </c>
      <c r="G620" t="s">
        <v>8308</v>
      </c>
      <c r="H620" t="s">
        <v>8246</v>
      </c>
      <c r="I620" s="99">
        <v>43813</v>
      </c>
      <c r="J620" s="99">
        <v>43816</v>
      </c>
      <c r="K620" t="s">
        <v>8241</v>
      </c>
      <c r="L620" t="s">
        <v>6934</v>
      </c>
    </row>
    <row r="621" spans="2:12" x14ac:dyDescent="0.2">
      <c r="B621">
        <v>10549</v>
      </c>
      <c r="C621" t="s">
        <v>8245</v>
      </c>
      <c r="D621" t="s">
        <v>8247</v>
      </c>
      <c r="E621" s="225">
        <v>2162.4</v>
      </c>
      <c r="F621" t="s">
        <v>8307</v>
      </c>
      <c r="G621" t="s">
        <v>8308</v>
      </c>
      <c r="H621" t="s">
        <v>8246</v>
      </c>
      <c r="I621" s="99">
        <v>43813</v>
      </c>
      <c r="J621" s="99">
        <v>43816</v>
      </c>
      <c r="K621" t="s">
        <v>8241</v>
      </c>
      <c r="L621" t="s">
        <v>6934</v>
      </c>
    </row>
    <row r="622" spans="2:12" x14ac:dyDescent="0.2">
      <c r="B622">
        <v>10550</v>
      </c>
      <c r="C622" t="s">
        <v>8409</v>
      </c>
      <c r="D622" t="s">
        <v>8254</v>
      </c>
      <c r="E622" s="225">
        <v>256.5</v>
      </c>
      <c r="F622" t="s">
        <v>8349</v>
      </c>
      <c r="G622" t="s">
        <v>8350</v>
      </c>
      <c r="H622" t="s">
        <v>8324</v>
      </c>
      <c r="I622" s="99">
        <v>43814</v>
      </c>
      <c r="J622" s="99">
        <v>43823</v>
      </c>
      <c r="K622" t="s">
        <v>8158</v>
      </c>
      <c r="L622" t="s">
        <v>861</v>
      </c>
    </row>
    <row r="623" spans="2:12" x14ac:dyDescent="0.2">
      <c r="B623">
        <v>10550</v>
      </c>
      <c r="C623" t="s">
        <v>8327</v>
      </c>
      <c r="D623" t="s">
        <v>8262</v>
      </c>
      <c r="E623" s="225">
        <v>92</v>
      </c>
      <c r="F623" t="s">
        <v>8349</v>
      </c>
      <c r="G623" t="s">
        <v>8350</v>
      </c>
      <c r="H623" t="s">
        <v>8324</v>
      </c>
      <c r="I623" s="99">
        <v>43814</v>
      </c>
      <c r="J623" s="99">
        <v>43823</v>
      </c>
      <c r="K623" t="s">
        <v>8158</v>
      </c>
      <c r="L623" t="s">
        <v>861</v>
      </c>
    </row>
    <row r="624" spans="2:12" x14ac:dyDescent="0.2">
      <c r="B624">
        <v>10550</v>
      </c>
      <c r="C624" t="s">
        <v>8368</v>
      </c>
      <c r="D624" t="s">
        <v>8262</v>
      </c>
      <c r="E624" s="225">
        <v>54</v>
      </c>
      <c r="F624" t="s">
        <v>8349</v>
      </c>
      <c r="G624" t="s">
        <v>8350</v>
      </c>
      <c r="H624" t="s">
        <v>8324</v>
      </c>
      <c r="I624" s="99">
        <v>43814</v>
      </c>
      <c r="J624" s="99">
        <v>43823</v>
      </c>
      <c r="K624" t="s">
        <v>8158</v>
      </c>
      <c r="L624" t="s">
        <v>861</v>
      </c>
    </row>
    <row r="625" spans="2:12" x14ac:dyDescent="0.2">
      <c r="B625">
        <v>10551</v>
      </c>
      <c r="C625" t="s">
        <v>8323</v>
      </c>
      <c r="D625" t="s">
        <v>8272</v>
      </c>
      <c r="E625" s="225">
        <v>306</v>
      </c>
      <c r="F625" t="s">
        <v>8366</v>
      </c>
      <c r="G625" t="s">
        <v>8367</v>
      </c>
      <c r="H625" t="s">
        <v>8365</v>
      </c>
      <c r="I625" s="99">
        <v>43814</v>
      </c>
      <c r="J625" s="99">
        <v>43823</v>
      </c>
      <c r="K625" t="s">
        <v>8266</v>
      </c>
      <c r="L625" t="s">
        <v>8267</v>
      </c>
    </row>
    <row r="626" spans="2:12" x14ac:dyDescent="0.2">
      <c r="B626">
        <v>10551</v>
      </c>
      <c r="C626" t="s">
        <v>8322</v>
      </c>
      <c r="D626" t="s">
        <v>8254</v>
      </c>
      <c r="E626" s="225">
        <v>778</v>
      </c>
      <c r="F626" t="s">
        <v>8366</v>
      </c>
      <c r="G626" t="s">
        <v>8367</v>
      </c>
      <c r="H626" t="s">
        <v>8365</v>
      </c>
      <c r="I626" s="99">
        <v>43814</v>
      </c>
      <c r="J626" s="99">
        <v>43823</v>
      </c>
      <c r="K626" t="s">
        <v>8266</v>
      </c>
      <c r="L626" t="s">
        <v>8267</v>
      </c>
    </row>
    <row r="627" spans="2:12" x14ac:dyDescent="0.2">
      <c r="B627">
        <v>10551</v>
      </c>
      <c r="C627" t="s">
        <v>8280</v>
      </c>
      <c r="D627" t="s">
        <v>8262</v>
      </c>
      <c r="E627" s="225">
        <v>593.29999999999995</v>
      </c>
      <c r="F627" t="s">
        <v>8366</v>
      </c>
      <c r="G627" t="s">
        <v>8367</v>
      </c>
      <c r="H627" t="s">
        <v>8365</v>
      </c>
      <c r="I627" s="99">
        <v>43814</v>
      </c>
      <c r="J627" s="99">
        <v>43823</v>
      </c>
      <c r="K627" t="s">
        <v>8266</v>
      </c>
      <c r="L627" t="s">
        <v>8267</v>
      </c>
    </row>
    <row r="628" spans="2:12" x14ac:dyDescent="0.2">
      <c r="B628">
        <v>10552</v>
      </c>
      <c r="C628" t="s">
        <v>8328</v>
      </c>
      <c r="D628" t="s">
        <v>8272</v>
      </c>
      <c r="E628" s="225">
        <v>232.5</v>
      </c>
      <c r="F628" t="s">
        <v>8732</v>
      </c>
      <c r="G628" t="s">
        <v>8731</v>
      </c>
      <c r="H628" t="s">
        <v>8707</v>
      </c>
      <c r="I628" s="99">
        <v>43815</v>
      </c>
      <c r="J628" s="99">
        <v>43822</v>
      </c>
      <c r="K628" t="s">
        <v>8297</v>
      </c>
      <c r="L628" t="s">
        <v>8298</v>
      </c>
    </row>
    <row r="629" spans="2:12" x14ac:dyDescent="0.2">
      <c r="B629">
        <v>10552</v>
      </c>
      <c r="C629" t="s">
        <v>8353</v>
      </c>
      <c r="D629" t="s">
        <v>8237</v>
      </c>
      <c r="E629" s="225">
        <v>648</v>
      </c>
      <c r="F629" t="s">
        <v>8732</v>
      </c>
      <c r="G629" t="s">
        <v>8731</v>
      </c>
      <c r="H629" t="s">
        <v>8707</v>
      </c>
      <c r="I629" s="99">
        <v>43815</v>
      </c>
      <c r="J629" s="99">
        <v>43822</v>
      </c>
      <c r="K629" t="s">
        <v>8297</v>
      </c>
      <c r="L629" t="s">
        <v>8298</v>
      </c>
    </row>
    <row r="630" spans="2:12" x14ac:dyDescent="0.2">
      <c r="B630">
        <v>10553</v>
      </c>
      <c r="C630" t="s">
        <v>8323</v>
      </c>
      <c r="D630" t="s">
        <v>8272</v>
      </c>
      <c r="E630" s="225">
        <v>108</v>
      </c>
      <c r="F630" t="s">
        <v>8301</v>
      </c>
      <c r="G630" t="s">
        <v>8302</v>
      </c>
      <c r="H630" t="s">
        <v>8300</v>
      </c>
      <c r="I630" s="99">
        <v>43816</v>
      </c>
      <c r="J630" s="99">
        <v>43820</v>
      </c>
      <c r="K630" t="s">
        <v>8297</v>
      </c>
      <c r="L630" t="s">
        <v>8298</v>
      </c>
    </row>
    <row r="631" spans="2:12" x14ac:dyDescent="0.2">
      <c r="B631">
        <v>10553</v>
      </c>
      <c r="C631" t="s">
        <v>8280</v>
      </c>
      <c r="D631" t="s">
        <v>8262</v>
      </c>
      <c r="E631" s="225">
        <v>244.3</v>
      </c>
      <c r="F631" t="s">
        <v>8301</v>
      </c>
      <c r="G631" t="s">
        <v>8302</v>
      </c>
      <c r="H631" t="s">
        <v>8300</v>
      </c>
      <c r="I631" s="99">
        <v>43816</v>
      </c>
      <c r="J631" s="99">
        <v>43820</v>
      </c>
      <c r="K631" t="s">
        <v>8297</v>
      </c>
      <c r="L631" t="s">
        <v>8298</v>
      </c>
    </row>
    <row r="632" spans="2:12" x14ac:dyDescent="0.2">
      <c r="B632">
        <v>10553</v>
      </c>
      <c r="C632" t="s">
        <v>8242</v>
      </c>
      <c r="D632" t="s">
        <v>8237</v>
      </c>
      <c r="E632" s="225">
        <v>315</v>
      </c>
      <c r="F632" t="s">
        <v>8301</v>
      </c>
      <c r="G632" t="s">
        <v>8302</v>
      </c>
      <c r="H632" t="s">
        <v>8300</v>
      </c>
      <c r="I632" s="99">
        <v>43816</v>
      </c>
      <c r="J632" s="99">
        <v>43820</v>
      </c>
      <c r="K632" t="s">
        <v>8297</v>
      </c>
      <c r="L632" t="s">
        <v>8298</v>
      </c>
    </row>
    <row r="633" spans="2:12" x14ac:dyDescent="0.2">
      <c r="B633">
        <v>10553</v>
      </c>
      <c r="C633" t="s">
        <v>8309</v>
      </c>
      <c r="D633" t="s">
        <v>8237</v>
      </c>
      <c r="E633" s="225">
        <v>375</v>
      </c>
      <c r="F633" t="s">
        <v>8301</v>
      </c>
      <c r="G633" t="s">
        <v>8302</v>
      </c>
      <c r="H633" t="s">
        <v>8300</v>
      </c>
      <c r="I633" s="99">
        <v>43816</v>
      </c>
      <c r="J633" s="99">
        <v>43820</v>
      </c>
      <c r="K633" t="s">
        <v>8297</v>
      </c>
      <c r="L633" t="s">
        <v>8298</v>
      </c>
    </row>
    <row r="634" spans="2:12" x14ac:dyDescent="0.2">
      <c r="B634">
        <v>10553</v>
      </c>
      <c r="C634" t="s">
        <v>8259</v>
      </c>
      <c r="D634" t="s">
        <v>8244</v>
      </c>
      <c r="E634" s="225">
        <v>504</v>
      </c>
      <c r="F634" t="s">
        <v>8301</v>
      </c>
      <c r="G634" t="s">
        <v>8302</v>
      </c>
      <c r="H634" t="s">
        <v>8300</v>
      </c>
      <c r="I634" s="99">
        <v>43816</v>
      </c>
      <c r="J634" s="99">
        <v>43820</v>
      </c>
      <c r="K634" t="s">
        <v>8297</v>
      </c>
      <c r="L634" t="s">
        <v>8298</v>
      </c>
    </row>
    <row r="635" spans="2:12" x14ac:dyDescent="0.2">
      <c r="B635">
        <v>10554</v>
      </c>
      <c r="C635" t="s">
        <v>8397</v>
      </c>
      <c r="D635" t="s">
        <v>8254</v>
      </c>
      <c r="E635" s="225">
        <v>123.5</v>
      </c>
      <c r="F635" t="s">
        <v>8289</v>
      </c>
      <c r="G635" t="s">
        <v>8290</v>
      </c>
      <c r="H635" t="s">
        <v>8246</v>
      </c>
      <c r="I635" s="99">
        <v>43816</v>
      </c>
      <c r="J635" s="99">
        <v>43822</v>
      </c>
      <c r="K635" t="s">
        <v>8266</v>
      </c>
      <c r="L635" t="s">
        <v>8267</v>
      </c>
    </row>
    <row r="636" spans="2:12" x14ac:dyDescent="0.2">
      <c r="B636">
        <v>10554</v>
      </c>
      <c r="C636" t="s">
        <v>8280</v>
      </c>
      <c r="D636" t="s">
        <v>8262</v>
      </c>
      <c r="E636" s="225">
        <v>497.32</v>
      </c>
      <c r="F636" t="s">
        <v>8289</v>
      </c>
      <c r="G636" t="s">
        <v>8290</v>
      </c>
      <c r="H636" t="s">
        <v>8246</v>
      </c>
      <c r="I636" s="99">
        <v>43816</v>
      </c>
      <c r="J636" s="99">
        <v>43822</v>
      </c>
      <c r="K636" t="s">
        <v>8266</v>
      </c>
      <c r="L636" t="s">
        <v>8267</v>
      </c>
    </row>
    <row r="637" spans="2:12" x14ac:dyDescent="0.2">
      <c r="B637">
        <v>10554</v>
      </c>
      <c r="C637" t="s">
        <v>8291</v>
      </c>
      <c r="D637" t="s">
        <v>8262</v>
      </c>
      <c r="E637" s="225">
        <v>936.7</v>
      </c>
      <c r="F637" t="s">
        <v>8289</v>
      </c>
      <c r="G637" t="s">
        <v>8290</v>
      </c>
      <c r="H637" t="s">
        <v>8246</v>
      </c>
      <c r="I637" s="99">
        <v>43816</v>
      </c>
      <c r="J637" s="99">
        <v>43822</v>
      </c>
      <c r="K637" t="s">
        <v>8266</v>
      </c>
      <c r="L637" t="s">
        <v>8267</v>
      </c>
    </row>
    <row r="638" spans="2:12" x14ac:dyDescent="0.2">
      <c r="B638">
        <v>10554</v>
      </c>
      <c r="C638" t="s">
        <v>8373</v>
      </c>
      <c r="D638" t="s">
        <v>8244</v>
      </c>
      <c r="E638" s="225">
        <v>171</v>
      </c>
      <c r="F638" t="s">
        <v>8289</v>
      </c>
      <c r="G638" t="s">
        <v>8290</v>
      </c>
      <c r="H638" t="s">
        <v>8246</v>
      </c>
      <c r="I638" s="99">
        <v>43816</v>
      </c>
      <c r="J638" s="99">
        <v>43822</v>
      </c>
      <c r="K638" t="s">
        <v>8266</v>
      </c>
      <c r="L638" t="s">
        <v>8267</v>
      </c>
    </row>
    <row r="639" spans="2:12" x14ac:dyDescent="0.2">
      <c r="B639">
        <v>10555</v>
      </c>
      <c r="C639" t="s">
        <v>8270</v>
      </c>
      <c r="D639" t="s">
        <v>8272</v>
      </c>
      <c r="E639" s="225">
        <v>64.8</v>
      </c>
      <c r="F639" t="s">
        <v>8758</v>
      </c>
      <c r="G639" t="s">
        <v>8757</v>
      </c>
      <c r="H639" t="s">
        <v>8701</v>
      </c>
      <c r="I639" s="99">
        <v>43819</v>
      </c>
      <c r="J639" s="99">
        <v>43821</v>
      </c>
      <c r="K639" t="s">
        <v>8251</v>
      </c>
      <c r="L639" t="s">
        <v>269</v>
      </c>
    </row>
    <row r="640" spans="2:12" x14ac:dyDescent="0.2">
      <c r="B640">
        <v>10555</v>
      </c>
      <c r="C640" t="s">
        <v>8327</v>
      </c>
      <c r="D640" t="s">
        <v>8262</v>
      </c>
      <c r="E640" s="225">
        <v>257.60000000000002</v>
      </c>
      <c r="F640" t="s">
        <v>8758</v>
      </c>
      <c r="G640" t="s">
        <v>8757</v>
      </c>
      <c r="H640" t="s">
        <v>8701</v>
      </c>
      <c r="I640" s="99">
        <v>43819</v>
      </c>
      <c r="J640" s="99">
        <v>43821</v>
      </c>
      <c r="K640" t="s">
        <v>8251</v>
      </c>
      <c r="L640" t="s">
        <v>269</v>
      </c>
    </row>
    <row r="641" spans="2:12" x14ac:dyDescent="0.2">
      <c r="B641">
        <v>10555</v>
      </c>
      <c r="C641" t="s">
        <v>8341</v>
      </c>
      <c r="D641" t="s">
        <v>8244</v>
      </c>
      <c r="E641" s="225">
        <v>1216</v>
      </c>
      <c r="F641" t="s">
        <v>8758</v>
      </c>
      <c r="G641" t="s">
        <v>8757</v>
      </c>
      <c r="H641" t="s">
        <v>8701</v>
      </c>
      <c r="I641" s="99">
        <v>43819</v>
      </c>
      <c r="J641" s="99">
        <v>43821</v>
      </c>
      <c r="K641" t="s">
        <v>8251</v>
      </c>
      <c r="L641" t="s">
        <v>269</v>
      </c>
    </row>
    <row r="642" spans="2:12" x14ac:dyDescent="0.2">
      <c r="B642">
        <v>10555</v>
      </c>
      <c r="C642" t="s">
        <v>8252</v>
      </c>
      <c r="D642" t="s">
        <v>8247</v>
      </c>
      <c r="E642" s="225">
        <v>558</v>
      </c>
      <c r="F642" t="s">
        <v>8758</v>
      </c>
      <c r="G642" t="s">
        <v>8757</v>
      </c>
      <c r="H642" t="s">
        <v>8701</v>
      </c>
      <c r="I642" s="99">
        <v>43819</v>
      </c>
      <c r="J642" s="99">
        <v>43821</v>
      </c>
      <c r="K642" t="s">
        <v>8251</v>
      </c>
      <c r="L642" t="s">
        <v>269</v>
      </c>
    </row>
    <row r="643" spans="2:12" x14ac:dyDescent="0.2">
      <c r="B643">
        <v>10555</v>
      </c>
      <c r="C643" t="s">
        <v>8245</v>
      </c>
      <c r="D643" t="s">
        <v>8247</v>
      </c>
      <c r="E643" s="225">
        <v>848</v>
      </c>
      <c r="F643" t="s">
        <v>8758</v>
      </c>
      <c r="G643" t="s">
        <v>8757</v>
      </c>
      <c r="H643" t="s">
        <v>8701</v>
      </c>
      <c r="I643" s="99">
        <v>43819</v>
      </c>
      <c r="J643" s="99">
        <v>43821</v>
      </c>
      <c r="K643" t="s">
        <v>8251</v>
      </c>
      <c r="L643" t="s">
        <v>269</v>
      </c>
    </row>
    <row r="644" spans="2:12" x14ac:dyDescent="0.2">
      <c r="B644">
        <v>10556</v>
      </c>
      <c r="C644" t="s">
        <v>8235</v>
      </c>
      <c r="D644" t="s">
        <v>8237</v>
      </c>
      <c r="E644" s="225">
        <v>835.2</v>
      </c>
      <c r="F644" t="s">
        <v>8375</v>
      </c>
      <c r="G644" t="s">
        <v>8376</v>
      </c>
      <c r="H644" t="s">
        <v>8374</v>
      </c>
      <c r="I644" s="99">
        <v>43820</v>
      </c>
      <c r="J644" s="99">
        <v>43830</v>
      </c>
      <c r="K644" t="s">
        <v>8297</v>
      </c>
      <c r="L644" t="s">
        <v>8298</v>
      </c>
    </row>
    <row r="645" spans="2:12" x14ac:dyDescent="0.2">
      <c r="B645">
        <v>10557</v>
      </c>
      <c r="C645" t="s">
        <v>8328</v>
      </c>
      <c r="D645" t="s">
        <v>8272</v>
      </c>
      <c r="E645" s="225">
        <v>155</v>
      </c>
      <c r="F645" t="s">
        <v>8330</v>
      </c>
      <c r="G645" t="s">
        <v>8331</v>
      </c>
      <c r="H645" t="s">
        <v>8246</v>
      </c>
      <c r="I645" s="99">
        <v>43820</v>
      </c>
      <c r="J645" s="99">
        <v>43823</v>
      </c>
      <c r="K645" t="s">
        <v>8279</v>
      </c>
      <c r="L645" t="s">
        <v>710</v>
      </c>
    </row>
    <row r="646" spans="2:12" x14ac:dyDescent="0.2">
      <c r="B646">
        <v>10557</v>
      </c>
      <c r="C646" t="s">
        <v>8340</v>
      </c>
      <c r="D646" t="s">
        <v>8244</v>
      </c>
      <c r="E646" s="225">
        <v>997.5</v>
      </c>
      <c r="F646" t="s">
        <v>8330</v>
      </c>
      <c r="G646" t="s">
        <v>8331</v>
      </c>
      <c r="H646" t="s">
        <v>8246</v>
      </c>
      <c r="I646" s="99">
        <v>43820</v>
      </c>
      <c r="J646" s="99">
        <v>43823</v>
      </c>
      <c r="K646" t="s">
        <v>8279</v>
      </c>
      <c r="L646" t="s">
        <v>710</v>
      </c>
    </row>
    <row r="647" spans="2:12" x14ac:dyDescent="0.2">
      <c r="B647">
        <v>10558</v>
      </c>
      <c r="C647" t="s">
        <v>8410</v>
      </c>
      <c r="D647" t="s">
        <v>8262</v>
      </c>
      <c r="E647" s="225">
        <v>237.5</v>
      </c>
      <c r="F647" t="s">
        <v>8386</v>
      </c>
      <c r="G647" t="s">
        <v>8387</v>
      </c>
      <c r="H647" t="s">
        <v>2434</v>
      </c>
      <c r="I647" s="99">
        <v>43821</v>
      </c>
      <c r="J647" s="99">
        <v>43827</v>
      </c>
      <c r="K647" t="s">
        <v>8285</v>
      </c>
      <c r="L647" t="s">
        <v>2317</v>
      </c>
    </row>
    <row r="648" spans="2:12" x14ac:dyDescent="0.2">
      <c r="B648">
        <v>10558</v>
      </c>
      <c r="C648" t="s">
        <v>8369</v>
      </c>
      <c r="D648" t="s">
        <v>8244</v>
      </c>
      <c r="E648" s="225">
        <v>210</v>
      </c>
      <c r="F648" t="s">
        <v>8386</v>
      </c>
      <c r="G648" t="s">
        <v>8387</v>
      </c>
      <c r="H648" t="s">
        <v>2434</v>
      </c>
      <c r="I648" s="99">
        <v>43821</v>
      </c>
      <c r="J648" s="99">
        <v>43827</v>
      </c>
      <c r="K648" t="s">
        <v>8285</v>
      </c>
      <c r="L648" t="s">
        <v>2317</v>
      </c>
    </row>
    <row r="649" spans="2:12" x14ac:dyDescent="0.2">
      <c r="B649">
        <v>10558</v>
      </c>
      <c r="C649" t="s">
        <v>8245</v>
      </c>
      <c r="D649" t="s">
        <v>8247</v>
      </c>
      <c r="E649" s="225">
        <v>1060</v>
      </c>
      <c r="F649" t="s">
        <v>8386</v>
      </c>
      <c r="G649" t="s">
        <v>8387</v>
      </c>
      <c r="H649" t="s">
        <v>2434</v>
      </c>
      <c r="I649" s="99">
        <v>43821</v>
      </c>
      <c r="J649" s="99">
        <v>43827</v>
      </c>
      <c r="K649" t="s">
        <v>8285</v>
      </c>
      <c r="L649" t="s">
        <v>2317</v>
      </c>
    </row>
    <row r="650" spans="2:12" x14ac:dyDescent="0.2">
      <c r="B650">
        <v>10560</v>
      </c>
      <c r="C650" t="s">
        <v>8291</v>
      </c>
      <c r="D650" t="s">
        <v>8262</v>
      </c>
      <c r="E650" s="225">
        <v>554.62</v>
      </c>
      <c r="F650" t="s">
        <v>8304</v>
      </c>
      <c r="G650" t="s">
        <v>8305</v>
      </c>
      <c r="H650" t="s">
        <v>8246</v>
      </c>
      <c r="I650" s="99">
        <v>43823</v>
      </c>
      <c r="J650" s="99">
        <v>43826</v>
      </c>
      <c r="K650" t="s">
        <v>8320</v>
      </c>
      <c r="L650" t="s">
        <v>8321</v>
      </c>
    </row>
    <row r="651" spans="2:12" x14ac:dyDescent="0.2">
      <c r="B651">
        <v>10561</v>
      </c>
      <c r="C651" t="s">
        <v>8322</v>
      </c>
      <c r="D651" t="s">
        <v>8254</v>
      </c>
      <c r="E651" s="225">
        <v>194.5</v>
      </c>
      <c r="F651" t="s">
        <v>8293</v>
      </c>
      <c r="G651" t="s">
        <v>8294</v>
      </c>
      <c r="H651" t="s">
        <v>8292</v>
      </c>
      <c r="I651" s="99">
        <v>43823</v>
      </c>
      <c r="J651" s="99">
        <v>43826</v>
      </c>
      <c r="K651" t="s">
        <v>8297</v>
      </c>
      <c r="L651" t="s">
        <v>8298</v>
      </c>
    </row>
    <row r="652" spans="2:12" x14ac:dyDescent="0.2">
      <c r="B652">
        <v>10561</v>
      </c>
      <c r="C652" t="s">
        <v>8245</v>
      </c>
      <c r="D652" t="s">
        <v>8247</v>
      </c>
      <c r="E652" s="225">
        <v>2650</v>
      </c>
      <c r="F652" t="s">
        <v>8293</v>
      </c>
      <c r="G652" t="s">
        <v>8294</v>
      </c>
      <c r="H652" t="s">
        <v>8292</v>
      </c>
      <c r="I652" s="99">
        <v>43823</v>
      </c>
      <c r="J652" s="99">
        <v>43826</v>
      </c>
      <c r="K652" t="s">
        <v>8297</v>
      </c>
      <c r="L652" t="s">
        <v>8298</v>
      </c>
    </row>
    <row r="653" spans="2:12" x14ac:dyDescent="0.2">
      <c r="B653">
        <v>10562</v>
      </c>
      <c r="C653" t="s">
        <v>8291</v>
      </c>
      <c r="D653" t="s">
        <v>8262</v>
      </c>
      <c r="E653" s="225">
        <v>443.7</v>
      </c>
      <c r="F653" t="s">
        <v>8335</v>
      </c>
      <c r="G653" t="s">
        <v>8336</v>
      </c>
      <c r="H653" t="s">
        <v>8311</v>
      </c>
      <c r="I653" s="99">
        <v>43826</v>
      </c>
      <c r="J653" s="99">
        <v>43829</v>
      </c>
      <c r="K653" t="s">
        <v>8285</v>
      </c>
      <c r="L653" t="s">
        <v>2317</v>
      </c>
    </row>
    <row r="654" spans="2:12" x14ac:dyDescent="0.2">
      <c r="B654">
        <v>10562</v>
      </c>
      <c r="C654" t="s">
        <v>8269</v>
      </c>
      <c r="D654" t="s">
        <v>8237</v>
      </c>
      <c r="E654" s="225">
        <v>45</v>
      </c>
      <c r="F654" t="s">
        <v>8335</v>
      </c>
      <c r="G654" t="s">
        <v>8336</v>
      </c>
      <c r="H654" t="s">
        <v>8311</v>
      </c>
      <c r="I654" s="99">
        <v>43826</v>
      </c>
      <c r="J654" s="99">
        <v>43829</v>
      </c>
      <c r="K654" t="s">
        <v>8285</v>
      </c>
      <c r="L654" t="s">
        <v>2317</v>
      </c>
    </row>
    <row r="655" spans="2:12" x14ac:dyDescent="0.2">
      <c r="B655">
        <v>10563</v>
      </c>
      <c r="C655" t="s">
        <v>8369</v>
      </c>
      <c r="D655" t="s">
        <v>8244</v>
      </c>
      <c r="E655" s="225">
        <v>490</v>
      </c>
      <c r="F655" t="s">
        <v>8716</v>
      </c>
      <c r="G655" t="s">
        <v>8715</v>
      </c>
      <c r="H655" t="s">
        <v>8710</v>
      </c>
      <c r="I655" s="99">
        <v>43827</v>
      </c>
      <c r="J655" s="99">
        <v>43841</v>
      </c>
      <c r="K655" t="s">
        <v>8297</v>
      </c>
      <c r="L655" t="s">
        <v>8298</v>
      </c>
    </row>
    <row r="656" spans="2:12" x14ac:dyDescent="0.2">
      <c r="B656">
        <v>10564</v>
      </c>
      <c r="C656" t="s">
        <v>8309</v>
      </c>
      <c r="D656" t="s">
        <v>8237</v>
      </c>
      <c r="E656" s="225">
        <v>71.25</v>
      </c>
      <c r="F656" t="s">
        <v>8703</v>
      </c>
      <c r="G656" t="s">
        <v>8702</v>
      </c>
      <c r="H656" t="s">
        <v>8701</v>
      </c>
      <c r="I656" s="99">
        <v>43827</v>
      </c>
      <c r="J656" s="99">
        <v>43833</v>
      </c>
      <c r="K656" t="s">
        <v>8266</v>
      </c>
      <c r="L656" t="s">
        <v>8267</v>
      </c>
    </row>
    <row r="657" spans="2:12" x14ac:dyDescent="0.2">
      <c r="B657">
        <v>10565</v>
      </c>
      <c r="C657" t="s">
        <v>8270</v>
      </c>
      <c r="D657" t="s">
        <v>8272</v>
      </c>
      <c r="E657" s="225">
        <v>101.25</v>
      </c>
      <c r="F657" t="s">
        <v>8760</v>
      </c>
      <c r="G657" t="s">
        <v>8759</v>
      </c>
      <c r="H657" t="s">
        <v>8720</v>
      </c>
      <c r="I657" s="99">
        <v>43828</v>
      </c>
      <c r="J657" s="99">
        <v>43835</v>
      </c>
      <c r="K657" t="s">
        <v>8320</v>
      </c>
      <c r="L657" t="s">
        <v>8321</v>
      </c>
    </row>
    <row r="658" spans="2:12" x14ac:dyDescent="0.2">
      <c r="B658">
        <v>10565</v>
      </c>
      <c r="C658" t="s">
        <v>8340</v>
      </c>
      <c r="D658" t="s">
        <v>8244</v>
      </c>
      <c r="E658" s="225">
        <v>538.65</v>
      </c>
      <c r="F658" t="s">
        <v>8760</v>
      </c>
      <c r="G658" t="s">
        <v>8759</v>
      </c>
      <c r="H658" t="s">
        <v>8720</v>
      </c>
      <c r="I658" s="99">
        <v>43828</v>
      </c>
      <c r="J658" s="99">
        <v>43835</v>
      </c>
      <c r="K658" t="s">
        <v>8320</v>
      </c>
      <c r="L658" t="s">
        <v>8321</v>
      </c>
    </row>
    <row r="659" spans="2:12" x14ac:dyDescent="0.2">
      <c r="B659">
        <v>10566</v>
      </c>
      <c r="C659" t="s">
        <v>8303</v>
      </c>
      <c r="D659" t="s">
        <v>8272</v>
      </c>
      <c r="E659" s="225">
        <v>180</v>
      </c>
      <c r="F659" t="s">
        <v>8295</v>
      </c>
      <c r="G659" t="s">
        <v>8296</v>
      </c>
      <c r="H659" t="s">
        <v>8236</v>
      </c>
      <c r="I659" s="99">
        <v>43829</v>
      </c>
      <c r="J659" s="99">
        <v>43835</v>
      </c>
      <c r="K659" t="s">
        <v>8279</v>
      </c>
      <c r="L659" t="s">
        <v>710</v>
      </c>
    </row>
    <row r="660" spans="2:12" x14ac:dyDescent="0.2">
      <c r="B660">
        <v>10566</v>
      </c>
      <c r="C660" t="s">
        <v>8242</v>
      </c>
      <c r="D660" t="s">
        <v>8237</v>
      </c>
      <c r="E660" s="225">
        <v>624.75</v>
      </c>
      <c r="F660" t="s">
        <v>8295</v>
      </c>
      <c r="G660" t="s">
        <v>8296</v>
      </c>
      <c r="H660" t="s">
        <v>8236</v>
      </c>
      <c r="I660" s="99">
        <v>43829</v>
      </c>
      <c r="J660" s="99">
        <v>43835</v>
      </c>
      <c r="K660" t="s">
        <v>8279</v>
      </c>
      <c r="L660" t="s">
        <v>710</v>
      </c>
    </row>
    <row r="661" spans="2:12" x14ac:dyDescent="0.2">
      <c r="B661">
        <v>10567</v>
      </c>
      <c r="C661" t="s">
        <v>8309</v>
      </c>
      <c r="D661" t="s">
        <v>8237</v>
      </c>
      <c r="E661" s="225">
        <v>600</v>
      </c>
      <c r="F661" t="s">
        <v>8344</v>
      </c>
      <c r="G661" t="s">
        <v>8345</v>
      </c>
      <c r="H661" t="s">
        <v>8343</v>
      </c>
      <c r="I661" s="99">
        <v>43829</v>
      </c>
      <c r="J661" s="99">
        <v>43834</v>
      </c>
      <c r="K661" t="s">
        <v>8285</v>
      </c>
      <c r="L661" t="s">
        <v>2317</v>
      </c>
    </row>
    <row r="662" spans="2:12" x14ac:dyDescent="0.2">
      <c r="B662">
        <v>10567</v>
      </c>
      <c r="C662" t="s">
        <v>8281</v>
      </c>
      <c r="D662" t="s">
        <v>8237</v>
      </c>
      <c r="E662" s="225">
        <v>1760</v>
      </c>
      <c r="F662" t="s">
        <v>8344</v>
      </c>
      <c r="G662" t="s">
        <v>8345</v>
      </c>
      <c r="H662" t="s">
        <v>8343</v>
      </c>
      <c r="I662" s="99">
        <v>43829</v>
      </c>
      <c r="J662" s="99">
        <v>43834</v>
      </c>
      <c r="K662" t="s">
        <v>8285</v>
      </c>
      <c r="L662" t="s">
        <v>2317</v>
      </c>
    </row>
    <row r="663" spans="2:12" x14ac:dyDescent="0.2">
      <c r="B663">
        <v>10567</v>
      </c>
      <c r="C663" t="s">
        <v>8245</v>
      </c>
      <c r="D663" t="s">
        <v>8247</v>
      </c>
      <c r="E663" s="225">
        <v>159</v>
      </c>
      <c r="F663" t="s">
        <v>8344</v>
      </c>
      <c r="G663" t="s">
        <v>8345</v>
      </c>
      <c r="H663" t="s">
        <v>8343</v>
      </c>
      <c r="I663" s="99">
        <v>43829</v>
      </c>
      <c r="J663" s="99">
        <v>43834</v>
      </c>
      <c r="K663" t="s">
        <v>8285</v>
      </c>
      <c r="L663" t="s">
        <v>2317</v>
      </c>
    </row>
    <row r="664" spans="2:12" x14ac:dyDescent="0.2">
      <c r="B664">
        <v>10569</v>
      </c>
      <c r="C664" t="s">
        <v>8303</v>
      </c>
      <c r="D664" t="s">
        <v>8272</v>
      </c>
      <c r="E664" s="225">
        <v>540</v>
      </c>
      <c r="F664" t="s">
        <v>8703</v>
      </c>
      <c r="G664" t="s">
        <v>8702</v>
      </c>
      <c r="H664" t="s">
        <v>8701</v>
      </c>
      <c r="I664" s="99">
        <v>43833</v>
      </c>
      <c r="J664" s="99">
        <v>43858</v>
      </c>
      <c r="K664" t="s">
        <v>8241</v>
      </c>
      <c r="L664" t="s">
        <v>6934</v>
      </c>
    </row>
    <row r="665" spans="2:12" x14ac:dyDescent="0.2">
      <c r="B665">
        <v>10569</v>
      </c>
      <c r="C665" t="s">
        <v>8309</v>
      </c>
      <c r="D665" t="s">
        <v>8237</v>
      </c>
      <c r="E665" s="225">
        <v>350</v>
      </c>
      <c r="F665" t="s">
        <v>8703</v>
      </c>
      <c r="G665" t="s">
        <v>8702</v>
      </c>
      <c r="H665" t="s">
        <v>8701</v>
      </c>
      <c r="I665" s="99">
        <v>43833</v>
      </c>
      <c r="J665" s="99">
        <v>43858</v>
      </c>
      <c r="K665" t="s">
        <v>8241</v>
      </c>
      <c r="L665" t="s">
        <v>6934</v>
      </c>
    </row>
    <row r="666" spans="2:12" x14ac:dyDescent="0.2">
      <c r="B666">
        <v>10570</v>
      </c>
      <c r="C666" t="s">
        <v>8242</v>
      </c>
      <c r="D666" t="s">
        <v>8237</v>
      </c>
      <c r="E666" s="225">
        <v>299.25</v>
      </c>
      <c r="F666" t="s">
        <v>8760</v>
      </c>
      <c r="G666" t="s">
        <v>8759</v>
      </c>
      <c r="H666" t="s">
        <v>8720</v>
      </c>
      <c r="I666" s="99">
        <v>43834</v>
      </c>
      <c r="J666" s="99">
        <v>43836</v>
      </c>
      <c r="K666" t="s">
        <v>8257</v>
      </c>
      <c r="L666" t="s">
        <v>6984</v>
      </c>
    </row>
    <row r="667" spans="2:12" x14ac:dyDescent="0.2">
      <c r="B667">
        <v>10570</v>
      </c>
      <c r="C667" t="s">
        <v>8341</v>
      </c>
      <c r="D667" t="s">
        <v>8244</v>
      </c>
      <c r="E667" s="225">
        <v>2166</v>
      </c>
      <c r="F667" t="s">
        <v>8760</v>
      </c>
      <c r="G667" t="s">
        <v>8759</v>
      </c>
      <c r="H667" t="s">
        <v>8720</v>
      </c>
      <c r="I667" s="99">
        <v>43834</v>
      </c>
      <c r="J667" s="99">
        <v>43836</v>
      </c>
      <c r="K667" t="s">
        <v>8257</v>
      </c>
      <c r="L667" t="s">
        <v>6984</v>
      </c>
    </row>
    <row r="668" spans="2:12" x14ac:dyDescent="0.2">
      <c r="B668">
        <v>10571</v>
      </c>
      <c r="C668" t="s">
        <v>8243</v>
      </c>
      <c r="D668" t="s">
        <v>8244</v>
      </c>
      <c r="E668" s="225">
        <v>333.2</v>
      </c>
      <c r="F668" t="s">
        <v>8283</v>
      </c>
      <c r="G668" t="s">
        <v>8284</v>
      </c>
      <c r="H668" t="s">
        <v>8282</v>
      </c>
      <c r="I668" s="99">
        <v>43834</v>
      </c>
      <c r="J668" s="99">
        <v>43851</v>
      </c>
      <c r="K668" t="s">
        <v>8320</v>
      </c>
      <c r="L668" t="s">
        <v>8321</v>
      </c>
    </row>
    <row r="669" spans="2:12" x14ac:dyDescent="0.2">
      <c r="B669">
        <v>10571</v>
      </c>
      <c r="C669" t="s">
        <v>8252</v>
      </c>
      <c r="D669" t="s">
        <v>8247</v>
      </c>
      <c r="E669" s="225">
        <v>217.39</v>
      </c>
      <c r="F669" t="s">
        <v>8283</v>
      </c>
      <c r="G669" t="s">
        <v>8284</v>
      </c>
      <c r="H669" t="s">
        <v>8282</v>
      </c>
      <c r="I669" s="99">
        <v>43834</v>
      </c>
      <c r="J669" s="99">
        <v>43851</v>
      </c>
      <c r="K669" t="s">
        <v>8320</v>
      </c>
      <c r="L669" t="s">
        <v>8321</v>
      </c>
    </row>
    <row r="670" spans="2:12" x14ac:dyDescent="0.2">
      <c r="B670">
        <v>10572</v>
      </c>
      <c r="C670" t="s">
        <v>8328</v>
      </c>
      <c r="D670" t="s">
        <v>8272</v>
      </c>
      <c r="E670" s="225">
        <v>104.62</v>
      </c>
      <c r="F670" t="s">
        <v>8318</v>
      </c>
      <c r="G670" t="s">
        <v>8319</v>
      </c>
      <c r="H670" t="s">
        <v>8292</v>
      </c>
      <c r="I670" s="99">
        <v>43835</v>
      </c>
      <c r="J670" s="99">
        <v>43842</v>
      </c>
      <c r="K670" t="s">
        <v>8257</v>
      </c>
      <c r="L670" t="s">
        <v>6984</v>
      </c>
    </row>
    <row r="671" spans="2:12" x14ac:dyDescent="0.2">
      <c r="B671">
        <v>10572</v>
      </c>
      <c r="C671" t="s">
        <v>8280</v>
      </c>
      <c r="D671" t="s">
        <v>8262</v>
      </c>
      <c r="E671" s="225">
        <v>188.46</v>
      </c>
      <c r="F671" t="s">
        <v>8318</v>
      </c>
      <c r="G671" t="s">
        <v>8319</v>
      </c>
      <c r="H671" t="s">
        <v>8292</v>
      </c>
      <c r="I671" s="99">
        <v>43835</v>
      </c>
      <c r="J671" s="99">
        <v>43842</v>
      </c>
      <c r="K671" t="s">
        <v>8257</v>
      </c>
      <c r="L671" t="s">
        <v>6984</v>
      </c>
    </row>
    <row r="672" spans="2:12" x14ac:dyDescent="0.2">
      <c r="B672">
        <v>10572</v>
      </c>
      <c r="C672" t="s">
        <v>8287</v>
      </c>
      <c r="D672" t="s">
        <v>8237</v>
      </c>
      <c r="E672" s="225">
        <v>288</v>
      </c>
      <c r="F672" t="s">
        <v>8318</v>
      </c>
      <c r="G672" t="s">
        <v>8319</v>
      </c>
      <c r="H672" t="s">
        <v>8292</v>
      </c>
      <c r="I672" s="99">
        <v>43835</v>
      </c>
      <c r="J672" s="99">
        <v>43842</v>
      </c>
      <c r="K672" t="s">
        <v>8257</v>
      </c>
      <c r="L672" t="s">
        <v>6984</v>
      </c>
    </row>
    <row r="673" spans="2:12" x14ac:dyDescent="0.2">
      <c r="B673">
        <v>10573</v>
      </c>
      <c r="C673" t="s">
        <v>8358</v>
      </c>
      <c r="D673" t="s">
        <v>8272</v>
      </c>
      <c r="E673" s="225">
        <v>560</v>
      </c>
      <c r="F673" t="s">
        <v>8764</v>
      </c>
      <c r="G673" t="s">
        <v>8763</v>
      </c>
      <c r="H673" t="s">
        <v>8704</v>
      </c>
      <c r="I673" s="99">
        <v>43836</v>
      </c>
      <c r="J673" s="99">
        <v>43837</v>
      </c>
      <c r="K673" t="s">
        <v>8158</v>
      </c>
      <c r="L673" t="s">
        <v>861</v>
      </c>
    </row>
    <row r="674" spans="2:12" x14ac:dyDescent="0.2">
      <c r="B674">
        <v>10574</v>
      </c>
      <c r="C674" t="s">
        <v>8291</v>
      </c>
      <c r="D674" t="s">
        <v>8262</v>
      </c>
      <c r="E674" s="225">
        <v>493</v>
      </c>
      <c r="F674" t="s">
        <v>8776</v>
      </c>
      <c r="G674" t="s">
        <v>8775</v>
      </c>
      <c r="H674" t="s">
        <v>8701</v>
      </c>
      <c r="I674" s="99">
        <v>43836</v>
      </c>
      <c r="J674" s="99">
        <v>43847</v>
      </c>
      <c r="K674" t="s">
        <v>8266</v>
      </c>
      <c r="L674" t="s">
        <v>8267</v>
      </c>
    </row>
    <row r="675" spans="2:12" x14ac:dyDescent="0.2">
      <c r="B675">
        <v>10574</v>
      </c>
      <c r="C675" t="s">
        <v>8269</v>
      </c>
      <c r="D675" t="s">
        <v>8237</v>
      </c>
      <c r="E675" s="225">
        <v>35</v>
      </c>
      <c r="F675" t="s">
        <v>8776</v>
      </c>
      <c r="G675" t="s">
        <v>8775</v>
      </c>
      <c r="H675" t="s">
        <v>8701</v>
      </c>
      <c r="I675" s="99">
        <v>43836</v>
      </c>
      <c r="J675" s="99">
        <v>43847</v>
      </c>
      <c r="K675" t="s">
        <v>8266</v>
      </c>
      <c r="L675" t="s">
        <v>8267</v>
      </c>
    </row>
    <row r="676" spans="2:12" x14ac:dyDescent="0.2">
      <c r="B676">
        <v>10574</v>
      </c>
      <c r="C676" t="s">
        <v>8340</v>
      </c>
      <c r="D676" t="s">
        <v>8244</v>
      </c>
      <c r="E676" s="225">
        <v>199.5</v>
      </c>
      <c r="F676" t="s">
        <v>8776</v>
      </c>
      <c r="G676" t="s">
        <v>8775</v>
      </c>
      <c r="H676" t="s">
        <v>8701</v>
      </c>
      <c r="I676" s="99">
        <v>43836</v>
      </c>
      <c r="J676" s="99">
        <v>43847</v>
      </c>
      <c r="K676" t="s">
        <v>8266</v>
      </c>
      <c r="L676" t="s">
        <v>8267</v>
      </c>
    </row>
    <row r="677" spans="2:12" x14ac:dyDescent="0.2">
      <c r="B677">
        <v>10575</v>
      </c>
      <c r="C677" t="s">
        <v>8303</v>
      </c>
      <c r="D677" t="s">
        <v>8272</v>
      </c>
      <c r="E677" s="225">
        <v>180</v>
      </c>
      <c r="F677" t="s">
        <v>8314</v>
      </c>
      <c r="G677" t="s">
        <v>8315</v>
      </c>
      <c r="H677" t="s">
        <v>8246</v>
      </c>
      <c r="I677" s="99">
        <v>43837</v>
      </c>
      <c r="J677" s="99">
        <v>43847</v>
      </c>
      <c r="K677" t="s">
        <v>8241</v>
      </c>
      <c r="L677" t="s">
        <v>6934</v>
      </c>
    </row>
    <row r="678" spans="2:12" x14ac:dyDescent="0.2">
      <c r="B678">
        <v>10575</v>
      </c>
      <c r="C678" t="s">
        <v>8317</v>
      </c>
      <c r="D678" t="s">
        <v>8254</v>
      </c>
      <c r="E678" s="225">
        <v>263.39999999999998</v>
      </c>
      <c r="F678" t="s">
        <v>8314</v>
      </c>
      <c r="G678" t="s">
        <v>8315</v>
      </c>
      <c r="H678" t="s">
        <v>8246</v>
      </c>
      <c r="I678" s="99">
        <v>43837</v>
      </c>
      <c r="J678" s="99">
        <v>43847</v>
      </c>
      <c r="K678" t="s">
        <v>8241</v>
      </c>
      <c r="L678" t="s">
        <v>6934</v>
      </c>
    </row>
    <row r="679" spans="2:12" x14ac:dyDescent="0.2">
      <c r="B679">
        <v>10575</v>
      </c>
      <c r="C679" t="s">
        <v>8281</v>
      </c>
      <c r="D679" t="s">
        <v>8237</v>
      </c>
      <c r="E679" s="225">
        <v>660</v>
      </c>
      <c r="F679" t="s">
        <v>8314</v>
      </c>
      <c r="G679" t="s">
        <v>8315</v>
      </c>
      <c r="H679" t="s">
        <v>8246</v>
      </c>
      <c r="I679" s="99">
        <v>43837</v>
      </c>
      <c r="J679" s="99">
        <v>43847</v>
      </c>
      <c r="K679" t="s">
        <v>8241</v>
      </c>
      <c r="L679" t="s">
        <v>6934</v>
      </c>
    </row>
    <row r="680" spans="2:12" x14ac:dyDescent="0.2">
      <c r="B680">
        <v>10575</v>
      </c>
      <c r="C680" t="s">
        <v>8235</v>
      </c>
      <c r="D680" t="s">
        <v>8237</v>
      </c>
      <c r="E680" s="225">
        <v>1044</v>
      </c>
      <c r="F680" t="s">
        <v>8314</v>
      </c>
      <c r="G680" t="s">
        <v>8315</v>
      </c>
      <c r="H680" t="s">
        <v>8246</v>
      </c>
      <c r="I680" s="99">
        <v>43837</v>
      </c>
      <c r="J680" s="99">
        <v>43847</v>
      </c>
      <c r="K680" t="s">
        <v>8241</v>
      </c>
      <c r="L680" t="s">
        <v>6934</v>
      </c>
    </row>
    <row r="681" spans="2:12" x14ac:dyDescent="0.2">
      <c r="B681">
        <v>10576</v>
      </c>
      <c r="C681" t="s">
        <v>8333</v>
      </c>
      <c r="D681" t="s">
        <v>8272</v>
      </c>
      <c r="E681" s="225">
        <v>180</v>
      </c>
      <c r="F681" t="s">
        <v>8742</v>
      </c>
      <c r="G681" t="s">
        <v>8741</v>
      </c>
      <c r="H681" t="s">
        <v>8704</v>
      </c>
      <c r="I681" s="99">
        <v>43840</v>
      </c>
      <c r="J681" s="99">
        <v>43847</v>
      </c>
      <c r="K681" t="s">
        <v>8257</v>
      </c>
      <c r="L681" t="s">
        <v>6984</v>
      </c>
    </row>
    <row r="682" spans="2:12" x14ac:dyDescent="0.2">
      <c r="B682">
        <v>10576</v>
      </c>
      <c r="C682" t="s">
        <v>8322</v>
      </c>
      <c r="D682" t="s">
        <v>8254</v>
      </c>
      <c r="E682" s="225">
        <v>408.45</v>
      </c>
      <c r="F682" t="s">
        <v>8742</v>
      </c>
      <c r="G682" t="s">
        <v>8741</v>
      </c>
      <c r="H682" t="s">
        <v>8704</v>
      </c>
      <c r="I682" s="99">
        <v>43840</v>
      </c>
      <c r="J682" s="99">
        <v>43847</v>
      </c>
      <c r="K682" t="s">
        <v>8257</v>
      </c>
      <c r="L682" t="s">
        <v>6984</v>
      </c>
    </row>
    <row r="683" spans="2:12" x14ac:dyDescent="0.2">
      <c r="B683">
        <v>10576</v>
      </c>
      <c r="C683" t="s">
        <v>8309</v>
      </c>
      <c r="D683" t="s">
        <v>8237</v>
      </c>
      <c r="E683" s="225">
        <v>250</v>
      </c>
      <c r="F683" t="s">
        <v>8742</v>
      </c>
      <c r="G683" t="s">
        <v>8741</v>
      </c>
      <c r="H683" t="s">
        <v>8704</v>
      </c>
      <c r="I683" s="99">
        <v>43840</v>
      </c>
      <c r="J683" s="99">
        <v>43847</v>
      </c>
      <c r="K683" t="s">
        <v>8257</v>
      </c>
      <c r="L683" t="s">
        <v>6984</v>
      </c>
    </row>
    <row r="684" spans="2:12" x14ac:dyDescent="0.2">
      <c r="B684">
        <v>10577</v>
      </c>
      <c r="C684" t="s">
        <v>8342</v>
      </c>
      <c r="D684" t="s">
        <v>8272</v>
      </c>
      <c r="E684" s="225">
        <v>180</v>
      </c>
      <c r="F684" t="s">
        <v>8776</v>
      </c>
      <c r="G684" t="s">
        <v>8775</v>
      </c>
      <c r="H684" t="s">
        <v>8701</v>
      </c>
      <c r="I684" s="99">
        <v>43840</v>
      </c>
      <c r="J684" s="99">
        <v>43847</v>
      </c>
      <c r="K684" t="s">
        <v>8279</v>
      </c>
      <c r="L684" t="s">
        <v>710</v>
      </c>
    </row>
    <row r="685" spans="2:12" x14ac:dyDescent="0.2">
      <c r="B685">
        <v>10577</v>
      </c>
      <c r="C685" t="s">
        <v>8328</v>
      </c>
      <c r="D685" t="s">
        <v>8272</v>
      </c>
      <c r="E685" s="225">
        <v>155</v>
      </c>
      <c r="F685" t="s">
        <v>8776</v>
      </c>
      <c r="G685" t="s">
        <v>8775</v>
      </c>
      <c r="H685" t="s">
        <v>8701</v>
      </c>
      <c r="I685" s="99">
        <v>43840</v>
      </c>
      <c r="J685" s="99">
        <v>43847</v>
      </c>
      <c r="K685" t="s">
        <v>8279</v>
      </c>
      <c r="L685" t="s">
        <v>710</v>
      </c>
    </row>
    <row r="686" spans="2:12" x14ac:dyDescent="0.2">
      <c r="B686">
        <v>10577</v>
      </c>
      <c r="C686" t="s">
        <v>8397</v>
      </c>
      <c r="D686" t="s">
        <v>8254</v>
      </c>
      <c r="E686" s="225">
        <v>234</v>
      </c>
      <c r="F686" t="s">
        <v>8776</v>
      </c>
      <c r="G686" t="s">
        <v>8775</v>
      </c>
      <c r="H686" t="s">
        <v>8701</v>
      </c>
      <c r="I686" s="99">
        <v>43840</v>
      </c>
      <c r="J686" s="99">
        <v>43847</v>
      </c>
      <c r="K686" t="s">
        <v>8279</v>
      </c>
      <c r="L686" t="s">
        <v>710</v>
      </c>
    </row>
    <row r="687" spans="2:12" x14ac:dyDescent="0.2">
      <c r="B687">
        <v>10578</v>
      </c>
      <c r="C687" t="s">
        <v>8323</v>
      </c>
      <c r="D687" t="s">
        <v>8272</v>
      </c>
      <c r="E687" s="225">
        <v>360</v>
      </c>
      <c r="F687" t="s">
        <v>8338</v>
      </c>
      <c r="G687" t="s">
        <v>8339</v>
      </c>
      <c r="H687" t="s">
        <v>2434</v>
      </c>
      <c r="I687" s="99">
        <v>43841</v>
      </c>
      <c r="J687" s="99">
        <v>43872</v>
      </c>
      <c r="K687" t="s">
        <v>8266</v>
      </c>
      <c r="L687" t="s">
        <v>8267</v>
      </c>
    </row>
    <row r="688" spans="2:12" x14ac:dyDescent="0.2">
      <c r="B688">
        <v>10578</v>
      </c>
      <c r="C688" t="s">
        <v>8258</v>
      </c>
      <c r="D688" t="s">
        <v>8244</v>
      </c>
      <c r="E688" s="225">
        <v>117</v>
      </c>
      <c r="F688" t="s">
        <v>8338</v>
      </c>
      <c r="G688" t="s">
        <v>8339</v>
      </c>
      <c r="H688" t="s">
        <v>2434</v>
      </c>
      <c r="I688" s="99">
        <v>43841</v>
      </c>
      <c r="J688" s="99">
        <v>43872</v>
      </c>
      <c r="K688" t="s">
        <v>8266</v>
      </c>
      <c r="L688" t="s">
        <v>8267</v>
      </c>
    </row>
    <row r="689" spans="2:12" x14ac:dyDescent="0.2">
      <c r="B689">
        <v>10579</v>
      </c>
      <c r="C689" t="s">
        <v>8328</v>
      </c>
      <c r="D689" t="s">
        <v>8272</v>
      </c>
      <c r="E689" s="225">
        <v>162.75</v>
      </c>
      <c r="F689" t="s">
        <v>8778</v>
      </c>
      <c r="G689" t="s">
        <v>8777</v>
      </c>
      <c r="H689" t="s">
        <v>8701</v>
      </c>
      <c r="I689" s="99">
        <v>43842</v>
      </c>
      <c r="J689" s="99">
        <v>43851</v>
      </c>
      <c r="K689" t="s">
        <v>8285</v>
      </c>
      <c r="L689" t="s">
        <v>2317</v>
      </c>
    </row>
    <row r="690" spans="2:12" x14ac:dyDescent="0.2">
      <c r="B690">
        <v>10579</v>
      </c>
      <c r="C690" t="s">
        <v>8361</v>
      </c>
      <c r="D690" t="s">
        <v>8254</v>
      </c>
      <c r="E690" s="225">
        <v>155</v>
      </c>
      <c r="F690" t="s">
        <v>8778</v>
      </c>
      <c r="G690" t="s">
        <v>8777</v>
      </c>
      <c r="H690" t="s">
        <v>8701</v>
      </c>
      <c r="I690" s="99">
        <v>43842</v>
      </c>
      <c r="J690" s="99">
        <v>43851</v>
      </c>
      <c r="K690" t="s">
        <v>8285</v>
      </c>
      <c r="L690" t="s">
        <v>2317</v>
      </c>
    </row>
    <row r="691" spans="2:12" x14ac:dyDescent="0.2">
      <c r="B691">
        <v>10580</v>
      </c>
      <c r="C691" t="s">
        <v>8253</v>
      </c>
      <c r="D691" t="s">
        <v>8254</v>
      </c>
      <c r="E691" s="225">
        <v>599.91999999999996</v>
      </c>
      <c r="F691" t="s">
        <v>8289</v>
      </c>
      <c r="G691" t="s">
        <v>8290</v>
      </c>
      <c r="H691" t="s">
        <v>8246</v>
      </c>
      <c r="I691" s="99">
        <v>43843</v>
      </c>
      <c r="J691" s="99">
        <v>43848</v>
      </c>
      <c r="K691" t="s">
        <v>8266</v>
      </c>
      <c r="L691" t="s">
        <v>8267</v>
      </c>
    </row>
    <row r="692" spans="2:12" x14ac:dyDescent="0.2">
      <c r="B692">
        <v>10580</v>
      </c>
      <c r="C692" t="s">
        <v>8252</v>
      </c>
      <c r="D692" t="s">
        <v>8247</v>
      </c>
      <c r="E692" s="225">
        <v>331.31</v>
      </c>
      <c r="F692" t="s">
        <v>8289</v>
      </c>
      <c r="G692" t="s">
        <v>8290</v>
      </c>
      <c r="H692" t="s">
        <v>8246</v>
      </c>
      <c r="I692" s="99">
        <v>43843</v>
      </c>
      <c r="J692" s="99">
        <v>43848</v>
      </c>
      <c r="K692" t="s">
        <v>8266</v>
      </c>
      <c r="L692" t="s">
        <v>8267</v>
      </c>
    </row>
    <row r="693" spans="2:12" x14ac:dyDescent="0.2">
      <c r="B693">
        <v>10581</v>
      </c>
      <c r="C693" t="s">
        <v>8328</v>
      </c>
      <c r="D693" t="s">
        <v>8272</v>
      </c>
      <c r="E693" s="225">
        <v>310</v>
      </c>
      <c r="F693" t="s">
        <v>8762</v>
      </c>
      <c r="G693" t="s">
        <v>8761</v>
      </c>
      <c r="H693" t="s">
        <v>8710</v>
      </c>
      <c r="I693" s="99">
        <v>43843</v>
      </c>
      <c r="J693" s="99">
        <v>43849</v>
      </c>
      <c r="K693" t="s">
        <v>8257</v>
      </c>
      <c r="L693" t="s">
        <v>6984</v>
      </c>
    </row>
    <row r="694" spans="2:12" x14ac:dyDescent="0.2">
      <c r="B694">
        <v>10582</v>
      </c>
      <c r="C694" t="s">
        <v>8303</v>
      </c>
      <c r="D694" t="s">
        <v>8272</v>
      </c>
      <c r="E694" s="225">
        <v>252</v>
      </c>
      <c r="F694" t="s">
        <v>8416</v>
      </c>
      <c r="G694" t="s">
        <v>8417</v>
      </c>
      <c r="H694" t="s">
        <v>8246</v>
      </c>
      <c r="I694" s="99">
        <v>43844</v>
      </c>
      <c r="J694" s="99">
        <v>43861</v>
      </c>
      <c r="K694" t="s">
        <v>8257</v>
      </c>
      <c r="L694" t="s">
        <v>6984</v>
      </c>
    </row>
    <row r="695" spans="2:12" x14ac:dyDescent="0.2">
      <c r="B695">
        <v>10582</v>
      </c>
      <c r="C695" t="s">
        <v>8258</v>
      </c>
      <c r="D695" t="s">
        <v>8244</v>
      </c>
      <c r="E695" s="225">
        <v>78</v>
      </c>
      <c r="F695" t="s">
        <v>8416</v>
      </c>
      <c r="G695" t="s">
        <v>8417</v>
      </c>
      <c r="H695" t="s">
        <v>8246</v>
      </c>
      <c r="I695" s="99">
        <v>43844</v>
      </c>
      <c r="J695" s="99">
        <v>43861</v>
      </c>
      <c r="K695" t="s">
        <v>8257</v>
      </c>
      <c r="L695" t="s">
        <v>6984</v>
      </c>
    </row>
    <row r="696" spans="2:12" x14ac:dyDescent="0.2">
      <c r="B696">
        <v>10583</v>
      </c>
      <c r="C696" t="s">
        <v>8268</v>
      </c>
      <c r="D696" t="s">
        <v>8237</v>
      </c>
      <c r="E696" s="225">
        <v>693.6</v>
      </c>
      <c r="F696" t="s">
        <v>8301</v>
      </c>
      <c r="G696" t="s">
        <v>8302</v>
      </c>
      <c r="H696" t="s">
        <v>8300</v>
      </c>
      <c r="I696" s="99">
        <v>43847</v>
      </c>
      <c r="J696" s="99">
        <v>43851</v>
      </c>
      <c r="K696" t="s">
        <v>8297</v>
      </c>
      <c r="L696" t="s">
        <v>8298</v>
      </c>
    </row>
    <row r="697" spans="2:12" x14ac:dyDescent="0.2">
      <c r="B697">
        <v>10583</v>
      </c>
      <c r="C697" t="s">
        <v>8353</v>
      </c>
      <c r="D697" t="s">
        <v>8237</v>
      </c>
      <c r="E697" s="225">
        <v>306</v>
      </c>
      <c r="F697" t="s">
        <v>8301</v>
      </c>
      <c r="G697" t="s">
        <v>8302</v>
      </c>
      <c r="H697" t="s">
        <v>8300</v>
      </c>
      <c r="I697" s="99">
        <v>43847</v>
      </c>
      <c r="J697" s="99">
        <v>43851</v>
      </c>
      <c r="K697" t="s">
        <v>8297</v>
      </c>
      <c r="L697" t="s">
        <v>8298</v>
      </c>
    </row>
    <row r="698" spans="2:12" x14ac:dyDescent="0.2">
      <c r="B698">
        <v>10584</v>
      </c>
      <c r="C698" t="s">
        <v>8309</v>
      </c>
      <c r="D698" t="s">
        <v>8237</v>
      </c>
      <c r="E698" s="225">
        <v>593.75</v>
      </c>
      <c r="F698" t="s">
        <v>8295</v>
      </c>
      <c r="G698" t="s">
        <v>8296</v>
      </c>
      <c r="H698" t="s">
        <v>8236</v>
      </c>
      <c r="I698" s="99">
        <v>43847</v>
      </c>
      <c r="J698" s="99">
        <v>43851</v>
      </c>
      <c r="K698" t="s">
        <v>8266</v>
      </c>
      <c r="L698" t="s">
        <v>8267</v>
      </c>
    </row>
    <row r="699" spans="2:12" x14ac:dyDescent="0.2">
      <c r="B699">
        <v>10585</v>
      </c>
      <c r="C699" t="s">
        <v>8410</v>
      </c>
      <c r="D699" t="s">
        <v>8262</v>
      </c>
      <c r="E699" s="225">
        <v>142.5</v>
      </c>
      <c r="F699" t="s">
        <v>8730</v>
      </c>
      <c r="G699" t="s">
        <v>8729</v>
      </c>
      <c r="H699" t="s">
        <v>8710</v>
      </c>
      <c r="I699" s="99">
        <v>43848</v>
      </c>
      <c r="J699" s="99">
        <v>43857</v>
      </c>
      <c r="K699" t="s">
        <v>8158</v>
      </c>
      <c r="L699" t="s">
        <v>861</v>
      </c>
    </row>
    <row r="700" spans="2:12" x14ac:dyDescent="0.2">
      <c r="B700">
        <v>10586</v>
      </c>
      <c r="C700" t="s">
        <v>8369</v>
      </c>
      <c r="D700" t="s">
        <v>8244</v>
      </c>
      <c r="E700" s="225">
        <v>23.8</v>
      </c>
      <c r="F700" t="s">
        <v>8335</v>
      </c>
      <c r="G700" t="s">
        <v>8336</v>
      </c>
      <c r="H700" t="s">
        <v>8311</v>
      </c>
      <c r="I700" s="99">
        <v>43849</v>
      </c>
      <c r="J700" s="99">
        <v>43856</v>
      </c>
      <c r="K700" t="s">
        <v>8279</v>
      </c>
      <c r="L700" t="s">
        <v>710</v>
      </c>
    </row>
    <row r="701" spans="2:12" x14ac:dyDescent="0.2">
      <c r="B701">
        <v>10587</v>
      </c>
      <c r="C701" t="s">
        <v>8323</v>
      </c>
      <c r="D701" t="s">
        <v>8272</v>
      </c>
      <c r="E701" s="225">
        <v>360</v>
      </c>
      <c r="F701" t="s">
        <v>8736</v>
      </c>
      <c r="G701" t="s">
        <v>8735</v>
      </c>
      <c r="H701" t="s">
        <v>8710</v>
      </c>
      <c r="I701" s="99">
        <v>43849</v>
      </c>
      <c r="J701" s="99">
        <v>43856</v>
      </c>
      <c r="K701" t="s">
        <v>8285</v>
      </c>
      <c r="L701" t="s">
        <v>2317</v>
      </c>
    </row>
    <row r="702" spans="2:12" x14ac:dyDescent="0.2">
      <c r="B702">
        <v>10587</v>
      </c>
      <c r="C702" t="s">
        <v>8397</v>
      </c>
      <c r="D702" t="s">
        <v>8254</v>
      </c>
      <c r="E702" s="225">
        <v>260</v>
      </c>
      <c r="F702" t="s">
        <v>8736</v>
      </c>
      <c r="G702" t="s">
        <v>8735</v>
      </c>
      <c r="H702" t="s">
        <v>8710</v>
      </c>
      <c r="I702" s="99">
        <v>43849</v>
      </c>
      <c r="J702" s="99">
        <v>43856</v>
      </c>
      <c r="K702" t="s">
        <v>8285</v>
      </c>
      <c r="L702" t="s">
        <v>2317</v>
      </c>
    </row>
    <row r="703" spans="2:12" x14ac:dyDescent="0.2">
      <c r="B703">
        <v>10587</v>
      </c>
      <c r="C703" t="s">
        <v>8372</v>
      </c>
      <c r="D703" t="s">
        <v>8262</v>
      </c>
      <c r="E703" s="225">
        <v>187.38</v>
      </c>
      <c r="F703" t="s">
        <v>8736</v>
      </c>
      <c r="G703" t="s">
        <v>8735</v>
      </c>
      <c r="H703" t="s">
        <v>8710</v>
      </c>
      <c r="I703" s="99">
        <v>43849</v>
      </c>
      <c r="J703" s="99">
        <v>43856</v>
      </c>
      <c r="K703" t="s">
        <v>8285</v>
      </c>
      <c r="L703" t="s">
        <v>2317</v>
      </c>
    </row>
    <row r="704" spans="2:12" x14ac:dyDescent="0.2">
      <c r="B704">
        <v>10588</v>
      </c>
      <c r="C704" t="s">
        <v>8243</v>
      </c>
      <c r="D704" t="s">
        <v>8244</v>
      </c>
      <c r="E704" s="225">
        <v>1120</v>
      </c>
      <c r="F704" t="s">
        <v>8307</v>
      </c>
      <c r="G704" t="s">
        <v>8308</v>
      </c>
      <c r="H704" t="s">
        <v>8246</v>
      </c>
      <c r="I704" s="99">
        <v>43850</v>
      </c>
      <c r="J704" s="99">
        <v>43857</v>
      </c>
      <c r="K704" t="s">
        <v>8297</v>
      </c>
      <c r="L704" t="s">
        <v>8298</v>
      </c>
    </row>
    <row r="705" spans="2:12" x14ac:dyDescent="0.2">
      <c r="B705">
        <v>10589</v>
      </c>
      <c r="C705" t="s">
        <v>8323</v>
      </c>
      <c r="D705" t="s">
        <v>8272</v>
      </c>
      <c r="E705" s="225">
        <v>72</v>
      </c>
      <c r="F705" t="s">
        <v>8714</v>
      </c>
      <c r="G705" t="s">
        <v>8713</v>
      </c>
      <c r="H705" t="s">
        <v>8701</v>
      </c>
      <c r="I705" s="99">
        <v>43851</v>
      </c>
      <c r="J705" s="99">
        <v>43861</v>
      </c>
      <c r="K705" t="s">
        <v>8320</v>
      </c>
      <c r="L705" t="s">
        <v>8321</v>
      </c>
    </row>
    <row r="706" spans="2:12" x14ac:dyDescent="0.2">
      <c r="B706">
        <v>10590</v>
      </c>
      <c r="C706" t="s">
        <v>8333</v>
      </c>
      <c r="D706" t="s">
        <v>8272</v>
      </c>
      <c r="E706" s="225">
        <v>360</v>
      </c>
      <c r="F706" t="s">
        <v>8760</v>
      </c>
      <c r="G706" t="s">
        <v>8759</v>
      </c>
      <c r="H706" t="s">
        <v>8720</v>
      </c>
      <c r="I706" s="99">
        <v>43854</v>
      </c>
      <c r="J706" s="99">
        <v>43861</v>
      </c>
      <c r="K706" t="s">
        <v>8266</v>
      </c>
      <c r="L706" t="s">
        <v>8267</v>
      </c>
    </row>
    <row r="707" spans="2:12" x14ac:dyDescent="0.2">
      <c r="B707">
        <v>10590</v>
      </c>
      <c r="C707" t="s">
        <v>8397</v>
      </c>
      <c r="D707" t="s">
        <v>8254</v>
      </c>
      <c r="E707" s="225">
        <v>741</v>
      </c>
      <c r="F707" t="s">
        <v>8760</v>
      </c>
      <c r="G707" t="s">
        <v>8759</v>
      </c>
      <c r="H707" t="s">
        <v>8720</v>
      </c>
      <c r="I707" s="99">
        <v>43854</v>
      </c>
      <c r="J707" s="99">
        <v>43861</v>
      </c>
      <c r="K707" t="s">
        <v>8266</v>
      </c>
      <c r="L707" t="s">
        <v>8267</v>
      </c>
    </row>
    <row r="708" spans="2:12" x14ac:dyDescent="0.2">
      <c r="B708">
        <v>10591</v>
      </c>
      <c r="C708" t="s">
        <v>8337</v>
      </c>
      <c r="D708" t="s">
        <v>8254</v>
      </c>
      <c r="E708" s="225">
        <v>140</v>
      </c>
      <c r="F708" t="s">
        <v>8395</v>
      </c>
      <c r="G708" t="s">
        <v>8396</v>
      </c>
      <c r="H708" t="s">
        <v>8374</v>
      </c>
      <c r="I708" s="99">
        <v>43854</v>
      </c>
      <c r="J708" s="99">
        <v>43863</v>
      </c>
      <c r="K708" t="s">
        <v>8285</v>
      </c>
      <c r="L708" t="s">
        <v>2317</v>
      </c>
    </row>
    <row r="709" spans="2:12" x14ac:dyDescent="0.2">
      <c r="B709">
        <v>10591</v>
      </c>
      <c r="C709" t="s">
        <v>8415</v>
      </c>
      <c r="D709" t="s">
        <v>8247</v>
      </c>
      <c r="E709" s="225">
        <v>300</v>
      </c>
      <c r="F709" t="s">
        <v>8395</v>
      </c>
      <c r="G709" t="s">
        <v>8396</v>
      </c>
      <c r="H709" t="s">
        <v>8374</v>
      </c>
      <c r="I709" s="99">
        <v>43854</v>
      </c>
      <c r="J709" s="99">
        <v>43863</v>
      </c>
      <c r="K709" t="s">
        <v>8285</v>
      </c>
      <c r="L709" t="s">
        <v>2317</v>
      </c>
    </row>
    <row r="710" spans="2:12" x14ac:dyDescent="0.2">
      <c r="B710">
        <v>10592</v>
      </c>
      <c r="C710" t="s">
        <v>8361</v>
      </c>
      <c r="D710" t="s">
        <v>8254</v>
      </c>
      <c r="E710" s="225">
        <v>368.12</v>
      </c>
      <c r="F710" t="s">
        <v>8330</v>
      </c>
      <c r="G710" t="s">
        <v>8331</v>
      </c>
      <c r="H710" t="s">
        <v>8246</v>
      </c>
      <c r="I710" s="99">
        <v>43855</v>
      </c>
      <c r="J710" s="99">
        <v>43863</v>
      </c>
      <c r="K710" t="s">
        <v>8257</v>
      </c>
      <c r="L710" t="s">
        <v>6984</v>
      </c>
    </row>
    <row r="711" spans="2:12" x14ac:dyDescent="0.2">
      <c r="B711">
        <v>10592</v>
      </c>
      <c r="C711" t="s">
        <v>8372</v>
      </c>
      <c r="D711" t="s">
        <v>8262</v>
      </c>
      <c r="E711" s="225">
        <v>148.34</v>
      </c>
      <c r="F711" t="s">
        <v>8330</v>
      </c>
      <c r="G711" t="s">
        <v>8331</v>
      </c>
      <c r="H711" t="s">
        <v>8246</v>
      </c>
      <c r="I711" s="99">
        <v>43855</v>
      </c>
      <c r="J711" s="99">
        <v>43863</v>
      </c>
      <c r="K711" t="s">
        <v>8257</v>
      </c>
      <c r="L711" t="s">
        <v>6984</v>
      </c>
    </row>
    <row r="712" spans="2:12" x14ac:dyDescent="0.2">
      <c r="B712">
        <v>10593</v>
      </c>
      <c r="C712" t="s">
        <v>8303</v>
      </c>
      <c r="D712" t="s">
        <v>8272</v>
      </c>
      <c r="E712" s="225">
        <v>57.6</v>
      </c>
      <c r="F712" t="s">
        <v>8330</v>
      </c>
      <c r="G712" t="s">
        <v>8331</v>
      </c>
      <c r="H712" t="s">
        <v>8246</v>
      </c>
      <c r="I712" s="99">
        <v>43856</v>
      </c>
      <c r="J712" s="99">
        <v>43891</v>
      </c>
      <c r="K712" t="s">
        <v>8158</v>
      </c>
      <c r="L712" t="s">
        <v>861</v>
      </c>
    </row>
    <row r="713" spans="2:12" x14ac:dyDescent="0.2">
      <c r="B713">
        <v>10593</v>
      </c>
      <c r="C713" t="s">
        <v>8260</v>
      </c>
      <c r="D713" t="s">
        <v>8262</v>
      </c>
      <c r="E713" s="225">
        <v>1360.8</v>
      </c>
      <c r="F713" t="s">
        <v>8330</v>
      </c>
      <c r="G713" t="s">
        <v>8331</v>
      </c>
      <c r="H713" t="s">
        <v>8246</v>
      </c>
      <c r="I713" s="99">
        <v>43856</v>
      </c>
      <c r="J713" s="99">
        <v>43891</v>
      </c>
      <c r="K713" t="s">
        <v>8158</v>
      </c>
      <c r="L713" t="s">
        <v>861</v>
      </c>
    </row>
    <row r="714" spans="2:12" x14ac:dyDescent="0.2">
      <c r="B714">
        <v>10593</v>
      </c>
      <c r="C714" t="s">
        <v>8353</v>
      </c>
      <c r="D714" t="s">
        <v>8237</v>
      </c>
      <c r="E714" s="225">
        <v>576</v>
      </c>
      <c r="F714" t="s">
        <v>8330</v>
      </c>
      <c r="G714" t="s">
        <v>8331</v>
      </c>
      <c r="H714" t="s">
        <v>8246</v>
      </c>
      <c r="I714" s="99">
        <v>43856</v>
      </c>
      <c r="J714" s="99">
        <v>43891</v>
      </c>
      <c r="K714" t="s">
        <v>8158</v>
      </c>
      <c r="L714" t="s">
        <v>861</v>
      </c>
    </row>
    <row r="715" spans="2:12" x14ac:dyDescent="0.2">
      <c r="B715">
        <v>10594</v>
      </c>
      <c r="C715" t="s">
        <v>8369</v>
      </c>
      <c r="D715" t="s">
        <v>8244</v>
      </c>
      <c r="E715" s="225">
        <v>168</v>
      </c>
      <c r="F715" t="s">
        <v>8756</v>
      </c>
      <c r="G715" t="s">
        <v>8755</v>
      </c>
      <c r="H715" t="s">
        <v>8701</v>
      </c>
      <c r="I715" s="99">
        <v>43856</v>
      </c>
      <c r="J715" s="99">
        <v>43863</v>
      </c>
      <c r="K715" t="s">
        <v>8257</v>
      </c>
      <c r="L715" t="s">
        <v>6984</v>
      </c>
    </row>
    <row r="716" spans="2:12" x14ac:dyDescent="0.2">
      <c r="B716">
        <v>10595</v>
      </c>
      <c r="C716" t="s">
        <v>8323</v>
      </c>
      <c r="D716" t="s">
        <v>8272</v>
      </c>
      <c r="E716" s="225">
        <v>405</v>
      </c>
      <c r="F716" t="s">
        <v>8283</v>
      </c>
      <c r="G716" t="s">
        <v>8284</v>
      </c>
      <c r="H716" t="s">
        <v>8282</v>
      </c>
      <c r="I716" s="99">
        <v>43857</v>
      </c>
      <c r="J716" s="99">
        <v>43861</v>
      </c>
      <c r="K716" t="s">
        <v>8297</v>
      </c>
      <c r="L716" t="s">
        <v>8298</v>
      </c>
    </row>
    <row r="717" spans="2:12" x14ac:dyDescent="0.2">
      <c r="B717">
        <v>10595</v>
      </c>
      <c r="C717" t="s">
        <v>8409</v>
      </c>
      <c r="D717" t="s">
        <v>8254</v>
      </c>
      <c r="E717" s="225">
        <v>2565</v>
      </c>
      <c r="F717" t="s">
        <v>8283</v>
      </c>
      <c r="G717" t="s">
        <v>8284</v>
      </c>
      <c r="H717" t="s">
        <v>8282</v>
      </c>
      <c r="I717" s="99">
        <v>43857</v>
      </c>
      <c r="J717" s="99">
        <v>43861</v>
      </c>
      <c r="K717" t="s">
        <v>8297</v>
      </c>
      <c r="L717" t="s">
        <v>8298</v>
      </c>
    </row>
    <row r="718" spans="2:12" x14ac:dyDescent="0.2">
      <c r="B718">
        <v>10595</v>
      </c>
      <c r="C718" t="s">
        <v>8353</v>
      </c>
      <c r="D718" t="s">
        <v>8237</v>
      </c>
      <c r="E718" s="225">
        <v>1755</v>
      </c>
      <c r="F718" t="s">
        <v>8283</v>
      </c>
      <c r="G718" t="s">
        <v>8284</v>
      </c>
      <c r="H718" t="s">
        <v>8282</v>
      </c>
      <c r="I718" s="99">
        <v>43857</v>
      </c>
      <c r="J718" s="99">
        <v>43861</v>
      </c>
      <c r="K718" t="s">
        <v>8297</v>
      </c>
      <c r="L718" t="s">
        <v>8298</v>
      </c>
    </row>
    <row r="719" spans="2:12" x14ac:dyDescent="0.2">
      <c r="B719">
        <v>10596</v>
      </c>
      <c r="C719" t="s">
        <v>8328</v>
      </c>
      <c r="D719" t="s">
        <v>8272</v>
      </c>
      <c r="E719" s="225">
        <v>186</v>
      </c>
      <c r="F719" t="s">
        <v>8740</v>
      </c>
      <c r="G719" t="s">
        <v>8739</v>
      </c>
      <c r="H719" t="s">
        <v>8701</v>
      </c>
      <c r="I719" s="99">
        <v>43858</v>
      </c>
      <c r="J719" s="99">
        <v>43890</v>
      </c>
      <c r="K719" t="s">
        <v>8320</v>
      </c>
      <c r="L719" t="s">
        <v>8321</v>
      </c>
    </row>
    <row r="720" spans="2:12" x14ac:dyDescent="0.2">
      <c r="B720">
        <v>10596</v>
      </c>
      <c r="C720" t="s">
        <v>8317</v>
      </c>
      <c r="D720" t="s">
        <v>8254</v>
      </c>
      <c r="E720" s="225">
        <v>842.88</v>
      </c>
      <c r="F720" t="s">
        <v>8740</v>
      </c>
      <c r="G720" t="s">
        <v>8739</v>
      </c>
      <c r="H720" t="s">
        <v>8701</v>
      </c>
      <c r="I720" s="99">
        <v>43858</v>
      </c>
      <c r="J720" s="99">
        <v>43890</v>
      </c>
      <c r="K720" t="s">
        <v>8320</v>
      </c>
      <c r="L720" t="s">
        <v>8321</v>
      </c>
    </row>
    <row r="721" spans="2:12" x14ac:dyDescent="0.2">
      <c r="B721">
        <v>10596</v>
      </c>
      <c r="C721" t="s">
        <v>8341</v>
      </c>
      <c r="D721" t="s">
        <v>8244</v>
      </c>
      <c r="E721" s="225">
        <v>152</v>
      </c>
      <c r="F721" t="s">
        <v>8740</v>
      </c>
      <c r="G721" t="s">
        <v>8739</v>
      </c>
      <c r="H721" t="s">
        <v>8701</v>
      </c>
      <c r="I721" s="99">
        <v>43858</v>
      </c>
      <c r="J721" s="99">
        <v>43890</v>
      </c>
      <c r="K721" t="s">
        <v>8320</v>
      </c>
      <c r="L721" t="s">
        <v>8321</v>
      </c>
    </row>
    <row r="722" spans="2:12" x14ac:dyDescent="0.2">
      <c r="B722">
        <v>10597</v>
      </c>
      <c r="C722" t="s">
        <v>8270</v>
      </c>
      <c r="D722" t="s">
        <v>8272</v>
      </c>
      <c r="E722" s="225">
        <v>126</v>
      </c>
      <c r="F722" t="s">
        <v>8384</v>
      </c>
      <c r="G722" t="s">
        <v>8385</v>
      </c>
      <c r="H722" t="s">
        <v>8282</v>
      </c>
      <c r="I722" s="99">
        <v>43858</v>
      </c>
      <c r="J722" s="99">
        <v>43865</v>
      </c>
      <c r="K722" t="s">
        <v>8158</v>
      </c>
      <c r="L722" t="s">
        <v>861</v>
      </c>
    </row>
    <row r="723" spans="2:12" x14ac:dyDescent="0.2">
      <c r="B723">
        <v>10597</v>
      </c>
      <c r="C723" t="s">
        <v>8253</v>
      </c>
      <c r="D723" t="s">
        <v>8254</v>
      </c>
      <c r="E723" s="225">
        <v>202.08</v>
      </c>
      <c r="F723" t="s">
        <v>8384</v>
      </c>
      <c r="G723" t="s">
        <v>8385</v>
      </c>
      <c r="H723" t="s">
        <v>8282</v>
      </c>
      <c r="I723" s="99">
        <v>43858</v>
      </c>
      <c r="J723" s="99">
        <v>43865</v>
      </c>
      <c r="K723" t="s">
        <v>8158</v>
      </c>
      <c r="L723" t="s">
        <v>861</v>
      </c>
    </row>
    <row r="724" spans="2:12" x14ac:dyDescent="0.2">
      <c r="B724">
        <v>10597</v>
      </c>
      <c r="C724" t="s">
        <v>8258</v>
      </c>
      <c r="D724" t="s">
        <v>8244</v>
      </c>
      <c r="E724" s="225">
        <v>390</v>
      </c>
      <c r="F724" t="s">
        <v>8384</v>
      </c>
      <c r="G724" t="s">
        <v>8385</v>
      </c>
      <c r="H724" t="s">
        <v>8282</v>
      </c>
      <c r="I724" s="99">
        <v>43858</v>
      </c>
      <c r="J724" s="99">
        <v>43865</v>
      </c>
      <c r="K724" t="s">
        <v>8158</v>
      </c>
      <c r="L724" t="s">
        <v>861</v>
      </c>
    </row>
    <row r="725" spans="2:12" x14ac:dyDescent="0.2">
      <c r="B725">
        <v>10598</v>
      </c>
      <c r="C725" t="s">
        <v>8332</v>
      </c>
      <c r="D725" t="s">
        <v>8262</v>
      </c>
      <c r="E725" s="225">
        <v>2195</v>
      </c>
      <c r="F725" t="s">
        <v>8703</v>
      </c>
      <c r="G725" t="s">
        <v>8702</v>
      </c>
      <c r="H725" t="s">
        <v>8701</v>
      </c>
      <c r="I725" s="99">
        <v>43861</v>
      </c>
      <c r="J725" s="99">
        <v>43865</v>
      </c>
      <c r="K725" t="s">
        <v>8285</v>
      </c>
      <c r="L725" t="s">
        <v>2317</v>
      </c>
    </row>
    <row r="726" spans="2:12" x14ac:dyDescent="0.2">
      <c r="B726">
        <v>10598</v>
      </c>
      <c r="C726" t="s">
        <v>8310</v>
      </c>
      <c r="D726" t="s">
        <v>8237</v>
      </c>
      <c r="E726" s="225">
        <v>193.5</v>
      </c>
      <c r="F726" t="s">
        <v>8703</v>
      </c>
      <c r="G726" t="s">
        <v>8702</v>
      </c>
      <c r="H726" t="s">
        <v>8701</v>
      </c>
      <c r="I726" s="99">
        <v>43861</v>
      </c>
      <c r="J726" s="99">
        <v>43865</v>
      </c>
      <c r="K726" t="s">
        <v>8285</v>
      </c>
      <c r="L726" t="s">
        <v>2317</v>
      </c>
    </row>
    <row r="727" spans="2:12" x14ac:dyDescent="0.2">
      <c r="B727">
        <v>10599</v>
      </c>
      <c r="C727" t="s">
        <v>8291</v>
      </c>
      <c r="D727" t="s">
        <v>8262</v>
      </c>
      <c r="E727" s="225">
        <v>493</v>
      </c>
      <c r="F727" t="s">
        <v>8338</v>
      </c>
      <c r="G727" t="s">
        <v>8339</v>
      </c>
      <c r="H727" t="s">
        <v>2434</v>
      </c>
      <c r="I727" s="99">
        <v>43862</v>
      </c>
      <c r="J727" s="99">
        <v>43868</v>
      </c>
      <c r="K727" t="s">
        <v>8251</v>
      </c>
      <c r="L727" t="s">
        <v>269</v>
      </c>
    </row>
    <row r="728" spans="2:12" x14ac:dyDescent="0.2">
      <c r="B728">
        <v>10601</v>
      </c>
      <c r="C728" t="s">
        <v>8281</v>
      </c>
      <c r="D728" t="s">
        <v>8237</v>
      </c>
      <c r="E728" s="225">
        <v>1925</v>
      </c>
      <c r="F728" t="s">
        <v>8732</v>
      </c>
      <c r="G728" t="s">
        <v>8731</v>
      </c>
      <c r="H728" t="s">
        <v>8707</v>
      </c>
      <c r="I728" s="99">
        <v>43863</v>
      </c>
      <c r="J728" s="99">
        <v>43869</v>
      </c>
      <c r="K728" t="s">
        <v>8158</v>
      </c>
      <c r="L728" t="s">
        <v>861</v>
      </c>
    </row>
    <row r="729" spans="2:12" x14ac:dyDescent="0.2">
      <c r="B729">
        <v>10602</v>
      </c>
      <c r="C729" t="s">
        <v>8397</v>
      </c>
      <c r="D729" t="s">
        <v>8254</v>
      </c>
      <c r="E729" s="225">
        <v>48.75</v>
      </c>
      <c r="F729" t="s">
        <v>8395</v>
      </c>
      <c r="G729" t="s">
        <v>8396</v>
      </c>
      <c r="H729" t="s">
        <v>8374</v>
      </c>
      <c r="I729" s="99">
        <v>43864</v>
      </c>
      <c r="J729" s="99">
        <v>43869</v>
      </c>
      <c r="K729" t="s">
        <v>8320</v>
      </c>
      <c r="L729" t="s">
        <v>8321</v>
      </c>
    </row>
    <row r="730" spans="2:12" x14ac:dyDescent="0.2">
      <c r="B730">
        <v>10603</v>
      </c>
      <c r="C730" t="s">
        <v>8390</v>
      </c>
      <c r="D730" t="s">
        <v>8262</v>
      </c>
      <c r="E730" s="225">
        <v>475</v>
      </c>
      <c r="F730" t="s">
        <v>8758</v>
      </c>
      <c r="G730" t="s">
        <v>8757</v>
      </c>
      <c r="H730" t="s">
        <v>8701</v>
      </c>
      <c r="I730" s="99">
        <v>43865</v>
      </c>
      <c r="J730" s="99">
        <v>43886</v>
      </c>
      <c r="K730" t="s">
        <v>8320</v>
      </c>
      <c r="L730" t="s">
        <v>8321</v>
      </c>
    </row>
    <row r="731" spans="2:12" x14ac:dyDescent="0.2">
      <c r="B731">
        <v>10603</v>
      </c>
      <c r="C731" t="s">
        <v>8259</v>
      </c>
      <c r="D731" t="s">
        <v>8244</v>
      </c>
      <c r="E731" s="225">
        <v>1008</v>
      </c>
      <c r="F731" t="s">
        <v>8758</v>
      </c>
      <c r="G731" t="s">
        <v>8757</v>
      </c>
      <c r="H731" t="s">
        <v>8701</v>
      </c>
      <c r="I731" s="99">
        <v>43865</v>
      </c>
      <c r="J731" s="99">
        <v>43886</v>
      </c>
      <c r="K731" t="s">
        <v>8320</v>
      </c>
      <c r="L731" t="s">
        <v>8321</v>
      </c>
    </row>
    <row r="732" spans="2:12" x14ac:dyDescent="0.2">
      <c r="B732">
        <v>10604</v>
      </c>
      <c r="C732" t="s">
        <v>8303</v>
      </c>
      <c r="D732" t="s">
        <v>8272</v>
      </c>
      <c r="E732" s="225">
        <v>162</v>
      </c>
      <c r="F732" t="s">
        <v>8366</v>
      </c>
      <c r="G732" t="s">
        <v>8367</v>
      </c>
      <c r="H732" t="s">
        <v>8365</v>
      </c>
      <c r="I732" s="99">
        <v>43865</v>
      </c>
      <c r="J732" s="99">
        <v>43876</v>
      </c>
      <c r="K732" t="s">
        <v>8285</v>
      </c>
      <c r="L732" t="s">
        <v>2317</v>
      </c>
    </row>
    <row r="733" spans="2:12" x14ac:dyDescent="0.2">
      <c r="B733">
        <v>10604</v>
      </c>
      <c r="C733" t="s">
        <v>8406</v>
      </c>
      <c r="D733" t="s">
        <v>8262</v>
      </c>
      <c r="E733" s="225">
        <v>68.849999999999994</v>
      </c>
      <c r="F733" t="s">
        <v>8366</v>
      </c>
      <c r="G733" t="s">
        <v>8367</v>
      </c>
      <c r="H733" t="s">
        <v>8365</v>
      </c>
      <c r="I733" s="99">
        <v>43865</v>
      </c>
      <c r="J733" s="99">
        <v>43876</v>
      </c>
      <c r="K733" t="s">
        <v>8285</v>
      </c>
      <c r="L733" t="s">
        <v>2317</v>
      </c>
    </row>
    <row r="734" spans="2:12" x14ac:dyDescent="0.2">
      <c r="B734">
        <v>10605</v>
      </c>
      <c r="C734" t="s">
        <v>8280</v>
      </c>
      <c r="D734" t="s">
        <v>8262</v>
      </c>
      <c r="E734" s="225">
        <v>497.32</v>
      </c>
      <c r="F734" t="s">
        <v>8760</v>
      </c>
      <c r="G734" t="s">
        <v>8759</v>
      </c>
      <c r="H734" t="s">
        <v>8720</v>
      </c>
      <c r="I734" s="99">
        <v>43868</v>
      </c>
      <c r="J734" s="99">
        <v>43876</v>
      </c>
      <c r="K734" t="s">
        <v>8285</v>
      </c>
      <c r="L734" t="s">
        <v>2317</v>
      </c>
    </row>
    <row r="735" spans="2:12" x14ac:dyDescent="0.2">
      <c r="B735">
        <v>10605</v>
      </c>
      <c r="C735" t="s">
        <v>8281</v>
      </c>
      <c r="D735" t="s">
        <v>8237</v>
      </c>
      <c r="E735" s="225">
        <v>1045</v>
      </c>
      <c r="F735" t="s">
        <v>8760</v>
      </c>
      <c r="G735" t="s">
        <v>8759</v>
      </c>
      <c r="H735" t="s">
        <v>8720</v>
      </c>
      <c r="I735" s="99">
        <v>43868</v>
      </c>
      <c r="J735" s="99">
        <v>43876</v>
      </c>
      <c r="K735" t="s">
        <v>8285</v>
      </c>
      <c r="L735" t="s">
        <v>2317</v>
      </c>
    </row>
    <row r="736" spans="2:12" x14ac:dyDescent="0.2">
      <c r="B736">
        <v>10605</v>
      </c>
      <c r="C736" t="s">
        <v>8268</v>
      </c>
      <c r="D736" t="s">
        <v>8237</v>
      </c>
      <c r="E736" s="225">
        <v>2261</v>
      </c>
      <c r="F736" t="s">
        <v>8760</v>
      </c>
      <c r="G736" t="s">
        <v>8759</v>
      </c>
      <c r="H736" t="s">
        <v>8720</v>
      </c>
      <c r="I736" s="99">
        <v>43868</v>
      </c>
      <c r="J736" s="99">
        <v>43876</v>
      </c>
      <c r="K736" t="s">
        <v>8285</v>
      </c>
      <c r="L736" t="s">
        <v>2317</v>
      </c>
    </row>
    <row r="737" spans="2:12" x14ac:dyDescent="0.2">
      <c r="B737">
        <v>10605</v>
      </c>
      <c r="C737" t="s">
        <v>8310</v>
      </c>
      <c r="D737" t="s">
        <v>8237</v>
      </c>
      <c r="E737" s="225">
        <v>306.37</v>
      </c>
      <c r="F737" t="s">
        <v>8760</v>
      </c>
      <c r="G737" t="s">
        <v>8759</v>
      </c>
      <c r="H737" t="s">
        <v>8720</v>
      </c>
      <c r="I737" s="99">
        <v>43868</v>
      </c>
      <c r="J737" s="99">
        <v>43876</v>
      </c>
      <c r="K737" t="s">
        <v>8285</v>
      </c>
      <c r="L737" t="s">
        <v>2317</v>
      </c>
    </row>
    <row r="738" spans="2:12" x14ac:dyDescent="0.2">
      <c r="B738">
        <v>10606</v>
      </c>
      <c r="C738" t="s">
        <v>8352</v>
      </c>
      <c r="D738" t="s">
        <v>8254</v>
      </c>
      <c r="E738" s="225">
        <v>352</v>
      </c>
      <c r="F738" t="s">
        <v>8746</v>
      </c>
      <c r="G738" t="s">
        <v>8745</v>
      </c>
      <c r="H738" t="s">
        <v>8710</v>
      </c>
      <c r="I738" s="99">
        <v>43869</v>
      </c>
      <c r="J738" s="99">
        <v>43878</v>
      </c>
      <c r="K738" t="s">
        <v>8266</v>
      </c>
      <c r="L738" t="s">
        <v>8267</v>
      </c>
    </row>
    <row r="739" spans="2:12" x14ac:dyDescent="0.2">
      <c r="B739">
        <v>10606</v>
      </c>
      <c r="C739" t="s">
        <v>8291</v>
      </c>
      <c r="D739" t="s">
        <v>8262</v>
      </c>
      <c r="E739" s="225">
        <v>394.4</v>
      </c>
      <c r="F739" t="s">
        <v>8746</v>
      </c>
      <c r="G739" t="s">
        <v>8745</v>
      </c>
      <c r="H739" t="s">
        <v>8710</v>
      </c>
      <c r="I739" s="99">
        <v>43869</v>
      </c>
      <c r="J739" s="99">
        <v>43878</v>
      </c>
      <c r="K739" t="s">
        <v>8266</v>
      </c>
      <c r="L739" t="s">
        <v>8267</v>
      </c>
    </row>
    <row r="740" spans="2:12" x14ac:dyDescent="0.2">
      <c r="B740">
        <v>10607</v>
      </c>
      <c r="C740" t="s">
        <v>8269</v>
      </c>
      <c r="D740" t="s">
        <v>8237</v>
      </c>
      <c r="E740" s="225">
        <v>35</v>
      </c>
      <c r="F740" t="s">
        <v>8758</v>
      </c>
      <c r="G740" t="s">
        <v>8757</v>
      </c>
      <c r="H740" t="s">
        <v>8701</v>
      </c>
      <c r="I740" s="99">
        <v>43869</v>
      </c>
      <c r="J740" s="99">
        <v>43872</v>
      </c>
      <c r="K740" t="s">
        <v>8241</v>
      </c>
      <c r="L740" t="s">
        <v>6934</v>
      </c>
    </row>
    <row r="741" spans="2:12" x14ac:dyDescent="0.2">
      <c r="B741">
        <v>10607</v>
      </c>
      <c r="C741" t="s">
        <v>8235</v>
      </c>
      <c r="D741" t="s">
        <v>8237</v>
      </c>
      <c r="E741" s="225">
        <v>417.6</v>
      </c>
      <c r="F741" t="s">
        <v>8758</v>
      </c>
      <c r="G741" t="s">
        <v>8757</v>
      </c>
      <c r="H741" t="s">
        <v>8701</v>
      </c>
      <c r="I741" s="99">
        <v>43869</v>
      </c>
      <c r="J741" s="99">
        <v>43872</v>
      </c>
      <c r="K741" t="s">
        <v>8241</v>
      </c>
      <c r="L741" t="s">
        <v>6934</v>
      </c>
    </row>
    <row r="742" spans="2:12" x14ac:dyDescent="0.2">
      <c r="B742">
        <v>10607</v>
      </c>
      <c r="C742" t="s">
        <v>8415</v>
      </c>
      <c r="D742" t="s">
        <v>8247</v>
      </c>
      <c r="E742" s="225">
        <v>1350</v>
      </c>
      <c r="F742" t="s">
        <v>8758</v>
      </c>
      <c r="G742" t="s">
        <v>8757</v>
      </c>
      <c r="H742" t="s">
        <v>8701</v>
      </c>
      <c r="I742" s="99">
        <v>43869</v>
      </c>
      <c r="J742" s="99">
        <v>43872</v>
      </c>
      <c r="K742" t="s">
        <v>8241</v>
      </c>
      <c r="L742" t="s">
        <v>6934</v>
      </c>
    </row>
    <row r="743" spans="2:12" x14ac:dyDescent="0.2">
      <c r="B743">
        <v>10608</v>
      </c>
      <c r="C743" t="s">
        <v>8341</v>
      </c>
      <c r="D743" t="s">
        <v>8244</v>
      </c>
      <c r="E743" s="225">
        <v>1064</v>
      </c>
      <c r="F743" t="s">
        <v>8248</v>
      </c>
      <c r="G743" t="s">
        <v>8249</v>
      </c>
      <c r="H743" t="s">
        <v>8246</v>
      </c>
      <c r="I743" s="99">
        <v>43870</v>
      </c>
      <c r="J743" s="99">
        <v>43879</v>
      </c>
      <c r="K743" t="s">
        <v>8266</v>
      </c>
      <c r="L743" t="s">
        <v>8267</v>
      </c>
    </row>
    <row r="744" spans="2:12" x14ac:dyDescent="0.2">
      <c r="B744">
        <v>10609</v>
      </c>
      <c r="C744" t="s">
        <v>8333</v>
      </c>
      <c r="D744" t="s">
        <v>8272</v>
      </c>
      <c r="E744" s="225">
        <v>54</v>
      </c>
      <c r="F744" t="s">
        <v>8354</v>
      </c>
      <c r="G744" t="s">
        <v>8355</v>
      </c>
      <c r="H744" t="s">
        <v>8236</v>
      </c>
      <c r="I744" s="99">
        <v>43871</v>
      </c>
      <c r="J744" s="99">
        <v>43877</v>
      </c>
      <c r="K744" t="s">
        <v>8158</v>
      </c>
      <c r="L744" t="s">
        <v>861</v>
      </c>
    </row>
    <row r="745" spans="2:12" x14ac:dyDescent="0.2">
      <c r="B745">
        <v>10609</v>
      </c>
      <c r="C745" t="s">
        <v>8368</v>
      </c>
      <c r="D745" t="s">
        <v>8262</v>
      </c>
      <c r="E745" s="225">
        <v>60</v>
      </c>
      <c r="F745" t="s">
        <v>8354</v>
      </c>
      <c r="G745" t="s">
        <v>8355</v>
      </c>
      <c r="H745" t="s">
        <v>8236</v>
      </c>
      <c r="I745" s="99">
        <v>43871</v>
      </c>
      <c r="J745" s="99">
        <v>43877</v>
      </c>
      <c r="K745" t="s">
        <v>8158</v>
      </c>
      <c r="L745" t="s">
        <v>861</v>
      </c>
    </row>
    <row r="746" spans="2:12" x14ac:dyDescent="0.2">
      <c r="B746">
        <v>10611</v>
      </c>
      <c r="C746" t="s">
        <v>8333</v>
      </c>
      <c r="D746" t="s">
        <v>8272</v>
      </c>
      <c r="E746" s="225">
        <v>108</v>
      </c>
      <c r="F746" t="s">
        <v>8401</v>
      </c>
      <c r="G746" t="s">
        <v>8402</v>
      </c>
      <c r="H746" t="s">
        <v>8400</v>
      </c>
      <c r="I746" s="99">
        <v>43872</v>
      </c>
      <c r="J746" s="99">
        <v>43879</v>
      </c>
      <c r="K746" t="s">
        <v>8251</v>
      </c>
      <c r="L746" t="s">
        <v>269</v>
      </c>
    </row>
    <row r="747" spans="2:12" x14ac:dyDescent="0.2">
      <c r="B747">
        <v>10611</v>
      </c>
      <c r="C747" t="s">
        <v>8276</v>
      </c>
      <c r="D747" t="s">
        <v>8272</v>
      </c>
      <c r="E747" s="225">
        <v>190</v>
      </c>
      <c r="F747" t="s">
        <v>8401</v>
      </c>
      <c r="G747" t="s">
        <v>8402</v>
      </c>
      <c r="H747" t="s">
        <v>8400</v>
      </c>
      <c r="I747" s="99">
        <v>43872</v>
      </c>
      <c r="J747" s="99">
        <v>43879</v>
      </c>
      <c r="K747" t="s">
        <v>8251</v>
      </c>
      <c r="L747" t="s">
        <v>269</v>
      </c>
    </row>
    <row r="748" spans="2:12" x14ac:dyDescent="0.2">
      <c r="B748">
        <v>10611</v>
      </c>
      <c r="C748" t="s">
        <v>8268</v>
      </c>
      <c r="D748" t="s">
        <v>8237</v>
      </c>
      <c r="E748" s="225">
        <v>510</v>
      </c>
      <c r="F748" t="s">
        <v>8401</v>
      </c>
      <c r="G748" t="s">
        <v>8402</v>
      </c>
      <c r="H748" t="s">
        <v>8400</v>
      </c>
      <c r="I748" s="99">
        <v>43872</v>
      </c>
      <c r="J748" s="99">
        <v>43879</v>
      </c>
      <c r="K748" t="s">
        <v>8251</v>
      </c>
      <c r="L748" t="s">
        <v>269</v>
      </c>
    </row>
    <row r="749" spans="2:12" x14ac:dyDescent="0.2">
      <c r="B749">
        <v>10612</v>
      </c>
      <c r="C749" t="s">
        <v>8303</v>
      </c>
      <c r="D749" t="s">
        <v>8272</v>
      </c>
      <c r="E749" s="225">
        <v>1440</v>
      </c>
      <c r="F749" t="s">
        <v>8758</v>
      </c>
      <c r="G749" t="s">
        <v>8757</v>
      </c>
      <c r="H749" t="s">
        <v>8701</v>
      </c>
      <c r="I749" s="99">
        <v>43875</v>
      </c>
      <c r="J749" s="99">
        <v>43879</v>
      </c>
      <c r="K749" t="s">
        <v>8285</v>
      </c>
      <c r="L749" t="s">
        <v>2317</v>
      </c>
    </row>
    <row r="750" spans="2:12" x14ac:dyDescent="0.2">
      <c r="B750">
        <v>10612</v>
      </c>
      <c r="C750" t="s">
        <v>8390</v>
      </c>
      <c r="D750" t="s">
        <v>8262</v>
      </c>
      <c r="E750" s="225">
        <v>360</v>
      </c>
      <c r="F750" t="s">
        <v>8758</v>
      </c>
      <c r="G750" t="s">
        <v>8757</v>
      </c>
      <c r="H750" t="s">
        <v>8701</v>
      </c>
      <c r="I750" s="99">
        <v>43875</v>
      </c>
      <c r="J750" s="99">
        <v>43879</v>
      </c>
      <c r="K750" t="s">
        <v>8285</v>
      </c>
      <c r="L750" t="s">
        <v>2317</v>
      </c>
    </row>
    <row r="751" spans="2:12" x14ac:dyDescent="0.2">
      <c r="B751">
        <v>10612</v>
      </c>
      <c r="C751" t="s">
        <v>8268</v>
      </c>
      <c r="D751" t="s">
        <v>8237</v>
      </c>
      <c r="E751" s="225">
        <v>1360</v>
      </c>
      <c r="F751" t="s">
        <v>8758</v>
      </c>
      <c r="G751" t="s">
        <v>8757</v>
      </c>
      <c r="H751" t="s">
        <v>8701</v>
      </c>
      <c r="I751" s="99">
        <v>43875</v>
      </c>
      <c r="J751" s="99">
        <v>43879</v>
      </c>
      <c r="K751" t="s">
        <v>8285</v>
      </c>
      <c r="L751" t="s">
        <v>2317</v>
      </c>
    </row>
    <row r="752" spans="2:12" x14ac:dyDescent="0.2">
      <c r="B752">
        <v>10613</v>
      </c>
      <c r="C752" t="s">
        <v>8328</v>
      </c>
      <c r="D752" t="s">
        <v>8272</v>
      </c>
      <c r="E752" s="225">
        <v>310</v>
      </c>
      <c r="F752" t="s">
        <v>8732</v>
      </c>
      <c r="G752" t="s">
        <v>8731</v>
      </c>
      <c r="H752" t="s">
        <v>8707</v>
      </c>
      <c r="I752" s="99">
        <v>43876</v>
      </c>
      <c r="J752" s="99">
        <v>43879</v>
      </c>
      <c r="K752" t="s">
        <v>8266</v>
      </c>
      <c r="L752" t="s">
        <v>8267</v>
      </c>
    </row>
    <row r="753" spans="2:12" x14ac:dyDescent="0.2">
      <c r="B753">
        <v>10614</v>
      </c>
      <c r="C753" t="s">
        <v>8342</v>
      </c>
      <c r="D753" t="s">
        <v>8272</v>
      </c>
      <c r="E753" s="225">
        <v>90</v>
      </c>
      <c r="F753" t="s">
        <v>8416</v>
      </c>
      <c r="G753" t="s">
        <v>8417</v>
      </c>
      <c r="H753" t="s">
        <v>8246</v>
      </c>
      <c r="I753" s="99">
        <v>43876</v>
      </c>
      <c r="J753" s="99">
        <v>43879</v>
      </c>
      <c r="K753" t="s">
        <v>8320</v>
      </c>
      <c r="L753" t="s">
        <v>8321</v>
      </c>
    </row>
    <row r="754" spans="2:12" x14ac:dyDescent="0.2">
      <c r="B754">
        <v>10614</v>
      </c>
      <c r="C754" t="s">
        <v>8368</v>
      </c>
      <c r="D754" t="s">
        <v>8262</v>
      </c>
      <c r="E754" s="225">
        <v>80</v>
      </c>
      <c r="F754" t="s">
        <v>8416</v>
      </c>
      <c r="G754" t="s">
        <v>8417</v>
      </c>
      <c r="H754" t="s">
        <v>8246</v>
      </c>
      <c r="I754" s="99">
        <v>43876</v>
      </c>
      <c r="J754" s="99">
        <v>43879</v>
      </c>
      <c r="K754" t="s">
        <v>8320</v>
      </c>
      <c r="L754" t="s">
        <v>8321</v>
      </c>
    </row>
    <row r="755" spans="2:12" x14ac:dyDescent="0.2">
      <c r="B755">
        <v>10614</v>
      </c>
      <c r="C755" t="s">
        <v>8242</v>
      </c>
      <c r="D755" t="s">
        <v>8237</v>
      </c>
      <c r="E755" s="225">
        <v>294</v>
      </c>
      <c r="F755" t="s">
        <v>8416</v>
      </c>
      <c r="G755" t="s">
        <v>8417</v>
      </c>
      <c r="H755" t="s">
        <v>8246</v>
      </c>
      <c r="I755" s="99">
        <v>43876</v>
      </c>
      <c r="J755" s="99">
        <v>43879</v>
      </c>
      <c r="K755" t="s">
        <v>8320</v>
      </c>
      <c r="L755" t="s">
        <v>8321</v>
      </c>
    </row>
    <row r="756" spans="2:12" x14ac:dyDescent="0.2">
      <c r="B756">
        <v>10616</v>
      </c>
      <c r="C756" t="s">
        <v>8380</v>
      </c>
      <c r="D756" t="s">
        <v>8272</v>
      </c>
      <c r="E756" s="225">
        <v>3754.87</v>
      </c>
      <c r="F756" t="s">
        <v>8714</v>
      </c>
      <c r="G756" t="s">
        <v>8713</v>
      </c>
      <c r="H756" t="s">
        <v>8701</v>
      </c>
      <c r="I756" s="99">
        <v>43878</v>
      </c>
      <c r="J756" s="99">
        <v>43883</v>
      </c>
      <c r="K756" t="s">
        <v>8285</v>
      </c>
      <c r="L756" t="s">
        <v>2317</v>
      </c>
    </row>
    <row r="757" spans="2:12" x14ac:dyDescent="0.2">
      <c r="B757">
        <v>10616</v>
      </c>
      <c r="C757" t="s">
        <v>8288</v>
      </c>
      <c r="D757" t="s">
        <v>8272</v>
      </c>
      <c r="E757" s="225">
        <v>213.75</v>
      </c>
      <c r="F757" t="s">
        <v>8714</v>
      </c>
      <c r="G757" t="s">
        <v>8713</v>
      </c>
      <c r="H757" t="s">
        <v>8701</v>
      </c>
      <c r="I757" s="99">
        <v>43878</v>
      </c>
      <c r="J757" s="99">
        <v>43883</v>
      </c>
      <c r="K757" t="s">
        <v>8285</v>
      </c>
      <c r="L757" t="s">
        <v>2317</v>
      </c>
    </row>
    <row r="758" spans="2:12" x14ac:dyDescent="0.2">
      <c r="B758">
        <v>10616</v>
      </c>
      <c r="C758" t="s">
        <v>8310</v>
      </c>
      <c r="D758" t="s">
        <v>8237</v>
      </c>
      <c r="E758" s="225">
        <v>306.37</v>
      </c>
      <c r="F758" t="s">
        <v>8714</v>
      </c>
      <c r="G758" t="s">
        <v>8713</v>
      </c>
      <c r="H758" t="s">
        <v>8701</v>
      </c>
      <c r="I758" s="99">
        <v>43878</v>
      </c>
      <c r="J758" s="99">
        <v>43883</v>
      </c>
      <c r="K758" t="s">
        <v>8285</v>
      </c>
      <c r="L758" t="s">
        <v>2317</v>
      </c>
    </row>
    <row r="759" spans="2:12" x14ac:dyDescent="0.2">
      <c r="B759">
        <v>10616</v>
      </c>
      <c r="C759" t="s">
        <v>8341</v>
      </c>
      <c r="D759" t="s">
        <v>8244</v>
      </c>
      <c r="E759" s="225">
        <v>532</v>
      </c>
      <c r="F759" t="s">
        <v>8714</v>
      </c>
      <c r="G759" t="s">
        <v>8713</v>
      </c>
      <c r="H759" t="s">
        <v>8701</v>
      </c>
      <c r="I759" s="99">
        <v>43878</v>
      </c>
      <c r="J759" s="99">
        <v>43883</v>
      </c>
      <c r="K759" t="s">
        <v>8285</v>
      </c>
      <c r="L759" t="s">
        <v>2317</v>
      </c>
    </row>
    <row r="760" spans="2:12" x14ac:dyDescent="0.2">
      <c r="B760">
        <v>10617</v>
      </c>
      <c r="C760" t="s">
        <v>8281</v>
      </c>
      <c r="D760" t="s">
        <v>8237</v>
      </c>
      <c r="E760" s="225">
        <v>1402.5</v>
      </c>
      <c r="F760" t="s">
        <v>8714</v>
      </c>
      <c r="G760" t="s">
        <v>8713</v>
      </c>
      <c r="H760" t="s">
        <v>8701</v>
      </c>
      <c r="I760" s="99">
        <v>43878</v>
      </c>
      <c r="J760" s="99">
        <v>43882</v>
      </c>
      <c r="K760" t="s">
        <v>8266</v>
      </c>
      <c r="L760" t="s">
        <v>8267</v>
      </c>
    </row>
    <row r="761" spans="2:12" x14ac:dyDescent="0.2">
      <c r="B761">
        <v>10618</v>
      </c>
      <c r="C761" t="s">
        <v>8351</v>
      </c>
      <c r="D761" t="s">
        <v>8254</v>
      </c>
      <c r="E761" s="225">
        <v>1750</v>
      </c>
      <c r="F761" t="s">
        <v>8760</v>
      </c>
      <c r="G761" t="s">
        <v>8759</v>
      </c>
      <c r="H761" t="s">
        <v>8720</v>
      </c>
      <c r="I761" s="99">
        <v>43879</v>
      </c>
      <c r="J761" s="99">
        <v>43886</v>
      </c>
      <c r="K761" t="s">
        <v>8285</v>
      </c>
      <c r="L761" t="s">
        <v>2317</v>
      </c>
    </row>
    <row r="762" spans="2:12" x14ac:dyDescent="0.2">
      <c r="B762">
        <v>10618</v>
      </c>
      <c r="C762" t="s">
        <v>8334</v>
      </c>
      <c r="D762" t="s">
        <v>8262</v>
      </c>
      <c r="E762" s="225">
        <v>187.5</v>
      </c>
      <c r="F762" t="s">
        <v>8760</v>
      </c>
      <c r="G762" t="s">
        <v>8759</v>
      </c>
      <c r="H762" t="s">
        <v>8720</v>
      </c>
      <c r="I762" s="99">
        <v>43879</v>
      </c>
      <c r="J762" s="99">
        <v>43886</v>
      </c>
      <c r="K762" t="s">
        <v>8285</v>
      </c>
      <c r="L762" t="s">
        <v>2317</v>
      </c>
    </row>
    <row r="763" spans="2:12" x14ac:dyDescent="0.2">
      <c r="B763">
        <v>10618</v>
      </c>
      <c r="C763" t="s">
        <v>8341</v>
      </c>
      <c r="D763" t="s">
        <v>8244</v>
      </c>
      <c r="E763" s="225">
        <v>760</v>
      </c>
      <c r="F763" t="s">
        <v>8760</v>
      </c>
      <c r="G763" t="s">
        <v>8759</v>
      </c>
      <c r="H763" t="s">
        <v>8720</v>
      </c>
      <c r="I763" s="99">
        <v>43879</v>
      </c>
      <c r="J763" s="99">
        <v>43886</v>
      </c>
      <c r="K763" t="s">
        <v>8285</v>
      </c>
      <c r="L763" t="s">
        <v>2317</v>
      </c>
    </row>
    <row r="764" spans="2:12" x14ac:dyDescent="0.2">
      <c r="B764">
        <v>10619</v>
      </c>
      <c r="C764" t="s">
        <v>8368</v>
      </c>
      <c r="D764" t="s">
        <v>8262</v>
      </c>
      <c r="E764" s="225">
        <v>420</v>
      </c>
      <c r="F764" t="s">
        <v>8760</v>
      </c>
      <c r="G764" t="s">
        <v>8759</v>
      </c>
      <c r="H764" t="s">
        <v>8720</v>
      </c>
      <c r="I764" s="99">
        <v>43882</v>
      </c>
      <c r="J764" s="99">
        <v>43885</v>
      </c>
      <c r="K764" t="s">
        <v>8257</v>
      </c>
      <c r="L764" t="s">
        <v>6984</v>
      </c>
    </row>
    <row r="765" spans="2:12" x14ac:dyDescent="0.2">
      <c r="B765">
        <v>10619</v>
      </c>
      <c r="C765" t="s">
        <v>8259</v>
      </c>
      <c r="D765" t="s">
        <v>8244</v>
      </c>
      <c r="E765" s="225">
        <v>840</v>
      </c>
      <c r="F765" t="s">
        <v>8760</v>
      </c>
      <c r="G765" t="s">
        <v>8759</v>
      </c>
      <c r="H765" t="s">
        <v>8720</v>
      </c>
      <c r="I765" s="99">
        <v>43882</v>
      </c>
      <c r="J765" s="99">
        <v>43885</v>
      </c>
      <c r="K765" t="s">
        <v>8257</v>
      </c>
      <c r="L765" t="s">
        <v>6984</v>
      </c>
    </row>
    <row r="766" spans="2:12" x14ac:dyDescent="0.2">
      <c r="B766">
        <v>10620</v>
      </c>
      <c r="C766" t="s">
        <v>8270</v>
      </c>
      <c r="D766" t="s">
        <v>8272</v>
      </c>
      <c r="E766" s="225">
        <v>22.5</v>
      </c>
      <c r="F766" t="s">
        <v>8774</v>
      </c>
      <c r="G766" t="s">
        <v>8773</v>
      </c>
      <c r="H766" t="s">
        <v>8720</v>
      </c>
      <c r="I766" s="99">
        <v>43883</v>
      </c>
      <c r="J766" s="99">
        <v>43892</v>
      </c>
      <c r="K766" t="s">
        <v>8297</v>
      </c>
      <c r="L766" t="s">
        <v>8298</v>
      </c>
    </row>
    <row r="767" spans="2:12" x14ac:dyDescent="0.2">
      <c r="B767">
        <v>10620</v>
      </c>
      <c r="C767" t="s">
        <v>8369</v>
      </c>
      <c r="D767" t="s">
        <v>8244</v>
      </c>
      <c r="E767" s="225">
        <v>35</v>
      </c>
      <c r="F767" t="s">
        <v>8774</v>
      </c>
      <c r="G767" t="s">
        <v>8773</v>
      </c>
      <c r="H767" t="s">
        <v>8720</v>
      </c>
      <c r="I767" s="99">
        <v>43883</v>
      </c>
      <c r="J767" s="99">
        <v>43892</v>
      </c>
      <c r="K767" t="s">
        <v>8297</v>
      </c>
      <c r="L767" t="s">
        <v>8298</v>
      </c>
    </row>
    <row r="768" spans="2:12" x14ac:dyDescent="0.2">
      <c r="B768">
        <v>10621</v>
      </c>
      <c r="C768" t="s">
        <v>8288</v>
      </c>
      <c r="D768" t="s">
        <v>8272</v>
      </c>
      <c r="E768" s="225">
        <v>300</v>
      </c>
      <c r="F768" t="s">
        <v>8356</v>
      </c>
      <c r="G768" t="s">
        <v>8357</v>
      </c>
      <c r="H768" t="s">
        <v>2434</v>
      </c>
      <c r="I768" s="99">
        <v>43883</v>
      </c>
      <c r="J768" s="99">
        <v>43889</v>
      </c>
      <c r="K768" t="s">
        <v>8266</v>
      </c>
      <c r="L768" t="s">
        <v>8267</v>
      </c>
    </row>
    <row r="769" spans="2:12" x14ac:dyDescent="0.2">
      <c r="B769">
        <v>10621</v>
      </c>
      <c r="C769" t="s">
        <v>8327</v>
      </c>
      <c r="D769" t="s">
        <v>8262</v>
      </c>
      <c r="E769" s="225">
        <v>46</v>
      </c>
      <c r="F769" t="s">
        <v>8356</v>
      </c>
      <c r="G769" t="s">
        <v>8357</v>
      </c>
      <c r="H769" t="s">
        <v>2434</v>
      </c>
      <c r="I769" s="99">
        <v>43883</v>
      </c>
      <c r="J769" s="99">
        <v>43889</v>
      </c>
      <c r="K769" t="s">
        <v>8266</v>
      </c>
      <c r="L769" t="s">
        <v>8267</v>
      </c>
    </row>
    <row r="770" spans="2:12" x14ac:dyDescent="0.2">
      <c r="B770">
        <v>10621</v>
      </c>
      <c r="C770" t="s">
        <v>8310</v>
      </c>
      <c r="D770" t="s">
        <v>8237</v>
      </c>
      <c r="E770" s="225">
        <v>322.5</v>
      </c>
      <c r="F770" t="s">
        <v>8356</v>
      </c>
      <c r="G770" t="s">
        <v>8357</v>
      </c>
      <c r="H770" t="s">
        <v>2434</v>
      </c>
      <c r="I770" s="99">
        <v>43883</v>
      </c>
      <c r="J770" s="99">
        <v>43889</v>
      </c>
      <c r="K770" t="s">
        <v>8266</v>
      </c>
      <c r="L770" t="s">
        <v>8267</v>
      </c>
    </row>
    <row r="771" spans="2:12" x14ac:dyDescent="0.2">
      <c r="B771">
        <v>10621</v>
      </c>
      <c r="C771" t="s">
        <v>8373</v>
      </c>
      <c r="D771" t="s">
        <v>8244</v>
      </c>
      <c r="E771" s="225">
        <v>90</v>
      </c>
      <c r="F771" t="s">
        <v>8356</v>
      </c>
      <c r="G771" t="s">
        <v>8357</v>
      </c>
      <c r="H771" t="s">
        <v>2434</v>
      </c>
      <c r="I771" s="99">
        <v>43883</v>
      </c>
      <c r="J771" s="99">
        <v>43889</v>
      </c>
      <c r="K771" t="s">
        <v>8266</v>
      </c>
      <c r="L771" t="s">
        <v>8267</v>
      </c>
    </row>
    <row r="772" spans="2:12" x14ac:dyDescent="0.2">
      <c r="B772">
        <v>10622</v>
      </c>
      <c r="C772" t="s">
        <v>8276</v>
      </c>
      <c r="D772" t="s">
        <v>8272</v>
      </c>
      <c r="E772" s="225">
        <v>380</v>
      </c>
      <c r="F772" t="s">
        <v>8716</v>
      </c>
      <c r="G772" t="s">
        <v>8715</v>
      </c>
      <c r="H772" t="s">
        <v>8710</v>
      </c>
      <c r="I772" s="99">
        <v>43884</v>
      </c>
      <c r="J772" s="99">
        <v>43889</v>
      </c>
      <c r="K772" t="s">
        <v>8266</v>
      </c>
      <c r="L772" t="s">
        <v>8267</v>
      </c>
    </row>
    <row r="773" spans="2:12" x14ac:dyDescent="0.2">
      <c r="B773">
        <v>10622</v>
      </c>
      <c r="C773" t="s">
        <v>8334</v>
      </c>
      <c r="D773" t="s">
        <v>8262</v>
      </c>
      <c r="E773" s="225">
        <v>180</v>
      </c>
      <c r="F773" t="s">
        <v>8716</v>
      </c>
      <c r="G773" t="s">
        <v>8715</v>
      </c>
      <c r="H773" t="s">
        <v>8710</v>
      </c>
      <c r="I773" s="99">
        <v>43884</v>
      </c>
      <c r="J773" s="99">
        <v>43889</v>
      </c>
      <c r="K773" t="s">
        <v>8266</v>
      </c>
      <c r="L773" t="s">
        <v>8267</v>
      </c>
    </row>
    <row r="774" spans="2:12" x14ac:dyDescent="0.2">
      <c r="B774">
        <v>10623</v>
      </c>
      <c r="C774" t="s">
        <v>8270</v>
      </c>
      <c r="D774" t="s">
        <v>8272</v>
      </c>
      <c r="E774" s="225">
        <v>13.5</v>
      </c>
      <c r="F774" t="s">
        <v>8304</v>
      </c>
      <c r="G774" t="s">
        <v>8305</v>
      </c>
      <c r="H774" t="s">
        <v>8246</v>
      </c>
      <c r="I774" s="99">
        <v>43885</v>
      </c>
      <c r="J774" s="99">
        <v>43890</v>
      </c>
      <c r="K774" t="s">
        <v>8320</v>
      </c>
      <c r="L774" t="s">
        <v>8321</v>
      </c>
    </row>
    <row r="775" spans="2:12" x14ac:dyDescent="0.2">
      <c r="B775">
        <v>10623</v>
      </c>
      <c r="C775" t="s">
        <v>8323</v>
      </c>
      <c r="D775" t="s">
        <v>8272</v>
      </c>
      <c r="E775" s="225">
        <v>486</v>
      </c>
      <c r="F775" t="s">
        <v>8304</v>
      </c>
      <c r="G775" t="s">
        <v>8305</v>
      </c>
      <c r="H775" t="s">
        <v>8246</v>
      </c>
      <c r="I775" s="99">
        <v>43885</v>
      </c>
      <c r="J775" s="99">
        <v>43890</v>
      </c>
      <c r="K775" t="s">
        <v>8320</v>
      </c>
      <c r="L775" t="s">
        <v>8321</v>
      </c>
    </row>
    <row r="776" spans="2:12" x14ac:dyDescent="0.2">
      <c r="B776">
        <v>10623</v>
      </c>
      <c r="C776" t="s">
        <v>8327</v>
      </c>
      <c r="D776" t="s">
        <v>8262</v>
      </c>
      <c r="E776" s="225">
        <v>124.2</v>
      </c>
      <c r="F776" t="s">
        <v>8304</v>
      </c>
      <c r="G776" t="s">
        <v>8305</v>
      </c>
      <c r="H776" t="s">
        <v>8246</v>
      </c>
      <c r="I776" s="99">
        <v>43885</v>
      </c>
      <c r="J776" s="99">
        <v>43890</v>
      </c>
      <c r="K776" t="s">
        <v>8320</v>
      </c>
      <c r="L776" t="s">
        <v>8321</v>
      </c>
    </row>
    <row r="777" spans="2:12" x14ac:dyDescent="0.2">
      <c r="B777">
        <v>10623</v>
      </c>
      <c r="C777" t="s">
        <v>8368</v>
      </c>
      <c r="D777" t="s">
        <v>8262</v>
      </c>
      <c r="E777" s="225">
        <v>225</v>
      </c>
      <c r="F777" t="s">
        <v>8304</v>
      </c>
      <c r="G777" t="s">
        <v>8305</v>
      </c>
      <c r="H777" t="s">
        <v>8246</v>
      </c>
      <c r="I777" s="99">
        <v>43885</v>
      </c>
      <c r="J777" s="99">
        <v>43890</v>
      </c>
      <c r="K777" t="s">
        <v>8320</v>
      </c>
      <c r="L777" t="s">
        <v>8321</v>
      </c>
    </row>
    <row r="778" spans="2:12" x14ac:dyDescent="0.2">
      <c r="B778">
        <v>10623</v>
      </c>
      <c r="C778" t="s">
        <v>8252</v>
      </c>
      <c r="D778" t="s">
        <v>8247</v>
      </c>
      <c r="E778" s="225">
        <v>488.25</v>
      </c>
      <c r="F778" t="s">
        <v>8304</v>
      </c>
      <c r="G778" t="s">
        <v>8305</v>
      </c>
      <c r="H778" t="s">
        <v>8246</v>
      </c>
      <c r="I778" s="99">
        <v>43885</v>
      </c>
      <c r="J778" s="99">
        <v>43890</v>
      </c>
      <c r="K778" t="s">
        <v>8320</v>
      </c>
      <c r="L778" t="s">
        <v>8321</v>
      </c>
    </row>
    <row r="779" spans="2:12" x14ac:dyDescent="0.2">
      <c r="B779">
        <v>10624</v>
      </c>
      <c r="C779" t="s">
        <v>8322</v>
      </c>
      <c r="D779" t="s">
        <v>8254</v>
      </c>
      <c r="E779" s="225">
        <v>194.5</v>
      </c>
      <c r="F779" t="s">
        <v>8780</v>
      </c>
      <c r="G779" t="s">
        <v>8779</v>
      </c>
      <c r="H779" t="s">
        <v>8701</v>
      </c>
      <c r="I779" s="99">
        <v>43885</v>
      </c>
      <c r="J779" s="99">
        <v>43897</v>
      </c>
      <c r="K779" t="s">
        <v>8266</v>
      </c>
      <c r="L779" t="s">
        <v>8267</v>
      </c>
    </row>
    <row r="780" spans="2:12" x14ac:dyDescent="0.2">
      <c r="B780">
        <v>10624</v>
      </c>
      <c r="C780" t="s">
        <v>8316</v>
      </c>
      <c r="D780" t="s">
        <v>8247</v>
      </c>
      <c r="E780" s="225">
        <v>456</v>
      </c>
      <c r="F780" t="s">
        <v>8780</v>
      </c>
      <c r="G780" t="s">
        <v>8779</v>
      </c>
      <c r="H780" t="s">
        <v>8701</v>
      </c>
      <c r="I780" s="99">
        <v>43885</v>
      </c>
      <c r="J780" s="99">
        <v>43897</v>
      </c>
      <c r="K780" t="s">
        <v>8266</v>
      </c>
      <c r="L780" t="s">
        <v>8267</v>
      </c>
    </row>
    <row r="781" spans="2:12" x14ac:dyDescent="0.2">
      <c r="B781">
        <v>10625</v>
      </c>
      <c r="C781" t="s">
        <v>8268</v>
      </c>
      <c r="D781" t="s">
        <v>8237</v>
      </c>
      <c r="E781" s="225">
        <v>340</v>
      </c>
      <c r="F781" t="s">
        <v>8750</v>
      </c>
      <c r="G781" t="s">
        <v>8749</v>
      </c>
      <c r="H781" t="s">
        <v>8704</v>
      </c>
      <c r="I781" s="99">
        <v>43886</v>
      </c>
      <c r="J781" s="99">
        <v>43892</v>
      </c>
      <c r="K781" t="s">
        <v>8257</v>
      </c>
      <c r="L781" t="s">
        <v>6984</v>
      </c>
    </row>
    <row r="782" spans="2:12" x14ac:dyDescent="0.2">
      <c r="B782">
        <v>10625</v>
      </c>
      <c r="C782" t="s">
        <v>8243</v>
      </c>
      <c r="D782" t="s">
        <v>8244</v>
      </c>
      <c r="E782" s="225">
        <v>70</v>
      </c>
      <c r="F782" t="s">
        <v>8750</v>
      </c>
      <c r="G782" t="s">
        <v>8749</v>
      </c>
      <c r="H782" t="s">
        <v>8704</v>
      </c>
      <c r="I782" s="99">
        <v>43886</v>
      </c>
      <c r="J782" s="99">
        <v>43892</v>
      </c>
      <c r="K782" t="s">
        <v>8257</v>
      </c>
      <c r="L782" t="s">
        <v>6984</v>
      </c>
    </row>
    <row r="783" spans="2:12" x14ac:dyDescent="0.2">
      <c r="B783">
        <v>10625</v>
      </c>
      <c r="C783" t="s">
        <v>8252</v>
      </c>
      <c r="D783" t="s">
        <v>8247</v>
      </c>
      <c r="E783" s="225">
        <v>69.75</v>
      </c>
      <c r="F783" t="s">
        <v>8750</v>
      </c>
      <c r="G783" t="s">
        <v>8749</v>
      </c>
      <c r="H783" t="s">
        <v>8704</v>
      </c>
      <c r="I783" s="99">
        <v>43886</v>
      </c>
      <c r="J783" s="99">
        <v>43892</v>
      </c>
      <c r="K783" t="s">
        <v>8257</v>
      </c>
      <c r="L783" t="s">
        <v>6984</v>
      </c>
    </row>
    <row r="784" spans="2:12" x14ac:dyDescent="0.2">
      <c r="B784">
        <v>10626</v>
      </c>
      <c r="C784" t="s">
        <v>8268</v>
      </c>
      <c r="D784" t="s">
        <v>8237</v>
      </c>
      <c r="E784" s="225">
        <v>680</v>
      </c>
      <c r="F784" t="s">
        <v>8318</v>
      </c>
      <c r="G784" t="s">
        <v>8319</v>
      </c>
      <c r="H784" t="s">
        <v>8292</v>
      </c>
      <c r="I784" s="99">
        <v>43889</v>
      </c>
      <c r="J784" s="99">
        <v>43898</v>
      </c>
      <c r="K784" t="s">
        <v>8285</v>
      </c>
      <c r="L784" t="s">
        <v>2317</v>
      </c>
    </row>
    <row r="785" spans="2:12" x14ac:dyDescent="0.2">
      <c r="B785">
        <v>10626</v>
      </c>
      <c r="C785" t="s">
        <v>8310</v>
      </c>
      <c r="D785" t="s">
        <v>8237</v>
      </c>
      <c r="E785" s="225">
        <v>430</v>
      </c>
      <c r="F785" t="s">
        <v>8318</v>
      </c>
      <c r="G785" t="s">
        <v>8319</v>
      </c>
      <c r="H785" t="s">
        <v>8292</v>
      </c>
      <c r="I785" s="99">
        <v>43889</v>
      </c>
      <c r="J785" s="99">
        <v>43898</v>
      </c>
      <c r="K785" t="s">
        <v>8285</v>
      </c>
      <c r="L785" t="s">
        <v>2317</v>
      </c>
    </row>
    <row r="786" spans="2:12" x14ac:dyDescent="0.2">
      <c r="B786">
        <v>10627</v>
      </c>
      <c r="C786" t="s">
        <v>8291</v>
      </c>
      <c r="D786" t="s">
        <v>8262</v>
      </c>
      <c r="E786" s="225">
        <v>739.5</v>
      </c>
      <c r="F786" t="s">
        <v>8758</v>
      </c>
      <c r="G786" t="s">
        <v>8757</v>
      </c>
      <c r="H786" t="s">
        <v>8701</v>
      </c>
      <c r="I786" s="99">
        <v>43889</v>
      </c>
      <c r="J786" s="99">
        <v>43899</v>
      </c>
      <c r="K786" t="s">
        <v>8320</v>
      </c>
      <c r="L786" t="s">
        <v>8321</v>
      </c>
    </row>
    <row r="787" spans="2:12" x14ac:dyDescent="0.2">
      <c r="B787">
        <v>10628</v>
      </c>
      <c r="C787" t="s">
        <v>8333</v>
      </c>
      <c r="D787" t="s">
        <v>8272</v>
      </c>
      <c r="E787" s="225">
        <v>450</v>
      </c>
      <c r="F787" t="s">
        <v>8295</v>
      </c>
      <c r="G787" t="s">
        <v>8296</v>
      </c>
      <c r="H787" t="s">
        <v>8236</v>
      </c>
      <c r="I787" s="99">
        <v>43890</v>
      </c>
      <c r="J787" s="99">
        <v>43898</v>
      </c>
      <c r="K787" t="s">
        <v>8266</v>
      </c>
      <c r="L787" t="s">
        <v>8267</v>
      </c>
    </row>
    <row r="788" spans="2:12" x14ac:dyDescent="0.2">
      <c r="B788">
        <v>10629</v>
      </c>
      <c r="C788" t="s">
        <v>8340</v>
      </c>
      <c r="D788" t="s">
        <v>8244</v>
      </c>
      <c r="E788" s="225">
        <v>299.25</v>
      </c>
      <c r="F788" t="s">
        <v>8349</v>
      </c>
      <c r="G788" t="s">
        <v>8350</v>
      </c>
      <c r="H788" t="s">
        <v>8324</v>
      </c>
      <c r="I788" s="99">
        <v>43890</v>
      </c>
      <c r="J788" s="99">
        <v>43898</v>
      </c>
      <c r="K788" t="s">
        <v>8266</v>
      </c>
      <c r="L788" t="s">
        <v>8267</v>
      </c>
    </row>
    <row r="789" spans="2:12" x14ac:dyDescent="0.2">
      <c r="B789">
        <v>10630</v>
      </c>
      <c r="C789" t="s">
        <v>8303</v>
      </c>
      <c r="D789" t="s">
        <v>8272</v>
      </c>
      <c r="E789" s="225">
        <v>630</v>
      </c>
      <c r="F789" t="s">
        <v>8359</v>
      </c>
      <c r="G789" t="s">
        <v>8360</v>
      </c>
      <c r="H789" t="s">
        <v>8246</v>
      </c>
      <c r="I789" s="99">
        <v>43891</v>
      </c>
      <c r="J789" s="99">
        <v>43897</v>
      </c>
      <c r="K789" t="s">
        <v>8285</v>
      </c>
      <c r="L789" t="s">
        <v>2317</v>
      </c>
    </row>
    <row r="790" spans="2:12" x14ac:dyDescent="0.2">
      <c r="B790">
        <v>10631</v>
      </c>
      <c r="C790" t="s">
        <v>8328</v>
      </c>
      <c r="D790" t="s">
        <v>8272</v>
      </c>
      <c r="E790" s="225">
        <v>55.8</v>
      </c>
      <c r="F790" t="s">
        <v>8382</v>
      </c>
      <c r="G790" t="s">
        <v>8383</v>
      </c>
      <c r="H790" t="s">
        <v>8236</v>
      </c>
      <c r="I790" s="99">
        <v>43892</v>
      </c>
      <c r="J790" s="99">
        <v>43893</v>
      </c>
      <c r="K790" t="s">
        <v>8320</v>
      </c>
      <c r="L790" t="s">
        <v>8321</v>
      </c>
    </row>
    <row r="791" spans="2:12" x14ac:dyDescent="0.2">
      <c r="B791">
        <v>10632</v>
      </c>
      <c r="C791" t="s">
        <v>8276</v>
      </c>
      <c r="D791" t="s">
        <v>8272</v>
      </c>
      <c r="E791" s="225">
        <v>541.5</v>
      </c>
      <c r="F791" t="s">
        <v>8346</v>
      </c>
      <c r="G791" t="s">
        <v>8347</v>
      </c>
      <c r="H791" t="s">
        <v>8246</v>
      </c>
      <c r="I791" s="99">
        <v>43892</v>
      </c>
      <c r="J791" s="99">
        <v>43897</v>
      </c>
      <c r="K791" t="s">
        <v>8320</v>
      </c>
      <c r="L791" t="s">
        <v>8321</v>
      </c>
    </row>
    <row r="792" spans="2:12" x14ac:dyDescent="0.2">
      <c r="B792">
        <v>10632</v>
      </c>
      <c r="C792" t="s">
        <v>8269</v>
      </c>
      <c r="D792" t="s">
        <v>8237</v>
      </c>
      <c r="E792" s="225">
        <v>47.5</v>
      </c>
      <c r="F792" t="s">
        <v>8346</v>
      </c>
      <c r="G792" t="s">
        <v>8347</v>
      </c>
      <c r="H792" t="s">
        <v>8246</v>
      </c>
      <c r="I792" s="99">
        <v>43892</v>
      </c>
      <c r="J792" s="99">
        <v>43897</v>
      </c>
      <c r="K792" t="s">
        <v>8320</v>
      </c>
      <c r="L792" t="s">
        <v>8321</v>
      </c>
    </row>
    <row r="793" spans="2:12" x14ac:dyDescent="0.2">
      <c r="B793">
        <v>10633</v>
      </c>
      <c r="C793" t="s">
        <v>8372</v>
      </c>
      <c r="D793" t="s">
        <v>8262</v>
      </c>
      <c r="E793" s="225">
        <v>929.09</v>
      </c>
      <c r="F793" t="s">
        <v>8283</v>
      </c>
      <c r="G793" t="s">
        <v>8284</v>
      </c>
      <c r="H793" t="s">
        <v>8282</v>
      </c>
      <c r="I793" s="99">
        <v>43893</v>
      </c>
      <c r="J793" s="99">
        <v>43896</v>
      </c>
      <c r="K793" t="s">
        <v>8158</v>
      </c>
      <c r="L793" t="s">
        <v>861</v>
      </c>
    </row>
    <row r="794" spans="2:12" x14ac:dyDescent="0.2">
      <c r="B794">
        <v>10633</v>
      </c>
      <c r="C794" t="s">
        <v>8291</v>
      </c>
      <c r="D794" t="s">
        <v>8262</v>
      </c>
      <c r="E794" s="225">
        <v>3352.4</v>
      </c>
      <c r="F794" t="s">
        <v>8283</v>
      </c>
      <c r="G794" t="s">
        <v>8284</v>
      </c>
      <c r="H794" t="s">
        <v>8282</v>
      </c>
      <c r="I794" s="99">
        <v>43893</v>
      </c>
      <c r="J794" s="99">
        <v>43896</v>
      </c>
      <c r="K794" t="s">
        <v>8158</v>
      </c>
      <c r="L794" t="s">
        <v>861</v>
      </c>
    </row>
    <row r="795" spans="2:12" x14ac:dyDescent="0.2">
      <c r="B795">
        <v>10633</v>
      </c>
      <c r="C795" t="s">
        <v>8299</v>
      </c>
      <c r="D795" t="s">
        <v>8237</v>
      </c>
      <c r="E795" s="225">
        <v>1162.8</v>
      </c>
      <c r="F795" t="s">
        <v>8283</v>
      </c>
      <c r="G795" t="s">
        <v>8284</v>
      </c>
      <c r="H795" t="s">
        <v>8282</v>
      </c>
      <c r="I795" s="99">
        <v>43893</v>
      </c>
      <c r="J795" s="99">
        <v>43896</v>
      </c>
      <c r="K795" t="s">
        <v>8158</v>
      </c>
      <c r="L795" t="s">
        <v>861</v>
      </c>
    </row>
    <row r="796" spans="2:12" x14ac:dyDescent="0.2">
      <c r="B796">
        <v>10634</v>
      </c>
      <c r="C796" t="s">
        <v>8328</v>
      </c>
      <c r="D796" t="s">
        <v>8272</v>
      </c>
      <c r="E796" s="225">
        <v>15.5</v>
      </c>
      <c r="F796" t="s">
        <v>8407</v>
      </c>
      <c r="G796" t="s">
        <v>8408</v>
      </c>
      <c r="H796" t="s">
        <v>8236</v>
      </c>
      <c r="I796" s="99">
        <v>43893</v>
      </c>
      <c r="J796" s="99">
        <v>43899</v>
      </c>
      <c r="K796" t="s">
        <v>8266</v>
      </c>
      <c r="L796" t="s">
        <v>8267</v>
      </c>
    </row>
    <row r="797" spans="2:12" x14ac:dyDescent="0.2">
      <c r="B797">
        <v>10634</v>
      </c>
      <c r="C797" t="s">
        <v>8415</v>
      </c>
      <c r="D797" t="s">
        <v>8247</v>
      </c>
      <c r="E797" s="225">
        <v>1050</v>
      </c>
      <c r="F797" t="s">
        <v>8407</v>
      </c>
      <c r="G797" t="s">
        <v>8408</v>
      </c>
      <c r="H797" t="s">
        <v>8236</v>
      </c>
      <c r="I797" s="99">
        <v>43893</v>
      </c>
      <c r="J797" s="99">
        <v>43899</v>
      </c>
      <c r="K797" t="s">
        <v>8266</v>
      </c>
      <c r="L797" t="s">
        <v>8267</v>
      </c>
    </row>
    <row r="798" spans="2:12" x14ac:dyDescent="0.2">
      <c r="B798">
        <v>10634</v>
      </c>
      <c r="C798" t="s">
        <v>8245</v>
      </c>
      <c r="D798" t="s">
        <v>8247</v>
      </c>
      <c r="E798" s="225">
        <v>795</v>
      </c>
      <c r="F798" t="s">
        <v>8407</v>
      </c>
      <c r="G798" t="s">
        <v>8408</v>
      </c>
      <c r="H798" t="s">
        <v>8236</v>
      </c>
      <c r="I798" s="99">
        <v>43893</v>
      </c>
      <c r="J798" s="99">
        <v>43899</v>
      </c>
      <c r="K798" t="s">
        <v>8266</v>
      </c>
      <c r="L798" t="s">
        <v>8267</v>
      </c>
    </row>
    <row r="799" spans="2:12" x14ac:dyDescent="0.2">
      <c r="B799">
        <v>10635</v>
      </c>
      <c r="C799" t="s">
        <v>8352</v>
      </c>
      <c r="D799" t="s">
        <v>8254</v>
      </c>
      <c r="E799" s="225">
        <v>198</v>
      </c>
      <c r="F799" t="s">
        <v>8312</v>
      </c>
      <c r="G799" t="s">
        <v>8313</v>
      </c>
      <c r="H799" t="s">
        <v>8311</v>
      </c>
      <c r="I799" s="99">
        <v>43896</v>
      </c>
      <c r="J799" s="99">
        <v>43899</v>
      </c>
      <c r="K799" t="s">
        <v>8320</v>
      </c>
      <c r="L799" t="s">
        <v>8321</v>
      </c>
    </row>
    <row r="800" spans="2:12" x14ac:dyDescent="0.2">
      <c r="B800">
        <v>10635</v>
      </c>
      <c r="C800" t="s">
        <v>8286</v>
      </c>
      <c r="D800" t="s">
        <v>8254</v>
      </c>
      <c r="E800" s="225">
        <v>288.22000000000003</v>
      </c>
      <c r="F800" t="s">
        <v>8312</v>
      </c>
      <c r="G800" t="s">
        <v>8313</v>
      </c>
      <c r="H800" t="s">
        <v>8311</v>
      </c>
      <c r="I800" s="99">
        <v>43896</v>
      </c>
      <c r="J800" s="99">
        <v>43899</v>
      </c>
      <c r="K800" t="s">
        <v>8320</v>
      </c>
      <c r="L800" t="s">
        <v>8321</v>
      </c>
    </row>
    <row r="801" spans="2:12" x14ac:dyDescent="0.2">
      <c r="B801">
        <v>10635</v>
      </c>
      <c r="C801" t="s">
        <v>8259</v>
      </c>
      <c r="D801" t="s">
        <v>8244</v>
      </c>
      <c r="E801" s="225">
        <v>840</v>
      </c>
      <c r="F801" t="s">
        <v>8312</v>
      </c>
      <c r="G801" t="s">
        <v>8313</v>
      </c>
      <c r="H801" t="s">
        <v>8311</v>
      </c>
      <c r="I801" s="99">
        <v>43896</v>
      </c>
      <c r="J801" s="99">
        <v>43899</v>
      </c>
      <c r="K801" t="s">
        <v>8320</v>
      </c>
      <c r="L801" t="s">
        <v>8321</v>
      </c>
    </row>
    <row r="802" spans="2:12" x14ac:dyDescent="0.2">
      <c r="B802">
        <v>10636</v>
      </c>
      <c r="C802" t="s">
        <v>8352</v>
      </c>
      <c r="D802" t="s">
        <v>8254</v>
      </c>
      <c r="E802" s="225">
        <v>550</v>
      </c>
      <c r="F802" t="s">
        <v>8301</v>
      </c>
      <c r="G802" t="s">
        <v>8302</v>
      </c>
      <c r="H802" t="s">
        <v>8300</v>
      </c>
      <c r="I802" s="99">
        <v>43897</v>
      </c>
      <c r="J802" s="99">
        <v>43904</v>
      </c>
      <c r="K802" t="s">
        <v>8266</v>
      </c>
      <c r="L802" t="s">
        <v>8267</v>
      </c>
    </row>
    <row r="803" spans="2:12" x14ac:dyDescent="0.2">
      <c r="B803">
        <v>10637</v>
      </c>
      <c r="C803" t="s">
        <v>8381</v>
      </c>
      <c r="D803" t="s">
        <v>8262</v>
      </c>
      <c r="E803" s="225">
        <v>385.94</v>
      </c>
      <c r="F803" t="s">
        <v>8712</v>
      </c>
      <c r="G803" t="s">
        <v>8711</v>
      </c>
      <c r="H803" t="s">
        <v>8710</v>
      </c>
      <c r="I803" s="99">
        <v>43897</v>
      </c>
      <c r="J803" s="99">
        <v>43904</v>
      </c>
      <c r="K803" t="s">
        <v>8251</v>
      </c>
      <c r="L803" t="s">
        <v>269</v>
      </c>
    </row>
    <row r="804" spans="2:12" x14ac:dyDescent="0.2">
      <c r="B804">
        <v>10637</v>
      </c>
      <c r="C804" t="s">
        <v>8242</v>
      </c>
      <c r="D804" t="s">
        <v>8237</v>
      </c>
      <c r="E804" s="225">
        <v>210</v>
      </c>
      <c r="F804" t="s">
        <v>8712</v>
      </c>
      <c r="G804" t="s">
        <v>8711</v>
      </c>
      <c r="H804" t="s">
        <v>8710</v>
      </c>
      <c r="I804" s="99">
        <v>43897</v>
      </c>
      <c r="J804" s="99">
        <v>43904</v>
      </c>
      <c r="K804" t="s">
        <v>8251</v>
      </c>
      <c r="L804" t="s">
        <v>269</v>
      </c>
    </row>
    <row r="805" spans="2:12" x14ac:dyDescent="0.2">
      <c r="B805">
        <v>10637</v>
      </c>
      <c r="C805" t="s">
        <v>8341</v>
      </c>
      <c r="D805" t="s">
        <v>8244</v>
      </c>
      <c r="E805" s="225">
        <v>2166</v>
      </c>
      <c r="F805" t="s">
        <v>8712</v>
      </c>
      <c r="G805" t="s">
        <v>8711</v>
      </c>
      <c r="H805" t="s">
        <v>8710</v>
      </c>
      <c r="I805" s="99">
        <v>43897</v>
      </c>
      <c r="J805" s="99">
        <v>43904</v>
      </c>
      <c r="K805" t="s">
        <v>8251</v>
      </c>
      <c r="L805" t="s">
        <v>269</v>
      </c>
    </row>
    <row r="806" spans="2:12" x14ac:dyDescent="0.2">
      <c r="B806">
        <v>10638</v>
      </c>
      <c r="C806" t="s">
        <v>8253</v>
      </c>
      <c r="D806" t="s">
        <v>8254</v>
      </c>
      <c r="E806" s="225">
        <v>442.05</v>
      </c>
      <c r="F806" t="s">
        <v>8724</v>
      </c>
      <c r="G806" t="s">
        <v>8723</v>
      </c>
      <c r="H806" t="s">
        <v>8707</v>
      </c>
      <c r="I806" s="99">
        <v>43898</v>
      </c>
      <c r="J806" s="99">
        <v>43910</v>
      </c>
      <c r="K806" t="s">
        <v>8257</v>
      </c>
      <c r="L806" t="s">
        <v>6984</v>
      </c>
    </row>
    <row r="807" spans="2:12" x14ac:dyDescent="0.2">
      <c r="B807">
        <v>10638</v>
      </c>
      <c r="C807" t="s">
        <v>8235</v>
      </c>
      <c r="D807" t="s">
        <v>8237</v>
      </c>
      <c r="E807" s="225">
        <v>2088</v>
      </c>
      <c r="F807" t="s">
        <v>8724</v>
      </c>
      <c r="G807" t="s">
        <v>8723</v>
      </c>
      <c r="H807" t="s">
        <v>8707</v>
      </c>
      <c r="I807" s="99">
        <v>43898</v>
      </c>
      <c r="J807" s="99">
        <v>43910</v>
      </c>
      <c r="K807" t="s">
        <v>8257</v>
      </c>
      <c r="L807" t="s">
        <v>6984</v>
      </c>
    </row>
    <row r="808" spans="2:12" x14ac:dyDescent="0.2">
      <c r="B808">
        <v>10640</v>
      </c>
      <c r="C808" t="s">
        <v>8288</v>
      </c>
      <c r="D808" t="s">
        <v>8272</v>
      </c>
      <c r="E808" s="225">
        <v>168.75</v>
      </c>
      <c r="F808" t="s">
        <v>8346</v>
      </c>
      <c r="G808" t="s">
        <v>8347</v>
      </c>
      <c r="H808" t="s">
        <v>8246</v>
      </c>
      <c r="I808" s="99">
        <v>43899</v>
      </c>
      <c r="J808" s="99">
        <v>43906</v>
      </c>
      <c r="K808" t="s">
        <v>8266</v>
      </c>
      <c r="L808" t="s">
        <v>8267</v>
      </c>
    </row>
    <row r="809" spans="2:12" x14ac:dyDescent="0.2">
      <c r="B809">
        <v>10640</v>
      </c>
      <c r="C809" t="s">
        <v>8353</v>
      </c>
      <c r="D809" t="s">
        <v>8237</v>
      </c>
      <c r="E809" s="225">
        <v>540</v>
      </c>
      <c r="F809" t="s">
        <v>8346</v>
      </c>
      <c r="G809" t="s">
        <v>8347</v>
      </c>
      <c r="H809" t="s">
        <v>8246</v>
      </c>
      <c r="I809" s="99">
        <v>43899</v>
      </c>
      <c r="J809" s="99">
        <v>43906</v>
      </c>
      <c r="K809" t="s">
        <v>8266</v>
      </c>
      <c r="L809" t="s">
        <v>8267</v>
      </c>
    </row>
    <row r="810" spans="2:12" x14ac:dyDescent="0.2">
      <c r="B810">
        <v>10641</v>
      </c>
      <c r="C810" t="s">
        <v>8276</v>
      </c>
      <c r="D810" t="s">
        <v>8272</v>
      </c>
      <c r="E810" s="225">
        <v>950</v>
      </c>
      <c r="F810" t="s">
        <v>8732</v>
      </c>
      <c r="G810" t="s">
        <v>8731</v>
      </c>
      <c r="H810" t="s">
        <v>8707</v>
      </c>
      <c r="I810" s="99">
        <v>43900</v>
      </c>
      <c r="J810" s="99">
        <v>43904</v>
      </c>
      <c r="K810" t="s">
        <v>8266</v>
      </c>
      <c r="L810" t="s">
        <v>8267</v>
      </c>
    </row>
    <row r="811" spans="2:12" x14ac:dyDescent="0.2">
      <c r="B811">
        <v>10642</v>
      </c>
      <c r="C811" t="s">
        <v>8409</v>
      </c>
      <c r="D811" t="s">
        <v>8254</v>
      </c>
      <c r="E811" s="225">
        <v>456</v>
      </c>
      <c r="F811" t="s">
        <v>8375</v>
      </c>
      <c r="G811" t="s">
        <v>8376</v>
      </c>
      <c r="H811" t="s">
        <v>8374</v>
      </c>
      <c r="I811" s="99">
        <v>43900</v>
      </c>
      <c r="J811" s="99">
        <v>43914</v>
      </c>
      <c r="K811" t="s">
        <v>8158</v>
      </c>
      <c r="L811" t="s">
        <v>861</v>
      </c>
    </row>
    <row r="812" spans="2:12" x14ac:dyDescent="0.2">
      <c r="B812">
        <v>10642</v>
      </c>
      <c r="C812" t="s">
        <v>8368</v>
      </c>
      <c r="D812" t="s">
        <v>8262</v>
      </c>
      <c r="E812" s="225">
        <v>240</v>
      </c>
      <c r="F812" t="s">
        <v>8375</v>
      </c>
      <c r="G812" t="s">
        <v>8376</v>
      </c>
      <c r="H812" t="s">
        <v>8374</v>
      </c>
      <c r="I812" s="99">
        <v>43900</v>
      </c>
      <c r="J812" s="99">
        <v>43914</v>
      </c>
      <c r="K812" t="s">
        <v>8158</v>
      </c>
      <c r="L812" t="s">
        <v>861</v>
      </c>
    </row>
    <row r="813" spans="2:12" x14ac:dyDescent="0.2">
      <c r="B813">
        <v>10643</v>
      </c>
      <c r="C813" t="s">
        <v>8342</v>
      </c>
      <c r="D813" t="s">
        <v>8272</v>
      </c>
      <c r="E813" s="225">
        <v>283.5</v>
      </c>
      <c r="F813" t="s">
        <v>8422</v>
      </c>
      <c r="G813" t="s">
        <v>8423</v>
      </c>
      <c r="H813" t="s">
        <v>8246</v>
      </c>
      <c r="I813" s="99">
        <v>43903</v>
      </c>
      <c r="J813" s="99">
        <v>43911</v>
      </c>
      <c r="K813" t="s">
        <v>8251</v>
      </c>
      <c r="L813" t="s">
        <v>269</v>
      </c>
    </row>
    <row r="814" spans="2:12" x14ac:dyDescent="0.2">
      <c r="B814">
        <v>10643</v>
      </c>
      <c r="C814" t="s">
        <v>8316</v>
      </c>
      <c r="D814" t="s">
        <v>8247</v>
      </c>
      <c r="E814" s="225">
        <v>513</v>
      </c>
      <c r="F814" t="s">
        <v>8422</v>
      </c>
      <c r="G814" t="s">
        <v>8423</v>
      </c>
      <c r="H814" t="s">
        <v>8246</v>
      </c>
      <c r="I814" s="99">
        <v>43903</v>
      </c>
      <c r="J814" s="99">
        <v>43911</v>
      </c>
      <c r="K814" t="s">
        <v>8251</v>
      </c>
      <c r="L814" t="s">
        <v>269</v>
      </c>
    </row>
    <row r="815" spans="2:12" x14ac:dyDescent="0.2">
      <c r="B815">
        <v>10644</v>
      </c>
      <c r="C815" t="s">
        <v>8306</v>
      </c>
      <c r="D815" t="s">
        <v>8272</v>
      </c>
      <c r="E815" s="225">
        <v>920</v>
      </c>
      <c r="F815" t="s">
        <v>8730</v>
      </c>
      <c r="G815" t="s">
        <v>8729</v>
      </c>
      <c r="H815" t="s">
        <v>8710</v>
      </c>
      <c r="I815" s="99">
        <v>43903</v>
      </c>
      <c r="J815" s="99">
        <v>43910</v>
      </c>
      <c r="K815" t="s">
        <v>8257</v>
      </c>
      <c r="L815" t="s">
        <v>6984</v>
      </c>
    </row>
    <row r="816" spans="2:12" x14ac:dyDescent="0.2">
      <c r="B816">
        <v>10646</v>
      </c>
      <c r="C816" t="s">
        <v>8333</v>
      </c>
      <c r="D816" t="s">
        <v>8272</v>
      </c>
      <c r="E816" s="225">
        <v>202.5</v>
      </c>
      <c r="F816" t="s">
        <v>8344</v>
      </c>
      <c r="G816" t="s">
        <v>8345</v>
      </c>
      <c r="H816" t="s">
        <v>8343</v>
      </c>
      <c r="I816" s="99">
        <v>43905</v>
      </c>
      <c r="J816" s="99">
        <v>43912</v>
      </c>
      <c r="K816" t="s">
        <v>8279</v>
      </c>
      <c r="L816" t="s">
        <v>710</v>
      </c>
    </row>
    <row r="817" spans="2:12" x14ac:dyDescent="0.2">
      <c r="B817">
        <v>10646</v>
      </c>
      <c r="C817" t="s">
        <v>8397</v>
      </c>
      <c r="D817" t="s">
        <v>8254</v>
      </c>
      <c r="E817" s="225">
        <v>341.25</v>
      </c>
      <c r="F817" t="s">
        <v>8344</v>
      </c>
      <c r="G817" t="s">
        <v>8345</v>
      </c>
      <c r="H817" t="s">
        <v>8343</v>
      </c>
      <c r="I817" s="99">
        <v>43905</v>
      </c>
      <c r="J817" s="99">
        <v>43912</v>
      </c>
      <c r="K817" t="s">
        <v>8279</v>
      </c>
      <c r="L817" t="s">
        <v>710</v>
      </c>
    </row>
    <row r="818" spans="2:12" x14ac:dyDescent="0.2">
      <c r="B818">
        <v>10646</v>
      </c>
      <c r="C818" t="s">
        <v>8310</v>
      </c>
      <c r="D818" t="s">
        <v>8237</v>
      </c>
      <c r="E818" s="225">
        <v>483.75</v>
      </c>
      <c r="F818" t="s">
        <v>8344</v>
      </c>
      <c r="G818" t="s">
        <v>8345</v>
      </c>
      <c r="H818" t="s">
        <v>8343</v>
      </c>
      <c r="I818" s="99">
        <v>43905</v>
      </c>
      <c r="J818" s="99">
        <v>43912</v>
      </c>
      <c r="K818" t="s">
        <v>8279</v>
      </c>
      <c r="L818" t="s">
        <v>710</v>
      </c>
    </row>
    <row r="819" spans="2:12" x14ac:dyDescent="0.2">
      <c r="B819">
        <v>10647</v>
      </c>
      <c r="C819" t="s">
        <v>8342</v>
      </c>
      <c r="D819" t="s">
        <v>8272</v>
      </c>
      <c r="E819" s="225">
        <v>360</v>
      </c>
      <c r="F819" t="s">
        <v>8736</v>
      </c>
      <c r="G819" t="s">
        <v>8735</v>
      </c>
      <c r="H819" t="s">
        <v>8710</v>
      </c>
      <c r="I819" s="99">
        <v>43905</v>
      </c>
      <c r="J819" s="99">
        <v>43912</v>
      </c>
      <c r="K819" t="s">
        <v>8266</v>
      </c>
      <c r="L819" t="s">
        <v>8267</v>
      </c>
    </row>
    <row r="820" spans="2:12" x14ac:dyDescent="0.2">
      <c r="B820">
        <v>10647</v>
      </c>
      <c r="C820" t="s">
        <v>8327</v>
      </c>
      <c r="D820" t="s">
        <v>8262</v>
      </c>
      <c r="E820" s="225">
        <v>276</v>
      </c>
      <c r="F820" t="s">
        <v>8736</v>
      </c>
      <c r="G820" t="s">
        <v>8735</v>
      </c>
      <c r="H820" t="s">
        <v>8710</v>
      </c>
      <c r="I820" s="99">
        <v>43905</v>
      </c>
      <c r="J820" s="99">
        <v>43912</v>
      </c>
      <c r="K820" t="s">
        <v>8266</v>
      </c>
      <c r="L820" t="s">
        <v>8267</v>
      </c>
    </row>
    <row r="821" spans="2:12" x14ac:dyDescent="0.2">
      <c r="B821">
        <v>10648</v>
      </c>
      <c r="C821" t="s">
        <v>8270</v>
      </c>
      <c r="D821" t="s">
        <v>8272</v>
      </c>
      <c r="E821" s="225">
        <v>57.37</v>
      </c>
      <c r="F821" t="s">
        <v>8716</v>
      </c>
      <c r="G821" t="s">
        <v>8715</v>
      </c>
      <c r="H821" t="s">
        <v>8710</v>
      </c>
      <c r="I821" s="99">
        <v>43906</v>
      </c>
      <c r="J821" s="99">
        <v>43918</v>
      </c>
      <c r="K821" t="s">
        <v>8241</v>
      </c>
      <c r="L821" t="s">
        <v>6934</v>
      </c>
    </row>
    <row r="822" spans="2:12" x14ac:dyDescent="0.2">
      <c r="B822">
        <v>10648</v>
      </c>
      <c r="C822" t="s">
        <v>8259</v>
      </c>
      <c r="D822" t="s">
        <v>8244</v>
      </c>
      <c r="E822" s="225">
        <v>315</v>
      </c>
      <c r="F822" t="s">
        <v>8716</v>
      </c>
      <c r="G822" t="s">
        <v>8715</v>
      </c>
      <c r="H822" t="s">
        <v>8710</v>
      </c>
      <c r="I822" s="99">
        <v>43906</v>
      </c>
      <c r="J822" s="99">
        <v>43918</v>
      </c>
      <c r="K822" t="s">
        <v>8241</v>
      </c>
      <c r="L822" t="s">
        <v>6934</v>
      </c>
    </row>
    <row r="823" spans="2:12" x14ac:dyDescent="0.2">
      <c r="B823">
        <v>10649</v>
      </c>
      <c r="C823" t="s">
        <v>8235</v>
      </c>
      <c r="D823" t="s">
        <v>8237</v>
      </c>
      <c r="E823" s="225">
        <v>522</v>
      </c>
      <c r="F823" t="s">
        <v>8420</v>
      </c>
      <c r="G823" t="s">
        <v>8421</v>
      </c>
      <c r="H823" t="s">
        <v>8261</v>
      </c>
      <c r="I823" s="99">
        <v>43906</v>
      </c>
      <c r="J823" s="99">
        <v>43907</v>
      </c>
      <c r="K823" t="s">
        <v>8241</v>
      </c>
      <c r="L823" t="s">
        <v>6934</v>
      </c>
    </row>
    <row r="824" spans="2:12" x14ac:dyDescent="0.2">
      <c r="B824">
        <v>10649</v>
      </c>
      <c r="C824" t="s">
        <v>8316</v>
      </c>
      <c r="D824" t="s">
        <v>8247</v>
      </c>
      <c r="E824" s="225">
        <v>912</v>
      </c>
      <c r="F824" t="s">
        <v>8420</v>
      </c>
      <c r="G824" t="s">
        <v>8421</v>
      </c>
      <c r="H824" t="s">
        <v>8261</v>
      </c>
      <c r="I824" s="99">
        <v>43906</v>
      </c>
      <c r="J824" s="99">
        <v>43907</v>
      </c>
      <c r="K824" t="s">
        <v>8241</v>
      </c>
      <c r="L824" t="s">
        <v>6934</v>
      </c>
    </row>
    <row r="825" spans="2:12" x14ac:dyDescent="0.2">
      <c r="B825">
        <v>10651</v>
      </c>
      <c r="C825" t="s">
        <v>8327</v>
      </c>
      <c r="D825" t="s">
        <v>8262</v>
      </c>
      <c r="E825" s="225">
        <v>82.8</v>
      </c>
      <c r="F825" t="s">
        <v>8346</v>
      </c>
      <c r="G825" t="s">
        <v>8347</v>
      </c>
      <c r="H825" t="s">
        <v>8246</v>
      </c>
      <c r="I825" s="99">
        <v>43910</v>
      </c>
      <c r="J825" s="99">
        <v>43920</v>
      </c>
      <c r="K825" t="s">
        <v>8320</v>
      </c>
      <c r="L825" t="s">
        <v>8321</v>
      </c>
    </row>
    <row r="826" spans="2:12" x14ac:dyDescent="0.2">
      <c r="B826">
        <v>10651</v>
      </c>
      <c r="C826" t="s">
        <v>8259</v>
      </c>
      <c r="D826" t="s">
        <v>8244</v>
      </c>
      <c r="E826" s="225">
        <v>315</v>
      </c>
      <c r="F826" t="s">
        <v>8346</v>
      </c>
      <c r="G826" t="s">
        <v>8347</v>
      </c>
      <c r="H826" t="s">
        <v>8246</v>
      </c>
      <c r="I826" s="99">
        <v>43910</v>
      </c>
      <c r="J826" s="99">
        <v>43920</v>
      </c>
      <c r="K826" t="s">
        <v>8320</v>
      </c>
      <c r="L826" t="s">
        <v>8321</v>
      </c>
    </row>
    <row r="827" spans="2:12" x14ac:dyDescent="0.2">
      <c r="B827">
        <v>10652</v>
      </c>
      <c r="C827" t="s">
        <v>8243</v>
      </c>
      <c r="D827" t="s">
        <v>8244</v>
      </c>
      <c r="E827" s="225">
        <v>280</v>
      </c>
      <c r="F827" t="s">
        <v>8770</v>
      </c>
      <c r="G827" t="s">
        <v>8769</v>
      </c>
      <c r="H827" t="s">
        <v>8710</v>
      </c>
      <c r="I827" s="99">
        <v>43910</v>
      </c>
      <c r="J827" s="99">
        <v>43917</v>
      </c>
      <c r="K827" t="s">
        <v>8266</v>
      </c>
      <c r="L827" t="s">
        <v>8267</v>
      </c>
    </row>
    <row r="828" spans="2:12" x14ac:dyDescent="0.2">
      <c r="B828">
        <v>10653</v>
      </c>
      <c r="C828" t="s">
        <v>8280</v>
      </c>
      <c r="D828" t="s">
        <v>8262</v>
      </c>
      <c r="E828" s="225">
        <v>471.15</v>
      </c>
      <c r="F828" t="s">
        <v>8304</v>
      </c>
      <c r="G828" t="s">
        <v>8305</v>
      </c>
      <c r="H828" t="s">
        <v>8246</v>
      </c>
      <c r="I828" s="99">
        <v>43911</v>
      </c>
      <c r="J828" s="99">
        <v>43928</v>
      </c>
      <c r="K828" t="s">
        <v>8285</v>
      </c>
      <c r="L828" t="s">
        <v>2317</v>
      </c>
    </row>
    <row r="829" spans="2:12" x14ac:dyDescent="0.2">
      <c r="B829">
        <v>10653</v>
      </c>
      <c r="C829" t="s">
        <v>8268</v>
      </c>
      <c r="D829" t="s">
        <v>8237</v>
      </c>
      <c r="E829" s="225">
        <v>612</v>
      </c>
      <c r="F829" t="s">
        <v>8304</v>
      </c>
      <c r="G829" t="s">
        <v>8305</v>
      </c>
      <c r="H829" t="s">
        <v>8246</v>
      </c>
      <c r="I829" s="99">
        <v>43911</v>
      </c>
      <c r="J829" s="99">
        <v>43928</v>
      </c>
      <c r="K829" t="s">
        <v>8285</v>
      </c>
      <c r="L829" t="s">
        <v>2317</v>
      </c>
    </row>
    <row r="830" spans="2:12" x14ac:dyDescent="0.2">
      <c r="B830">
        <v>10654</v>
      </c>
      <c r="C830" t="s">
        <v>8342</v>
      </c>
      <c r="D830" t="s">
        <v>8272</v>
      </c>
      <c r="E830" s="225">
        <v>324</v>
      </c>
      <c r="F830" t="s">
        <v>8318</v>
      </c>
      <c r="G830" t="s">
        <v>8319</v>
      </c>
      <c r="H830" t="s">
        <v>8292</v>
      </c>
      <c r="I830" s="99">
        <v>43911</v>
      </c>
      <c r="J830" s="99">
        <v>43920</v>
      </c>
      <c r="K830" t="s">
        <v>8241</v>
      </c>
      <c r="L830" t="s">
        <v>6934</v>
      </c>
    </row>
    <row r="831" spans="2:12" x14ac:dyDescent="0.2">
      <c r="B831">
        <v>10654</v>
      </c>
      <c r="C831" t="s">
        <v>8352</v>
      </c>
      <c r="D831" t="s">
        <v>8254</v>
      </c>
      <c r="E831" s="225">
        <v>237.6</v>
      </c>
      <c r="F831" t="s">
        <v>8318</v>
      </c>
      <c r="G831" t="s">
        <v>8319</v>
      </c>
      <c r="H831" t="s">
        <v>8292</v>
      </c>
      <c r="I831" s="99">
        <v>43911</v>
      </c>
      <c r="J831" s="99">
        <v>43920</v>
      </c>
      <c r="K831" t="s">
        <v>8241</v>
      </c>
      <c r="L831" t="s">
        <v>6934</v>
      </c>
    </row>
    <row r="832" spans="2:12" x14ac:dyDescent="0.2">
      <c r="B832">
        <v>10656</v>
      </c>
      <c r="C832" t="s">
        <v>8322</v>
      </c>
      <c r="D832" t="s">
        <v>8254</v>
      </c>
      <c r="E832" s="225">
        <v>490.14</v>
      </c>
      <c r="F832" t="s">
        <v>8714</v>
      </c>
      <c r="G832" t="s">
        <v>8713</v>
      </c>
      <c r="H832" t="s">
        <v>8701</v>
      </c>
      <c r="I832" s="99">
        <v>43913</v>
      </c>
      <c r="J832" s="99">
        <v>43919</v>
      </c>
      <c r="K832" t="s">
        <v>8251</v>
      </c>
      <c r="L832" t="s">
        <v>269</v>
      </c>
    </row>
    <row r="833" spans="2:12" x14ac:dyDescent="0.2">
      <c r="B833">
        <v>10656</v>
      </c>
      <c r="C833" t="s">
        <v>8410</v>
      </c>
      <c r="D833" t="s">
        <v>8262</v>
      </c>
      <c r="E833" s="225">
        <v>51.3</v>
      </c>
      <c r="F833" t="s">
        <v>8714</v>
      </c>
      <c r="G833" t="s">
        <v>8713</v>
      </c>
      <c r="H833" t="s">
        <v>8701</v>
      </c>
      <c r="I833" s="99">
        <v>43913</v>
      </c>
      <c r="J833" s="99">
        <v>43919</v>
      </c>
      <c r="K833" t="s">
        <v>8251</v>
      </c>
      <c r="L833" t="s">
        <v>269</v>
      </c>
    </row>
    <row r="834" spans="2:12" x14ac:dyDescent="0.2">
      <c r="B834">
        <v>10656</v>
      </c>
      <c r="C834" t="s">
        <v>8252</v>
      </c>
      <c r="D834" t="s">
        <v>8247</v>
      </c>
      <c r="E834" s="225">
        <v>62.77</v>
      </c>
      <c r="F834" t="s">
        <v>8714</v>
      </c>
      <c r="G834" t="s">
        <v>8713</v>
      </c>
      <c r="H834" t="s">
        <v>8701</v>
      </c>
      <c r="I834" s="99">
        <v>43913</v>
      </c>
      <c r="J834" s="99">
        <v>43919</v>
      </c>
      <c r="K834" t="s">
        <v>8251</v>
      </c>
      <c r="L834" t="s">
        <v>269</v>
      </c>
    </row>
    <row r="835" spans="2:12" x14ac:dyDescent="0.2">
      <c r="B835">
        <v>10657</v>
      </c>
      <c r="C835" t="s">
        <v>8361</v>
      </c>
      <c r="D835" t="s">
        <v>8254</v>
      </c>
      <c r="E835" s="225">
        <v>775</v>
      </c>
      <c r="F835" t="s">
        <v>8758</v>
      </c>
      <c r="G835" t="s">
        <v>8757</v>
      </c>
      <c r="H835" t="s">
        <v>8701</v>
      </c>
      <c r="I835" s="99">
        <v>43913</v>
      </c>
      <c r="J835" s="99">
        <v>43924</v>
      </c>
      <c r="K835" t="s">
        <v>8297</v>
      </c>
      <c r="L835" t="s">
        <v>8298</v>
      </c>
    </row>
    <row r="836" spans="2:12" x14ac:dyDescent="0.2">
      <c r="B836">
        <v>10657</v>
      </c>
      <c r="C836" t="s">
        <v>8410</v>
      </c>
      <c r="D836" t="s">
        <v>8262</v>
      </c>
      <c r="E836" s="225">
        <v>95</v>
      </c>
      <c r="F836" t="s">
        <v>8758</v>
      </c>
      <c r="G836" t="s">
        <v>8757</v>
      </c>
      <c r="H836" t="s">
        <v>8701</v>
      </c>
      <c r="I836" s="99">
        <v>43913</v>
      </c>
      <c r="J836" s="99">
        <v>43924</v>
      </c>
      <c r="K836" t="s">
        <v>8297</v>
      </c>
      <c r="L836" t="s">
        <v>8298</v>
      </c>
    </row>
    <row r="837" spans="2:12" x14ac:dyDescent="0.2">
      <c r="B837">
        <v>10657</v>
      </c>
      <c r="C837" t="s">
        <v>8268</v>
      </c>
      <c r="D837" t="s">
        <v>8237</v>
      </c>
      <c r="E837" s="225">
        <v>1020</v>
      </c>
      <c r="F837" t="s">
        <v>8758</v>
      </c>
      <c r="G837" t="s">
        <v>8757</v>
      </c>
      <c r="H837" t="s">
        <v>8701</v>
      </c>
      <c r="I837" s="99">
        <v>43913</v>
      </c>
      <c r="J837" s="99">
        <v>43924</v>
      </c>
      <c r="K837" t="s">
        <v>8297</v>
      </c>
      <c r="L837" t="s">
        <v>8298</v>
      </c>
    </row>
    <row r="838" spans="2:12" x14ac:dyDescent="0.2">
      <c r="B838">
        <v>10657</v>
      </c>
      <c r="C838" t="s">
        <v>8341</v>
      </c>
      <c r="D838" t="s">
        <v>8244</v>
      </c>
      <c r="E838" s="225">
        <v>1710</v>
      </c>
      <c r="F838" t="s">
        <v>8758</v>
      </c>
      <c r="G838" t="s">
        <v>8757</v>
      </c>
      <c r="H838" t="s">
        <v>8701</v>
      </c>
      <c r="I838" s="99">
        <v>43913</v>
      </c>
      <c r="J838" s="99">
        <v>43924</v>
      </c>
      <c r="K838" t="s">
        <v>8297</v>
      </c>
      <c r="L838" t="s">
        <v>8298</v>
      </c>
    </row>
    <row r="839" spans="2:12" x14ac:dyDescent="0.2">
      <c r="B839">
        <v>10658</v>
      </c>
      <c r="C839" t="s">
        <v>8397</v>
      </c>
      <c r="D839" t="s">
        <v>8254</v>
      </c>
      <c r="E839" s="225">
        <v>864.5</v>
      </c>
      <c r="F839" t="s">
        <v>8307</v>
      </c>
      <c r="G839" t="s">
        <v>8308</v>
      </c>
      <c r="H839" t="s">
        <v>8246</v>
      </c>
      <c r="I839" s="99">
        <v>43914</v>
      </c>
      <c r="J839" s="99">
        <v>43917</v>
      </c>
      <c r="K839" t="s">
        <v>8266</v>
      </c>
      <c r="L839" t="s">
        <v>8267</v>
      </c>
    </row>
    <row r="840" spans="2:12" x14ac:dyDescent="0.2">
      <c r="B840">
        <v>10658</v>
      </c>
      <c r="C840" t="s">
        <v>8368</v>
      </c>
      <c r="D840" t="s">
        <v>8262</v>
      </c>
      <c r="E840" s="225">
        <v>600</v>
      </c>
      <c r="F840" t="s">
        <v>8307</v>
      </c>
      <c r="G840" t="s">
        <v>8308</v>
      </c>
      <c r="H840" t="s">
        <v>8246</v>
      </c>
      <c r="I840" s="99">
        <v>43914</v>
      </c>
      <c r="J840" s="99">
        <v>43917</v>
      </c>
      <c r="K840" t="s">
        <v>8266</v>
      </c>
      <c r="L840" t="s">
        <v>8267</v>
      </c>
    </row>
    <row r="841" spans="2:12" x14ac:dyDescent="0.2">
      <c r="B841">
        <v>10658</v>
      </c>
      <c r="C841" t="s">
        <v>8268</v>
      </c>
      <c r="D841" t="s">
        <v>8237</v>
      </c>
      <c r="E841" s="225">
        <v>1776.5</v>
      </c>
      <c r="F841" t="s">
        <v>8307</v>
      </c>
      <c r="G841" t="s">
        <v>8308</v>
      </c>
      <c r="H841" t="s">
        <v>8246</v>
      </c>
      <c r="I841" s="99">
        <v>43914</v>
      </c>
      <c r="J841" s="99">
        <v>43917</v>
      </c>
      <c r="K841" t="s">
        <v>8266</v>
      </c>
      <c r="L841" t="s">
        <v>8267</v>
      </c>
    </row>
    <row r="842" spans="2:12" x14ac:dyDescent="0.2">
      <c r="B842">
        <v>10659</v>
      </c>
      <c r="C842" t="s">
        <v>8288</v>
      </c>
      <c r="D842" t="s">
        <v>8272</v>
      </c>
      <c r="E842" s="225">
        <v>570</v>
      </c>
      <c r="F842" t="s">
        <v>8712</v>
      </c>
      <c r="G842" t="s">
        <v>8711</v>
      </c>
      <c r="H842" t="s">
        <v>8710</v>
      </c>
      <c r="I842" s="99">
        <v>43914</v>
      </c>
      <c r="J842" s="99">
        <v>43919</v>
      </c>
      <c r="K842" t="s">
        <v>8158</v>
      </c>
      <c r="L842" t="s">
        <v>861</v>
      </c>
    </row>
    <row r="843" spans="2:12" x14ac:dyDescent="0.2">
      <c r="B843">
        <v>10659</v>
      </c>
      <c r="C843" t="s">
        <v>8309</v>
      </c>
      <c r="D843" t="s">
        <v>8237</v>
      </c>
      <c r="E843" s="225">
        <v>237.5</v>
      </c>
      <c r="F843" t="s">
        <v>8712</v>
      </c>
      <c r="G843" t="s">
        <v>8711</v>
      </c>
      <c r="H843" t="s">
        <v>8710</v>
      </c>
      <c r="I843" s="99">
        <v>43914</v>
      </c>
      <c r="J843" s="99">
        <v>43919</v>
      </c>
      <c r="K843" t="s">
        <v>8158</v>
      </c>
      <c r="L843" t="s">
        <v>861</v>
      </c>
    </row>
    <row r="844" spans="2:12" x14ac:dyDescent="0.2">
      <c r="B844">
        <v>10660</v>
      </c>
      <c r="C844" t="s">
        <v>8260</v>
      </c>
      <c r="D844" t="s">
        <v>8262</v>
      </c>
      <c r="E844" s="225">
        <v>1701</v>
      </c>
      <c r="F844" t="s">
        <v>8766</v>
      </c>
      <c r="G844" t="s">
        <v>8765</v>
      </c>
      <c r="H844" t="s">
        <v>8701</v>
      </c>
      <c r="I844" s="99">
        <v>43917</v>
      </c>
      <c r="J844" s="99">
        <v>43954</v>
      </c>
      <c r="K844" t="s">
        <v>8320</v>
      </c>
      <c r="L844" t="s">
        <v>8321</v>
      </c>
    </row>
    <row r="845" spans="2:12" x14ac:dyDescent="0.2">
      <c r="B845">
        <v>10661</v>
      </c>
      <c r="C845" t="s">
        <v>8342</v>
      </c>
      <c r="D845" t="s">
        <v>8272</v>
      </c>
      <c r="E845" s="225">
        <v>43.2</v>
      </c>
      <c r="F845" t="s">
        <v>8344</v>
      </c>
      <c r="G845" t="s">
        <v>8345</v>
      </c>
      <c r="H845" t="s">
        <v>8343</v>
      </c>
      <c r="I845" s="99">
        <v>43918</v>
      </c>
      <c r="J845" s="99">
        <v>43924</v>
      </c>
      <c r="K845" t="s">
        <v>8158</v>
      </c>
      <c r="L845" t="s">
        <v>861</v>
      </c>
    </row>
    <row r="846" spans="2:12" x14ac:dyDescent="0.2">
      <c r="B846">
        <v>10662</v>
      </c>
      <c r="C846" t="s">
        <v>8334</v>
      </c>
      <c r="D846" t="s">
        <v>8262</v>
      </c>
      <c r="E846" s="225">
        <v>125</v>
      </c>
      <c r="F846" t="s">
        <v>8752</v>
      </c>
      <c r="G846" t="s">
        <v>8751</v>
      </c>
      <c r="H846" t="s">
        <v>8701</v>
      </c>
      <c r="I846" s="99">
        <v>43918</v>
      </c>
      <c r="J846" s="99">
        <v>43927</v>
      </c>
      <c r="K846" t="s">
        <v>8257</v>
      </c>
      <c r="L846" t="s">
        <v>6984</v>
      </c>
    </row>
    <row r="847" spans="2:12" x14ac:dyDescent="0.2">
      <c r="B847">
        <v>10663</v>
      </c>
      <c r="C847" t="s">
        <v>8243</v>
      </c>
      <c r="D847" t="s">
        <v>8244</v>
      </c>
      <c r="E847" s="225">
        <v>399</v>
      </c>
      <c r="F847" t="s">
        <v>8377</v>
      </c>
      <c r="G847" t="s">
        <v>8378</v>
      </c>
      <c r="H847" t="s">
        <v>8236</v>
      </c>
      <c r="I847" s="99">
        <v>43919</v>
      </c>
      <c r="J847" s="99">
        <v>43942</v>
      </c>
      <c r="K847" t="s">
        <v>8297</v>
      </c>
      <c r="L847" t="s">
        <v>8298</v>
      </c>
    </row>
    <row r="848" spans="2:12" x14ac:dyDescent="0.2">
      <c r="B848">
        <v>10663</v>
      </c>
      <c r="C848" t="s">
        <v>8245</v>
      </c>
      <c r="D848" t="s">
        <v>8247</v>
      </c>
      <c r="E848" s="225">
        <v>1007</v>
      </c>
      <c r="F848" t="s">
        <v>8377</v>
      </c>
      <c r="G848" t="s">
        <v>8378</v>
      </c>
      <c r="H848" t="s">
        <v>8236</v>
      </c>
      <c r="I848" s="99">
        <v>43919</v>
      </c>
      <c r="J848" s="99">
        <v>43942</v>
      </c>
      <c r="K848" t="s">
        <v>8297</v>
      </c>
      <c r="L848" t="s">
        <v>8298</v>
      </c>
    </row>
    <row r="849" spans="2:12" x14ac:dyDescent="0.2">
      <c r="B849">
        <v>10664</v>
      </c>
      <c r="C849" t="s">
        <v>8253</v>
      </c>
      <c r="D849" t="s">
        <v>8254</v>
      </c>
      <c r="E849" s="225">
        <v>268.39</v>
      </c>
      <c r="F849" t="s">
        <v>8366</v>
      </c>
      <c r="G849" t="s">
        <v>8367</v>
      </c>
      <c r="H849" t="s">
        <v>8365</v>
      </c>
      <c r="I849" s="99">
        <v>43919</v>
      </c>
      <c r="J849" s="99">
        <v>43928</v>
      </c>
      <c r="K849" t="s">
        <v>8285</v>
      </c>
      <c r="L849" t="s">
        <v>2317</v>
      </c>
    </row>
    <row r="850" spans="2:12" x14ac:dyDescent="0.2">
      <c r="B850">
        <v>10664</v>
      </c>
      <c r="C850" t="s">
        <v>8341</v>
      </c>
      <c r="D850" t="s">
        <v>8244</v>
      </c>
      <c r="E850" s="225">
        <v>387.6</v>
      </c>
      <c r="F850" t="s">
        <v>8366</v>
      </c>
      <c r="G850" t="s">
        <v>8367</v>
      </c>
      <c r="H850" t="s">
        <v>8365</v>
      </c>
      <c r="I850" s="99">
        <v>43919</v>
      </c>
      <c r="J850" s="99">
        <v>43928</v>
      </c>
      <c r="K850" t="s">
        <v>8285</v>
      </c>
      <c r="L850" t="s">
        <v>2317</v>
      </c>
    </row>
    <row r="851" spans="2:12" x14ac:dyDescent="0.2">
      <c r="B851">
        <v>10665</v>
      </c>
      <c r="C851" t="s">
        <v>8303</v>
      </c>
      <c r="D851" t="s">
        <v>8272</v>
      </c>
      <c r="E851" s="225">
        <v>180</v>
      </c>
      <c r="F851" t="s">
        <v>8752</v>
      </c>
      <c r="G851" t="s">
        <v>8751</v>
      </c>
      <c r="H851" t="s">
        <v>8701</v>
      </c>
      <c r="I851" s="99">
        <v>43920</v>
      </c>
      <c r="J851" s="99">
        <v>43926</v>
      </c>
      <c r="K851" t="s">
        <v>8285</v>
      </c>
      <c r="L851" t="s">
        <v>2317</v>
      </c>
    </row>
    <row r="852" spans="2:12" x14ac:dyDescent="0.2">
      <c r="B852">
        <v>10665</v>
      </c>
      <c r="C852" t="s">
        <v>8281</v>
      </c>
      <c r="D852" t="s">
        <v>8237</v>
      </c>
      <c r="E852" s="225">
        <v>55</v>
      </c>
      <c r="F852" t="s">
        <v>8752</v>
      </c>
      <c r="G852" t="s">
        <v>8751</v>
      </c>
      <c r="H852" t="s">
        <v>8701</v>
      </c>
      <c r="I852" s="99">
        <v>43920</v>
      </c>
      <c r="J852" s="99">
        <v>43926</v>
      </c>
      <c r="K852" t="s">
        <v>8285</v>
      </c>
      <c r="L852" t="s">
        <v>2317</v>
      </c>
    </row>
    <row r="853" spans="2:12" x14ac:dyDescent="0.2">
      <c r="B853">
        <v>10665</v>
      </c>
      <c r="C853" t="s">
        <v>8245</v>
      </c>
      <c r="D853" t="s">
        <v>8247</v>
      </c>
      <c r="E853" s="225">
        <v>1060</v>
      </c>
      <c r="F853" t="s">
        <v>8752</v>
      </c>
      <c r="G853" t="s">
        <v>8751</v>
      </c>
      <c r="H853" t="s">
        <v>8701</v>
      </c>
      <c r="I853" s="99">
        <v>43920</v>
      </c>
      <c r="J853" s="99">
        <v>43926</v>
      </c>
      <c r="K853" t="s">
        <v>8285</v>
      </c>
      <c r="L853" t="s">
        <v>2317</v>
      </c>
    </row>
    <row r="854" spans="2:12" x14ac:dyDescent="0.2">
      <c r="B854">
        <v>10666</v>
      </c>
      <c r="C854" t="s">
        <v>8253</v>
      </c>
      <c r="D854" t="s">
        <v>8254</v>
      </c>
      <c r="E854" s="225">
        <v>210.5</v>
      </c>
      <c r="F854" t="s">
        <v>8277</v>
      </c>
      <c r="G854" t="s">
        <v>8278</v>
      </c>
      <c r="H854" t="s">
        <v>8271</v>
      </c>
      <c r="I854" s="99">
        <v>43921</v>
      </c>
      <c r="J854" s="99">
        <v>43931</v>
      </c>
      <c r="K854" t="s">
        <v>8158</v>
      </c>
      <c r="L854" t="s">
        <v>861</v>
      </c>
    </row>
    <row r="855" spans="2:12" x14ac:dyDescent="0.2">
      <c r="B855">
        <v>10667</v>
      </c>
      <c r="C855" t="s">
        <v>8353</v>
      </c>
      <c r="D855" t="s">
        <v>8237</v>
      </c>
      <c r="E855" s="225">
        <v>1296</v>
      </c>
      <c r="F855" t="s">
        <v>8283</v>
      </c>
      <c r="G855" t="s">
        <v>8284</v>
      </c>
      <c r="H855" t="s">
        <v>8282</v>
      </c>
      <c r="I855" s="99">
        <v>43921</v>
      </c>
      <c r="J855" s="99">
        <v>43928</v>
      </c>
      <c r="K855" t="s">
        <v>8158</v>
      </c>
      <c r="L855" t="s">
        <v>861</v>
      </c>
    </row>
    <row r="856" spans="2:12" x14ac:dyDescent="0.2">
      <c r="B856">
        <v>10667</v>
      </c>
      <c r="C856" t="s">
        <v>8310</v>
      </c>
      <c r="D856" t="s">
        <v>8237</v>
      </c>
      <c r="E856" s="225">
        <v>240.8</v>
      </c>
      <c r="F856" t="s">
        <v>8283</v>
      </c>
      <c r="G856" t="s">
        <v>8284</v>
      </c>
      <c r="H856" t="s">
        <v>8282</v>
      </c>
      <c r="I856" s="99">
        <v>43921</v>
      </c>
      <c r="J856" s="99">
        <v>43928</v>
      </c>
      <c r="K856" t="s">
        <v>8158</v>
      </c>
      <c r="L856" t="s">
        <v>861</v>
      </c>
    </row>
    <row r="857" spans="2:12" x14ac:dyDescent="0.2">
      <c r="B857">
        <v>10668</v>
      </c>
      <c r="C857" t="s">
        <v>8309</v>
      </c>
      <c r="D857" t="s">
        <v>8237</v>
      </c>
      <c r="E857" s="225">
        <v>90</v>
      </c>
      <c r="F857" t="s">
        <v>8346</v>
      </c>
      <c r="G857" t="s">
        <v>8347</v>
      </c>
      <c r="H857" t="s">
        <v>8246</v>
      </c>
      <c r="I857" s="99">
        <v>43924</v>
      </c>
      <c r="J857" s="99">
        <v>43932</v>
      </c>
      <c r="K857" t="s">
        <v>8285</v>
      </c>
      <c r="L857" t="s">
        <v>2317</v>
      </c>
    </row>
    <row r="858" spans="2:12" x14ac:dyDescent="0.2">
      <c r="B858">
        <v>10668</v>
      </c>
      <c r="C858" t="s">
        <v>8340</v>
      </c>
      <c r="D858" t="s">
        <v>8244</v>
      </c>
      <c r="E858" s="225">
        <v>448.87</v>
      </c>
      <c r="F858" t="s">
        <v>8346</v>
      </c>
      <c r="G858" t="s">
        <v>8347</v>
      </c>
      <c r="H858" t="s">
        <v>8246</v>
      </c>
      <c r="I858" s="99">
        <v>43924</v>
      </c>
      <c r="J858" s="99">
        <v>43932</v>
      </c>
      <c r="K858" t="s">
        <v>8285</v>
      </c>
      <c r="L858" t="s">
        <v>2317</v>
      </c>
    </row>
    <row r="859" spans="2:12" x14ac:dyDescent="0.2">
      <c r="B859">
        <v>10670</v>
      </c>
      <c r="C859" t="s">
        <v>8329</v>
      </c>
      <c r="D859" t="s">
        <v>8272</v>
      </c>
      <c r="E859" s="225">
        <v>350</v>
      </c>
      <c r="F859" t="s">
        <v>8304</v>
      </c>
      <c r="G859" t="s">
        <v>8305</v>
      </c>
      <c r="H859" t="s">
        <v>8246</v>
      </c>
      <c r="I859" s="99">
        <v>43925</v>
      </c>
      <c r="J859" s="99">
        <v>43927</v>
      </c>
      <c r="K859" t="s">
        <v>8266</v>
      </c>
      <c r="L859" t="s">
        <v>8267</v>
      </c>
    </row>
    <row r="860" spans="2:12" x14ac:dyDescent="0.2">
      <c r="B860">
        <v>10670</v>
      </c>
      <c r="C860" t="s">
        <v>8328</v>
      </c>
      <c r="D860" t="s">
        <v>8272</v>
      </c>
      <c r="E860" s="225">
        <v>193.75</v>
      </c>
      <c r="F860" t="s">
        <v>8304</v>
      </c>
      <c r="G860" t="s">
        <v>8305</v>
      </c>
      <c r="H860" t="s">
        <v>8246</v>
      </c>
      <c r="I860" s="99">
        <v>43925</v>
      </c>
      <c r="J860" s="99">
        <v>43927</v>
      </c>
      <c r="K860" t="s">
        <v>8266</v>
      </c>
      <c r="L860" t="s">
        <v>8267</v>
      </c>
    </row>
    <row r="861" spans="2:12" x14ac:dyDescent="0.2">
      <c r="B861">
        <v>10670</v>
      </c>
      <c r="C861" t="s">
        <v>8373</v>
      </c>
      <c r="D861" t="s">
        <v>8244</v>
      </c>
      <c r="E861" s="225">
        <v>288</v>
      </c>
      <c r="F861" t="s">
        <v>8304</v>
      </c>
      <c r="G861" t="s">
        <v>8305</v>
      </c>
      <c r="H861" t="s">
        <v>8246</v>
      </c>
      <c r="I861" s="99">
        <v>43925</v>
      </c>
      <c r="J861" s="99">
        <v>43927</v>
      </c>
      <c r="K861" t="s">
        <v>8266</v>
      </c>
      <c r="L861" t="s">
        <v>8267</v>
      </c>
    </row>
    <row r="862" spans="2:12" x14ac:dyDescent="0.2">
      <c r="B862">
        <v>10671</v>
      </c>
      <c r="C862" t="s">
        <v>8253</v>
      </c>
      <c r="D862" t="s">
        <v>8254</v>
      </c>
      <c r="E862" s="225">
        <v>252.6</v>
      </c>
      <c r="F862" t="s">
        <v>8424</v>
      </c>
      <c r="G862" t="s">
        <v>8425</v>
      </c>
      <c r="H862" t="s">
        <v>8236</v>
      </c>
      <c r="I862" s="99">
        <v>43926</v>
      </c>
      <c r="J862" s="99">
        <v>43933</v>
      </c>
      <c r="K862" t="s">
        <v>8285</v>
      </c>
      <c r="L862" t="s">
        <v>2317</v>
      </c>
    </row>
    <row r="863" spans="2:12" x14ac:dyDescent="0.2">
      <c r="B863">
        <v>10671</v>
      </c>
      <c r="C863" t="s">
        <v>8280</v>
      </c>
      <c r="D863" t="s">
        <v>8262</v>
      </c>
      <c r="E863" s="225">
        <v>174.5</v>
      </c>
      <c r="F863" t="s">
        <v>8424</v>
      </c>
      <c r="G863" t="s">
        <v>8425</v>
      </c>
      <c r="H863" t="s">
        <v>8236</v>
      </c>
      <c r="I863" s="99">
        <v>43926</v>
      </c>
      <c r="J863" s="99">
        <v>43933</v>
      </c>
      <c r="K863" t="s">
        <v>8285</v>
      </c>
      <c r="L863" t="s">
        <v>2317</v>
      </c>
    </row>
    <row r="864" spans="2:12" x14ac:dyDescent="0.2">
      <c r="B864">
        <v>10671</v>
      </c>
      <c r="C864" t="s">
        <v>8291</v>
      </c>
      <c r="D864" t="s">
        <v>8262</v>
      </c>
      <c r="E864" s="225">
        <v>493</v>
      </c>
      <c r="F864" t="s">
        <v>8424</v>
      </c>
      <c r="G864" t="s">
        <v>8425</v>
      </c>
      <c r="H864" t="s">
        <v>8236</v>
      </c>
      <c r="I864" s="99">
        <v>43926</v>
      </c>
      <c r="J864" s="99">
        <v>43933</v>
      </c>
      <c r="K864" t="s">
        <v>8285</v>
      </c>
      <c r="L864" t="s">
        <v>2317</v>
      </c>
    </row>
    <row r="865" spans="2:12" x14ac:dyDescent="0.2">
      <c r="B865">
        <v>10672</v>
      </c>
      <c r="C865" t="s">
        <v>8380</v>
      </c>
      <c r="D865" t="s">
        <v>8272</v>
      </c>
      <c r="E865" s="225">
        <v>3557.25</v>
      </c>
      <c r="F865" t="s">
        <v>8318</v>
      </c>
      <c r="G865" t="s">
        <v>8319</v>
      </c>
      <c r="H865" t="s">
        <v>8292</v>
      </c>
      <c r="I865" s="99">
        <v>43926</v>
      </c>
      <c r="J865" s="99">
        <v>43935</v>
      </c>
      <c r="K865" t="s">
        <v>8279</v>
      </c>
      <c r="L865" t="s">
        <v>710</v>
      </c>
    </row>
    <row r="866" spans="2:12" x14ac:dyDescent="0.2">
      <c r="B866">
        <v>10672</v>
      </c>
      <c r="C866" t="s">
        <v>8310</v>
      </c>
      <c r="D866" t="s">
        <v>8237</v>
      </c>
      <c r="E866" s="225">
        <v>258</v>
      </c>
      <c r="F866" t="s">
        <v>8318</v>
      </c>
      <c r="G866" t="s">
        <v>8319</v>
      </c>
      <c r="H866" t="s">
        <v>8292</v>
      </c>
      <c r="I866" s="99">
        <v>43926</v>
      </c>
      <c r="J866" s="99">
        <v>43935</v>
      </c>
      <c r="K866" t="s">
        <v>8279</v>
      </c>
      <c r="L866" t="s">
        <v>710</v>
      </c>
    </row>
    <row r="867" spans="2:12" x14ac:dyDescent="0.2">
      <c r="B867">
        <v>10673</v>
      </c>
      <c r="C867" t="s">
        <v>8306</v>
      </c>
      <c r="D867" t="s">
        <v>8272</v>
      </c>
      <c r="E867" s="225">
        <v>276</v>
      </c>
      <c r="F867" t="s">
        <v>8426</v>
      </c>
      <c r="G867" t="s">
        <v>8427</v>
      </c>
      <c r="H867" t="s">
        <v>8300</v>
      </c>
      <c r="I867" s="99">
        <v>43927</v>
      </c>
      <c r="J867" s="99">
        <v>43928</v>
      </c>
      <c r="K867" t="s">
        <v>8297</v>
      </c>
      <c r="L867" t="s">
        <v>8298</v>
      </c>
    </row>
    <row r="868" spans="2:12" x14ac:dyDescent="0.2">
      <c r="B868">
        <v>10673</v>
      </c>
      <c r="C868" t="s">
        <v>8280</v>
      </c>
      <c r="D868" t="s">
        <v>8262</v>
      </c>
      <c r="E868" s="225">
        <v>52.35</v>
      </c>
      <c r="F868" t="s">
        <v>8426</v>
      </c>
      <c r="G868" t="s">
        <v>8427</v>
      </c>
      <c r="H868" t="s">
        <v>8300</v>
      </c>
      <c r="I868" s="99">
        <v>43927</v>
      </c>
      <c r="J868" s="99">
        <v>43928</v>
      </c>
      <c r="K868" t="s">
        <v>8297</v>
      </c>
      <c r="L868" t="s">
        <v>8298</v>
      </c>
    </row>
    <row r="869" spans="2:12" x14ac:dyDescent="0.2">
      <c r="B869">
        <v>10673</v>
      </c>
      <c r="C869" t="s">
        <v>8243</v>
      </c>
      <c r="D869" t="s">
        <v>8244</v>
      </c>
      <c r="E869" s="225">
        <v>84</v>
      </c>
      <c r="F869" t="s">
        <v>8426</v>
      </c>
      <c r="G869" t="s">
        <v>8427</v>
      </c>
      <c r="H869" t="s">
        <v>8300</v>
      </c>
      <c r="I869" s="99">
        <v>43927</v>
      </c>
      <c r="J869" s="99">
        <v>43928</v>
      </c>
      <c r="K869" t="s">
        <v>8297</v>
      </c>
      <c r="L869" t="s">
        <v>8298</v>
      </c>
    </row>
    <row r="870" spans="2:12" x14ac:dyDescent="0.2">
      <c r="B870">
        <v>10674</v>
      </c>
      <c r="C870" t="s">
        <v>8373</v>
      </c>
      <c r="D870" t="s">
        <v>8244</v>
      </c>
      <c r="E870" s="225">
        <v>45</v>
      </c>
      <c r="F870" t="s">
        <v>8356</v>
      </c>
      <c r="G870" t="s">
        <v>8357</v>
      </c>
      <c r="H870" t="s">
        <v>2434</v>
      </c>
      <c r="I870" s="99">
        <v>43927</v>
      </c>
      <c r="J870" s="99">
        <v>43939</v>
      </c>
      <c r="K870" t="s">
        <v>8266</v>
      </c>
      <c r="L870" t="s">
        <v>8267</v>
      </c>
    </row>
    <row r="871" spans="2:12" x14ac:dyDescent="0.2">
      <c r="B871">
        <v>10675</v>
      </c>
      <c r="C871" t="s">
        <v>8252</v>
      </c>
      <c r="D871" t="s">
        <v>8247</v>
      </c>
      <c r="E871" s="225">
        <v>697.5</v>
      </c>
      <c r="F871" t="s">
        <v>8304</v>
      </c>
      <c r="G871" t="s">
        <v>8305</v>
      </c>
      <c r="H871" t="s">
        <v>8246</v>
      </c>
      <c r="I871" s="99">
        <v>43928</v>
      </c>
      <c r="J871" s="99">
        <v>43932</v>
      </c>
      <c r="K871" t="s">
        <v>8241</v>
      </c>
      <c r="L871" t="s">
        <v>6934</v>
      </c>
    </row>
    <row r="872" spans="2:12" x14ac:dyDescent="0.2">
      <c r="B872">
        <v>10676</v>
      </c>
      <c r="C872" t="s">
        <v>8322</v>
      </c>
      <c r="D872" t="s">
        <v>8254</v>
      </c>
      <c r="E872" s="225">
        <v>408.45</v>
      </c>
      <c r="F872" t="s">
        <v>8742</v>
      </c>
      <c r="G872" t="s">
        <v>8741</v>
      </c>
      <c r="H872" t="s">
        <v>8704</v>
      </c>
      <c r="I872" s="99">
        <v>43931</v>
      </c>
      <c r="J872" s="99">
        <v>43938</v>
      </c>
      <c r="K872" t="s">
        <v>8297</v>
      </c>
      <c r="L872" t="s">
        <v>8298</v>
      </c>
    </row>
    <row r="873" spans="2:12" x14ac:dyDescent="0.2">
      <c r="B873">
        <v>10676</v>
      </c>
      <c r="C873" t="s">
        <v>8327</v>
      </c>
      <c r="D873" t="s">
        <v>8262</v>
      </c>
      <c r="E873" s="225">
        <v>64.400000000000006</v>
      </c>
      <c r="F873" t="s">
        <v>8742</v>
      </c>
      <c r="G873" t="s">
        <v>8741</v>
      </c>
      <c r="H873" t="s">
        <v>8704</v>
      </c>
      <c r="I873" s="99">
        <v>43931</v>
      </c>
      <c r="J873" s="99">
        <v>43938</v>
      </c>
      <c r="K873" t="s">
        <v>8297</v>
      </c>
      <c r="L873" t="s">
        <v>8298</v>
      </c>
    </row>
    <row r="874" spans="2:12" x14ac:dyDescent="0.2">
      <c r="B874">
        <v>10677</v>
      </c>
      <c r="C874" t="s">
        <v>8372</v>
      </c>
      <c r="D874" t="s">
        <v>8262</v>
      </c>
      <c r="E874" s="225">
        <v>796.36</v>
      </c>
      <c r="F874" t="s">
        <v>8764</v>
      </c>
      <c r="G874" t="s">
        <v>8763</v>
      </c>
      <c r="H874" t="s">
        <v>8704</v>
      </c>
      <c r="I874" s="99">
        <v>43931</v>
      </c>
      <c r="J874" s="99">
        <v>43935</v>
      </c>
      <c r="K874" t="s">
        <v>8285</v>
      </c>
      <c r="L874" t="s">
        <v>2317</v>
      </c>
    </row>
    <row r="875" spans="2:12" x14ac:dyDescent="0.2">
      <c r="B875">
        <v>10677</v>
      </c>
      <c r="C875" t="s">
        <v>8269</v>
      </c>
      <c r="D875" t="s">
        <v>8237</v>
      </c>
      <c r="E875" s="225">
        <v>17</v>
      </c>
      <c r="F875" t="s">
        <v>8764</v>
      </c>
      <c r="G875" t="s">
        <v>8763</v>
      </c>
      <c r="H875" t="s">
        <v>8704</v>
      </c>
      <c r="I875" s="99">
        <v>43931</v>
      </c>
      <c r="J875" s="99">
        <v>43935</v>
      </c>
      <c r="K875" t="s">
        <v>8285</v>
      </c>
      <c r="L875" t="s">
        <v>2317</v>
      </c>
    </row>
    <row r="876" spans="2:12" x14ac:dyDescent="0.2">
      <c r="B876">
        <v>10678</v>
      </c>
      <c r="C876" t="s">
        <v>8299</v>
      </c>
      <c r="D876" t="s">
        <v>8237</v>
      </c>
      <c r="E876" s="225">
        <v>3800</v>
      </c>
      <c r="F876" t="s">
        <v>8758</v>
      </c>
      <c r="G876" t="s">
        <v>8757</v>
      </c>
      <c r="H876" t="s">
        <v>8701</v>
      </c>
      <c r="I876" s="99">
        <v>43932</v>
      </c>
      <c r="J876" s="99">
        <v>43955</v>
      </c>
      <c r="K876" t="s">
        <v>8158</v>
      </c>
      <c r="L876" t="s">
        <v>861</v>
      </c>
    </row>
    <row r="877" spans="2:12" x14ac:dyDescent="0.2">
      <c r="B877">
        <v>10678</v>
      </c>
      <c r="C877" t="s">
        <v>8269</v>
      </c>
      <c r="D877" t="s">
        <v>8237</v>
      </c>
      <c r="E877" s="225">
        <v>75</v>
      </c>
      <c r="F877" t="s">
        <v>8758</v>
      </c>
      <c r="G877" t="s">
        <v>8757</v>
      </c>
      <c r="H877" t="s">
        <v>8701</v>
      </c>
      <c r="I877" s="99">
        <v>43932</v>
      </c>
      <c r="J877" s="99">
        <v>43955</v>
      </c>
      <c r="K877" t="s">
        <v>8158</v>
      </c>
      <c r="L877" t="s">
        <v>861</v>
      </c>
    </row>
    <row r="878" spans="2:12" x14ac:dyDescent="0.2">
      <c r="B878">
        <v>10679</v>
      </c>
      <c r="C878" t="s">
        <v>8281</v>
      </c>
      <c r="D878" t="s">
        <v>8237</v>
      </c>
      <c r="E878" s="225">
        <v>660</v>
      </c>
      <c r="F878" t="s">
        <v>8295</v>
      </c>
      <c r="G878" t="s">
        <v>8296</v>
      </c>
      <c r="H878" t="s">
        <v>8236</v>
      </c>
      <c r="I878" s="99">
        <v>43932</v>
      </c>
      <c r="J878" s="99">
        <v>43939</v>
      </c>
      <c r="K878" t="s">
        <v>8320</v>
      </c>
      <c r="L878" t="s">
        <v>8321</v>
      </c>
    </row>
    <row r="879" spans="2:12" x14ac:dyDescent="0.2">
      <c r="B879">
        <v>10680</v>
      </c>
      <c r="C879" t="s">
        <v>8280</v>
      </c>
      <c r="D879" t="s">
        <v>8262</v>
      </c>
      <c r="E879" s="225">
        <v>654.38</v>
      </c>
      <c r="F879" t="s">
        <v>8756</v>
      </c>
      <c r="G879" t="s">
        <v>8755</v>
      </c>
      <c r="H879" t="s">
        <v>8701</v>
      </c>
      <c r="I879" s="99">
        <v>43933</v>
      </c>
      <c r="J879" s="99">
        <v>43935</v>
      </c>
      <c r="K879" t="s">
        <v>8285</v>
      </c>
      <c r="L879" t="s">
        <v>2317</v>
      </c>
    </row>
    <row r="880" spans="2:12" x14ac:dyDescent="0.2">
      <c r="B880">
        <v>10680</v>
      </c>
      <c r="C880" t="s">
        <v>8309</v>
      </c>
      <c r="D880" t="s">
        <v>8237</v>
      </c>
      <c r="E880" s="225">
        <v>187.5</v>
      </c>
      <c r="F880" t="s">
        <v>8756</v>
      </c>
      <c r="G880" t="s">
        <v>8755</v>
      </c>
      <c r="H880" t="s">
        <v>8701</v>
      </c>
      <c r="I880" s="99">
        <v>43933</v>
      </c>
      <c r="J880" s="99">
        <v>43935</v>
      </c>
      <c r="K880" t="s">
        <v>8285</v>
      </c>
      <c r="L880" t="s">
        <v>2317</v>
      </c>
    </row>
    <row r="881" spans="2:12" x14ac:dyDescent="0.2">
      <c r="B881">
        <v>10680</v>
      </c>
      <c r="C881" t="s">
        <v>8243</v>
      </c>
      <c r="D881" t="s">
        <v>8244</v>
      </c>
      <c r="E881" s="225">
        <v>420</v>
      </c>
      <c r="F881" t="s">
        <v>8756</v>
      </c>
      <c r="G881" t="s">
        <v>8755</v>
      </c>
      <c r="H881" t="s">
        <v>8701</v>
      </c>
      <c r="I881" s="99">
        <v>43933</v>
      </c>
      <c r="J881" s="99">
        <v>43935</v>
      </c>
      <c r="K881" t="s">
        <v>8285</v>
      </c>
      <c r="L881" t="s">
        <v>2317</v>
      </c>
    </row>
    <row r="882" spans="2:12" x14ac:dyDescent="0.2">
      <c r="B882">
        <v>10681</v>
      </c>
      <c r="C882" t="s">
        <v>8327</v>
      </c>
      <c r="D882" t="s">
        <v>8262</v>
      </c>
      <c r="E882" s="225">
        <v>248.4</v>
      </c>
      <c r="F882" t="s">
        <v>8714</v>
      </c>
      <c r="G882" t="s">
        <v>8713</v>
      </c>
      <c r="H882" t="s">
        <v>8701</v>
      </c>
      <c r="I882" s="99">
        <v>43934</v>
      </c>
      <c r="J882" s="99">
        <v>43939</v>
      </c>
      <c r="K882" t="s">
        <v>8257</v>
      </c>
      <c r="L882" t="s">
        <v>6984</v>
      </c>
    </row>
    <row r="883" spans="2:12" x14ac:dyDescent="0.2">
      <c r="B883">
        <v>10681</v>
      </c>
      <c r="C883" t="s">
        <v>8368</v>
      </c>
      <c r="D883" t="s">
        <v>8262</v>
      </c>
      <c r="E883" s="225">
        <v>108</v>
      </c>
      <c r="F883" t="s">
        <v>8714</v>
      </c>
      <c r="G883" t="s">
        <v>8713</v>
      </c>
      <c r="H883" t="s">
        <v>8701</v>
      </c>
      <c r="I883" s="99">
        <v>43934</v>
      </c>
      <c r="J883" s="99">
        <v>43939</v>
      </c>
      <c r="K883" t="s">
        <v>8257</v>
      </c>
      <c r="L883" t="s">
        <v>6984</v>
      </c>
    </row>
    <row r="884" spans="2:12" x14ac:dyDescent="0.2">
      <c r="B884">
        <v>10681</v>
      </c>
      <c r="C884" t="s">
        <v>8340</v>
      </c>
      <c r="D884" t="s">
        <v>8244</v>
      </c>
      <c r="E884" s="225">
        <v>931</v>
      </c>
      <c r="F884" t="s">
        <v>8714</v>
      </c>
      <c r="G884" t="s">
        <v>8713</v>
      </c>
      <c r="H884" t="s">
        <v>8701</v>
      </c>
      <c r="I884" s="99">
        <v>43934</v>
      </c>
      <c r="J884" s="99">
        <v>43939</v>
      </c>
      <c r="K884" t="s">
        <v>8257</v>
      </c>
      <c r="L884" t="s">
        <v>6984</v>
      </c>
    </row>
    <row r="885" spans="2:12" x14ac:dyDescent="0.2">
      <c r="B885">
        <v>10682</v>
      </c>
      <c r="C885" t="s">
        <v>8328</v>
      </c>
      <c r="D885" t="s">
        <v>8272</v>
      </c>
      <c r="E885" s="225">
        <v>232.5</v>
      </c>
      <c r="F885" t="s">
        <v>8764</v>
      </c>
      <c r="G885" t="s">
        <v>8763</v>
      </c>
      <c r="H885" t="s">
        <v>8704</v>
      </c>
      <c r="I885" s="99">
        <v>43934</v>
      </c>
      <c r="J885" s="99">
        <v>43940</v>
      </c>
      <c r="K885" t="s">
        <v>8257</v>
      </c>
      <c r="L885" t="s">
        <v>6984</v>
      </c>
    </row>
    <row r="886" spans="2:12" x14ac:dyDescent="0.2">
      <c r="B886">
        <v>10682</v>
      </c>
      <c r="C886" t="s">
        <v>8348</v>
      </c>
      <c r="D886" t="s">
        <v>8254</v>
      </c>
      <c r="E886" s="225">
        <v>68</v>
      </c>
      <c r="F886" t="s">
        <v>8764</v>
      </c>
      <c r="G886" t="s">
        <v>8763</v>
      </c>
      <c r="H886" t="s">
        <v>8704</v>
      </c>
      <c r="I886" s="99">
        <v>43934</v>
      </c>
      <c r="J886" s="99">
        <v>43940</v>
      </c>
      <c r="K886" t="s">
        <v>8257</v>
      </c>
      <c r="L886" t="s">
        <v>6984</v>
      </c>
    </row>
    <row r="887" spans="2:12" x14ac:dyDescent="0.2">
      <c r="B887">
        <v>10682</v>
      </c>
      <c r="C887" t="s">
        <v>8269</v>
      </c>
      <c r="D887" t="s">
        <v>8237</v>
      </c>
      <c r="E887" s="225">
        <v>75</v>
      </c>
      <c r="F887" t="s">
        <v>8764</v>
      </c>
      <c r="G887" t="s">
        <v>8763</v>
      </c>
      <c r="H887" t="s">
        <v>8704</v>
      </c>
      <c r="I887" s="99">
        <v>43934</v>
      </c>
      <c r="J887" s="99">
        <v>43940</v>
      </c>
      <c r="K887" t="s">
        <v>8257</v>
      </c>
      <c r="L887" t="s">
        <v>6984</v>
      </c>
    </row>
    <row r="888" spans="2:12" x14ac:dyDescent="0.2">
      <c r="B888">
        <v>10683</v>
      </c>
      <c r="C888" t="s">
        <v>8369</v>
      </c>
      <c r="D888" t="s">
        <v>8244</v>
      </c>
      <c r="E888" s="225">
        <v>63</v>
      </c>
      <c r="F888" t="s">
        <v>8354</v>
      </c>
      <c r="G888" t="s">
        <v>8355</v>
      </c>
      <c r="H888" t="s">
        <v>8236</v>
      </c>
      <c r="I888" s="99">
        <v>43935</v>
      </c>
      <c r="J888" s="99">
        <v>43940</v>
      </c>
      <c r="K888" t="s">
        <v>8297</v>
      </c>
      <c r="L888" t="s">
        <v>8298</v>
      </c>
    </row>
    <row r="889" spans="2:12" x14ac:dyDescent="0.2">
      <c r="B889">
        <v>10684</v>
      </c>
      <c r="C889" t="s">
        <v>8410</v>
      </c>
      <c r="D889" t="s">
        <v>8262</v>
      </c>
      <c r="E889" s="225">
        <v>380</v>
      </c>
      <c r="F889" t="s">
        <v>8289</v>
      </c>
      <c r="G889" t="s">
        <v>8290</v>
      </c>
      <c r="H889" t="s">
        <v>8246</v>
      </c>
      <c r="I889" s="99">
        <v>43935</v>
      </c>
      <c r="J889" s="99">
        <v>43939</v>
      </c>
      <c r="K889" t="s">
        <v>8257</v>
      </c>
      <c r="L889" t="s">
        <v>6984</v>
      </c>
    </row>
    <row r="890" spans="2:12" x14ac:dyDescent="0.2">
      <c r="B890">
        <v>10684</v>
      </c>
      <c r="C890" t="s">
        <v>8268</v>
      </c>
      <c r="D890" t="s">
        <v>8237</v>
      </c>
      <c r="E890" s="225">
        <v>1020</v>
      </c>
      <c r="F890" t="s">
        <v>8289</v>
      </c>
      <c r="G890" t="s">
        <v>8290</v>
      </c>
      <c r="H890" t="s">
        <v>8246</v>
      </c>
      <c r="I890" s="99">
        <v>43935</v>
      </c>
      <c r="J890" s="99">
        <v>43939</v>
      </c>
      <c r="K890" t="s">
        <v>8257</v>
      </c>
      <c r="L890" t="s">
        <v>6984</v>
      </c>
    </row>
    <row r="891" spans="2:12" x14ac:dyDescent="0.2">
      <c r="B891">
        <v>10685</v>
      </c>
      <c r="C891" t="s">
        <v>8410</v>
      </c>
      <c r="D891" t="s">
        <v>8262</v>
      </c>
      <c r="E891" s="225">
        <v>142.5</v>
      </c>
      <c r="F891" t="s">
        <v>8770</v>
      </c>
      <c r="G891" t="s">
        <v>8769</v>
      </c>
      <c r="H891" t="s">
        <v>8710</v>
      </c>
      <c r="I891" s="99">
        <v>43938</v>
      </c>
      <c r="J891" s="99">
        <v>43942</v>
      </c>
      <c r="K891" t="s">
        <v>8266</v>
      </c>
      <c r="L891" t="s">
        <v>8267</v>
      </c>
    </row>
    <row r="892" spans="2:12" x14ac:dyDescent="0.2">
      <c r="B892">
        <v>10686</v>
      </c>
      <c r="C892" t="s">
        <v>8372</v>
      </c>
      <c r="D892" t="s">
        <v>8262</v>
      </c>
      <c r="E892" s="225">
        <v>468.45</v>
      </c>
      <c r="F892" t="s">
        <v>8384</v>
      </c>
      <c r="G892" t="s">
        <v>8385</v>
      </c>
      <c r="H892" t="s">
        <v>8282</v>
      </c>
      <c r="I892" s="99">
        <v>43939</v>
      </c>
      <c r="J892" s="99">
        <v>43947</v>
      </c>
      <c r="K892" t="s">
        <v>8297</v>
      </c>
      <c r="L892" t="s">
        <v>8298</v>
      </c>
    </row>
    <row r="893" spans="2:12" x14ac:dyDescent="0.2">
      <c r="B893">
        <v>10688</v>
      </c>
      <c r="C893" t="s">
        <v>8358</v>
      </c>
      <c r="D893" t="s">
        <v>8272</v>
      </c>
      <c r="E893" s="225">
        <v>196</v>
      </c>
      <c r="F893" t="s">
        <v>8395</v>
      </c>
      <c r="G893" t="s">
        <v>8396</v>
      </c>
      <c r="H893" t="s">
        <v>8374</v>
      </c>
      <c r="I893" s="99">
        <v>43940</v>
      </c>
      <c r="J893" s="99">
        <v>43946</v>
      </c>
      <c r="K893" t="s">
        <v>8266</v>
      </c>
      <c r="L893" t="s">
        <v>8267</v>
      </c>
    </row>
    <row r="894" spans="2:12" x14ac:dyDescent="0.2">
      <c r="B894">
        <v>10688</v>
      </c>
      <c r="C894" t="s">
        <v>8316</v>
      </c>
      <c r="D894" t="s">
        <v>8247</v>
      </c>
      <c r="E894" s="225">
        <v>2462.4</v>
      </c>
      <c r="F894" t="s">
        <v>8395</v>
      </c>
      <c r="G894" t="s">
        <v>8396</v>
      </c>
      <c r="H894" t="s">
        <v>8374</v>
      </c>
      <c r="I894" s="99">
        <v>43940</v>
      </c>
      <c r="J894" s="99">
        <v>43946</v>
      </c>
      <c r="K894" t="s">
        <v>8266</v>
      </c>
      <c r="L894" t="s">
        <v>8267</v>
      </c>
    </row>
    <row r="895" spans="2:12" x14ac:dyDescent="0.2">
      <c r="B895">
        <v>10689</v>
      </c>
      <c r="C895" t="s">
        <v>8333</v>
      </c>
      <c r="D895" t="s">
        <v>8272</v>
      </c>
      <c r="E895" s="225">
        <v>472.5</v>
      </c>
      <c r="F895" t="s">
        <v>8318</v>
      </c>
      <c r="G895" t="s">
        <v>8319</v>
      </c>
      <c r="H895" t="s">
        <v>8292</v>
      </c>
      <c r="I895" s="99">
        <v>43940</v>
      </c>
      <c r="J895" s="99">
        <v>43946</v>
      </c>
      <c r="K895" t="s">
        <v>8285</v>
      </c>
      <c r="L895" t="s">
        <v>2317</v>
      </c>
    </row>
    <row r="896" spans="2:12" x14ac:dyDescent="0.2">
      <c r="B896">
        <v>10690</v>
      </c>
      <c r="C896" t="s">
        <v>8397</v>
      </c>
      <c r="D896" t="s">
        <v>8254</v>
      </c>
      <c r="E896" s="225">
        <v>292.5</v>
      </c>
      <c r="F896" t="s">
        <v>8728</v>
      </c>
      <c r="G896" t="s">
        <v>8727</v>
      </c>
      <c r="H896" t="s">
        <v>8710</v>
      </c>
      <c r="I896" s="99">
        <v>43941</v>
      </c>
      <c r="J896" s="99">
        <v>43942</v>
      </c>
      <c r="K896" t="s">
        <v>8285</v>
      </c>
      <c r="L896" t="s">
        <v>2317</v>
      </c>
    </row>
    <row r="897" spans="2:12" x14ac:dyDescent="0.2">
      <c r="B897">
        <v>10690</v>
      </c>
      <c r="C897" t="s">
        <v>8341</v>
      </c>
      <c r="D897" t="s">
        <v>8244</v>
      </c>
      <c r="E897" s="225">
        <v>570</v>
      </c>
      <c r="F897" t="s">
        <v>8728</v>
      </c>
      <c r="G897" t="s">
        <v>8727</v>
      </c>
      <c r="H897" t="s">
        <v>8710</v>
      </c>
      <c r="I897" s="99">
        <v>43941</v>
      </c>
      <c r="J897" s="99">
        <v>43942</v>
      </c>
      <c r="K897" t="s">
        <v>8285</v>
      </c>
      <c r="L897" t="s">
        <v>2317</v>
      </c>
    </row>
    <row r="898" spans="2:12" x14ac:dyDescent="0.2">
      <c r="B898">
        <v>10691</v>
      </c>
      <c r="C898" t="s">
        <v>8333</v>
      </c>
      <c r="D898" t="s">
        <v>8272</v>
      </c>
      <c r="E898" s="225">
        <v>540</v>
      </c>
      <c r="F898" t="s">
        <v>8307</v>
      </c>
      <c r="G898" t="s">
        <v>8308</v>
      </c>
      <c r="H898" t="s">
        <v>8246</v>
      </c>
      <c r="I898" s="99">
        <v>43942</v>
      </c>
      <c r="J898" s="99">
        <v>43961</v>
      </c>
      <c r="K898" t="s">
        <v>8297</v>
      </c>
      <c r="L898" t="s">
        <v>8298</v>
      </c>
    </row>
    <row r="899" spans="2:12" x14ac:dyDescent="0.2">
      <c r="B899">
        <v>10691</v>
      </c>
      <c r="C899" t="s">
        <v>8306</v>
      </c>
      <c r="D899" t="s">
        <v>8272</v>
      </c>
      <c r="E899" s="225">
        <v>1840</v>
      </c>
      <c r="F899" t="s">
        <v>8307</v>
      </c>
      <c r="G899" t="s">
        <v>8308</v>
      </c>
      <c r="H899" t="s">
        <v>8246</v>
      </c>
      <c r="I899" s="99">
        <v>43942</v>
      </c>
      <c r="J899" s="99">
        <v>43961</v>
      </c>
      <c r="K899" t="s">
        <v>8297</v>
      </c>
      <c r="L899" t="s">
        <v>8298</v>
      </c>
    </row>
    <row r="900" spans="2:12" x14ac:dyDescent="0.2">
      <c r="B900">
        <v>10691</v>
      </c>
      <c r="C900" t="s">
        <v>8322</v>
      </c>
      <c r="D900" t="s">
        <v>8254</v>
      </c>
      <c r="E900" s="225">
        <v>466.8</v>
      </c>
      <c r="F900" t="s">
        <v>8307</v>
      </c>
      <c r="G900" t="s">
        <v>8308</v>
      </c>
      <c r="H900" t="s">
        <v>8246</v>
      </c>
      <c r="I900" s="99">
        <v>43942</v>
      </c>
      <c r="J900" s="99">
        <v>43961</v>
      </c>
      <c r="K900" t="s">
        <v>8297</v>
      </c>
      <c r="L900" t="s">
        <v>8298</v>
      </c>
    </row>
    <row r="901" spans="2:12" x14ac:dyDescent="0.2">
      <c r="B901">
        <v>10691</v>
      </c>
      <c r="C901" t="s">
        <v>8291</v>
      </c>
      <c r="D901" t="s">
        <v>8262</v>
      </c>
      <c r="E901" s="225">
        <v>2366.4</v>
      </c>
      <c r="F901" t="s">
        <v>8307</v>
      </c>
      <c r="G901" t="s">
        <v>8308</v>
      </c>
      <c r="H901" t="s">
        <v>8246</v>
      </c>
      <c r="I901" s="99">
        <v>43942</v>
      </c>
      <c r="J901" s="99">
        <v>43961</v>
      </c>
      <c r="K901" t="s">
        <v>8297</v>
      </c>
      <c r="L901" t="s">
        <v>8298</v>
      </c>
    </row>
    <row r="902" spans="2:12" x14ac:dyDescent="0.2">
      <c r="B902">
        <v>10692</v>
      </c>
      <c r="C902" t="s">
        <v>8317</v>
      </c>
      <c r="D902" t="s">
        <v>8254</v>
      </c>
      <c r="E902" s="225">
        <v>878</v>
      </c>
      <c r="F902" t="s">
        <v>8422</v>
      </c>
      <c r="G902" t="s">
        <v>8423</v>
      </c>
      <c r="H902" t="s">
        <v>8246</v>
      </c>
      <c r="I902" s="99">
        <v>43942</v>
      </c>
      <c r="J902" s="99">
        <v>43952</v>
      </c>
      <c r="K902" t="s">
        <v>8266</v>
      </c>
      <c r="L902" t="s">
        <v>8267</v>
      </c>
    </row>
    <row r="903" spans="2:12" x14ac:dyDescent="0.2">
      <c r="B903">
        <v>10693</v>
      </c>
      <c r="C903" t="s">
        <v>8353</v>
      </c>
      <c r="D903" t="s">
        <v>8237</v>
      </c>
      <c r="E903" s="225">
        <v>918</v>
      </c>
      <c r="F903" t="s">
        <v>8740</v>
      </c>
      <c r="G903" t="s">
        <v>8739</v>
      </c>
      <c r="H903" t="s">
        <v>8701</v>
      </c>
      <c r="I903" s="99">
        <v>43945</v>
      </c>
      <c r="J903" s="99">
        <v>43949</v>
      </c>
      <c r="K903" t="s">
        <v>8257</v>
      </c>
      <c r="L903" t="s">
        <v>6984</v>
      </c>
    </row>
    <row r="904" spans="2:12" x14ac:dyDescent="0.2">
      <c r="B904">
        <v>10694</v>
      </c>
      <c r="C904" t="s">
        <v>8288</v>
      </c>
      <c r="D904" t="s">
        <v>8272</v>
      </c>
      <c r="E904" s="225">
        <v>750</v>
      </c>
      <c r="F904" t="s">
        <v>8307</v>
      </c>
      <c r="G904" t="s">
        <v>8308</v>
      </c>
      <c r="H904" t="s">
        <v>8246</v>
      </c>
      <c r="I904" s="99">
        <v>43945</v>
      </c>
      <c r="J904" s="99">
        <v>43948</v>
      </c>
      <c r="K904" t="s">
        <v>8320</v>
      </c>
      <c r="L904" t="s">
        <v>8321</v>
      </c>
    </row>
    <row r="905" spans="2:12" x14ac:dyDescent="0.2">
      <c r="B905">
        <v>10694</v>
      </c>
      <c r="C905" t="s">
        <v>8281</v>
      </c>
      <c r="D905" t="s">
        <v>8237</v>
      </c>
      <c r="E905" s="225">
        <v>1375</v>
      </c>
      <c r="F905" t="s">
        <v>8307</v>
      </c>
      <c r="G905" t="s">
        <v>8308</v>
      </c>
      <c r="H905" t="s">
        <v>8246</v>
      </c>
      <c r="I905" s="99">
        <v>43945</v>
      </c>
      <c r="J905" s="99">
        <v>43948</v>
      </c>
      <c r="K905" t="s">
        <v>8320</v>
      </c>
      <c r="L905" t="s">
        <v>8321</v>
      </c>
    </row>
    <row r="906" spans="2:12" x14ac:dyDescent="0.2">
      <c r="B906">
        <v>10694</v>
      </c>
      <c r="C906" t="s">
        <v>8415</v>
      </c>
      <c r="D906" t="s">
        <v>8247</v>
      </c>
      <c r="E906" s="225">
        <v>2700</v>
      </c>
      <c r="F906" t="s">
        <v>8307</v>
      </c>
      <c r="G906" t="s">
        <v>8308</v>
      </c>
      <c r="H906" t="s">
        <v>8246</v>
      </c>
      <c r="I906" s="99">
        <v>43945</v>
      </c>
      <c r="J906" s="99">
        <v>43948</v>
      </c>
      <c r="K906" t="s">
        <v>8320</v>
      </c>
      <c r="L906" t="s">
        <v>8321</v>
      </c>
    </row>
    <row r="907" spans="2:12" x14ac:dyDescent="0.2">
      <c r="B907">
        <v>10695</v>
      </c>
      <c r="C907" t="s">
        <v>8270</v>
      </c>
      <c r="D907" t="s">
        <v>8272</v>
      </c>
      <c r="E907" s="225">
        <v>90</v>
      </c>
      <c r="F907" t="s">
        <v>8426</v>
      </c>
      <c r="G907" t="s">
        <v>8427</v>
      </c>
      <c r="H907" t="s">
        <v>8300</v>
      </c>
      <c r="I907" s="99">
        <v>43946</v>
      </c>
      <c r="J907" s="99">
        <v>43953</v>
      </c>
      <c r="K907" t="s">
        <v>8158</v>
      </c>
      <c r="L907" t="s">
        <v>861</v>
      </c>
    </row>
    <row r="908" spans="2:12" x14ac:dyDescent="0.2">
      <c r="B908">
        <v>10695</v>
      </c>
      <c r="C908" t="s">
        <v>8379</v>
      </c>
      <c r="D908" t="s">
        <v>8254</v>
      </c>
      <c r="E908" s="225">
        <v>400</v>
      </c>
      <c r="F908" t="s">
        <v>8426</v>
      </c>
      <c r="G908" t="s">
        <v>8427</v>
      </c>
      <c r="H908" t="s">
        <v>8300</v>
      </c>
      <c r="I908" s="99">
        <v>43946</v>
      </c>
      <c r="J908" s="99">
        <v>43953</v>
      </c>
      <c r="K908" t="s">
        <v>8158</v>
      </c>
      <c r="L908" t="s">
        <v>861</v>
      </c>
    </row>
    <row r="909" spans="2:12" x14ac:dyDescent="0.2">
      <c r="B909">
        <v>10695</v>
      </c>
      <c r="C909" t="s">
        <v>8299</v>
      </c>
      <c r="D909" t="s">
        <v>8237</v>
      </c>
      <c r="E909" s="225">
        <v>152</v>
      </c>
      <c r="F909" t="s">
        <v>8426</v>
      </c>
      <c r="G909" t="s">
        <v>8427</v>
      </c>
      <c r="H909" t="s">
        <v>8300</v>
      </c>
      <c r="I909" s="99">
        <v>43946</v>
      </c>
      <c r="J909" s="99">
        <v>43953</v>
      </c>
      <c r="K909" t="s">
        <v>8158</v>
      </c>
      <c r="L909" t="s">
        <v>861</v>
      </c>
    </row>
    <row r="910" spans="2:12" x14ac:dyDescent="0.2">
      <c r="B910">
        <v>10697</v>
      </c>
      <c r="C910" t="s">
        <v>8323</v>
      </c>
      <c r="D910" t="s">
        <v>8272</v>
      </c>
      <c r="E910" s="225">
        <v>121.5</v>
      </c>
      <c r="F910" t="s">
        <v>8724</v>
      </c>
      <c r="G910" t="s">
        <v>8723</v>
      </c>
      <c r="H910" t="s">
        <v>8707</v>
      </c>
      <c r="I910" s="99">
        <v>43947</v>
      </c>
      <c r="J910" s="99">
        <v>43953</v>
      </c>
      <c r="K910" t="s">
        <v>8257</v>
      </c>
      <c r="L910" t="s">
        <v>6984</v>
      </c>
    </row>
    <row r="911" spans="2:12" x14ac:dyDescent="0.2">
      <c r="B911">
        <v>10697</v>
      </c>
      <c r="C911" t="s">
        <v>8288</v>
      </c>
      <c r="D911" t="s">
        <v>8272</v>
      </c>
      <c r="E911" s="225">
        <v>337.5</v>
      </c>
      <c r="F911" t="s">
        <v>8724</v>
      </c>
      <c r="G911" t="s">
        <v>8723</v>
      </c>
      <c r="H911" t="s">
        <v>8707</v>
      </c>
      <c r="I911" s="99">
        <v>43947</v>
      </c>
      <c r="J911" s="99">
        <v>43953</v>
      </c>
      <c r="K911" t="s">
        <v>8257</v>
      </c>
      <c r="L911" t="s">
        <v>6984</v>
      </c>
    </row>
    <row r="912" spans="2:12" x14ac:dyDescent="0.2">
      <c r="B912">
        <v>10697</v>
      </c>
      <c r="C912" t="s">
        <v>8327</v>
      </c>
      <c r="D912" t="s">
        <v>8262</v>
      </c>
      <c r="E912" s="225">
        <v>48.3</v>
      </c>
      <c r="F912" t="s">
        <v>8724</v>
      </c>
      <c r="G912" t="s">
        <v>8723</v>
      </c>
      <c r="H912" t="s">
        <v>8707</v>
      </c>
      <c r="I912" s="99">
        <v>43947</v>
      </c>
      <c r="J912" s="99">
        <v>43953</v>
      </c>
      <c r="K912" t="s">
        <v>8257</v>
      </c>
      <c r="L912" t="s">
        <v>6984</v>
      </c>
    </row>
    <row r="913" spans="2:12" x14ac:dyDescent="0.2">
      <c r="B913">
        <v>10698</v>
      </c>
      <c r="C913" t="s">
        <v>8288</v>
      </c>
      <c r="D913" t="s">
        <v>8272</v>
      </c>
      <c r="E913" s="225">
        <v>114</v>
      </c>
      <c r="F913" t="s">
        <v>8283</v>
      </c>
      <c r="G913" t="s">
        <v>8284</v>
      </c>
      <c r="H913" t="s">
        <v>8282</v>
      </c>
      <c r="I913" s="99">
        <v>43948</v>
      </c>
      <c r="J913" s="99">
        <v>43956</v>
      </c>
      <c r="K913" t="s">
        <v>8266</v>
      </c>
      <c r="L913" t="s">
        <v>8267</v>
      </c>
    </row>
    <row r="914" spans="2:12" x14ac:dyDescent="0.2">
      <c r="B914">
        <v>10698</v>
      </c>
      <c r="C914" t="s">
        <v>8253</v>
      </c>
      <c r="D914" t="s">
        <v>8254</v>
      </c>
      <c r="E914" s="225">
        <v>1299.8399999999999</v>
      </c>
      <c r="F914" t="s">
        <v>8283</v>
      </c>
      <c r="G914" t="s">
        <v>8284</v>
      </c>
      <c r="H914" t="s">
        <v>8282</v>
      </c>
      <c r="I914" s="99">
        <v>43948</v>
      </c>
      <c r="J914" s="99">
        <v>43956</v>
      </c>
      <c r="K914" t="s">
        <v>8266</v>
      </c>
      <c r="L914" t="s">
        <v>8267</v>
      </c>
    </row>
    <row r="915" spans="2:12" x14ac:dyDescent="0.2">
      <c r="B915">
        <v>10698</v>
      </c>
      <c r="C915" t="s">
        <v>8242</v>
      </c>
      <c r="D915" t="s">
        <v>8237</v>
      </c>
      <c r="E915" s="225">
        <v>315</v>
      </c>
      <c r="F915" t="s">
        <v>8283</v>
      </c>
      <c r="G915" t="s">
        <v>8284</v>
      </c>
      <c r="H915" t="s">
        <v>8282</v>
      </c>
      <c r="I915" s="99">
        <v>43948</v>
      </c>
      <c r="J915" s="99">
        <v>43956</v>
      </c>
      <c r="K915" t="s">
        <v>8266</v>
      </c>
      <c r="L915" t="s">
        <v>8267</v>
      </c>
    </row>
    <row r="916" spans="2:12" x14ac:dyDescent="0.2">
      <c r="B916">
        <v>10699</v>
      </c>
      <c r="C916" t="s">
        <v>8410</v>
      </c>
      <c r="D916" t="s">
        <v>8262</v>
      </c>
      <c r="E916" s="225">
        <v>114</v>
      </c>
      <c r="F916" t="s">
        <v>8314</v>
      </c>
      <c r="G916" t="s">
        <v>8315</v>
      </c>
      <c r="H916" t="s">
        <v>8246</v>
      </c>
      <c r="I916" s="99">
        <v>43948</v>
      </c>
      <c r="J916" s="99">
        <v>43952</v>
      </c>
      <c r="K916" t="s">
        <v>8257</v>
      </c>
      <c r="L916" t="s">
        <v>6984</v>
      </c>
    </row>
    <row r="917" spans="2:12" x14ac:dyDescent="0.2">
      <c r="B917">
        <v>10700</v>
      </c>
      <c r="C917" t="s">
        <v>8333</v>
      </c>
      <c r="D917" t="s">
        <v>8272</v>
      </c>
      <c r="E917" s="225">
        <v>72</v>
      </c>
      <c r="F917" t="s">
        <v>8758</v>
      </c>
      <c r="G917" t="s">
        <v>8757</v>
      </c>
      <c r="H917" t="s">
        <v>8701</v>
      </c>
      <c r="I917" s="99">
        <v>43949</v>
      </c>
      <c r="J917" s="99">
        <v>43955</v>
      </c>
      <c r="K917" t="s">
        <v>8257</v>
      </c>
      <c r="L917" t="s">
        <v>6984</v>
      </c>
    </row>
    <row r="918" spans="2:12" x14ac:dyDescent="0.2">
      <c r="B918">
        <v>10700</v>
      </c>
      <c r="C918" t="s">
        <v>8358</v>
      </c>
      <c r="D918" t="s">
        <v>8272</v>
      </c>
      <c r="E918" s="225">
        <v>134.4</v>
      </c>
      <c r="F918" t="s">
        <v>8758</v>
      </c>
      <c r="G918" t="s">
        <v>8757</v>
      </c>
      <c r="H918" t="s">
        <v>8701</v>
      </c>
      <c r="I918" s="99">
        <v>43949</v>
      </c>
      <c r="J918" s="99">
        <v>43955</v>
      </c>
      <c r="K918" t="s">
        <v>8257</v>
      </c>
      <c r="L918" t="s">
        <v>6984</v>
      </c>
    </row>
    <row r="919" spans="2:12" x14ac:dyDescent="0.2">
      <c r="B919">
        <v>10700</v>
      </c>
      <c r="C919" t="s">
        <v>8334</v>
      </c>
      <c r="D919" t="s">
        <v>8262</v>
      </c>
      <c r="E919" s="225">
        <v>400</v>
      </c>
      <c r="F919" t="s">
        <v>8758</v>
      </c>
      <c r="G919" t="s">
        <v>8757</v>
      </c>
      <c r="H919" t="s">
        <v>8701</v>
      </c>
      <c r="I919" s="99">
        <v>43949</v>
      </c>
      <c r="J919" s="99">
        <v>43955</v>
      </c>
      <c r="K919" t="s">
        <v>8257</v>
      </c>
      <c r="L919" t="s">
        <v>6984</v>
      </c>
    </row>
    <row r="920" spans="2:12" x14ac:dyDescent="0.2">
      <c r="B920">
        <v>10700</v>
      </c>
      <c r="C920" t="s">
        <v>8310</v>
      </c>
      <c r="D920" t="s">
        <v>8237</v>
      </c>
      <c r="E920" s="225">
        <v>1032</v>
      </c>
      <c r="F920" t="s">
        <v>8758</v>
      </c>
      <c r="G920" t="s">
        <v>8757</v>
      </c>
      <c r="H920" t="s">
        <v>8701</v>
      </c>
      <c r="I920" s="99">
        <v>43949</v>
      </c>
      <c r="J920" s="99">
        <v>43955</v>
      </c>
      <c r="K920" t="s">
        <v>8257</v>
      </c>
      <c r="L920" t="s">
        <v>6984</v>
      </c>
    </row>
    <row r="921" spans="2:12" x14ac:dyDescent="0.2">
      <c r="B921">
        <v>10701</v>
      </c>
      <c r="C921" t="s">
        <v>8303</v>
      </c>
      <c r="D921" t="s">
        <v>8272</v>
      </c>
      <c r="E921" s="225">
        <v>535.5</v>
      </c>
      <c r="F921" t="s">
        <v>8344</v>
      </c>
      <c r="G921" t="s">
        <v>8345</v>
      </c>
      <c r="H921" t="s">
        <v>8343</v>
      </c>
      <c r="I921" s="99">
        <v>43952</v>
      </c>
      <c r="J921" s="99">
        <v>43954</v>
      </c>
      <c r="K921" t="s">
        <v>8251</v>
      </c>
      <c r="L921" t="s">
        <v>269</v>
      </c>
    </row>
    <row r="922" spans="2:12" x14ac:dyDescent="0.2">
      <c r="B922">
        <v>10701</v>
      </c>
      <c r="C922" t="s">
        <v>8281</v>
      </c>
      <c r="D922" t="s">
        <v>8237</v>
      </c>
      <c r="E922" s="225">
        <v>1963.5</v>
      </c>
      <c r="F922" t="s">
        <v>8344</v>
      </c>
      <c r="G922" t="s">
        <v>8345</v>
      </c>
      <c r="H922" t="s">
        <v>8343</v>
      </c>
      <c r="I922" s="99">
        <v>43952</v>
      </c>
      <c r="J922" s="99">
        <v>43954</v>
      </c>
      <c r="K922" t="s">
        <v>8251</v>
      </c>
      <c r="L922" t="s">
        <v>269</v>
      </c>
    </row>
    <row r="923" spans="2:12" x14ac:dyDescent="0.2">
      <c r="B923">
        <v>10701</v>
      </c>
      <c r="C923" t="s">
        <v>8310</v>
      </c>
      <c r="D923" t="s">
        <v>8237</v>
      </c>
      <c r="E923" s="225">
        <v>365.5</v>
      </c>
      <c r="F923" t="s">
        <v>8344</v>
      </c>
      <c r="G923" t="s">
        <v>8345</v>
      </c>
      <c r="H923" t="s">
        <v>8343</v>
      </c>
      <c r="I923" s="99">
        <v>43952</v>
      </c>
      <c r="J923" s="99">
        <v>43954</v>
      </c>
      <c r="K923" t="s">
        <v>8251</v>
      </c>
      <c r="L923" t="s">
        <v>269</v>
      </c>
    </row>
    <row r="924" spans="2:12" x14ac:dyDescent="0.2">
      <c r="B924">
        <v>10702</v>
      </c>
      <c r="C924" t="s">
        <v>8303</v>
      </c>
      <c r="D924" t="s">
        <v>8272</v>
      </c>
      <c r="E924" s="225">
        <v>270</v>
      </c>
      <c r="F924" t="s">
        <v>8422</v>
      </c>
      <c r="G924" t="s">
        <v>8423</v>
      </c>
      <c r="H924" t="s">
        <v>8246</v>
      </c>
      <c r="I924" s="99">
        <v>43952</v>
      </c>
      <c r="J924" s="99">
        <v>43960</v>
      </c>
      <c r="K924" t="s">
        <v>8266</v>
      </c>
      <c r="L924" t="s">
        <v>8267</v>
      </c>
    </row>
    <row r="925" spans="2:12" x14ac:dyDescent="0.2">
      <c r="B925">
        <v>10702</v>
      </c>
      <c r="C925" t="s">
        <v>8337</v>
      </c>
      <c r="D925" t="s">
        <v>8254</v>
      </c>
      <c r="E925" s="225">
        <v>60</v>
      </c>
      <c r="F925" t="s">
        <v>8422</v>
      </c>
      <c r="G925" t="s">
        <v>8423</v>
      </c>
      <c r="H925" t="s">
        <v>8246</v>
      </c>
      <c r="I925" s="99">
        <v>43952</v>
      </c>
      <c r="J925" s="99">
        <v>43960</v>
      </c>
      <c r="K925" t="s">
        <v>8266</v>
      </c>
      <c r="L925" t="s">
        <v>8267</v>
      </c>
    </row>
    <row r="926" spans="2:12" x14ac:dyDescent="0.2">
      <c r="B926">
        <v>10703</v>
      </c>
      <c r="C926" t="s">
        <v>8276</v>
      </c>
      <c r="D926" t="s">
        <v>8272</v>
      </c>
      <c r="E926" s="225">
        <v>95</v>
      </c>
      <c r="F926" t="s">
        <v>8293</v>
      </c>
      <c r="G926" t="s">
        <v>8294</v>
      </c>
      <c r="H926" t="s">
        <v>8292</v>
      </c>
      <c r="I926" s="99">
        <v>43953</v>
      </c>
      <c r="J926" s="99">
        <v>43959</v>
      </c>
      <c r="K926" t="s">
        <v>8251</v>
      </c>
      <c r="L926" t="s">
        <v>269</v>
      </c>
    </row>
    <row r="927" spans="2:12" x14ac:dyDescent="0.2">
      <c r="B927">
        <v>10703</v>
      </c>
      <c r="C927" t="s">
        <v>8281</v>
      </c>
      <c r="D927" t="s">
        <v>8237</v>
      </c>
      <c r="E927" s="225">
        <v>1925</v>
      </c>
      <c r="F927" t="s">
        <v>8293</v>
      </c>
      <c r="G927" t="s">
        <v>8294</v>
      </c>
      <c r="H927" t="s">
        <v>8292</v>
      </c>
      <c r="I927" s="99">
        <v>43953</v>
      </c>
      <c r="J927" s="99">
        <v>43959</v>
      </c>
      <c r="K927" t="s">
        <v>8251</v>
      </c>
      <c r="L927" t="s">
        <v>269</v>
      </c>
    </row>
    <row r="928" spans="2:12" x14ac:dyDescent="0.2">
      <c r="B928">
        <v>10704</v>
      </c>
      <c r="C928" t="s">
        <v>8270</v>
      </c>
      <c r="D928" t="s">
        <v>8272</v>
      </c>
      <c r="E928" s="225">
        <v>157.5</v>
      </c>
      <c r="F928" t="s">
        <v>8712</v>
      </c>
      <c r="G928" t="s">
        <v>8711</v>
      </c>
      <c r="H928" t="s">
        <v>8710</v>
      </c>
      <c r="I928" s="99">
        <v>43953</v>
      </c>
      <c r="J928" s="99">
        <v>43977</v>
      </c>
      <c r="K928" t="s">
        <v>8251</v>
      </c>
      <c r="L928" t="s">
        <v>269</v>
      </c>
    </row>
    <row r="929" spans="2:12" x14ac:dyDescent="0.2">
      <c r="B929">
        <v>10704</v>
      </c>
      <c r="C929" t="s">
        <v>8352</v>
      </c>
      <c r="D929" t="s">
        <v>8254</v>
      </c>
      <c r="E929" s="225">
        <v>132</v>
      </c>
      <c r="F929" t="s">
        <v>8712</v>
      </c>
      <c r="G929" t="s">
        <v>8711</v>
      </c>
      <c r="H929" t="s">
        <v>8710</v>
      </c>
      <c r="I929" s="99">
        <v>43953</v>
      </c>
      <c r="J929" s="99">
        <v>43977</v>
      </c>
      <c r="K929" t="s">
        <v>8251</v>
      </c>
      <c r="L929" t="s">
        <v>269</v>
      </c>
    </row>
    <row r="930" spans="2:12" x14ac:dyDescent="0.2">
      <c r="B930">
        <v>10704</v>
      </c>
      <c r="C930" t="s">
        <v>8406</v>
      </c>
      <c r="D930" t="s">
        <v>8262</v>
      </c>
      <c r="E930" s="225">
        <v>306</v>
      </c>
      <c r="F930" t="s">
        <v>8712</v>
      </c>
      <c r="G930" t="s">
        <v>8711</v>
      </c>
      <c r="H930" t="s">
        <v>8710</v>
      </c>
      <c r="I930" s="99">
        <v>43953</v>
      </c>
      <c r="J930" s="99">
        <v>43977</v>
      </c>
      <c r="K930" t="s">
        <v>8251</v>
      </c>
      <c r="L930" t="s">
        <v>269</v>
      </c>
    </row>
    <row r="931" spans="2:12" x14ac:dyDescent="0.2">
      <c r="B931">
        <v>10705</v>
      </c>
      <c r="C931" t="s">
        <v>8309</v>
      </c>
      <c r="D931" t="s">
        <v>8237</v>
      </c>
      <c r="E931" s="225">
        <v>250</v>
      </c>
      <c r="F931" t="s">
        <v>8732</v>
      </c>
      <c r="G931" t="s">
        <v>8731</v>
      </c>
      <c r="H931" t="s">
        <v>8707</v>
      </c>
      <c r="I931" s="99">
        <v>43954</v>
      </c>
      <c r="J931" s="99">
        <v>43988</v>
      </c>
      <c r="K931" t="s">
        <v>8279</v>
      </c>
      <c r="L931" t="s">
        <v>710</v>
      </c>
    </row>
    <row r="932" spans="2:12" x14ac:dyDescent="0.2">
      <c r="B932">
        <v>10705</v>
      </c>
      <c r="C932" t="s">
        <v>8287</v>
      </c>
      <c r="D932" t="s">
        <v>8237</v>
      </c>
      <c r="E932" s="225">
        <v>128</v>
      </c>
      <c r="F932" t="s">
        <v>8732</v>
      </c>
      <c r="G932" t="s">
        <v>8731</v>
      </c>
      <c r="H932" t="s">
        <v>8707</v>
      </c>
      <c r="I932" s="99">
        <v>43954</v>
      </c>
      <c r="J932" s="99">
        <v>43988</v>
      </c>
      <c r="K932" t="s">
        <v>8279</v>
      </c>
      <c r="L932" t="s">
        <v>710</v>
      </c>
    </row>
    <row r="933" spans="2:12" x14ac:dyDescent="0.2">
      <c r="B933">
        <v>10706</v>
      </c>
      <c r="C933" t="s">
        <v>8306</v>
      </c>
      <c r="D933" t="s">
        <v>8272</v>
      </c>
      <c r="E933" s="225">
        <v>1104</v>
      </c>
      <c r="F933" t="s">
        <v>8756</v>
      </c>
      <c r="G933" t="s">
        <v>8755</v>
      </c>
      <c r="H933" t="s">
        <v>8701</v>
      </c>
      <c r="I933" s="99">
        <v>43955</v>
      </c>
      <c r="J933" s="99">
        <v>43960</v>
      </c>
      <c r="K933" t="s">
        <v>8320</v>
      </c>
      <c r="L933" t="s">
        <v>8321</v>
      </c>
    </row>
    <row r="934" spans="2:12" x14ac:dyDescent="0.2">
      <c r="B934">
        <v>10706</v>
      </c>
      <c r="C934" t="s">
        <v>8280</v>
      </c>
      <c r="D934" t="s">
        <v>8262</v>
      </c>
      <c r="E934" s="225">
        <v>349</v>
      </c>
      <c r="F934" t="s">
        <v>8756</v>
      </c>
      <c r="G934" t="s">
        <v>8755</v>
      </c>
      <c r="H934" t="s">
        <v>8701</v>
      </c>
      <c r="I934" s="99">
        <v>43955</v>
      </c>
      <c r="J934" s="99">
        <v>43960</v>
      </c>
      <c r="K934" t="s">
        <v>8320</v>
      </c>
      <c r="L934" t="s">
        <v>8321</v>
      </c>
    </row>
    <row r="935" spans="2:12" x14ac:dyDescent="0.2">
      <c r="B935">
        <v>10706</v>
      </c>
      <c r="C935" t="s">
        <v>8281</v>
      </c>
      <c r="D935" t="s">
        <v>8237</v>
      </c>
      <c r="E935" s="225">
        <v>440</v>
      </c>
      <c r="F935" t="s">
        <v>8756</v>
      </c>
      <c r="G935" t="s">
        <v>8755</v>
      </c>
      <c r="H935" t="s">
        <v>8701</v>
      </c>
      <c r="I935" s="99">
        <v>43955</v>
      </c>
      <c r="J935" s="99">
        <v>43960</v>
      </c>
      <c r="K935" t="s">
        <v>8320</v>
      </c>
      <c r="L935" t="s">
        <v>8321</v>
      </c>
    </row>
    <row r="936" spans="2:12" x14ac:dyDescent="0.2">
      <c r="B936">
        <v>10707</v>
      </c>
      <c r="C936" t="s">
        <v>8288</v>
      </c>
      <c r="D936" t="s">
        <v>8272</v>
      </c>
      <c r="E936" s="225">
        <v>357</v>
      </c>
      <c r="F936" t="s">
        <v>8386</v>
      </c>
      <c r="G936" t="s">
        <v>8387</v>
      </c>
      <c r="H936" t="s">
        <v>2434</v>
      </c>
      <c r="I936" s="99">
        <v>43955</v>
      </c>
      <c r="J936" s="99">
        <v>43962</v>
      </c>
      <c r="K936" t="s">
        <v>8266</v>
      </c>
      <c r="L936" t="s">
        <v>8267</v>
      </c>
    </row>
    <row r="937" spans="2:12" x14ac:dyDescent="0.2">
      <c r="B937">
        <v>10707</v>
      </c>
      <c r="C937" t="s">
        <v>8258</v>
      </c>
      <c r="D937" t="s">
        <v>8244</v>
      </c>
      <c r="E937" s="225">
        <v>780</v>
      </c>
      <c r="F937" t="s">
        <v>8386</v>
      </c>
      <c r="G937" t="s">
        <v>8387</v>
      </c>
      <c r="H937" t="s">
        <v>2434</v>
      </c>
      <c r="I937" s="99">
        <v>43955</v>
      </c>
      <c r="J937" s="99">
        <v>43962</v>
      </c>
      <c r="K937" t="s">
        <v>8266</v>
      </c>
      <c r="L937" t="s">
        <v>8267</v>
      </c>
    </row>
    <row r="938" spans="2:12" x14ac:dyDescent="0.2">
      <c r="B938">
        <v>10708</v>
      </c>
      <c r="C938" t="s">
        <v>8286</v>
      </c>
      <c r="D938" t="s">
        <v>8254</v>
      </c>
      <c r="E938" s="225">
        <v>85.4</v>
      </c>
      <c r="F938" t="s">
        <v>8754</v>
      </c>
      <c r="G938" t="s">
        <v>8753</v>
      </c>
      <c r="H938" t="s">
        <v>8701</v>
      </c>
      <c r="I938" s="99">
        <v>43956</v>
      </c>
      <c r="J938" s="99">
        <v>43975</v>
      </c>
      <c r="K938" t="s">
        <v>8251</v>
      </c>
      <c r="L938" t="s">
        <v>269</v>
      </c>
    </row>
    <row r="939" spans="2:12" x14ac:dyDescent="0.2">
      <c r="B939">
        <v>10709</v>
      </c>
      <c r="C939" t="s">
        <v>8379</v>
      </c>
      <c r="D939" t="s">
        <v>8254</v>
      </c>
      <c r="E939" s="225">
        <v>1600</v>
      </c>
      <c r="F939" t="s">
        <v>8770</v>
      </c>
      <c r="G939" t="s">
        <v>8769</v>
      </c>
      <c r="H939" t="s">
        <v>8710</v>
      </c>
      <c r="I939" s="99">
        <v>43956</v>
      </c>
      <c r="J939" s="99">
        <v>43990</v>
      </c>
      <c r="K939" t="s">
        <v>8285</v>
      </c>
      <c r="L939" t="s">
        <v>2317</v>
      </c>
    </row>
    <row r="940" spans="2:12" x14ac:dyDescent="0.2">
      <c r="B940">
        <v>10709</v>
      </c>
      <c r="C940" t="s">
        <v>8268</v>
      </c>
      <c r="D940" t="s">
        <v>8237</v>
      </c>
      <c r="E940" s="225">
        <v>340</v>
      </c>
      <c r="F940" t="s">
        <v>8770</v>
      </c>
      <c r="G940" t="s">
        <v>8769</v>
      </c>
      <c r="H940" t="s">
        <v>8710</v>
      </c>
      <c r="I940" s="99">
        <v>43956</v>
      </c>
      <c r="J940" s="99">
        <v>43990</v>
      </c>
      <c r="K940" t="s">
        <v>8285</v>
      </c>
      <c r="L940" t="s">
        <v>2317</v>
      </c>
    </row>
    <row r="941" spans="2:12" x14ac:dyDescent="0.2">
      <c r="B941">
        <v>10709</v>
      </c>
      <c r="C941" t="s">
        <v>8245</v>
      </c>
      <c r="D941" t="s">
        <v>8247</v>
      </c>
      <c r="E941" s="225">
        <v>1484</v>
      </c>
      <c r="F941" t="s">
        <v>8770</v>
      </c>
      <c r="G941" t="s">
        <v>8769</v>
      </c>
      <c r="H941" t="s">
        <v>8710</v>
      </c>
      <c r="I941" s="99">
        <v>43956</v>
      </c>
      <c r="J941" s="99">
        <v>43990</v>
      </c>
      <c r="K941" t="s">
        <v>8285</v>
      </c>
      <c r="L941" t="s">
        <v>2317</v>
      </c>
    </row>
    <row r="942" spans="2:12" x14ac:dyDescent="0.2">
      <c r="B942">
        <v>10710</v>
      </c>
      <c r="C942" t="s">
        <v>8327</v>
      </c>
      <c r="D942" t="s">
        <v>8262</v>
      </c>
      <c r="E942" s="225">
        <v>46</v>
      </c>
      <c r="F942" t="s">
        <v>8411</v>
      </c>
      <c r="G942" t="s">
        <v>8412</v>
      </c>
      <c r="H942" t="s">
        <v>8311</v>
      </c>
      <c r="I942" s="99">
        <v>43959</v>
      </c>
      <c r="J942" s="99">
        <v>43962</v>
      </c>
      <c r="K942" t="s">
        <v>8285</v>
      </c>
      <c r="L942" t="s">
        <v>2317</v>
      </c>
    </row>
    <row r="943" spans="2:12" x14ac:dyDescent="0.2">
      <c r="B943">
        <v>10710</v>
      </c>
      <c r="C943" t="s">
        <v>8410</v>
      </c>
      <c r="D943" t="s">
        <v>8262</v>
      </c>
      <c r="E943" s="225">
        <v>47.5</v>
      </c>
      <c r="F943" t="s">
        <v>8411</v>
      </c>
      <c r="G943" t="s">
        <v>8412</v>
      </c>
      <c r="H943" t="s">
        <v>8311</v>
      </c>
      <c r="I943" s="99">
        <v>43959</v>
      </c>
      <c r="J943" s="99">
        <v>43962</v>
      </c>
      <c r="K943" t="s">
        <v>8285</v>
      </c>
      <c r="L943" t="s">
        <v>2317</v>
      </c>
    </row>
    <row r="944" spans="2:12" x14ac:dyDescent="0.2">
      <c r="B944">
        <v>10711</v>
      </c>
      <c r="C944" t="s">
        <v>8327</v>
      </c>
      <c r="D944" t="s">
        <v>8262</v>
      </c>
      <c r="E944" s="225">
        <v>110.4</v>
      </c>
      <c r="F944" t="s">
        <v>8758</v>
      </c>
      <c r="G944" t="s">
        <v>8757</v>
      </c>
      <c r="H944" t="s">
        <v>8701</v>
      </c>
      <c r="I944" s="99">
        <v>43960</v>
      </c>
      <c r="J944" s="99">
        <v>43968</v>
      </c>
      <c r="K944" t="s">
        <v>8241</v>
      </c>
      <c r="L944" t="s">
        <v>6934</v>
      </c>
    </row>
    <row r="945" spans="2:12" x14ac:dyDescent="0.2">
      <c r="B945">
        <v>10712</v>
      </c>
      <c r="C945" t="s">
        <v>8341</v>
      </c>
      <c r="D945" t="s">
        <v>8244</v>
      </c>
      <c r="E945" s="225">
        <v>1140</v>
      </c>
      <c r="F945" t="s">
        <v>8344</v>
      </c>
      <c r="G945" t="s">
        <v>8345</v>
      </c>
      <c r="H945" t="s">
        <v>8343</v>
      </c>
      <c r="I945" s="99">
        <v>43960</v>
      </c>
      <c r="J945" s="99">
        <v>43970</v>
      </c>
      <c r="K945" t="s">
        <v>8257</v>
      </c>
      <c r="L945" t="s">
        <v>6984</v>
      </c>
    </row>
    <row r="946" spans="2:12" x14ac:dyDescent="0.2">
      <c r="B946">
        <v>10713</v>
      </c>
      <c r="C946" t="s">
        <v>8372</v>
      </c>
      <c r="D946" t="s">
        <v>8262</v>
      </c>
      <c r="E946" s="225">
        <v>936.9</v>
      </c>
      <c r="F946" t="s">
        <v>8758</v>
      </c>
      <c r="G946" t="s">
        <v>8757</v>
      </c>
      <c r="H946" t="s">
        <v>8701</v>
      </c>
      <c r="I946" s="99">
        <v>43961</v>
      </c>
      <c r="J946" s="99">
        <v>43963</v>
      </c>
      <c r="K946" t="s">
        <v>8285</v>
      </c>
      <c r="L946" t="s">
        <v>2317</v>
      </c>
    </row>
    <row r="947" spans="2:12" x14ac:dyDescent="0.2">
      <c r="B947">
        <v>10714</v>
      </c>
      <c r="C947" t="s">
        <v>8276</v>
      </c>
      <c r="D947" t="s">
        <v>8272</v>
      </c>
      <c r="E947" s="225">
        <v>427.5</v>
      </c>
      <c r="F947" t="s">
        <v>8758</v>
      </c>
      <c r="G947" t="s">
        <v>8757</v>
      </c>
      <c r="H947" t="s">
        <v>8701</v>
      </c>
      <c r="I947" s="99">
        <v>43961</v>
      </c>
      <c r="J947" s="99">
        <v>43966</v>
      </c>
      <c r="K947" t="s">
        <v>8241</v>
      </c>
      <c r="L947" t="s">
        <v>6934</v>
      </c>
    </row>
    <row r="948" spans="2:12" x14ac:dyDescent="0.2">
      <c r="B948">
        <v>10714</v>
      </c>
      <c r="C948" t="s">
        <v>8410</v>
      </c>
      <c r="D948" t="s">
        <v>8262</v>
      </c>
      <c r="E948" s="225">
        <v>356.25</v>
      </c>
      <c r="F948" t="s">
        <v>8758</v>
      </c>
      <c r="G948" t="s">
        <v>8757</v>
      </c>
      <c r="H948" t="s">
        <v>8701</v>
      </c>
      <c r="I948" s="99">
        <v>43961</v>
      </c>
      <c r="J948" s="99">
        <v>43966</v>
      </c>
      <c r="K948" t="s">
        <v>8241</v>
      </c>
      <c r="L948" t="s">
        <v>6934</v>
      </c>
    </row>
    <row r="949" spans="2:12" x14ac:dyDescent="0.2">
      <c r="B949">
        <v>10714</v>
      </c>
      <c r="C949" t="s">
        <v>8341</v>
      </c>
      <c r="D949" t="s">
        <v>8244</v>
      </c>
      <c r="E949" s="225">
        <v>513</v>
      </c>
      <c r="F949" t="s">
        <v>8758</v>
      </c>
      <c r="G949" t="s">
        <v>8757</v>
      </c>
      <c r="H949" t="s">
        <v>8701</v>
      </c>
      <c r="I949" s="99">
        <v>43961</v>
      </c>
      <c r="J949" s="99">
        <v>43966</v>
      </c>
      <c r="K949" t="s">
        <v>8241</v>
      </c>
      <c r="L949" t="s">
        <v>6934</v>
      </c>
    </row>
    <row r="950" spans="2:12" x14ac:dyDescent="0.2">
      <c r="B950">
        <v>10715</v>
      </c>
      <c r="C950" t="s">
        <v>8310</v>
      </c>
      <c r="D950" t="s">
        <v>8237</v>
      </c>
      <c r="E950" s="225">
        <v>645</v>
      </c>
      <c r="F950" t="s">
        <v>8377</v>
      </c>
      <c r="G950" t="s">
        <v>8378</v>
      </c>
      <c r="H950" t="s">
        <v>8236</v>
      </c>
      <c r="I950" s="99">
        <v>43962</v>
      </c>
      <c r="J950" s="99">
        <v>43968</v>
      </c>
      <c r="K950" t="s">
        <v>8257</v>
      </c>
      <c r="L950" t="s">
        <v>6984</v>
      </c>
    </row>
    <row r="951" spans="2:12" x14ac:dyDescent="0.2">
      <c r="B951">
        <v>10716</v>
      </c>
      <c r="C951" t="s">
        <v>8409</v>
      </c>
      <c r="D951" t="s">
        <v>8254</v>
      </c>
      <c r="E951" s="225">
        <v>285</v>
      </c>
      <c r="F951" t="s">
        <v>8726</v>
      </c>
      <c r="G951" t="s">
        <v>8725</v>
      </c>
      <c r="H951" t="s">
        <v>8717</v>
      </c>
      <c r="I951" s="99">
        <v>43963</v>
      </c>
      <c r="J951" s="99">
        <v>43966</v>
      </c>
      <c r="K951" t="s">
        <v>8266</v>
      </c>
      <c r="L951" t="s">
        <v>8267</v>
      </c>
    </row>
    <row r="952" spans="2:12" x14ac:dyDescent="0.2">
      <c r="B952">
        <v>10716</v>
      </c>
      <c r="C952" t="s">
        <v>8368</v>
      </c>
      <c r="D952" t="s">
        <v>8262</v>
      </c>
      <c r="E952" s="225">
        <v>50</v>
      </c>
      <c r="F952" t="s">
        <v>8726</v>
      </c>
      <c r="G952" t="s">
        <v>8725</v>
      </c>
      <c r="H952" t="s">
        <v>8717</v>
      </c>
      <c r="I952" s="99">
        <v>43963</v>
      </c>
      <c r="J952" s="99">
        <v>43966</v>
      </c>
      <c r="K952" t="s">
        <v>8266</v>
      </c>
      <c r="L952" t="s">
        <v>8267</v>
      </c>
    </row>
    <row r="953" spans="2:12" x14ac:dyDescent="0.2">
      <c r="B953">
        <v>10716</v>
      </c>
      <c r="C953" t="s">
        <v>8245</v>
      </c>
      <c r="D953" t="s">
        <v>8247</v>
      </c>
      <c r="E953" s="225">
        <v>371</v>
      </c>
      <c r="F953" t="s">
        <v>8726</v>
      </c>
      <c r="G953" t="s">
        <v>8725</v>
      </c>
      <c r="H953" t="s">
        <v>8717</v>
      </c>
      <c r="I953" s="99">
        <v>43963</v>
      </c>
      <c r="J953" s="99">
        <v>43966</v>
      </c>
      <c r="K953" t="s">
        <v>8266</v>
      </c>
      <c r="L953" t="s">
        <v>8267</v>
      </c>
    </row>
    <row r="954" spans="2:12" x14ac:dyDescent="0.2">
      <c r="B954">
        <v>10717</v>
      </c>
      <c r="C954" t="s">
        <v>8368</v>
      </c>
      <c r="D954" t="s">
        <v>8262</v>
      </c>
      <c r="E954" s="225">
        <v>304</v>
      </c>
      <c r="F954" t="s">
        <v>8304</v>
      </c>
      <c r="G954" t="s">
        <v>8305</v>
      </c>
      <c r="H954" t="s">
        <v>8246</v>
      </c>
      <c r="I954" s="99">
        <v>43963</v>
      </c>
      <c r="J954" s="99">
        <v>43968</v>
      </c>
      <c r="K954" t="s">
        <v>8285</v>
      </c>
      <c r="L954" t="s">
        <v>2317</v>
      </c>
    </row>
    <row r="955" spans="2:12" x14ac:dyDescent="0.2">
      <c r="B955">
        <v>10717</v>
      </c>
      <c r="C955" t="s">
        <v>8353</v>
      </c>
      <c r="D955" t="s">
        <v>8237</v>
      </c>
      <c r="E955" s="225">
        <v>855</v>
      </c>
      <c r="F955" t="s">
        <v>8304</v>
      </c>
      <c r="G955" t="s">
        <v>8305</v>
      </c>
      <c r="H955" t="s">
        <v>8246</v>
      </c>
      <c r="I955" s="99">
        <v>43963</v>
      </c>
      <c r="J955" s="99">
        <v>43968</v>
      </c>
      <c r="K955" t="s">
        <v>8285</v>
      </c>
      <c r="L955" t="s">
        <v>2317</v>
      </c>
    </row>
    <row r="956" spans="2:12" x14ac:dyDescent="0.2">
      <c r="B956">
        <v>10718</v>
      </c>
      <c r="C956" t="s">
        <v>8280</v>
      </c>
      <c r="D956" t="s">
        <v>8262</v>
      </c>
      <c r="E956" s="225">
        <v>349</v>
      </c>
      <c r="F956" t="s">
        <v>8359</v>
      </c>
      <c r="G956" t="s">
        <v>8360</v>
      </c>
      <c r="H956" t="s">
        <v>8246</v>
      </c>
      <c r="I956" s="99">
        <v>43966</v>
      </c>
      <c r="J956" s="99">
        <v>43968</v>
      </c>
      <c r="K956" t="s">
        <v>8285</v>
      </c>
      <c r="L956" t="s">
        <v>2317</v>
      </c>
    </row>
    <row r="957" spans="2:12" x14ac:dyDescent="0.2">
      <c r="B957">
        <v>10718</v>
      </c>
      <c r="C957" t="s">
        <v>8291</v>
      </c>
      <c r="D957" t="s">
        <v>8262</v>
      </c>
      <c r="E957" s="225">
        <v>986</v>
      </c>
      <c r="F957" t="s">
        <v>8359</v>
      </c>
      <c r="G957" t="s">
        <v>8360</v>
      </c>
      <c r="H957" t="s">
        <v>8246</v>
      </c>
      <c r="I957" s="99">
        <v>43966</v>
      </c>
      <c r="J957" s="99">
        <v>43968</v>
      </c>
      <c r="K957" t="s">
        <v>8285</v>
      </c>
      <c r="L957" t="s">
        <v>2317</v>
      </c>
    </row>
    <row r="958" spans="2:12" x14ac:dyDescent="0.2">
      <c r="B958">
        <v>10718</v>
      </c>
      <c r="C958" t="s">
        <v>8299</v>
      </c>
      <c r="D958" t="s">
        <v>8237</v>
      </c>
      <c r="E958" s="225">
        <v>1368</v>
      </c>
      <c r="F958" t="s">
        <v>8359</v>
      </c>
      <c r="G958" t="s">
        <v>8360</v>
      </c>
      <c r="H958" t="s">
        <v>8246</v>
      </c>
      <c r="I958" s="99">
        <v>43966</v>
      </c>
      <c r="J958" s="99">
        <v>43968</v>
      </c>
      <c r="K958" t="s">
        <v>8285</v>
      </c>
      <c r="L958" t="s">
        <v>2317</v>
      </c>
    </row>
    <row r="959" spans="2:12" x14ac:dyDescent="0.2">
      <c r="B959">
        <v>10720</v>
      </c>
      <c r="C959" t="s">
        <v>8323</v>
      </c>
      <c r="D959" t="s">
        <v>8272</v>
      </c>
      <c r="E959" s="225">
        <v>378</v>
      </c>
      <c r="F959" t="s">
        <v>8736</v>
      </c>
      <c r="G959" t="s">
        <v>8735</v>
      </c>
      <c r="H959" t="s">
        <v>8710</v>
      </c>
      <c r="I959" s="99">
        <v>43967</v>
      </c>
      <c r="J959" s="99">
        <v>43975</v>
      </c>
      <c r="K959" t="s">
        <v>8320</v>
      </c>
      <c r="L959" t="s">
        <v>8321</v>
      </c>
    </row>
    <row r="960" spans="2:12" x14ac:dyDescent="0.2">
      <c r="B960">
        <v>10720</v>
      </c>
      <c r="C960" t="s">
        <v>8310</v>
      </c>
      <c r="D960" t="s">
        <v>8237</v>
      </c>
      <c r="E960" s="225">
        <v>172</v>
      </c>
      <c r="F960" t="s">
        <v>8736</v>
      </c>
      <c r="G960" t="s">
        <v>8735</v>
      </c>
      <c r="H960" t="s">
        <v>8710</v>
      </c>
      <c r="I960" s="99">
        <v>43967</v>
      </c>
      <c r="J960" s="99">
        <v>43975</v>
      </c>
      <c r="K960" t="s">
        <v>8320</v>
      </c>
      <c r="L960" t="s">
        <v>8321</v>
      </c>
    </row>
    <row r="961" spans="2:12" x14ac:dyDescent="0.2">
      <c r="B961">
        <v>10721</v>
      </c>
      <c r="C961" t="s">
        <v>8322</v>
      </c>
      <c r="D961" t="s">
        <v>8254</v>
      </c>
      <c r="E961" s="225">
        <v>923.87</v>
      </c>
      <c r="F961" t="s">
        <v>8307</v>
      </c>
      <c r="G961" t="s">
        <v>8308</v>
      </c>
      <c r="H961" t="s">
        <v>8246</v>
      </c>
      <c r="I961" s="99">
        <v>43968</v>
      </c>
      <c r="J961" s="99">
        <v>43970</v>
      </c>
      <c r="K961" t="s">
        <v>8241</v>
      </c>
      <c r="L961" t="s">
        <v>6934</v>
      </c>
    </row>
    <row r="962" spans="2:12" x14ac:dyDescent="0.2">
      <c r="B962">
        <v>10722</v>
      </c>
      <c r="C962" t="s">
        <v>8276</v>
      </c>
      <c r="D962" t="s">
        <v>8272</v>
      </c>
      <c r="E962" s="225">
        <v>57</v>
      </c>
      <c r="F962" t="s">
        <v>8758</v>
      </c>
      <c r="G962" t="s">
        <v>8757</v>
      </c>
      <c r="H962" t="s">
        <v>8701</v>
      </c>
      <c r="I962" s="99">
        <v>43968</v>
      </c>
      <c r="J962" s="99">
        <v>43974</v>
      </c>
      <c r="K962" t="s">
        <v>8320</v>
      </c>
      <c r="L962" t="s">
        <v>8321</v>
      </c>
    </row>
    <row r="963" spans="2:12" x14ac:dyDescent="0.2">
      <c r="B963">
        <v>10722</v>
      </c>
      <c r="C963" t="s">
        <v>8328</v>
      </c>
      <c r="D963" t="s">
        <v>8272</v>
      </c>
      <c r="E963" s="225">
        <v>325.5</v>
      </c>
      <c r="F963" t="s">
        <v>8758</v>
      </c>
      <c r="G963" t="s">
        <v>8757</v>
      </c>
      <c r="H963" t="s">
        <v>8701</v>
      </c>
      <c r="I963" s="99">
        <v>43968</v>
      </c>
      <c r="J963" s="99">
        <v>43974</v>
      </c>
      <c r="K963" t="s">
        <v>8320</v>
      </c>
      <c r="L963" t="s">
        <v>8321</v>
      </c>
    </row>
    <row r="964" spans="2:12" x14ac:dyDescent="0.2">
      <c r="B964">
        <v>10722</v>
      </c>
      <c r="C964" t="s">
        <v>8334</v>
      </c>
      <c r="D964" t="s">
        <v>8262</v>
      </c>
      <c r="E964" s="225">
        <v>562.5</v>
      </c>
      <c r="F964" t="s">
        <v>8758</v>
      </c>
      <c r="G964" t="s">
        <v>8757</v>
      </c>
      <c r="H964" t="s">
        <v>8701</v>
      </c>
      <c r="I964" s="99">
        <v>43968</v>
      </c>
      <c r="J964" s="99">
        <v>43974</v>
      </c>
      <c r="K964" t="s">
        <v>8320</v>
      </c>
      <c r="L964" t="s">
        <v>8321</v>
      </c>
    </row>
    <row r="965" spans="2:12" x14ac:dyDescent="0.2">
      <c r="B965">
        <v>10722</v>
      </c>
      <c r="C965" t="s">
        <v>8309</v>
      </c>
      <c r="D965" t="s">
        <v>8237</v>
      </c>
      <c r="E965" s="225">
        <v>625</v>
      </c>
      <c r="F965" t="s">
        <v>8758</v>
      </c>
      <c r="G965" t="s">
        <v>8757</v>
      </c>
      <c r="H965" t="s">
        <v>8701</v>
      </c>
      <c r="I965" s="99">
        <v>43968</v>
      </c>
      <c r="J965" s="99">
        <v>43974</v>
      </c>
      <c r="K965" t="s">
        <v>8320</v>
      </c>
      <c r="L965" t="s">
        <v>8321</v>
      </c>
    </row>
    <row r="966" spans="2:12" x14ac:dyDescent="0.2">
      <c r="B966">
        <v>10723</v>
      </c>
      <c r="C966" t="s">
        <v>8372</v>
      </c>
      <c r="D966" t="s">
        <v>8262</v>
      </c>
      <c r="E966" s="225">
        <v>468.45</v>
      </c>
      <c r="F966" t="s">
        <v>8740</v>
      </c>
      <c r="G966" t="s">
        <v>8739</v>
      </c>
      <c r="H966" t="s">
        <v>8701</v>
      </c>
      <c r="I966" s="99">
        <v>43969</v>
      </c>
      <c r="J966" s="99">
        <v>43995</v>
      </c>
      <c r="K966" t="s">
        <v>8257</v>
      </c>
      <c r="L966" t="s">
        <v>6984</v>
      </c>
    </row>
    <row r="967" spans="2:12" x14ac:dyDescent="0.2">
      <c r="B967">
        <v>10724</v>
      </c>
      <c r="C967" t="s">
        <v>8409</v>
      </c>
      <c r="D967" t="s">
        <v>8254</v>
      </c>
      <c r="E967" s="225">
        <v>142.5</v>
      </c>
      <c r="F967" t="s">
        <v>8760</v>
      </c>
      <c r="G967" t="s">
        <v>8759</v>
      </c>
      <c r="H967" t="s">
        <v>8720</v>
      </c>
      <c r="I967" s="99">
        <v>43969</v>
      </c>
      <c r="J967" s="99">
        <v>43975</v>
      </c>
      <c r="K967" t="s">
        <v>8320</v>
      </c>
      <c r="L967" t="s">
        <v>8321</v>
      </c>
    </row>
    <row r="968" spans="2:12" x14ac:dyDescent="0.2">
      <c r="B968">
        <v>10725</v>
      </c>
      <c r="C968" t="s">
        <v>8369</v>
      </c>
      <c r="D968" t="s">
        <v>8244</v>
      </c>
      <c r="E968" s="225">
        <v>28</v>
      </c>
      <c r="F968" t="s">
        <v>8762</v>
      </c>
      <c r="G968" t="s">
        <v>8761</v>
      </c>
      <c r="H968" t="s">
        <v>8710</v>
      </c>
      <c r="I968" s="99">
        <v>43970</v>
      </c>
      <c r="J968" s="99">
        <v>43975</v>
      </c>
      <c r="K968" t="s">
        <v>8266</v>
      </c>
      <c r="L968" t="s">
        <v>8267</v>
      </c>
    </row>
    <row r="969" spans="2:12" x14ac:dyDescent="0.2">
      <c r="B969">
        <v>10726</v>
      </c>
      <c r="C969" t="s">
        <v>8352</v>
      </c>
      <c r="D969" t="s">
        <v>8254</v>
      </c>
      <c r="E969" s="225">
        <v>550</v>
      </c>
      <c r="F969" t="s">
        <v>8393</v>
      </c>
      <c r="G969" t="s">
        <v>8394</v>
      </c>
      <c r="H969" t="s">
        <v>2434</v>
      </c>
      <c r="I969" s="99">
        <v>43973</v>
      </c>
      <c r="J969" s="99">
        <v>44005</v>
      </c>
      <c r="K969" t="s">
        <v>8266</v>
      </c>
      <c r="L969" t="s">
        <v>8267</v>
      </c>
    </row>
    <row r="970" spans="2:12" x14ac:dyDescent="0.2">
      <c r="B970">
        <v>10726</v>
      </c>
      <c r="C970" t="s">
        <v>8242</v>
      </c>
      <c r="D970" t="s">
        <v>8237</v>
      </c>
      <c r="E970" s="225">
        <v>105</v>
      </c>
      <c r="F970" t="s">
        <v>8393</v>
      </c>
      <c r="G970" t="s">
        <v>8394</v>
      </c>
      <c r="H970" t="s">
        <v>2434</v>
      </c>
      <c r="I970" s="99">
        <v>43973</v>
      </c>
      <c r="J970" s="99">
        <v>44005</v>
      </c>
      <c r="K970" t="s">
        <v>8266</v>
      </c>
      <c r="L970" t="s">
        <v>8267</v>
      </c>
    </row>
    <row r="971" spans="2:12" x14ac:dyDescent="0.2">
      <c r="B971">
        <v>10727</v>
      </c>
      <c r="C971" t="s">
        <v>8281</v>
      </c>
      <c r="D971" t="s">
        <v>8237</v>
      </c>
      <c r="E971" s="225">
        <v>522.5</v>
      </c>
      <c r="F971" t="s">
        <v>8335</v>
      </c>
      <c r="G971" t="s">
        <v>8336</v>
      </c>
      <c r="H971" t="s">
        <v>8311</v>
      </c>
      <c r="I971" s="99">
        <v>43973</v>
      </c>
      <c r="J971" s="99">
        <v>44005</v>
      </c>
      <c r="K971" t="s">
        <v>8297</v>
      </c>
      <c r="L971" t="s">
        <v>8298</v>
      </c>
    </row>
    <row r="972" spans="2:12" x14ac:dyDescent="0.2">
      <c r="B972">
        <v>10727</v>
      </c>
      <c r="C972" t="s">
        <v>8341</v>
      </c>
      <c r="D972" t="s">
        <v>8244</v>
      </c>
      <c r="E972" s="225">
        <v>361</v>
      </c>
      <c r="F972" t="s">
        <v>8335</v>
      </c>
      <c r="G972" t="s">
        <v>8336</v>
      </c>
      <c r="H972" t="s">
        <v>8311</v>
      </c>
      <c r="I972" s="99">
        <v>43973</v>
      </c>
      <c r="J972" s="99">
        <v>44005</v>
      </c>
      <c r="K972" t="s">
        <v>8297</v>
      </c>
      <c r="L972" t="s">
        <v>8298</v>
      </c>
    </row>
    <row r="973" spans="2:12" x14ac:dyDescent="0.2">
      <c r="B973">
        <v>10728</v>
      </c>
      <c r="C973" t="s">
        <v>8268</v>
      </c>
      <c r="D973" t="s">
        <v>8237</v>
      </c>
      <c r="E973" s="225">
        <v>510</v>
      </c>
      <c r="F973" t="s">
        <v>8712</v>
      </c>
      <c r="G973" t="s">
        <v>8711</v>
      </c>
      <c r="H973" t="s">
        <v>8710</v>
      </c>
      <c r="I973" s="99">
        <v>43974</v>
      </c>
      <c r="J973" s="99">
        <v>43981</v>
      </c>
      <c r="K973" t="s">
        <v>8266</v>
      </c>
      <c r="L973" t="s">
        <v>8267</v>
      </c>
    </row>
    <row r="974" spans="2:12" x14ac:dyDescent="0.2">
      <c r="B974">
        <v>10729</v>
      </c>
      <c r="C974" t="s">
        <v>8333</v>
      </c>
      <c r="D974" t="s">
        <v>8272</v>
      </c>
      <c r="E974" s="225">
        <v>900</v>
      </c>
      <c r="F974" t="s">
        <v>8724</v>
      </c>
      <c r="G974" t="s">
        <v>8723</v>
      </c>
      <c r="H974" t="s">
        <v>8707</v>
      </c>
      <c r="I974" s="99">
        <v>43974</v>
      </c>
      <c r="J974" s="99">
        <v>43984</v>
      </c>
      <c r="K974" t="s">
        <v>8320</v>
      </c>
      <c r="L974" t="s">
        <v>8321</v>
      </c>
    </row>
    <row r="975" spans="2:12" x14ac:dyDescent="0.2">
      <c r="B975">
        <v>10729</v>
      </c>
      <c r="C975" t="s">
        <v>8368</v>
      </c>
      <c r="D975" t="s">
        <v>8262</v>
      </c>
      <c r="E975" s="225">
        <v>300</v>
      </c>
      <c r="F975" t="s">
        <v>8724</v>
      </c>
      <c r="G975" t="s">
        <v>8723</v>
      </c>
      <c r="H975" t="s">
        <v>8707</v>
      </c>
      <c r="I975" s="99">
        <v>43974</v>
      </c>
      <c r="J975" s="99">
        <v>43984</v>
      </c>
      <c r="K975" t="s">
        <v>8320</v>
      </c>
      <c r="L975" t="s">
        <v>8321</v>
      </c>
    </row>
    <row r="976" spans="2:12" x14ac:dyDescent="0.2">
      <c r="B976">
        <v>10729</v>
      </c>
      <c r="C976" t="s">
        <v>8381</v>
      </c>
      <c r="D976" t="s">
        <v>8262</v>
      </c>
      <c r="E976" s="225">
        <v>650</v>
      </c>
      <c r="F976" t="s">
        <v>8724</v>
      </c>
      <c r="G976" t="s">
        <v>8723</v>
      </c>
      <c r="H976" t="s">
        <v>8707</v>
      </c>
      <c r="I976" s="99">
        <v>43974</v>
      </c>
      <c r="J976" s="99">
        <v>43984</v>
      </c>
      <c r="K976" t="s">
        <v>8320</v>
      </c>
      <c r="L976" t="s">
        <v>8321</v>
      </c>
    </row>
    <row r="977" spans="2:12" x14ac:dyDescent="0.2">
      <c r="B977">
        <v>10730</v>
      </c>
      <c r="C977" t="s">
        <v>8253</v>
      </c>
      <c r="D977" t="s">
        <v>8254</v>
      </c>
      <c r="E977" s="225">
        <v>199.97</v>
      </c>
      <c r="F977" t="s">
        <v>8377</v>
      </c>
      <c r="G977" t="s">
        <v>8378</v>
      </c>
      <c r="H977" t="s">
        <v>8236</v>
      </c>
      <c r="I977" s="99">
        <v>43975</v>
      </c>
      <c r="J977" s="99">
        <v>43984</v>
      </c>
      <c r="K977" t="s">
        <v>8241</v>
      </c>
      <c r="L977" t="s">
        <v>6934</v>
      </c>
    </row>
    <row r="978" spans="2:12" x14ac:dyDescent="0.2">
      <c r="B978">
        <v>10730</v>
      </c>
      <c r="C978" t="s">
        <v>8280</v>
      </c>
      <c r="D978" t="s">
        <v>8262</v>
      </c>
      <c r="E978" s="225">
        <v>248.66</v>
      </c>
      <c r="F978" t="s">
        <v>8377</v>
      </c>
      <c r="G978" t="s">
        <v>8378</v>
      </c>
      <c r="H978" t="s">
        <v>8236</v>
      </c>
      <c r="I978" s="99">
        <v>43975</v>
      </c>
      <c r="J978" s="99">
        <v>43984</v>
      </c>
      <c r="K978" t="s">
        <v>8241</v>
      </c>
      <c r="L978" t="s">
        <v>6934</v>
      </c>
    </row>
    <row r="979" spans="2:12" x14ac:dyDescent="0.2">
      <c r="B979">
        <v>10730</v>
      </c>
      <c r="C979" t="s">
        <v>8309</v>
      </c>
      <c r="D979" t="s">
        <v>8237</v>
      </c>
      <c r="E979" s="225">
        <v>35.619999999999997</v>
      </c>
      <c r="F979" t="s">
        <v>8377</v>
      </c>
      <c r="G979" t="s">
        <v>8378</v>
      </c>
      <c r="H979" t="s">
        <v>8236</v>
      </c>
      <c r="I979" s="99">
        <v>43975</v>
      </c>
      <c r="J979" s="99">
        <v>43984</v>
      </c>
      <c r="K979" t="s">
        <v>8241</v>
      </c>
      <c r="L979" t="s">
        <v>6934</v>
      </c>
    </row>
    <row r="980" spans="2:12" x14ac:dyDescent="0.2">
      <c r="B980">
        <v>10731</v>
      </c>
      <c r="C980" t="s">
        <v>8368</v>
      </c>
      <c r="D980" t="s">
        <v>8262</v>
      </c>
      <c r="E980" s="225">
        <v>380</v>
      </c>
      <c r="F980" t="s">
        <v>8273</v>
      </c>
      <c r="G980" t="s">
        <v>8274</v>
      </c>
      <c r="H980" t="s">
        <v>8271</v>
      </c>
      <c r="I980" s="99">
        <v>43976</v>
      </c>
      <c r="J980" s="99">
        <v>43984</v>
      </c>
      <c r="K980" t="s">
        <v>8158</v>
      </c>
      <c r="L980" t="s">
        <v>861</v>
      </c>
    </row>
    <row r="981" spans="2:12" x14ac:dyDescent="0.2">
      <c r="B981">
        <v>10731</v>
      </c>
      <c r="C981" t="s">
        <v>8245</v>
      </c>
      <c r="D981" t="s">
        <v>8247</v>
      </c>
      <c r="E981" s="225">
        <v>1510.5</v>
      </c>
      <c r="F981" t="s">
        <v>8273</v>
      </c>
      <c r="G981" t="s">
        <v>8274</v>
      </c>
      <c r="H981" t="s">
        <v>8271</v>
      </c>
      <c r="I981" s="99">
        <v>43976</v>
      </c>
      <c r="J981" s="99">
        <v>43984</v>
      </c>
      <c r="K981" t="s">
        <v>8158</v>
      </c>
      <c r="L981" t="s">
        <v>861</v>
      </c>
    </row>
    <row r="982" spans="2:12" x14ac:dyDescent="0.2">
      <c r="B982">
        <v>10732</v>
      </c>
      <c r="C982" t="s">
        <v>8303</v>
      </c>
      <c r="D982" t="s">
        <v>8272</v>
      </c>
      <c r="E982" s="225">
        <v>360</v>
      </c>
      <c r="F982" t="s">
        <v>8377</v>
      </c>
      <c r="G982" t="s">
        <v>8378</v>
      </c>
      <c r="H982" t="s">
        <v>8236</v>
      </c>
      <c r="I982" s="99">
        <v>43976</v>
      </c>
      <c r="J982" s="99">
        <v>43977</v>
      </c>
      <c r="K982" t="s">
        <v>8257</v>
      </c>
      <c r="L982" t="s">
        <v>6984</v>
      </c>
    </row>
    <row r="983" spans="2:12" x14ac:dyDescent="0.2">
      <c r="B983">
        <v>10733</v>
      </c>
      <c r="C983" t="s">
        <v>8369</v>
      </c>
      <c r="D983" t="s">
        <v>8244</v>
      </c>
      <c r="E983" s="225">
        <v>175</v>
      </c>
      <c r="F983" t="s">
        <v>8318</v>
      </c>
      <c r="G983" t="s">
        <v>8319</v>
      </c>
      <c r="H983" t="s">
        <v>8292</v>
      </c>
      <c r="I983" s="99">
        <v>43977</v>
      </c>
      <c r="J983" s="99">
        <v>43980</v>
      </c>
      <c r="K983" t="s">
        <v>8285</v>
      </c>
      <c r="L983" t="s">
        <v>2317</v>
      </c>
    </row>
    <row r="984" spans="2:12" x14ac:dyDescent="0.2">
      <c r="B984">
        <v>10733</v>
      </c>
      <c r="C984" t="s">
        <v>8252</v>
      </c>
      <c r="D984" t="s">
        <v>8247</v>
      </c>
      <c r="E984" s="225">
        <v>372</v>
      </c>
      <c r="F984" t="s">
        <v>8318</v>
      </c>
      <c r="G984" t="s">
        <v>8319</v>
      </c>
      <c r="H984" t="s">
        <v>8292</v>
      </c>
      <c r="I984" s="99">
        <v>43977</v>
      </c>
      <c r="J984" s="99">
        <v>43980</v>
      </c>
      <c r="K984" t="s">
        <v>8285</v>
      </c>
      <c r="L984" t="s">
        <v>2317</v>
      </c>
    </row>
    <row r="985" spans="2:12" x14ac:dyDescent="0.2">
      <c r="B985">
        <v>10733</v>
      </c>
      <c r="C985" t="s">
        <v>8316</v>
      </c>
      <c r="D985" t="s">
        <v>8247</v>
      </c>
      <c r="E985" s="225">
        <v>912</v>
      </c>
      <c r="F985" t="s">
        <v>8318</v>
      </c>
      <c r="G985" t="s">
        <v>8319</v>
      </c>
      <c r="H985" t="s">
        <v>8292</v>
      </c>
      <c r="I985" s="99">
        <v>43977</v>
      </c>
      <c r="J985" s="99">
        <v>43980</v>
      </c>
      <c r="K985" t="s">
        <v>8285</v>
      </c>
      <c r="L985" t="s">
        <v>2317</v>
      </c>
    </row>
    <row r="986" spans="2:12" x14ac:dyDescent="0.2">
      <c r="B986">
        <v>10734</v>
      </c>
      <c r="C986" t="s">
        <v>8303</v>
      </c>
      <c r="D986" t="s">
        <v>8272</v>
      </c>
      <c r="E986" s="225">
        <v>360</v>
      </c>
      <c r="F986" t="s">
        <v>8770</v>
      </c>
      <c r="G986" t="s">
        <v>8769</v>
      </c>
      <c r="H986" t="s">
        <v>8710</v>
      </c>
      <c r="I986" s="99">
        <v>43977</v>
      </c>
      <c r="J986" s="99">
        <v>43982</v>
      </c>
      <c r="K986" t="s">
        <v>8297</v>
      </c>
      <c r="L986" t="s">
        <v>8298</v>
      </c>
    </row>
    <row r="987" spans="2:12" x14ac:dyDescent="0.2">
      <c r="B987">
        <v>10734</v>
      </c>
      <c r="C987" t="s">
        <v>8351</v>
      </c>
      <c r="D987" t="s">
        <v>8254</v>
      </c>
      <c r="E987" s="225">
        <v>750</v>
      </c>
      <c r="F987" t="s">
        <v>8770</v>
      </c>
      <c r="G987" t="s">
        <v>8769</v>
      </c>
      <c r="H987" t="s">
        <v>8710</v>
      </c>
      <c r="I987" s="99">
        <v>43977</v>
      </c>
      <c r="J987" s="99">
        <v>43982</v>
      </c>
      <c r="K987" t="s">
        <v>8297</v>
      </c>
      <c r="L987" t="s">
        <v>8298</v>
      </c>
    </row>
    <row r="988" spans="2:12" x14ac:dyDescent="0.2">
      <c r="B988">
        <v>10735</v>
      </c>
      <c r="C988" t="s">
        <v>8409</v>
      </c>
      <c r="D988" t="s">
        <v>8254</v>
      </c>
      <c r="E988" s="225">
        <v>513</v>
      </c>
      <c r="F988" t="s">
        <v>8778</v>
      </c>
      <c r="G988" t="s">
        <v>8777</v>
      </c>
      <c r="H988" t="s">
        <v>8701</v>
      </c>
      <c r="I988" s="99">
        <v>43980</v>
      </c>
      <c r="J988" s="99">
        <v>43991</v>
      </c>
      <c r="K988" t="s">
        <v>8251</v>
      </c>
      <c r="L988" t="s">
        <v>269</v>
      </c>
    </row>
    <row r="989" spans="2:12" x14ac:dyDescent="0.2">
      <c r="B989">
        <v>10735</v>
      </c>
      <c r="C989" t="s">
        <v>8397</v>
      </c>
      <c r="D989" t="s">
        <v>8254</v>
      </c>
      <c r="E989" s="225">
        <v>23.4</v>
      </c>
      <c r="F989" t="s">
        <v>8778</v>
      </c>
      <c r="G989" t="s">
        <v>8777</v>
      </c>
      <c r="H989" t="s">
        <v>8701</v>
      </c>
      <c r="I989" s="99">
        <v>43980</v>
      </c>
      <c r="J989" s="99">
        <v>43991</v>
      </c>
      <c r="K989" t="s">
        <v>8251</v>
      </c>
      <c r="L989" t="s">
        <v>269</v>
      </c>
    </row>
    <row r="990" spans="2:12" x14ac:dyDescent="0.2">
      <c r="B990">
        <v>10736</v>
      </c>
      <c r="C990" t="s">
        <v>8328</v>
      </c>
      <c r="D990" t="s">
        <v>8272</v>
      </c>
      <c r="E990" s="225">
        <v>155</v>
      </c>
      <c r="F990" t="s">
        <v>8344</v>
      </c>
      <c r="G990" t="s">
        <v>8345</v>
      </c>
      <c r="H990" t="s">
        <v>8343</v>
      </c>
      <c r="I990" s="99">
        <v>43981</v>
      </c>
      <c r="J990" s="99">
        <v>43991</v>
      </c>
      <c r="K990" t="s">
        <v>8279</v>
      </c>
      <c r="L990" t="s">
        <v>710</v>
      </c>
    </row>
    <row r="991" spans="2:12" x14ac:dyDescent="0.2">
      <c r="B991">
        <v>10736</v>
      </c>
      <c r="C991" t="s">
        <v>8253</v>
      </c>
      <c r="D991" t="s">
        <v>8254</v>
      </c>
      <c r="E991" s="225">
        <v>842</v>
      </c>
      <c r="F991" t="s">
        <v>8344</v>
      </c>
      <c r="G991" t="s">
        <v>8345</v>
      </c>
      <c r="H991" t="s">
        <v>8343</v>
      </c>
      <c r="I991" s="99">
        <v>43981</v>
      </c>
      <c r="J991" s="99">
        <v>43991</v>
      </c>
      <c r="K991" t="s">
        <v>8279</v>
      </c>
      <c r="L991" t="s">
        <v>710</v>
      </c>
    </row>
    <row r="992" spans="2:12" x14ac:dyDescent="0.2">
      <c r="B992">
        <v>10738</v>
      </c>
      <c r="C992" t="s">
        <v>8280</v>
      </c>
      <c r="D992" t="s">
        <v>8262</v>
      </c>
      <c r="E992" s="225">
        <v>52.35</v>
      </c>
      <c r="F992" t="s">
        <v>8428</v>
      </c>
      <c r="G992" t="s">
        <v>8429</v>
      </c>
      <c r="H992" t="s">
        <v>8236</v>
      </c>
      <c r="I992" s="99">
        <v>43982</v>
      </c>
      <c r="J992" s="99">
        <v>43988</v>
      </c>
      <c r="K992" t="s">
        <v>8297</v>
      </c>
      <c r="L992" t="s">
        <v>8298</v>
      </c>
    </row>
    <row r="993" spans="2:12" x14ac:dyDescent="0.2">
      <c r="B993">
        <v>10739</v>
      </c>
      <c r="C993" t="s">
        <v>8369</v>
      </c>
      <c r="D993" t="s">
        <v>8244</v>
      </c>
      <c r="E993" s="225">
        <v>126</v>
      </c>
      <c r="F993" t="s">
        <v>8238</v>
      </c>
      <c r="G993" t="s">
        <v>8239</v>
      </c>
      <c r="H993" t="s">
        <v>8236</v>
      </c>
      <c r="I993" s="99">
        <v>43982</v>
      </c>
      <c r="J993" s="99">
        <v>43987</v>
      </c>
      <c r="K993" t="s">
        <v>8257</v>
      </c>
      <c r="L993" t="s">
        <v>6984</v>
      </c>
    </row>
    <row r="994" spans="2:12" x14ac:dyDescent="0.2">
      <c r="B994">
        <v>10740</v>
      </c>
      <c r="C994" t="s">
        <v>8323</v>
      </c>
      <c r="D994" t="s">
        <v>8272</v>
      </c>
      <c r="E994" s="225">
        <v>504</v>
      </c>
      <c r="F994" t="s">
        <v>8740</v>
      </c>
      <c r="G994" t="s">
        <v>8739</v>
      </c>
      <c r="H994" t="s">
        <v>8701</v>
      </c>
      <c r="I994" s="99">
        <v>43983</v>
      </c>
      <c r="J994" s="99">
        <v>43995</v>
      </c>
      <c r="K994" t="s">
        <v>8266</v>
      </c>
      <c r="L994" t="s">
        <v>8267</v>
      </c>
    </row>
    <row r="995" spans="2:12" x14ac:dyDescent="0.2">
      <c r="B995">
        <v>10740</v>
      </c>
      <c r="C995" t="s">
        <v>8341</v>
      </c>
      <c r="D995" t="s">
        <v>8244</v>
      </c>
      <c r="E995" s="225">
        <v>425.6</v>
      </c>
      <c r="F995" t="s">
        <v>8740</v>
      </c>
      <c r="G995" t="s">
        <v>8739</v>
      </c>
      <c r="H995" t="s">
        <v>8701</v>
      </c>
      <c r="I995" s="99">
        <v>43983</v>
      </c>
      <c r="J995" s="99">
        <v>43995</v>
      </c>
      <c r="K995" t="s">
        <v>8266</v>
      </c>
      <c r="L995" t="s">
        <v>8267</v>
      </c>
    </row>
    <row r="996" spans="2:12" x14ac:dyDescent="0.2">
      <c r="B996">
        <v>10740</v>
      </c>
      <c r="C996" t="s">
        <v>8316</v>
      </c>
      <c r="D996" t="s">
        <v>8247</v>
      </c>
      <c r="E996" s="225">
        <v>182.4</v>
      </c>
      <c r="F996" t="s">
        <v>8740</v>
      </c>
      <c r="G996" t="s">
        <v>8739</v>
      </c>
      <c r="H996" t="s">
        <v>8701</v>
      </c>
      <c r="I996" s="99">
        <v>43983</v>
      </c>
      <c r="J996" s="99">
        <v>43995</v>
      </c>
      <c r="K996" t="s">
        <v>8266</v>
      </c>
      <c r="L996" t="s">
        <v>8267</v>
      </c>
    </row>
    <row r="997" spans="2:12" x14ac:dyDescent="0.2">
      <c r="B997">
        <v>10741</v>
      </c>
      <c r="C997" t="s">
        <v>8276</v>
      </c>
      <c r="D997" t="s">
        <v>8272</v>
      </c>
      <c r="E997" s="225">
        <v>228</v>
      </c>
      <c r="F997" t="s">
        <v>8386</v>
      </c>
      <c r="G997" t="s">
        <v>8387</v>
      </c>
      <c r="H997" t="s">
        <v>2434</v>
      </c>
      <c r="I997" s="99">
        <v>43984</v>
      </c>
      <c r="J997" s="99">
        <v>43988</v>
      </c>
      <c r="K997" t="s">
        <v>8266</v>
      </c>
      <c r="L997" t="s">
        <v>8267</v>
      </c>
    </row>
    <row r="998" spans="2:12" x14ac:dyDescent="0.2">
      <c r="B998">
        <v>10742</v>
      </c>
      <c r="C998" t="s">
        <v>8337</v>
      </c>
      <c r="D998" t="s">
        <v>8254</v>
      </c>
      <c r="E998" s="225">
        <v>200</v>
      </c>
      <c r="F998" t="s">
        <v>8722</v>
      </c>
      <c r="G998" t="s">
        <v>8721</v>
      </c>
      <c r="H998" t="s">
        <v>8720</v>
      </c>
      <c r="I998" s="99">
        <v>43984</v>
      </c>
      <c r="J998" s="99">
        <v>43988</v>
      </c>
      <c r="K998" t="s">
        <v>8257</v>
      </c>
      <c r="L998" t="s">
        <v>6984</v>
      </c>
    </row>
    <row r="999" spans="2:12" x14ac:dyDescent="0.2">
      <c r="B999">
        <v>10742</v>
      </c>
      <c r="C999" t="s">
        <v>8268</v>
      </c>
      <c r="D999" t="s">
        <v>8237</v>
      </c>
      <c r="E999" s="225">
        <v>1700</v>
      </c>
      <c r="F999" t="s">
        <v>8722</v>
      </c>
      <c r="G999" t="s">
        <v>8721</v>
      </c>
      <c r="H999" t="s">
        <v>8720</v>
      </c>
      <c r="I999" s="99">
        <v>43984</v>
      </c>
      <c r="J999" s="99">
        <v>43988</v>
      </c>
      <c r="K999" t="s">
        <v>8257</v>
      </c>
      <c r="L999" t="s">
        <v>6984</v>
      </c>
    </row>
    <row r="1000" spans="2:12" x14ac:dyDescent="0.2">
      <c r="B1000">
        <v>10742</v>
      </c>
      <c r="C1000" t="s">
        <v>8235</v>
      </c>
      <c r="D1000" t="s">
        <v>8237</v>
      </c>
      <c r="E1000" s="225">
        <v>1218</v>
      </c>
      <c r="F1000" t="s">
        <v>8722</v>
      </c>
      <c r="G1000" t="s">
        <v>8721</v>
      </c>
      <c r="H1000" t="s">
        <v>8720</v>
      </c>
      <c r="I1000" s="99">
        <v>43984</v>
      </c>
      <c r="J1000" s="99">
        <v>43988</v>
      </c>
      <c r="K1000" t="s">
        <v>8257</v>
      </c>
      <c r="L1000" t="s">
        <v>6984</v>
      </c>
    </row>
    <row r="1001" spans="2:12" x14ac:dyDescent="0.2">
      <c r="B1001">
        <v>10745</v>
      </c>
      <c r="C1001" t="s">
        <v>8322</v>
      </c>
      <c r="D1001" t="s">
        <v>8254</v>
      </c>
      <c r="E1001" s="225">
        <v>311.2</v>
      </c>
      <c r="F1001" t="s">
        <v>8307</v>
      </c>
      <c r="G1001" t="s">
        <v>8308</v>
      </c>
      <c r="H1001" t="s">
        <v>8246</v>
      </c>
      <c r="I1001" s="99">
        <v>43988</v>
      </c>
      <c r="J1001" s="99">
        <v>43997</v>
      </c>
      <c r="K1001" t="s">
        <v>8279</v>
      </c>
      <c r="L1001" t="s">
        <v>710</v>
      </c>
    </row>
    <row r="1002" spans="2:12" x14ac:dyDescent="0.2">
      <c r="B1002">
        <v>10745</v>
      </c>
      <c r="C1002" t="s">
        <v>8281</v>
      </c>
      <c r="D1002" t="s">
        <v>8237</v>
      </c>
      <c r="E1002" s="225">
        <v>2475</v>
      </c>
      <c r="F1002" t="s">
        <v>8307</v>
      </c>
      <c r="G1002" t="s">
        <v>8308</v>
      </c>
      <c r="H1002" t="s">
        <v>8246</v>
      </c>
      <c r="I1002" s="99">
        <v>43988</v>
      </c>
      <c r="J1002" s="99">
        <v>43997</v>
      </c>
      <c r="K1002" t="s">
        <v>8279</v>
      </c>
      <c r="L1002" t="s">
        <v>710</v>
      </c>
    </row>
    <row r="1003" spans="2:12" x14ac:dyDescent="0.2">
      <c r="B1003">
        <v>10745</v>
      </c>
      <c r="C1003" t="s">
        <v>8235</v>
      </c>
      <c r="D1003" t="s">
        <v>8237</v>
      </c>
      <c r="E1003" s="225">
        <v>243.6</v>
      </c>
      <c r="F1003" t="s">
        <v>8307</v>
      </c>
      <c r="G1003" t="s">
        <v>8308</v>
      </c>
      <c r="H1003" t="s">
        <v>8246</v>
      </c>
      <c r="I1003" s="99">
        <v>43988</v>
      </c>
      <c r="J1003" s="99">
        <v>43997</v>
      </c>
      <c r="K1003" t="s">
        <v>8279</v>
      </c>
      <c r="L1003" t="s">
        <v>710</v>
      </c>
    </row>
    <row r="1004" spans="2:12" x14ac:dyDescent="0.2">
      <c r="B1004">
        <v>10746</v>
      </c>
      <c r="C1004" t="s">
        <v>8291</v>
      </c>
      <c r="D1004" t="s">
        <v>8262</v>
      </c>
      <c r="E1004" s="225">
        <v>443.7</v>
      </c>
      <c r="F1004" t="s">
        <v>8273</v>
      </c>
      <c r="G1004" t="s">
        <v>8274</v>
      </c>
      <c r="H1004" t="s">
        <v>8271</v>
      </c>
      <c r="I1004" s="99">
        <v>43989</v>
      </c>
      <c r="J1004" s="99">
        <v>43991</v>
      </c>
      <c r="K1004" t="s">
        <v>8285</v>
      </c>
      <c r="L1004" t="s">
        <v>2317</v>
      </c>
    </row>
    <row r="1005" spans="2:12" x14ac:dyDescent="0.2">
      <c r="B1005">
        <v>10746</v>
      </c>
      <c r="C1005" t="s">
        <v>8353</v>
      </c>
      <c r="D1005" t="s">
        <v>8237</v>
      </c>
      <c r="E1005" s="225">
        <v>1440</v>
      </c>
      <c r="F1005" t="s">
        <v>8273</v>
      </c>
      <c r="G1005" t="s">
        <v>8274</v>
      </c>
      <c r="H1005" t="s">
        <v>8271</v>
      </c>
      <c r="I1005" s="99">
        <v>43989</v>
      </c>
      <c r="J1005" s="99">
        <v>43991</v>
      </c>
      <c r="K1005" t="s">
        <v>8285</v>
      </c>
      <c r="L1005" t="s">
        <v>2317</v>
      </c>
    </row>
    <row r="1006" spans="2:12" x14ac:dyDescent="0.2">
      <c r="B1006">
        <v>10746</v>
      </c>
      <c r="C1006" t="s">
        <v>8243</v>
      </c>
      <c r="D1006" t="s">
        <v>8244</v>
      </c>
      <c r="E1006" s="225">
        <v>392</v>
      </c>
      <c r="F1006" t="s">
        <v>8273</v>
      </c>
      <c r="G1006" t="s">
        <v>8274</v>
      </c>
      <c r="H1006" t="s">
        <v>8271</v>
      </c>
      <c r="I1006" s="99">
        <v>43989</v>
      </c>
      <c r="J1006" s="99">
        <v>43991</v>
      </c>
      <c r="K1006" t="s">
        <v>8285</v>
      </c>
      <c r="L1006" t="s">
        <v>2317</v>
      </c>
    </row>
    <row r="1007" spans="2:12" x14ac:dyDescent="0.2">
      <c r="B1007">
        <v>10747</v>
      </c>
      <c r="C1007" t="s">
        <v>8317</v>
      </c>
      <c r="D1007" t="s">
        <v>8254</v>
      </c>
      <c r="E1007" s="225">
        <v>395.1</v>
      </c>
      <c r="F1007" t="s">
        <v>8384</v>
      </c>
      <c r="G1007" t="s">
        <v>8385</v>
      </c>
      <c r="H1007" t="s">
        <v>8282</v>
      </c>
      <c r="I1007" s="99">
        <v>43989</v>
      </c>
      <c r="J1007" s="99">
        <v>43996</v>
      </c>
      <c r="K1007" t="s">
        <v>8251</v>
      </c>
      <c r="L1007" t="s">
        <v>269</v>
      </c>
    </row>
    <row r="1008" spans="2:12" x14ac:dyDescent="0.2">
      <c r="B1008">
        <v>10747</v>
      </c>
      <c r="C1008" t="s">
        <v>8309</v>
      </c>
      <c r="D1008" t="s">
        <v>8237</v>
      </c>
      <c r="E1008" s="225">
        <v>100</v>
      </c>
      <c r="F1008" t="s">
        <v>8384</v>
      </c>
      <c r="G1008" t="s">
        <v>8385</v>
      </c>
      <c r="H1008" t="s">
        <v>8282</v>
      </c>
      <c r="I1008" s="99">
        <v>43989</v>
      </c>
      <c r="J1008" s="99">
        <v>43996</v>
      </c>
      <c r="K1008" t="s">
        <v>8251</v>
      </c>
      <c r="L1008" t="s">
        <v>269</v>
      </c>
    </row>
    <row r="1009" spans="2:12" x14ac:dyDescent="0.2">
      <c r="B1009">
        <v>10747</v>
      </c>
      <c r="C1009" t="s">
        <v>8353</v>
      </c>
      <c r="D1009" t="s">
        <v>8237</v>
      </c>
      <c r="E1009" s="225">
        <v>1080</v>
      </c>
      <c r="F1009" t="s">
        <v>8384</v>
      </c>
      <c r="G1009" t="s">
        <v>8385</v>
      </c>
      <c r="H1009" t="s">
        <v>8282</v>
      </c>
      <c r="I1009" s="99">
        <v>43989</v>
      </c>
      <c r="J1009" s="99">
        <v>43996</v>
      </c>
      <c r="K1009" t="s">
        <v>8251</v>
      </c>
      <c r="L1009" t="s">
        <v>269</v>
      </c>
    </row>
    <row r="1010" spans="2:12" x14ac:dyDescent="0.2">
      <c r="B1010">
        <v>10748</v>
      </c>
      <c r="C1010" t="s">
        <v>8373</v>
      </c>
      <c r="D1010" t="s">
        <v>8244</v>
      </c>
      <c r="E1010" s="225">
        <v>396</v>
      </c>
      <c r="F1010" t="s">
        <v>8758</v>
      </c>
      <c r="G1010" t="s">
        <v>8757</v>
      </c>
      <c r="H1010" t="s">
        <v>8701</v>
      </c>
      <c r="I1010" s="99">
        <v>43990</v>
      </c>
      <c r="J1010" s="99">
        <v>43998</v>
      </c>
      <c r="K1010" t="s">
        <v>8257</v>
      </c>
      <c r="L1010" t="s">
        <v>6984</v>
      </c>
    </row>
    <row r="1011" spans="2:12" x14ac:dyDescent="0.2">
      <c r="B1011">
        <v>10748</v>
      </c>
      <c r="C1011" t="s">
        <v>8341</v>
      </c>
      <c r="D1011" t="s">
        <v>8244</v>
      </c>
      <c r="E1011" s="225">
        <v>1064</v>
      </c>
      <c r="F1011" t="s">
        <v>8758</v>
      </c>
      <c r="G1011" t="s">
        <v>8757</v>
      </c>
      <c r="H1011" t="s">
        <v>8701</v>
      </c>
      <c r="I1011" s="99">
        <v>43990</v>
      </c>
      <c r="J1011" s="99">
        <v>43998</v>
      </c>
      <c r="K1011" t="s">
        <v>8257</v>
      </c>
      <c r="L1011" t="s">
        <v>6984</v>
      </c>
    </row>
    <row r="1012" spans="2:12" x14ac:dyDescent="0.2">
      <c r="B1012">
        <v>10749</v>
      </c>
      <c r="C1012" t="s">
        <v>8303</v>
      </c>
      <c r="D1012" t="s">
        <v>8272</v>
      </c>
      <c r="E1012" s="225">
        <v>180</v>
      </c>
      <c r="F1012" t="s">
        <v>8356</v>
      </c>
      <c r="G1012" t="s">
        <v>8357</v>
      </c>
      <c r="H1012" t="s">
        <v>2434</v>
      </c>
      <c r="I1012" s="99">
        <v>43990</v>
      </c>
      <c r="J1012" s="99">
        <v>44019</v>
      </c>
      <c r="K1012" t="s">
        <v>8266</v>
      </c>
      <c r="L1012" t="s">
        <v>8267</v>
      </c>
    </row>
    <row r="1013" spans="2:12" x14ac:dyDescent="0.2">
      <c r="B1013">
        <v>10749</v>
      </c>
      <c r="C1013" t="s">
        <v>8281</v>
      </c>
      <c r="D1013" t="s">
        <v>8237</v>
      </c>
      <c r="E1013" s="225">
        <v>330</v>
      </c>
      <c r="F1013" t="s">
        <v>8356</v>
      </c>
      <c r="G1013" t="s">
        <v>8357</v>
      </c>
      <c r="H1013" t="s">
        <v>2434</v>
      </c>
      <c r="I1013" s="99">
        <v>43990</v>
      </c>
      <c r="J1013" s="99">
        <v>44019</v>
      </c>
      <c r="K1013" t="s">
        <v>8266</v>
      </c>
      <c r="L1013" t="s">
        <v>8267</v>
      </c>
    </row>
    <row r="1014" spans="2:12" x14ac:dyDescent="0.2">
      <c r="B1014">
        <v>10749</v>
      </c>
      <c r="C1014" t="s">
        <v>8341</v>
      </c>
      <c r="D1014" t="s">
        <v>8244</v>
      </c>
      <c r="E1014" s="225">
        <v>570</v>
      </c>
      <c r="F1014" t="s">
        <v>8356</v>
      </c>
      <c r="G1014" t="s">
        <v>8357</v>
      </c>
      <c r="H1014" t="s">
        <v>2434</v>
      </c>
      <c r="I1014" s="99">
        <v>43990</v>
      </c>
      <c r="J1014" s="99">
        <v>44019</v>
      </c>
      <c r="K1014" t="s">
        <v>8266</v>
      </c>
      <c r="L1014" t="s">
        <v>8267</v>
      </c>
    </row>
    <row r="1015" spans="2:12" x14ac:dyDescent="0.2">
      <c r="B1015">
        <v>10750</v>
      </c>
      <c r="C1015" t="s">
        <v>8281</v>
      </c>
      <c r="D1015" t="s">
        <v>8237</v>
      </c>
      <c r="E1015" s="225">
        <v>1168.75</v>
      </c>
      <c r="F1015" t="s">
        <v>8301</v>
      </c>
      <c r="G1015" t="s">
        <v>8302</v>
      </c>
      <c r="H1015" t="s">
        <v>8300</v>
      </c>
      <c r="I1015" s="99">
        <v>43991</v>
      </c>
      <c r="J1015" s="99">
        <v>43994</v>
      </c>
      <c r="K1015" t="s">
        <v>8279</v>
      </c>
      <c r="L1015" t="s">
        <v>710</v>
      </c>
    </row>
    <row r="1016" spans="2:12" x14ac:dyDescent="0.2">
      <c r="B1016">
        <v>10750</v>
      </c>
      <c r="C1016" t="s">
        <v>8252</v>
      </c>
      <c r="D1016" t="s">
        <v>8247</v>
      </c>
      <c r="E1016" s="225">
        <v>98.81</v>
      </c>
      <c r="F1016" t="s">
        <v>8301</v>
      </c>
      <c r="G1016" t="s">
        <v>8302</v>
      </c>
      <c r="H1016" t="s">
        <v>8300</v>
      </c>
      <c r="I1016" s="99">
        <v>43991</v>
      </c>
      <c r="J1016" s="99">
        <v>43994</v>
      </c>
      <c r="K1016" t="s">
        <v>8279</v>
      </c>
      <c r="L1016" t="s">
        <v>710</v>
      </c>
    </row>
    <row r="1017" spans="2:12" x14ac:dyDescent="0.2">
      <c r="B1017">
        <v>10751</v>
      </c>
      <c r="C1017" t="s">
        <v>8372</v>
      </c>
      <c r="D1017" t="s">
        <v>8262</v>
      </c>
      <c r="E1017" s="225">
        <v>337.28</v>
      </c>
      <c r="F1017" t="s">
        <v>8277</v>
      </c>
      <c r="G1017" t="s">
        <v>8278</v>
      </c>
      <c r="H1017" t="s">
        <v>8271</v>
      </c>
      <c r="I1017" s="99">
        <v>43994</v>
      </c>
      <c r="J1017" s="99">
        <v>44003</v>
      </c>
      <c r="K1017" t="s">
        <v>8257</v>
      </c>
      <c r="L1017" t="s">
        <v>6984</v>
      </c>
    </row>
    <row r="1018" spans="2:12" x14ac:dyDescent="0.2">
      <c r="B1018">
        <v>10751</v>
      </c>
      <c r="C1018" t="s">
        <v>8381</v>
      </c>
      <c r="D1018" t="s">
        <v>8262</v>
      </c>
      <c r="E1018" s="225">
        <v>292.5</v>
      </c>
      <c r="F1018" t="s">
        <v>8277</v>
      </c>
      <c r="G1018" t="s">
        <v>8278</v>
      </c>
      <c r="H1018" t="s">
        <v>8271</v>
      </c>
      <c r="I1018" s="99">
        <v>43994</v>
      </c>
      <c r="J1018" s="99">
        <v>44003</v>
      </c>
      <c r="K1018" t="s">
        <v>8257</v>
      </c>
      <c r="L1018" t="s">
        <v>6984</v>
      </c>
    </row>
    <row r="1019" spans="2:12" x14ac:dyDescent="0.2">
      <c r="B1019">
        <v>10752</v>
      </c>
      <c r="C1019" t="s">
        <v>8333</v>
      </c>
      <c r="D1019" t="s">
        <v>8272</v>
      </c>
      <c r="E1019" s="225">
        <v>144</v>
      </c>
      <c r="F1019" t="s">
        <v>8418</v>
      </c>
      <c r="G1019" t="s">
        <v>8419</v>
      </c>
      <c r="H1019" t="s">
        <v>2434</v>
      </c>
      <c r="I1019" s="99">
        <v>43994</v>
      </c>
      <c r="J1019" s="99">
        <v>43998</v>
      </c>
      <c r="K1019" t="s">
        <v>8297</v>
      </c>
      <c r="L1019" t="s">
        <v>8298</v>
      </c>
    </row>
    <row r="1020" spans="2:12" x14ac:dyDescent="0.2">
      <c r="B1020">
        <v>10752</v>
      </c>
      <c r="C1020" t="s">
        <v>8353</v>
      </c>
      <c r="D1020" t="s">
        <v>8237</v>
      </c>
      <c r="E1020" s="225">
        <v>108</v>
      </c>
      <c r="F1020" t="s">
        <v>8418</v>
      </c>
      <c r="G1020" t="s">
        <v>8419</v>
      </c>
      <c r="H1020" t="s">
        <v>2434</v>
      </c>
      <c r="I1020" s="99">
        <v>43994</v>
      </c>
      <c r="J1020" s="99">
        <v>43998</v>
      </c>
      <c r="K1020" t="s">
        <v>8297</v>
      </c>
      <c r="L1020" t="s">
        <v>8298</v>
      </c>
    </row>
    <row r="1021" spans="2:12" x14ac:dyDescent="0.2">
      <c r="B1021">
        <v>10753</v>
      </c>
      <c r="C1021" t="s">
        <v>8275</v>
      </c>
      <c r="D1021" t="s">
        <v>8247</v>
      </c>
      <c r="E1021" s="225">
        <v>50</v>
      </c>
      <c r="F1021" t="s">
        <v>8411</v>
      </c>
      <c r="G1021" t="s">
        <v>8412</v>
      </c>
      <c r="H1021" t="s">
        <v>8311</v>
      </c>
      <c r="I1021" s="99">
        <v>43995</v>
      </c>
      <c r="J1021" s="99">
        <v>43997</v>
      </c>
      <c r="K1021" t="s">
        <v>8257</v>
      </c>
      <c r="L1021" t="s">
        <v>6984</v>
      </c>
    </row>
    <row r="1022" spans="2:12" x14ac:dyDescent="0.2">
      <c r="B1022">
        <v>10755</v>
      </c>
      <c r="C1022" t="s">
        <v>8410</v>
      </c>
      <c r="D1022" t="s">
        <v>8262</v>
      </c>
      <c r="E1022" s="225">
        <v>213.75</v>
      </c>
      <c r="F1022" t="s">
        <v>8377</v>
      </c>
      <c r="G1022" t="s">
        <v>8378</v>
      </c>
      <c r="H1022" t="s">
        <v>8236</v>
      </c>
      <c r="I1022" s="99">
        <v>43996</v>
      </c>
      <c r="J1022" s="99">
        <v>43998</v>
      </c>
      <c r="K1022" t="s">
        <v>8266</v>
      </c>
      <c r="L1022" t="s">
        <v>8267</v>
      </c>
    </row>
    <row r="1023" spans="2:12" x14ac:dyDescent="0.2">
      <c r="B1023">
        <v>10755</v>
      </c>
      <c r="C1023" t="s">
        <v>8353</v>
      </c>
      <c r="D1023" t="s">
        <v>8237</v>
      </c>
      <c r="E1023" s="225">
        <v>675</v>
      </c>
      <c r="F1023" t="s">
        <v>8377</v>
      </c>
      <c r="G1023" t="s">
        <v>8378</v>
      </c>
      <c r="H1023" t="s">
        <v>8236</v>
      </c>
      <c r="I1023" s="99">
        <v>43996</v>
      </c>
      <c r="J1023" s="99">
        <v>43998</v>
      </c>
      <c r="K1023" t="s">
        <v>8266</v>
      </c>
      <c r="L1023" t="s">
        <v>8267</v>
      </c>
    </row>
    <row r="1024" spans="2:12" x14ac:dyDescent="0.2">
      <c r="B1024">
        <v>10755</v>
      </c>
      <c r="C1024" t="s">
        <v>8341</v>
      </c>
      <c r="D1024" t="s">
        <v>8244</v>
      </c>
      <c r="E1024" s="225">
        <v>855</v>
      </c>
      <c r="F1024" t="s">
        <v>8377</v>
      </c>
      <c r="G1024" t="s">
        <v>8378</v>
      </c>
      <c r="H1024" t="s">
        <v>8236</v>
      </c>
      <c r="I1024" s="99">
        <v>43996</v>
      </c>
      <c r="J1024" s="99">
        <v>43998</v>
      </c>
      <c r="K1024" t="s">
        <v>8266</v>
      </c>
      <c r="L1024" t="s">
        <v>8267</v>
      </c>
    </row>
    <row r="1025" spans="2:12" x14ac:dyDescent="0.2">
      <c r="B1025">
        <v>10755</v>
      </c>
      <c r="C1025" t="s">
        <v>8258</v>
      </c>
      <c r="D1025" t="s">
        <v>8244</v>
      </c>
      <c r="E1025" s="225">
        <v>204.75</v>
      </c>
      <c r="F1025" t="s">
        <v>8377</v>
      </c>
      <c r="G1025" t="s">
        <v>8378</v>
      </c>
      <c r="H1025" t="s">
        <v>8236</v>
      </c>
      <c r="I1025" s="99">
        <v>43996</v>
      </c>
      <c r="J1025" s="99">
        <v>43998</v>
      </c>
      <c r="K1025" t="s">
        <v>8266</v>
      </c>
      <c r="L1025" t="s">
        <v>8267</v>
      </c>
    </row>
    <row r="1026" spans="2:12" x14ac:dyDescent="0.2">
      <c r="B1026">
        <v>10756</v>
      </c>
      <c r="C1026" t="s">
        <v>8334</v>
      </c>
      <c r="D1026" t="s">
        <v>8262</v>
      </c>
      <c r="E1026" s="225">
        <v>60</v>
      </c>
      <c r="F1026" t="s">
        <v>8744</v>
      </c>
      <c r="G1026" t="s">
        <v>8743</v>
      </c>
      <c r="H1026" t="s">
        <v>8701</v>
      </c>
      <c r="I1026" s="99">
        <v>43997</v>
      </c>
      <c r="J1026" s="99">
        <v>44002</v>
      </c>
      <c r="K1026" t="s">
        <v>8320</v>
      </c>
      <c r="L1026" t="s">
        <v>8321</v>
      </c>
    </row>
    <row r="1027" spans="2:12" x14ac:dyDescent="0.2">
      <c r="B1027">
        <v>10756</v>
      </c>
      <c r="C1027" t="s">
        <v>8353</v>
      </c>
      <c r="D1027" t="s">
        <v>8237</v>
      </c>
      <c r="E1027" s="225">
        <v>576</v>
      </c>
      <c r="F1027" t="s">
        <v>8744</v>
      </c>
      <c r="G1027" t="s">
        <v>8743</v>
      </c>
      <c r="H1027" t="s">
        <v>8701</v>
      </c>
      <c r="I1027" s="99">
        <v>43997</v>
      </c>
      <c r="J1027" s="99">
        <v>44002</v>
      </c>
      <c r="K1027" t="s">
        <v>8320</v>
      </c>
      <c r="L1027" t="s">
        <v>8321</v>
      </c>
    </row>
    <row r="1028" spans="2:12" x14ac:dyDescent="0.2">
      <c r="B1028">
        <v>10757</v>
      </c>
      <c r="C1028" t="s">
        <v>8358</v>
      </c>
      <c r="D1028" t="s">
        <v>8272</v>
      </c>
      <c r="E1028" s="225">
        <v>420</v>
      </c>
      <c r="F1028" t="s">
        <v>8758</v>
      </c>
      <c r="G1028" t="s">
        <v>8757</v>
      </c>
      <c r="H1028" t="s">
        <v>8701</v>
      </c>
      <c r="I1028" s="99">
        <v>43997</v>
      </c>
      <c r="J1028" s="99">
        <v>44015</v>
      </c>
      <c r="K1028" t="s">
        <v>8251</v>
      </c>
      <c r="L1028" t="s">
        <v>269</v>
      </c>
    </row>
    <row r="1029" spans="2:12" x14ac:dyDescent="0.2">
      <c r="B1029">
        <v>10757</v>
      </c>
      <c r="C1029" t="s">
        <v>8291</v>
      </c>
      <c r="D1029" t="s">
        <v>8262</v>
      </c>
      <c r="E1029" s="225">
        <v>1479</v>
      </c>
      <c r="F1029" t="s">
        <v>8758</v>
      </c>
      <c r="G1029" t="s">
        <v>8757</v>
      </c>
      <c r="H1029" t="s">
        <v>8701</v>
      </c>
      <c r="I1029" s="99">
        <v>43997</v>
      </c>
      <c r="J1029" s="99">
        <v>44015</v>
      </c>
      <c r="K1029" t="s">
        <v>8251</v>
      </c>
      <c r="L1029" t="s">
        <v>269</v>
      </c>
    </row>
    <row r="1030" spans="2:12" x14ac:dyDescent="0.2">
      <c r="B1030">
        <v>10757</v>
      </c>
      <c r="C1030" t="s">
        <v>8281</v>
      </c>
      <c r="D1030" t="s">
        <v>8237</v>
      </c>
      <c r="E1030" s="225">
        <v>385</v>
      </c>
      <c r="F1030" t="s">
        <v>8758</v>
      </c>
      <c r="G1030" t="s">
        <v>8757</v>
      </c>
      <c r="H1030" t="s">
        <v>8701</v>
      </c>
      <c r="I1030" s="99">
        <v>43997</v>
      </c>
      <c r="J1030" s="99">
        <v>44015</v>
      </c>
      <c r="K1030" t="s">
        <v>8251</v>
      </c>
      <c r="L1030" t="s">
        <v>269</v>
      </c>
    </row>
    <row r="1031" spans="2:12" x14ac:dyDescent="0.2">
      <c r="B1031">
        <v>10757</v>
      </c>
      <c r="C1031" t="s">
        <v>8340</v>
      </c>
      <c r="D1031" t="s">
        <v>8244</v>
      </c>
      <c r="E1031" s="225">
        <v>798</v>
      </c>
      <c r="F1031" t="s">
        <v>8758</v>
      </c>
      <c r="G1031" t="s">
        <v>8757</v>
      </c>
      <c r="H1031" t="s">
        <v>8701</v>
      </c>
      <c r="I1031" s="99">
        <v>43997</v>
      </c>
      <c r="J1031" s="99">
        <v>44015</v>
      </c>
      <c r="K1031" t="s">
        <v>8251</v>
      </c>
      <c r="L1031" t="s">
        <v>269</v>
      </c>
    </row>
    <row r="1032" spans="2:12" x14ac:dyDescent="0.2">
      <c r="B1032">
        <v>10758</v>
      </c>
      <c r="C1032" t="s">
        <v>8288</v>
      </c>
      <c r="D1032" t="s">
        <v>8272</v>
      </c>
      <c r="E1032" s="225">
        <v>600</v>
      </c>
      <c r="F1032" t="s">
        <v>8277</v>
      </c>
      <c r="G1032" t="s">
        <v>8278</v>
      </c>
      <c r="H1032" t="s">
        <v>8271</v>
      </c>
      <c r="I1032" s="99">
        <v>43998</v>
      </c>
      <c r="J1032" s="99">
        <v>44004</v>
      </c>
      <c r="K1032" t="s">
        <v>8257</v>
      </c>
      <c r="L1032" t="s">
        <v>6984</v>
      </c>
    </row>
    <row r="1033" spans="2:12" x14ac:dyDescent="0.2">
      <c r="B1033">
        <v>10758</v>
      </c>
      <c r="C1033" t="s">
        <v>8372</v>
      </c>
      <c r="D1033" t="s">
        <v>8262</v>
      </c>
      <c r="E1033" s="225">
        <v>624.6</v>
      </c>
      <c r="F1033" t="s">
        <v>8277</v>
      </c>
      <c r="G1033" t="s">
        <v>8278</v>
      </c>
      <c r="H1033" t="s">
        <v>8271</v>
      </c>
      <c r="I1033" s="99">
        <v>43998</v>
      </c>
      <c r="J1033" s="99">
        <v>44004</v>
      </c>
      <c r="K1033" t="s">
        <v>8257</v>
      </c>
      <c r="L1033" t="s">
        <v>6984</v>
      </c>
    </row>
    <row r="1034" spans="2:12" x14ac:dyDescent="0.2">
      <c r="B1034">
        <v>10758</v>
      </c>
      <c r="C1034" t="s">
        <v>8369</v>
      </c>
      <c r="D1034" t="s">
        <v>8244</v>
      </c>
      <c r="E1034" s="225">
        <v>420</v>
      </c>
      <c r="F1034" t="s">
        <v>8277</v>
      </c>
      <c r="G1034" t="s">
        <v>8278</v>
      </c>
      <c r="H1034" t="s">
        <v>8271</v>
      </c>
      <c r="I1034" s="99">
        <v>43998</v>
      </c>
      <c r="J1034" s="99">
        <v>44004</v>
      </c>
      <c r="K1034" t="s">
        <v>8257</v>
      </c>
      <c r="L1034" t="s">
        <v>6984</v>
      </c>
    </row>
    <row r="1035" spans="2:12" x14ac:dyDescent="0.2">
      <c r="B1035">
        <v>10759</v>
      </c>
      <c r="C1035" t="s">
        <v>8287</v>
      </c>
      <c r="D1035" t="s">
        <v>8237</v>
      </c>
      <c r="E1035" s="225">
        <v>320</v>
      </c>
      <c r="F1035" t="s">
        <v>8750</v>
      </c>
      <c r="G1035" t="s">
        <v>8749</v>
      </c>
      <c r="H1035" t="s">
        <v>8704</v>
      </c>
      <c r="I1035" s="99">
        <v>43998</v>
      </c>
      <c r="J1035" s="99">
        <v>44012</v>
      </c>
      <c r="K1035" t="s">
        <v>8257</v>
      </c>
      <c r="L1035" t="s">
        <v>6984</v>
      </c>
    </row>
    <row r="1036" spans="2:12" x14ac:dyDescent="0.2">
      <c r="B1036">
        <v>10760</v>
      </c>
      <c r="C1036" t="s">
        <v>8306</v>
      </c>
      <c r="D1036" t="s">
        <v>8272</v>
      </c>
      <c r="E1036" s="225">
        <v>1035</v>
      </c>
      <c r="F1036" t="s">
        <v>8420</v>
      </c>
      <c r="G1036" t="s">
        <v>8421</v>
      </c>
      <c r="H1036" t="s">
        <v>8261</v>
      </c>
      <c r="I1036" s="99">
        <v>44001</v>
      </c>
      <c r="J1036" s="99">
        <v>44010</v>
      </c>
      <c r="K1036" t="s">
        <v>8266</v>
      </c>
      <c r="L1036" t="s">
        <v>8267</v>
      </c>
    </row>
    <row r="1037" spans="2:12" x14ac:dyDescent="0.2">
      <c r="B1037">
        <v>10760</v>
      </c>
      <c r="C1037" t="s">
        <v>8362</v>
      </c>
      <c r="D1037" t="s">
        <v>8262</v>
      </c>
      <c r="E1037" s="225">
        <v>126</v>
      </c>
      <c r="F1037" t="s">
        <v>8420</v>
      </c>
      <c r="G1037" t="s">
        <v>8421</v>
      </c>
      <c r="H1037" t="s">
        <v>8261</v>
      </c>
      <c r="I1037" s="99">
        <v>44001</v>
      </c>
      <c r="J1037" s="99">
        <v>44010</v>
      </c>
      <c r="K1037" t="s">
        <v>8266</v>
      </c>
      <c r="L1037" t="s">
        <v>8267</v>
      </c>
    </row>
    <row r="1038" spans="2:12" x14ac:dyDescent="0.2">
      <c r="B1038">
        <v>10760</v>
      </c>
      <c r="C1038" t="s">
        <v>8332</v>
      </c>
      <c r="D1038" t="s">
        <v>8262</v>
      </c>
      <c r="E1038" s="225">
        <v>1756</v>
      </c>
      <c r="F1038" t="s">
        <v>8420</v>
      </c>
      <c r="G1038" t="s">
        <v>8421</v>
      </c>
      <c r="H1038" t="s">
        <v>8261</v>
      </c>
      <c r="I1038" s="99">
        <v>44001</v>
      </c>
      <c r="J1038" s="99">
        <v>44010</v>
      </c>
      <c r="K1038" t="s">
        <v>8266</v>
      </c>
      <c r="L1038" t="s">
        <v>8267</v>
      </c>
    </row>
    <row r="1039" spans="2:12" x14ac:dyDescent="0.2">
      <c r="B1039">
        <v>10761</v>
      </c>
      <c r="C1039" t="s">
        <v>8328</v>
      </c>
      <c r="D1039" t="s">
        <v>8272</v>
      </c>
      <c r="E1039" s="225">
        <v>139.5</v>
      </c>
      <c r="F1039" t="s">
        <v>8703</v>
      </c>
      <c r="G1039" t="s">
        <v>8702</v>
      </c>
      <c r="H1039" t="s">
        <v>8701</v>
      </c>
      <c r="I1039" s="99">
        <v>44002</v>
      </c>
      <c r="J1039" s="99">
        <v>44008</v>
      </c>
      <c r="K1039" t="s">
        <v>8241</v>
      </c>
      <c r="L1039" t="s">
        <v>6934</v>
      </c>
    </row>
    <row r="1040" spans="2:12" x14ac:dyDescent="0.2">
      <c r="B1040">
        <v>10761</v>
      </c>
      <c r="C1040" t="s">
        <v>8362</v>
      </c>
      <c r="D1040" t="s">
        <v>8262</v>
      </c>
      <c r="E1040" s="225">
        <v>367.5</v>
      </c>
      <c r="F1040" t="s">
        <v>8703</v>
      </c>
      <c r="G1040" t="s">
        <v>8702</v>
      </c>
      <c r="H1040" t="s">
        <v>8701</v>
      </c>
      <c r="I1040" s="99">
        <v>44002</v>
      </c>
      <c r="J1040" s="99">
        <v>44008</v>
      </c>
      <c r="K1040" t="s">
        <v>8241</v>
      </c>
      <c r="L1040" t="s">
        <v>6934</v>
      </c>
    </row>
    <row r="1041" spans="2:12" x14ac:dyDescent="0.2">
      <c r="B1041">
        <v>10762</v>
      </c>
      <c r="C1041" t="s">
        <v>8342</v>
      </c>
      <c r="D1041" t="s">
        <v>8272</v>
      </c>
      <c r="E1041" s="225">
        <v>288</v>
      </c>
      <c r="F1041" t="s">
        <v>8293</v>
      </c>
      <c r="G1041" t="s">
        <v>8294</v>
      </c>
      <c r="H1041" t="s">
        <v>8292</v>
      </c>
      <c r="I1041" s="99">
        <v>44002</v>
      </c>
      <c r="J1041" s="99">
        <v>44009</v>
      </c>
      <c r="K1041" t="s">
        <v>8257</v>
      </c>
      <c r="L1041" t="s">
        <v>6984</v>
      </c>
    </row>
    <row r="1042" spans="2:12" x14ac:dyDescent="0.2">
      <c r="B1042">
        <v>10762</v>
      </c>
      <c r="C1042" t="s">
        <v>8410</v>
      </c>
      <c r="D1042" t="s">
        <v>8262</v>
      </c>
      <c r="E1042" s="225">
        <v>285</v>
      </c>
      <c r="F1042" t="s">
        <v>8293</v>
      </c>
      <c r="G1042" t="s">
        <v>8294</v>
      </c>
      <c r="H1042" t="s">
        <v>8292</v>
      </c>
      <c r="I1042" s="99">
        <v>44002</v>
      </c>
      <c r="J1042" s="99">
        <v>44009</v>
      </c>
      <c r="K1042" t="s">
        <v>8257</v>
      </c>
      <c r="L1042" t="s">
        <v>6984</v>
      </c>
    </row>
    <row r="1043" spans="2:12" x14ac:dyDescent="0.2">
      <c r="B1043">
        <v>10762</v>
      </c>
      <c r="C1043" t="s">
        <v>8341</v>
      </c>
      <c r="D1043" t="s">
        <v>8244</v>
      </c>
      <c r="E1043" s="225">
        <v>2280</v>
      </c>
      <c r="F1043" t="s">
        <v>8293</v>
      </c>
      <c r="G1043" t="s">
        <v>8294</v>
      </c>
      <c r="H1043" t="s">
        <v>8292</v>
      </c>
      <c r="I1043" s="99">
        <v>44002</v>
      </c>
      <c r="J1043" s="99">
        <v>44009</v>
      </c>
      <c r="K1043" t="s">
        <v>8257</v>
      </c>
      <c r="L1043" t="s">
        <v>6984</v>
      </c>
    </row>
    <row r="1044" spans="2:12" x14ac:dyDescent="0.2">
      <c r="B1044">
        <v>10762</v>
      </c>
      <c r="C1044" t="s">
        <v>8245</v>
      </c>
      <c r="D1044" t="s">
        <v>8247</v>
      </c>
      <c r="E1044" s="225">
        <v>1484</v>
      </c>
      <c r="F1044" t="s">
        <v>8293</v>
      </c>
      <c r="G1044" t="s">
        <v>8294</v>
      </c>
      <c r="H1044" t="s">
        <v>8292</v>
      </c>
      <c r="I1044" s="99">
        <v>44002</v>
      </c>
      <c r="J1044" s="99">
        <v>44009</v>
      </c>
      <c r="K1044" t="s">
        <v>8257</v>
      </c>
      <c r="L1044" t="s">
        <v>6984</v>
      </c>
    </row>
    <row r="1045" spans="2:12" x14ac:dyDescent="0.2">
      <c r="B1045">
        <v>10763</v>
      </c>
      <c r="C1045" t="s">
        <v>8270</v>
      </c>
      <c r="D1045" t="s">
        <v>8272</v>
      </c>
      <c r="E1045" s="225">
        <v>90</v>
      </c>
      <c r="F1045" t="s">
        <v>8407</v>
      </c>
      <c r="G1045" t="s">
        <v>8408</v>
      </c>
      <c r="H1045" t="s">
        <v>8236</v>
      </c>
      <c r="I1045" s="99">
        <v>44003</v>
      </c>
      <c r="J1045" s="99">
        <v>44008</v>
      </c>
      <c r="K1045" t="s">
        <v>8257</v>
      </c>
      <c r="L1045" t="s">
        <v>6984</v>
      </c>
    </row>
    <row r="1046" spans="2:12" x14ac:dyDescent="0.2">
      <c r="B1046">
        <v>10763</v>
      </c>
      <c r="C1046" t="s">
        <v>8368</v>
      </c>
      <c r="D1046" t="s">
        <v>8262</v>
      </c>
      <c r="E1046" s="225">
        <v>400</v>
      </c>
      <c r="F1046" t="s">
        <v>8407</v>
      </c>
      <c r="G1046" t="s">
        <v>8408</v>
      </c>
      <c r="H1046" t="s">
        <v>8236</v>
      </c>
      <c r="I1046" s="99">
        <v>44003</v>
      </c>
      <c r="J1046" s="99">
        <v>44008</v>
      </c>
      <c r="K1046" t="s">
        <v>8257</v>
      </c>
      <c r="L1046" t="s">
        <v>6984</v>
      </c>
    </row>
    <row r="1047" spans="2:12" x14ac:dyDescent="0.2">
      <c r="B1047">
        <v>10763</v>
      </c>
      <c r="C1047" t="s">
        <v>8259</v>
      </c>
      <c r="D1047" t="s">
        <v>8244</v>
      </c>
      <c r="E1047" s="225">
        <v>126</v>
      </c>
      <c r="F1047" t="s">
        <v>8407</v>
      </c>
      <c r="G1047" t="s">
        <v>8408</v>
      </c>
      <c r="H1047" t="s">
        <v>8236</v>
      </c>
      <c r="I1047" s="99">
        <v>44003</v>
      </c>
      <c r="J1047" s="99">
        <v>44008</v>
      </c>
      <c r="K1047" t="s">
        <v>8257</v>
      </c>
      <c r="L1047" t="s">
        <v>6984</v>
      </c>
    </row>
    <row r="1048" spans="2:12" x14ac:dyDescent="0.2">
      <c r="B1048">
        <v>10764</v>
      </c>
      <c r="C1048" t="s">
        <v>8342</v>
      </c>
      <c r="D1048" t="s">
        <v>8272</v>
      </c>
      <c r="E1048" s="225">
        <v>2106</v>
      </c>
      <c r="F1048" t="s">
        <v>8283</v>
      </c>
      <c r="G1048" t="s">
        <v>8284</v>
      </c>
      <c r="H1048" t="s">
        <v>8282</v>
      </c>
      <c r="I1048" s="99">
        <v>44003</v>
      </c>
      <c r="J1048" s="99">
        <v>44008</v>
      </c>
      <c r="K1048" t="s">
        <v>8251</v>
      </c>
      <c r="L1048" t="s">
        <v>269</v>
      </c>
    </row>
    <row r="1049" spans="2:12" x14ac:dyDescent="0.2">
      <c r="B1049">
        <v>10764</v>
      </c>
      <c r="C1049" t="s">
        <v>8337</v>
      </c>
      <c r="D1049" t="s">
        <v>8254</v>
      </c>
      <c r="E1049" s="225">
        <v>180</v>
      </c>
      <c r="F1049" t="s">
        <v>8283</v>
      </c>
      <c r="G1049" t="s">
        <v>8284</v>
      </c>
      <c r="H1049" t="s">
        <v>8282</v>
      </c>
      <c r="I1049" s="99">
        <v>44003</v>
      </c>
      <c r="J1049" s="99">
        <v>44008</v>
      </c>
      <c r="K1049" t="s">
        <v>8251</v>
      </c>
      <c r="L1049" t="s">
        <v>269</v>
      </c>
    </row>
    <row r="1050" spans="2:12" x14ac:dyDescent="0.2">
      <c r="B1050">
        <v>10765</v>
      </c>
      <c r="C1050" t="s">
        <v>8253</v>
      </c>
      <c r="D1050" t="s">
        <v>8254</v>
      </c>
      <c r="E1050" s="225">
        <v>1515.6</v>
      </c>
      <c r="F1050" t="s">
        <v>8307</v>
      </c>
      <c r="G1050" t="s">
        <v>8308</v>
      </c>
      <c r="H1050" t="s">
        <v>8246</v>
      </c>
      <c r="I1050" s="99">
        <v>44004</v>
      </c>
      <c r="J1050" s="99">
        <v>44009</v>
      </c>
      <c r="K1050" t="s">
        <v>8257</v>
      </c>
      <c r="L1050" t="s">
        <v>6984</v>
      </c>
    </row>
    <row r="1051" spans="2:12" x14ac:dyDescent="0.2">
      <c r="B1051">
        <v>10766</v>
      </c>
      <c r="C1051" t="s">
        <v>8276</v>
      </c>
      <c r="D1051" t="s">
        <v>8272</v>
      </c>
      <c r="E1051" s="225">
        <v>760</v>
      </c>
      <c r="F1051" t="s">
        <v>8289</v>
      </c>
      <c r="G1051" t="s">
        <v>8290</v>
      </c>
      <c r="H1051" t="s">
        <v>8246</v>
      </c>
      <c r="I1051" s="99">
        <v>44005</v>
      </c>
      <c r="J1051" s="99">
        <v>44009</v>
      </c>
      <c r="K1051" t="s">
        <v>8266</v>
      </c>
      <c r="L1051" t="s">
        <v>8267</v>
      </c>
    </row>
    <row r="1052" spans="2:12" x14ac:dyDescent="0.2">
      <c r="B1052">
        <v>10766</v>
      </c>
      <c r="C1052" t="s">
        <v>8334</v>
      </c>
      <c r="D1052" t="s">
        <v>8262</v>
      </c>
      <c r="E1052" s="225">
        <v>500</v>
      </c>
      <c r="F1052" t="s">
        <v>8289</v>
      </c>
      <c r="G1052" t="s">
        <v>8290</v>
      </c>
      <c r="H1052" t="s">
        <v>8246</v>
      </c>
      <c r="I1052" s="99">
        <v>44005</v>
      </c>
      <c r="J1052" s="99">
        <v>44009</v>
      </c>
      <c r="K1052" t="s">
        <v>8266</v>
      </c>
      <c r="L1052" t="s">
        <v>8267</v>
      </c>
    </row>
    <row r="1053" spans="2:12" x14ac:dyDescent="0.2">
      <c r="B1053">
        <v>10766</v>
      </c>
      <c r="C1053" t="s">
        <v>8415</v>
      </c>
      <c r="D1053" t="s">
        <v>8247</v>
      </c>
      <c r="E1053" s="225">
        <v>1050</v>
      </c>
      <c r="F1053" t="s">
        <v>8289</v>
      </c>
      <c r="G1053" t="s">
        <v>8290</v>
      </c>
      <c r="H1053" t="s">
        <v>8246</v>
      </c>
      <c r="I1053" s="99">
        <v>44005</v>
      </c>
      <c r="J1053" s="99">
        <v>44009</v>
      </c>
      <c r="K1053" t="s">
        <v>8266</v>
      </c>
      <c r="L1053" t="s">
        <v>8267</v>
      </c>
    </row>
    <row r="1054" spans="2:12" x14ac:dyDescent="0.2">
      <c r="B1054">
        <v>10767</v>
      </c>
      <c r="C1054" t="s">
        <v>8243</v>
      </c>
      <c r="D1054" t="s">
        <v>8244</v>
      </c>
      <c r="E1054" s="225">
        <v>28</v>
      </c>
      <c r="F1054" t="s">
        <v>8263</v>
      </c>
      <c r="G1054" t="s">
        <v>8264</v>
      </c>
      <c r="H1054" t="s">
        <v>8261</v>
      </c>
      <c r="I1054" s="99">
        <v>44005</v>
      </c>
      <c r="J1054" s="99">
        <v>44015</v>
      </c>
      <c r="K1054" t="s">
        <v>8266</v>
      </c>
      <c r="L1054" t="s">
        <v>8267</v>
      </c>
    </row>
    <row r="1055" spans="2:12" x14ac:dyDescent="0.2">
      <c r="B1055">
        <v>10768</v>
      </c>
      <c r="C1055" t="s">
        <v>8309</v>
      </c>
      <c r="D1055" t="s">
        <v>8237</v>
      </c>
      <c r="E1055" s="225">
        <v>625</v>
      </c>
      <c r="F1055" t="s">
        <v>8386</v>
      </c>
      <c r="G1055" t="s">
        <v>8387</v>
      </c>
      <c r="H1055" t="s">
        <v>2434</v>
      </c>
      <c r="I1055" s="99">
        <v>44008</v>
      </c>
      <c r="J1055" s="99">
        <v>44015</v>
      </c>
      <c r="K1055" t="s">
        <v>8257</v>
      </c>
      <c r="L1055" t="s">
        <v>6984</v>
      </c>
    </row>
    <row r="1056" spans="2:12" x14ac:dyDescent="0.2">
      <c r="B1056">
        <v>10768</v>
      </c>
      <c r="C1056" t="s">
        <v>8268</v>
      </c>
      <c r="D1056" t="s">
        <v>8237</v>
      </c>
      <c r="E1056" s="225">
        <v>510</v>
      </c>
      <c r="F1056" t="s">
        <v>8386</v>
      </c>
      <c r="G1056" t="s">
        <v>8387</v>
      </c>
      <c r="H1056" t="s">
        <v>2434</v>
      </c>
      <c r="I1056" s="99">
        <v>44008</v>
      </c>
      <c r="J1056" s="99">
        <v>44015</v>
      </c>
      <c r="K1056" t="s">
        <v>8257</v>
      </c>
      <c r="L1056" t="s">
        <v>6984</v>
      </c>
    </row>
    <row r="1057" spans="2:12" x14ac:dyDescent="0.2">
      <c r="B1057">
        <v>10768</v>
      </c>
      <c r="C1057" t="s">
        <v>8310</v>
      </c>
      <c r="D1057" t="s">
        <v>8237</v>
      </c>
      <c r="E1057" s="225">
        <v>258</v>
      </c>
      <c r="F1057" t="s">
        <v>8386</v>
      </c>
      <c r="G1057" t="s">
        <v>8387</v>
      </c>
      <c r="H1057" t="s">
        <v>2434</v>
      </c>
      <c r="I1057" s="99">
        <v>44008</v>
      </c>
      <c r="J1057" s="99">
        <v>44015</v>
      </c>
      <c r="K1057" t="s">
        <v>8257</v>
      </c>
      <c r="L1057" t="s">
        <v>6984</v>
      </c>
    </row>
    <row r="1058" spans="2:12" x14ac:dyDescent="0.2">
      <c r="B1058">
        <v>10768</v>
      </c>
      <c r="C1058" t="s">
        <v>8259</v>
      </c>
      <c r="D1058" t="s">
        <v>8244</v>
      </c>
      <c r="E1058" s="225">
        <v>84</v>
      </c>
      <c r="F1058" t="s">
        <v>8386</v>
      </c>
      <c r="G1058" t="s">
        <v>8387</v>
      </c>
      <c r="H1058" t="s">
        <v>2434</v>
      </c>
      <c r="I1058" s="99">
        <v>44008</v>
      </c>
      <c r="J1058" s="99">
        <v>44015</v>
      </c>
      <c r="K1058" t="s">
        <v>8257</v>
      </c>
      <c r="L1058" t="s">
        <v>6984</v>
      </c>
    </row>
    <row r="1059" spans="2:12" x14ac:dyDescent="0.2">
      <c r="B1059">
        <v>10769</v>
      </c>
      <c r="C1059" t="s">
        <v>8409</v>
      </c>
      <c r="D1059" t="s">
        <v>8254</v>
      </c>
      <c r="E1059" s="225">
        <v>570</v>
      </c>
      <c r="F1059" t="s">
        <v>8395</v>
      </c>
      <c r="G1059" t="s">
        <v>8396</v>
      </c>
      <c r="H1059" t="s">
        <v>8374</v>
      </c>
      <c r="I1059" s="99">
        <v>44008</v>
      </c>
      <c r="J1059" s="99">
        <v>44013</v>
      </c>
      <c r="K1059" t="s">
        <v>8257</v>
      </c>
      <c r="L1059" t="s">
        <v>6984</v>
      </c>
    </row>
    <row r="1060" spans="2:12" x14ac:dyDescent="0.2">
      <c r="B1060">
        <v>10769</v>
      </c>
      <c r="C1060" t="s">
        <v>8291</v>
      </c>
      <c r="D1060" t="s">
        <v>8262</v>
      </c>
      <c r="E1060" s="225">
        <v>739.5</v>
      </c>
      <c r="F1060" t="s">
        <v>8395</v>
      </c>
      <c r="G1060" t="s">
        <v>8396</v>
      </c>
      <c r="H1060" t="s">
        <v>8374</v>
      </c>
      <c r="I1060" s="99">
        <v>44008</v>
      </c>
      <c r="J1060" s="99">
        <v>44013</v>
      </c>
      <c r="K1060" t="s">
        <v>8257</v>
      </c>
      <c r="L1060" t="s">
        <v>6984</v>
      </c>
    </row>
    <row r="1061" spans="2:12" x14ac:dyDescent="0.2">
      <c r="B1061">
        <v>10769</v>
      </c>
      <c r="C1061" t="s">
        <v>8369</v>
      </c>
      <c r="D1061" t="s">
        <v>8244</v>
      </c>
      <c r="E1061" s="225">
        <v>99.75</v>
      </c>
      <c r="F1061" t="s">
        <v>8395</v>
      </c>
      <c r="G1061" t="s">
        <v>8396</v>
      </c>
      <c r="H1061" t="s">
        <v>8374</v>
      </c>
      <c r="I1061" s="99">
        <v>44008</v>
      </c>
      <c r="J1061" s="99">
        <v>44013</v>
      </c>
      <c r="K1061" t="s">
        <v>8257</v>
      </c>
      <c r="L1061" t="s">
        <v>6984</v>
      </c>
    </row>
    <row r="1062" spans="2:12" x14ac:dyDescent="0.2">
      <c r="B1062">
        <v>10770</v>
      </c>
      <c r="C1062" t="s">
        <v>8242</v>
      </c>
      <c r="D1062" t="s">
        <v>8237</v>
      </c>
      <c r="E1062" s="225">
        <v>236.25</v>
      </c>
      <c r="F1062" t="s">
        <v>8728</v>
      </c>
      <c r="G1062" t="s">
        <v>8727</v>
      </c>
      <c r="H1062" t="s">
        <v>8710</v>
      </c>
      <c r="I1062" s="99">
        <v>44009</v>
      </c>
      <c r="J1062" s="99">
        <v>44017</v>
      </c>
      <c r="K1062" t="s">
        <v>8320</v>
      </c>
      <c r="L1062" t="s">
        <v>8321</v>
      </c>
    </row>
    <row r="1063" spans="2:12" x14ac:dyDescent="0.2">
      <c r="B1063">
        <v>10771</v>
      </c>
      <c r="C1063" t="s">
        <v>8310</v>
      </c>
      <c r="D1063" t="s">
        <v>8237</v>
      </c>
      <c r="E1063" s="225">
        <v>344</v>
      </c>
      <c r="F1063" t="s">
        <v>8283</v>
      </c>
      <c r="G1063" t="s">
        <v>8284</v>
      </c>
      <c r="H1063" t="s">
        <v>8282</v>
      </c>
      <c r="I1063" s="99">
        <v>44010</v>
      </c>
      <c r="J1063" s="99">
        <v>44033</v>
      </c>
      <c r="K1063" t="s">
        <v>8279</v>
      </c>
      <c r="L1063" t="s">
        <v>710</v>
      </c>
    </row>
    <row r="1064" spans="2:12" x14ac:dyDescent="0.2">
      <c r="B1064">
        <v>10772</v>
      </c>
      <c r="C1064" t="s">
        <v>8281</v>
      </c>
      <c r="D1064" t="s">
        <v>8237</v>
      </c>
      <c r="E1064" s="225">
        <v>1375</v>
      </c>
      <c r="F1064" t="s">
        <v>8330</v>
      </c>
      <c r="G1064" t="s">
        <v>8331</v>
      </c>
      <c r="H1064" t="s">
        <v>8246</v>
      </c>
      <c r="I1064" s="99">
        <v>44010</v>
      </c>
      <c r="J1064" s="99">
        <v>44019</v>
      </c>
      <c r="K1064" t="s">
        <v>8257</v>
      </c>
      <c r="L1064" t="s">
        <v>6984</v>
      </c>
    </row>
    <row r="1065" spans="2:12" x14ac:dyDescent="0.2">
      <c r="B1065">
        <v>10773</v>
      </c>
      <c r="C1065" t="s">
        <v>8328</v>
      </c>
      <c r="D1065" t="s">
        <v>8272</v>
      </c>
      <c r="E1065" s="225">
        <v>43.4</v>
      </c>
      <c r="F1065" t="s">
        <v>8283</v>
      </c>
      <c r="G1065" t="s">
        <v>8284</v>
      </c>
      <c r="H1065" t="s">
        <v>8282</v>
      </c>
      <c r="I1065" s="99">
        <v>44011</v>
      </c>
      <c r="J1065" s="99">
        <v>44016</v>
      </c>
      <c r="K1065" t="s">
        <v>8285</v>
      </c>
      <c r="L1065" t="s">
        <v>2317</v>
      </c>
    </row>
    <row r="1066" spans="2:12" x14ac:dyDescent="0.2">
      <c r="B1066">
        <v>10773</v>
      </c>
      <c r="C1066" t="s">
        <v>8309</v>
      </c>
      <c r="D1066" t="s">
        <v>8237</v>
      </c>
      <c r="E1066" s="225">
        <v>700</v>
      </c>
      <c r="F1066" t="s">
        <v>8283</v>
      </c>
      <c r="G1066" t="s">
        <v>8284</v>
      </c>
      <c r="H1066" t="s">
        <v>8282</v>
      </c>
      <c r="I1066" s="99">
        <v>44011</v>
      </c>
      <c r="J1066" s="99">
        <v>44016</v>
      </c>
      <c r="K1066" t="s">
        <v>8285</v>
      </c>
      <c r="L1066" t="s">
        <v>2317</v>
      </c>
    </row>
    <row r="1067" spans="2:12" x14ac:dyDescent="0.2">
      <c r="B1067">
        <v>10774</v>
      </c>
      <c r="C1067" t="s">
        <v>8348</v>
      </c>
      <c r="D1067" t="s">
        <v>8254</v>
      </c>
      <c r="E1067" s="225">
        <v>850</v>
      </c>
      <c r="F1067" t="s">
        <v>8293</v>
      </c>
      <c r="G1067" t="s">
        <v>8294</v>
      </c>
      <c r="H1067" t="s">
        <v>8292</v>
      </c>
      <c r="I1067" s="99">
        <v>44011</v>
      </c>
      <c r="J1067" s="99">
        <v>44013</v>
      </c>
      <c r="K1067" t="s">
        <v>8266</v>
      </c>
      <c r="L1067" t="s">
        <v>8267</v>
      </c>
    </row>
    <row r="1068" spans="2:12" x14ac:dyDescent="0.2">
      <c r="B1068">
        <v>10774</v>
      </c>
      <c r="C1068" t="s">
        <v>8309</v>
      </c>
      <c r="D1068" t="s">
        <v>8237</v>
      </c>
      <c r="E1068" s="225">
        <v>18.75</v>
      </c>
      <c r="F1068" t="s">
        <v>8293</v>
      </c>
      <c r="G1068" t="s">
        <v>8294</v>
      </c>
      <c r="H1068" t="s">
        <v>8292</v>
      </c>
      <c r="I1068" s="99">
        <v>44011</v>
      </c>
      <c r="J1068" s="99">
        <v>44013</v>
      </c>
      <c r="K1068" t="s">
        <v>8266</v>
      </c>
      <c r="L1068" t="s">
        <v>8267</v>
      </c>
    </row>
    <row r="1069" spans="2:12" x14ac:dyDescent="0.2">
      <c r="B1069">
        <v>10775</v>
      </c>
      <c r="C1069" t="s">
        <v>8329</v>
      </c>
      <c r="D1069" t="s">
        <v>8272</v>
      </c>
      <c r="E1069" s="225">
        <v>42</v>
      </c>
      <c r="F1069" t="s">
        <v>8780</v>
      </c>
      <c r="G1069" t="s">
        <v>8779</v>
      </c>
      <c r="H1069" t="s">
        <v>8701</v>
      </c>
      <c r="I1069" s="99">
        <v>44013</v>
      </c>
      <c r="J1069" s="99">
        <v>44026</v>
      </c>
      <c r="K1069" t="s">
        <v>8158</v>
      </c>
      <c r="L1069" t="s">
        <v>861</v>
      </c>
    </row>
    <row r="1070" spans="2:12" x14ac:dyDescent="0.2">
      <c r="B1070">
        <v>10776</v>
      </c>
      <c r="C1070" t="s">
        <v>8309</v>
      </c>
      <c r="D1070" t="s">
        <v>8237</v>
      </c>
      <c r="E1070" s="225">
        <v>190</v>
      </c>
      <c r="F1070" t="s">
        <v>8283</v>
      </c>
      <c r="G1070" t="s">
        <v>8284</v>
      </c>
      <c r="H1070" t="s">
        <v>8282</v>
      </c>
      <c r="I1070" s="99">
        <v>44015</v>
      </c>
      <c r="J1070" s="99">
        <v>44018</v>
      </c>
      <c r="K1070" t="s">
        <v>8285</v>
      </c>
      <c r="L1070" t="s">
        <v>2317</v>
      </c>
    </row>
    <row r="1071" spans="2:12" x14ac:dyDescent="0.2">
      <c r="B1071">
        <v>10776</v>
      </c>
      <c r="C1071" t="s">
        <v>8243</v>
      </c>
      <c r="D1071" t="s">
        <v>8244</v>
      </c>
      <c r="E1071" s="225">
        <v>159.6</v>
      </c>
      <c r="F1071" t="s">
        <v>8283</v>
      </c>
      <c r="G1071" t="s">
        <v>8284</v>
      </c>
      <c r="H1071" t="s">
        <v>8282</v>
      </c>
      <c r="I1071" s="99">
        <v>44015</v>
      </c>
      <c r="J1071" s="99">
        <v>44018</v>
      </c>
      <c r="K1071" t="s">
        <v>8285</v>
      </c>
      <c r="L1071" t="s">
        <v>2317</v>
      </c>
    </row>
    <row r="1072" spans="2:12" x14ac:dyDescent="0.2">
      <c r="B1072">
        <v>10776</v>
      </c>
      <c r="C1072" t="s">
        <v>8245</v>
      </c>
      <c r="D1072" t="s">
        <v>8247</v>
      </c>
      <c r="E1072" s="225">
        <v>6042</v>
      </c>
      <c r="F1072" t="s">
        <v>8283</v>
      </c>
      <c r="G1072" t="s">
        <v>8284</v>
      </c>
      <c r="H1072" t="s">
        <v>8282</v>
      </c>
      <c r="I1072" s="99">
        <v>44015</v>
      </c>
      <c r="J1072" s="99">
        <v>44018</v>
      </c>
      <c r="K1072" t="s">
        <v>8285</v>
      </c>
      <c r="L1072" t="s">
        <v>2317</v>
      </c>
    </row>
    <row r="1073" spans="2:12" x14ac:dyDescent="0.2">
      <c r="B1073">
        <v>10777</v>
      </c>
      <c r="C1073" t="s">
        <v>8243</v>
      </c>
      <c r="D1073" t="s">
        <v>8244</v>
      </c>
      <c r="E1073" s="225">
        <v>224</v>
      </c>
      <c r="F1073" t="s">
        <v>8770</v>
      </c>
      <c r="G1073" t="s">
        <v>8769</v>
      </c>
      <c r="H1073" t="s">
        <v>8710</v>
      </c>
      <c r="I1073" s="99">
        <v>44015</v>
      </c>
      <c r="J1073" s="99">
        <v>44052</v>
      </c>
      <c r="K1073" t="s">
        <v>8158</v>
      </c>
      <c r="L1073" t="s">
        <v>861</v>
      </c>
    </row>
    <row r="1074" spans="2:12" x14ac:dyDescent="0.2">
      <c r="B1074">
        <v>10779</v>
      </c>
      <c r="C1074" t="s">
        <v>8280</v>
      </c>
      <c r="D1074" t="s">
        <v>8262</v>
      </c>
      <c r="E1074" s="225">
        <v>349</v>
      </c>
      <c r="F1074" t="s">
        <v>8314</v>
      </c>
      <c r="G1074" t="s">
        <v>8315</v>
      </c>
      <c r="H1074" t="s">
        <v>8246</v>
      </c>
      <c r="I1074" s="99">
        <v>44016</v>
      </c>
      <c r="J1074" s="99">
        <v>44045</v>
      </c>
      <c r="K1074" t="s">
        <v>8257</v>
      </c>
      <c r="L1074" t="s">
        <v>6984</v>
      </c>
    </row>
    <row r="1075" spans="2:12" x14ac:dyDescent="0.2">
      <c r="B1075">
        <v>10779</v>
      </c>
      <c r="C1075" t="s">
        <v>8291</v>
      </c>
      <c r="D1075" t="s">
        <v>8262</v>
      </c>
      <c r="E1075" s="225">
        <v>986</v>
      </c>
      <c r="F1075" t="s">
        <v>8314</v>
      </c>
      <c r="G1075" t="s">
        <v>8315</v>
      </c>
      <c r="H1075" t="s">
        <v>8246</v>
      </c>
      <c r="I1075" s="99">
        <v>44016</v>
      </c>
      <c r="J1075" s="99">
        <v>44045</v>
      </c>
      <c r="K1075" t="s">
        <v>8257</v>
      </c>
      <c r="L1075" t="s">
        <v>6984</v>
      </c>
    </row>
    <row r="1076" spans="2:12" x14ac:dyDescent="0.2">
      <c r="B1076">
        <v>10780</v>
      </c>
      <c r="C1076" t="s">
        <v>8288</v>
      </c>
      <c r="D1076" t="s">
        <v>8272</v>
      </c>
      <c r="E1076" s="225">
        <v>525</v>
      </c>
      <c r="F1076" t="s">
        <v>8709</v>
      </c>
      <c r="G1076" t="s">
        <v>8708</v>
      </c>
      <c r="H1076" t="s">
        <v>8707</v>
      </c>
      <c r="I1076" s="99">
        <v>44016</v>
      </c>
      <c r="J1076" s="99">
        <v>44025</v>
      </c>
      <c r="K1076" t="s">
        <v>8297</v>
      </c>
      <c r="L1076" t="s">
        <v>8298</v>
      </c>
    </row>
    <row r="1077" spans="2:12" x14ac:dyDescent="0.2">
      <c r="B1077">
        <v>10780</v>
      </c>
      <c r="C1077" t="s">
        <v>8397</v>
      </c>
      <c r="D1077" t="s">
        <v>8254</v>
      </c>
      <c r="E1077" s="225">
        <v>195</v>
      </c>
      <c r="F1077" t="s">
        <v>8709</v>
      </c>
      <c r="G1077" t="s">
        <v>8708</v>
      </c>
      <c r="H1077" t="s">
        <v>8707</v>
      </c>
      <c r="I1077" s="99">
        <v>44016</v>
      </c>
      <c r="J1077" s="99">
        <v>44025</v>
      </c>
      <c r="K1077" t="s">
        <v>8297</v>
      </c>
      <c r="L1077" t="s">
        <v>8298</v>
      </c>
    </row>
    <row r="1078" spans="2:12" x14ac:dyDescent="0.2">
      <c r="B1078">
        <v>10781</v>
      </c>
      <c r="C1078" t="s">
        <v>8341</v>
      </c>
      <c r="D1078" t="s">
        <v>8244</v>
      </c>
      <c r="E1078" s="225">
        <v>608</v>
      </c>
      <c r="F1078" t="s">
        <v>8301</v>
      </c>
      <c r="G1078" t="s">
        <v>8302</v>
      </c>
      <c r="H1078" t="s">
        <v>8300</v>
      </c>
      <c r="I1078" s="99">
        <v>44017</v>
      </c>
      <c r="J1078" s="99">
        <v>44019</v>
      </c>
      <c r="K1078" t="s">
        <v>8297</v>
      </c>
      <c r="L1078" t="s">
        <v>8298</v>
      </c>
    </row>
    <row r="1079" spans="2:12" x14ac:dyDescent="0.2">
      <c r="B1079">
        <v>10781</v>
      </c>
      <c r="C1079" t="s">
        <v>8275</v>
      </c>
      <c r="D1079" t="s">
        <v>8247</v>
      </c>
      <c r="E1079" s="225">
        <v>350</v>
      </c>
      <c r="F1079" t="s">
        <v>8301</v>
      </c>
      <c r="G1079" t="s">
        <v>8302</v>
      </c>
      <c r="H1079" t="s">
        <v>8300</v>
      </c>
      <c r="I1079" s="99">
        <v>44017</v>
      </c>
      <c r="J1079" s="99">
        <v>44019</v>
      </c>
      <c r="K1079" t="s">
        <v>8297</v>
      </c>
      <c r="L1079" t="s">
        <v>8298</v>
      </c>
    </row>
    <row r="1080" spans="2:12" x14ac:dyDescent="0.2">
      <c r="B1080">
        <v>10782</v>
      </c>
      <c r="C1080" t="s">
        <v>8309</v>
      </c>
      <c r="D1080" t="s">
        <v>8237</v>
      </c>
      <c r="E1080" s="225">
        <v>12.5</v>
      </c>
      <c r="F1080" t="s">
        <v>8719</v>
      </c>
      <c r="G1080" t="s">
        <v>8718</v>
      </c>
      <c r="H1080" t="s">
        <v>8717</v>
      </c>
      <c r="I1080" s="99">
        <v>44017</v>
      </c>
      <c r="J1080" s="99">
        <v>44022</v>
      </c>
      <c r="K1080" t="s">
        <v>8279</v>
      </c>
      <c r="L1080" t="s">
        <v>710</v>
      </c>
    </row>
    <row r="1081" spans="2:12" x14ac:dyDescent="0.2">
      <c r="B1081">
        <v>10783</v>
      </c>
      <c r="C1081" t="s">
        <v>8380</v>
      </c>
      <c r="D1081" t="s">
        <v>8272</v>
      </c>
      <c r="E1081" s="225">
        <v>1317.5</v>
      </c>
      <c r="F1081" t="s">
        <v>8728</v>
      </c>
      <c r="G1081" t="s">
        <v>8727</v>
      </c>
      <c r="H1081" t="s">
        <v>8710</v>
      </c>
      <c r="I1081" s="99">
        <v>44018</v>
      </c>
      <c r="J1081" s="99">
        <v>44019</v>
      </c>
      <c r="K1081" t="s">
        <v>8266</v>
      </c>
      <c r="L1081" t="s">
        <v>8267</v>
      </c>
    </row>
    <row r="1082" spans="2:12" x14ac:dyDescent="0.2">
      <c r="B1082">
        <v>10783</v>
      </c>
      <c r="C1082" t="s">
        <v>8309</v>
      </c>
      <c r="D1082" t="s">
        <v>8237</v>
      </c>
      <c r="E1082" s="225">
        <v>125</v>
      </c>
      <c r="F1082" t="s">
        <v>8728</v>
      </c>
      <c r="G1082" t="s">
        <v>8727</v>
      </c>
      <c r="H1082" t="s">
        <v>8710</v>
      </c>
      <c r="I1082" s="99">
        <v>44018</v>
      </c>
      <c r="J1082" s="99">
        <v>44019</v>
      </c>
      <c r="K1082" t="s">
        <v>8266</v>
      </c>
      <c r="L1082" t="s">
        <v>8267</v>
      </c>
    </row>
    <row r="1083" spans="2:12" x14ac:dyDescent="0.2">
      <c r="B1083">
        <v>10784</v>
      </c>
      <c r="C1083" t="s">
        <v>8342</v>
      </c>
      <c r="D1083" t="s">
        <v>8272</v>
      </c>
      <c r="E1083" s="225">
        <v>30.6</v>
      </c>
      <c r="F1083" t="s">
        <v>8312</v>
      </c>
      <c r="G1083" t="s">
        <v>8313</v>
      </c>
      <c r="H1083" t="s">
        <v>8311</v>
      </c>
      <c r="I1083" s="99">
        <v>44018</v>
      </c>
      <c r="J1083" s="99">
        <v>44022</v>
      </c>
      <c r="K1083" t="s">
        <v>8266</v>
      </c>
      <c r="L1083" t="s">
        <v>8267</v>
      </c>
    </row>
    <row r="1084" spans="2:12" x14ac:dyDescent="0.2">
      <c r="B1084">
        <v>10784</v>
      </c>
      <c r="C1084" t="s">
        <v>8235</v>
      </c>
      <c r="D1084" t="s">
        <v>8237</v>
      </c>
      <c r="E1084" s="225">
        <v>887.4</v>
      </c>
      <c r="F1084" t="s">
        <v>8312</v>
      </c>
      <c r="G1084" t="s">
        <v>8313</v>
      </c>
      <c r="H1084" t="s">
        <v>8311</v>
      </c>
      <c r="I1084" s="99">
        <v>44018</v>
      </c>
      <c r="J1084" s="99">
        <v>44022</v>
      </c>
      <c r="K1084" t="s">
        <v>8266</v>
      </c>
      <c r="L1084" t="s">
        <v>8267</v>
      </c>
    </row>
    <row r="1085" spans="2:12" x14ac:dyDescent="0.2">
      <c r="B1085">
        <v>10785</v>
      </c>
      <c r="C1085" t="s">
        <v>8328</v>
      </c>
      <c r="D1085" t="s">
        <v>8272</v>
      </c>
      <c r="E1085" s="225">
        <v>77.5</v>
      </c>
      <c r="F1085" t="s">
        <v>8738</v>
      </c>
      <c r="G1085" t="s">
        <v>8737</v>
      </c>
      <c r="H1085" t="s">
        <v>8707</v>
      </c>
      <c r="I1085" s="99">
        <v>44018</v>
      </c>
      <c r="J1085" s="99">
        <v>44024</v>
      </c>
      <c r="K1085" t="s">
        <v>8285</v>
      </c>
      <c r="L1085" t="s">
        <v>2317</v>
      </c>
    </row>
    <row r="1086" spans="2:12" x14ac:dyDescent="0.2">
      <c r="B1086">
        <v>10786</v>
      </c>
      <c r="C1086" t="s">
        <v>8328</v>
      </c>
      <c r="D1086" t="s">
        <v>8272</v>
      </c>
      <c r="E1086" s="225">
        <v>260.39999999999998</v>
      </c>
      <c r="F1086" t="s">
        <v>8712</v>
      </c>
      <c r="G1086" t="s">
        <v>8711</v>
      </c>
      <c r="H1086" t="s">
        <v>8710</v>
      </c>
      <c r="I1086" s="99">
        <v>44019</v>
      </c>
      <c r="J1086" s="99">
        <v>44023</v>
      </c>
      <c r="K1086" t="s">
        <v>8320</v>
      </c>
      <c r="L1086" t="s">
        <v>8321</v>
      </c>
    </row>
    <row r="1087" spans="2:12" x14ac:dyDescent="0.2">
      <c r="B1087">
        <v>10786</v>
      </c>
      <c r="C1087" t="s">
        <v>8379</v>
      </c>
      <c r="D1087" t="s">
        <v>8254</v>
      </c>
      <c r="E1087" s="225">
        <v>960</v>
      </c>
      <c r="F1087" t="s">
        <v>8712</v>
      </c>
      <c r="G1087" t="s">
        <v>8711</v>
      </c>
      <c r="H1087" t="s">
        <v>8710</v>
      </c>
      <c r="I1087" s="99">
        <v>44019</v>
      </c>
      <c r="J1087" s="99">
        <v>44023</v>
      </c>
      <c r="K1087" t="s">
        <v>8320</v>
      </c>
      <c r="L1087" t="s">
        <v>8321</v>
      </c>
    </row>
    <row r="1088" spans="2:12" x14ac:dyDescent="0.2">
      <c r="B1088">
        <v>10787</v>
      </c>
      <c r="C1088" t="s">
        <v>8276</v>
      </c>
      <c r="D1088" t="s">
        <v>8272</v>
      </c>
      <c r="E1088" s="225">
        <v>270.75</v>
      </c>
      <c r="F1088" t="s">
        <v>8382</v>
      </c>
      <c r="G1088" t="s">
        <v>8383</v>
      </c>
      <c r="H1088" t="s">
        <v>8236</v>
      </c>
      <c r="I1088" s="99">
        <v>44019</v>
      </c>
      <c r="J1088" s="99">
        <v>44026</v>
      </c>
      <c r="K1088" t="s">
        <v>8297</v>
      </c>
      <c r="L1088" t="s">
        <v>8298</v>
      </c>
    </row>
    <row r="1089" spans="2:12" x14ac:dyDescent="0.2">
      <c r="B1089">
        <v>10788</v>
      </c>
      <c r="C1089" t="s">
        <v>8328</v>
      </c>
      <c r="D1089" t="s">
        <v>8272</v>
      </c>
      <c r="E1089" s="225">
        <v>294.5</v>
      </c>
      <c r="F1089" t="s">
        <v>8307</v>
      </c>
      <c r="G1089" t="s">
        <v>8308</v>
      </c>
      <c r="H1089" t="s">
        <v>8246</v>
      </c>
      <c r="I1089" s="99">
        <v>44022</v>
      </c>
      <c r="J1089" s="99">
        <v>44050</v>
      </c>
      <c r="K1089" t="s">
        <v>8285</v>
      </c>
      <c r="L1089" t="s">
        <v>2317</v>
      </c>
    </row>
    <row r="1090" spans="2:12" x14ac:dyDescent="0.2">
      <c r="B1090">
        <v>10788</v>
      </c>
      <c r="C1090" t="s">
        <v>8327</v>
      </c>
      <c r="D1090" t="s">
        <v>8262</v>
      </c>
      <c r="E1090" s="225">
        <v>437</v>
      </c>
      <c r="F1090" t="s">
        <v>8307</v>
      </c>
      <c r="G1090" t="s">
        <v>8308</v>
      </c>
      <c r="H1090" t="s">
        <v>8246</v>
      </c>
      <c r="I1090" s="99">
        <v>44022</v>
      </c>
      <c r="J1090" s="99">
        <v>44050</v>
      </c>
      <c r="K1090" t="s">
        <v>8285</v>
      </c>
      <c r="L1090" t="s">
        <v>2317</v>
      </c>
    </row>
    <row r="1091" spans="2:12" x14ac:dyDescent="0.2">
      <c r="B1091">
        <v>10789</v>
      </c>
      <c r="C1091" t="s">
        <v>8323</v>
      </c>
      <c r="D1091" t="s">
        <v>8272</v>
      </c>
      <c r="E1091" s="225">
        <v>270</v>
      </c>
      <c r="F1091" t="s">
        <v>8407</v>
      </c>
      <c r="G1091" t="s">
        <v>8408</v>
      </c>
      <c r="H1091" t="s">
        <v>8236</v>
      </c>
      <c r="I1091" s="99">
        <v>44022</v>
      </c>
      <c r="J1091" s="99">
        <v>44031</v>
      </c>
      <c r="K1091" t="s">
        <v>8285</v>
      </c>
      <c r="L1091" t="s">
        <v>2317</v>
      </c>
    </row>
    <row r="1092" spans="2:12" x14ac:dyDescent="0.2">
      <c r="B1092">
        <v>10789</v>
      </c>
      <c r="C1092" t="s">
        <v>8317</v>
      </c>
      <c r="D1092" t="s">
        <v>8254</v>
      </c>
      <c r="E1092" s="225">
        <v>1317</v>
      </c>
      <c r="F1092" t="s">
        <v>8407</v>
      </c>
      <c r="G1092" t="s">
        <v>8408</v>
      </c>
      <c r="H1092" t="s">
        <v>8236</v>
      </c>
      <c r="I1092" s="99">
        <v>44022</v>
      </c>
      <c r="J1092" s="99">
        <v>44031</v>
      </c>
      <c r="K1092" t="s">
        <v>8285</v>
      </c>
      <c r="L1092" t="s">
        <v>2317</v>
      </c>
    </row>
    <row r="1093" spans="2:12" x14ac:dyDescent="0.2">
      <c r="B1093">
        <v>10789</v>
      </c>
      <c r="C1093" t="s">
        <v>8334</v>
      </c>
      <c r="D1093" t="s">
        <v>8262</v>
      </c>
      <c r="E1093" s="225">
        <v>225</v>
      </c>
      <c r="F1093" t="s">
        <v>8407</v>
      </c>
      <c r="G1093" t="s">
        <v>8408</v>
      </c>
      <c r="H1093" t="s">
        <v>8236</v>
      </c>
      <c r="I1093" s="99">
        <v>44022</v>
      </c>
      <c r="J1093" s="99">
        <v>44031</v>
      </c>
      <c r="K1093" t="s">
        <v>8285</v>
      </c>
      <c r="L1093" t="s">
        <v>2317</v>
      </c>
    </row>
    <row r="1094" spans="2:12" x14ac:dyDescent="0.2">
      <c r="B1094">
        <v>10790</v>
      </c>
      <c r="C1094" t="s">
        <v>8341</v>
      </c>
      <c r="D1094" t="s">
        <v>8244</v>
      </c>
      <c r="E1094" s="225">
        <v>646</v>
      </c>
      <c r="F1094" t="s">
        <v>8770</v>
      </c>
      <c r="G1094" t="s">
        <v>8769</v>
      </c>
      <c r="H1094" t="s">
        <v>8710</v>
      </c>
      <c r="I1094" s="99">
        <v>44022</v>
      </c>
      <c r="J1094" s="99">
        <v>44026</v>
      </c>
      <c r="K1094" t="s">
        <v>8251</v>
      </c>
      <c r="L1094" t="s">
        <v>269</v>
      </c>
    </row>
    <row r="1095" spans="2:12" x14ac:dyDescent="0.2">
      <c r="B1095">
        <v>10790</v>
      </c>
      <c r="C1095" t="s">
        <v>8415</v>
      </c>
      <c r="D1095" t="s">
        <v>8247</v>
      </c>
      <c r="E1095" s="225">
        <v>76.5</v>
      </c>
      <c r="F1095" t="s">
        <v>8770</v>
      </c>
      <c r="G1095" t="s">
        <v>8769</v>
      </c>
      <c r="H1095" t="s">
        <v>8710</v>
      </c>
      <c r="I1095" s="99">
        <v>44022</v>
      </c>
      <c r="J1095" s="99">
        <v>44026</v>
      </c>
      <c r="K1095" t="s">
        <v>8251</v>
      </c>
      <c r="L1095" t="s">
        <v>269</v>
      </c>
    </row>
    <row r="1096" spans="2:12" x14ac:dyDescent="0.2">
      <c r="B1096">
        <v>10792</v>
      </c>
      <c r="C1096" t="s">
        <v>8276</v>
      </c>
      <c r="D1096" t="s">
        <v>8272</v>
      </c>
      <c r="E1096" s="225">
        <v>190</v>
      </c>
      <c r="F1096" t="s">
        <v>8401</v>
      </c>
      <c r="G1096" t="s">
        <v>8402</v>
      </c>
      <c r="H1096" t="s">
        <v>8400</v>
      </c>
      <c r="I1096" s="99">
        <v>44023</v>
      </c>
      <c r="J1096" s="99">
        <v>44031</v>
      </c>
      <c r="K1096" t="s">
        <v>8285</v>
      </c>
      <c r="L1096" t="s">
        <v>2317</v>
      </c>
    </row>
    <row r="1097" spans="2:12" x14ac:dyDescent="0.2">
      <c r="B1097">
        <v>10792</v>
      </c>
      <c r="C1097" t="s">
        <v>8334</v>
      </c>
      <c r="D1097" t="s">
        <v>8262</v>
      </c>
      <c r="E1097" s="225">
        <v>187.5</v>
      </c>
      <c r="F1097" t="s">
        <v>8401</v>
      </c>
      <c r="G1097" t="s">
        <v>8402</v>
      </c>
      <c r="H1097" t="s">
        <v>8400</v>
      </c>
      <c r="I1097" s="99">
        <v>44023</v>
      </c>
      <c r="J1097" s="99">
        <v>44031</v>
      </c>
      <c r="K1097" t="s">
        <v>8285</v>
      </c>
      <c r="L1097" t="s">
        <v>2317</v>
      </c>
    </row>
    <row r="1098" spans="2:12" x14ac:dyDescent="0.2">
      <c r="B1098">
        <v>10793</v>
      </c>
      <c r="C1098" t="s">
        <v>8369</v>
      </c>
      <c r="D1098" t="s">
        <v>8244</v>
      </c>
      <c r="E1098" s="225">
        <v>56</v>
      </c>
      <c r="F1098" t="s">
        <v>8386</v>
      </c>
      <c r="G1098" t="s">
        <v>8387</v>
      </c>
      <c r="H1098" t="s">
        <v>2434</v>
      </c>
      <c r="I1098" s="99">
        <v>44024</v>
      </c>
      <c r="J1098" s="99">
        <v>44039</v>
      </c>
      <c r="K1098" t="s">
        <v>8257</v>
      </c>
      <c r="L1098" t="s">
        <v>6984</v>
      </c>
    </row>
    <row r="1099" spans="2:12" x14ac:dyDescent="0.2">
      <c r="B1099">
        <v>10794</v>
      </c>
      <c r="C1099" t="s">
        <v>8252</v>
      </c>
      <c r="D1099" t="s">
        <v>8247</v>
      </c>
      <c r="E1099" s="225">
        <v>279</v>
      </c>
      <c r="F1099" t="s">
        <v>8736</v>
      </c>
      <c r="G1099" t="s">
        <v>8735</v>
      </c>
      <c r="H1099" t="s">
        <v>8710</v>
      </c>
      <c r="I1099" s="99">
        <v>44024</v>
      </c>
      <c r="J1099" s="99">
        <v>44033</v>
      </c>
      <c r="K1099" t="s">
        <v>8251</v>
      </c>
      <c r="L1099" t="s">
        <v>269</v>
      </c>
    </row>
    <row r="1100" spans="2:12" x14ac:dyDescent="0.2">
      <c r="B1100">
        <v>10795</v>
      </c>
      <c r="C1100" t="s">
        <v>8280</v>
      </c>
      <c r="D1100" t="s">
        <v>8262</v>
      </c>
      <c r="E1100" s="225">
        <v>1134.25</v>
      </c>
      <c r="F1100" t="s">
        <v>8283</v>
      </c>
      <c r="G1100" t="s">
        <v>8284</v>
      </c>
      <c r="H1100" t="s">
        <v>8282</v>
      </c>
      <c r="I1100" s="99">
        <v>44024</v>
      </c>
      <c r="J1100" s="99">
        <v>44051</v>
      </c>
      <c r="K1100" t="s">
        <v>8320</v>
      </c>
      <c r="L1100" t="s">
        <v>8321</v>
      </c>
    </row>
    <row r="1101" spans="2:12" x14ac:dyDescent="0.2">
      <c r="B1101">
        <v>10796</v>
      </c>
      <c r="C1101" t="s">
        <v>8322</v>
      </c>
      <c r="D1101" t="s">
        <v>8254</v>
      </c>
      <c r="E1101" s="225">
        <v>194.5</v>
      </c>
      <c r="F1101" t="s">
        <v>8732</v>
      </c>
      <c r="G1101" t="s">
        <v>8731</v>
      </c>
      <c r="H1101" t="s">
        <v>8707</v>
      </c>
      <c r="I1101" s="99">
        <v>44025</v>
      </c>
      <c r="J1101" s="99">
        <v>44045</v>
      </c>
      <c r="K1101" t="s">
        <v>8257</v>
      </c>
      <c r="L1101" t="s">
        <v>6984</v>
      </c>
    </row>
    <row r="1102" spans="2:12" x14ac:dyDescent="0.2">
      <c r="B1102">
        <v>10796</v>
      </c>
      <c r="C1102" t="s">
        <v>8372</v>
      </c>
      <c r="D1102" t="s">
        <v>8262</v>
      </c>
      <c r="E1102" s="225">
        <v>524.66</v>
      </c>
      <c r="F1102" t="s">
        <v>8732</v>
      </c>
      <c r="G1102" t="s">
        <v>8731</v>
      </c>
      <c r="H1102" t="s">
        <v>8707</v>
      </c>
      <c r="I1102" s="99">
        <v>44025</v>
      </c>
      <c r="J1102" s="99">
        <v>44045</v>
      </c>
      <c r="K1102" t="s">
        <v>8257</v>
      </c>
      <c r="L1102" t="s">
        <v>6984</v>
      </c>
    </row>
    <row r="1103" spans="2:12" x14ac:dyDescent="0.2">
      <c r="B1103">
        <v>10796</v>
      </c>
      <c r="C1103" t="s">
        <v>8353</v>
      </c>
      <c r="D1103" t="s">
        <v>8237</v>
      </c>
      <c r="E1103" s="225">
        <v>691.2</v>
      </c>
      <c r="F1103" t="s">
        <v>8732</v>
      </c>
      <c r="G1103" t="s">
        <v>8731</v>
      </c>
      <c r="H1103" t="s">
        <v>8707</v>
      </c>
      <c r="I1103" s="99">
        <v>44025</v>
      </c>
      <c r="J1103" s="99">
        <v>44045</v>
      </c>
      <c r="K1103" t="s">
        <v>8257</v>
      </c>
      <c r="L1103" t="s">
        <v>6984</v>
      </c>
    </row>
    <row r="1104" spans="2:12" x14ac:dyDescent="0.2">
      <c r="B1104">
        <v>10796</v>
      </c>
      <c r="C1104" t="s">
        <v>8340</v>
      </c>
      <c r="D1104" t="s">
        <v>8244</v>
      </c>
      <c r="E1104" s="225">
        <v>931</v>
      </c>
      <c r="F1104" t="s">
        <v>8732</v>
      </c>
      <c r="G1104" t="s">
        <v>8731</v>
      </c>
      <c r="H1104" t="s">
        <v>8707</v>
      </c>
      <c r="I1104" s="99">
        <v>44025</v>
      </c>
      <c r="J1104" s="99">
        <v>44045</v>
      </c>
      <c r="K1104" t="s">
        <v>8257</v>
      </c>
      <c r="L1104" t="s">
        <v>6984</v>
      </c>
    </row>
    <row r="1105" spans="2:12" x14ac:dyDescent="0.2">
      <c r="B1105">
        <v>10797</v>
      </c>
      <c r="C1105" t="s">
        <v>8242</v>
      </c>
      <c r="D1105" t="s">
        <v>8237</v>
      </c>
      <c r="E1105" s="225">
        <v>420</v>
      </c>
      <c r="F1105" t="s">
        <v>8391</v>
      </c>
      <c r="G1105" t="s">
        <v>8392</v>
      </c>
      <c r="H1105" t="s">
        <v>8246</v>
      </c>
      <c r="I1105" s="99">
        <v>44025</v>
      </c>
      <c r="J1105" s="99">
        <v>44036</v>
      </c>
      <c r="K1105" t="s">
        <v>8158</v>
      </c>
      <c r="L1105" t="s">
        <v>861</v>
      </c>
    </row>
    <row r="1106" spans="2:12" x14ac:dyDescent="0.2">
      <c r="B1106">
        <v>10798</v>
      </c>
      <c r="C1106" t="s">
        <v>8291</v>
      </c>
      <c r="D1106" t="s">
        <v>8262</v>
      </c>
      <c r="E1106" s="225">
        <v>98.6</v>
      </c>
      <c r="F1106" t="s">
        <v>8356</v>
      </c>
      <c r="G1106" t="s">
        <v>8357</v>
      </c>
      <c r="H1106" t="s">
        <v>2434</v>
      </c>
      <c r="I1106" s="99">
        <v>44026</v>
      </c>
      <c r="J1106" s="99">
        <v>44036</v>
      </c>
      <c r="K1106" t="s">
        <v>8297</v>
      </c>
      <c r="L1106" t="s">
        <v>8298</v>
      </c>
    </row>
    <row r="1107" spans="2:12" x14ac:dyDescent="0.2">
      <c r="B1107">
        <v>10798</v>
      </c>
      <c r="C1107" t="s">
        <v>8235</v>
      </c>
      <c r="D1107" t="s">
        <v>8237</v>
      </c>
      <c r="E1107" s="225">
        <v>348</v>
      </c>
      <c r="F1107" t="s">
        <v>8356</v>
      </c>
      <c r="G1107" t="s">
        <v>8357</v>
      </c>
      <c r="H1107" t="s">
        <v>2434</v>
      </c>
      <c r="I1107" s="99">
        <v>44026</v>
      </c>
      <c r="J1107" s="99">
        <v>44036</v>
      </c>
      <c r="K1107" t="s">
        <v>8297</v>
      </c>
      <c r="L1107" t="s">
        <v>8298</v>
      </c>
    </row>
    <row r="1108" spans="2:12" x14ac:dyDescent="0.2">
      <c r="B1108">
        <v>10799</v>
      </c>
      <c r="C1108" t="s">
        <v>8270</v>
      </c>
      <c r="D1108" t="s">
        <v>8272</v>
      </c>
      <c r="E1108" s="225">
        <v>76.5</v>
      </c>
      <c r="F1108" t="s">
        <v>8359</v>
      </c>
      <c r="G1108" t="s">
        <v>8360</v>
      </c>
      <c r="H1108" t="s">
        <v>8246</v>
      </c>
      <c r="I1108" s="99">
        <v>44026</v>
      </c>
      <c r="J1108" s="99">
        <v>44036</v>
      </c>
      <c r="K1108" t="s">
        <v>8279</v>
      </c>
      <c r="L1108" t="s">
        <v>710</v>
      </c>
    </row>
    <row r="1109" spans="2:12" x14ac:dyDescent="0.2">
      <c r="B1109">
        <v>10799</v>
      </c>
      <c r="C1109" t="s">
        <v>8281</v>
      </c>
      <c r="D1109" t="s">
        <v>8237</v>
      </c>
      <c r="E1109" s="225">
        <v>1375</v>
      </c>
      <c r="F1109" t="s">
        <v>8359</v>
      </c>
      <c r="G1109" t="s">
        <v>8360</v>
      </c>
      <c r="H1109" t="s">
        <v>8246</v>
      </c>
      <c r="I1109" s="99">
        <v>44026</v>
      </c>
      <c r="J1109" s="99">
        <v>44036</v>
      </c>
      <c r="K1109" t="s">
        <v>8279</v>
      </c>
      <c r="L1109" t="s">
        <v>710</v>
      </c>
    </row>
    <row r="1110" spans="2:12" x14ac:dyDescent="0.2">
      <c r="B1110">
        <v>10800</v>
      </c>
      <c r="C1110" t="s">
        <v>8242</v>
      </c>
      <c r="D1110" t="s">
        <v>8237</v>
      </c>
      <c r="E1110" s="225">
        <v>945</v>
      </c>
      <c r="F1110" t="s">
        <v>8388</v>
      </c>
      <c r="G1110" t="s">
        <v>8389</v>
      </c>
      <c r="H1110" t="s">
        <v>2434</v>
      </c>
      <c r="I1110" s="99">
        <v>44026</v>
      </c>
      <c r="J1110" s="99">
        <v>44036</v>
      </c>
      <c r="K1110" t="s">
        <v>8285</v>
      </c>
      <c r="L1110" t="s">
        <v>2317</v>
      </c>
    </row>
    <row r="1111" spans="2:12" x14ac:dyDescent="0.2">
      <c r="B1111">
        <v>10800</v>
      </c>
      <c r="C1111" t="s">
        <v>8245</v>
      </c>
      <c r="D1111" t="s">
        <v>8247</v>
      </c>
      <c r="E1111" s="225">
        <v>477</v>
      </c>
      <c r="F1111" t="s">
        <v>8388</v>
      </c>
      <c r="G1111" t="s">
        <v>8389</v>
      </c>
      <c r="H1111" t="s">
        <v>2434</v>
      </c>
      <c r="I1111" s="99">
        <v>44026</v>
      </c>
      <c r="J1111" s="99">
        <v>44036</v>
      </c>
      <c r="K1111" t="s">
        <v>8285</v>
      </c>
      <c r="L1111" t="s">
        <v>2317</v>
      </c>
    </row>
    <row r="1112" spans="2:12" x14ac:dyDescent="0.2">
      <c r="B1112">
        <v>10802</v>
      </c>
      <c r="C1112" t="s">
        <v>8291</v>
      </c>
      <c r="D1112" t="s">
        <v>8262</v>
      </c>
      <c r="E1112" s="225">
        <v>184.88</v>
      </c>
      <c r="F1112" t="s">
        <v>8375</v>
      </c>
      <c r="G1112" t="s">
        <v>8376</v>
      </c>
      <c r="H1112" t="s">
        <v>8374</v>
      </c>
      <c r="I1112" s="99">
        <v>44029</v>
      </c>
      <c r="J1112" s="99">
        <v>44033</v>
      </c>
      <c r="K1112" t="s">
        <v>8266</v>
      </c>
      <c r="L1112" t="s">
        <v>8267</v>
      </c>
    </row>
    <row r="1113" spans="2:12" x14ac:dyDescent="0.2">
      <c r="B1113">
        <v>10802</v>
      </c>
      <c r="C1113" t="s">
        <v>8245</v>
      </c>
      <c r="D1113" t="s">
        <v>8247</v>
      </c>
      <c r="E1113" s="225">
        <v>1192.5</v>
      </c>
      <c r="F1113" t="s">
        <v>8375</v>
      </c>
      <c r="G1113" t="s">
        <v>8376</v>
      </c>
      <c r="H1113" t="s">
        <v>8374</v>
      </c>
      <c r="I1113" s="99">
        <v>44029</v>
      </c>
      <c r="J1113" s="99">
        <v>44033</v>
      </c>
      <c r="K1113" t="s">
        <v>8266</v>
      </c>
      <c r="L1113" t="s">
        <v>8267</v>
      </c>
    </row>
    <row r="1114" spans="2:12" x14ac:dyDescent="0.2">
      <c r="B1114">
        <v>10803</v>
      </c>
      <c r="C1114" t="s">
        <v>8327</v>
      </c>
      <c r="D1114" t="s">
        <v>8262</v>
      </c>
      <c r="E1114" s="225">
        <v>209.76</v>
      </c>
      <c r="F1114" t="s">
        <v>8730</v>
      </c>
      <c r="G1114" t="s">
        <v>8729</v>
      </c>
      <c r="H1114" t="s">
        <v>8710</v>
      </c>
      <c r="I1114" s="99">
        <v>44030</v>
      </c>
      <c r="J1114" s="99">
        <v>44037</v>
      </c>
      <c r="K1114" t="s">
        <v>8266</v>
      </c>
      <c r="L1114" t="s">
        <v>8267</v>
      </c>
    </row>
    <row r="1115" spans="2:12" x14ac:dyDescent="0.2">
      <c r="B1115">
        <v>10803</v>
      </c>
      <c r="C1115" t="s">
        <v>8362</v>
      </c>
      <c r="D1115" t="s">
        <v>8262</v>
      </c>
      <c r="E1115" s="225">
        <v>199.5</v>
      </c>
      <c r="F1115" t="s">
        <v>8730</v>
      </c>
      <c r="G1115" t="s">
        <v>8729</v>
      </c>
      <c r="H1115" t="s">
        <v>8710</v>
      </c>
      <c r="I1115" s="99">
        <v>44030</v>
      </c>
      <c r="J1115" s="99">
        <v>44037</v>
      </c>
      <c r="K1115" t="s">
        <v>8266</v>
      </c>
      <c r="L1115" t="s">
        <v>8267</v>
      </c>
    </row>
    <row r="1116" spans="2:12" x14ac:dyDescent="0.2">
      <c r="B1116">
        <v>10803</v>
      </c>
      <c r="C1116" t="s">
        <v>8281</v>
      </c>
      <c r="D1116" t="s">
        <v>8237</v>
      </c>
      <c r="E1116" s="225">
        <v>783.75</v>
      </c>
      <c r="F1116" t="s">
        <v>8730</v>
      </c>
      <c r="G1116" t="s">
        <v>8729</v>
      </c>
      <c r="H1116" t="s">
        <v>8710</v>
      </c>
      <c r="I1116" s="99">
        <v>44030</v>
      </c>
      <c r="J1116" s="99">
        <v>44037</v>
      </c>
      <c r="K1116" t="s">
        <v>8266</v>
      </c>
      <c r="L1116" t="s">
        <v>8267</v>
      </c>
    </row>
    <row r="1117" spans="2:12" x14ac:dyDescent="0.2">
      <c r="B1117">
        <v>10804</v>
      </c>
      <c r="C1117" t="s">
        <v>8390</v>
      </c>
      <c r="D1117" t="s">
        <v>8262</v>
      </c>
      <c r="E1117" s="225">
        <v>68</v>
      </c>
      <c r="F1117" t="s">
        <v>8388</v>
      </c>
      <c r="G1117" t="s">
        <v>8389</v>
      </c>
      <c r="H1117" t="s">
        <v>2434</v>
      </c>
      <c r="I1117" s="99">
        <v>44030</v>
      </c>
      <c r="J1117" s="99">
        <v>44038</v>
      </c>
      <c r="K1117" t="s">
        <v>8251</v>
      </c>
      <c r="L1117" t="s">
        <v>269</v>
      </c>
    </row>
    <row r="1118" spans="2:12" x14ac:dyDescent="0.2">
      <c r="B1118">
        <v>10804</v>
      </c>
      <c r="C1118" t="s">
        <v>8316</v>
      </c>
      <c r="D1118" t="s">
        <v>8247</v>
      </c>
      <c r="E1118" s="225">
        <v>1094.4000000000001</v>
      </c>
      <c r="F1118" t="s">
        <v>8388</v>
      </c>
      <c r="G1118" t="s">
        <v>8389</v>
      </c>
      <c r="H1118" t="s">
        <v>2434</v>
      </c>
      <c r="I1118" s="99">
        <v>44030</v>
      </c>
      <c r="J1118" s="99">
        <v>44038</v>
      </c>
      <c r="K1118" t="s">
        <v>8251</v>
      </c>
      <c r="L1118" t="s">
        <v>269</v>
      </c>
    </row>
    <row r="1119" spans="2:12" x14ac:dyDescent="0.2">
      <c r="B1119">
        <v>10805</v>
      </c>
      <c r="C1119" t="s">
        <v>8358</v>
      </c>
      <c r="D1119" t="s">
        <v>8272</v>
      </c>
      <c r="E1119" s="225">
        <v>140</v>
      </c>
      <c r="F1119" t="s">
        <v>8754</v>
      </c>
      <c r="G1119" t="s">
        <v>8753</v>
      </c>
      <c r="H1119" t="s">
        <v>8701</v>
      </c>
      <c r="I1119" s="99">
        <v>44030</v>
      </c>
      <c r="J1119" s="99">
        <v>44040</v>
      </c>
      <c r="K1119" t="s">
        <v>8297</v>
      </c>
      <c r="L1119" t="s">
        <v>8298</v>
      </c>
    </row>
    <row r="1120" spans="2:12" x14ac:dyDescent="0.2">
      <c r="B1120">
        <v>10805</v>
      </c>
      <c r="C1120" t="s">
        <v>8380</v>
      </c>
      <c r="D1120" t="s">
        <v>8272</v>
      </c>
      <c r="E1120" s="225">
        <v>2635</v>
      </c>
      <c r="F1120" t="s">
        <v>8754</v>
      </c>
      <c r="G1120" t="s">
        <v>8753</v>
      </c>
      <c r="H1120" t="s">
        <v>8701</v>
      </c>
      <c r="I1120" s="99">
        <v>44030</v>
      </c>
      <c r="J1120" s="99">
        <v>44040</v>
      </c>
      <c r="K1120" t="s">
        <v>8297</v>
      </c>
      <c r="L1120" t="s">
        <v>8298</v>
      </c>
    </row>
    <row r="1121" spans="2:12" x14ac:dyDescent="0.2">
      <c r="B1121">
        <v>10806</v>
      </c>
      <c r="C1121" t="s">
        <v>8276</v>
      </c>
      <c r="D1121" t="s">
        <v>8272</v>
      </c>
      <c r="E1121" s="225">
        <v>285</v>
      </c>
      <c r="F1121" t="s">
        <v>8255</v>
      </c>
      <c r="G1121" t="s">
        <v>8256</v>
      </c>
      <c r="H1121" t="s">
        <v>8236</v>
      </c>
      <c r="I1121" s="99">
        <v>44031</v>
      </c>
      <c r="J1121" s="99">
        <v>44036</v>
      </c>
      <c r="K1121" t="s">
        <v>8257</v>
      </c>
      <c r="L1121" t="s">
        <v>6984</v>
      </c>
    </row>
    <row r="1122" spans="2:12" x14ac:dyDescent="0.2">
      <c r="B1122">
        <v>10806</v>
      </c>
      <c r="C1122" t="s">
        <v>8253</v>
      </c>
      <c r="D1122" t="s">
        <v>8254</v>
      </c>
      <c r="E1122" s="225">
        <v>42.1</v>
      </c>
      <c r="F1122" t="s">
        <v>8255</v>
      </c>
      <c r="G1122" t="s">
        <v>8256</v>
      </c>
      <c r="H1122" t="s">
        <v>8236</v>
      </c>
      <c r="I1122" s="99">
        <v>44031</v>
      </c>
      <c r="J1122" s="99">
        <v>44036</v>
      </c>
      <c r="K1122" t="s">
        <v>8257</v>
      </c>
      <c r="L1122" t="s">
        <v>6984</v>
      </c>
    </row>
    <row r="1123" spans="2:12" x14ac:dyDescent="0.2">
      <c r="B1123">
        <v>10806</v>
      </c>
      <c r="C1123" t="s">
        <v>8275</v>
      </c>
      <c r="D1123" t="s">
        <v>8247</v>
      </c>
      <c r="E1123" s="225">
        <v>112.5</v>
      </c>
      <c r="F1123" t="s">
        <v>8255</v>
      </c>
      <c r="G1123" t="s">
        <v>8256</v>
      </c>
      <c r="H1123" t="s">
        <v>8236</v>
      </c>
      <c r="I1123" s="99">
        <v>44031</v>
      </c>
      <c r="J1123" s="99">
        <v>44036</v>
      </c>
      <c r="K1123" t="s">
        <v>8257</v>
      </c>
      <c r="L1123" t="s">
        <v>6984</v>
      </c>
    </row>
    <row r="1124" spans="2:12" x14ac:dyDescent="0.2">
      <c r="B1124">
        <v>10808</v>
      </c>
      <c r="C1124" t="s">
        <v>8303</v>
      </c>
      <c r="D1124" t="s">
        <v>8272</v>
      </c>
      <c r="E1124" s="225">
        <v>765</v>
      </c>
      <c r="F1124" t="s">
        <v>8756</v>
      </c>
      <c r="G1124" t="s">
        <v>8755</v>
      </c>
      <c r="H1124" t="s">
        <v>8701</v>
      </c>
      <c r="I1124" s="99">
        <v>44032</v>
      </c>
      <c r="J1124" s="99">
        <v>44040</v>
      </c>
      <c r="K1124" t="s">
        <v>8297</v>
      </c>
      <c r="L1124" t="s">
        <v>8298</v>
      </c>
    </row>
    <row r="1125" spans="2:12" x14ac:dyDescent="0.2">
      <c r="B1125">
        <v>10808</v>
      </c>
      <c r="C1125" t="s">
        <v>8341</v>
      </c>
      <c r="D1125" t="s">
        <v>8244</v>
      </c>
      <c r="E1125" s="225">
        <v>646</v>
      </c>
      <c r="F1125" t="s">
        <v>8756</v>
      </c>
      <c r="G1125" t="s">
        <v>8755</v>
      </c>
      <c r="H1125" t="s">
        <v>8701</v>
      </c>
      <c r="I1125" s="99">
        <v>44032</v>
      </c>
      <c r="J1125" s="99">
        <v>44040</v>
      </c>
      <c r="K1125" t="s">
        <v>8297</v>
      </c>
      <c r="L1125" t="s">
        <v>8298</v>
      </c>
    </row>
    <row r="1126" spans="2:12" x14ac:dyDescent="0.2">
      <c r="B1126">
        <v>10809</v>
      </c>
      <c r="C1126" t="s">
        <v>8369</v>
      </c>
      <c r="D1126" t="s">
        <v>8244</v>
      </c>
      <c r="E1126" s="225">
        <v>140</v>
      </c>
      <c r="F1126" t="s">
        <v>8730</v>
      </c>
      <c r="G1126" t="s">
        <v>8729</v>
      </c>
      <c r="H1126" t="s">
        <v>8710</v>
      </c>
      <c r="I1126" s="99">
        <v>44032</v>
      </c>
      <c r="J1126" s="99">
        <v>44038</v>
      </c>
      <c r="K1126" t="s">
        <v>8158</v>
      </c>
      <c r="L1126" t="s">
        <v>861</v>
      </c>
    </row>
    <row r="1127" spans="2:12" x14ac:dyDescent="0.2">
      <c r="B1127">
        <v>10810</v>
      </c>
      <c r="C1127" t="s">
        <v>8288</v>
      </c>
      <c r="D1127" t="s">
        <v>8272</v>
      </c>
      <c r="E1127" s="225">
        <v>75</v>
      </c>
      <c r="F1127" t="s">
        <v>8774</v>
      </c>
      <c r="G1127" t="s">
        <v>8773</v>
      </c>
      <c r="H1127" t="s">
        <v>8720</v>
      </c>
      <c r="I1127" s="99">
        <v>44032</v>
      </c>
      <c r="J1127" s="99">
        <v>44038</v>
      </c>
      <c r="K1127" t="s">
        <v>8297</v>
      </c>
      <c r="L1127" t="s">
        <v>8298</v>
      </c>
    </row>
    <row r="1128" spans="2:12" x14ac:dyDescent="0.2">
      <c r="B1128">
        <v>10810</v>
      </c>
      <c r="C1128" t="s">
        <v>8362</v>
      </c>
      <c r="D1128" t="s">
        <v>8262</v>
      </c>
      <c r="E1128" s="225">
        <v>70</v>
      </c>
      <c r="F1128" t="s">
        <v>8774</v>
      </c>
      <c r="G1128" t="s">
        <v>8773</v>
      </c>
      <c r="H1128" t="s">
        <v>8720</v>
      </c>
      <c r="I1128" s="99">
        <v>44032</v>
      </c>
      <c r="J1128" s="99">
        <v>44038</v>
      </c>
      <c r="K1128" t="s">
        <v>8297</v>
      </c>
      <c r="L1128" t="s">
        <v>8298</v>
      </c>
    </row>
    <row r="1129" spans="2:12" x14ac:dyDescent="0.2">
      <c r="B1129">
        <v>10811</v>
      </c>
      <c r="C1129" t="s">
        <v>8327</v>
      </c>
      <c r="D1129" t="s">
        <v>8262</v>
      </c>
      <c r="E1129" s="225">
        <v>138</v>
      </c>
      <c r="F1129" t="s">
        <v>8724</v>
      </c>
      <c r="G1129" t="s">
        <v>8723</v>
      </c>
      <c r="H1129" t="s">
        <v>8707</v>
      </c>
      <c r="I1129" s="99">
        <v>44033</v>
      </c>
      <c r="J1129" s="99">
        <v>44039</v>
      </c>
      <c r="K1129" t="s">
        <v>8320</v>
      </c>
      <c r="L1129" t="s">
        <v>8321</v>
      </c>
    </row>
    <row r="1130" spans="2:12" x14ac:dyDescent="0.2">
      <c r="B1130">
        <v>10811</v>
      </c>
      <c r="C1130" t="s">
        <v>8373</v>
      </c>
      <c r="D1130" t="s">
        <v>8244</v>
      </c>
      <c r="E1130" s="225">
        <v>162</v>
      </c>
      <c r="F1130" t="s">
        <v>8724</v>
      </c>
      <c r="G1130" t="s">
        <v>8723</v>
      </c>
      <c r="H1130" t="s">
        <v>8707</v>
      </c>
      <c r="I1130" s="99">
        <v>44033</v>
      </c>
      <c r="J1130" s="99">
        <v>44039</v>
      </c>
      <c r="K1130" t="s">
        <v>8320</v>
      </c>
      <c r="L1130" t="s">
        <v>8321</v>
      </c>
    </row>
    <row r="1131" spans="2:12" x14ac:dyDescent="0.2">
      <c r="B1131">
        <v>10812</v>
      </c>
      <c r="C1131" t="s">
        <v>8397</v>
      </c>
      <c r="D1131" t="s">
        <v>8254</v>
      </c>
      <c r="E1131" s="225">
        <v>260</v>
      </c>
      <c r="F1131" t="s">
        <v>8335</v>
      </c>
      <c r="G1131" t="s">
        <v>8336</v>
      </c>
      <c r="H1131" t="s">
        <v>8311</v>
      </c>
      <c r="I1131" s="99">
        <v>44033</v>
      </c>
      <c r="J1131" s="99">
        <v>44044</v>
      </c>
      <c r="K1131" t="s">
        <v>8241</v>
      </c>
      <c r="L1131" t="s">
        <v>6934</v>
      </c>
    </row>
    <row r="1132" spans="2:12" x14ac:dyDescent="0.2">
      <c r="B1132">
        <v>10812</v>
      </c>
      <c r="C1132" t="s">
        <v>8309</v>
      </c>
      <c r="D1132" t="s">
        <v>8237</v>
      </c>
      <c r="E1132" s="225">
        <v>180</v>
      </c>
      <c r="F1132" t="s">
        <v>8335</v>
      </c>
      <c r="G1132" t="s">
        <v>8336</v>
      </c>
      <c r="H1132" t="s">
        <v>8311</v>
      </c>
      <c r="I1132" s="99">
        <v>44033</v>
      </c>
      <c r="J1132" s="99">
        <v>44044</v>
      </c>
      <c r="K1132" t="s">
        <v>8241</v>
      </c>
      <c r="L1132" t="s">
        <v>6934</v>
      </c>
    </row>
    <row r="1133" spans="2:12" x14ac:dyDescent="0.2">
      <c r="B1133">
        <v>10812</v>
      </c>
      <c r="C1133" t="s">
        <v>8235</v>
      </c>
      <c r="D1133" t="s">
        <v>8237</v>
      </c>
      <c r="E1133" s="225">
        <v>1252.8</v>
      </c>
      <c r="F1133" t="s">
        <v>8335</v>
      </c>
      <c r="G1133" t="s">
        <v>8336</v>
      </c>
      <c r="H1133" t="s">
        <v>8311</v>
      </c>
      <c r="I1133" s="99">
        <v>44033</v>
      </c>
      <c r="J1133" s="99">
        <v>44044</v>
      </c>
      <c r="K1133" t="s">
        <v>8241</v>
      </c>
      <c r="L1133" t="s">
        <v>6934</v>
      </c>
    </row>
    <row r="1134" spans="2:12" x14ac:dyDescent="0.2">
      <c r="B1134">
        <v>10813</v>
      </c>
      <c r="C1134" t="s">
        <v>8276</v>
      </c>
      <c r="D1134" t="s">
        <v>8272</v>
      </c>
      <c r="E1134" s="225">
        <v>182.4</v>
      </c>
      <c r="F1134" t="s">
        <v>8716</v>
      </c>
      <c r="G1134" t="s">
        <v>8715</v>
      </c>
      <c r="H1134" t="s">
        <v>8710</v>
      </c>
      <c r="I1134" s="99">
        <v>44036</v>
      </c>
      <c r="J1134" s="99">
        <v>44040</v>
      </c>
      <c r="K1134" t="s">
        <v>8285</v>
      </c>
      <c r="L1134" t="s">
        <v>2317</v>
      </c>
    </row>
    <row r="1135" spans="2:12" x14ac:dyDescent="0.2">
      <c r="B1135">
        <v>10814</v>
      </c>
      <c r="C1135" t="s">
        <v>8306</v>
      </c>
      <c r="D1135" t="s">
        <v>8272</v>
      </c>
      <c r="E1135" s="225">
        <v>782</v>
      </c>
      <c r="F1135" t="s">
        <v>8255</v>
      </c>
      <c r="G1135" t="s">
        <v>8256</v>
      </c>
      <c r="H1135" t="s">
        <v>8236</v>
      </c>
      <c r="I1135" s="99">
        <v>44036</v>
      </c>
      <c r="J1135" s="99">
        <v>44045</v>
      </c>
      <c r="K1135" t="s">
        <v>8257</v>
      </c>
      <c r="L1135" t="s">
        <v>6984</v>
      </c>
    </row>
    <row r="1136" spans="2:12" x14ac:dyDescent="0.2">
      <c r="B1136">
        <v>10814</v>
      </c>
      <c r="C1136" t="s">
        <v>8409</v>
      </c>
      <c r="D1136" t="s">
        <v>8254</v>
      </c>
      <c r="E1136" s="225">
        <v>726.75</v>
      </c>
      <c r="F1136" t="s">
        <v>8255</v>
      </c>
      <c r="G1136" t="s">
        <v>8256</v>
      </c>
      <c r="H1136" t="s">
        <v>8236</v>
      </c>
      <c r="I1136" s="99">
        <v>44036</v>
      </c>
      <c r="J1136" s="99">
        <v>44045</v>
      </c>
      <c r="K1136" t="s">
        <v>8257</v>
      </c>
      <c r="L1136" t="s">
        <v>6984</v>
      </c>
    </row>
    <row r="1137" spans="2:12" x14ac:dyDescent="0.2">
      <c r="B1137">
        <v>10814</v>
      </c>
      <c r="C1137" t="s">
        <v>8406</v>
      </c>
      <c r="D1137" t="s">
        <v>8262</v>
      </c>
      <c r="E1137" s="225">
        <v>86.7</v>
      </c>
      <c r="F1137" t="s">
        <v>8255</v>
      </c>
      <c r="G1137" t="s">
        <v>8256</v>
      </c>
      <c r="H1137" t="s">
        <v>8236</v>
      </c>
      <c r="I1137" s="99">
        <v>44036</v>
      </c>
      <c r="J1137" s="99">
        <v>44045</v>
      </c>
      <c r="K1137" t="s">
        <v>8257</v>
      </c>
      <c r="L1137" t="s">
        <v>6984</v>
      </c>
    </row>
    <row r="1138" spans="2:12" x14ac:dyDescent="0.2">
      <c r="B1138">
        <v>10815</v>
      </c>
      <c r="C1138" t="s">
        <v>8269</v>
      </c>
      <c r="D1138" t="s">
        <v>8237</v>
      </c>
      <c r="E1138" s="225">
        <v>40</v>
      </c>
      <c r="F1138" t="s">
        <v>8758</v>
      </c>
      <c r="G1138" t="s">
        <v>8757</v>
      </c>
      <c r="H1138" t="s">
        <v>8701</v>
      </c>
      <c r="I1138" s="99">
        <v>44036</v>
      </c>
      <c r="J1138" s="99">
        <v>44045</v>
      </c>
      <c r="K1138" t="s">
        <v>8297</v>
      </c>
      <c r="L1138" t="s">
        <v>8298</v>
      </c>
    </row>
    <row r="1139" spans="2:12" x14ac:dyDescent="0.2">
      <c r="B1139">
        <v>10816</v>
      </c>
      <c r="C1139" t="s">
        <v>8380</v>
      </c>
      <c r="D1139" t="s">
        <v>8272</v>
      </c>
      <c r="E1139" s="225">
        <v>7509.75</v>
      </c>
      <c r="F1139" t="s">
        <v>8714</v>
      </c>
      <c r="G1139" t="s">
        <v>8713</v>
      </c>
      <c r="H1139" t="s">
        <v>8701</v>
      </c>
      <c r="I1139" s="99">
        <v>44037</v>
      </c>
      <c r="J1139" s="99">
        <v>44065</v>
      </c>
      <c r="K1139" t="s">
        <v>8266</v>
      </c>
      <c r="L1139" t="s">
        <v>8267</v>
      </c>
    </row>
    <row r="1140" spans="2:12" x14ac:dyDescent="0.2">
      <c r="B1140">
        <v>10816</v>
      </c>
      <c r="C1140" t="s">
        <v>8291</v>
      </c>
      <c r="D1140" t="s">
        <v>8262</v>
      </c>
      <c r="E1140" s="225">
        <v>936.7</v>
      </c>
      <c r="F1140" t="s">
        <v>8714</v>
      </c>
      <c r="G1140" t="s">
        <v>8713</v>
      </c>
      <c r="H1140" t="s">
        <v>8701</v>
      </c>
      <c r="I1140" s="99">
        <v>44037</v>
      </c>
      <c r="J1140" s="99">
        <v>44065</v>
      </c>
      <c r="K1140" t="s">
        <v>8266</v>
      </c>
      <c r="L1140" t="s">
        <v>8267</v>
      </c>
    </row>
    <row r="1141" spans="2:12" x14ac:dyDescent="0.2">
      <c r="B1141">
        <v>10817</v>
      </c>
      <c r="C1141" t="s">
        <v>8380</v>
      </c>
      <c r="D1141" t="s">
        <v>8272</v>
      </c>
      <c r="E1141" s="225">
        <v>7905</v>
      </c>
      <c r="F1141" t="s">
        <v>8359</v>
      </c>
      <c r="G1141" t="s">
        <v>8360</v>
      </c>
      <c r="H1141" t="s">
        <v>8246</v>
      </c>
      <c r="I1141" s="99">
        <v>44037</v>
      </c>
      <c r="J1141" s="99">
        <v>44044</v>
      </c>
      <c r="K1141" t="s">
        <v>8257</v>
      </c>
      <c r="L1141" t="s">
        <v>6984</v>
      </c>
    </row>
    <row r="1142" spans="2:12" x14ac:dyDescent="0.2">
      <c r="B1142">
        <v>10817</v>
      </c>
      <c r="C1142" t="s">
        <v>8372</v>
      </c>
      <c r="D1142" t="s">
        <v>8262</v>
      </c>
      <c r="E1142" s="225">
        <v>1061.82</v>
      </c>
      <c r="F1142" t="s">
        <v>8359</v>
      </c>
      <c r="G1142" t="s">
        <v>8360</v>
      </c>
      <c r="H1142" t="s">
        <v>8246</v>
      </c>
      <c r="I1142" s="99">
        <v>44037</v>
      </c>
      <c r="J1142" s="99">
        <v>44044</v>
      </c>
      <c r="K1142" t="s">
        <v>8257</v>
      </c>
      <c r="L1142" t="s">
        <v>6984</v>
      </c>
    </row>
    <row r="1143" spans="2:12" x14ac:dyDescent="0.2">
      <c r="B1143">
        <v>10817</v>
      </c>
      <c r="C1143" t="s">
        <v>8291</v>
      </c>
      <c r="D1143" t="s">
        <v>8262</v>
      </c>
      <c r="E1143" s="225">
        <v>1047.6199999999999</v>
      </c>
      <c r="F1143" t="s">
        <v>8359</v>
      </c>
      <c r="G1143" t="s">
        <v>8360</v>
      </c>
      <c r="H1143" t="s">
        <v>8246</v>
      </c>
      <c r="I1143" s="99">
        <v>44037</v>
      </c>
      <c r="J1143" s="99">
        <v>44044</v>
      </c>
      <c r="K1143" t="s">
        <v>8257</v>
      </c>
      <c r="L1143" t="s">
        <v>6984</v>
      </c>
    </row>
    <row r="1144" spans="2:12" x14ac:dyDescent="0.2">
      <c r="B1144">
        <v>10818</v>
      </c>
      <c r="C1144" t="s">
        <v>8287</v>
      </c>
      <c r="D1144" t="s">
        <v>8237</v>
      </c>
      <c r="E1144" s="225">
        <v>640</v>
      </c>
      <c r="F1144" t="s">
        <v>8312</v>
      </c>
      <c r="G1144" t="s">
        <v>8313</v>
      </c>
      <c r="H1144" t="s">
        <v>8311</v>
      </c>
      <c r="I1144" s="99">
        <v>44038</v>
      </c>
      <c r="J1144" s="99">
        <v>44044</v>
      </c>
      <c r="K1144" t="s">
        <v>8158</v>
      </c>
      <c r="L1144" t="s">
        <v>861</v>
      </c>
    </row>
    <row r="1145" spans="2:12" x14ac:dyDescent="0.2">
      <c r="B1145">
        <v>10819</v>
      </c>
      <c r="C1145" t="s">
        <v>8306</v>
      </c>
      <c r="D1145" t="s">
        <v>8272</v>
      </c>
      <c r="E1145" s="225">
        <v>322</v>
      </c>
      <c r="F1145" t="s">
        <v>8719</v>
      </c>
      <c r="G1145" t="s">
        <v>8718</v>
      </c>
      <c r="H1145" t="s">
        <v>8717</v>
      </c>
      <c r="I1145" s="99">
        <v>44038</v>
      </c>
      <c r="J1145" s="99">
        <v>44047</v>
      </c>
      <c r="K1145" t="s">
        <v>8297</v>
      </c>
      <c r="L1145" t="s">
        <v>8298</v>
      </c>
    </row>
    <row r="1146" spans="2:12" x14ac:dyDescent="0.2">
      <c r="B1146">
        <v>10819</v>
      </c>
      <c r="C1146" t="s">
        <v>8328</v>
      </c>
      <c r="D1146" t="s">
        <v>8272</v>
      </c>
      <c r="E1146" s="225">
        <v>155</v>
      </c>
      <c r="F1146" t="s">
        <v>8719</v>
      </c>
      <c r="G1146" t="s">
        <v>8718</v>
      </c>
      <c r="H1146" t="s">
        <v>8717</v>
      </c>
      <c r="I1146" s="99">
        <v>44038</v>
      </c>
      <c r="J1146" s="99">
        <v>44047</v>
      </c>
      <c r="K1146" t="s">
        <v>8297</v>
      </c>
      <c r="L1146" t="s">
        <v>8298</v>
      </c>
    </row>
    <row r="1147" spans="2:12" x14ac:dyDescent="0.2">
      <c r="B1147">
        <v>10820</v>
      </c>
      <c r="C1147" t="s">
        <v>8341</v>
      </c>
      <c r="D1147" t="s">
        <v>8244</v>
      </c>
      <c r="E1147" s="225">
        <v>1140</v>
      </c>
      <c r="F1147" t="s">
        <v>8703</v>
      </c>
      <c r="G1147" t="s">
        <v>8702</v>
      </c>
      <c r="H1147" t="s">
        <v>8701</v>
      </c>
      <c r="I1147" s="99">
        <v>44038</v>
      </c>
      <c r="J1147" s="99">
        <v>44044</v>
      </c>
      <c r="K1147" t="s">
        <v>8257</v>
      </c>
      <c r="L1147" t="s">
        <v>6984</v>
      </c>
    </row>
    <row r="1148" spans="2:12" x14ac:dyDescent="0.2">
      <c r="B1148">
        <v>10821</v>
      </c>
      <c r="C1148" t="s">
        <v>8323</v>
      </c>
      <c r="D1148" t="s">
        <v>8272</v>
      </c>
      <c r="E1148" s="225">
        <v>360</v>
      </c>
      <c r="F1148" t="s">
        <v>8744</v>
      </c>
      <c r="G1148" t="s">
        <v>8743</v>
      </c>
      <c r="H1148" t="s">
        <v>8701</v>
      </c>
      <c r="I1148" s="99">
        <v>44039</v>
      </c>
      <c r="J1148" s="99">
        <v>44046</v>
      </c>
      <c r="K1148" t="s">
        <v>8285</v>
      </c>
      <c r="L1148" t="s">
        <v>2317</v>
      </c>
    </row>
    <row r="1149" spans="2:12" x14ac:dyDescent="0.2">
      <c r="B1149">
        <v>10821</v>
      </c>
      <c r="C1149" t="s">
        <v>8245</v>
      </c>
      <c r="D1149" t="s">
        <v>8247</v>
      </c>
      <c r="E1149" s="225">
        <v>318</v>
      </c>
      <c r="F1149" t="s">
        <v>8744</v>
      </c>
      <c r="G1149" t="s">
        <v>8743</v>
      </c>
      <c r="H1149" t="s">
        <v>8701</v>
      </c>
      <c r="I1149" s="99">
        <v>44039</v>
      </c>
      <c r="J1149" s="99">
        <v>44046</v>
      </c>
      <c r="K1149" t="s">
        <v>8285</v>
      </c>
      <c r="L1149" t="s">
        <v>2317</v>
      </c>
    </row>
    <row r="1150" spans="2:12" x14ac:dyDescent="0.2">
      <c r="B1150">
        <v>10822</v>
      </c>
      <c r="C1150" t="s">
        <v>8288</v>
      </c>
      <c r="D1150" t="s">
        <v>8272</v>
      </c>
      <c r="E1150" s="225">
        <v>90</v>
      </c>
      <c r="F1150" t="s">
        <v>8776</v>
      </c>
      <c r="G1150" t="s">
        <v>8775</v>
      </c>
      <c r="H1150" t="s">
        <v>8701</v>
      </c>
      <c r="I1150" s="99">
        <v>44039</v>
      </c>
      <c r="J1150" s="99">
        <v>44047</v>
      </c>
      <c r="K1150" t="s">
        <v>8251</v>
      </c>
      <c r="L1150" t="s">
        <v>269</v>
      </c>
    </row>
    <row r="1151" spans="2:12" x14ac:dyDescent="0.2">
      <c r="B1151">
        <v>10822</v>
      </c>
      <c r="C1151" t="s">
        <v>8291</v>
      </c>
      <c r="D1151" t="s">
        <v>8262</v>
      </c>
      <c r="E1151" s="225">
        <v>147.9</v>
      </c>
      <c r="F1151" t="s">
        <v>8776</v>
      </c>
      <c r="G1151" t="s">
        <v>8775</v>
      </c>
      <c r="H1151" t="s">
        <v>8701</v>
      </c>
      <c r="I1151" s="99">
        <v>44039</v>
      </c>
      <c r="J1151" s="99">
        <v>44047</v>
      </c>
      <c r="K1151" t="s">
        <v>8251</v>
      </c>
      <c r="L1151" t="s">
        <v>269</v>
      </c>
    </row>
    <row r="1152" spans="2:12" x14ac:dyDescent="0.2">
      <c r="B1152">
        <v>10823</v>
      </c>
      <c r="C1152" t="s">
        <v>8397</v>
      </c>
      <c r="D1152" t="s">
        <v>8254</v>
      </c>
      <c r="E1152" s="225">
        <v>175.5</v>
      </c>
      <c r="F1152" t="s">
        <v>8709</v>
      </c>
      <c r="G1152" t="s">
        <v>8708</v>
      </c>
      <c r="H1152" t="s">
        <v>8707</v>
      </c>
      <c r="I1152" s="99">
        <v>44040</v>
      </c>
      <c r="J1152" s="99">
        <v>44044</v>
      </c>
      <c r="K1152" t="s">
        <v>8241</v>
      </c>
      <c r="L1152" t="s">
        <v>6934</v>
      </c>
    </row>
    <row r="1153" spans="2:12" x14ac:dyDescent="0.2">
      <c r="B1153">
        <v>10823</v>
      </c>
      <c r="C1153" t="s">
        <v>8242</v>
      </c>
      <c r="D1153" t="s">
        <v>8237</v>
      </c>
      <c r="E1153" s="225">
        <v>378</v>
      </c>
      <c r="F1153" t="s">
        <v>8709</v>
      </c>
      <c r="G1153" t="s">
        <v>8708</v>
      </c>
      <c r="H1153" t="s">
        <v>8707</v>
      </c>
      <c r="I1153" s="99">
        <v>44040</v>
      </c>
      <c r="J1153" s="99">
        <v>44044</v>
      </c>
      <c r="K1153" t="s">
        <v>8241</v>
      </c>
      <c r="L1153" t="s">
        <v>6934</v>
      </c>
    </row>
    <row r="1154" spans="2:12" x14ac:dyDescent="0.2">
      <c r="B1154">
        <v>10823</v>
      </c>
      <c r="C1154" t="s">
        <v>8281</v>
      </c>
      <c r="D1154" t="s">
        <v>8237</v>
      </c>
      <c r="E1154" s="225">
        <v>1980</v>
      </c>
      <c r="F1154" t="s">
        <v>8709</v>
      </c>
      <c r="G1154" t="s">
        <v>8708</v>
      </c>
      <c r="H1154" t="s">
        <v>8707</v>
      </c>
      <c r="I1154" s="99">
        <v>44040</v>
      </c>
      <c r="J1154" s="99">
        <v>44044</v>
      </c>
      <c r="K1154" t="s">
        <v>8241</v>
      </c>
      <c r="L1154" t="s">
        <v>6934</v>
      </c>
    </row>
    <row r="1155" spans="2:12" x14ac:dyDescent="0.2">
      <c r="B1155">
        <v>10823</v>
      </c>
      <c r="C1155" t="s">
        <v>8258</v>
      </c>
      <c r="D1155" t="s">
        <v>8244</v>
      </c>
      <c r="E1155" s="225">
        <v>292.5</v>
      </c>
      <c r="F1155" t="s">
        <v>8709</v>
      </c>
      <c r="G1155" t="s">
        <v>8708</v>
      </c>
      <c r="H1155" t="s">
        <v>8707</v>
      </c>
      <c r="I1155" s="99">
        <v>44040</v>
      </c>
      <c r="J1155" s="99">
        <v>44044</v>
      </c>
      <c r="K1155" t="s">
        <v>8241</v>
      </c>
      <c r="L1155" t="s">
        <v>6934</v>
      </c>
    </row>
    <row r="1156" spans="2:12" x14ac:dyDescent="0.2">
      <c r="B1156">
        <v>10824</v>
      </c>
      <c r="C1156" t="s">
        <v>8288</v>
      </c>
      <c r="D1156" t="s">
        <v>8272</v>
      </c>
      <c r="E1156" s="225">
        <v>135</v>
      </c>
      <c r="F1156" t="s">
        <v>8293</v>
      </c>
      <c r="G1156" t="s">
        <v>8294</v>
      </c>
      <c r="H1156" t="s">
        <v>8292</v>
      </c>
      <c r="I1156" s="99">
        <v>44040</v>
      </c>
      <c r="J1156" s="99">
        <v>44060</v>
      </c>
      <c r="K1156" t="s">
        <v>8320</v>
      </c>
      <c r="L1156" t="s">
        <v>8321</v>
      </c>
    </row>
    <row r="1157" spans="2:12" x14ac:dyDescent="0.2">
      <c r="B1157">
        <v>10825</v>
      </c>
      <c r="C1157" t="s">
        <v>8372</v>
      </c>
      <c r="D1157" t="s">
        <v>8262</v>
      </c>
      <c r="E1157" s="225">
        <v>374.76</v>
      </c>
      <c r="F1157" t="s">
        <v>8391</v>
      </c>
      <c r="G1157" t="s">
        <v>8392</v>
      </c>
      <c r="H1157" t="s">
        <v>8246</v>
      </c>
      <c r="I1157" s="99">
        <v>44040</v>
      </c>
      <c r="J1157" s="99">
        <v>44045</v>
      </c>
      <c r="K1157" t="s">
        <v>8285</v>
      </c>
      <c r="L1157" t="s">
        <v>2317</v>
      </c>
    </row>
    <row r="1158" spans="2:12" x14ac:dyDescent="0.2">
      <c r="B1158">
        <v>10826</v>
      </c>
      <c r="C1158" t="s">
        <v>8309</v>
      </c>
      <c r="D1158" t="s">
        <v>8237</v>
      </c>
      <c r="E1158" s="225">
        <v>437.5</v>
      </c>
      <c r="F1158" t="s">
        <v>8295</v>
      </c>
      <c r="G1158" t="s">
        <v>8296</v>
      </c>
      <c r="H1158" t="s">
        <v>8236</v>
      </c>
      <c r="I1158" s="99">
        <v>44044</v>
      </c>
      <c r="J1158" s="99">
        <v>44067</v>
      </c>
      <c r="K1158" t="s">
        <v>8251</v>
      </c>
      <c r="L1158" t="s">
        <v>269</v>
      </c>
    </row>
    <row r="1159" spans="2:12" x14ac:dyDescent="0.2">
      <c r="B1159">
        <v>10826</v>
      </c>
      <c r="C1159" t="s">
        <v>8258</v>
      </c>
      <c r="D1159" t="s">
        <v>8244</v>
      </c>
      <c r="E1159" s="225">
        <v>292.5</v>
      </c>
      <c r="F1159" t="s">
        <v>8295</v>
      </c>
      <c r="G1159" t="s">
        <v>8296</v>
      </c>
      <c r="H1159" t="s">
        <v>8236</v>
      </c>
      <c r="I1159" s="99">
        <v>44044</v>
      </c>
      <c r="J1159" s="99">
        <v>44067</v>
      </c>
      <c r="K1159" t="s">
        <v>8251</v>
      </c>
      <c r="L1159" t="s">
        <v>269</v>
      </c>
    </row>
    <row r="1160" spans="2:12" x14ac:dyDescent="0.2">
      <c r="B1160">
        <v>10827</v>
      </c>
      <c r="C1160" t="s">
        <v>8342</v>
      </c>
      <c r="D1160" t="s">
        <v>8272</v>
      </c>
      <c r="E1160" s="225">
        <v>378</v>
      </c>
      <c r="F1160" t="s">
        <v>8377</v>
      </c>
      <c r="G1160" t="s">
        <v>8378</v>
      </c>
      <c r="H1160" t="s">
        <v>8236</v>
      </c>
      <c r="I1160" s="99">
        <v>44044</v>
      </c>
      <c r="J1160" s="99">
        <v>44067</v>
      </c>
      <c r="K1160" t="s">
        <v>8285</v>
      </c>
      <c r="L1160" t="s">
        <v>2317</v>
      </c>
    </row>
    <row r="1161" spans="2:12" x14ac:dyDescent="0.2">
      <c r="B1161">
        <v>10828</v>
      </c>
      <c r="C1161" t="s">
        <v>8380</v>
      </c>
      <c r="D1161" t="s">
        <v>8272</v>
      </c>
      <c r="E1161" s="225">
        <v>527</v>
      </c>
      <c r="F1161" t="s">
        <v>8726</v>
      </c>
      <c r="G1161" t="s">
        <v>8725</v>
      </c>
      <c r="H1161" t="s">
        <v>8717</v>
      </c>
      <c r="I1161" s="99">
        <v>44044</v>
      </c>
      <c r="J1161" s="99">
        <v>44065</v>
      </c>
      <c r="K1161" t="s">
        <v>8279</v>
      </c>
      <c r="L1161" t="s">
        <v>710</v>
      </c>
    </row>
    <row r="1162" spans="2:12" x14ac:dyDescent="0.2">
      <c r="B1162">
        <v>10828</v>
      </c>
      <c r="C1162" t="s">
        <v>8260</v>
      </c>
      <c r="D1162" t="s">
        <v>8262</v>
      </c>
      <c r="E1162" s="225">
        <v>405</v>
      </c>
      <c r="F1162" t="s">
        <v>8726</v>
      </c>
      <c r="G1162" t="s">
        <v>8725</v>
      </c>
      <c r="H1162" t="s">
        <v>8717</v>
      </c>
      <c r="I1162" s="99">
        <v>44044</v>
      </c>
      <c r="J1162" s="99">
        <v>44065</v>
      </c>
      <c r="K1162" t="s">
        <v>8279</v>
      </c>
      <c r="L1162" t="s">
        <v>710</v>
      </c>
    </row>
    <row r="1163" spans="2:12" x14ac:dyDescent="0.2">
      <c r="B1163">
        <v>10829</v>
      </c>
      <c r="C1163" t="s">
        <v>8276</v>
      </c>
      <c r="D1163" t="s">
        <v>8272</v>
      </c>
      <c r="E1163" s="225">
        <v>190</v>
      </c>
      <c r="F1163" t="s">
        <v>8356</v>
      </c>
      <c r="G1163" t="s">
        <v>8357</v>
      </c>
      <c r="H1163" t="s">
        <v>2434</v>
      </c>
      <c r="I1163" s="99">
        <v>44044</v>
      </c>
      <c r="J1163" s="99">
        <v>44054</v>
      </c>
      <c r="K1163" t="s">
        <v>8279</v>
      </c>
      <c r="L1163" t="s">
        <v>710</v>
      </c>
    </row>
    <row r="1164" spans="2:12" x14ac:dyDescent="0.2">
      <c r="B1164">
        <v>10829</v>
      </c>
      <c r="C1164" t="s">
        <v>8379</v>
      </c>
      <c r="D1164" t="s">
        <v>8254</v>
      </c>
      <c r="E1164" s="225">
        <v>800</v>
      </c>
      <c r="F1164" t="s">
        <v>8356</v>
      </c>
      <c r="G1164" t="s">
        <v>8357</v>
      </c>
      <c r="H1164" t="s">
        <v>2434</v>
      </c>
      <c r="I1164" s="99">
        <v>44044</v>
      </c>
      <c r="J1164" s="99">
        <v>44054</v>
      </c>
      <c r="K1164" t="s">
        <v>8279</v>
      </c>
      <c r="L1164" t="s">
        <v>710</v>
      </c>
    </row>
    <row r="1165" spans="2:12" x14ac:dyDescent="0.2">
      <c r="B1165">
        <v>10829</v>
      </c>
      <c r="C1165" t="s">
        <v>8268</v>
      </c>
      <c r="D1165" t="s">
        <v>8237</v>
      </c>
      <c r="E1165" s="225">
        <v>714</v>
      </c>
      <c r="F1165" t="s">
        <v>8356</v>
      </c>
      <c r="G1165" t="s">
        <v>8357</v>
      </c>
      <c r="H1165" t="s">
        <v>2434</v>
      </c>
      <c r="I1165" s="99">
        <v>44044</v>
      </c>
      <c r="J1165" s="99">
        <v>44054</v>
      </c>
      <c r="K1165" t="s">
        <v>8279</v>
      </c>
      <c r="L1165" t="s">
        <v>710</v>
      </c>
    </row>
    <row r="1166" spans="2:12" x14ac:dyDescent="0.2">
      <c r="B1166">
        <v>10830</v>
      </c>
      <c r="C1166" t="s">
        <v>8342</v>
      </c>
      <c r="D1166" t="s">
        <v>8272</v>
      </c>
      <c r="E1166" s="225">
        <v>504</v>
      </c>
      <c r="F1166" t="s">
        <v>8746</v>
      </c>
      <c r="G1166" t="s">
        <v>8745</v>
      </c>
      <c r="H1166" t="s">
        <v>8710</v>
      </c>
      <c r="I1166" s="99">
        <v>44044</v>
      </c>
      <c r="J1166" s="99">
        <v>44052</v>
      </c>
      <c r="K1166" t="s">
        <v>8266</v>
      </c>
      <c r="L1166" t="s">
        <v>8267</v>
      </c>
    </row>
    <row r="1167" spans="2:12" x14ac:dyDescent="0.2">
      <c r="B1167">
        <v>10830</v>
      </c>
      <c r="C1167" t="s">
        <v>8351</v>
      </c>
      <c r="D1167" t="s">
        <v>8254</v>
      </c>
      <c r="E1167" s="225">
        <v>150</v>
      </c>
      <c r="F1167" t="s">
        <v>8746</v>
      </c>
      <c r="G1167" t="s">
        <v>8745</v>
      </c>
      <c r="H1167" t="s">
        <v>8710</v>
      </c>
      <c r="I1167" s="99">
        <v>44044</v>
      </c>
      <c r="J1167" s="99">
        <v>44052</v>
      </c>
      <c r="K1167" t="s">
        <v>8266</v>
      </c>
      <c r="L1167" t="s">
        <v>8267</v>
      </c>
    </row>
    <row r="1168" spans="2:12" x14ac:dyDescent="0.2">
      <c r="B1168">
        <v>10830</v>
      </c>
      <c r="C1168" t="s">
        <v>8334</v>
      </c>
      <c r="D1168" t="s">
        <v>8262</v>
      </c>
      <c r="E1168" s="225">
        <v>300</v>
      </c>
      <c r="F1168" t="s">
        <v>8746</v>
      </c>
      <c r="G1168" t="s">
        <v>8745</v>
      </c>
      <c r="H1168" t="s">
        <v>8710</v>
      </c>
      <c r="I1168" s="99">
        <v>44044</v>
      </c>
      <c r="J1168" s="99">
        <v>44052</v>
      </c>
      <c r="K1168" t="s">
        <v>8266</v>
      </c>
      <c r="L1168" t="s">
        <v>8267</v>
      </c>
    </row>
    <row r="1169" spans="2:12" x14ac:dyDescent="0.2">
      <c r="B1169">
        <v>10830</v>
      </c>
      <c r="C1169" t="s">
        <v>8268</v>
      </c>
      <c r="D1169" t="s">
        <v>8237</v>
      </c>
      <c r="E1169" s="225">
        <v>1020</v>
      </c>
      <c r="F1169" t="s">
        <v>8746</v>
      </c>
      <c r="G1169" t="s">
        <v>8745</v>
      </c>
      <c r="H1169" t="s">
        <v>8710</v>
      </c>
      <c r="I1169" s="99">
        <v>44044</v>
      </c>
      <c r="J1169" s="99">
        <v>44052</v>
      </c>
      <c r="K1169" t="s">
        <v>8266</v>
      </c>
      <c r="L1169" t="s">
        <v>8267</v>
      </c>
    </row>
    <row r="1170" spans="2:12" x14ac:dyDescent="0.2">
      <c r="B1170">
        <v>10831</v>
      </c>
      <c r="C1170" t="s">
        <v>8323</v>
      </c>
      <c r="D1170" t="s">
        <v>8272</v>
      </c>
      <c r="E1170" s="225">
        <v>144</v>
      </c>
      <c r="F1170" t="s">
        <v>8404</v>
      </c>
      <c r="G1170" t="s">
        <v>8405</v>
      </c>
      <c r="H1170" t="s">
        <v>8403</v>
      </c>
      <c r="I1170" s="99">
        <v>44045</v>
      </c>
      <c r="J1170" s="99">
        <v>44054</v>
      </c>
      <c r="K1170" t="s">
        <v>8257</v>
      </c>
      <c r="L1170" t="s">
        <v>6984</v>
      </c>
    </row>
    <row r="1171" spans="2:12" x14ac:dyDescent="0.2">
      <c r="B1171">
        <v>10831</v>
      </c>
      <c r="C1171" t="s">
        <v>8380</v>
      </c>
      <c r="D1171" t="s">
        <v>8272</v>
      </c>
      <c r="E1171" s="225">
        <v>2108</v>
      </c>
      <c r="F1171" t="s">
        <v>8404</v>
      </c>
      <c r="G1171" t="s">
        <v>8405</v>
      </c>
      <c r="H1171" t="s">
        <v>8403</v>
      </c>
      <c r="I1171" s="99">
        <v>44045</v>
      </c>
      <c r="J1171" s="99">
        <v>44054</v>
      </c>
      <c r="K1171" t="s">
        <v>8257</v>
      </c>
      <c r="L1171" t="s">
        <v>6984</v>
      </c>
    </row>
    <row r="1172" spans="2:12" x14ac:dyDescent="0.2">
      <c r="B1172">
        <v>10831</v>
      </c>
      <c r="C1172" t="s">
        <v>8306</v>
      </c>
      <c r="D1172" t="s">
        <v>8272</v>
      </c>
      <c r="E1172" s="225">
        <v>414</v>
      </c>
      <c r="F1172" t="s">
        <v>8404</v>
      </c>
      <c r="G1172" t="s">
        <v>8405</v>
      </c>
      <c r="H1172" t="s">
        <v>8403</v>
      </c>
      <c r="I1172" s="99">
        <v>44045</v>
      </c>
      <c r="J1172" s="99">
        <v>44054</v>
      </c>
      <c r="K1172" t="s">
        <v>8257</v>
      </c>
      <c r="L1172" t="s">
        <v>6984</v>
      </c>
    </row>
    <row r="1173" spans="2:12" x14ac:dyDescent="0.2">
      <c r="B1173">
        <v>10831</v>
      </c>
      <c r="C1173" t="s">
        <v>8327</v>
      </c>
      <c r="D1173" t="s">
        <v>8262</v>
      </c>
      <c r="E1173" s="225">
        <v>18.399999999999999</v>
      </c>
      <c r="F1173" t="s">
        <v>8404</v>
      </c>
      <c r="G1173" t="s">
        <v>8405</v>
      </c>
      <c r="H1173" t="s">
        <v>8403</v>
      </c>
      <c r="I1173" s="99">
        <v>44045</v>
      </c>
      <c r="J1173" s="99">
        <v>44054</v>
      </c>
      <c r="K1173" t="s">
        <v>8257</v>
      </c>
      <c r="L1173" t="s">
        <v>6984</v>
      </c>
    </row>
    <row r="1174" spans="2:12" x14ac:dyDescent="0.2">
      <c r="B1174">
        <v>10832</v>
      </c>
      <c r="C1174" t="s">
        <v>8322</v>
      </c>
      <c r="D1174" t="s">
        <v>8254</v>
      </c>
      <c r="E1174" s="225">
        <v>248.96</v>
      </c>
      <c r="F1174" t="s">
        <v>8382</v>
      </c>
      <c r="G1174" t="s">
        <v>8383</v>
      </c>
      <c r="H1174" t="s">
        <v>8236</v>
      </c>
      <c r="I1174" s="99">
        <v>44045</v>
      </c>
      <c r="J1174" s="99">
        <v>44050</v>
      </c>
      <c r="K1174" t="s">
        <v>8297</v>
      </c>
      <c r="L1174" t="s">
        <v>8298</v>
      </c>
    </row>
    <row r="1175" spans="2:12" x14ac:dyDescent="0.2">
      <c r="B1175">
        <v>10832</v>
      </c>
      <c r="C1175" t="s">
        <v>8362</v>
      </c>
      <c r="D1175" t="s">
        <v>8262</v>
      </c>
      <c r="E1175" s="225">
        <v>112</v>
      </c>
      <c r="F1175" t="s">
        <v>8382</v>
      </c>
      <c r="G1175" t="s">
        <v>8383</v>
      </c>
      <c r="H1175" t="s">
        <v>8236</v>
      </c>
      <c r="I1175" s="99">
        <v>44045</v>
      </c>
      <c r="J1175" s="99">
        <v>44050</v>
      </c>
      <c r="K1175" t="s">
        <v>8297</v>
      </c>
      <c r="L1175" t="s">
        <v>8298</v>
      </c>
    </row>
    <row r="1176" spans="2:12" x14ac:dyDescent="0.2">
      <c r="B1176">
        <v>10832</v>
      </c>
      <c r="C1176" t="s">
        <v>8340</v>
      </c>
      <c r="D1176" t="s">
        <v>8244</v>
      </c>
      <c r="E1176" s="225">
        <v>99.75</v>
      </c>
      <c r="F1176" t="s">
        <v>8382</v>
      </c>
      <c r="G1176" t="s">
        <v>8383</v>
      </c>
      <c r="H1176" t="s">
        <v>8236</v>
      </c>
      <c r="I1176" s="99">
        <v>44045</v>
      </c>
      <c r="J1176" s="99">
        <v>44050</v>
      </c>
      <c r="K1176" t="s">
        <v>8297</v>
      </c>
      <c r="L1176" t="s">
        <v>8298</v>
      </c>
    </row>
    <row r="1177" spans="2:12" x14ac:dyDescent="0.2">
      <c r="B1177">
        <v>10833</v>
      </c>
      <c r="C1177" t="s">
        <v>8309</v>
      </c>
      <c r="D1177" t="s">
        <v>8237</v>
      </c>
      <c r="E1177" s="225">
        <v>101.25</v>
      </c>
      <c r="F1177" t="s">
        <v>8289</v>
      </c>
      <c r="G1177" t="s">
        <v>8290</v>
      </c>
      <c r="H1177" t="s">
        <v>8246</v>
      </c>
      <c r="I1177" s="99">
        <v>44046</v>
      </c>
      <c r="J1177" s="99">
        <v>44054</v>
      </c>
      <c r="K1177" t="s">
        <v>8251</v>
      </c>
      <c r="L1177" t="s">
        <v>269</v>
      </c>
    </row>
    <row r="1178" spans="2:12" x14ac:dyDescent="0.2">
      <c r="B1178">
        <v>10833</v>
      </c>
      <c r="C1178" t="s">
        <v>8415</v>
      </c>
      <c r="D1178" t="s">
        <v>8247</v>
      </c>
      <c r="E1178" s="225">
        <v>540</v>
      </c>
      <c r="F1178" t="s">
        <v>8289</v>
      </c>
      <c r="G1178" t="s">
        <v>8290</v>
      </c>
      <c r="H1178" t="s">
        <v>8246</v>
      </c>
      <c r="I1178" s="99">
        <v>44046</v>
      </c>
      <c r="J1178" s="99">
        <v>44054</v>
      </c>
      <c r="K1178" t="s">
        <v>8251</v>
      </c>
      <c r="L1178" t="s">
        <v>269</v>
      </c>
    </row>
    <row r="1179" spans="2:12" x14ac:dyDescent="0.2">
      <c r="B1179">
        <v>10835</v>
      </c>
      <c r="C1179" t="s">
        <v>8397</v>
      </c>
      <c r="D1179" t="s">
        <v>8254</v>
      </c>
      <c r="E1179" s="225">
        <v>20.8</v>
      </c>
      <c r="F1179" t="s">
        <v>8422</v>
      </c>
      <c r="G1179" t="s">
        <v>8423</v>
      </c>
      <c r="H1179" t="s">
        <v>8246</v>
      </c>
      <c r="I1179" s="99">
        <v>44046</v>
      </c>
      <c r="J1179" s="99">
        <v>44052</v>
      </c>
      <c r="K1179" t="s">
        <v>8285</v>
      </c>
      <c r="L1179" t="s">
        <v>2317</v>
      </c>
    </row>
    <row r="1180" spans="2:12" x14ac:dyDescent="0.2">
      <c r="B1180">
        <v>10835</v>
      </c>
      <c r="C1180" t="s">
        <v>8281</v>
      </c>
      <c r="D1180" t="s">
        <v>8237</v>
      </c>
      <c r="E1180" s="225">
        <v>825</v>
      </c>
      <c r="F1180" t="s">
        <v>8422</v>
      </c>
      <c r="G1180" t="s">
        <v>8423</v>
      </c>
      <c r="H1180" t="s">
        <v>8246</v>
      </c>
      <c r="I1180" s="99">
        <v>44046</v>
      </c>
      <c r="J1180" s="99">
        <v>44052</v>
      </c>
      <c r="K1180" t="s">
        <v>8285</v>
      </c>
      <c r="L1180" t="s">
        <v>2317</v>
      </c>
    </row>
    <row r="1181" spans="2:12" x14ac:dyDescent="0.2">
      <c r="B1181">
        <v>10836</v>
      </c>
      <c r="C1181" t="s">
        <v>8323</v>
      </c>
      <c r="D1181" t="s">
        <v>8272</v>
      </c>
      <c r="E1181" s="225">
        <v>108</v>
      </c>
      <c r="F1181" t="s">
        <v>8283</v>
      </c>
      <c r="G1181" t="s">
        <v>8284</v>
      </c>
      <c r="H1181" t="s">
        <v>8282</v>
      </c>
      <c r="I1181" s="99">
        <v>44047</v>
      </c>
      <c r="J1181" s="99">
        <v>44052</v>
      </c>
      <c r="K1181" t="s">
        <v>8158</v>
      </c>
      <c r="L1181" t="s">
        <v>861</v>
      </c>
    </row>
    <row r="1182" spans="2:12" x14ac:dyDescent="0.2">
      <c r="B1182">
        <v>10836</v>
      </c>
      <c r="C1182" t="s">
        <v>8268</v>
      </c>
      <c r="D1182" t="s">
        <v>8237</v>
      </c>
      <c r="E1182" s="225">
        <v>2040</v>
      </c>
      <c r="F1182" t="s">
        <v>8283</v>
      </c>
      <c r="G1182" t="s">
        <v>8284</v>
      </c>
      <c r="H1182" t="s">
        <v>8282</v>
      </c>
      <c r="I1182" s="99">
        <v>44047</v>
      </c>
      <c r="J1182" s="99">
        <v>44052</v>
      </c>
      <c r="K1182" t="s">
        <v>8158</v>
      </c>
      <c r="L1182" t="s">
        <v>861</v>
      </c>
    </row>
    <row r="1183" spans="2:12" x14ac:dyDescent="0.2">
      <c r="B1183">
        <v>10836</v>
      </c>
      <c r="C1183" t="s">
        <v>8259</v>
      </c>
      <c r="D1183" t="s">
        <v>8244</v>
      </c>
      <c r="E1183" s="225">
        <v>1092</v>
      </c>
      <c r="F1183" t="s">
        <v>8283</v>
      </c>
      <c r="G1183" t="s">
        <v>8284</v>
      </c>
      <c r="H1183" t="s">
        <v>8282</v>
      </c>
      <c r="I1183" s="99">
        <v>44047</v>
      </c>
      <c r="J1183" s="99">
        <v>44052</v>
      </c>
      <c r="K1183" t="s">
        <v>8158</v>
      </c>
      <c r="L1183" t="s">
        <v>861</v>
      </c>
    </row>
    <row r="1184" spans="2:12" x14ac:dyDescent="0.2">
      <c r="B1184">
        <v>10836</v>
      </c>
      <c r="C1184" t="s">
        <v>8258</v>
      </c>
      <c r="D1184" t="s">
        <v>8244</v>
      </c>
      <c r="E1184" s="225">
        <v>468</v>
      </c>
      <c r="F1184" t="s">
        <v>8283</v>
      </c>
      <c r="G1184" t="s">
        <v>8284</v>
      </c>
      <c r="H1184" t="s">
        <v>8282</v>
      </c>
      <c r="I1184" s="99">
        <v>44047</v>
      </c>
      <c r="J1184" s="99">
        <v>44052</v>
      </c>
      <c r="K1184" t="s">
        <v>8158</v>
      </c>
      <c r="L1184" t="s">
        <v>861</v>
      </c>
    </row>
    <row r="1185" spans="2:12" x14ac:dyDescent="0.2">
      <c r="B1185">
        <v>10836</v>
      </c>
      <c r="C1185" t="s">
        <v>8340</v>
      </c>
      <c r="D1185" t="s">
        <v>8244</v>
      </c>
      <c r="E1185" s="225">
        <v>997.5</v>
      </c>
      <c r="F1185" t="s">
        <v>8283</v>
      </c>
      <c r="G1185" t="s">
        <v>8284</v>
      </c>
      <c r="H1185" t="s">
        <v>8282</v>
      </c>
      <c r="I1185" s="99">
        <v>44047</v>
      </c>
      <c r="J1185" s="99">
        <v>44052</v>
      </c>
      <c r="K1185" t="s">
        <v>8158</v>
      </c>
      <c r="L1185" t="s">
        <v>861</v>
      </c>
    </row>
    <row r="1186" spans="2:12" x14ac:dyDescent="0.2">
      <c r="B1186">
        <v>10837</v>
      </c>
      <c r="C1186" t="s">
        <v>8303</v>
      </c>
      <c r="D1186" t="s">
        <v>8272</v>
      </c>
      <c r="E1186" s="225">
        <v>283.5</v>
      </c>
      <c r="F1186" t="s">
        <v>8318</v>
      </c>
      <c r="G1186" t="s">
        <v>8319</v>
      </c>
      <c r="H1186" t="s">
        <v>8292</v>
      </c>
      <c r="I1186" s="99">
        <v>44047</v>
      </c>
      <c r="J1186" s="99">
        <v>44054</v>
      </c>
      <c r="K1186" t="s">
        <v>8279</v>
      </c>
      <c r="L1186" t="s">
        <v>710</v>
      </c>
    </row>
    <row r="1187" spans="2:12" x14ac:dyDescent="0.2">
      <c r="B1187">
        <v>10837</v>
      </c>
      <c r="C1187" t="s">
        <v>8410</v>
      </c>
      <c r="D1187" t="s">
        <v>8262</v>
      </c>
      <c r="E1187" s="225">
        <v>285</v>
      </c>
      <c r="F1187" t="s">
        <v>8318</v>
      </c>
      <c r="G1187" t="s">
        <v>8319</v>
      </c>
      <c r="H1187" t="s">
        <v>8292</v>
      </c>
      <c r="I1187" s="99">
        <v>44047</v>
      </c>
      <c r="J1187" s="99">
        <v>44054</v>
      </c>
      <c r="K1187" t="s">
        <v>8279</v>
      </c>
      <c r="L1187" t="s">
        <v>710</v>
      </c>
    </row>
    <row r="1188" spans="2:12" x14ac:dyDescent="0.2">
      <c r="B1188">
        <v>10838</v>
      </c>
      <c r="C1188" t="s">
        <v>8333</v>
      </c>
      <c r="D1188" t="s">
        <v>8272</v>
      </c>
      <c r="E1188" s="225">
        <v>54</v>
      </c>
      <c r="F1188" t="s">
        <v>8724</v>
      </c>
      <c r="G1188" t="s">
        <v>8723</v>
      </c>
      <c r="H1188" t="s">
        <v>8707</v>
      </c>
      <c r="I1188" s="99">
        <v>44050</v>
      </c>
      <c r="J1188" s="99">
        <v>44054</v>
      </c>
      <c r="K1188" t="s">
        <v>8257</v>
      </c>
      <c r="L1188" t="s">
        <v>6984</v>
      </c>
    </row>
    <row r="1189" spans="2:12" x14ac:dyDescent="0.2">
      <c r="B1189">
        <v>10839</v>
      </c>
      <c r="C1189" t="s">
        <v>8235</v>
      </c>
      <c r="D1189" t="s">
        <v>8237</v>
      </c>
      <c r="E1189" s="225">
        <v>469.8</v>
      </c>
      <c r="F1189" t="s">
        <v>8746</v>
      </c>
      <c r="G1189" t="s">
        <v>8745</v>
      </c>
      <c r="H1189" t="s">
        <v>8710</v>
      </c>
      <c r="I1189" s="99">
        <v>44050</v>
      </c>
      <c r="J1189" s="99">
        <v>44053</v>
      </c>
      <c r="K1189" t="s">
        <v>8257</v>
      </c>
      <c r="L1189" t="s">
        <v>6984</v>
      </c>
    </row>
    <row r="1190" spans="2:12" x14ac:dyDescent="0.2">
      <c r="B1190">
        <v>10840</v>
      </c>
      <c r="C1190" t="s">
        <v>8342</v>
      </c>
      <c r="D1190" t="s">
        <v>8272</v>
      </c>
      <c r="E1190" s="225">
        <v>144</v>
      </c>
      <c r="F1190" t="s">
        <v>8724</v>
      </c>
      <c r="G1190" t="s">
        <v>8723</v>
      </c>
      <c r="H1190" t="s">
        <v>8707</v>
      </c>
      <c r="I1190" s="99">
        <v>44050</v>
      </c>
      <c r="J1190" s="99">
        <v>44077</v>
      </c>
      <c r="K1190" t="s">
        <v>8266</v>
      </c>
      <c r="L1190" t="s">
        <v>8267</v>
      </c>
    </row>
    <row r="1191" spans="2:12" x14ac:dyDescent="0.2">
      <c r="B1191">
        <v>10840</v>
      </c>
      <c r="C1191" t="s">
        <v>8362</v>
      </c>
      <c r="D1191" t="s">
        <v>8262</v>
      </c>
      <c r="E1191" s="225">
        <v>67.2</v>
      </c>
      <c r="F1191" t="s">
        <v>8724</v>
      </c>
      <c r="G1191" t="s">
        <v>8723</v>
      </c>
      <c r="H1191" t="s">
        <v>8707</v>
      </c>
      <c r="I1191" s="99">
        <v>44050</v>
      </c>
      <c r="J1191" s="99">
        <v>44077</v>
      </c>
      <c r="K1191" t="s">
        <v>8266</v>
      </c>
      <c r="L1191" t="s">
        <v>8267</v>
      </c>
    </row>
    <row r="1192" spans="2:12" x14ac:dyDescent="0.2">
      <c r="B1192">
        <v>10841</v>
      </c>
      <c r="C1192" t="s">
        <v>8397</v>
      </c>
      <c r="D1192" t="s">
        <v>8254</v>
      </c>
      <c r="E1192" s="225">
        <v>195</v>
      </c>
      <c r="F1192" t="s">
        <v>8263</v>
      </c>
      <c r="G1192" t="s">
        <v>8264</v>
      </c>
      <c r="H1192" t="s">
        <v>8261</v>
      </c>
      <c r="I1192" s="99">
        <v>44051</v>
      </c>
      <c r="J1192" s="99">
        <v>44056</v>
      </c>
      <c r="K1192" t="s">
        <v>8241</v>
      </c>
      <c r="L1192" t="s">
        <v>6934</v>
      </c>
    </row>
    <row r="1193" spans="2:12" x14ac:dyDescent="0.2">
      <c r="B1193">
        <v>10841</v>
      </c>
      <c r="C1193" t="s">
        <v>8281</v>
      </c>
      <c r="D1193" t="s">
        <v>8237</v>
      </c>
      <c r="E1193" s="225">
        <v>2750</v>
      </c>
      <c r="F1193" t="s">
        <v>8263</v>
      </c>
      <c r="G1193" t="s">
        <v>8264</v>
      </c>
      <c r="H1193" t="s">
        <v>8261</v>
      </c>
      <c r="I1193" s="99">
        <v>44051</v>
      </c>
      <c r="J1193" s="99">
        <v>44056</v>
      </c>
      <c r="K1193" t="s">
        <v>8241</v>
      </c>
      <c r="L1193" t="s">
        <v>6934</v>
      </c>
    </row>
    <row r="1194" spans="2:12" x14ac:dyDescent="0.2">
      <c r="B1194">
        <v>10841</v>
      </c>
      <c r="C1194" t="s">
        <v>8341</v>
      </c>
      <c r="D1194" t="s">
        <v>8244</v>
      </c>
      <c r="E1194" s="225">
        <v>1140</v>
      </c>
      <c r="F1194" t="s">
        <v>8263</v>
      </c>
      <c r="G1194" t="s">
        <v>8264</v>
      </c>
      <c r="H1194" t="s">
        <v>8261</v>
      </c>
      <c r="I1194" s="99">
        <v>44051</v>
      </c>
      <c r="J1194" s="99">
        <v>44056</v>
      </c>
      <c r="K1194" t="s">
        <v>8241</v>
      </c>
      <c r="L1194" t="s">
        <v>6934</v>
      </c>
    </row>
    <row r="1195" spans="2:12" x14ac:dyDescent="0.2">
      <c r="B1195">
        <v>10842</v>
      </c>
      <c r="C1195" t="s">
        <v>8306</v>
      </c>
      <c r="D1195" t="s">
        <v>8272</v>
      </c>
      <c r="E1195" s="225">
        <v>230</v>
      </c>
      <c r="F1195" t="s">
        <v>8742</v>
      </c>
      <c r="G1195" t="s">
        <v>8741</v>
      </c>
      <c r="H1195" t="s">
        <v>8704</v>
      </c>
      <c r="I1195" s="99">
        <v>44051</v>
      </c>
      <c r="J1195" s="99">
        <v>44059</v>
      </c>
      <c r="K1195" t="s">
        <v>8285</v>
      </c>
      <c r="L1195" t="s">
        <v>2317</v>
      </c>
    </row>
    <row r="1196" spans="2:12" x14ac:dyDescent="0.2">
      <c r="B1196">
        <v>10842</v>
      </c>
      <c r="C1196" t="s">
        <v>8288</v>
      </c>
      <c r="D1196" t="s">
        <v>8272</v>
      </c>
      <c r="E1196" s="225">
        <v>180</v>
      </c>
      <c r="F1196" t="s">
        <v>8742</v>
      </c>
      <c r="G1196" t="s">
        <v>8741</v>
      </c>
      <c r="H1196" t="s">
        <v>8704</v>
      </c>
      <c r="I1196" s="99">
        <v>44051</v>
      </c>
      <c r="J1196" s="99">
        <v>44059</v>
      </c>
      <c r="K1196" t="s">
        <v>8285</v>
      </c>
      <c r="L1196" t="s">
        <v>2317</v>
      </c>
    </row>
    <row r="1197" spans="2:12" x14ac:dyDescent="0.2">
      <c r="B1197">
        <v>10842</v>
      </c>
      <c r="C1197" t="s">
        <v>8334</v>
      </c>
      <c r="D1197" t="s">
        <v>8262</v>
      </c>
      <c r="E1197" s="225">
        <v>250</v>
      </c>
      <c r="F1197" t="s">
        <v>8742</v>
      </c>
      <c r="G1197" t="s">
        <v>8741</v>
      </c>
      <c r="H1197" t="s">
        <v>8704</v>
      </c>
      <c r="I1197" s="99">
        <v>44051</v>
      </c>
      <c r="J1197" s="99">
        <v>44059</v>
      </c>
      <c r="K1197" t="s">
        <v>8285</v>
      </c>
      <c r="L1197" t="s">
        <v>2317</v>
      </c>
    </row>
    <row r="1198" spans="2:12" x14ac:dyDescent="0.2">
      <c r="B1198">
        <v>10842</v>
      </c>
      <c r="C1198" t="s">
        <v>8242</v>
      </c>
      <c r="D1198" t="s">
        <v>8237</v>
      </c>
      <c r="E1198" s="225">
        <v>315</v>
      </c>
      <c r="F1198" t="s">
        <v>8742</v>
      </c>
      <c r="G1198" t="s">
        <v>8741</v>
      </c>
      <c r="H1198" t="s">
        <v>8704</v>
      </c>
      <c r="I1198" s="99">
        <v>44051</v>
      </c>
      <c r="J1198" s="99">
        <v>44059</v>
      </c>
      <c r="K1198" t="s">
        <v>8285</v>
      </c>
      <c r="L1198" t="s">
        <v>2317</v>
      </c>
    </row>
    <row r="1199" spans="2:12" x14ac:dyDescent="0.2">
      <c r="B1199">
        <v>10843</v>
      </c>
      <c r="C1199" t="s">
        <v>8245</v>
      </c>
      <c r="D1199" t="s">
        <v>8247</v>
      </c>
      <c r="E1199" s="225">
        <v>159</v>
      </c>
      <c r="F1199" t="s">
        <v>8255</v>
      </c>
      <c r="G1199" t="s">
        <v>8256</v>
      </c>
      <c r="H1199" t="s">
        <v>8236</v>
      </c>
      <c r="I1199" s="99">
        <v>44052</v>
      </c>
      <c r="J1199" s="99">
        <v>44057</v>
      </c>
      <c r="K1199" t="s">
        <v>8266</v>
      </c>
      <c r="L1199" t="s">
        <v>8267</v>
      </c>
    </row>
    <row r="1200" spans="2:12" x14ac:dyDescent="0.2">
      <c r="B1200">
        <v>10844</v>
      </c>
      <c r="C1200" t="s">
        <v>8259</v>
      </c>
      <c r="D1200" t="s">
        <v>8244</v>
      </c>
      <c r="E1200" s="225">
        <v>735</v>
      </c>
      <c r="F1200" t="s">
        <v>8384</v>
      </c>
      <c r="G1200" t="s">
        <v>8385</v>
      </c>
      <c r="H1200" t="s">
        <v>8282</v>
      </c>
      <c r="I1200" s="99">
        <v>44052</v>
      </c>
      <c r="J1200" s="99">
        <v>44057</v>
      </c>
      <c r="K1200" t="s">
        <v>8320</v>
      </c>
      <c r="L1200" t="s">
        <v>8321</v>
      </c>
    </row>
    <row r="1201" spans="2:12" x14ac:dyDescent="0.2">
      <c r="B1201">
        <v>10845</v>
      </c>
      <c r="C1201" t="s">
        <v>8323</v>
      </c>
      <c r="D1201" t="s">
        <v>8272</v>
      </c>
      <c r="E1201" s="225">
        <v>405</v>
      </c>
      <c r="F1201" t="s">
        <v>8307</v>
      </c>
      <c r="G1201" t="s">
        <v>8308</v>
      </c>
      <c r="H1201" t="s">
        <v>8246</v>
      </c>
      <c r="I1201" s="99">
        <v>44052</v>
      </c>
      <c r="J1201" s="99">
        <v>44060</v>
      </c>
      <c r="K1201" t="s">
        <v>8320</v>
      </c>
      <c r="L1201" t="s">
        <v>8321</v>
      </c>
    </row>
    <row r="1202" spans="2:12" x14ac:dyDescent="0.2">
      <c r="B1202">
        <v>10845</v>
      </c>
      <c r="C1202" t="s">
        <v>8373</v>
      </c>
      <c r="D1202" t="s">
        <v>8244</v>
      </c>
      <c r="E1202" s="225">
        <v>567</v>
      </c>
      <c r="F1202" t="s">
        <v>8307</v>
      </c>
      <c r="G1202" t="s">
        <v>8308</v>
      </c>
      <c r="H1202" t="s">
        <v>8246</v>
      </c>
      <c r="I1202" s="99">
        <v>44052</v>
      </c>
      <c r="J1202" s="99">
        <v>44060</v>
      </c>
      <c r="K1202" t="s">
        <v>8320</v>
      </c>
      <c r="L1202" t="s">
        <v>8321</v>
      </c>
    </row>
    <row r="1203" spans="2:12" x14ac:dyDescent="0.2">
      <c r="B1203">
        <v>10845</v>
      </c>
      <c r="C1203" t="s">
        <v>8243</v>
      </c>
      <c r="D1203" t="s">
        <v>8244</v>
      </c>
      <c r="E1203" s="225">
        <v>529.20000000000005</v>
      </c>
      <c r="F1203" t="s">
        <v>8307</v>
      </c>
      <c r="G1203" t="s">
        <v>8308</v>
      </c>
      <c r="H1203" t="s">
        <v>8246</v>
      </c>
      <c r="I1203" s="99">
        <v>44052</v>
      </c>
      <c r="J1203" s="99">
        <v>44060</v>
      </c>
      <c r="K1203" t="s">
        <v>8320</v>
      </c>
      <c r="L1203" t="s">
        <v>8321</v>
      </c>
    </row>
    <row r="1204" spans="2:12" x14ac:dyDescent="0.2">
      <c r="B1204">
        <v>10845</v>
      </c>
      <c r="C1204" t="s">
        <v>8340</v>
      </c>
      <c r="D1204" t="s">
        <v>8244</v>
      </c>
      <c r="E1204" s="225">
        <v>1596</v>
      </c>
      <c r="F1204" t="s">
        <v>8307</v>
      </c>
      <c r="G1204" t="s">
        <v>8308</v>
      </c>
      <c r="H1204" t="s">
        <v>8246</v>
      </c>
      <c r="I1204" s="99">
        <v>44052</v>
      </c>
      <c r="J1204" s="99">
        <v>44060</v>
      </c>
      <c r="K1204" t="s">
        <v>8320</v>
      </c>
      <c r="L1204" t="s">
        <v>8321</v>
      </c>
    </row>
    <row r="1205" spans="2:12" x14ac:dyDescent="0.2">
      <c r="B1205">
        <v>10846</v>
      </c>
      <c r="C1205" t="s">
        <v>8288</v>
      </c>
      <c r="D1205" t="s">
        <v>8272</v>
      </c>
      <c r="E1205" s="225">
        <v>450</v>
      </c>
      <c r="F1205" t="s">
        <v>8263</v>
      </c>
      <c r="G1205" t="s">
        <v>8264</v>
      </c>
      <c r="H1205" t="s">
        <v>8261</v>
      </c>
      <c r="I1205" s="99">
        <v>44053</v>
      </c>
      <c r="J1205" s="99">
        <v>44054</v>
      </c>
      <c r="K1205" t="s">
        <v>8297</v>
      </c>
      <c r="L1205" t="s">
        <v>8298</v>
      </c>
    </row>
    <row r="1206" spans="2:12" x14ac:dyDescent="0.2">
      <c r="B1206">
        <v>10846</v>
      </c>
      <c r="C1206" t="s">
        <v>8352</v>
      </c>
      <c r="D1206" t="s">
        <v>8254</v>
      </c>
      <c r="E1206" s="225">
        <v>462</v>
      </c>
      <c r="F1206" t="s">
        <v>8263</v>
      </c>
      <c r="G1206" t="s">
        <v>8264</v>
      </c>
      <c r="H1206" t="s">
        <v>8261</v>
      </c>
      <c r="I1206" s="99">
        <v>44053</v>
      </c>
      <c r="J1206" s="99">
        <v>44054</v>
      </c>
      <c r="K1206" t="s">
        <v>8297</v>
      </c>
      <c r="L1206" t="s">
        <v>8298</v>
      </c>
    </row>
    <row r="1207" spans="2:12" x14ac:dyDescent="0.2">
      <c r="B1207">
        <v>10846</v>
      </c>
      <c r="C1207" t="s">
        <v>8275</v>
      </c>
      <c r="D1207" t="s">
        <v>8247</v>
      </c>
      <c r="E1207" s="225">
        <v>200</v>
      </c>
      <c r="F1207" t="s">
        <v>8263</v>
      </c>
      <c r="G1207" t="s">
        <v>8264</v>
      </c>
      <c r="H1207" t="s">
        <v>8261</v>
      </c>
      <c r="I1207" s="99">
        <v>44053</v>
      </c>
      <c r="J1207" s="99">
        <v>44054</v>
      </c>
      <c r="K1207" t="s">
        <v>8297</v>
      </c>
      <c r="L1207" t="s">
        <v>8298</v>
      </c>
    </row>
    <row r="1208" spans="2:12" x14ac:dyDescent="0.2">
      <c r="B1208">
        <v>10847</v>
      </c>
      <c r="C1208" t="s">
        <v>8333</v>
      </c>
      <c r="D1208" t="s">
        <v>8272</v>
      </c>
      <c r="E1208" s="225">
        <v>1152</v>
      </c>
      <c r="F1208" t="s">
        <v>8758</v>
      </c>
      <c r="G1208" t="s">
        <v>8757</v>
      </c>
      <c r="H1208" t="s">
        <v>8701</v>
      </c>
      <c r="I1208" s="99">
        <v>44053</v>
      </c>
      <c r="J1208" s="99">
        <v>44072</v>
      </c>
      <c r="K1208" t="s">
        <v>8266</v>
      </c>
      <c r="L1208" t="s">
        <v>8267</v>
      </c>
    </row>
    <row r="1209" spans="2:12" x14ac:dyDescent="0.2">
      <c r="B1209">
        <v>10847</v>
      </c>
      <c r="C1209" t="s">
        <v>8327</v>
      </c>
      <c r="D1209" t="s">
        <v>8262</v>
      </c>
      <c r="E1209" s="225">
        <v>88.32</v>
      </c>
      <c r="F1209" t="s">
        <v>8758</v>
      </c>
      <c r="G1209" t="s">
        <v>8757</v>
      </c>
      <c r="H1209" t="s">
        <v>8701</v>
      </c>
      <c r="I1209" s="99">
        <v>44053</v>
      </c>
      <c r="J1209" s="99">
        <v>44072</v>
      </c>
      <c r="K1209" t="s">
        <v>8266</v>
      </c>
      <c r="L1209" t="s">
        <v>8267</v>
      </c>
    </row>
    <row r="1210" spans="2:12" x14ac:dyDescent="0.2">
      <c r="B1210">
        <v>10847</v>
      </c>
      <c r="C1210" t="s">
        <v>8268</v>
      </c>
      <c r="D1210" t="s">
        <v>8237</v>
      </c>
      <c r="E1210" s="225">
        <v>1224</v>
      </c>
      <c r="F1210" t="s">
        <v>8758</v>
      </c>
      <c r="G1210" t="s">
        <v>8757</v>
      </c>
      <c r="H1210" t="s">
        <v>8701</v>
      </c>
      <c r="I1210" s="99">
        <v>44053</v>
      </c>
      <c r="J1210" s="99">
        <v>44072</v>
      </c>
      <c r="K1210" t="s">
        <v>8266</v>
      </c>
      <c r="L1210" t="s">
        <v>8267</v>
      </c>
    </row>
    <row r="1211" spans="2:12" x14ac:dyDescent="0.2">
      <c r="B1211">
        <v>10847</v>
      </c>
      <c r="C1211" t="s">
        <v>8310</v>
      </c>
      <c r="D1211" t="s">
        <v>8237</v>
      </c>
      <c r="E1211" s="225">
        <v>946</v>
      </c>
      <c r="F1211" t="s">
        <v>8758</v>
      </c>
      <c r="G1211" t="s">
        <v>8757</v>
      </c>
      <c r="H1211" t="s">
        <v>8701</v>
      </c>
      <c r="I1211" s="99">
        <v>44053</v>
      </c>
      <c r="J1211" s="99">
        <v>44072</v>
      </c>
      <c r="K1211" t="s">
        <v>8266</v>
      </c>
      <c r="L1211" t="s">
        <v>8267</v>
      </c>
    </row>
    <row r="1212" spans="2:12" x14ac:dyDescent="0.2">
      <c r="B1212">
        <v>10848</v>
      </c>
      <c r="C1212" t="s">
        <v>8286</v>
      </c>
      <c r="D1212" t="s">
        <v>8254</v>
      </c>
      <c r="E1212" s="225">
        <v>640.5</v>
      </c>
      <c r="F1212" t="s">
        <v>8413</v>
      </c>
      <c r="G1212" t="s">
        <v>8414</v>
      </c>
      <c r="H1212" t="s">
        <v>2434</v>
      </c>
      <c r="I1212" s="99">
        <v>44054</v>
      </c>
      <c r="J1212" s="99">
        <v>44059</v>
      </c>
      <c r="K1212" t="s">
        <v>8158</v>
      </c>
      <c r="L1212" t="s">
        <v>861</v>
      </c>
    </row>
    <row r="1213" spans="2:12" x14ac:dyDescent="0.2">
      <c r="B1213">
        <v>10849</v>
      </c>
      <c r="C1213" t="s">
        <v>8337</v>
      </c>
      <c r="D1213" t="s">
        <v>8254</v>
      </c>
      <c r="E1213" s="225">
        <v>490</v>
      </c>
      <c r="F1213" t="s">
        <v>8359</v>
      </c>
      <c r="G1213" t="s">
        <v>8360</v>
      </c>
      <c r="H1213" t="s">
        <v>8246</v>
      </c>
      <c r="I1213" s="99">
        <v>44054</v>
      </c>
      <c r="J1213" s="99">
        <v>44060</v>
      </c>
      <c r="K1213" t="s">
        <v>8279</v>
      </c>
      <c r="L1213" t="s">
        <v>710</v>
      </c>
    </row>
    <row r="1214" spans="2:12" x14ac:dyDescent="0.2">
      <c r="B1214">
        <v>10849</v>
      </c>
      <c r="C1214" t="s">
        <v>8372</v>
      </c>
      <c r="D1214" t="s">
        <v>8262</v>
      </c>
      <c r="E1214" s="225">
        <v>477.82</v>
      </c>
      <c r="F1214" t="s">
        <v>8359</v>
      </c>
      <c r="G1214" t="s">
        <v>8360</v>
      </c>
      <c r="H1214" t="s">
        <v>8246</v>
      </c>
      <c r="I1214" s="99">
        <v>44054</v>
      </c>
      <c r="J1214" s="99">
        <v>44060</v>
      </c>
      <c r="K1214" t="s">
        <v>8279</v>
      </c>
      <c r="L1214" t="s">
        <v>710</v>
      </c>
    </row>
    <row r="1215" spans="2:12" x14ac:dyDescent="0.2">
      <c r="B1215">
        <v>10850</v>
      </c>
      <c r="C1215" t="s">
        <v>8288</v>
      </c>
      <c r="D1215" t="s">
        <v>8272</v>
      </c>
      <c r="E1215" s="225">
        <v>382.5</v>
      </c>
      <c r="F1215" t="s">
        <v>8255</v>
      </c>
      <c r="G1215" t="s">
        <v>8256</v>
      </c>
      <c r="H1215" t="s">
        <v>8236</v>
      </c>
      <c r="I1215" s="99">
        <v>44054</v>
      </c>
      <c r="J1215" s="99">
        <v>44060</v>
      </c>
      <c r="K1215" t="s">
        <v>8285</v>
      </c>
      <c r="L1215" t="s">
        <v>2317</v>
      </c>
    </row>
    <row r="1216" spans="2:12" x14ac:dyDescent="0.2">
      <c r="B1216">
        <v>10850</v>
      </c>
      <c r="C1216" t="s">
        <v>8362</v>
      </c>
      <c r="D1216" t="s">
        <v>8262</v>
      </c>
      <c r="E1216" s="225">
        <v>238</v>
      </c>
      <c r="F1216" t="s">
        <v>8255</v>
      </c>
      <c r="G1216" t="s">
        <v>8256</v>
      </c>
      <c r="H1216" t="s">
        <v>8236</v>
      </c>
      <c r="I1216" s="99">
        <v>44054</v>
      </c>
      <c r="J1216" s="99">
        <v>44060</v>
      </c>
      <c r="K1216" t="s">
        <v>8285</v>
      </c>
      <c r="L1216" t="s">
        <v>2317</v>
      </c>
    </row>
    <row r="1217" spans="2:12" x14ac:dyDescent="0.2">
      <c r="B1217">
        <v>10850</v>
      </c>
      <c r="C1217" t="s">
        <v>8269</v>
      </c>
      <c r="D1217" t="s">
        <v>8237</v>
      </c>
      <c r="E1217" s="225">
        <v>8.5</v>
      </c>
      <c r="F1217" t="s">
        <v>8255</v>
      </c>
      <c r="G1217" t="s">
        <v>8256</v>
      </c>
      <c r="H1217" t="s">
        <v>8236</v>
      </c>
      <c r="I1217" s="99">
        <v>44054</v>
      </c>
      <c r="J1217" s="99">
        <v>44060</v>
      </c>
      <c r="K1217" t="s">
        <v>8285</v>
      </c>
      <c r="L1217" t="s">
        <v>2317</v>
      </c>
    </row>
    <row r="1218" spans="2:12" x14ac:dyDescent="0.2">
      <c r="B1218">
        <v>10851</v>
      </c>
      <c r="C1218" t="s">
        <v>8276</v>
      </c>
      <c r="D1218" t="s">
        <v>8272</v>
      </c>
      <c r="E1218" s="225">
        <v>90.25</v>
      </c>
      <c r="F1218" t="s">
        <v>8716</v>
      </c>
      <c r="G1218" t="s">
        <v>8715</v>
      </c>
      <c r="H1218" t="s">
        <v>8710</v>
      </c>
      <c r="I1218" s="99">
        <v>44057</v>
      </c>
      <c r="J1218" s="99">
        <v>44063</v>
      </c>
      <c r="K1218" t="s">
        <v>8241</v>
      </c>
      <c r="L1218" t="s">
        <v>6934</v>
      </c>
    </row>
    <row r="1219" spans="2:12" x14ac:dyDescent="0.2">
      <c r="B1219">
        <v>10851</v>
      </c>
      <c r="C1219" t="s">
        <v>8362</v>
      </c>
      <c r="D1219" t="s">
        <v>8262</v>
      </c>
      <c r="E1219" s="225">
        <v>133</v>
      </c>
      <c r="F1219" t="s">
        <v>8716</v>
      </c>
      <c r="G1219" t="s">
        <v>8715</v>
      </c>
      <c r="H1219" t="s">
        <v>8710</v>
      </c>
      <c r="I1219" s="99">
        <v>44057</v>
      </c>
      <c r="J1219" s="99">
        <v>44063</v>
      </c>
      <c r="K1219" t="s">
        <v>8241</v>
      </c>
      <c r="L1219" t="s">
        <v>6934</v>
      </c>
    </row>
    <row r="1220" spans="2:12" x14ac:dyDescent="0.2">
      <c r="B1220">
        <v>10851</v>
      </c>
      <c r="C1220" t="s">
        <v>8281</v>
      </c>
      <c r="D1220" t="s">
        <v>8237</v>
      </c>
      <c r="E1220" s="225">
        <v>2194.5</v>
      </c>
      <c r="F1220" t="s">
        <v>8716</v>
      </c>
      <c r="G1220" t="s">
        <v>8715</v>
      </c>
      <c r="H1220" t="s">
        <v>8710</v>
      </c>
      <c r="I1220" s="99">
        <v>44057</v>
      </c>
      <c r="J1220" s="99">
        <v>44063</v>
      </c>
      <c r="K1220" t="s">
        <v>8241</v>
      </c>
      <c r="L1220" t="s">
        <v>6934</v>
      </c>
    </row>
    <row r="1221" spans="2:12" x14ac:dyDescent="0.2">
      <c r="B1221">
        <v>10851</v>
      </c>
      <c r="C1221" t="s">
        <v>8258</v>
      </c>
      <c r="D1221" t="s">
        <v>8244</v>
      </c>
      <c r="E1221" s="225">
        <v>185.25</v>
      </c>
      <c r="F1221" t="s">
        <v>8716</v>
      </c>
      <c r="G1221" t="s">
        <v>8715</v>
      </c>
      <c r="H1221" t="s">
        <v>8710</v>
      </c>
      <c r="I1221" s="99">
        <v>44057</v>
      </c>
      <c r="J1221" s="99">
        <v>44063</v>
      </c>
      <c r="K1221" t="s">
        <v>8241</v>
      </c>
      <c r="L1221" t="s">
        <v>6934</v>
      </c>
    </row>
    <row r="1222" spans="2:12" x14ac:dyDescent="0.2">
      <c r="B1222">
        <v>10852</v>
      </c>
      <c r="C1222" t="s">
        <v>8276</v>
      </c>
      <c r="D1222" t="s">
        <v>8272</v>
      </c>
      <c r="E1222" s="225">
        <v>285</v>
      </c>
      <c r="F1222" t="s">
        <v>8703</v>
      </c>
      <c r="G1222" t="s">
        <v>8702</v>
      </c>
      <c r="H1222" t="s">
        <v>8701</v>
      </c>
      <c r="I1222" s="99">
        <v>44057</v>
      </c>
      <c r="J1222" s="99">
        <v>44060</v>
      </c>
      <c r="K1222" t="s">
        <v>8320</v>
      </c>
      <c r="L1222" t="s">
        <v>8321</v>
      </c>
    </row>
    <row r="1223" spans="2:12" x14ac:dyDescent="0.2">
      <c r="B1223">
        <v>10852</v>
      </c>
      <c r="C1223" t="s">
        <v>8291</v>
      </c>
      <c r="D1223" t="s">
        <v>8262</v>
      </c>
      <c r="E1223" s="225">
        <v>2465</v>
      </c>
      <c r="F1223" t="s">
        <v>8703</v>
      </c>
      <c r="G1223" t="s">
        <v>8702</v>
      </c>
      <c r="H1223" t="s">
        <v>8701</v>
      </c>
      <c r="I1223" s="99">
        <v>44057</v>
      </c>
      <c r="J1223" s="99">
        <v>44060</v>
      </c>
      <c r="K1223" t="s">
        <v>8320</v>
      </c>
      <c r="L1223" t="s">
        <v>8321</v>
      </c>
    </row>
    <row r="1224" spans="2:12" x14ac:dyDescent="0.2">
      <c r="B1224">
        <v>10855</v>
      </c>
      <c r="C1224" t="s">
        <v>8253</v>
      </c>
      <c r="D1224" t="s">
        <v>8254</v>
      </c>
      <c r="E1224" s="225">
        <v>268.39</v>
      </c>
      <c r="F1224" t="s">
        <v>8756</v>
      </c>
      <c r="G1224" t="s">
        <v>8755</v>
      </c>
      <c r="H1224" t="s">
        <v>8701</v>
      </c>
      <c r="I1224" s="99">
        <v>44058</v>
      </c>
      <c r="J1224" s="99">
        <v>44065</v>
      </c>
      <c r="K1224" t="s">
        <v>8257</v>
      </c>
      <c r="L1224" t="s">
        <v>6984</v>
      </c>
    </row>
    <row r="1225" spans="2:12" x14ac:dyDescent="0.2">
      <c r="B1225">
        <v>10855</v>
      </c>
      <c r="C1225" t="s">
        <v>8280</v>
      </c>
      <c r="D1225" t="s">
        <v>8262</v>
      </c>
      <c r="E1225" s="225">
        <v>872.5</v>
      </c>
      <c r="F1225" t="s">
        <v>8756</v>
      </c>
      <c r="G1225" t="s">
        <v>8755</v>
      </c>
      <c r="H1225" t="s">
        <v>8701</v>
      </c>
      <c r="I1225" s="99">
        <v>44058</v>
      </c>
      <c r="J1225" s="99">
        <v>44065</v>
      </c>
      <c r="K1225" t="s">
        <v>8257</v>
      </c>
      <c r="L1225" t="s">
        <v>6984</v>
      </c>
    </row>
    <row r="1226" spans="2:12" x14ac:dyDescent="0.2">
      <c r="B1226">
        <v>10855</v>
      </c>
      <c r="C1226" t="s">
        <v>8309</v>
      </c>
      <c r="D1226" t="s">
        <v>8237</v>
      </c>
      <c r="E1226" s="225">
        <v>175</v>
      </c>
      <c r="F1226" t="s">
        <v>8756</v>
      </c>
      <c r="G1226" t="s">
        <v>8755</v>
      </c>
      <c r="H1226" t="s">
        <v>8701</v>
      </c>
      <c r="I1226" s="99">
        <v>44058</v>
      </c>
      <c r="J1226" s="99">
        <v>44065</v>
      </c>
      <c r="K1226" t="s">
        <v>8257</v>
      </c>
      <c r="L1226" t="s">
        <v>6984</v>
      </c>
    </row>
    <row r="1227" spans="2:12" x14ac:dyDescent="0.2">
      <c r="B1227">
        <v>10855</v>
      </c>
      <c r="C1227" t="s">
        <v>8341</v>
      </c>
      <c r="D1227" t="s">
        <v>8244</v>
      </c>
      <c r="E1227" s="225">
        <v>912</v>
      </c>
      <c r="F1227" t="s">
        <v>8756</v>
      </c>
      <c r="G1227" t="s">
        <v>8755</v>
      </c>
      <c r="H1227" t="s">
        <v>8701</v>
      </c>
      <c r="I1227" s="99">
        <v>44058</v>
      </c>
      <c r="J1227" s="99">
        <v>44065</v>
      </c>
      <c r="K1227" t="s">
        <v>8257</v>
      </c>
      <c r="L1227" t="s">
        <v>6984</v>
      </c>
    </row>
    <row r="1228" spans="2:12" x14ac:dyDescent="0.2">
      <c r="B1228">
        <v>10856</v>
      </c>
      <c r="C1228" t="s">
        <v>8276</v>
      </c>
      <c r="D1228" t="s">
        <v>8272</v>
      </c>
      <c r="E1228" s="225">
        <v>380</v>
      </c>
      <c r="F1228" t="s">
        <v>8764</v>
      </c>
      <c r="G1228" t="s">
        <v>8763</v>
      </c>
      <c r="H1228" t="s">
        <v>8704</v>
      </c>
      <c r="I1228" s="99">
        <v>44059</v>
      </c>
      <c r="J1228" s="99">
        <v>44072</v>
      </c>
      <c r="K1228" t="s">
        <v>8257</v>
      </c>
      <c r="L1228" t="s">
        <v>6984</v>
      </c>
    </row>
    <row r="1229" spans="2:12" x14ac:dyDescent="0.2">
      <c r="B1229">
        <v>10856</v>
      </c>
      <c r="C1229" t="s">
        <v>8243</v>
      </c>
      <c r="D1229" t="s">
        <v>8244</v>
      </c>
      <c r="E1229" s="225">
        <v>280</v>
      </c>
      <c r="F1229" t="s">
        <v>8764</v>
      </c>
      <c r="G1229" t="s">
        <v>8763</v>
      </c>
      <c r="H1229" t="s">
        <v>8704</v>
      </c>
      <c r="I1229" s="99">
        <v>44059</v>
      </c>
      <c r="J1229" s="99">
        <v>44072</v>
      </c>
      <c r="K1229" t="s">
        <v>8257</v>
      </c>
      <c r="L1229" t="s">
        <v>6984</v>
      </c>
    </row>
    <row r="1230" spans="2:12" x14ac:dyDescent="0.2">
      <c r="B1230">
        <v>10857</v>
      </c>
      <c r="C1230" t="s">
        <v>8337</v>
      </c>
      <c r="D1230" t="s">
        <v>8254</v>
      </c>
      <c r="E1230" s="225">
        <v>300</v>
      </c>
      <c r="F1230" t="s">
        <v>8318</v>
      </c>
      <c r="G1230" t="s">
        <v>8319</v>
      </c>
      <c r="H1230" t="s">
        <v>8292</v>
      </c>
      <c r="I1230" s="99">
        <v>44059</v>
      </c>
      <c r="J1230" s="99">
        <v>44067</v>
      </c>
      <c r="K1230" t="s">
        <v>8320</v>
      </c>
      <c r="L1230" t="s">
        <v>8321</v>
      </c>
    </row>
    <row r="1231" spans="2:12" x14ac:dyDescent="0.2">
      <c r="B1231">
        <v>10857</v>
      </c>
      <c r="C1231" t="s">
        <v>8372</v>
      </c>
      <c r="D1231" t="s">
        <v>8262</v>
      </c>
      <c r="E1231" s="225">
        <v>819.79</v>
      </c>
      <c r="F1231" t="s">
        <v>8318</v>
      </c>
      <c r="G1231" t="s">
        <v>8319</v>
      </c>
      <c r="H1231" t="s">
        <v>8292</v>
      </c>
      <c r="I1231" s="99">
        <v>44059</v>
      </c>
      <c r="J1231" s="99">
        <v>44067</v>
      </c>
      <c r="K1231" t="s">
        <v>8320</v>
      </c>
      <c r="L1231" t="s">
        <v>8321</v>
      </c>
    </row>
    <row r="1232" spans="2:12" x14ac:dyDescent="0.2">
      <c r="B1232">
        <v>10858</v>
      </c>
      <c r="C1232" t="s">
        <v>8288</v>
      </c>
      <c r="D1232" t="s">
        <v>8272</v>
      </c>
      <c r="E1232" s="225">
        <v>60</v>
      </c>
      <c r="F1232" t="s">
        <v>8430</v>
      </c>
      <c r="G1232" t="s">
        <v>8431</v>
      </c>
      <c r="H1232" t="s">
        <v>8236</v>
      </c>
      <c r="I1232" s="99">
        <v>44044</v>
      </c>
      <c r="J1232" s="99">
        <v>44064</v>
      </c>
      <c r="K1232" t="s">
        <v>8297</v>
      </c>
      <c r="L1232" t="s">
        <v>8298</v>
      </c>
    </row>
    <row r="1233" spans="2:12" x14ac:dyDescent="0.2">
      <c r="B1233">
        <v>10858</v>
      </c>
      <c r="C1233" t="s">
        <v>8332</v>
      </c>
      <c r="D1233" t="s">
        <v>8262</v>
      </c>
      <c r="E1233" s="225">
        <v>439</v>
      </c>
      <c r="F1233" t="s">
        <v>8430</v>
      </c>
      <c r="G1233" t="s">
        <v>8431</v>
      </c>
      <c r="H1233" t="s">
        <v>8236</v>
      </c>
      <c r="I1233" s="99">
        <v>44044</v>
      </c>
      <c r="J1233" s="99">
        <v>44064</v>
      </c>
      <c r="K1233" t="s">
        <v>8297</v>
      </c>
      <c r="L1233" t="s">
        <v>8298</v>
      </c>
    </row>
    <row r="1234" spans="2:12" x14ac:dyDescent="0.2">
      <c r="B1234">
        <v>10858</v>
      </c>
      <c r="C1234" t="s">
        <v>8415</v>
      </c>
      <c r="D1234" t="s">
        <v>8247</v>
      </c>
      <c r="E1234" s="225">
        <v>150</v>
      </c>
      <c r="F1234" t="s">
        <v>8430</v>
      </c>
      <c r="G1234" t="s">
        <v>8431</v>
      </c>
      <c r="H1234" t="s">
        <v>8236</v>
      </c>
      <c r="I1234" s="99">
        <v>44044</v>
      </c>
      <c r="J1234" s="99">
        <v>44064</v>
      </c>
      <c r="K1234" t="s">
        <v>8297</v>
      </c>
      <c r="L1234" t="s">
        <v>8298</v>
      </c>
    </row>
    <row r="1235" spans="2:12" x14ac:dyDescent="0.2">
      <c r="B1235">
        <v>10859</v>
      </c>
      <c r="C1235" t="s">
        <v>8270</v>
      </c>
      <c r="D1235" t="s">
        <v>8272</v>
      </c>
      <c r="E1235" s="225">
        <v>135</v>
      </c>
      <c r="F1235" t="s">
        <v>8304</v>
      </c>
      <c r="G1235" t="s">
        <v>8305</v>
      </c>
      <c r="H1235" t="s">
        <v>8246</v>
      </c>
      <c r="I1235" s="99">
        <v>44044</v>
      </c>
      <c r="J1235" s="99">
        <v>44063</v>
      </c>
      <c r="K1235" t="s">
        <v>8285</v>
      </c>
      <c r="L1235" t="s">
        <v>2317</v>
      </c>
    </row>
    <row r="1236" spans="2:12" x14ac:dyDescent="0.2">
      <c r="B1236">
        <v>10859</v>
      </c>
      <c r="C1236" t="s">
        <v>8340</v>
      </c>
      <c r="D1236" t="s">
        <v>8244</v>
      </c>
      <c r="E1236" s="225">
        <v>748.12</v>
      </c>
      <c r="F1236" t="s">
        <v>8304</v>
      </c>
      <c r="G1236" t="s">
        <v>8305</v>
      </c>
      <c r="H1236" t="s">
        <v>8246</v>
      </c>
      <c r="I1236" s="99">
        <v>44044</v>
      </c>
      <c r="J1236" s="99">
        <v>44063</v>
      </c>
      <c r="K1236" t="s">
        <v>8285</v>
      </c>
      <c r="L1236" t="s">
        <v>2317</v>
      </c>
    </row>
    <row r="1237" spans="2:12" x14ac:dyDescent="0.2">
      <c r="B1237">
        <v>10860</v>
      </c>
      <c r="C1237" t="s">
        <v>8303</v>
      </c>
      <c r="D1237" t="s">
        <v>8272</v>
      </c>
      <c r="E1237" s="225">
        <v>360</v>
      </c>
      <c r="F1237" t="s">
        <v>8424</v>
      </c>
      <c r="G1237" t="s">
        <v>8425</v>
      </c>
      <c r="H1237" t="s">
        <v>8236</v>
      </c>
      <c r="I1237" s="99">
        <v>44044</v>
      </c>
      <c r="J1237" s="99">
        <v>44065</v>
      </c>
      <c r="K1237" t="s">
        <v>8257</v>
      </c>
      <c r="L1237" t="s">
        <v>6984</v>
      </c>
    </row>
    <row r="1238" spans="2:12" x14ac:dyDescent="0.2">
      <c r="B1238">
        <v>10860</v>
      </c>
      <c r="C1238" t="s">
        <v>8245</v>
      </c>
      <c r="D1238" t="s">
        <v>8247</v>
      </c>
      <c r="E1238" s="225">
        <v>159</v>
      </c>
      <c r="F1238" t="s">
        <v>8424</v>
      </c>
      <c r="G1238" t="s">
        <v>8425</v>
      </c>
      <c r="H1238" t="s">
        <v>8236</v>
      </c>
      <c r="I1238" s="99">
        <v>44044</v>
      </c>
      <c r="J1238" s="99">
        <v>44065</v>
      </c>
      <c r="K1238" t="s">
        <v>8257</v>
      </c>
      <c r="L1238" t="s">
        <v>6984</v>
      </c>
    </row>
    <row r="1239" spans="2:12" x14ac:dyDescent="0.2">
      <c r="B1239">
        <v>10861</v>
      </c>
      <c r="C1239" t="s">
        <v>8368</v>
      </c>
      <c r="D1239" t="s">
        <v>8262</v>
      </c>
      <c r="E1239" s="225">
        <v>400</v>
      </c>
      <c r="F1239" t="s">
        <v>8740</v>
      </c>
      <c r="G1239" t="s">
        <v>8739</v>
      </c>
      <c r="H1239" t="s">
        <v>8701</v>
      </c>
      <c r="I1239" s="99">
        <v>44060</v>
      </c>
      <c r="J1239" s="99">
        <v>44078</v>
      </c>
      <c r="K1239" t="s">
        <v>8266</v>
      </c>
      <c r="L1239" t="s">
        <v>8267</v>
      </c>
    </row>
    <row r="1240" spans="2:12" x14ac:dyDescent="0.2">
      <c r="B1240">
        <v>10861</v>
      </c>
      <c r="C1240" t="s">
        <v>8291</v>
      </c>
      <c r="D1240" t="s">
        <v>8262</v>
      </c>
      <c r="E1240" s="225">
        <v>147.9</v>
      </c>
      <c r="F1240" t="s">
        <v>8740</v>
      </c>
      <c r="G1240" t="s">
        <v>8739</v>
      </c>
      <c r="H1240" t="s">
        <v>8701</v>
      </c>
      <c r="I1240" s="99">
        <v>44060</v>
      </c>
      <c r="J1240" s="99">
        <v>44078</v>
      </c>
      <c r="K1240" t="s">
        <v>8266</v>
      </c>
      <c r="L1240" t="s">
        <v>8267</v>
      </c>
    </row>
    <row r="1241" spans="2:12" x14ac:dyDescent="0.2">
      <c r="B1241">
        <v>10861</v>
      </c>
      <c r="C1241" t="s">
        <v>8269</v>
      </c>
      <c r="D1241" t="s">
        <v>8237</v>
      </c>
      <c r="E1241" s="225">
        <v>87.5</v>
      </c>
      <c r="F1241" t="s">
        <v>8740</v>
      </c>
      <c r="G1241" t="s">
        <v>8739</v>
      </c>
      <c r="H1241" t="s">
        <v>8701</v>
      </c>
      <c r="I1241" s="99">
        <v>44060</v>
      </c>
      <c r="J1241" s="99">
        <v>44078</v>
      </c>
      <c r="K1241" t="s">
        <v>8266</v>
      </c>
      <c r="L1241" t="s">
        <v>8267</v>
      </c>
    </row>
    <row r="1242" spans="2:12" x14ac:dyDescent="0.2">
      <c r="B1242">
        <v>10862</v>
      </c>
      <c r="C1242" t="s">
        <v>8242</v>
      </c>
      <c r="D1242" t="s">
        <v>8237</v>
      </c>
      <c r="E1242" s="225">
        <v>525</v>
      </c>
      <c r="F1242" t="s">
        <v>8330</v>
      </c>
      <c r="G1242" t="s">
        <v>8331</v>
      </c>
      <c r="H1242" t="s">
        <v>8246</v>
      </c>
      <c r="I1242" s="99">
        <v>44060</v>
      </c>
      <c r="J1242" s="99">
        <v>44063</v>
      </c>
      <c r="K1242" t="s">
        <v>8320</v>
      </c>
      <c r="L1242" t="s">
        <v>8321</v>
      </c>
    </row>
    <row r="1243" spans="2:12" x14ac:dyDescent="0.2">
      <c r="B1243">
        <v>10862</v>
      </c>
      <c r="C1243" t="s">
        <v>8369</v>
      </c>
      <c r="D1243" t="s">
        <v>8244</v>
      </c>
      <c r="E1243" s="225">
        <v>56</v>
      </c>
      <c r="F1243" t="s">
        <v>8330</v>
      </c>
      <c r="G1243" t="s">
        <v>8331</v>
      </c>
      <c r="H1243" t="s">
        <v>8246</v>
      </c>
      <c r="I1243" s="99">
        <v>44060</v>
      </c>
      <c r="J1243" s="99">
        <v>44063</v>
      </c>
      <c r="K1243" t="s">
        <v>8320</v>
      </c>
      <c r="L1243" t="s">
        <v>8321</v>
      </c>
    </row>
    <row r="1244" spans="2:12" x14ac:dyDescent="0.2">
      <c r="B1244">
        <v>10863</v>
      </c>
      <c r="C1244" t="s">
        <v>8333</v>
      </c>
      <c r="D1244" t="s">
        <v>8272</v>
      </c>
      <c r="E1244" s="225">
        <v>306</v>
      </c>
      <c r="F1244" t="s">
        <v>8732</v>
      </c>
      <c r="G1244" t="s">
        <v>8731</v>
      </c>
      <c r="H1244" t="s">
        <v>8707</v>
      </c>
      <c r="I1244" s="99">
        <v>44063</v>
      </c>
      <c r="J1244" s="99">
        <v>44078</v>
      </c>
      <c r="K1244" t="s">
        <v>8266</v>
      </c>
      <c r="L1244" t="s">
        <v>8267</v>
      </c>
    </row>
    <row r="1245" spans="2:12" x14ac:dyDescent="0.2">
      <c r="B1245">
        <v>10864</v>
      </c>
      <c r="C1245" t="s">
        <v>8323</v>
      </c>
      <c r="D1245" t="s">
        <v>8272</v>
      </c>
      <c r="E1245" s="225">
        <v>72</v>
      </c>
      <c r="F1245" t="s">
        <v>8386</v>
      </c>
      <c r="G1245" t="s">
        <v>8387</v>
      </c>
      <c r="H1245" t="s">
        <v>2434</v>
      </c>
      <c r="I1245" s="99">
        <v>44063</v>
      </c>
      <c r="J1245" s="99">
        <v>44070</v>
      </c>
      <c r="K1245" t="s">
        <v>8266</v>
      </c>
      <c r="L1245" t="s">
        <v>8267</v>
      </c>
    </row>
    <row r="1246" spans="2:12" x14ac:dyDescent="0.2">
      <c r="B1246">
        <v>10864</v>
      </c>
      <c r="C1246" t="s">
        <v>8329</v>
      </c>
      <c r="D1246" t="s">
        <v>8272</v>
      </c>
      <c r="E1246" s="225">
        <v>210</v>
      </c>
      <c r="F1246" t="s">
        <v>8386</v>
      </c>
      <c r="G1246" t="s">
        <v>8387</v>
      </c>
      <c r="H1246" t="s">
        <v>2434</v>
      </c>
      <c r="I1246" s="99">
        <v>44063</v>
      </c>
      <c r="J1246" s="99">
        <v>44070</v>
      </c>
      <c r="K1246" t="s">
        <v>8266</v>
      </c>
      <c r="L1246" t="s">
        <v>8267</v>
      </c>
    </row>
    <row r="1247" spans="2:12" x14ac:dyDescent="0.2">
      <c r="B1247">
        <v>10865</v>
      </c>
      <c r="C1247" t="s">
        <v>8380</v>
      </c>
      <c r="D1247" t="s">
        <v>8272</v>
      </c>
      <c r="E1247" s="225">
        <v>15019.5</v>
      </c>
      <c r="F1247" t="s">
        <v>8307</v>
      </c>
      <c r="G1247" t="s">
        <v>8308</v>
      </c>
      <c r="H1247" t="s">
        <v>8246</v>
      </c>
      <c r="I1247" s="99">
        <v>44063</v>
      </c>
      <c r="J1247" s="99">
        <v>44073</v>
      </c>
      <c r="K1247" t="s">
        <v>8297</v>
      </c>
      <c r="L1247" t="s">
        <v>8298</v>
      </c>
    </row>
    <row r="1248" spans="2:12" x14ac:dyDescent="0.2">
      <c r="B1248">
        <v>10865</v>
      </c>
      <c r="C1248" t="s">
        <v>8342</v>
      </c>
      <c r="D1248" t="s">
        <v>8272</v>
      </c>
      <c r="E1248" s="225">
        <v>1368</v>
      </c>
      <c r="F1248" t="s">
        <v>8307</v>
      </c>
      <c r="G1248" t="s">
        <v>8308</v>
      </c>
      <c r="H1248" t="s">
        <v>8246</v>
      </c>
      <c r="I1248" s="99">
        <v>44063</v>
      </c>
      <c r="J1248" s="99">
        <v>44073</v>
      </c>
      <c r="K1248" t="s">
        <v>8297</v>
      </c>
      <c r="L1248" t="s">
        <v>8298</v>
      </c>
    </row>
    <row r="1249" spans="2:12" x14ac:dyDescent="0.2">
      <c r="B1249">
        <v>10866</v>
      </c>
      <c r="C1249" t="s">
        <v>8276</v>
      </c>
      <c r="D1249" t="s">
        <v>8272</v>
      </c>
      <c r="E1249" s="225">
        <v>299.25</v>
      </c>
      <c r="F1249" t="s">
        <v>8318</v>
      </c>
      <c r="G1249" t="s">
        <v>8319</v>
      </c>
      <c r="H1249" t="s">
        <v>8292</v>
      </c>
      <c r="I1249" s="99">
        <v>44064</v>
      </c>
      <c r="J1249" s="99">
        <v>44073</v>
      </c>
      <c r="K1249" t="s">
        <v>8241</v>
      </c>
      <c r="L1249" t="s">
        <v>6934</v>
      </c>
    </row>
    <row r="1250" spans="2:12" x14ac:dyDescent="0.2">
      <c r="B1250">
        <v>10866</v>
      </c>
      <c r="C1250" t="s">
        <v>8270</v>
      </c>
      <c r="D1250" t="s">
        <v>8272</v>
      </c>
      <c r="E1250" s="225">
        <v>20.25</v>
      </c>
      <c r="F1250" t="s">
        <v>8318</v>
      </c>
      <c r="G1250" t="s">
        <v>8319</v>
      </c>
      <c r="H1250" t="s">
        <v>8292</v>
      </c>
      <c r="I1250" s="99">
        <v>44064</v>
      </c>
      <c r="J1250" s="99">
        <v>44073</v>
      </c>
      <c r="K1250" t="s">
        <v>8241</v>
      </c>
      <c r="L1250" t="s">
        <v>6934</v>
      </c>
    </row>
    <row r="1251" spans="2:12" x14ac:dyDescent="0.2">
      <c r="B1251">
        <v>10868</v>
      </c>
      <c r="C1251" t="s">
        <v>8323</v>
      </c>
      <c r="D1251" t="s">
        <v>8272</v>
      </c>
      <c r="E1251" s="225">
        <v>540</v>
      </c>
      <c r="F1251" t="s">
        <v>8712</v>
      </c>
      <c r="G1251" t="s">
        <v>8711</v>
      </c>
      <c r="H1251" t="s">
        <v>8710</v>
      </c>
      <c r="I1251" s="99">
        <v>44065</v>
      </c>
      <c r="J1251" s="99">
        <v>44084</v>
      </c>
      <c r="K1251" t="s">
        <v>8158</v>
      </c>
      <c r="L1251" t="s">
        <v>861</v>
      </c>
    </row>
    <row r="1252" spans="2:12" x14ac:dyDescent="0.2">
      <c r="B1252">
        <v>10868</v>
      </c>
      <c r="C1252" t="s">
        <v>8372</v>
      </c>
      <c r="D1252" t="s">
        <v>8262</v>
      </c>
      <c r="E1252" s="225">
        <v>624.6</v>
      </c>
      <c r="F1252" t="s">
        <v>8712</v>
      </c>
      <c r="G1252" t="s">
        <v>8711</v>
      </c>
      <c r="H1252" t="s">
        <v>8710</v>
      </c>
      <c r="I1252" s="99">
        <v>44065</v>
      </c>
      <c r="J1252" s="99">
        <v>44084</v>
      </c>
      <c r="K1252" t="s">
        <v>8158</v>
      </c>
      <c r="L1252" t="s">
        <v>861</v>
      </c>
    </row>
    <row r="1253" spans="2:12" x14ac:dyDescent="0.2">
      <c r="B1253">
        <v>10868</v>
      </c>
      <c r="C1253" t="s">
        <v>8390</v>
      </c>
      <c r="D1253" t="s">
        <v>8262</v>
      </c>
      <c r="E1253" s="225">
        <v>756</v>
      </c>
      <c r="F1253" t="s">
        <v>8712</v>
      </c>
      <c r="G1253" t="s">
        <v>8711</v>
      </c>
      <c r="H1253" t="s">
        <v>8710</v>
      </c>
      <c r="I1253" s="99">
        <v>44065</v>
      </c>
      <c r="J1253" s="99">
        <v>44084</v>
      </c>
      <c r="K1253" t="s">
        <v>8158</v>
      </c>
      <c r="L1253" t="s">
        <v>861</v>
      </c>
    </row>
    <row r="1254" spans="2:12" x14ac:dyDescent="0.2">
      <c r="B1254">
        <v>10869</v>
      </c>
      <c r="C1254" t="s">
        <v>8333</v>
      </c>
      <c r="D1254" t="s">
        <v>8272</v>
      </c>
      <c r="E1254" s="225">
        <v>720</v>
      </c>
      <c r="F1254" t="s">
        <v>8388</v>
      </c>
      <c r="G1254" t="s">
        <v>8389</v>
      </c>
      <c r="H1254" t="s">
        <v>2434</v>
      </c>
      <c r="I1254" s="99">
        <v>44065</v>
      </c>
      <c r="J1254" s="99">
        <v>44070</v>
      </c>
      <c r="K1254" t="s">
        <v>8241</v>
      </c>
      <c r="L1254" t="s">
        <v>6934</v>
      </c>
    </row>
    <row r="1255" spans="2:12" x14ac:dyDescent="0.2">
      <c r="B1255">
        <v>10869</v>
      </c>
      <c r="C1255" t="s">
        <v>8334</v>
      </c>
      <c r="D1255" t="s">
        <v>8262</v>
      </c>
      <c r="E1255" s="225">
        <v>250</v>
      </c>
      <c r="F1255" t="s">
        <v>8388</v>
      </c>
      <c r="G1255" t="s">
        <v>8389</v>
      </c>
      <c r="H1255" t="s">
        <v>2434</v>
      </c>
      <c r="I1255" s="99">
        <v>44065</v>
      </c>
      <c r="J1255" s="99">
        <v>44070</v>
      </c>
      <c r="K1255" t="s">
        <v>8241</v>
      </c>
      <c r="L1255" t="s">
        <v>6934</v>
      </c>
    </row>
    <row r="1256" spans="2:12" x14ac:dyDescent="0.2">
      <c r="B1256">
        <v>10869</v>
      </c>
      <c r="C1256" t="s">
        <v>8242</v>
      </c>
      <c r="D1256" t="s">
        <v>8237</v>
      </c>
      <c r="E1256" s="225">
        <v>210</v>
      </c>
      <c r="F1256" t="s">
        <v>8388</v>
      </c>
      <c r="G1256" t="s">
        <v>8389</v>
      </c>
      <c r="H1256" t="s">
        <v>2434</v>
      </c>
      <c r="I1256" s="99">
        <v>44065</v>
      </c>
      <c r="J1256" s="99">
        <v>44070</v>
      </c>
      <c r="K1256" t="s">
        <v>8241</v>
      </c>
      <c r="L1256" t="s">
        <v>6934</v>
      </c>
    </row>
    <row r="1257" spans="2:12" x14ac:dyDescent="0.2">
      <c r="B1257">
        <v>10869</v>
      </c>
      <c r="C1257" t="s">
        <v>8373</v>
      </c>
      <c r="D1257" t="s">
        <v>8244</v>
      </c>
      <c r="E1257" s="225">
        <v>450</v>
      </c>
      <c r="F1257" t="s">
        <v>8388</v>
      </c>
      <c r="G1257" t="s">
        <v>8389</v>
      </c>
      <c r="H1257" t="s">
        <v>2434</v>
      </c>
      <c r="I1257" s="99">
        <v>44065</v>
      </c>
      <c r="J1257" s="99">
        <v>44070</v>
      </c>
      <c r="K1257" t="s">
        <v>8241</v>
      </c>
      <c r="L1257" t="s">
        <v>6934</v>
      </c>
    </row>
    <row r="1258" spans="2:12" x14ac:dyDescent="0.2">
      <c r="B1258">
        <v>10870</v>
      </c>
      <c r="C1258" t="s">
        <v>8323</v>
      </c>
      <c r="D1258" t="s">
        <v>8272</v>
      </c>
      <c r="E1258" s="225">
        <v>54</v>
      </c>
      <c r="F1258" t="s">
        <v>8401</v>
      </c>
      <c r="G1258" t="s">
        <v>8402</v>
      </c>
      <c r="H1258" t="s">
        <v>8400</v>
      </c>
      <c r="I1258" s="99">
        <v>44065</v>
      </c>
      <c r="J1258" s="99">
        <v>44074</v>
      </c>
      <c r="K1258" t="s">
        <v>8241</v>
      </c>
      <c r="L1258" t="s">
        <v>6934</v>
      </c>
    </row>
    <row r="1259" spans="2:12" x14ac:dyDescent="0.2">
      <c r="B1259">
        <v>10870</v>
      </c>
      <c r="C1259" t="s">
        <v>8245</v>
      </c>
      <c r="D1259" t="s">
        <v>8247</v>
      </c>
      <c r="E1259" s="225">
        <v>106</v>
      </c>
      <c r="F1259" t="s">
        <v>8401</v>
      </c>
      <c r="G1259" t="s">
        <v>8402</v>
      </c>
      <c r="H1259" t="s">
        <v>8400</v>
      </c>
      <c r="I1259" s="99">
        <v>44065</v>
      </c>
      <c r="J1259" s="99">
        <v>44074</v>
      </c>
      <c r="K1259" t="s">
        <v>8241</v>
      </c>
      <c r="L1259" t="s">
        <v>6934</v>
      </c>
    </row>
    <row r="1260" spans="2:12" x14ac:dyDescent="0.2">
      <c r="B1260">
        <v>10871</v>
      </c>
      <c r="C1260" t="s">
        <v>8351</v>
      </c>
      <c r="D1260" t="s">
        <v>8254</v>
      </c>
      <c r="E1260" s="225">
        <v>1187.5</v>
      </c>
      <c r="F1260" t="s">
        <v>8377</v>
      </c>
      <c r="G1260" t="s">
        <v>8378</v>
      </c>
      <c r="H1260" t="s">
        <v>8236</v>
      </c>
      <c r="I1260" s="99">
        <v>44066</v>
      </c>
      <c r="J1260" s="99">
        <v>44072</v>
      </c>
      <c r="K1260" t="s">
        <v>8279</v>
      </c>
      <c r="L1260" t="s">
        <v>710</v>
      </c>
    </row>
    <row r="1261" spans="2:12" x14ac:dyDescent="0.2">
      <c r="B1261">
        <v>10871</v>
      </c>
      <c r="C1261" t="s">
        <v>8280</v>
      </c>
      <c r="D1261" t="s">
        <v>8262</v>
      </c>
      <c r="E1261" s="225">
        <v>198.93</v>
      </c>
      <c r="F1261" t="s">
        <v>8377</v>
      </c>
      <c r="G1261" t="s">
        <v>8378</v>
      </c>
      <c r="H1261" t="s">
        <v>8236</v>
      </c>
      <c r="I1261" s="99">
        <v>44066</v>
      </c>
      <c r="J1261" s="99">
        <v>44072</v>
      </c>
      <c r="K1261" t="s">
        <v>8279</v>
      </c>
      <c r="L1261" t="s">
        <v>710</v>
      </c>
    </row>
    <row r="1262" spans="2:12" x14ac:dyDescent="0.2">
      <c r="B1262">
        <v>10872</v>
      </c>
      <c r="C1262" t="s">
        <v>8253</v>
      </c>
      <c r="D1262" t="s">
        <v>8254</v>
      </c>
      <c r="E1262" s="225">
        <v>419.95</v>
      </c>
      <c r="F1262" t="s">
        <v>8349</v>
      </c>
      <c r="G1262" t="s">
        <v>8350</v>
      </c>
      <c r="H1262" t="s">
        <v>8324</v>
      </c>
      <c r="I1262" s="99">
        <v>44066</v>
      </c>
      <c r="J1262" s="99">
        <v>44070</v>
      </c>
      <c r="K1262" t="s">
        <v>8241</v>
      </c>
      <c r="L1262" t="s">
        <v>6934</v>
      </c>
    </row>
    <row r="1263" spans="2:12" x14ac:dyDescent="0.2">
      <c r="B1263">
        <v>10872</v>
      </c>
      <c r="C1263" t="s">
        <v>8291</v>
      </c>
      <c r="D1263" t="s">
        <v>8262</v>
      </c>
      <c r="E1263" s="225">
        <v>936.7</v>
      </c>
      <c r="F1263" t="s">
        <v>8349</v>
      </c>
      <c r="G1263" t="s">
        <v>8350</v>
      </c>
      <c r="H1263" t="s">
        <v>8324</v>
      </c>
      <c r="I1263" s="99">
        <v>44066</v>
      </c>
      <c r="J1263" s="99">
        <v>44070</v>
      </c>
      <c r="K1263" t="s">
        <v>8241</v>
      </c>
      <c r="L1263" t="s">
        <v>6934</v>
      </c>
    </row>
    <row r="1264" spans="2:12" x14ac:dyDescent="0.2">
      <c r="B1264">
        <v>10872</v>
      </c>
      <c r="C1264" t="s">
        <v>8340</v>
      </c>
      <c r="D1264" t="s">
        <v>8244</v>
      </c>
      <c r="E1264" s="225">
        <v>473.81</v>
      </c>
      <c r="F1264" t="s">
        <v>8349</v>
      </c>
      <c r="G1264" t="s">
        <v>8350</v>
      </c>
      <c r="H1264" t="s">
        <v>8324</v>
      </c>
      <c r="I1264" s="99">
        <v>44066</v>
      </c>
      <c r="J1264" s="99">
        <v>44070</v>
      </c>
      <c r="K1264" t="s">
        <v>8241</v>
      </c>
      <c r="L1264" t="s">
        <v>6934</v>
      </c>
    </row>
    <row r="1265" spans="2:12" x14ac:dyDescent="0.2">
      <c r="B1265">
        <v>10873</v>
      </c>
      <c r="C1265" t="s">
        <v>8368</v>
      </c>
      <c r="D1265" t="s">
        <v>8262</v>
      </c>
      <c r="E1265" s="225">
        <v>200</v>
      </c>
      <c r="F1265" t="s">
        <v>8426</v>
      </c>
      <c r="G1265" t="s">
        <v>8427</v>
      </c>
      <c r="H1265" t="s">
        <v>8300</v>
      </c>
      <c r="I1265" s="99">
        <v>44067</v>
      </c>
      <c r="J1265" s="99">
        <v>44070</v>
      </c>
      <c r="K1265" t="s">
        <v>8266</v>
      </c>
      <c r="L1265" t="s">
        <v>8267</v>
      </c>
    </row>
    <row r="1266" spans="2:12" x14ac:dyDescent="0.2">
      <c r="B1266">
        <v>10873</v>
      </c>
      <c r="C1266" t="s">
        <v>8316</v>
      </c>
      <c r="D1266" t="s">
        <v>8247</v>
      </c>
      <c r="E1266" s="225">
        <v>136.80000000000001</v>
      </c>
      <c r="F1266" t="s">
        <v>8426</v>
      </c>
      <c r="G1266" t="s">
        <v>8427</v>
      </c>
      <c r="H1266" t="s">
        <v>8300</v>
      </c>
      <c r="I1266" s="99">
        <v>44067</v>
      </c>
      <c r="J1266" s="99">
        <v>44070</v>
      </c>
      <c r="K1266" t="s">
        <v>8266</v>
      </c>
      <c r="L1266" t="s">
        <v>8267</v>
      </c>
    </row>
    <row r="1267" spans="2:12" x14ac:dyDescent="0.2">
      <c r="B1267">
        <v>10875</v>
      </c>
      <c r="C1267" t="s">
        <v>8327</v>
      </c>
      <c r="D1267" t="s">
        <v>8262</v>
      </c>
      <c r="E1267" s="225">
        <v>230</v>
      </c>
      <c r="F1267" t="s">
        <v>8318</v>
      </c>
      <c r="G1267" t="s">
        <v>8319</v>
      </c>
      <c r="H1267" t="s">
        <v>8292</v>
      </c>
      <c r="I1267" s="99">
        <v>44067</v>
      </c>
      <c r="J1267" s="99">
        <v>44092</v>
      </c>
      <c r="K1267" t="s">
        <v>8266</v>
      </c>
      <c r="L1267" t="s">
        <v>8267</v>
      </c>
    </row>
    <row r="1268" spans="2:12" x14ac:dyDescent="0.2">
      <c r="B1268">
        <v>10875</v>
      </c>
      <c r="C1268" t="s">
        <v>8410</v>
      </c>
      <c r="D1268" t="s">
        <v>8262</v>
      </c>
      <c r="E1268" s="225">
        <v>179.55</v>
      </c>
      <c r="F1268" t="s">
        <v>8318</v>
      </c>
      <c r="G1268" t="s">
        <v>8319</v>
      </c>
      <c r="H1268" t="s">
        <v>8292</v>
      </c>
      <c r="I1268" s="99">
        <v>44067</v>
      </c>
      <c r="J1268" s="99">
        <v>44092</v>
      </c>
      <c r="K1268" t="s">
        <v>8266</v>
      </c>
      <c r="L1268" t="s">
        <v>8267</v>
      </c>
    </row>
    <row r="1269" spans="2:12" x14ac:dyDescent="0.2">
      <c r="B1269">
        <v>10875</v>
      </c>
      <c r="C1269" t="s">
        <v>8390</v>
      </c>
      <c r="D1269" t="s">
        <v>8262</v>
      </c>
      <c r="E1269" s="225">
        <v>300</v>
      </c>
      <c r="F1269" t="s">
        <v>8318</v>
      </c>
      <c r="G1269" t="s">
        <v>8319</v>
      </c>
      <c r="H1269" t="s">
        <v>8292</v>
      </c>
      <c r="I1269" s="99">
        <v>44067</v>
      </c>
      <c r="J1269" s="99">
        <v>44092</v>
      </c>
      <c r="K1269" t="s">
        <v>8266</v>
      </c>
      <c r="L1269" t="s">
        <v>8267</v>
      </c>
    </row>
    <row r="1270" spans="2:12" x14ac:dyDescent="0.2">
      <c r="B1270">
        <v>10876</v>
      </c>
      <c r="C1270" t="s">
        <v>8340</v>
      </c>
      <c r="D1270" t="s">
        <v>8244</v>
      </c>
      <c r="E1270" s="225">
        <v>665</v>
      </c>
      <c r="F1270" t="s">
        <v>8377</v>
      </c>
      <c r="G1270" t="s">
        <v>8378</v>
      </c>
      <c r="H1270" t="s">
        <v>8236</v>
      </c>
      <c r="I1270" s="99">
        <v>44070</v>
      </c>
      <c r="J1270" s="99">
        <v>44073</v>
      </c>
      <c r="K1270" t="s">
        <v>8158</v>
      </c>
      <c r="L1270" t="s">
        <v>861</v>
      </c>
    </row>
    <row r="1271" spans="2:12" x14ac:dyDescent="0.2">
      <c r="B1271">
        <v>10877</v>
      </c>
      <c r="C1271" t="s">
        <v>8280</v>
      </c>
      <c r="D1271" t="s">
        <v>8262</v>
      </c>
      <c r="E1271" s="225">
        <v>392.62</v>
      </c>
      <c r="F1271" t="s">
        <v>8716</v>
      </c>
      <c r="G1271" t="s">
        <v>8715</v>
      </c>
      <c r="H1271" t="s">
        <v>8710</v>
      </c>
      <c r="I1271" s="99">
        <v>44070</v>
      </c>
      <c r="J1271" s="99">
        <v>44080</v>
      </c>
      <c r="K1271" t="s">
        <v>8285</v>
      </c>
      <c r="L1271" t="s">
        <v>2317</v>
      </c>
    </row>
    <row r="1272" spans="2:12" x14ac:dyDescent="0.2">
      <c r="B1272">
        <v>10878</v>
      </c>
      <c r="C1272" t="s">
        <v>8260</v>
      </c>
      <c r="D1272" t="s">
        <v>8262</v>
      </c>
      <c r="E1272" s="225">
        <v>1539</v>
      </c>
      <c r="F1272" t="s">
        <v>8307</v>
      </c>
      <c r="G1272" t="s">
        <v>8308</v>
      </c>
      <c r="H1272" t="s">
        <v>8246</v>
      </c>
      <c r="I1272" s="99">
        <v>44072</v>
      </c>
      <c r="J1272" s="99">
        <v>44073</v>
      </c>
      <c r="K1272" t="s">
        <v>8266</v>
      </c>
      <c r="L1272" t="s">
        <v>8267</v>
      </c>
    </row>
    <row r="1273" spans="2:12" x14ac:dyDescent="0.2">
      <c r="B1273">
        <v>10879</v>
      </c>
      <c r="C1273" t="s">
        <v>8303</v>
      </c>
      <c r="D1273" t="s">
        <v>8272</v>
      </c>
      <c r="E1273" s="225">
        <v>180</v>
      </c>
      <c r="F1273" t="s">
        <v>8426</v>
      </c>
      <c r="G1273" t="s">
        <v>8427</v>
      </c>
      <c r="H1273" t="s">
        <v>8300</v>
      </c>
      <c r="I1273" s="99">
        <v>44072</v>
      </c>
      <c r="J1273" s="99">
        <v>44073</v>
      </c>
      <c r="K1273" t="s">
        <v>8257</v>
      </c>
      <c r="L1273" t="s">
        <v>6984</v>
      </c>
    </row>
    <row r="1274" spans="2:12" x14ac:dyDescent="0.2">
      <c r="B1274">
        <v>10879</v>
      </c>
      <c r="C1274" t="s">
        <v>8253</v>
      </c>
      <c r="D1274" t="s">
        <v>8254</v>
      </c>
      <c r="E1274" s="225">
        <v>210.5</v>
      </c>
      <c r="F1274" t="s">
        <v>8426</v>
      </c>
      <c r="G1274" t="s">
        <v>8427</v>
      </c>
      <c r="H1274" t="s">
        <v>8300</v>
      </c>
      <c r="I1274" s="99">
        <v>44072</v>
      </c>
      <c r="J1274" s="99">
        <v>44073</v>
      </c>
      <c r="K1274" t="s">
        <v>8257</v>
      </c>
      <c r="L1274" t="s">
        <v>6984</v>
      </c>
    </row>
    <row r="1275" spans="2:12" x14ac:dyDescent="0.2">
      <c r="B1275">
        <v>10880</v>
      </c>
      <c r="C1275" t="s">
        <v>8288</v>
      </c>
      <c r="D1275" t="s">
        <v>8272</v>
      </c>
      <c r="E1275" s="225">
        <v>600</v>
      </c>
      <c r="F1275" t="s">
        <v>8293</v>
      </c>
      <c r="G1275" t="s">
        <v>8294</v>
      </c>
      <c r="H1275" t="s">
        <v>8292</v>
      </c>
      <c r="I1275" s="99">
        <v>44072</v>
      </c>
      <c r="J1275" s="99">
        <v>44079</v>
      </c>
      <c r="K1275" t="s">
        <v>8158</v>
      </c>
      <c r="L1275" t="s">
        <v>861</v>
      </c>
    </row>
    <row r="1276" spans="2:12" x14ac:dyDescent="0.2">
      <c r="B1276">
        <v>10880</v>
      </c>
      <c r="C1276" t="s">
        <v>8409</v>
      </c>
      <c r="D1276" t="s">
        <v>8254</v>
      </c>
      <c r="E1276" s="225">
        <v>684</v>
      </c>
      <c r="F1276" t="s">
        <v>8293</v>
      </c>
      <c r="G1276" t="s">
        <v>8294</v>
      </c>
      <c r="H1276" t="s">
        <v>8292</v>
      </c>
      <c r="I1276" s="99">
        <v>44072</v>
      </c>
      <c r="J1276" s="99">
        <v>44079</v>
      </c>
      <c r="K1276" t="s">
        <v>8158</v>
      </c>
      <c r="L1276" t="s">
        <v>861</v>
      </c>
    </row>
    <row r="1277" spans="2:12" x14ac:dyDescent="0.2">
      <c r="B1277">
        <v>10880</v>
      </c>
      <c r="C1277" t="s">
        <v>8373</v>
      </c>
      <c r="D1277" t="s">
        <v>8244</v>
      </c>
      <c r="E1277" s="225">
        <v>216</v>
      </c>
      <c r="F1277" t="s">
        <v>8293</v>
      </c>
      <c r="G1277" t="s">
        <v>8294</v>
      </c>
      <c r="H1277" t="s">
        <v>8292</v>
      </c>
      <c r="I1277" s="99">
        <v>44072</v>
      </c>
      <c r="J1277" s="99">
        <v>44079</v>
      </c>
      <c r="K1277" t="s">
        <v>8158</v>
      </c>
      <c r="L1277" t="s">
        <v>861</v>
      </c>
    </row>
    <row r="1278" spans="2:12" x14ac:dyDescent="0.2">
      <c r="B1278">
        <v>10882</v>
      </c>
      <c r="C1278" t="s">
        <v>8390</v>
      </c>
      <c r="D1278" t="s">
        <v>8262</v>
      </c>
      <c r="E1278" s="225">
        <v>340</v>
      </c>
      <c r="F1278" t="s">
        <v>8758</v>
      </c>
      <c r="G1278" t="s">
        <v>8757</v>
      </c>
      <c r="H1278" t="s">
        <v>8701</v>
      </c>
      <c r="I1278" s="99">
        <v>44072</v>
      </c>
      <c r="J1278" s="99">
        <v>44081</v>
      </c>
      <c r="K1278" t="s">
        <v>8266</v>
      </c>
      <c r="L1278" t="s">
        <v>8267</v>
      </c>
    </row>
    <row r="1279" spans="2:12" x14ac:dyDescent="0.2">
      <c r="B1279">
        <v>10882</v>
      </c>
      <c r="C1279" t="s">
        <v>8243</v>
      </c>
      <c r="D1279" t="s">
        <v>8244</v>
      </c>
      <c r="E1279" s="225">
        <v>350</v>
      </c>
      <c r="F1279" t="s">
        <v>8758</v>
      </c>
      <c r="G1279" t="s">
        <v>8757</v>
      </c>
      <c r="H1279" t="s">
        <v>8701</v>
      </c>
      <c r="I1279" s="99">
        <v>44072</v>
      </c>
      <c r="J1279" s="99">
        <v>44081</v>
      </c>
      <c r="K1279" t="s">
        <v>8266</v>
      </c>
      <c r="L1279" t="s">
        <v>8267</v>
      </c>
    </row>
    <row r="1280" spans="2:12" x14ac:dyDescent="0.2">
      <c r="B1280">
        <v>10883</v>
      </c>
      <c r="C1280" t="s">
        <v>8270</v>
      </c>
      <c r="D1280" t="s">
        <v>8272</v>
      </c>
      <c r="E1280" s="225">
        <v>36</v>
      </c>
      <c r="F1280" t="s">
        <v>8752</v>
      </c>
      <c r="G1280" t="s">
        <v>8751</v>
      </c>
      <c r="H1280" t="s">
        <v>8701</v>
      </c>
      <c r="I1280" s="99">
        <v>44073</v>
      </c>
      <c r="J1280" s="99">
        <v>44081</v>
      </c>
      <c r="K1280" t="s">
        <v>8320</v>
      </c>
      <c r="L1280" t="s">
        <v>8321</v>
      </c>
    </row>
    <row r="1281" spans="2:12" x14ac:dyDescent="0.2">
      <c r="B1281">
        <v>10884</v>
      </c>
      <c r="C1281" t="s">
        <v>8253</v>
      </c>
      <c r="D1281" t="s">
        <v>8254</v>
      </c>
      <c r="E1281" s="225">
        <v>239.97</v>
      </c>
      <c r="F1281" t="s">
        <v>8778</v>
      </c>
      <c r="G1281" t="s">
        <v>8777</v>
      </c>
      <c r="H1281" t="s">
        <v>8701</v>
      </c>
      <c r="I1281" s="99">
        <v>44073</v>
      </c>
      <c r="J1281" s="99">
        <v>44074</v>
      </c>
      <c r="K1281" t="s">
        <v>8266</v>
      </c>
      <c r="L1281" t="s">
        <v>8267</v>
      </c>
    </row>
    <row r="1282" spans="2:12" x14ac:dyDescent="0.2">
      <c r="B1282">
        <v>10884</v>
      </c>
      <c r="C1282" t="s">
        <v>8368</v>
      </c>
      <c r="D1282" t="s">
        <v>8262</v>
      </c>
      <c r="E1282" s="225">
        <v>380</v>
      </c>
      <c r="F1282" t="s">
        <v>8778</v>
      </c>
      <c r="G1282" t="s">
        <v>8777</v>
      </c>
      <c r="H1282" t="s">
        <v>8701</v>
      </c>
      <c r="I1282" s="99">
        <v>44073</v>
      </c>
      <c r="J1282" s="99">
        <v>44074</v>
      </c>
      <c r="K1282" t="s">
        <v>8266</v>
      </c>
      <c r="L1282" t="s">
        <v>8267</v>
      </c>
    </row>
    <row r="1283" spans="2:12" x14ac:dyDescent="0.2">
      <c r="B1283">
        <v>10884</v>
      </c>
      <c r="C1283" t="s">
        <v>8341</v>
      </c>
      <c r="D1283" t="s">
        <v>8244</v>
      </c>
      <c r="E1283" s="225">
        <v>758.1</v>
      </c>
      <c r="F1283" t="s">
        <v>8778</v>
      </c>
      <c r="G1283" t="s">
        <v>8777</v>
      </c>
      <c r="H1283" t="s">
        <v>8701</v>
      </c>
      <c r="I1283" s="99">
        <v>44073</v>
      </c>
      <c r="J1283" s="99">
        <v>44074</v>
      </c>
      <c r="K1283" t="s">
        <v>8266</v>
      </c>
      <c r="L1283" t="s">
        <v>8267</v>
      </c>
    </row>
    <row r="1284" spans="2:12" x14ac:dyDescent="0.2">
      <c r="B1284">
        <v>10885</v>
      </c>
      <c r="C1284" t="s">
        <v>8276</v>
      </c>
      <c r="D1284" t="s">
        <v>8272</v>
      </c>
      <c r="E1284" s="225">
        <v>380</v>
      </c>
      <c r="F1284" t="s">
        <v>8263</v>
      </c>
      <c r="G1284" t="s">
        <v>8264</v>
      </c>
      <c r="H1284" t="s">
        <v>8261</v>
      </c>
      <c r="I1284" s="99">
        <v>44073</v>
      </c>
      <c r="J1284" s="99">
        <v>44079</v>
      </c>
      <c r="K1284" t="s">
        <v>8251</v>
      </c>
      <c r="L1284" t="s">
        <v>269</v>
      </c>
    </row>
    <row r="1285" spans="2:12" x14ac:dyDescent="0.2">
      <c r="B1285">
        <v>10885</v>
      </c>
      <c r="C1285" t="s">
        <v>8270</v>
      </c>
      <c r="D1285" t="s">
        <v>8272</v>
      </c>
      <c r="E1285" s="225">
        <v>54</v>
      </c>
      <c r="F1285" t="s">
        <v>8263</v>
      </c>
      <c r="G1285" t="s">
        <v>8264</v>
      </c>
      <c r="H1285" t="s">
        <v>8261</v>
      </c>
      <c r="I1285" s="99">
        <v>44073</v>
      </c>
      <c r="J1285" s="99">
        <v>44079</v>
      </c>
      <c r="K1285" t="s">
        <v>8251</v>
      </c>
      <c r="L1285" t="s">
        <v>269</v>
      </c>
    </row>
    <row r="1286" spans="2:12" x14ac:dyDescent="0.2">
      <c r="B1286">
        <v>10885</v>
      </c>
      <c r="C1286" t="s">
        <v>8288</v>
      </c>
      <c r="D1286" t="s">
        <v>8272</v>
      </c>
      <c r="E1286" s="225">
        <v>450</v>
      </c>
      <c r="F1286" t="s">
        <v>8263</v>
      </c>
      <c r="G1286" t="s">
        <v>8264</v>
      </c>
      <c r="H1286" t="s">
        <v>8261</v>
      </c>
      <c r="I1286" s="99">
        <v>44073</v>
      </c>
      <c r="J1286" s="99">
        <v>44079</v>
      </c>
      <c r="K1286" t="s">
        <v>8251</v>
      </c>
      <c r="L1286" t="s">
        <v>269</v>
      </c>
    </row>
    <row r="1287" spans="2:12" x14ac:dyDescent="0.2">
      <c r="B1287">
        <v>10885</v>
      </c>
      <c r="C1287" t="s">
        <v>8397</v>
      </c>
      <c r="D1287" t="s">
        <v>8254</v>
      </c>
      <c r="E1287" s="225">
        <v>325</v>
      </c>
      <c r="F1287" t="s">
        <v>8263</v>
      </c>
      <c r="G1287" t="s">
        <v>8264</v>
      </c>
      <c r="H1287" t="s">
        <v>8261</v>
      </c>
      <c r="I1287" s="99">
        <v>44073</v>
      </c>
      <c r="J1287" s="99">
        <v>44079</v>
      </c>
      <c r="K1287" t="s">
        <v>8251</v>
      </c>
      <c r="L1287" t="s">
        <v>269</v>
      </c>
    </row>
    <row r="1288" spans="2:12" x14ac:dyDescent="0.2">
      <c r="B1288">
        <v>10886</v>
      </c>
      <c r="C1288" t="s">
        <v>8397</v>
      </c>
      <c r="D1288" t="s">
        <v>8254</v>
      </c>
      <c r="E1288" s="225">
        <v>520</v>
      </c>
      <c r="F1288" t="s">
        <v>8728</v>
      </c>
      <c r="G1288" t="s">
        <v>8727</v>
      </c>
      <c r="H1288" t="s">
        <v>8710</v>
      </c>
      <c r="I1288" s="99">
        <v>44074</v>
      </c>
      <c r="J1288" s="99">
        <v>44091</v>
      </c>
      <c r="K1288" t="s">
        <v>8285</v>
      </c>
      <c r="L1288" t="s">
        <v>2317</v>
      </c>
    </row>
    <row r="1289" spans="2:12" x14ac:dyDescent="0.2">
      <c r="B1289">
        <v>10886</v>
      </c>
      <c r="C1289" t="s">
        <v>8309</v>
      </c>
      <c r="D1289" t="s">
        <v>8237</v>
      </c>
      <c r="E1289" s="225">
        <v>437.5</v>
      </c>
      <c r="F1289" t="s">
        <v>8728</v>
      </c>
      <c r="G1289" t="s">
        <v>8727</v>
      </c>
      <c r="H1289" t="s">
        <v>8710</v>
      </c>
      <c r="I1289" s="99">
        <v>44074</v>
      </c>
      <c r="J1289" s="99">
        <v>44091</v>
      </c>
      <c r="K1289" t="s">
        <v>8285</v>
      </c>
      <c r="L1289" t="s">
        <v>2317</v>
      </c>
    </row>
    <row r="1290" spans="2:12" x14ac:dyDescent="0.2">
      <c r="B1290">
        <v>10887</v>
      </c>
      <c r="C1290" t="s">
        <v>8362</v>
      </c>
      <c r="D1290" t="s">
        <v>8262</v>
      </c>
      <c r="E1290" s="225">
        <v>70</v>
      </c>
      <c r="F1290" t="s">
        <v>8398</v>
      </c>
      <c r="G1290" t="s">
        <v>8399</v>
      </c>
      <c r="H1290" t="s">
        <v>8324</v>
      </c>
      <c r="I1290" s="99">
        <v>44074</v>
      </c>
      <c r="J1290" s="99">
        <v>44077</v>
      </c>
      <c r="K1290" t="s">
        <v>8320</v>
      </c>
      <c r="L1290" t="s">
        <v>8321</v>
      </c>
    </row>
    <row r="1291" spans="2:12" x14ac:dyDescent="0.2">
      <c r="B1291">
        <v>10888</v>
      </c>
      <c r="C1291" t="s">
        <v>8276</v>
      </c>
      <c r="D1291" t="s">
        <v>8272</v>
      </c>
      <c r="E1291" s="225">
        <v>380</v>
      </c>
      <c r="F1291" t="s">
        <v>8349</v>
      </c>
      <c r="G1291" t="s">
        <v>8350</v>
      </c>
      <c r="H1291" t="s">
        <v>8324</v>
      </c>
      <c r="I1291" s="99">
        <v>44077</v>
      </c>
      <c r="J1291" s="99">
        <v>44084</v>
      </c>
      <c r="K1291" t="s">
        <v>8285</v>
      </c>
      <c r="L1291" t="s">
        <v>2317</v>
      </c>
    </row>
    <row r="1292" spans="2:12" x14ac:dyDescent="0.2">
      <c r="B1292">
        <v>10888</v>
      </c>
      <c r="C1292" t="s">
        <v>8334</v>
      </c>
      <c r="D1292" t="s">
        <v>8262</v>
      </c>
      <c r="E1292" s="225">
        <v>225</v>
      </c>
      <c r="F1292" t="s">
        <v>8349</v>
      </c>
      <c r="G1292" t="s">
        <v>8350</v>
      </c>
      <c r="H1292" t="s">
        <v>8324</v>
      </c>
      <c r="I1292" s="99">
        <v>44077</v>
      </c>
      <c r="J1292" s="99">
        <v>44084</v>
      </c>
      <c r="K1292" t="s">
        <v>8285</v>
      </c>
      <c r="L1292" t="s">
        <v>2317</v>
      </c>
    </row>
    <row r="1293" spans="2:12" x14ac:dyDescent="0.2">
      <c r="B1293">
        <v>10889</v>
      </c>
      <c r="C1293" t="s">
        <v>8380</v>
      </c>
      <c r="D1293" t="s">
        <v>8272</v>
      </c>
      <c r="E1293" s="225">
        <v>10540</v>
      </c>
      <c r="F1293" t="s">
        <v>8703</v>
      </c>
      <c r="G1293" t="s">
        <v>8702</v>
      </c>
      <c r="H1293" t="s">
        <v>8701</v>
      </c>
      <c r="I1293" s="99">
        <v>44077</v>
      </c>
      <c r="J1293" s="99">
        <v>44084</v>
      </c>
      <c r="K1293" t="s">
        <v>8279</v>
      </c>
      <c r="L1293" t="s">
        <v>710</v>
      </c>
    </row>
    <row r="1294" spans="2:12" x14ac:dyDescent="0.2">
      <c r="B1294">
        <v>10889</v>
      </c>
      <c r="C1294" t="s">
        <v>8242</v>
      </c>
      <c r="D1294" t="s">
        <v>8237</v>
      </c>
      <c r="E1294" s="225">
        <v>840</v>
      </c>
      <c r="F1294" t="s">
        <v>8703</v>
      </c>
      <c r="G1294" t="s">
        <v>8702</v>
      </c>
      <c r="H1294" t="s">
        <v>8701</v>
      </c>
      <c r="I1294" s="99">
        <v>44077</v>
      </c>
      <c r="J1294" s="99">
        <v>44084</v>
      </c>
      <c r="K1294" t="s">
        <v>8279</v>
      </c>
      <c r="L1294" t="s">
        <v>710</v>
      </c>
    </row>
    <row r="1295" spans="2:12" x14ac:dyDescent="0.2">
      <c r="B1295">
        <v>10890</v>
      </c>
      <c r="C1295" t="s">
        <v>8358</v>
      </c>
      <c r="D1295" t="s">
        <v>8272</v>
      </c>
      <c r="E1295" s="225">
        <v>140</v>
      </c>
      <c r="F1295" t="s">
        <v>8354</v>
      </c>
      <c r="G1295" t="s">
        <v>8355</v>
      </c>
      <c r="H1295" t="s">
        <v>8236</v>
      </c>
      <c r="I1295" s="99">
        <v>44077</v>
      </c>
      <c r="J1295" s="99">
        <v>44079</v>
      </c>
      <c r="K1295" t="s">
        <v>8158</v>
      </c>
      <c r="L1295" t="s">
        <v>861</v>
      </c>
    </row>
    <row r="1296" spans="2:12" x14ac:dyDescent="0.2">
      <c r="B1296">
        <v>10892</v>
      </c>
      <c r="C1296" t="s">
        <v>8281</v>
      </c>
      <c r="D1296" t="s">
        <v>8237</v>
      </c>
      <c r="E1296" s="225">
        <v>2090</v>
      </c>
      <c r="F1296" t="s">
        <v>8420</v>
      </c>
      <c r="G1296" t="s">
        <v>8421</v>
      </c>
      <c r="H1296" t="s">
        <v>8261</v>
      </c>
      <c r="I1296" s="99">
        <v>44078</v>
      </c>
      <c r="J1296" s="99">
        <v>44080</v>
      </c>
      <c r="K1296" t="s">
        <v>8266</v>
      </c>
      <c r="L1296" t="s">
        <v>8267</v>
      </c>
    </row>
    <row r="1297" spans="2:12" x14ac:dyDescent="0.2">
      <c r="B1297">
        <v>10893</v>
      </c>
      <c r="C1297" t="s">
        <v>8270</v>
      </c>
      <c r="D1297" t="s">
        <v>8272</v>
      </c>
      <c r="E1297" s="225">
        <v>45</v>
      </c>
      <c r="F1297" t="s">
        <v>8359</v>
      </c>
      <c r="G1297" t="s">
        <v>8360</v>
      </c>
      <c r="H1297" t="s">
        <v>8246</v>
      </c>
      <c r="I1297" s="99">
        <v>44079</v>
      </c>
      <c r="J1297" s="99">
        <v>44081</v>
      </c>
      <c r="K1297" t="s">
        <v>8279</v>
      </c>
      <c r="L1297" t="s">
        <v>710</v>
      </c>
    </row>
    <row r="1298" spans="2:12" x14ac:dyDescent="0.2">
      <c r="B1298">
        <v>10893</v>
      </c>
      <c r="C1298" t="s">
        <v>8379</v>
      </c>
      <c r="D1298" t="s">
        <v>8254</v>
      </c>
      <c r="E1298" s="225">
        <v>1200</v>
      </c>
      <c r="F1298" t="s">
        <v>8359</v>
      </c>
      <c r="G1298" t="s">
        <v>8360</v>
      </c>
      <c r="H1298" t="s">
        <v>8246</v>
      </c>
      <c r="I1298" s="99">
        <v>44079</v>
      </c>
      <c r="J1298" s="99">
        <v>44081</v>
      </c>
      <c r="K1298" t="s">
        <v>8279</v>
      </c>
      <c r="L1298" t="s">
        <v>710</v>
      </c>
    </row>
    <row r="1299" spans="2:12" x14ac:dyDescent="0.2">
      <c r="B1299">
        <v>10894</v>
      </c>
      <c r="C1299" t="s">
        <v>8328</v>
      </c>
      <c r="D1299" t="s">
        <v>8272</v>
      </c>
      <c r="E1299" s="225">
        <v>883.5</v>
      </c>
      <c r="F1299" t="s">
        <v>8758</v>
      </c>
      <c r="G1299" t="s">
        <v>8757</v>
      </c>
      <c r="H1299" t="s">
        <v>8701</v>
      </c>
      <c r="I1299" s="99">
        <v>44079</v>
      </c>
      <c r="J1299" s="99">
        <v>44081</v>
      </c>
      <c r="K1299" t="s">
        <v>8285</v>
      </c>
      <c r="L1299" t="s">
        <v>2317</v>
      </c>
    </row>
    <row r="1300" spans="2:12" x14ac:dyDescent="0.2">
      <c r="B1300">
        <v>10894</v>
      </c>
      <c r="C1300" t="s">
        <v>8353</v>
      </c>
      <c r="D1300" t="s">
        <v>8237</v>
      </c>
      <c r="E1300" s="225">
        <v>1710</v>
      </c>
      <c r="F1300" t="s">
        <v>8758</v>
      </c>
      <c r="G1300" t="s">
        <v>8757</v>
      </c>
      <c r="H1300" t="s">
        <v>8701</v>
      </c>
      <c r="I1300" s="99">
        <v>44079</v>
      </c>
      <c r="J1300" s="99">
        <v>44081</v>
      </c>
      <c r="K1300" t="s">
        <v>8285</v>
      </c>
      <c r="L1300" t="s">
        <v>2317</v>
      </c>
    </row>
    <row r="1301" spans="2:12" x14ac:dyDescent="0.2">
      <c r="B1301">
        <v>10895</v>
      </c>
      <c r="C1301" t="s">
        <v>8270</v>
      </c>
      <c r="D1301" t="s">
        <v>8272</v>
      </c>
      <c r="E1301" s="225">
        <v>495</v>
      </c>
      <c r="F1301" t="s">
        <v>8283</v>
      </c>
      <c r="G1301" t="s">
        <v>8284</v>
      </c>
      <c r="H1301" t="s">
        <v>8282</v>
      </c>
      <c r="I1301" s="99">
        <v>44079</v>
      </c>
      <c r="J1301" s="99">
        <v>44084</v>
      </c>
      <c r="K1301" t="s">
        <v>8257</v>
      </c>
      <c r="L1301" t="s">
        <v>6984</v>
      </c>
    </row>
    <row r="1302" spans="2:12" x14ac:dyDescent="0.2">
      <c r="B1302">
        <v>10895</v>
      </c>
      <c r="C1302" t="s">
        <v>8342</v>
      </c>
      <c r="D1302" t="s">
        <v>8272</v>
      </c>
      <c r="E1302" s="225">
        <v>810</v>
      </c>
      <c r="F1302" t="s">
        <v>8283</v>
      </c>
      <c r="G1302" t="s">
        <v>8284</v>
      </c>
      <c r="H1302" t="s">
        <v>8282</v>
      </c>
      <c r="I1302" s="99">
        <v>44079</v>
      </c>
      <c r="J1302" s="99">
        <v>44084</v>
      </c>
      <c r="K1302" t="s">
        <v>8257</v>
      </c>
      <c r="L1302" t="s">
        <v>6984</v>
      </c>
    </row>
    <row r="1303" spans="2:12" x14ac:dyDescent="0.2">
      <c r="B1303">
        <v>10895</v>
      </c>
      <c r="C1303" t="s">
        <v>8268</v>
      </c>
      <c r="D1303" t="s">
        <v>8237</v>
      </c>
      <c r="E1303" s="225">
        <v>3400</v>
      </c>
      <c r="F1303" t="s">
        <v>8283</v>
      </c>
      <c r="G1303" t="s">
        <v>8284</v>
      </c>
      <c r="H1303" t="s">
        <v>8282</v>
      </c>
      <c r="I1303" s="99">
        <v>44079</v>
      </c>
      <c r="J1303" s="99">
        <v>44084</v>
      </c>
      <c r="K1303" t="s">
        <v>8257</v>
      </c>
      <c r="L1303" t="s">
        <v>6984</v>
      </c>
    </row>
    <row r="1304" spans="2:12" x14ac:dyDescent="0.2">
      <c r="B1304">
        <v>10896</v>
      </c>
      <c r="C1304" t="s">
        <v>8341</v>
      </c>
      <c r="D1304" t="s">
        <v>8244</v>
      </c>
      <c r="E1304" s="225">
        <v>608</v>
      </c>
      <c r="F1304" t="s">
        <v>8420</v>
      </c>
      <c r="G1304" t="s">
        <v>8421</v>
      </c>
      <c r="H1304" t="s">
        <v>8261</v>
      </c>
      <c r="I1304" s="99">
        <v>44080</v>
      </c>
      <c r="J1304" s="99">
        <v>44088</v>
      </c>
      <c r="K1304" t="s">
        <v>8158</v>
      </c>
      <c r="L1304" t="s">
        <v>861</v>
      </c>
    </row>
    <row r="1305" spans="2:12" x14ac:dyDescent="0.2">
      <c r="B1305">
        <v>10899</v>
      </c>
      <c r="C1305" t="s">
        <v>8342</v>
      </c>
      <c r="D1305" t="s">
        <v>8272</v>
      </c>
      <c r="E1305" s="225">
        <v>122.4</v>
      </c>
      <c r="F1305" t="s">
        <v>8709</v>
      </c>
      <c r="G1305" t="s">
        <v>8708</v>
      </c>
      <c r="H1305" t="s">
        <v>8707</v>
      </c>
      <c r="I1305" s="99">
        <v>44081</v>
      </c>
      <c r="J1305" s="99">
        <v>44087</v>
      </c>
      <c r="K1305" t="s">
        <v>8241</v>
      </c>
      <c r="L1305" t="s">
        <v>6934</v>
      </c>
    </row>
    <row r="1306" spans="2:12" x14ac:dyDescent="0.2">
      <c r="B1306">
        <v>10900</v>
      </c>
      <c r="C1306" t="s">
        <v>8288</v>
      </c>
      <c r="D1306" t="s">
        <v>8272</v>
      </c>
      <c r="E1306" s="225">
        <v>33.75</v>
      </c>
      <c r="F1306" t="s">
        <v>8730</v>
      </c>
      <c r="G1306" t="s">
        <v>8729</v>
      </c>
      <c r="H1306" t="s">
        <v>8710</v>
      </c>
      <c r="I1306" s="99">
        <v>44081</v>
      </c>
      <c r="J1306" s="99">
        <v>44093</v>
      </c>
      <c r="K1306" t="s">
        <v>8285</v>
      </c>
      <c r="L1306" t="s">
        <v>2317</v>
      </c>
    </row>
    <row r="1307" spans="2:12" x14ac:dyDescent="0.2">
      <c r="B1307">
        <v>10901</v>
      </c>
      <c r="C1307" t="s">
        <v>8310</v>
      </c>
      <c r="D1307" t="s">
        <v>8237</v>
      </c>
      <c r="E1307" s="225">
        <v>645</v>
      </c>
      <c r="F1307" t="s">
        <v>8732</v>
      </c>
      <c r="G1307" t="s">
        <v>8731</v>
      </c>
      <c r="H1307" t="s">
        <v>8707</v>
      </c>
      <c r="I1307" s="99">
        <v>44084</v>
      </c>
      <c r="J1307" s="99">
        <v>44087</v>
      </c>
      <c r="K1307" t="s">
        <v>8266</v>
      </c>
      <c r="L1307" t="s">
        <v>8267</v>
      </c>
    </row>
    <row r="1308" spans="2:12" x14ac:dyDescent="0.2">
      <c r="B1308">
        <v>10902</v>
      </c>
      <c r="C1308" t="s">
        <v>8291</v>
      </c>
      <c r="D1308" t="s">
        <v>8262</v>
      </c>
      <c r="E1308" s="225">
        <v>251.43</v>
      </c>
      <c r="F1308" t="s">
        <v>8293</v>
      </c>
      <c r="G1308" t="s">
        <v>8294</v>
      </c>
      <c r="H1308" t="s">
        <v>8292</v>
      </c>
      <c r="I1308" s="99">
        <v>44084</v>
      </c>
      <c r="J1308" s="99">
        <v>44092</v>
      </c>
      <c r="K1308" t="s">
        <v>8285</v>
      </c>
      <c r="L1308" t="s">
        <v>2317</v>
      </c>
    </row>
    <row r="1309" spans="2:12" x14ac:dyDescent="0.2">
      <c r="B1309">
        <v>10903</v>
      </c>
      <c r="C1309" t="s">
        <v>8253</v>
      </c>
      <c r="D1309" t="s">
        <v>8254</v>
      </c>
      <c r="E1309" s="225">
        <v>442.05</v>
      </c>
      <c r="F1309" t="s">
        <v>8728</v>
      </c>
      <c r="G1309" t="s">
        <v>8727</v>
      </c>
      <c r="H1309" t="s">
        <v>8710</v>
      </c>
      <c r="I1309" s="99">
        <v>44085</v>
      </c>
      <c r="J1309" s="99">
        <v>44093</v>
      </c>
      <c r="K1309" t="s">
        <v>8257</v>
      </c>
      <c r="L1309" t="s">
        <v>6984</v>
      </c>
    </row>
    <row r="1310" spans="2:12" x14ac:dyDescent="0.2">
      <c r="B1310">
        <v>10903</v>
      </c>
      <c r="C1310" t="s">
        <v>8334</v>
      </c>
      <c r="D1310" t="s">
        <v>8262</v>
      </c>
      <c r="E1310" s="225">
        <v>250</v>
      </c>
      <c r="F1310" t="s">
        <v>8728</v>
      </c>
      <c r="G1310" t="s">
        <v>8727</v>
      </c>
      <c r="H1310" t="s">
        <v>8710</v>
      </c>
      <c r="I1310" s="99">
        <v>44085</v>
      </c>
      <c r="J1310" s="99">
        <v>44093</v>
      </c>
      <c r="K1310" t="s">
        <v>8257</v>
      </c>
      <c r="L1310" t="s">
        <v>6984</v>
      </c>
    </row>
    <row r="1311" spans="2:12" x14ac:dyDescent="0.2">
      <c r="B1311">
        <v>10904</v>
      </c>
      <c r="C1311" t="s">
        <v>8291</v>
      </c>
      <c r="D1311" t="s">
        <v>8262</v>
      </c>
      <c r="E1311" s="225">
        <v>1725.5</v>
      </c>
      <c r="F1311" t="s">
        <v>8740</v>
      </c>
      <c r="G1311" t="s">
        <v>8739</v>
      </c>
      <c r="H1311" t="s">
        <v>8701</v>
      </c>
      <c r="I1311" s="99">
        <v>44085</v>
      </c>
      <c r="J1311" s="99">
        <v>44088</v>
      </c>
      <c r="K1311" t="s">
        <v>8257</v>
      </c>
      <c r="L1311" t="s">
        <v>6984</v>
      </c>
    </row>
    <row r="1312" spans="2:12" x14ac:dyDescent="0.2">
      <c r="B1312">
        <v>10905</v>
      </c>
      <c r="C1312" t="s">
        <v>8333</v>
      </c>
      <c r="D1312" t="s">
        <v>8272</v>
      </c>
      <c r="E1312" s="225">
        <v>342</v>
      </c>
      <c r="F1312" t="s">
        <v>8730</v>
      </c>
      <c r="G1312" t="s">
        <v>8729</v>
      </c>
      <c r="H1312" t="s">
        <v>8710</v>
      </c>
      <c r="I1312" s="99">
        <v>44085</v>
      </c>
      <c r="J1312" s="99">
        <v>44095</v>
      </c>
      <c r="K1312" t="s">
        <v>8279</v>
      </c>
      <c r="L1312" t="s">
        <v>710</v>
      </c>
    </row>
    <row r="1313" spans="2:12" x14ac:dyDescent="0.2">
      <c r="B1313">
        <v>10906</v>
      </c>
      <c r="C1313" t="s">
        <v>8409</v>
      </c>
      <c r="D1313" t="s">
        <v>8254</v>
      </c>
      <c r="E1313" s="225">
        <v>427.5</v>
      </c>
      <c r="F1313" t="s">
        <v>8401</v>
      </c>
      <c r="G1313" t="s">
        <v>8402</v>
      </c>
      <c r="H1313" t="s">
        <v>8400</v>
      </c>
      <c r="I1313" s="99">
        <v>44086</v>
      </c>
      <c r="J1313" s="99">
        <v>44092</v>
      </c>
      <c r="K1313" t="s">
        <v>8266</v>
      </c>
      <c r="L1313" t="s">
        <v>8267</v>
      </c>
    </row>
    <row r="1314" spans="2:12" x14ac:dyDescent="0.2">
      <c r="B1314">
        <v>10907</v>
      </c>
      <c r="C1314" t="s">
        <v>8328</v>
      </c>
      <c r="D1314" t="s">
        <v>8272</v>
      </c>
      <c r="E1314" s="225">
        <v>108.5</v>
      </c>
      <c r="F1314" t="s">
        <v>8428</v>
      </c>
      <c r="G1314" t="s">
        <v>8429</v>
      </c>
      <c r="H1314" t="s">
        <v>8236</v>
      </c>
      <c r="I1314" s="99">
        <v>44086</v>
      </c>
      <c r="J1314" s="99">
        <v>44088</v>
      </c>
      <c r="K1314" t="s">
        <v>8251</v>
      </c>
      <c r="L1314" t="s">
        <v>269</v>
      </c>
    </row>
    <row r="1315" spans="2:12" x14ac:dyDescent="0.2">
      <c r="B1315">
        <v>10908</v>
      </c>
      <c r="C1315" t="s">
        <v>8369</v>
      </c>
      <c r="D1315" t="s">
        <v>8244</v>
      </c>
      <c r="E1315" s="225">
        <v>93.1</v>
      </c>
      <c r="F1315" t="s">
        <v>8335</v>
      </c>
      <c r="G1315" t="s">
        <v>8336</v>
      </c>
      <c r="H1315" t="s">
        <v>8311</v>
      </c>
      <c r="I1315" s="99">
        <v>44087</v>
      </c>
      <c r="J1315" s="99">
        <v>44095</v>
      </c>
      <c r="K1315" t="s">
        <v>8266</v>
      </c>
      <c r="L1315" t="s">
        <v>8267</v>
      </c>
    </row>
    <row r="1316" spans="2:12" x14ac:dyDescent="0.2">
      <c r="B1316">
        <v>10908</v>
      </c>
      <c r="C1316" t="s">
        <v>8415</v>
      </c>
      <c r="D1316" t="s">
        <v>8247</v>
      </c>
      <c r="E1316" s="225">
        <v>570</v>
      </c>
      <c r="F1316" t="s">
        <v>8335</v>
      </c>
      <c r="G1316" t="s">
        <v>8336</v>
      </c>
      <c r="H1316" t="s">
        <v>8311</v>
      </c>
      <c r="I1316" s="99">
        <v>44087</v>
      </c>
      <c r="J1316" s="99">
        <v>44095</v>
      </c>
      <c r="K1316" t="s">
        <v>8266</v>
      </c>
      <c r="L1316" t="s">
        <v>8267</v>
      </c>
    </row>
    <row r="1317" spans="2:12" x14ac:dyDescent="0.2">
      <c r="B1317">
        <v>10909</v>
      </c>
      <c r="C1317" t="s">
        <v>8280</v>
      </c>
      <c r="D1317" t="s">
        <v>8262</v>
      </c>
      <c r="E1317" s="225">
        <v>261.75</v>
      </c>
      <c r="F1317" t="s">
        <v>8404</v>
      </c>
      <c r="G1317" t="s">
        <v>8405</v>
      </c>
      <c r="H1317" t="s">
        <v>8403</v>
      </c>
      <c r="I1317" s="99">
        <v>44087</v>
      </c>
      <c r="J1317" s="99">
        <v>44099</v>
      </c>
      <c r="K1317" t="s">
        <v>8285</v>
      </c>
      <c r="L1317" t="s">
        <v>2317</v>
      </c>
    </row>
    <row r="1318" spans="2:12" x14ac:dyDescent="0.2">
      <c r="B1318">
        <v>10909</v>
      </c>
      <c r="C1318" t="s">
        <v>8415</v>
      </c>
      <c r="D1318" t="s">
        <v>8247</v>
      </c>
      <c r="E1318" s="225">
        <v>360</v>
      </c>
      <c r="F1318" t="s">
        <v>8404</v>
      </c>
      <c r="G1318" t="s">
        <v>8405</v>
      </c>
      <c r="H1318" t="s">
        <v>8403</v>
      </c>
      <c r="I1318" s="99">
        <v>44087</v>
      </c>
      <c r="J1318" s="99">
        <v>44099</v>
      </c>
      <c r="K1318" t="s">
        <v>8285</v>
      </c>
      <c r="L1318" t="s">
        <v>2317</v>
      </c>
    </row>
    <row r="1319" spans="2:12" x14ac:dyDescent="0.2">
      <c r="B1319">
        <v>10910</v>
      </c>
      <c r="C1319" t="s">
        <v>8409</v>
      </c>
      <c r="D1319" t="s">
        <v>8254</v>
      </c>
      <c r="E1319" s="225">
        <v>142.5</v>
      </c>
      <c r="F1319" t="s">
        <v>8426</v>
      </c>
      <c r="G1319" t="s">
        <v>8427</v>
      </c>
      <c r="H1319" t="s">
        <v>8300</v>
      </c>
      <c r="I1319" s="99">
        <v>44087</v>
      </c>
      <c r="J1319" s="99">
        <v>44093</v>
      </c>
      <c r="K1319" t="s">
        <v>8285</v>
      </c>
      <c r="L1319" t="s">
        <v>2317</v>
      </c>
    </row>
    <row r="1320" spans="2:12" x14ac:dyDescent="0.2">
      <c r="B1320">
        <v>10910</v>
      </c>
      <c r="C1320" t="s">
        <v>8327</v>
      </c>
      <c r="D1320" t="s">
        <v>8262</v>
      </c>
      <c r="E1320" s="225">
        <v>110.4</v>
      </c>
      <c r="F1320" t="s">
        <v>8426</v>
      </c>
      <c r="G1320" t="s">
        <v>8427</v>
      </c>
      <c r="H1320" t="s">
        <v>8300</v>
      </c>
      <c r="I1320" s="99">
        <v>44087</v>
      </c>
      <c r="J1320" s="99">
        <v>44093</v>
      </c>
      <c r="K1320" t="s">
        <v>8285</v>
      </c>
      <c r="L1320" t="s">
        <v>2317</v>
      </c>
    </row>
    <row r="1321" spans="2:12" x14ac:dyDescent="0.2">
      <c r="B1321">
        <v>10910</v>
      </c>
      <c r="C1321" t="s">
        <v>8390</v>
      </c>
      <c r="D1321" t="s">
        <v>8262</v>
      </c>
      <c r="E1321" s="225">
        <v>200</v>
      </c>
      <c r="F1321" t="s">
        <v>8426</v>
      </c>
      <c r="G1321" t="s">
        <v>8427</v>
      </c>
      <c r="H1321" t="s">
        <v>8300</v>
      </c>
      <c r="I1321" s="99">
        <v>44087</v>
      </c>
      <c r="J1321" s="99">
        <v>44093</v>
      </c>
      <c r="K1321" t="s">
        <v>8285</v>
      </c>
      <c r="L1321" t="s">
        <v>2317</v>
      </c>
    </row>
    <row r="1322" spans="2:12" x14ac:dyDescent="0.2">
      <c r="B1322">
        <v>10911</v>
      </c>
      <c r="C1322" t="s">
        <v>8333</v>
      </c>
      <c r="D1322" t="s">
        <v>8272</v>
      </c>
      <c r="E1322" s="225">
        <v>180</v>
      </c>
      <c r="F1322" t="s">
        <v>8349</v>
      </c>
      <c r="G1322" t="s">
        <v>8350</v>
      </c>
      <c r="H1322" t="s">
        <v>8324</v>
      </c>
      <c r="I1322" s="99">
        <v>44087</v>
      </c>
      <c r="J1322" s="99">
        <v>44094</v>
      </c>
      <c r="K1322" t="s">
        <v>8257</v>
      </c>
      <c r="L1322" t="s">
        <v>6984</v>
      </c>
    </row>
    <row r="1323" spans="2:12" x14ac:dyDescent="0.2">
      <c r="B1323">
        <v>10911</v>
      </c>
      <c r="C1323" t="s">
        <v>8329</v>
      </c>
      <c r="D1323" t="s">
        <v>8272</v>
      </c>
      <c r="E1323" s="225">
        <v>210</v>
      </c>
      <c r="F1323" t="s">
        <v>8349</v>
      </c>
      <c r="G1323" t="s">
        <v>8350</v>
      </c>
      <c r="H1323" t="s">
        <v>8324</v>
      </c>
      <c r="I1323" s="99">
        <v>44087</v>
      </c>
      <c r="J1323" s="99">
        <v>44094</v>
      </c>
      <c r="K1323" t="s">
        <v>8257</v>
      </c>
      <c r="L1323" t="s">
        <v>6984</v>
      </c>
    </row>
    <row r="1324" spans="2:12" x14ac:dyDescent="0.2">
      <c r="B1324">
        <v>10912</v>
      </c>
      <c r="C1324" t="s">
        <v>8242</v>
      </c>
      <c r="D1324" t="s">
        <v>8237</v>
      </c>
      <c r="E1324" s="225">
        <v>630</v>
      </c>
      <c r="F1324" t="s">
        <v>8344</v>
      </c>
      <c r="G1324" t="s">
        <v>8345</v>
      </c>
      <c r="H1324" t="s">
        <v>8343</v>
      </c>
      <c r="I1324" s="99">
        <v>44087</v>
      </c>
      <c r="J1324" s="99">
        <v>44107</v>
      </c>
      <c r="K1324" t="s">
        <v>8297</v>
      </c>
      <c r="L1324" t="s">
        <v>8298</v>
      </c>
    </row>
    <row r="1325" spans="2:12" x14ac:dyDescent="0.2">
      <c r="B1325">
        <v>10913</v>
      </c>
      <c r="C1325" t="s">
        <v>8352</v>
      </c>
      <c r="D1325" t="s">
        <v>8254</v>
      </c>
      <c r="E1325" s="225">
        <v>495</v>
      </c>
      <c r="F1325" t="s">
        <v>8712</v>
      </c>
      <c r="G1325" t="s">
        <v>8711</v>
      </c>
      <c r="H1325" t="s">
        <v>8710</v>
      </c>
      <c r="I1325" s="99">
        <v>44087</v>
      </c>
      <c r="J1325" s="99">
        <v>44093</v>
      </c>
      <c r="K1325" t="s">
        <v>8266</v>
      </c>
      <c r="L1325" t="s">
        <v>8267</v>
      </c>
    </row>
    <row r="1326" spans="2:12" x14ac:dyDescent="0.2">
      <c r="B1326">
        <v>10913</v>
      </c>
      <c r="C1326" t="s">
        <v>8269</v>
      </c>
      <c r="D1326" t="s">
        <v>8237</v>
      </c>
      <c r="E1326" s="225">
        <v>75</v>
      </c>
      <c r="F1326" t="s">
        <v>8712</v>
      </c>
      <c r="G1326" t="s">
        <v>8711</v>
      </c>
      <c r="H1326" t="s">
        <v>8710</v>
      </c>
      <c r="I1326" s="99">
        <v>44087</v>
      </c>
      <c r="J1326" s="99">
        <v>44093</v>
      </c>
      <c r="K1326" t="s">
        <v>8266</v>
      </c>
      <c r="L1326" t="s">
        <v>8267</v>
      </c>
    </row>
    <row r="1327" spans="2:12" x14ac:dyDescent="0.2">
      <c r="B1327">
        <v>10914</v>
      </c>
      <c r="C1327" t="s">
        <v>8310</v>
      </c>
      <c r="D1327" t="s">
        <v>8237</v>
      </c>
      <c r="E1327" s="225">
        <v>537.5</v>
      </c>
      <c r="F1327" t="s">
        <v>8712</v>
      </c>
      <c r="G1327" t="s">
        <v>8711</v>
      </c>
      <c r="H1327" t="s">
        <v>8710</v>
      </c>
      <c r="I1327" s="99">
        <v>44088</v>
      </c>
      <c r="J1327" s="99">
        <v>44091</v>
      </c>
      <c r="K1327" t="s">
        <v>8251</v>
      </c>
      <c r="L1327" t="s">
        <v>269</v>
      </c>
    </row>
    <row r="1328" spans="2:12" x14ac:dyDescent="0.2">
      <c r="B1328">
        <v>10915</v>
      </c>
      <c r="C1328" t="s">
        <v>8269</v>
      </c>
      <c r="D1328" t="s">
        <v>8237</v>
      </c>
      <c r="E1328" s="225">
        <v>75</v>
      </c>
      <c r="F1328" t="s">
        <v>8742</v>
      </c>
      <c r="G1328" t="s">
        <v>8741</v>
      </c>
      <c r="H1328" t="s">
        <v>8704</v>
      </c>
      <c r="I1328" s="99">
        <v>44088</v>
      </c>
      <c r="J1328" s="99">
        <v>44091</v>
      </c>
      <c r="K1328" t="s">
        <v>8297</v>
      </c>
      <c r="L1328" t="s">
        <v>8298</v>
      </c>
    </row>
    <row r="1329" spans="2:12" x14ac:dyDescent="0.2">
      <c r="B1329">
        <v>10916</v>
      </c>
      <c r="C1329" t="s">
        <v>8280</v>
      </c>
      <c r="D1329" t="s">
        <v>8262</v>
      </c>
      <c r="E1329" s="225">
        <v>104.7</v>
      </c>
      <c r="F1329" t="s">
        <v>8726</v>
      </c>
      <c r="G1329" t="s">
        <v>8725</v>
      </c>
      <c r="H1329" t="s">
        <v>8717</v>
      </c>
      <c r="I1329" s="99">
        <v>44088</v>
      </c>
      <c r="J1329" s="99">
        <v>44098</v>
      </c>
      <c r="K1329" t="s">
        <v>8285</v>
      </c>
      <c r="L1329" t="s">
        <v>2317</v>
      </c>
    </row>
    <row r="1330" spans="2:12" x14ac:dyDescent="0.2">
      <c r="B1330">
        <v>10916</v>
      </c>
      <c r="C1330" t="s">
        <v>8287</v>
      </c>
      <c r="D1330" t="s">
        <v>8237</v>
      </c>
      <c r="E1330" s="225">
        <v>192</v>
      </c>
      <c r="F1330" t="s">
        <v>8726</v>
      </c>
      <c r="G1330" t="s">
        <v>8725</v>
      </c>
      <c r="H1330" t="s">
        <v>8717</v>
      </c>
      <c r="I1330" s="99">
        <v>44088</v>
      </c>
      <c r="J1330" s="99">
        <v>44098</v>
      </c>
      <c r="K1330" t="s">
        <v>8285</v>
      </c>
      <c r="L1330" t="s">
        <v>2317</v>
      </c>
    </row>
    <row r="1331" spans="2:12" x14ac:dyDescent="0.2">
      <c r="B1331">
        <v>10916</v>
      </c>
      <c r="C1331" t="s">
        <v>8258</v>
      </c>
      <c r="D1331" t="s">
        <v>8244</v>
      </c>
      <c r="E1331" s="225">
        <v>390</v>
      </c>
      <c r="F1331" t="s">
        <v>8726</v>
      </c>
      <c r="G1331" t="s">
        <v>8725</v>
      </c>
      <c r="H1331" t="s">
        <v>8717</v>
      </c>
      <c r="I1331" s="99">
        <v>44088</v>
      </c>
      <c r="J1331" s="99">
        <v>44098</v>
      </c>
      <c r="K1331" t="s">
        <v>8285</v>
      </c>
      <c r="L1331" t="s">
        <v>2317</v>
      </c>
    </row>
    <row r="1332" spans="2:12" x14ac:dyDescent="0.2">
      <c r="B1332">
        <v>10917</v>
      </c>
      <c r="C1332" t="s">
        <v>8268</v>
      </c>
      <c r="D1332" t="s">
        <v>8237</v>
      </c>
      <c r="E1332" s="225">
        <v>340</v>
      </c>
      <c r="F1332" t="s">
        <v>8325</v>
      </c>
      <c r="G1332" t="s">
        <v>8326</v>
      </c>
      <c r="H1332" t="s">
        <v>8324</v>
      </c>
      <c r="I1332" s="99">
        <v>44091</v>
      </c>
      <c r="J1332" s="99">
        <v>44100</v>
      </c>
      <c r="K1332" t="s">
        <v>8266</v>
      </c>
      <c r="L1332" t="s">
        <v>8267</v>
      </c>
    </row>
    <row r="1333" spans="2:12" x14ac:dyDescent="0.2">
      <c r="B1333">
        <v>10918</v>
      </c>
      <c r="C1333" t="s">
        <v>8333</v>
      </c>
      <c r="D1333" t="s">
        <v>8272</v>
      </c>
      <c r="E1333" s="225">
        <v>810</v>
      </c>
      <c r="F1333" t="s">
        <v>8722</v>
      </c>
      <c r="G1333" t="s">
        <v>8721</v>
      </c>
      <c r="H1333" t="s">
        <v>8720</v>
      </c>
      <c r="I1333" s="99">
        <v>44091</v>
      </c>
      <c r="J1333" s="99">
        <v>44100</v>
      </c>
      <c r="K1333" t="s">
        <v>8257</v>
      </c>
      <c r="L1333" t="s">
        <v>6984</v>
      </c>
    </row>
    <row r="1334" spans="2:12" x14ac:dyDescent="0.2">
      <c r="B1334">
        <v>10918</v>
      </c>
      <c r="C1334" t="s">
        <v>8268</v>
      </c>
      <c r="D1334" t="s">
        <v>8237</v>
      </c>
      <c r="E1334" s="225">
        <v>637.5</v>
      </c>
      <c r="F1334" t="s">
        <v>8722</v>
      </c>
      <c r="G1334" t="s">
        <v>8721</v>
      </c>
      <c r="H1334" t="s">
        <v>8720</v>
      </c>
      <c r="I1334" s="99">
        <v>44091</v>
      </c>
      <c r="J1334" s="99">
        <v>44100</v>
      </c>
      <c r="K1334" t="s">
        <v>8257</v>
      </c>
      <c r="L1334" t="s">
        <v>6984</v>
      </c>
    </row>
    <row r="1335" spans="2:12" x14ac:dyDescent="0.2">
      <c r="B1335">
        <v>10919</v>
      </c>
      <c r="C1335" t="s">
        <v>8280</v>
      </c>
      <c r="D1335" t="s">
        <v>8262</v>
      </c>
      <c r="E1335" s="225">
        <v>418.8</v>
      </c>
      <c r="F1335" t="s">
        <v>8724</v>
      </c>
      <c r="G1335" t="s">
        <v>8723</v>
      </c>
      <c r="H1335" t="s">
        <v>8707</v>
      </c>
      <c r="I1335" s="99">
        <v>44091</v>
      </c>
      <c r="J1335" s="99">
        <v>44093</v>
      </c>
      <c r="K1335" t="s">
        <v>8297</v>
      </c>
      <c r="L1335" t="s">
        <v>8298</v>
      </c>
    </row>
    <row r="1336" spans="2:12" x14ac:dyDescent="0.2">
      <c r="B1336">
        <v>10919</v>
      </c>
      <c r="C1336" t="s">
        <v>8362</v>
      </c>
      <c r="D1336" t="s">
        <v>8262</v>
      </c>
      <c r="E1336" s="225">
        <v>336</v>
      </c>
      <c r="F1336" t="s">
        <v>8724</v>
      </c>
      <c r="G1336" t="s">
        <v>8723</v>
      </c>
      <c r="H1336" t="s">
        <v>8707</v>
      </c>
      <c r="I1336" s="99">
        <v>44091</v>
      </c>
      <c r="J1336" s="99">
        <v>44093</v>
      </c>
      <c r="K1336" t="s">
        <v>8297</v>
      </c>
      <c r="L1336" t="s">
        <v>8298</v>
      </c>
    </row>
    <row r="1337" spans="2:12" x14ac:dyDescent="0.2">
      <c r="B1337">
        <v>10920</v>
      </c>
      <c r="C1337" t="s">
        <v>8381</v>
      </c>
      <c r="D1337" t="s">
        <v>8262</v>
      </c>
      <c r="E1337" s="225">
        <v>390</v>
      </c>
      <c r="F1337" t="s">
        <v>8386</v>
      </c>
      <c r="G1337" t="s">
        <v>8387</v>
      </c>
      <c r="H1337" t="s">
        <v>2434</v>
      </c>
      <c r="I1337" s="99">
        <v>44092</v>
      </c>
      <c r="J1337" s="99">
        <v>44098</v>
      </c>
      <c r="K1337" t="s">
        <v>8266</v>
      </c>
      <c r="L1337" t="s">
        <v>8267</v>
      </c>
    </row>
    <row r="1338" spans="2:12" x14ac:dyDescent="0.2">
      <c r="B1338">
        <v>10921</v>
      </c>
      <c r="C1338" t="s">
        <v>8323</v>
      </c>
      <c r="D1338" t="s">
        <v>8272</v>
      </c>
      <c r="E1338" s="225">
        <v>180</v>
      </c>
      <c r="F1338" t="s">
        <v>8395</v>
      </c>
      <c r="G1338" t="s">
        <v>8396</v>
      </c>
      <c r="H1338" t="s">
        <v>8374</v>
      </c>
      <c r="I1338" s="99">
        <v>44092</v>
      </c>
      <c r="J1338" s="99">
        <v>44098</v>
      </c>
      <c r="K1338" t="s">
        <v>8285</v>
      </c>
      <c r="L1338" t="s">
        <v>2317</v>
      </c>
    </row>
    <row r="1339" spans="2:12" x14ac:dyDescent="0.2">
      <c r="B1339">
        <v>10921</v>
      </c>
      <c r="C1339" t="s">
        <v>8317</v>
      </c>
      <c r="D1339" t="s">
        <v>8254</v>
      </c>
      <c r="E1339" s="225">
        <v>1756</v>
      </c>
      <c r="F1339" t="s">
        <v>8395</v>
      </c>
      <c r="G1339" t="s">
        <v>8396</v>
      </c>
      <c r="H1339" t="s">
        <v>8374</v>
      </c>
      <c r="I1339" s="99">
        <v>44092</v>
      </c>
      <c r="J1339" s="99">
        <v>44098</v>
      </c>
      <c r="K1339" t="s">
        <v>8285</v>
      </c>
      <c r="L1339" t="s">
        <v>2317</v>
      </c>
    </row>
    <row r="1340" spans="2:12" x14ac:dyDescent="0.2">
      <c r="B1340">
        <v>10922</v>
      </c>
      <c r="C1340" t="s">
        <v>8270</v>
      </c>
      <c r="D1340" t="s">
        <v>8272</v>
      </c>
      <c r="E1340" s="225">
        <v>157.5</v>
      </c>
      <c r="F1340" t="s">
        <v>8728</v>
      </c>
      <c r="G1340" t="s">
        <v>8727</v>
      </c>
      <c r="H1340" t="s">
        <v>8710</v>
      </c>
      <c r="I1340" s="99">
        <v>44092</v>
      </c>
      <c r="J1340" s="99">
        <v>44094</v>
      </c>
      <c r="K1340" t="s">
        <v>8241</v>
      </c>
      <c r="L1340" t="s">
        <v>6934</v>
      </c>
    </row>
    <row r="1341" spans="2:12" x14ac:dyDescent="0.2">
      <c r="B1341">
        <v>10923</v>
      </c>
      <c r="C1341" t="s">
        <v>8306</v>
      </c>
      <c r="D1341" t="s">
        <v>8272</v>
      </c>
      <c r="E1341" s="225">
        <v>368</v>
      </c>
      <c r="F1341" t="s">
        <v>8382</v>
      </c>
      <c r="G1341" t="s">
        <v>8383</v>
      </c>
      <c r="H1341" t="s">
        <v>8236</v>
      </c>
      <c r="I1341" s="99">
        <v>44092</v>
      </c>
      <c r="J1341" s="99">
        <v>44103</v>
      </c>
      <c r="K1341" t="s">
        <v>8158</v>
      </c>
      <c r="L1341" t="s">
        <v>861</v>
      </c>
    </row>
    <row r="1342" spans="2:12" x14ac:dyDescent="0.2">
      <c r="B1342">
        <v>10923</v>
      </c>
      <c r="C1342" t="s">
        <v>8329</v>
      </c>
      <c r="D1342" t="s">
        <v>8272</v>
      </c>
      <c r="E1342" s="225">
        <v>268.8</v>
      </c>
      <c r="F1342" t="s">
        <v>8382</v>
      </c>
      <c r="G1342" t="s">
        <v>8383</v>
      </c>
      <c r="H1342" t="s">
        <v>8236</v>
      </c>
      <c r="I1342" s="99">
        <v>44092</v>
      </c>
      <c r="J1342" s="99">
        <v>44103</v>
      </c>
      <c r="K1342" t="s">
        <v>8158</v>
      </c>
      <c r="L1342" t="s">
        <v>861</v>
      </c>
    </row>
    <row r="1343" spans="2:12" x14ac:dyDescent="0.2">
      <c r="B1343">
        <v>10923</v>
      </c>
      <c r="C1343" t="s">
        <v>8243</v>
      </c>
      <c r="D1343" t="s">
        <v>8244</v>
      </c>
      <c r="E1343" s="225">
        <v>112</v>
      </c>
      <c r="F1343" t="s">
        <v>8382</v>
      </c>
      <c r="G1343" t="s">
        <v>8383</v>
      </c>
      <c r="H1343" t="s">
        <v>8236</v>
      </c>
      <c r="I1343" s="99">
        <v>44092</v>
      </c>
      <c r="J1343" s="99">
        <v>44103</v>
      </c>
      <c r="K1343" t="s">
        <v>8158</v>
      </c>
      <c r="L1343" t="s">
        <v>861</v>
      </c>
    </row>
    <row r="1344" spans="2:12" x14ac:dyDescent="0.2">
      <c r="B1344">
        <v>10924</v>
      </c>
      <c r="C1344" t="s">
        <v>8328</v>
      </c>
      <c r="D1344" t="s">
        <v>8272</v>
      </c>
      <c r="E1344" s="225">
        <v>46.5</v>
      </c>
      <c r="F1344" t="s">
        <v>8318</v>
      </c>
      <c r="G1344" t="s">
        <v>8319</v>
      </c>
      <c r="H1344" t="s">
        <v>8292</v>
      </c>
      <c r="I1344" s="99">
        <v>44093</v>
      </c>
      <c r="J1344" s="99">
        <v>44128</v>
      </c>
      <c r="K1344" t="s">
        <v>8257</v>
      </c>
      <c r="L1344" t="s">
        <v>6984</v>
      </c>
    </row>
    <row r="1345" spans="2:12" x14ac:dyDescent="0.2">
      <c r="B1345">
        <v>10924</v>
      </c>
      <c r="C1345" t="s">
        <v>8316</v>
      </c>
      <c r="D1345" t="s">
        <v>8247</v>
      </c>
      <c r="E1345" s="225">
        <v>1231.2</v>
      </c>
      <c r="F1345" t="s">
        <v>8318</v>
      </c>
      <c r="G1345" t="s">
        <v>8319</v>
      </c>
      <c r="H1345" t="s">
        <v>8292</v>
      </c>
      <c r="I1345" s="99">
        <v>44093</v>
      </c>
      <c r="J1345" s="99">
        <v>44128</v>
      </c>
      <c r="K1345" t="s">
        <v>8257</v>
      </c>
      <c r="L1345" t="s">
        <v>6984</v>
      </c>
    </row>
    <row r="1346" spans="2:12" x14ac:dyDescent="0.2">
      <c r="B1346">
        <v>10925</v>
      </c>
      <c r="C1346" t="s">
        <v>8369</v>
      </c>
      <c r="D1346" t="s">
        <v>8244</v>
      </c>
      <c r="E1346" s="225">
        <v>71.400000000000006</v>
      </c>
      <c r="F1346" t="s">
        <v>8728</v>
      </c>
      <c r="G1346" t="s">
        <v>8727</v>
      </c>
      <c r="H1346" t="s">
        <v>8710</v>
      </c>
      <c r="I1346" s="99">
        <v>44093</v>
      </c>
      <c r="J1346" s="99">
        <v>44103</v>
      </c>
      <c r="K1346" t="s">
        <v>8257</v>
      </c>
      <c r="L1346" t="s">
        <v>6984</v>
      </c>
    </row>
    <row r="1347" spans="2:12" x14ac:dyDescent="0.2">
      <c r="B1347">
        <v>10926</v>
      </c>
      <c r="C1347" t="s">
        <v>8327</v>
      </c>
      <c r="D1347" t="s">
        <v>8262</v>
      </c>
      <c r="E1347" s="225">
        <v>64.400000000000006</v>
      </c>
      <c r="F1347" t="s">
        <v>8750</v>
      </c>
      <c r="G1347" t="s">
        <v>8749</v>
      </c>
      <c r="H1347" t="s">
        <v>8704</v>
      </c>
      <c r="I1347" s="99">
        <v>44093</v>
      </c>
      <c r="J1347" s="99">
        <v>44100</v>
      </c>
      <c r="K1347" t="s">
        <v>8266</v>
      </c>
      <c r="L1347" t="s">
        <v>8267</v>
      </c>
    </row>
    <row r="1348" spans="2:12" x14ac:dyDescent="0.2">
      <c r="B1348">
        <v>10926</v>
      </c>
      <c r="C1348" t="s">
        <v>8242</v>
      </c>
      <c r="D1348" t="s">
        <v>8237</v>
      </c>
      <c r="E1348" s="225">
        <v>42</v>
      </c>
      <c r="F1348" t="s">
        <v>8750</v>
      </c>
      <c r="G1348" t="s">
        <v>8749</v>
      </c>
      <c r="H1348" t="s">
        <v>8704</v>
      </c>
      <c r="I1348" s="99">
        <v>44093</v>
      </c>
      <c r="J1348" s="99">
        <v>44100</v>
      </c>
      <c r="K1348" t="s">
        <v>8266</v>
      </c>
      <c r="L1348" t="s">
        <v>8267</v>
      </c>
    </row>
    <row r="1349" spans="2:12" x14ac:dyDescent="0.2">
      <c r="B1349">
        <v>10926</v>
      </c>
      <c r="C1349" t="s">
        <v>8235</v>
      </c>
      <c r="D1349" t="s">
        <v>8237</v>
      </c>
      <c r="E1349" s="225">
        <v>348</v>
      </c>
      <c r="F1349" t="s">
        <v>8750</v>
      </c>
      <c r="G1349" t="s">
        <v>8749</v>
      </c>
      <c r="H1349" t="s">
        <v>8704</v>
      </c>
      <c r="I1349" s="99">
        <v>44093</v>
      </c>
      <c r="J1349" s="99">
        <v>44100</v>
      </c>
      <c r="K1349" t="s">
        <v>8266</v>
      </c>
      <c r="L1349" t="s">
        <v>8267</v>
      </c>
    </row>
    <row r="1350" spans="2:12" x14ac:dyDescent="0.2">
      <c r="B1350">
        <v>10927</v>
      </c>
      <c r="C1350" t="s">
        <v>8303</v>
      </c>
      <c r="D1350" t="s">
        <v>8272</v>
      </c>
      <c r="E1350" s="225">
        <v>360</v>
      </c>
      <c r="F1350" t="s">
        <v>8430</v>
      </c>
      <c r="G1350" t="s">
        <v>8431</v>
      </c>
      <c r="H1350" t="s">
        <v>8236</v>
      </c>
      <c r="I1350" s="99">
        <v>44094</v>
      </c>
      <c r="J1350" s="99">
        <v>44128</v>
      </c>
      <c r="K1350" t="s">
        <v>8266</v>
      </c>
      <c r="L1350" t="s">
        <v>8267</v>
      </c>
    </row>
    <row r="1351" spans="2:12" x14ac:dyDescent="0.2">
      <c r="B1351">
        <v>10927</v>
      </c>
      <c r="C1351" t="s">
        <v>8260</v>
      </c>
      <c r="D1351" t="s">
        <v>8262</v>
      </c>
      <c r="E1351" s="225">
        <v>405</v>
      </c>
      <c r="F1351" t="s">
        <v>8430</v>
      </c>
      <c r="G1351" t="s">
        <v>8431</v>
      </c>
      <c r="H1351" t="s">
        <v>8236</v>
      </c>
      <c r="I1351" s="99">
        <v>44094</v>
      </c>
      <c r="J1351" s="99">
        <v>44128</v>
      </c>
      <c r="K1351" t="s">
        <v>8266</v>
      </c>
      <c r="L1351" t="s">
        <v>8267</v>
      </c>
    </row>
    <row r="1352" spans="2:12" x14ac:dyDescent="0.2">
      <c r="B1352">
        <v>10927</v>
      </c>
      <c r="C1352" t="s">
        <v>8369</v>
      </c>
      <c r="D1352" t="s">
        <v>8244</v>
      </c>
      <c r="E1352" s="225">
        <v>35</v>
      </c>
      <c r="F1352" t="s">
        <v>8430</v>
      </c>
      <c r="G1352" t="s">
        <v>8431</v>
      </c>
      <c r="H1352" t="s">
        <v>8236</v>
      </c>
      <c r="I1352" s="99">
        <v>44094</v>
      </c>
      <c r="J1352" s="99">
        <v>44128</v>
      </c>
      <c r="K1352" t="s">
        <v>8266</v>
      </c>
      <c r="L1352" t="s">
        <v>8267</v>
      </c>
    </row>
    <row r="1353" spans="2:12" x14ac:dyDescent="0.2">
      <c r="B1353">
        <v>10928</v>
      </c>
      <c r="C1353" t="s">
        <v>8303</v>
      </c>
      <c r="D1353" t="s">
        <v>8272</v>
      </c>
      <c r="E1353" s="225">
        <v>90</v>
      </c>
      <c r="F1353" t="s">
        <v>8398</v>
      </c>
      <c r="G1353" t="s">
        <v>8399</v>
      </c>
      <c r="H1353" t="s">
        <v>8324</v>
      </c>
      <c r="I1353" s="99">
        <v>44094</v>
      </c>
      <c r="J1353" s="99">
        <v>44107</v>
      </c>
      <c r="K1353" t="s">
        <v>8285</v>
      </c>
      <c r="L1353" t="s">
        <v>2317</v>
      </c>
    </row>
    <row r="1354" spans="2:12" x14ac:dyDescent="0.2">
      <c r="B1354">
        <v>10928</v>
      </c>
      <c r="C1354" t="s">
        <v>8410</v>
      </c>
      <c r="D1354" t="s">
        <v>8262</v>
      </c>
      <c r="E1354" s="225">
        <v>47.5</v>
      </c>
      <c r="F1354" t="s">
        <v>8398</v>
      </c>
      <c r="G1354" t="s">
        <v>8399</v>
      </c>
      <c r="H1354" t="s">
        <v>8324</v>
      </c>
      <c r="I1354" s="99">
        <v>44094</v>
      </c>
      <c r="J1354" s="99">
        <v>44107</v>
      </c>
      <c r="K1354" t="s">
        <v>8285</v>
      </c>
      <c r="L1354" t="s">
        <v>2317</v>
      </c>
    </row>
    <row r="1355" spans="2:12" x14ac:dyDescent="0.2">
      <c r="B1355">
        <v>10929</v>
      </c>
      <c r="C1355" t="s">
        <v>8328</v>
      </c>
      <c r="D1355" t="s">
        <v>8272</v>
      </c>
      <c r="E1355" s="225">
        <v>379.75</v>
      </c>
      <c r="F1355" t="s">
        <v>8304</v>
      </c>
      <c r="G1355" t="s">
        <v>8305</v>
      </c>
      <c r="H1355" t="s">
        <v>8246</v>
      </c>
      <c r="I1355" s="99">
        <v>44094</v>
      </c>
      <c r="J1355" s="99">
        <v>44101</v>
      </c>
      <c r="K1355" t="s">
        <v>8251</v>
      </c>
      <c r="L1355" t="s">
        <v>269</v>
      </c>
    </row>
    <row r="1356" spans="2:12" x14ac:dyDescent="0.2">
      <c r="B1356">
        <v>10929</v>
      </c>
      <c r="C1356" t="s">
        <v>8397</v>
      </c>
      <c r="D1356" t="s">
        <v>8254</v>
      </c>
      <c r="E1356" s="225">
        <v>195</v>
      </c>
      <c r="F1356" t="s">
        <v>8304</v>
      </c>
      <c r="G1356" t="s">
        <v>8305</v>
      </c>
      <c r="H1356" t="s">
        <v>8246</v>
      </c>
      <c r="I1356" s="99">
        <v>44094</v>
      </c>
      <c r="J1356" s="99">
        <v>44101</v>
      </c>
      <c r="K1356" t="s">
        <v>8251</v>
      </c>
      <c r="L1356" t="s">
        <v>269</v>
      </c>
    </row>
    <row r="1357" spans="2:12" x14ac:dyDescent="0.2">
      <c r="B1357">
        <v>10929</v>
      </c>
      <c r="C1357" t="s">
        <v>8368</v>
      </c>
      <c r="D1357" t="s">
        <v>8262</v>
      </c>
      <c r="E1357" s="225">
        <v>600</v>
      </c>
      <c r="F1357" t="s">
        <v>8304</v>
      </c>
      <c r="G1357" t="s">
        <v>8305</v>
      </c>
      <c r="H1357" t="s">
        <v>8246</v>
      </c>
      <c r="I1357" s="99">
        <v>44094</v>
      </c>
      <c r="J1357" s="99">
        <v>44101</v>
      </c>
      <c r="K1357" t="s">
        <v>8251</v>
      </c>
      <c r="L1357" t="s">
        <v>269</v>
      </c>
    </row>
    <row r="1358" spans="2:12" x14ac:dyDescent="0.2">
      <c r="B1358">
        <v>10930</v>
      </c>
      <c r="C1358" t="s">
        <v>8368</v>
      </c>
      <c r="D1358" t="s">
        <v>8262</v>
      </c>
      <c r="E1358" s="225">
        <v>360</v>
      </c>
      <c r="F1358" t="s">
        <v>8263</v>
      </c>
      <c r="G1358" t="s">
        <v>8264</v>
      </c>
      <c r="H1358" t="s">
        <v>8261</v>
      </c>
      <c r="I1358" s="99">
        <v>44095</v>
      </c>
      <c r="J1358" s="99">
        <v>44107</v>
      </c>
      <c r="K1358" t="s">
        <v>8266</v>
      </c>
      <c r="L1358" t="s">
        <v>8267</v>
      </c>
    </row>
    <row r="1359" spans="2:12" x14ac:dyDescent="0.2">
      <c r="B1359">
        <v>10930</v>
      </c>
      <c r="C1359" t="s">
        <v>8332</v>
      </c>
      <c r="D1359" t="s">
        <v>8262</v>
      </c>
      <c r="E1359" s="225">
        <v>1097.5</v>
      </c>
      <c r="F1359" t="s">
        <v>8263</v>
      </c>
      <c r="G1359" t="s">
        <v>8264</v>
      </c>
      <c r="H1359" t="s">
        <v>8261</v>
      </c>
      <c r="I1359" s="99">
        <v>44095</v>
      </c>
      <c r="J1359" s="99">
        <v>44107</v>
      </c>
      <c r="K1359" t="s">
        <v>8266</v>
      </c>
      <c r="L1359" t="s">
        <v>8267</v>
      </c>
    </row>
    <row r="1360" spans="2:12" x14ac:dyDescent="0.2">
      <c r="B1360">
        <v>10931</v>
      </c>
      <c r="C1360" t="s">
        <v>8258</v>
      </c>
      <c r="D1360" t="s">
        <v>8244</v>
      </c>
      <c r="E1360" s="225">
        <v>585</v>
      </c>
      <c r="F1360" t="s">
        <v>8277</v>
      </c>
      <c r="G1360" t="s">
        <v>8278</v>
      </c>
      <c r="H1360" t="s">
        <v>8271</v>
      </c>
      <c r="I1360" s="99">
        <v>44095</v>
      </c>
      <c r="J1360" s="99">
        <v>44108</v>
      </c>
      <c r="K1360" t="s">
        <v>8266</v>
      </c>
      <c r="L1360" t="s">
        <v>8267</v>
      </c>
    </row>
    <row r="1361" spans="2:12" x14ac:dyDescent="0.2">
      <c r="B1361">
        <v>10932</v>
      </c>
      <c r="C1361" t="s">
        <v>8328</v>
      </c>
      <c r="D1361" t="s">
        <v>8272</v>
      </c>
      <c r="E1361" s="225">
        <v>139.5</v>
      </c>
      <c r="F1361" t="s">
        <v>8377</v>
      </c>
      <c r="G1361" t="s">
        <v>8378</v>
      </c>
      <c r="H1361" t="s">
        <v>8236</v>
      </c>
      <c r="I1361" s="99">
        <v>44095</v>
      </c>
      <c r="J1361" s="99">
        <v>44113</v>
      </c>
      <c r="K1361" t="s">
        <v>8320</v>
      </c>
      <c r="L1361" t="s">
        <v>8321</v>
      </c>
    </row>
    <row r="1362" spans="2:12" x14ac:dyDescent="0.2">
      <c r="B1362">
        <v>10932</v>
      </c>
      <c r="C1362" t="s">
        <v>8280</v>
      </c>
      <c r="D1362" t="s">
        <v>8262</v>
      </c>
      <c r="E1362" s="225">
        <v>471.15</v>
      </c>
      <c r="F1362" t="s">
        <v>8377</v>
      </c>
      <c r="G1362" t="s">
        <v>8378</v>
      </c>
      <c r="H1362" t="s">
        <v>8236</v>
      </c>
      <c r="I1362" s="99">
        <v>44095</v>
      </c>
      <c r="J1362" s="99">
        <v>44113</v>
      </c>
      <c r="K1362" t="s">
        <v>8320</v>
      </c>
      <c r="L1362" t="s">
        <v>8321</v>
      </c>
    </row>
    <row r="1363" spans="2:12" x14ac:dyDescent="0.2">
      <c r="B1363">
        <v>10932</v>
      </c>
      <c r="C1363" t="s">
        <v>8291</v>
      </c>
      <c r="D1363" t="s">
        <v>8262</v>
      </c>
      <c r="E1363" s="225">
        <v>621.17999999999995</v>
      </c>
      <c r="F1363" t="s">
        <v>8377</v>
      </c>
      <c r="G1363" t="s">
        <v>8378</v>
      </c>
      <c r="H1363" t="s">
        <v>8236</v>
      </c>
      <c r="I1363" s="99">
        <v>44095</v>
      </c>
      <c r="J1363" s="99">
        <v>44113</v>
      </c>
      <c r="K1363" t="s">
        <v>8320</v>
      </c>
      <c r="L1363" t="s">
        <v>8321</v>
      </c>
    </row>
    <row r="1364" spans="2:12" x14ac:dyDescent="0.2">
      <c r="B1364">
        <v>10932</v>
      </c>
      <c r="C1364" t="s">
        <v>8235</v>
      </c>
      <c r="D1364" t="s">
        <v>8237</v>
      </c>
      <c r="E1364" s="225">
        <v>556.79999999999995</v>
      </c>
      <c r="F1364" t="s">
        <v>8377</v>
      </c>
      <c r="G1364" t="s">
        <v>8378</v>
      </c>
      <c r="H1364" t="s">
        <v>8236</v>
      </c>
      <c r="I1364" s="99">
        <v>44095</v>
      </c>
      <c r="J1364" s="99">
        <v>44113</v>
      </c>
      <c r="K1364" t="s">
        <v>8320</v>
      </c>
      <c r="L1364" t="s">
        <v>8321</v>
      </c>
    </row>
    <row r="1365" spans="2:12" x14ac:dyDescent="0.2">
      <c r="B1365">
        <v>10933</v>
      </c>
      <c r="C1365" t="s">
        <v>8409</v>
      </c>
      <c r="D1365" t="s">
        <v>8254</v>
      </c>
      <c r="E1365" s="225">
        <v>855</v>
      </c>
      <c r="F1365" t="s">
        <v>8356</v>
      </c>
      <c r="G1365" t="s">
        <v>8357</v>
      </c>
      <c r="H1365" t="s">
        <v>2434</v>
      </c>
      <c r="I1365" s="99">
        <v>44095</v>
      </c>
      <c r="J1365" s="99">
        <v>44105</v>
      </c>
      <c r="K1365" t="s">
        <v>8251</v>
      </c>
      <c r="L1365" t="s">
        <v>269</v>
      </c>
    </row>
    <row r="1366" spans="2:12" x14ac:dyDescent="0.2">
      <c r="B1366">
        <v>10934</v>
      </c>
      <c r="C1366" t="s">
        <v>8351</v>
      </c>
      <c r="D1366" t="s">
        <v>8254</v>
      </c>
      <c r="E1366" s="225">
        <v>500</v>
      </c>
      <c r="F1366" t="s">
        <v>8330</v>
      </c>
      <c r="G1366" t="s">
        <v>8331</v>
      </c>
      <c r="H1366" t="s">
        <v>8246</v>
      </c>
      <c r="I1366" s="99">
        <v>44098</v>
      </c>
      <c r="J1366" s="99">
        <v>44101</v>
      </c>
      <c r="K1366" t="s">
        <v>8257</v>
      </c>
      <c r="L1366" t="s">
        <v>6984</v>
      </c>
    </row>
    <row r="1367" spans="2:12" x14ac:dyDescent="0.2">
      <c r="B1367">
        <v>10935</v>
      </c>
      <c r="C1367" t="s">
        <v>8333</v>
      </c>
      <c r="D1367" t="s">
        <v>8272</v>
      </c>
      <c r="E1367" s="225">
        <v>378</v>
      </c>
      <c r="F1367" t="s">
        <v>8730</v>
      </c>
      <c r="G1367" t="s">
        <v>8729</v>
      </c>
      <c r="H1367" t="s">
        <v>8710</v>
      </c>
      <c r="I1367" s="99">
        <v>44098</v>
      </c>
      <c r="J1367" s="99">
        <v>44107</v>
      </c>
      <c r="K1367" t="s">
        <v>8266</v>
      </c>
      <c r="L1367" t="s">
        <v>8267</v>
      </c>
    </row>
    <row r="1368" spans="2:12" x14ac:dyDescent="0.2">
      <c r="B1368">
        <v>10935</v>
      </c>
      <c r="C1368" t="s">
        <v>8373</v>
      </c>
      <c r="D1368" t="s">
        <v>8244</v>
      </c>
      <c r="E1368" s="225">
        <v>54</v>
      </c>
      <c r="F1368" t="s">
        <v>8730</v>
      </c>
      <c r="G1368" t="s">
        <v>8729</v>
      </c>
      <c r="H1368" t="s">
        <v>8710</v>
      </c>
      <c r="I1368" s="99">
        <v>44098</v>
      </c>
      <c r="J1368" s="99">
        <v>44107</v>
      </c>
      <c r="K1368" t="s">
        <v>8266</v>
      </c>
      <c r="L1368" t="s">
        <v>8267</v>
      </c>
    </row>
    <row r="1369" spans="2:12" x14ac:dyDescent="0.2">
      <c r="B1369">
        <v>10937</v>
      </c>
      <c r="C1369" t="s">
        <v>8358</v>
      </c>
      <c r="D1369" t="s">
        <v>8272</v>
      </c>
      <c r="E1369" s="225">
        <v>280</v>
      </c>
      <c r="F1369" t="s">
        <v>8719</v>
      </c>
      <c r="G1369" t="s">
        <v>8718</v>
      </c>
      <c r="H1369" t="s">
        <v>8717</v>
      </c>
      <c r="I1369" s="99">
        <v>44099</v>
      </c>
      <c r="J1369" s="99">
        <v>44103</v>
      </c>
      <c r="K1369" t="s">
        <v>8158</v>
      </c>
      <c r="L1369" t="s">
        <v>861</v>
      </c>
    </row>
    <row r="1370" spans="2:12" x14ac:dyDescent="0.2">
      <c r="B1370">
        <v>10937</v>
      </c>
      <c r="C1370" t="s">
        <v>8316</v>
      </c>
      <c r="D1370" t="s">
        <v>8247</v>
      </c>
      <c r="E1370" s="225">
        <v>364.8</v>
      </c>
      <c r="F1370" t="s">
        <v>8719</v>
      </c>
      <c r="G1370" t="s">
        <v>8718</v>
      </c>
      <c r="H1370" t="s">
        <v>8717</v>
      </c>
      <c r="I1370" s="99">
        <v>44099</v>
      </c>
      <c r="J1370" s="99">
        <v>44103</v>
      </c>
      <c r="K1370" t="s">
        <v>8158</v>
      </c>
      <c r="L1370" t="s">
        <v>861</v>
      </c>
    </row>
    <row r="1371" spans="2:12" x14ac:dyDescent="0.2">
      <c r="B1371">
        <v>10938</v>
      </c>
      <c r="C1371" t="s">
        <v>8306</v>
      </c>
      <c r="D1371" t="s">
        <v>8272</v>
      </c>
      <c r="E1371" s="225">
        <v>828</v>
      </c>
      <c r="F1371" t="s">
        <v>8307</v>
      </c>
      <c r="G1371" t="s">
        <v>8308</v>
      </c>
      <c r="H1371" t="s">
        <v>8246</v>
      </c>
      <c r="I1371" s="99">
        <v>44099</v>
      </c>
      <c r="J1371" s="99">
        <v>44105</v>
      </c>
      <c r="K1371" t="s">
        <v>8257</v>
      </c>
      <c r="L1371" t="s">
        <v>6984</v>
      </c>
    </row>
    <row r="1372" spans="2:12" x14ac:dyDescent="0.2">
      <c r="B1372">
        <v>10938</v>
      </c>
      <c r="C1372" t="s">
        <v>8268</v>
      </c>
      <c r="D1372" t="s">
        <v>8237</v>
      </c>
      <c r="E1372" s="225">
        <v>1249.5</v>
      </c>
      <c r="F1372" t="s">
        <v>8307</v>
      </c>
      <c r="G1372" t="s">
        <v>8308</v>
      </c>
      <c r="H1372" t="s">
        <v>8246</v>
      </c>
      <c r="I1372" s="99">
        <v>44099</v>
      </c>
      <c r="J1372" s="99">
        <v>44105</v>
      </c>
      <c r="K1372" t="s">
        <v>8257</v>
      </c>
      <c r="L1372" t="s">
        <v>6984</v>
      </c>
    </row>
    <row r="1373" spans="2:12" x14ac:dyDescent="0.2">
      <c r="B1373">
        <v>10938</v>
      </c>
      <c r="C1373" t="s">
        <v>8310</v>
      </c>
      <c r="D1373" t="s">
        <v>8237</v>
      </c>
      <c r="E1373" s="225">
        <v>564.38</v>
      </c>
      <c r="F1373" t="s">
        <v>8307</v>
      </c>
      <c r="G1373" t="s">
        <v>8308</v>
      </c>
      <c r="H1373" t="s">
        <v>8246</v>
      </c>
      <c r="I1373" s="99">
        <v>44099</v>
      </c>
      <c r="J1373" s="99">
        <v>44105</v>
      </c>
      <c r="K1373" t="s">
        <v>8257</v>
      </c>
      <c r="L1373" t="s">
        <v>6984</v>
      </c>
    </row>
    <row r="1374" spans="2:12" x14ac:dyDescent="0.2">
      <c r="B1374">
        <v>10939</v>
      </c>
      <c r="C1374" t="s">
        <v>8276</v>
      </c>
      <c r="D1374" t="s">
        <v>8272</v>
      </c>
      <c r="E1374" s="225">
        <v>161.5</v>
      </c>
      <c r="F1374" t="s">
        <v>8312</v>
      </c>
      <c r="G1374" t="s">
        <v>8313</v>
      </c>
      <c r="H1374" t="s">
        <v>8311</v>
      </c>
      <c r="I1374" s="99">
        <v>44099</v>
      </c>
      <c r="J1374" s="99">
        <v>44103</v>
      </c>
      <c r="K1374" t="s">
        <v>8297</v>
      </c>
      <c r="L1374" t="s">
        <v>8298</v>
      </c>
    </row>
    <row r="1375" spans="2:12" x14ac:dyDescent="0.2">
      <c r="B1375">
        <v>10939</v>
      </c>
      <c r="C1375" t="s">
        <v>8329</v>
      </c>
      <c r="D1375" t="s">
        <v>8272</v>
      </c>
      <c r="E1375" s="225">
        <v>476</v>
      </c>
      <c r="F1375" t="s">
        <v>8312</v>
      </c>
      <c r="G1375" t="s">
        <v>8313</v>
      </c>
      <c r="H1375" t="s">
        <v>8311</v>
      </c>
      <c r="I1375" s="99">
        <v>44099</v>
      </c>
      <c r="J1375" s="99">
        <v>44103</v>
      </c>
      <c r="K1375" t="s">
        <v>8297</v>
      </c>
      <c r="L1375" t="s">
        <v>8298</v>
      </c>
    </row>
    <row r="1376" spans="2:12" x14ac:dyDescent="0.2">
      <c r="B1376">
        <v>10940</v>
      </c>
      <c r="C1376" t="s">
        <v>8415</v>
      </c>
      <c r="D1376" t="s">
        <v>8247</v>
      </c>
      <c r="E1376" s="225">
        <v>240</v>
      </c>
      <c r="F1376" t="s">
        <v>8377</v>
      </c>
      <c r="G1376" t="s">
        <v>8378</v>
      </c>
      <c r="H1376" t="s">
        <v>8236</v>
      </c>
      <c r="I1376" s="99">
        <v>44100</v>
      </c>
      <c r="J1376" s="99">
        <v>44112</v>
      </c>
      <c r="K1376" t="s">
        <v>8320</v>
      </c>
      <c r="L1376" t="s">
        <v>8321</v>
      </c>
    </row>
    <row r="1377" spans="2:12" x14ac:dyDescent="0.2">
      <c r="B1377">
        <v>10941</v>
      </c>
      <c r="C1377" t="s">
        <v>8291</v>
      </c>
      <c r="D1377" t="s">
        <v>8262</v>
      </c>
      <c r="E1377" s="225">
        <v>1109.25</v>
      </c>
      <c r="F1377" t="s">
        <v>8758</v>
      </c>
      <c r="G1377" t="s">
        <v>8757</v>
      </c>
      <c r="H1377" t="s">
        <v>8701</v>
      </c>
      <c r="I1377" s="99">
        <v>44100</v>
      </c>
      <c r="J1377" s="99">
        <v>44109</v>
      </c>
      <c r="K1377" t="s">
        <v>8158</v>
      </c>
      <c r="L1377" t="s">
        <v>861</v>
      </c>
    </row>
    <row r="1378" spans="2:12" x14ac:dyDescent="0.2">
      <c r="B1378">
        <v>10941</v>
      </c>
      <c r="C1378" t="s">
        <v>8334</v>
      </c>
      <c r="D1378" t="s">
        <v>8262</v>
      </c>
      <c r="E1378" s="225">
        <v>750</v>
      </c>
      <c r="F1378" t="s">
        <v>8758</v>
      </c>
      <c r="G1378" t="s">
        <v>8757</v>
      </c>
      <c r="H1378" t="s">
        <v>8701</v>
      </c>
      <c r="I1378" s="99">
        <v>44100</v>
      </c>
      <c r="J1378" s="99">
        <v>44109</v>
      </c>
      <c r="K1378" t="s">
        <v>8158</v>
      </c>
      <c r="L1378" t="s">
        <v>861</v>
      </c>
    </row>
    <row r="1379" spans="2:12" x14ac:dyDescent="0.2">
      <c r="B1379">
        <v>10941</v>
      </c>
      <c r="C1379" t="s">
        <v>8309</v>
      </c>
      <c r="D1379" t="s">
        <v>8237</v>
      </c>
      <c r="E1379" s="225">
        <v>412.5</v>
      </c>
      <c r="F1379" t="s">
        <v>8758</v>
      </c>
      <c r="G1379" t="s">
        <v>8757</v>
      </c>
      <c r="H1379" t="s">
        <v>8701</v>
      </c>
      <c r="I1379" s="99">
        <v>44100</v>
      </c>
      <c r="J1379" s="99">
        <v>44109</v>
      </c>
      <c r="K1379" t="s">
        <v>8158</v>
      </c>
      <c r="L1379" t="s">
        <v>861</v>
      </c>
    </row>
    <row r="1380" spans="2:12" x14ac:dyDescent="0.2">
      <c r="B1380">
        <v>10941</v>
      </c>
      <c r="C1380" t="s">
        <v>8235</v>
      </c>
      <c r="D1380" t="s">
        <v>8237</v>
      </c>
      <c r="E1380" s="225">
        <v>1740</v>
      </c>
      <c r="F1380" t="s">
        <v>8758</v>
      </c>
      <c r="G1380" t="s">
        <v>8757</v>
      </c>
      <c r="H1380" t="s">
        <v>8701</v>
      </c>
      <c r="I1380" s="99">
        <v>44100</v>
      </c>
      <c r="J1380" s="99">
        <v>44109</v>
      </c>
      <c r="K1380" t="s">
        <v>8158</v>
      </c>
      <c r="L1380" t="s">
        <v>861</v>
      </c>
    </row>
    <row r="1381" spans="2:12" x14ac:dyDescent="0.2">
      <c r="B1381">
        <v>10942</v>
      </c>
      <c r="C1381" t="s">
        <v>8390</v>
      </c>
      <c r="D1381" t="s">
        <v>8262</v>
      </c>
      <c r="E1381" s="225">
        <v>560</v>
      </c>
      <c r="F1381" t="s">
        <v>8335</v>
      </c>
      <c r="G1381" t="s">
        <v>8336</v>
      </c>
      <c r="H1381" t="s">
        <v>8311</v>
      </c>
      <c r="I1381" s="99">
        <v>44100</v>
      </c>
      <c r="J1381" s="99">
        <v>44107</v>
      </c>
      <c r="K1381" t="s">
        <v>8279</v>
      </c>
      <c r="L1381" t="s">
        <v>710</v>
      </c>
    </row>
    <row r="1382" spans="2:12" x14ac:dyDescent="0.2">
      <c r="B1382">
        <v>10943</v>
      </c>
      <c r="C1382" t="s">
        <v>8259</v>
      </c>
      <c r="D1382" t="s">
        <v>8244</v>
      </c>
      <c r="E1382" s="225">
        <v>441</v>
      </c>
      <c r="F1382" t="s">
        <v>8338</v>
      </c>
      <c r="G1382" t="s">
        <v>8339</v>
      </c>
      <c r="H1382" t="s">
        <v>2434</v>
      </c>
      <c r="I1382" s="99">
        <v>44100</v>
      </c>
      <c r="J1382" s="99">
        <v>44108</v>
      </c>
      <c r="K1382" t="s">
        <v>8266</v>
      </c>
      <c r="L1382" t="s">
        <v>8267</v>
      </c>
    </row>
    <row r="1383" spans="2:12" x14ac:dyDescent="0.2">
      <c r="B1383">
        <v>10944</v>
      </c>
      <c r="C1383" t="s">
        <v>8322</v>
      </c>
      <c r="D1383" t="s">
        <v>8254</v>
      </c>
      <c r="E1383" s="225">
        <v>262.58</v>
      </c>
      <c r="F1383" t="s">
        <v>8722</v>
      </c>
      <c r="G1383" t="s">
        <v>8721</v>
      </c>
      <c r="H1383" t="s">
        <v>8720</v>
      </c>
      <c r="I1383" s="99">
        <v>44101</v>
      </c>
      <c r="J1383" s="99">
        <v>44103</v>
      </c>
      <c r="K1383" t="s">
        <v>8251</v>
      </c>
      <c r="L1383" t="s">
        <v>269</v>
      </c>
    </row>
    <row r="1384" spans="2:12" x14ac:dyDescent="0.2">
      <c r="B1384">
        <v>10944</v>
      </c>
      <c r="C1384" t="s">
        <v>8242</v>
      </c>
      <c r="D1384" t="s">
        <v>8237</v>
      </c>
      <c r="E1384" s="225">
        <v>78.75</v>
      </c>
      <c r="F1384" t="s">
        <v>8722</v>
      </c>
      <c r="G1384" t="s">
        <v>8721</v>
      </c>
      <c r="H1384" t="s">
        <v>8720</v>
      </c>
      <c r="I1384" s="99">
        <v>44101</v>
      </c>
      <c r="J1384" s="99">
        <v>44103</v>
      </c>
      <c r="K1384" t="s">
        <v>8251</v>
      </c>
      <c r="L1384" t="s">
        <v>269</v>
      </c>
    </row>
    <row r="1385" spans="2:12" x14ac:dyDescent="0.2">
      <c r="B1385">
        <v>10944</v>
      </c>
      <c r="C1385" t="s">
        <v>8341</v>
      </c>
      <c r="D1385" t="s">
        <v>8244</v>
      </c>
      <c r="E1385" s="225">
        <v>684</v>
      </c>
      <c r="F1385" t="s">
        <v>8722</v>
      </c>
      <c r="G1385" t="s">
        <v>8721</v>
      </c>
      <c r="H1385" t="s">
        <v>8720</v>
      </c>
      <c r="I1385" s="99">
        <v>44101</v>
      </c>
      <c r="J1385" s="99">
        <v>44103</v>
      </c>
      <c r="K1385" t="s">
        <v>8251</v>
      </c>
      <c r="L1385" t="s">
        <v>269</v>
      </c>
    </row>
    <row r="1386" spans="2:12" x14ac:dyDescent="0.2">
      <c r="B1386">
        <v>10945</v>
      </c>
      <c r="C1386" t="s">
        <v>8309</v>
      </c>
      <c r="D1386" t="s">
        <v>8237</v>
      </c>
      <c r="E1386" s="225">
        <v>125</v>
      </c>
      <c r="F1386" t="s">
        <v>8314</v>
      </c>
      <c r="G1386" t="s">
        <v>8315</v>
      </c>
      <c r="H1386" t="s">
        <v>8246</v>
      </c>
      <c r="I1386" s="99">
        <v>44101</v>
      </c>
      <c r="J1386" s="99">
        <v>44107</v>
      </c>
      <c r="K1386" t="s">
        <v>8266</v>
      </c>
      <c r="L1386" t="s">
        <v>8267</v>
      </c>
    </row>
    <row r="1387" spans="2:12" x14ac:dyDescent="0.2">
      <c r="B1387">
        <v>10946</v>
      </c>
      <c r="C1387" t="s">
        <v>8270</v>
      </c>
      <c r="D1387" t="s">
        <v>8272</v>
      </c>
      <c r="E1387" s="225">
        <v>112.5</v>
      </c>
      <c r="F1387" t="s">
        <v>8395</v>
      </c>
      <c r="G1387" t="s">
        <v>8396</v>
      </c>
      <c r="H1387" t="s">
        <v>8374</v>
      </c>
      <c r="I1387" s="99">
        <v>44101</v>
      </c>
      <c r="J1387" s="99">
        <v>44108</v>
      </c>
      <c r="K1387" t="s">
        <v>8285</v>
      </c>
      <c r="L1387" t="s">
        <v>2317</v>
      </c>
    </row>
    <row r="1388" spans="2:12" x14ac:dyDescent="0.2">
      <c r="B1388">
        <v>10946</v>
      </c>
      <c r="C1388" t="s">
        <v>8397</v>
      </c>
      <c r="D1388" t="s">
        <v>8254</v>
      </c>
      <c r="E1388" s="225">
        <v>520</v>
      </c>
      <c r="F1388" t="s">
        <v>8395</v>
      </c>
      <c r="G1388" t="s">
        <v>8396</v>
      </c>
      <c r="H1388" t="s">
        <v>8374</v>
      </c>
      <c r="I1388" s="99">
        <v>44101</v>
      </c>
      <c r="J1388" s="99">
        <v>44108</v>
      </c>
      <c r="K1388" t="s">
        <v>8285</v>
      </c>
      <c r="L1388" t="s">
        <v>2317</v>
      </c>
    </row>
    <row r="1389" spans="2:12" x14ac:dyDescent="0.2">
      <c r="B1389">
        <v>10947</v>
      </c>
      <c r="C1389" t="s">
        <v>8281</v>
      </c>
      <c r="D1389" t="s">
        <v>8237</v>
      </c>
      <c r="E1389" s="225">
        <v>220</v>
      </c>
      <c r="F1389" t="s">
        <v>8338</v>
      </c>
      <c r="G1389" t="s">
        <v>8339</v>
      </c>
      <c r="H1389" t="s">
        <v>2434</v>
      </c>
      <c r="I1389" s="99">
        <v>44103</v>
      </c>
      <c r="J1389" s="99">
        <v>44105</v>
      </c>
      <c r="K1389" t="s">
        <v>8257</v>
      </c>
      <c r="L1389" t="s">
        <v>6984</v>
      </c>
    </row>
    <row r="1390" spans="2:12" x14ac:dyDescent="0.2">
      <c r="B1390">
        <v>10948</v>
      </c>
      <c r="C1390" t="s">
        <v>8381</v>
      </c>
      <c r="D1390" t="s">
        <v>8262</v>
      </c>
      <c r="E1390" s="225">
        <v>146.25</v>
      </c>
      <c r="F1390" t="s">
        <v>8349</v>
      </c>
      <c r="G1390" t="s">
        <v>8350</v>
      </c>
      <c r="H1390" t="s">
        <v>8324</v>
      </c>
      <c r="I1390" s="99">
        <v>44103</v>
      </c>
      <c r="J1390" s="99">
        <v>44108</v>
      </c>
      <c r="K1390" t="s">
        <v>8257</v>
      </c>
      <c r="L1390" t="s">
        <v>6984</v>
      </c>
    </row>
    <row r="1391" spans="2:12" x14ac:dyDescent="0.2">
      <c r="B1391">
        <v>10948</v>
      </c>
      <c r="C1391" t="s">
        <v>8245</v>
      </c>
      <c r="D1391" t="s">
        <v>8247</v>
      </c>
      <c r="E1391" s="225">
        <v>2120</v>
      </c>
      <c r="F1391" t="s">
        <v>8349</v>
      </c>
      <c r="G1391" t="s">
        <v>8350</v>
      </c>
      <c r="H1391" t="s">
        <v>8324</v>
      </c>
      <c r="I1391" s="99">
        <v>44103</v>
      </c>
      <c r="J1391" s="99">
        <v>44108</v>
      </c>
      <c r="K1391" t="s">
        <v>8257</v>
      </c>
      <c r="L1391" t="s">
        <v>6984</v>
      </c>
    </row>
    <row r="1392" spans="2:12" x14ac:dyDescent="0.2">
      <c r="B1392">
        <v>10949</v>
      </c>
      <c r="C1392" t="s">
        <v>8351</v>
      </c>
      <c r="D1392" t="s">
        <v>8254</v>
      </c>
      <c r="E1392" s="225">
        <v>300</v>
      </c>
      <c r="F1392" t="s">
        <v>8722</v>
      </c>
      <c r="G1392" t="s">
        <v>8721</v>
      </c>
      <c r="H1392" t="s">
        <v>8720</v>
      </c>
      <c r="I1392" s="99">
        <v>44103</v>
      </c>
      <c r="J1392" s="99">
        <v>44106</v>
      </c>
      <c r="K1392" t="s">
        <v>8297</v>
      </c>
      <c r="L1392" t="s">
        <v>8298</v>
      </c>
    </row>
    <row r="1393" spans="2:12" x14ac:dyDescent="0.2">
      <c r="B1393">
        <v>10949</v>
      </c>
      <c r="C1393" t="s">
        <v>8291</v>
      </c>
      <c r="D1393" t="s">
        <v>8262</v>
      </c>
      <c r="E1393" s="225">
        <v>2958</v>
      </c>
      <c r="F1393" t="s">
        <v>8722</v>
      </c>
      <c r="G1393" t="s">
        <v>8721</v>
      </c>
      <c r="H1393" t="s">
        <v>8720</v>
      </c>
      <c r="I1393" s="99">
        <v>44103</v>
      </c>
      <c r="J1393" s="99">
        <v>44106</v>
      </c>
      <c r="K1393" t="s">
        <v>8297</v>
      </c>
      <c r="L1393" t="s">
        <v>8298</v>
      </c>
    </row>
    <row r="1394" spans="2:12" x14ac:dyDescent="0.2">
      <c r="B1394">
        <v>10950</v>
      </c>
      <c r="C1394" t="s">
        <v>8352</v>
      </c>
      <c r="D1394" t="s">
        <v>8254</v>
      </c>
      <c r="E1394" s="225">
        <v>110</v>
      </c>
      <c r="F1394" t="s">
        <v>8312</v>
      </c>
      <c r="G1394" t="s">
        <v>8313</v>
      </c>
      <c r="H1394" t="s">
        <v>8311</v>
      </c>
      <c r="I1394" s="99">
        <v>44105</v>
      </c>
      <c r="J1394" s="99">
        <v>44112</v>
      </c>
      <c r="K1394" t="s">
        <v>8285</v>
      </c>
      <c r="L1394" t="s">
        <v>2317</v>
      </c>
    </row>
    <row r="1395" spans="2:12" x14ac:dyDescent="0.2">
      <c r="B1395">
        <v>10951</v>
      </c>
      <c r="C1395" t="s">
        <v>8328</v>
      </c>
      <c r="D1395" t="s">
        <v>8272</v>
      </c>
      <c r="E1395" s="225">
        <v>368.12</v>
      </c>
      <c r="F1395" t="s">
        <v>8277</v>
      </c>
      <c r="G1395" t="s">
        <v>8278</v>
      </c>
      <c r="H1395" t="s">
        <v>8271</v>
      </c>
      <c r="I1395" s="99">
        <v>44105</v>
      </c>
      <c r="J1395" s="99">
        <v>44127</v>
      </c>
      <c r="K1395" t="s">
        <v>8279</v>
      </c>
      <c r="L1395" t="s">
        <v>710</v>
      </c>
    </row>
    <row r="1396" spans="2:12" x14ac:dyDescent="0.2">
      <c r="B1396">
        <v>10951</v>
      </c>
      <c r="C1396" t="s">
        <v>8269</v>
      </c>
      <c r="D1396" t="s">
        <v>8237</v>
      </c>
      <c r="E1396" s="225">
        <v>35.619999999999997</v>
      </c>
      <c r="F1396" t="s">
        <v>8277</v>
      </c>
      <c r="G1396" t="s">
        <v>8278</v>
      </c>
      <c r="H1396" t="s">
        <v>8271</v>
      </c>
      <c r="I1396" s="99">
        <v>44105</v>
      </c>
      <c r="J1396" s="99">
        <v>44127</v>
      </c>
      <c r="K1396" t="s">
        <v>8279</v>
      </c>
      <c r="L1396" t="s">
        <v>710</v>
      </c>
    </row>
    <row r="1397" spans="2:12" x14ac:dyDescent="0.2">
      <c r="B1397">
        <v>10952</v>
      </c>
      <c r="C1397" t="s">
        <v>8351</v>
      </c>
      <c r="D1397" t="s">
        <v>8254</v>
      </c>
      <c r="E1397" s="225">
        <v>380</v>
      </c>
      <c r="F1397" t="s">
        <v>8422</v>
      </c>
      <c r="G1397" t="s">
        <v>8423</v>
      </c>
      <c r="H1397" t="s">
        <v>8246</v>
      </c>
      <c r="I1397" s="99">
        <v>44105</v>
      </c>
      <c r="J1397" s="99">
        <v>44113</v>
      </c>
      <c r="K1397" t="s">
        <v>8285</v>
      </c>
      <c r="L1397" t="s">
        <v>2317</v>
      </c>
    </row>
    <row r="1398" spans="2:12" x14ac:dyDescent="0.2">
      <c r="B1398">
        <v>10952</v>
      </c>
      <c r="C1398" t="s">
        <v>8316</v>
      </c>
      <c r="D1398" t="s">
        <v>8247</v>
      </c>
      <c r="E1398" s="225">
        <v>91.2</v>
      </c>
      <c r="F1398" t="s">
        <v>8422</v>
      </c>
      <c r="G1398" t="s">
        <v>8423</v>
      </c>
      <c r="H1398" t="s">
        <v>8246</v>
      </c>
      <c r="I1398" s="99">
        <v>44105</v>
      </c>
      <c r="J1398" s="99">
        <v>44113</v>
      </c>
      <c r="K1398" t="s">
        <v>8285</v>
      </c>
      <c r="L1398" t="s">
        <v>2317</v>
      </c>
    </row>
    <row r="1399" spans="2:12" x14ac:dyDescent="0.2">
      <c r="B1399">
        <v>10953</v>
      </c>
      <c r="C1399" t="s">
        <v>8260</v>
      </c>
      <c r="D1399" t="s">
        <v>8262</v>
      </c>
      <c r="E1399" s="225">
        <v>3847.5</v>
      </c>
      <c r="F1399" t="s">
        <v>8386</v>
      </c>
      <c r="G1399" t="s">
        <v>8387</v>
      </c>
      <c r="H1399" t="s">
        <v>2434</v>
      </c>
      <c r="I1399" s="99">
        <v>44105</v>
      </c>
      <c r="J1399" s="99">
        <v>44114</v>
      </c>
      <c r="K1399" t="s">
        <v>8279</v>
      </c>
      <c r="L1399" t="s">
        <v>710</v>
      </c>
    </row>
    <row r="1400" spans="2:12" x14ac:dyDescent="0.2">
      <c r="B1400">
        <v>10953</v>
      </c>
      <c r="C1400" t="s">
        <v>8309</v>
      </c>
      <c r="D1400" t="s">
        <v>8237</v>
      </c>
      <c r="E1400" s="225">
        <v>593.75</v>
      </c>
      <c r="F1400" t="s">
        <v>8386</v>
      </c>
      <c r="G1400" t="s">
        <v>8387</v>
      </c>
      <c r="H1400" t="s">
        <v>2434</v>
      </c>
      <c r="I1400" s="99">
        <v>44105</v>
      </c>
      <c r="J1400" s="99">
        <v>44114</v>
      </c>
      <c r="K1400" t="s">
        <v>8279</v>
      </c>
      <c r="L1400" t="s">
        <v>710</v>
      </c>
    </row>
    <row r="1401" spans="2:12" x14ac:dyDescent="0.2">
      <c r="B1401">
        <v>10954</v>
      </c>
      <c r="C1401" t="s">
        <v>8280</v>
      </c>
      <c r="D1401" t="s">
        <v>8262</v>
      </c>
      <c r="E1401" s="225">
        <v>415.31</v>
      </c>
      <c r="F1401" t="s">
        <v>8724</v>
      </c>
      <c r="G1401" t="s">
        <v>8723</v>
      </c>
      <c r="H1401" t="s">
        <v>8707</v>
      </c>
      <c r="I1401" s="99">
        <v>44106</v>
      </c>
      <c r="J1401" s="99">
        <v>44109</v>
      </c>
      <c r="K1401" t="s">
        <v>8241</v>
      </c>
      <c r="L1401" t="s">
        <v>6934</v>
      </c>
    </row>
    <row r="1402" spans="2:12" x14ac:dyDescent="0.2">
      <c r="B1402">
        <v>10954</v>
      </c>
      <c r="C1402" t="s">
        <v>8309</v>
      </c>
      <c r="D1402" t="s">
        <v>8237</v>
      </c>
      <c r="E1402" s="225">
        <v>265.62</v>
      </c>
      <c r="F1402" t="s">
        <v>8724</v>
      </c>
      <c r="G1402" t="s">
        <v>8723</v>
      </c>
      <c r="H1402" t="s">
        <v>8707</v>
      </c>
      <c r="I1402" s="99">
        <v>44106</v>
      </c>
      <c r="J1402" s="99">
        <v>44109</v>
      </c>
      <c r="K1402" t="s">
        <v>8241</v>
      </c>
      <c r="L1402" t="s">
        <v>6934</v>
      </c>
    </row>
    <row r="1403" spans="2:12" x14ac:dyDescent="0.2">
      <c r="B1403">
        <v>10954</v>
      </c>
      <c r="C1403" t="s">
        <v>8268</v>
      </c>
      <c r="D1403" t="s">
        <v>8237</v>
      </c>
      <c r="E1403" s="225">
        <v>693.6</v>
      </c>
      <c r="F1403" t="s">
        <v>8724</v>
      </c>
      <c r="G1403" t="s">
        <v>8723</v>
      </c>
      <c r="H1403" t="s">
        <v>8707</v>
      </c>
      <c r="I1403" s="99">
        <v>44106</v>
      </c>
      <c r="J1403" s="99">
        <v>44109</v>
      </c>
      <c r="K1403" t="s">
        <v>8241</v>
      </c>
      <c r="L1403" t="s">
        <v>6934</v>
      </c>
    </row>
    <row r="1404" spans="2:12" x14ac:dyDescent="0.2">
      <c r="B1404">
        <v>10955</v>
      </c>
      <c r="C1404" t="s">
        <v>8328</v>
      </c>
      <c r="D1404" t="s">
        <v>8272</v>
      </c>
      <c r="E1404" s="225">
        <v>74.400000000000006</v>
      </c>
      <c r="F1404" t="s">
        <v>8293</v>
      </c>
      <c r="G1404" t="s">
        <v>8294</v>
      </c>
      <c r="H1404" t="s">
        <v>8292</v>
      </c>
      <c r="I1404" s="99">
        <v>44106</v>
      </c>
      <c r="J1404" s="99">
        <v>44109</v>
      </c>
      <c r="K1404" t="s">
        <v>8320</v>
      </c>
      <c r="L1404" t="s">
        <v>8321</v>
      </c>
    </row>
    <row r="1405" spans="2:12" x14ac:dyDescent="0.2">
      <c r="B1405">
        <v>10956</v>
      </c>
      <c r="C1405" t="s">
        <v>8368</v>
      </c>
      <c r="D1405" t="s">
        <v>8262</v>
      </c>
      <c r="E1405" s="225">
        <v>120</v>
      </c>
      <c r="F1405" t="s">
        <v>8416</v>
      </c>
      <c r="G1405" t="s">
        <v>8417</v>
      </c>
      <c r="H1405" t="s">
        <v>8246</v>
      </c>
      <c r="I1405" s="99">
        <v>44106</v>
      </c>
      <c r="J1405" s="99">
        <v>44109</v>
      </c>
      <c r="K1405" t="s">
        <v>8251</v>
      </c>
      <c r="L1405" t="s">
        <v>269</v>
      </c>
    </row>
    <row r="1406" spans="2:12" x14ac:dyDescent="0.2">
      <c r="B1406">
        <v>10956</v>
      </c>
      <c r="C1406" t="s">
        <v>8410</v>
      </c>
      <c r="D1406" t="s">
        <v>8262</v>
      </c>
      <c r="E1406" s="225">
        <v>133</v>
      </c>
      <c r="F1406" t="s">
        <v>8416</v>
      </c>
      <c r="G1406" t="s">
        <v>8417</v>
      </c>
      <c r="H1406" t="s">
        <v>8246</v>
      </c>
      <c r="I1406" s="99">
        <v>44106</v>
      </c>
      <c r="J1406" s="99">
        <v>44109</v>
      </c>
      <c r="K1406" t="s">
        <v>8251</v>
      </c>
      <c r="L1406" t="s">
        <v>269</v>
      </c>
    </row>
    <row r="1407" spans="2:12" x14ac:dyDescent="0.2">
      <c r="B1407">
        <v>10956</v>
      </c>
      <c r="C1407" t="s">
        <v>8245</v>
      </c>
      <c r="D1407" t="s">
        <v>8247</v>
      </c>
      <c r="E1407" s="225">
        <v>424</v>
      </c>
      <c r="F1407" t="s">
        <v>8416</v>
      </c>
      <c r="G1407" t="s">
        <v>8417</v>
      </c>
      <c r="H1407" t="s">
        <v>8246</v>
      </c>
      <c r="I1407" s="99">
        <v>44106</v>
      </c>
      <c r="J1407" s="99">
        <v>44109</v>
      </c>
      <c r="K1407" t="s">
        <v>8251</v>
      </c>
      <c r="L1407" t="s">
        <v>269</v>
      </c>
    </row>
    <row r="1408" spans="2:12" x14ac:dyDescent="0.2">
      <c r="B1408">
        <v>10957</v>
      </c>
      <c r="C1408" t="s">
        <v>8323</v>
      </c>
      <c r="D1408" t="s">
        <v>8272</v>
      </c>
      <c r="E1408" s="225">
        <v>720</v>
      </c>
      <c r="F1408" t="s">
        <v>8732</v>
      </c>
      <c r="G1408" t="s">
        <v>8731</v>
      </c>
      <c r="H1408" t="s">
        <v>8707</v>
      </c>
      <c r="I1408" s="99">
        <v>44107</v>
      </c>
      <c r="J1408" s="99">
        <v>44116</v>
      </c>
      <c r="K1408" t="s">
        <v>8320</v>
      </c>
      <c r="L1408" t="s">
        <v>8321</v>
      </c>
    </row>
    <row r="1409" spans="2:12" x14ac:dyDescent="0.2">
      <c r="B1409">
        <v>10957</v>
      </c>
      <c r="C1409" t="s">
        <v>8340</v>
      </c>
      <c r="D1409" t="s">
        <v>8244</v>
      </c>
      <c r="E1409" s="225">
        <v>266</v>
      </c>
      <c r="F1409" t="s">
        <v>8732</v>
      </c>
      <c r="G1409" t="s">
        <v>8731</v>
      </c>
      <c r="H1409" t="s">
        <v>8707</v>
      </c>
      <c r="I1409" s="99">
        <v>44107</v>
      </c>
      <c r="J1409" s="99">
        <v>44116</v>
      </c>
      <c r="K1409" t="s">
        <v>8320</v>
      </c>
      <c r="L1409" t="s">
        <v>8321</v>
      </c>
    </row>
    <row r="1410" spans="2:12" x14ac:dyDescent="0.2">
      <c r="B1410">
        <v>10958</v>
      </c>
      <c r="C1410" t="s">
        <v>8286</v>
      </c>
      <c r="D1410" t="s">
        <v>8254</v>
      </c>
      <c r="E1410" s="225">
        <v>427</v>
      </c>
      <c r="F1410" t="s">
        <v>8768</v>
      </c>
      <c r="G1410" t="s">
        <v>8767</v>
      </c>
      <c r="H1410" t="s">
        <v>8717</v>
      </c>
      <c r="I1410" s="99">
        <v>44107</v>
      </c>
      <c r="J1410" s="99">
        <v>44116</v>
      </c>
      <c r="K1410" t="s">
        <v>8158</v>
      </c>
      <c r="L1410" t="s">
        <v>861</v>
      </c>
    </row>
    <row r="1411" spans="2:12" x14ac:dyDescent="0.2">
      <c r="B1411">
        <v>10958</v>
      </c>
      <c r="C1411" t="s">
        <v>8235</v>
      </c>
      <c r="D1411" t="s">
        <v>8237</v>
      </c>
      <c r="E1411" s="225">
        <v>174</v>
      </c>
      <c r="F1411" t="s">
        <v>8768</v>
      </c>
      <c r="G1411" t="s">
        <v>8767</v>
      </c>
      <c r="H1411" t="s">
        <v>8717</v>
      </c>
      <c r="I1411" s="99">
        <v>44107</v>
      </c>
      <c r="J1411" s="99">
        <v>44116</v>
      </c>
      <c r="K1411" t="s">
        <v>8158</v>
      </c>
      <c r="L1411" t="s">
        <v>861</v>
      </c>
    </row>
    <row r="1412" spans="2:12" x14ac:dyDescent="0.2">
      <c r="B1412">
        <v>10958</v>
      </c>
      <c r="C1412" t="s">
        <v>8415</v>
      </c>
      <c r="D1412" t="s">
        <v>8247</v>
      </c>
      <c r="E1412" s="225">
        <v>180</v>
      </c>
      <c r="F1412" t="s">
        <v>8768</v>
      </c>
      <c r="G1412" t="s">
        <v>8767</v>
      </c>
      <c r="H1412" t="s">
        <v>8717</v>
      </c>
      <c r="I1412" s="99">
        <v>44107</v>
      </c>
      <c r="J1412" s="99">
        <v>44116</v>
      </c>
      <c r="K1412" t="s">
        <v>8158</v>
      </c>
      <c r="L1412" t="s">
        <v>861</v>
      </c>
    </row>
    <row r="1413" spans="2:12" x14ac:dyDescent="0.2">
      <c r="B1413">
        <v>10959</v>
      </c>
      <c r="C1413" t="s">
        <v>8328</v>
      </c>
      <c r="D1413" t="s">
        <v>8272</v>
      </c>
      <c r="E1413" s="225">
        <v>131.75</v>
      </c>
      <c r="F1413" t="s">
        <v>8770</v>
      </c>
      <c r="G1413" t="s">
        <v>8769</v>
      </c>
      <c r="H1413" t="s">
        <v>8710</v>
      </c>
      <c r="I1413" s="99">
        <v>44107</v>
      </c>
      <c r="J1413" s="99">
        <v>44112</v>
      </c>
      <c r="K1413" t="s">
        <v>8251</v>
      </c>
      <c r="L1413" t="s">
        <v>269</v>
      </c>
    </row>
    <row r="1414" spans="2:12" x14ac:dyDescent="0.2">
      <c r="B1414">
        <v>10960</v>
      </c>
      <c r="C1414" t="s">
        <v>8270</v>
      </c>
      <c r="D1414" t="s">
        <v>8272</v>
      </c>
      <c r="E1414" s="225">
        <v>33.75</v>
      </c>
      <c r="F1414" t="s">
        <v>8732</v>
      </c>
      <c r="G1414" t="s">
        <v>8731</v>
      </c>
      <c r="H1414" t="s">
        <v>8707</v>
      </c>
      <c r="I1414" s="99">
        <v>44108</v>
      </c>
      <c r="J1414" s="99">
        <v>44128</v>
      </c>
      <c r="K1414" t="s">
        <v>8257</v>
      </c>
      <c r="L1414" t="s">
        <v>6984</v>
      </c>
    </row>
    <row r="1415" spans="2:12" x14ac:dyDescent="0.2">
      <c r="B1415">
        <v>10961</v>
      </c>
      <c r="C1415" t="s">
        <v>8303</v>
      </c>
      <c r="D1415" t="s">
        <v>8272</v>
      </c>
      <c r="E1415" s="225">
        <v>1080</v>
      </c>
      <c r="F1415" t="s">
        <v>8712</v>
      </c>
      <c r="G1415" t="s">
        <v>8711</v>
      </c>
      <c r="H1415" t="s">
        <v>8710</v>
      </c>
      <c r="I1415" s="99">
        <v>44108</v>
      </c>
      <c r="J1415" s="99">
        <v>44119</v>
      </c>
      <c r="K1415" t="s">
        <v>8320</v>
      </c>
      <c r="L1415" t="s">
        <v>8321</v>
      </c>
    </row>
    <row r="1416" spans="2:12" x14ac:dyDescent="0.2">
      <c r="B1416">
        <v>10961</v>
      </c>
      <c r="C1416" t="s">
        <v>8369</v>
      </c>
      <c r="D1416" t="s">
        <v>8244</v>
      </c>
      <c r="E1416" s="225">
        <v>39.9</v>
      </c>
      <c r="F1416" t="s">
        <v>8712</v>
      </c>
      <c r="G1416" t="s">
        <v>8711</v>
      </c>
      <c r="H1416" t="s">
        <v>8710</v>
      </c>
      <c r="I1416" s="99">
        <v>44108</v>
      </c>
      <c r="J1416" s="99">
        <v>44119</v>
      </c>
      <c r="K1416" t="s">
        <v>8320</v>
      </c>
      <c r="L1416" t="s">
        <v>8321</v>
      </c>
    </row>
    <row r="1417" spans="2:12" x14ac:dyDescent="0.2">
      <c r="B1417">
        <v>10962</v>
      </c>
      <c r="C1417" t="s">
        <v>8303</v>
      </c>
      <c r="D1417" t="s">
        <v>8272</v>
      </c>
      <c r="E1417" s="225">
        <v>792</v>
      </c>
      <c r="F1417" t="s">
        <v>8307</v>
      </c>
      <c r="G1417" t="s">
        <v>8308</v>
      </c>
      <c r="H1417" t="s">
        <v>8246</v>
      </c>
      <c r="I1417" s="99">
        <v>44108</v>
      </c>
      <c r="J1417" s="99">
        <v>44112</v>
      </c>
      <c r="K1417" t="s">
        <v>8320</v>
      </c>
      <c r="L1417" t="s">
        <v>8321</v>
      </c>
    </row>
    <row r="1418" spans="2:12" x14ac:dyDescent="0.2">
      <c r="B1418">
        <v>10962</v>
      </c>
      <c r="C1418" t="s">
        <v>8353</v>
      </c>
      <c r="D1418" t="s">
        <v>8237</v>
      </c>
      <c r="E1418" s="225">
        <v>324</v>
      </c>
      <c r="F1418" t="s">
        <v>8307</v>
      </c>
      <c r="G1418" t="s">
        <v>8308</v>
      </c>
      <c r="H1418" t="s">
        <v>8246</v>
      </c>
      <c r="I1418" s="99">
        <v>44108</v>
      </c>
      <c r="J1418" s="99">
        <v>44112</v>
      </c>
      <c r="K1418" t="s">
        <v>8320</v>
      </c>
      <c r="L1418" t="s">
        <v>8321</v>
      </c>
    </row>
    <row r="1419" spans="2:12" x14ac:dyDescent="0.2">
      <c r="B1419">
        <v>10962</v>
      </c>
      <c r="C1419" t="s">
        <v>8415</v>
      </c>
      <c r="D1419" t="s">
        <v>8247</v>
      </c>
      <c r="E1419" s="225">
        <v>1350</v>
      </c>
      <c r="F1419" t="s">
        <v>8307</v>
      </c>
      <c r="G1419" t="s">
        <v>8308</v>
      </c>
      <c r="H1419" t="s">
        <v>8246</v>
      </c>
      <c r="I1419" s="99">
        <v>44108</v>
      </c>
      <c r="J1419" s="99">
        <v>44112</v>
      </c>
      <c r="K1419" t="s">
        <v>8320</v>
      </c>
      <c r="L1419" t="s">
        <v>8321</v>
      </c>
    </row>
    <row r="1420" spans="2:12" x14ac:dyDescent="0.2">
      <c r="B1420">
        <v>10963</v>
      </c>
      <c r="C1420" t="s">
        <v>8268</v>
      </c>
      <c r="D1420" t="s">
        <v>8237</v>
      </c>
      <c r="E1420" s="225">
        <v>57.8</v>
      </c>
      <c r="F1420" t="s">
        <v>8366</v>
      </c>
      <c r="G1420" t="s">
        <v>8367</v>
      </c>
      <c r="H1420" t="s">
        <v>8365</v>
      </c>
      <c r="I1420" s="99">
        <v>44108</v>
      </c>
      <c r="J1420" s="99">
        <v>44115</v>
      </c>
      <c r="K1420" t="s">
        <v>8279</v>
      </c>
      <c r="L1420" t="s">
        <v>710</v>
      </c>
    </row>
    <row r="1421" spans="2:12" x14ac:dyDescent="0.2">
      <c r="B1421">
        <v>10964</v>
      </c>
      <c r="C1421" t="s">
        <v>8380</v>
      </c>
      <c r="D1421" t="s">
        <v>8272</v>
      </c>
      <c r="E1421" s="225">
        <v>1317.5</v>
      </c>
      <c r="F1421" t="s">
        <v>8428</v>
      </c>
      <c r="G1421" t="s">
        <v>8429</v>
      </c>
      <c r="H1421" t="s">
        <v>8236</v>
      </c>
      <c r="I1421" s="99">
        <v>44109</v>
      </c>
      <c r="J1421" s="99">
        <v>44113</v>
      </c>
      <c r="K1421" t="s">
        <v>8257</v>
      </c>
      <c r="L1421" t="s">
        <v>6984</v>
      </c>
    </row>
    <row r="1422" spans="2:12" x14ac:dyDescent="0.2">
      <c r="B1422">
        <v>10964</v>
      </c>
      <c r="C1422" t="s">
        <v>8353</v>
      </c>
      <c r="D1422" t="s">
        <v>8237</v>
      </c>
      <c r="E1422" s="225">
        <v>360</v>
      </c>
      <c r="F1422" t="s">
        <v>8428</v>
      </c>
      <c r="G1422" t="s">
        <v>8429</v>
      </c>
      <c r="H1422" t="s">
        <v>8236</v>
      </c>
      <c r="I1422" s="99">
        <v>44109</v>
      </c>
      <c r="J1422" s="99">
        <v>44113</v>
      </c>
      <c r="K1422" t="s">
        <v>8257</v>
      </c>
      <c r="L1422" t="s">
        <v>6984</v>
      </c>
    </row>
    <row r="1423" spans="2:12" x14ac:dyDescent="0.2">
      <c r="B1423">
        <v>10965</v>
      </c>
      <c r="C1423" t="s">
        <v>8245</v>
      </c>
      <c r="D1423" t="s">
        <v>8247</v>
      </c>
      <c r="E1423" s="225">
        <v>848</v>
      </c>
      <c r="F1423" t="s">
        <v>8756</v>
      </c>
      <c r="G1423" t="s">
        <v>8755</v>
      </c>
      <c r="H1423" t="s">
        <v>8701</v>
      </c>
      <c r="I1423" s="99">
        <v>44109</v>
      </c>
      <c r="J1423" s="99">
        <v>44119</v>
      </c>
      <c r="K1423" t="s">
        <v>8251</v>
      </c>
      <c r="L1423" t="s">
        <v>269</v>
      </c>
    </row>
    <row r="1424" spans="2:12" x14ac:dyDescent="0.2">
      <c r="B1424">
        <v>10966</v>
      </c>
      <c r="C1424" t="s">
        <v>8291</v>
      </c>
      <c r="D1424" t="s">
        <v>8262</v>
      </c>
      <c r="E1424" s="225">
        <v>502.86</v>
      </c>
      <c r="F1424" t="s">
        <v>8273</v>
      </c>
      <c r="G1424" t="s">
        <v>8274</v>
      </c>
      <c r="H1424" t="s">
        <v>8271</v>
      </c>
      <c r="I1424" s="99">
        <v>44109</v>
      </c>
      <c r="J1424" s="99">
        <v>44128</v>
      </c>
      <c r="K1424" t="s">
        <v>8266</v>
      </c>
      <c r="L1424" t="s">
        <v>8267</v>
      </c>
    </row>
    <row r="1425" spans="2:12" x14ac:dyDescent="0.2">
      <c r="B1425">
        <v>10966</v>
      </c>
      <c r="C1425" t="s">
        <v>8341</v>
      </c>
      <c r="D1425" t="s">
        <v>8244</v>
      </c>
      <c r="E1425" s="225">
        <v>387.6</v>
      </c>
      <c r="F1425" t="s">
        <v>8273</v>
      </c>
      <c r="G1425" t="s">
        <v>8274</v>
      </c>
      <c r="H1425" t="s">
        <v>8271</v>
      </c>
      <c r="I1425" s="99">
        <v>44109</v>
      </c>
      <c r="J1425" s="99">
        <v>44128</v>
      </c>
      <c r="K1425" t="s">
        <v>8266</v>
      </c>
      <c r="L1425" t="s">
        <v>8267</v>
      </c>
    </row>
    <row r="1426" spans="2:12" x14ac:dyDescent="0.2">
      <c r="B1426">
        <v>10967</v>
      </c>
      <c r="C1426" t="s">
        <v>8327</v>
      </c>
      <c r="D1426" t="s">
        <v>8262</v>
      </c>
      <c r="E1426" s="225">
        <v>110.4</v>
      </c>
      <c r="F1426" t="s">
        <v>8248</v>
      </c>
      <c r="G1426" t="s">
        <v>8249</v>
      </c>
      <c r="H1426" t="s">
        <v>8246</v>
      </c>
      <c r="I1426" s="99">
        <v>44112</v>
      </c>
      <c r="J1426" s="99">
        <v>44122</v>
      </c>
      <c r="K1426" t="s">
        <v>8297</v>
      </c>
      <c r="L1426" t="s">
        <v>8298</v>
      </c>
    </row>
    <row r="1427" spans="2:12" x14ac:dyDescent="0.2">
      <c r="B1427">
        <v>10967</v>
      </c>
      <c r="C1427" t="s">
        <v>8390</v>
      </c>
      <c r="D1427" t="s">
        <v>8262</v>
      </c>
      <c r="E1427" s="225">
        <v>800</v>
      </c>
      <c r="F1427" t="s">
        <v>8248</v>
      </c>
      <c r="G1427" t="s">
        <v>8249</v>
      </c>
      <c r="H1427" t="s">
        <v>8246</v>
      </c>
      <c r="I1427" s="99">
        <v>44112</v>
      </c>
      <c r="J1427" s="99">
        <v>44122</v>
      </c>
      <c r="K1427" t="s">
        <v>8297</v>
      </c>
      <c r="L1427" t="s">
        <v>8298</v>
      </c>
    </row>
    <row r="1428" spans="2:12" x14ac:dyDescent="0.2">
      <c r="B1428">
        <v>10968</v>
      </c>
      <c r="C1428" t="s">
        <v>8270</v>
      </c>
      <c r="D1428" t="s">
        <v>8272</v>
      </c>
      <c r="E1428" s="225">
        <v>135</v>
      </c>
      <c r="F1428" t="s">
        <v>8283</v>
      </c>
      <c r="G1428" t="s">
        <v>8284</v>
      </c>
      <c r="H1428" t="s">
        <v>8282</v>
      </c>
      <c r="I1428" s="99">
        <v>44112</v>
      </c>
      <c r="J1428" s="99">
        <v>44121</v>
      </c>
      <c r="K1428" t="s">
        <v>8285</v>
      </c>
      <c r="L1428" t="s">
        <v>2317</v>
      </c>
    </row>
    <row r="1429" spans="2:12" x14ac:dyDescent="0.2">
      <c r="B1429">
        <v>10968</v>
      </c>
      <c r="C1429" t="s">
        <v>8299</v>
      </c>
      <c r="D1429" t="s">
        <v>8237</v>
      </c>
      <c r="E1429" s="225">
        <v>1140</v>
      </c>
      <c r="F1429" t="s">
        <v>8283</v>
      </c>
      <c r="G1429" t="s">
        <v>8284</v>
      </c>
      <c r="H1429" t="s">
        <v>8282</v>
      </c>
      <c r="I1429" s="99">
        <v>44112</v>
      </c>
      <c r="J1429" s="99">
        <v>44121</v>
      </c>
      <c r="K1429" t="s">
        <v>8285</v>
      </c>
      <c r="L1429" t="s">
        <v>2317</v>
      </c>
    </row>
    <row r="1430" spans="2:12" x14ac:dyDescent="0.2">
      <c r="B1430">
        <v>10968</v>
      </c>
      <c r="C1430" t="s">
        <v>8340</v>
      </c>
      <c r="D1430" t="s">
        <v>8244</v>
      </c>
      <c r="E1430" s="225">
        <v>133</v>
      </c>
      <c r="F1430" t="s">
        <v>8283</v>
      </c>
      <c r="G1430" t="s">
        <v>8284</v>
      </c>
      <c r="H1430" t="s">
        <v>8282</v>
      </c>
      <c r="I1430" s="99">
        <v>44112</v>
      </c>
      <c r="J1430" s="99">
        <v>44121</v>
      </c>
      <c r="K1430" t="s">
        <v>8285</v>
      </c>
      <c r="L1430" t="s">
        <v>2317</v>
      </c>
    </row>
    <row r="1431" spans="2:12" x14ac:dyDescent="0.2">
      <c r="B1431">
        <v>10970</v>
      </c>
      <c r="C1431" t="s">
        <v>8369</v>
      </c>
      <c r="D1431" t="s">
        <v>8244</v>
      </c>
      <c r="E1431" s="225">
        <v>224</v>
      </c>
      <c r="F1431" t="s">
        <v>8363</v>
      </c>
      <c r="G1431" t="s">
        <v>8364</v>
      </c>
      <c r="H1431" t="s">
        <v>8324</v>
      </c>
      <c r="I1431" s="99">
        <v>44113</v>
      </c>
      <c r="J1431" s="99">
        <v>44144</v>
      </c>
      <c r="K1431" t="s">
        <v>8279</v>
      </c>
      <c r="L1431" t="s">
        <v>710</v>
      </c>
    </row>
    <row r="1432" spans="2:12" x14ac:dyDescent="0.2">
      <c r="B1432">
        <v>10972</v>
      </c>
      <c r="C1432" t="s">
        <v>8269</v>
      </c>
      <c r="D1432" t="s">
        <v>8237</v>
      </c>
      <c r="E1432" s="225">
        <v>17.5</v>
      </c>
      <c r="F1432" t="s">
        <v>8430</v>
      </c>
      <c r="G1432" t="s">
        <v>8431</v>
      </c>
      <c r="H1432" t="s">
        <v>8236</v>
      </c>
      <c r="I1432" s="99">
        <v>44113</v>
      </c>
      <c r="J1432" s="99">
        <v>44115</v>
      </c>
      <c r="K1432" t="s">
        <v>8266</v>
      </c>
      <c r="L1432" t="s">
        <v>8267</v>
      </c>
    </row>
    <row r="1433" spans="2:12" x14ac:dyDescent="0.2">
      <c r="B1433">
        <v>10973</v>
      </c>
      <c r="C1433" t="s">
        <v>8328</v>
      </c>
      <c r="D1433" t="s">
        <v>8272</v>
      </c>
      <c r="E1433" s="225">
        <v>77.5</v>
      </c>
      <c r="F1433" t="s">
        <v>8430</v>
      </c>
      <c r="G1433" t="s">
        <v>8431</v>
      </c>
      <c r="H1433" t="s">
        <v>8236</v>
      </c>
      <c r="I1433" s="99">
        <v>44113</v>
      </c>
      <c r="J1433" s="99">
        <v>44116</v>
      </c>
      <c r="K1433" t="s">
        <v>8251</v>
      </c>
      <c r="L1433" t="s">
        <v>269</v>
      </c>
    </row>
    <row r="1434" spans="2:12" x14ac:dyDescent="0.2">
      <c r="B1434">
        <v>10973</v>
      </c>
      <c r="C1434" t="s">
        <v>8372</v>
      </c>
      <c r="D1434" t="s">
        <v>8262</v>
      </c>
      <c r="E1434" s="225">
        <v>156.15</v>
      </c>
      <c r="F1434" t="s">
        <v>8430</v>
      </c>
      <c r="G1434" t="s">
        <v>8431</v>
      </c>
      <c r="H1434" t="s">
        <v>8236</v>
      </c>
      <c r="I1434" s="99">
        <v>44113</v>
      </c>
      <c r="J1434" s="99">
        <v>44116</v>
      </c>
      <c r="K1434" t="s">
        <v>8251</v>
      </c>
      <c r="L1434" t="s">
        <v>269</v>
      </c>
    </row>
    <row r="1435" spans="2:12" x14ac:dyDescent="0.2">
      <c r="B1435">
        <v>10974</v>
      </c>
      <c r="C1435" t="s">
        <v>8317</v>
      </c>
      <c r="D1435" t="s">
        <v>8254</v>
      </c>
      <c r="E1435" s="225">
        <v>439</v>
      </c>
      <c r="F1435" t="s">
        <v>8744</v>
      </c>
      <c r="G1435" t="s">
        <v>8743</v>
      </c>
      <c r="H1435" t="s">
        <v>8701</v>
      </c>
      <c r="I1435" s="99">
        <v>44114</v>
      </c>
      <c r="J1435" s="99">
        <v>44123</v>
      </c>
      <c r="K1435" t="s">
        <v>8257</v>
      </c>
      <c r="L1435" t="s">
        <v>6984</v>
      </c>
    </row>
    <row r="1436" spans="2:12" x14ac:dyDescent="0.2">
      <c r="B1436">
        <v>10975</v>
      </c>
      <c r="C1436" t="s">
        <v>8328</v>
      </c>
      <c r="D1436" t="s">
        <v>8272</v>
      </c>
      <c r="E1436" s="225">
        <v>77.5</v>
      </c>
      <c r="F1436" t="s">
        <v>8722</v>
      </c>
      <c r="G1436" t="s">
        <v>8721</v>
      </c>
      <c r="H1436" t="s">
        <v>8720</v>
      </c>
      <c r="I1436" s="99">
        <v>44114</v>
      </c>
      <c r="J1436" s="99">
        <v>44116</v>
      </c>
      <c r="K1436" t="s">
        <v>8285</v>
      </c>
      <c r="L1436" t="s">
        <v>2317</v>
      </c>
    </row>
    <row r="1437" spans="2:12" x14ac:dyDescent="0.2">
      <c r="B1437">
        <v>10975</v>
      </c>
      <c r="C1437" t="s">
        <v>8379</v>
      </c>
      <c r="D1437" t="s">
        <v>8254</v>
      </c>
      <c r="E1437" s="225">
        <v>640</v>
      </c>
      <c r="F1437" t="s">
        <v>8722</v>
      </c>
      <c r="G1437" t="s">
        <v>8721</v>
      </c>
      <c r="H1437" t="s">
        <v>8720</v>
      </c>
      <c r="I1437" s="99">
        <v>44114</v>
      </c>
      <c r="J1437" s="99">
        <v>44116</v>
      </c>
      <c r="K1437" t="s">
        <v>8285</v>
      </c>
      <c r="L1437" t="s">
        <v>2317</v>
      </c>
    </row>
    <row r="1438" spans="2:12" x14ac:dyDescent="0.2">
      <c r="B1438">
        <v>10976</v>
      </c>
      <c r="C1438" t="s">
        <v>8316</v>
      </c>
      <c r="D1438" t="s">
        <v>8247</v>
      </c>
      <c r="E1438" s="225">
        <v>912</v>
      </c>
      <c r="F1438" t="s">
        <v>8732</v>
      </c>
      <c r="G1438" t="s">
        <v>8731</v>
      </c>
      <c r="H1438" t="s">
        <v>8707</v>
      </c>
      <c r="I1438" s="99">
        <v>44114</v>
      </c>
      <c r="J1438" s="99">
        <v>44123</v>
      </c>
      <c r="K1438" t="s">
        <v>8285</v>
      </c>
      <c r="L1438" t="s">
        <v>2317</v>
      </c>
    </row>
    <row r="1439" spans="2:12" x14ac:dyDescent="0.2">
      <c r="B1439">
        <v>10977</v>
      </c>
      <c r="C1439" t="s">
        <v>8342</v>
      </c>
      <c r="D1439" t="s">
        <v>8272</v>
      </c>
      <c r="E1439" s="225">
        <v>540</v>
      </c>
      <c r="F1439" t="s">
        <v>8293</v>
      </c>
      <c r="G1439" t="s">
        <v>8294</v>
      </c>
      <c r="H1439" t="s">
        <v>8292</v>
      </c>
      <c r="I1439" s="99">
        <v>44115</v>
      </c>
      <c r="J1439" s="99">
        <v>44130</v>
      </c>
      <c r="K1439" t="s">
        <v>8320</v>
      </c>
      <c r="L1439" t="s">
        <v>8321</v>
      </c>
    </row>
    <row r="1440" spans="2:12" x14ac:dyDescent="0.2">
      <c r="B1440">
        <v>10977</v>
      </c>
      <c r="C1440" t="s">
        <v>8317</v>
      </c>
      <c r="D1440" t="s">
        <v>8254</v>
      </c>
      <c r="E1440" s="225">
        <v>878</v>
      </c>
      <c r="F1440" t="s">
        <v>8293</v>
      </c>
      <c r="G1440" t="s">
        <v>8294</v>
      </c>
      <c r="H1440" t="s">
        <v>8292</v>
      </c>
      <c r="I1440" s="99">
        <v>44115</v>
      </c>
      <c r="J1440" s="99">
        <v>44130</v>
      </c>
      <c r="K1440" t="s">
        <v>8320</v>
      </c>
      <c r="L1440" t="s">
        <v>8321</v>
      </c>
    </row>
    <row r="1441" spans="2:12" x14ac:dyDescent="0.2">
      <c r="B1441">
        <v>10977</v>
      </c>
      <c r="C1441" t="s">
        <v>8410</v>
      </c>
      <c r="D1441" t="s">
        <v>8262</v>
      </c>
      <c r="E1441" s="225">
        <v>285</v>
      </c>
      <c r="F1441" t="s">
        <v>8293</v>
      </c>
      <c r="G1441" t="s">
        <v>8294</v>
      </c>
      <c r="H1441" t="s">
        <v>8292</v>
      </c>
      <c r="I1441" s="99">
        <v>44115</v>
      </c>
      <c r="J1441" s="99">
        <v>44130</v>
      </c>
      <c r="K1441" t="s">
        <v>8320</v>
      </c>
      <c r="L1441" t="s">
        <v>8321</v>
      </c>
    </row>
    <row r="1442" spans="2:12" x14ac:dyDescent="0.2">
      <c r="B1442">
        <v>10977</v>
      </c>
      <c r="C1442" t="s">
        <v>8245</v>
      </c>
      <c r="D1442" t="s">
        <v>8247</v>
      </c>
      <c r="E1442" s="225">
        <v>530</v>
      </c>
      <c r="F1442" t="s">
        <v>8293</v>
      </c>
      <c r="G1442" t="s">
        <v>8294</v>
      </c>
      <c r="H1442" t="s">
        <v>8292</v>
      </c>
      <c r="I1442" s="99">
        <v>44115</v>
      </c>
      <c r="J1442" s="99">
        <v>44130</v>
      </c>
      <c r="K1442" t="s">
        <v>8320</v>
      </c>
      <c r="L1442" t="s">
        <v>8321</v>
      </c>
    </row>
    <row r="1443" spans="2:12" x14ac:dyDescent="0.2">
      <c r="B1443">
        <v>10978</v>
      </c>
      <c r="C1443" t="s">
        <v>8379</v>
      </c>
      <c r="D1443" t="s">
        <v>8254</v>
      </c>
      <c r="E1443" s="225">
        <v>680</v>
      </c>
      <c r="F1443" t="s">
        <v>8420</v>
      </c>
      <c r="G1443" t="s">
        <v>8421</v>
      </c>
      <c r="H1443" t="s">
        <v>8261</v>
      </c>
      <c r="I1443" s="99">
        <v>44115</v>
      </c>
      <c r="J1443" s="99">
        <v>44143</v>
      </c>
      <c r="K1443" t="s">
        <v>8279</v>
      </c>
      <c r="L1443" t="s">
        <v>710</v>
      </c>
    </row>
    <row r="1444" spans="2:12" x14ac:dyDescent="0.2">
      <c r="B1444">
        <v>10978</v>
      </c>
      <c r="C1444" t="s">
        <v>8322</v>
      </c>
      <c r="D1444" t="s">
        <v>8254</v>
      </c>
      <c r="E1444" s="225">
        <v>99.19</v>
      </c>
      <c r="F1444" t="s">
        <v>8420</v>
      </c>
      <c r="G1444" t="s">
        <v>8421</v>
      </c>
      <c r="H1444" t="s">
        <v>8261</v>
      </c>
      <c r="I1444" s="99">
        <v>44115</v>
      </c>
      <c r="J1444" s="99">
        <v>44143</v>
      </c>
      <c r="K1444" t="s">
        <v>8279</v>
      </c>
      <c r="L1444" t="s">
        <v>710</v>
      </c>
    </row>
    <row r="1445" spans="2:12" x14ac:dyDescent="0.2">
      <c r="B1445">
        <v>10978</v>
      </c>
      <c r="C1445" t="s">
        <v>8368</v>
      </c>
      <c r="D1445" t="s">
        <v>8262</v>
      </c>
      <c r="E1445" s="225">
        <v>340</v>
      </c>
      <c r="F1445" t="s">
        <v>8420</v>
      </c>
      <c r="G1445" t="s">
        <v>8421</v>
      </c>
      <c r="H1445" t="s">
        <v>8261</v>
      </c>
      <c r="I1445" s="99">
        <v>44115</v>
      </c>
      <c r="J1445" s="99">
        <v>44143</v>
      </c>
      <c r="K1445" t="s">
        <v>8279</v>
      </c>
      <c r="L1445" t="s">
        <v>710</v>
      </c>
    </row>
    <row r="1446" spans="2:12" x14ac:dyDescent="0.2">
      <c r="B1446">
        <v>10979</v>
      </c>
      <c r="C1446" t="s">
        <v>8270</v>
      </c>
      <c r="D1446" t="s">
        <v>8272</v>
      </c>
      <c r="E1446" s="225">
        <v>360</v>
      </c>
      <c r="F1446" t="s">
        <v>8283</v>
      </c>
      <c r="G1446" t="s">
        <v>8284</v>
      </c>
      <c r="H1446" t="s">
        <v>8282</v>
      </c>
      <c r="I1446" s="99">
        <v>44115</v>
      </c>
      <c r="J1446" s="99">
        <v>44120</v>
      </c>
      <c r="K1446" t="s">
        <v>8320</v>
      </c>
      <c r="L1446" t="s">
        <v>8321</v>
      </c>
    </row>
    <row r="1447" spans="2:12" x14ac:dyDescent="0.2">
      <c r="B1447">
        <v>10979</v>
      </c>
      <c r="C1447" t="s">
        <v>8317</v>
      </c>
      <c r="D1447" t="s">
        <v>8254</v>
      </c>
      <c r="E1447" s="225">
        <v>1536.5</v>
      </c>
      <c r="F1447" t="s">
        <v>8283</v>
      </c>
      <c r="G1447" t="s">
        <v>8284</v>
      </c>
      <c r="H1447" t="s">
        <v>8282</v>
      </c>
      <c r="I1447" s="99">
        <v>44115</v>
      </c>
      <c r="J1447" s="99">
        <v>44120</v>
      </c>
      <c r="K1447" t="s">
        <v>8320</v>
      </c>
      <c r="L1447" t="s">
        <v>8321</v>
      </c>
    </row>
    <row r="1448" spans="2:12" x14ac:dyDescent="0.2">
      <c r="B1448">
        <v>10979</v>
      </c>
      <c r="C1448" t="s">
        <v>8332</v>
      </c>
      <c r="D1448" t="s">
        <v>8262</v>
      </c>
      <c r="E1448" s="225">
        <v>1317</v>
      </c>
      <c r="F1448" t="s">
        <v>8283</v>
      </c>
      <c r="G1448" t="s">
        <v>8284</v>
      </c>
      <c r="H1448" t="s">
        <v>8282</v>
      </c>
      <c r="I1448" s="99">
        <v>44115</v>
      </c>
      <c r="J1448" s="99">
        <v>44120</v>
      </c>
      <c r="K1448" t="s">
        <v>8320</v>
      </c>
      <c r="L1448" t="s">
        <v>8321</v>
      </c>
    </row>
    <row r="1449" spans="2:12" x14ac:dyDescent="0.2">
      <c r="B1449">
        <v>10979</v>
      </c>
      <c r="C1449" t="s">
        <v>8299</v>
      </c>
      <c r="D1449" t="s">
        <v>8237</v>
      </c>
      <c r="E1449" s="225">
        <v>760</v>
      </c>
      <c r="F1449" t="s">
        <v>8283</v>
      </c>
      <c r="G1449" t="s">
        <v>8284</v>
      </c>
      <c r="H1449" t="s">
        <v>8282</v>
      </c>
      <c r="I1449" s="99">
        <v>44115</v>
      </c>
      <c r="J1449" s="99">
        <v>44120</v>
      </c>
      <c r="K1449" t="s">
        <v>8320</v>
      </c>
      <c r="L1449" t="s">
        <v>8321</v>
      </c>
    </row>
    <row r="1450" spans="2:12" x14ac:dyDescent="0.2">
      <c r="B1450">
        <v>10979</v>
      </c>
      <c r="C1450" t="s">
        <v>8309</v>
      </c>
      <c r="D1450" t="s">
        <v>8237</v>
      </c>
      <c r="E1450" s="225">
        <v>300</v>
      </c>
      <c r="F1450" t="s">
        <v>8283</v>
      </c>
      <c r="G1450" t="s">
        <v>8284</v>
      </c>
      <c r="H1450" t="s">
        <v>8282</v>
      </c>
      <c r="I1450" s="99">
        <v>44115</v>
      </c>
      <c r="J1450" s="99">
        <v>44120</v>
      </c>
      <c r="K1450" t="s">
        <v>8320</v>
      </c>
      <c r="L1450" t="s">
        <v>8321</v>
      </c>
    </row>
    <row r="1451" spans="2:12" x14ac:dyDescent="0.2">
      <c r="B1451">
        <v>10979</v>
      </c>
      <c r="C1451" t="s">
        <v>8415</v>
      </c>
      <c r="D1451" t="s">
        <v>8247</v>
      </c>
      <c r="E1451" s="225">
        <v>540</v>
      </c>
      <c r="F1451" t="s">
        <v>8283</v>
      </c>
      <c r="G1451" t="s">
        <v>8284</v>
      </c>
      <c r="H1451" t="s">
        <v>8282</v>
      </c>
      <c r="I1451" s="99">
        <v>44115</v>
      </c>
      <c r="J1451" s="99">
        <v>44120</v>
      </c>
      <c r="K1451" t="s">
        <v>8320</v>
      </c>
      <c r="L1451" t="s">
        <v>8321</v>
      </c>
    </row>
    <row r="1452" spans="2:12" x14ac:dyDescent="0.2">
      <c r="B1452">
        <v>10980</v>
      </c>
      <c r="C1452" t="s">
        <v>8328</v>
      </c>
      <c r="D1452" t="s">
        <v>8272</v>
      </c>
      <c r="E1452" s="225">
        <v>248</v>
      </c>
      <c r="F1452" t="s">
        <v>8293</v>
      </c>
      <c r="G1452" t="s">
        <v>8294</v>
      </c>
      <c r="H1452" t="s">
        <v>8292</v>
      </c>
      <c r="I1452" s="99">
        <v>44116</v>
      </c>
      <c r="J1452" s="99">
        <v>44137</v>
      </c>
      <c r="K1452" t="s">
        <v>8266</v>
      </c>
      <c r="L1452" t="s">
        <v>8267</v>
      </c>
    </row>
    <row r="1453" spans="2:12" x14ac:dyDescent="0.2">
      <c r="B1453">
        <v>10981</v>
      </c>
      <c r="C1453" t="s">
        <v>8380</v>
      </c>
      <c r="D1453" t="s">
        <v>8272</v>
      </c>
      <c r="E1453" s="225">
        <v>15810</v>
      </c>
      <c r="F1453" t="s">
        <v>8728</v>
      </c>
      <c r="G1453" t="s">
        <v>8727</v>
      </c>
      <c r="H1453" t="s">
        <v>8710</v>
      </c>
      <c r="I1453" s="99">
        <v>44116</v>
      </c>
      <c r="J1453" s="99">
        <v>44122</v>
      </c>
      <c r="K1453" t="s">
        <v>8285</v>
      </c>
      <c r="L1453" t="s">
        <v>2317</v>
      </c>
    </row>
    <row r="1454" spans="2:12" x14ac:dyDescent="0.2">
      <c r="B1454">
        <v>10982</v>
      </c>
      <c r="C1454" t="s">
        <v>8306</v>
      </c>
      <c r="D1454" t="s">
        <v>8272</v>
      </c>
      <c r="E1454" s="225">
        <v>414</v>
      </c>
      <c r="F1454" t="s">
        <v>8722</v>
      </c>
      <c r="G1454" t="s">
        <v>8721</v>
      </c>
      <c r="H1454" t="s">
        <v>8720</v>
      </c>
      <c r="I1454" s="99">
        <v>44116</v>
      </c>
      <c r="J1454" s="99">
        <v>44128</v>
      </c>
      <c r="K1454" t="s">
        <v>8297</v>
      </c>
      <c r="L1454" t="s">
        <v>8298</v>
      </c>
    </row>
    <row r="1455" spans="2:12" x14ac:dyDescent="0.2">
      <c r="B1455">
        <v>10982</v>
      </c>
      <c r="C1455" t="s">
        <v>8415</v>
      </c>
      <c r="D1455" t="s">
        <v>8247</v>
      </c>
      <c r="E1455" s="225">
        <v>600</v>
      </c>
      <c r="F1455" t="s">
        <v>8722</v>
      </c>
      <c r="G1455" t="s">
        <v>8721</v>
      </c>
      <c r="H1455" t="s">
        <v>8720</v>
      </c>
      <c r="I1455" s="99">
        <v>44116</v>
      </c>
      <c r="J1455" s="99">
        <v>44128</v>
      </c>
      <c r="K1455" t="s">
        <v>8297</v>
      </c>
      <c r="L1455" t="s">
        <v>8298</v>
      </c>
    </row>
    <row r="1456" spans="2:12" x14ac:dyDescent="0.2">
      <c r="B1456">
        <v>10983</v>
      </c>
      <c r="C1456" t="s">
        <v>8258</v>
      </c>
      <c r="D1456" t="s">
        <v>8244</v>
      </c>
      <c r="E1456" s="225">
        <v>292.5</v>
      </c>
      <c r="F1456" t="s">
        <v>8758</v>
      </c>
      <c r="G1456" t="s">
        <v>8757</v>
      </c>
      <c r="H1456" t="s">
        <v>8701</v>
      </c>
      <c r="I1456" s="99">
        <v>44116</v>
      </c>
      <c r="J1456" s="99">
        <v>44126</v>
      </c>
      <c r="K1456" t="s">
        <v>8297</v>
      </c>
      <c r="L1456" t="s">
        <v>8298</v>
      </c>
    </row>
    <row r="1457" spans="2:12" x14ac:dyDescent="0.2">
      <c r="B1457">
        <v>10984</v>
      </c>
      <c r="C1457" t="s">
        <v>8270</v>
      </c>
      <c r="D1457" t="s">
        <v>8272</v>
      </c>
      <c r="E1457" s="225">
        <v>90</v>
      </c>
      <c r="F1457" t="s">
        <v>8758</v>
      </c>
      <c r="G1457" t="s">
        <v>8757</v>
      </c>
      <c r="H1457" t="s">
        <v>8701</v>
      </c>
      <c r="I1457" s="99">
        <v>44119</v>
      </c>
      <c r="J1457" s="99">
        <v>44123</v>
      </c>
      <c r="K1457" t="s">
        <v>8285</v>
      </c>
      <c r="L1457" t="s">
        <v>2317</v>
      </c>
    </row>
    <row r="1458" spans="2:12" x14ac:dyDescent="0.2">
      <c r="B1458">
        <v>10984</v>
      </c>
      <c r="C1458" t="s">
        <v>8280</v>
      </c>
      <c r="D1458" t="s">
        <v>8262</v>
      </c>
      <c r="E1458" s="225">
        <v>959.75</v>
      </c>
      <c r="F1458" t="s">
        <v>8758</v>
      </c>
      <c r="G1458" t="s">
        <v>8757</v>
      </c>
      <c r="H1458" t="s">
        <v>8701</v>
      </c>
      <c r="I1458" s="99">
        <v>44119</v>
      </c>
      <c r="J1458" s="99">
        <v>44123</v>
      </c>
      <c r="K1458" t="s">
        <v>8285</v>
      </c>
      <c r="L1458" t="s">
        <v>2317</v>
      </c>
    </row>
    <row r="1459" spans="2:12" x14ac:dyDescent="0.2">
      <c r="B1459">
        <v>10985</v>
      </c>
      <c r="C1459" t="s">
        <v>8280</v>
      </c>
      <c r="D1459" t="s">
        <v>8262</v>
      </c>
      <c r="E1459" s="225">
        <v>565.38</v>
      </c>
      <c r="F1459" t="s">
        <v>8344</v>
      </c>
      <c r="G1459" t="s">
        <v>8345</v>
      </c>
      <c r="H1459" t="s">
        <v>8343</v>
      </c>
      <c r="I1459" s="99">
        <v>44119</v>
      </c>
      <c r="J1459" s="99">
        <v>44122</v>
      </c>
      <c r="K1459" t="s">
        <v>8297</v>
      </c>
      <c r="L1459" t="s">
        <v>8298</v>
      </c>
    </row>
    <row r="1460" spans="2:12" x14ac:dyDescent="0.2">
      <c r="B1460">
        <v>10985</v>
      </c>
      <c r="C1460" t="s">
        <v>8287</v>
      </c>
      <c r="D1460" t="s">
        <v>8237</v>
      </c>
      <c r="E1460" s="225">
        <v>1008</v>
      </c>
      <c r="F1460" t="s">
        <v>8344</v>
      </c>
      <c r="G1460" t="s">
        <v>8345</v>
      </c>
      <c r="H1460" t="s">
        <v>8343</v>
      </c>
      <c r="I1460" s="99">
        <v>44119</v>
      </c>
      <c r="J1460" s="99">
        <v>44122</v>
      </c>
      <c r="K1460" t="s">
        <v>8297</v>
      </c>
      <c r="L1460" t="s">
        <v>8298</v>
      </c>
    </row>
    <row r="1461" spans="2:12" x14ac:dyDescent="0.2">
      <c r="B1461">
        <v>10986</v>
      </c>
      <c r="C1461" t="s">
        <v>8303</v>
      </c>
      <c r="D1461" t="s">
        <v>8272</v>
      </c>
      <c r="E1461" s="225">
        <v>180</v>
      </c>
      <c r="F1461" t="s">
        <v>8768</v>
      </c>
      <c r="G1461" t="s">
        <v>8767</v>
      </c>
      <c r="H1461" t="s">
        <v>8717</v>
      </c>
      <c r="I1461" s="99">
        <v>44119</v>
      </c>
      <c r="J1461" s="99">
        <v>44141</v>
      </c>
      <c r="K1461" t="s">
        <v>8320</v>
      </c>
      <c r="L1461" t="s">
        <v>8321</v>
      </c>
    </row>
    <row r="1462" spans="2:12" x14ac:dyDescent="0.2">
      <c r="B1462">
        <v>10986</v>
      </c>
      <c r="C1462" t="s">
        <v>8397</v>
      </c>
      <c r="D1462" t="s">
        <v>8254</v>
      </c>
      <c r="E1462" s="225">
        <v>195</v>
      </c>
      <c r="F1462" t="s">
        <v>8768</v>
      </c>
      <c r="G1462" t="s">
        <v>8767</v>
      </c>
      <c r="H1462" t="s">
        <v>8717</v>
      </c>
      <c r="I1462" s="99">
        <v>44119</v>
      </c>
      <c r="J1462" s="99">
        <v>44141</v>
      </c>
      <c r="K1462" t="s">
        <v>8320</v>
      </c>
      <c r="L1462" t="s">
        <v>8321</v>
      </c>
    </row>
    <row r="1463" spans="2:12" x14ac:dyDescent="0.2">
      <c r="B1463">
        <v>10986</v>
      </c>
      <c r="C1463" t="s">
        <v>8260</v>
      </c>
      <c r="D1463" t="s">
        <v>8262</v>
      </c>
      <c r="E1463" s="225">
        <v>1215</v>
      </c>
      <c r="F1463" t="s">
        <v>8768</v>
      </c>
      <c r="G1463" t="s">
        <v>8767</v>
      </c>
      <c r="H1463" t="s">
        <v>8717</v>
      </c>
      <c r="I1463" s="99">
        <v>44119</v>
      </c>
      <c r="J1463" s="99">
        <v>44141</v>
      </c>
      <c r="K1463" t="s">
        <v>8320</v>
      </c>
      <c r="L1463" t="s">
        <v>8321</v>
      </c>
    </row>
    <row r="1464" spans="2:12" x14ac:dyDescent="0.2">
      <c r="B1464">
        <v>10986</v>
      </c>
      <c r="C1464" t="s">
        <v>8242</v>
      </c>
      <c r="D1464" t="s">
        <v>8237</v>
      </c>
      <c r="E1464" s="225">
        <v>630</v>
      </c>
      <c r="F1464" t="s">
        <v>8768</v>
      </c>
      <c r="G1464" t="s">
        <v>8767</v>
      </c>
      <c r="H1464" t="s">
        <v>8717</v>
      </c>
      <c r="I1464" s="99">
        <v>44119</v>
      </c>
      <c r="J1464" s="99">
        <v>44141</v>
      </c>
      <c r="K1464" t="s">
        <v>8320</v>
      </c>
      <c r="L1464" t="s">
        <v>8321</v>
      </c>
    </row>
    <row r="1465" spans="2:12" x14ac:dyDescent="0.2">
      <c r="B1465">
        <v>10987</v>
      </c>
      <c r="C1465" t="s">
        <v>8306</v>
      </c>
      <c r="D1465" t="s">
        <v>8272</v>
      </c>
      <c r="E1465" s="225">
        <v>276</v>
      </c>
      <c r="F1465" t="s">
        <v>8393</v>
      </c>
      <c r="G1465" t="s">
        <v>8394</v>
      </c>
      <c r="H1465" t="s">
        <v>2434</v>
      </c>
      <c r="I1465" s="99">
        <v>44120</v>
      </c>
      <c r="J1465" s="99">
        <v>44126</v>
      </c>
      <c r="K1465" t="s">
        <v>8320</v>
      </c>
      <c r="L1465" t="s">
        <v>8321</v>
      </c>
    </row>
    <row r="1466" spans="2:12" x14ac:dyDescent="0.2">
      <c r="B1466">
        <v>10987</v>
      </c>
      <c r="C1466" t="s">
        <v>8235</v>
      </c>
      <c r="D1466" t="s">
        <v>8237</v>
      </c>
      <c r="E1466" s="225">
        <v>696</v>
      </c>
      <c r="F1466" t="s">
        <v>8393</v>
      </c>
      <c r="G1466" t="s">
        <v>8394</v>
      </c>
      <c r="H1466" t="s">
        <v>2434</v>
      </c>
      <c r="I1466" s="99">
        <v>44120</v>
      </c>
      <c r="J1466" s="99">
        <v>44126</v>
      </c>
      <c r="K1466" t="s">
        <v>8320</v>
      </c>
      <c r="L1466" t="s">
        <v>8321</v>
      </c>
    </row>
    <row r="1467" spans="2:12" x14ac:dyDescent="0.2">
      <c r="B1467">
        <v>10987</v>
      </c>
      <c r="C1467" t="s">
        <v>8415</v>
      </c>
      <c r="D1467" t="s">
        <v>8247</v>
      </c>
      <c r="E1467" s="225">
        <v>1800</v>
      </c>
      <c r="F1467" t="s">
        <v>8393</v>
      </c>
      <c r="G1467" t="s">
        <v>8394</v>
      </c>
      <c r="H1467" t="s">
        <v>2434</v>
      </c>
      <c r="I1467" s="99">
        <v>44120</v>
      </c>
      <c r="J1467" s="99">
        <v>44126</v>
      </c>
      <c r="K1467" t="s">
        <v>8320</v>
      </c>
      <c r="L1467" t="s">
        <v>8321</v>
      </c>
    </row>
    <row r="1468" spans="2:12" x14ac:dyDescent="0.2">
      <c r="B1468">
        <v>10988</v>
      </c>
      <c r="C1468" t="s">
        <v>8291</v>
      </c>
      <c r="D1468" t="s">
        <v>8262</v>
      </c>
      <c r="E1468" s="225">
        <v>1774.8</v>
      </c>
      <c r="F1468" t="s">
        <v>8703</v>
      </c>
      <c r="G1468" t="s">
        <v>8702</v>
      </c>
      <c r="H1468" t="s">
        <v>8701</v>
      </c>
      <c r="I1468" s="99">
        <v>44120</v>
      </c>
      <c r="J1468" s="99">
        <v>44130</v>
      </c>
      <c r="K1468" t="s">
        <v>8257</v>
      </c>
      <c r="L1468" t="s">
        <v>6984</v>
      </c>
    </row>
    <row r="1469" spans="2:12" x14ac:dyDescent="0.2">
      <c r="B1469">
        <v>10988</v>
      </c>
      <c r="C1469" t="s">
        <v>8415</v>
      </c>
      <c r="D1469" t="s">
        <v>8247</v>
      </c>
      <c r="E1469" s="225">
        <v>1800</v>
      </c>
      <c r="F1469" t="s">
        <v>8703</v>
      </c>
      <c r="G1469" t="s">
        <v>8702</v>
      </c>
      <c r="H1469" t="s">
        <v>8701</v>
      </c>
      <c r="I1469" s="99">
        <v>44120</v>
      </c>
      <c r="J1469" s="99">
        <v>44130</v>
      </c>
      <c r="K1469" t="s">
        <v>8257</v>
      </c>
      <c r="L1469" t="s">
        <v>6984</v>
      </c>
    </row>
    <row r="1470" spans="2:12" x14ac:dyDescent="0.2">
      <c r="B1470">
        <v>10989</v>
      </c>
      <c r="C1470" t="s">
        <v>8351</v>
      </c>
      <c r="D1470" t="s">
        <v>8254</v>
      </c>
      <c r="E1470" s="225">
        <v>1000</v>
      </c>
      <c r="F1470" t="s">
        <v>8736</v>
      </c>
      <c r="G1470" t="s">
        <v>8735</v>
      </c>
      <c r="H1470" t="s">
        <v>8710</v>
      </c>
      <c r="I1470" s="99">
        <v>44120</v>
      </c>
      <c r="J1470" s="99">
        <v>44122</v>
      </c>
      <c r="K1470" t="s">
        <v>8297</v>
      </c>
      <c r="L1470" t="s">
        <v>8298</v>
      </c>
    </row>
    <row r="1471" spans="2:12" x14ac:dyDescent="0.2">
      <c r="B1471">
        <v>10989</v>
      </c>
      <c r="C1471" t="s">
        <v>8242</v>
      </c>
      <c r="D1471" t="s">
        <v>8237</v>
      </c>
      <c r="E1471" s="225">
        <v>315</v>
      </c>
      <c r="F1471" t="s">
        <v>8736</v>
      </c>
      <c r="G1471" t="s">
        <v>8735</v>
      </c>
      <c r="H1471" t="s">
        <v>8710</v>
      </c>
      <c r="I1471" s="99">
        <v>44120</v>
      </c>
      <c r="J1471" s="99">
        <v>44122</v>
      </c>
      <c r="K1471" t="s">
        <v>8297</v>
      </c>
      <c r="L1471" t="s">
        <v>8298</v>
      </c>
    </row>
    <row r="1472" spans="2:12" x14ac:dyDescent="0.2">
      <c r="B1472">
        <v>10990</v>
      </c>
      <c r="C1472" t="s">
        <v>8358</v>
      </c>
      <c r="D1472" t="s">
        <v>8272</v>
      </c>
      <c r="E1472" s="225">
        <v>714</v>
      </c>
      <c r="F1472" t="s">
        <v>8283</v>
      </c>
      <c r="G1472" t="s">
        <v>8284</v>
      </c>
      <c r="H1472" t="s">
        <v>8282</v>
      </c>
      <c r="I1472" s="99">
        <v>44121</v>
      </c>
      <c r="J1472" s="99">
        <v>44127</v>
      </c>
      <c r="K1472" t="s">
        <v>8297</v>
      </c>
      <c r="L1472" t="s">
        <v>8298</v>
      </c>
    </row>
    <row r="1473" spans="2:12" x14ac:dyDescent="0.2">
      <c r="B1473">
        <v>10990</v>
      </c>
      <c r="C1473" t="s">
        <v>8409</v>
      </c>
      <c r="D1473" t="s">
        <v>8254</v>
      </c>
      <c r="E1473" s="225">
        <v>1598.85</v>
      </c>
      <c r="F1473" t="s">
        <v>8283</v>
      </c>
      <c r="G1473" t="s">
        <v>8284</v>
      </c>
      <c r="H1473" t="s">
        <v>8282</v>
      </c>
      <c r="I1473" s="99">
        <v>44121</v>
      </c>
      <c r="J1473" s="99">
        <v>44127</v>
      </c>
      <c r="K1473" t="s">
        <v>8297</v>
      </c>
      <c r="L1473" t="s">
        <v>8298</v>
      </c>
    </row>
    <row r="1474" spans="2:12" x14ac:dyDescent="0.2">
      <c r="B1474">
        <v>10990</v>
      </c>
      <c r="C1474" t="s">
        <v>8368</v>
      </c>
      <c r="D1474" t="s">
        <v>8262</v>
      </c>
      <c r="E1474" s="225">
        <v>650</v>
      </c>
      <c r="F1474" t="s">
        <v>8283</v>
      </c>
      <c r="G1474" t="s">
        <v>8284</v>
      </c>
      <c r="H1474" t="s">
        <v>8282</v>
      </c>
      <c r="I1474" s="99">
        <v>44121</v>
      </c>
      <c r="J1474" s="99">
        <v>44127</v>
      </c>
      <c r="K1474" t="s">
        <v>8297</v>
      </c>
      <c r="L1474" t="s">
        <v>8298</v>
      </c>
    </row>
    <row r="1475" spans="2:12" x14ac:dyDescent="0.2">
      <c r="B1475">
        <v>10991</v>
      </c>
      <c r="C1475" t="s">
        <v>8276</v>
      </c>
      <c r="D1475" t="s">
        <v>8272</v>
      </c>
      <c r="E1475" s="225">
        <v>760</v>
      </c>
      <c r="F1475" t="s">
        <v>8307</v>
      </c>
      <c r="G1475" t="s">
        <v>8308</v>
      </c>
      <c r="H1475" t="s">
        <v>8246</v>
      </c>
      <c r="I1475" s="99">
        <v>44121</v>
      </c>
      <c r="J1475" s="99">
        <v>44127</v>
      </c>
      <c r="K1475" t="s">
        <v>8285</v>
      </c>
      <c r="L1475" t="s">
        <v>2317</v>
      </c>
    </row>
    <row r="1476" spans="2:12" x14ac:dyDescent="0.2">
      <c r="B1476">
        <v>10991</v>
      </c>
      <c r="C1476" t="s">
        <v>8288</v>
      </c>
      <c r="D1476" t="s">
        <v>8272</v>
      </c>
      <c r="E1476" s="225">
        <v>240</v>
      </c>
      <c r="F1476" t="s">
        <v>8307</v>
      </c>
      <c r="G1476" t="s">
        <v>8308</v>
      </c>
      <c r="H1476" t="s">
        <v>8246</v>
      </c>
      <c r="I1476" s="99">
        <v>44121</v>
      </c>
      <c r="J1476" s="99">
        <v>44127</v>
      </c>
      <c r="K1476" t="s">
        <v>8285</v>
      </c>
      <c r="L1476" t="s">
        <v>2317</v>
      </c>
    </row>
    <row r="1477" spans="2:12" x14ac:dyDescent="0.2">
      <c r="B1477">
        <v>10991</v>
      </c>
      <c r="C1477" t="s">
        <v>8303</v>
      </c>
      <c r="D1477" t="s">
        <v>8272</v>
      </c>
      <c r="E1477" s="225">
        <v>1296</v>
      </c>
      <c r="F1477" t="s">
        <v>8307</v>
      </c>
      <c r="G1477" t="s">
        <v>8308</v>
      </c>
      <c r="H1477" t="s">
        <v>8246</v>
      </c>
      <c r="I1477" s="99">
        <v>44121</v>
      </c>
      <c r="J1477" s="99">
        <v>44127</v>
      </c>
      <c r="K1477" t="s">
        <v>8285</v>
      </c>
      <c r="L1477" t="s">
        <v>2317</v>
      </c>
    </row>
    <row r="1478" spans="2:12" x14ac:dyDescent="0.2">
      <c r="B1478">
        <v>10992</v>
      </c>
      <c r="C1478" t="s">
        <v>8235</v>
      </c>
      <c r="D1478" t="s">
        <v>8237</v>
      </c>
      <c r="E1478" s="225">
        <v>69.599999999999994</v>
      </c>
      <c r="F1478" t="s">
        <v>8754</v>
      </c>
      <c r="G1478" t="s">
        <v>8753</v>
      </c>
      <c r="H1478" t="s">
        <v>8701</v>
      </c>
      <c r="I1478" s="99">
        <v>44121</v>
      </c>
      <c r="J1478" s="99">
        <v>44123</v>
      </c>
      <c r="K1478" t="s">
        <v>8285</v>
      </c>
      <c r="L1478" t="s">
        <v>2317</v>
      </c>
    </row>
    <row r="1479" spans="2:12" x14ac:dyDescent="0.2">
      <c r="B1479">
        <v>10994</v>
      </c>
      <c r="C1479" t="s">
        <v>8281</v>
      </c>
      <c r="D1479" t="s">
        <v>8237</v>
      </c>
      <c r="E1479" s="225">
        <v>940.5</v>
      </c>
      <c r="F1479" t="s">
        <v>8395</v>
      </c>
      <c r="G1479" t="s">
        <v>8396</v>
      </c>
      <c r="H1479" t="s">
        <v>8374</v>
      </c>
      <c r="I1479" s="99">
        <v>44122</v>
      </c>
      <c r="J1479" s="99">
        <v>44129</v>
      </c>
      <c r="K1479" t="s">
        <v>8297</v>
      </c>
      <c r="L1479" t="s">
        <v>8298</v>
      </c>
    </row>
    <row r="1480" spans="2:12" x14ac:dyDescent="0.2">
      <c r="B1480">
        <v>10995</v>
      </c>
      <c r="C1480" t="s">
        <v>8268</v>
      </c>
      <c r="D1480" t="s">
        <v>8237</v>
      </c>
      <c r="E1480" s="225">
        <v>136</v>
      </c>
      <c r="F1480" t="s">
        <v>8706</v>
      </c>
      <c r="G1480" t="s">
        <v>8705</v>
      </c>
      <c r="H1480" t="s">
        <v>8704</v>
      </c>
      <c r="I1480" s="99">
        <v>44122</v>
      </c>
      <c r="J1480" s="99">
        <v>44126</v>
      </c>
      <c r="K1480" t="s">
        <v>8285</v>
      </c>
      <c r="L1480" t="s">
        <v>2317</v>
      </c>
    </row>
    <row r="1481" spans="2:12" x14ac:dyDescent="0.2">
      <c r="B1481">
        <v>10995</v>
      </c>
      <c r="C1481" t="s">
        <v>8245</v>
      </c>
      <c r="D1481" t="s">
        <v>8247</v>
      </c>
      <c r="E1481" s="225">
        <v>1060</v>
      </c>
      <c r="F1481" t="s">
        <v>8706</v>
      </c>
      <c r="G1481" t="s">
        <v>8705</v>
      </c>
      <c r="H1481" t="s">
        <v>8704</v>
      </c>
      <c r="I1481" s="99">
        <v>44122</v>
      </c>
      <c r="J1481" s="99">
        <v>44126</v>
      </c>
      <c r="K1481" t="s">
        <v>8285</v>
      </c>
      <c r="L1481" t="s">
        <v>2317</v>
      </c>
    </row>
    <row r="1482" spans="2:12" x14ac:dyDescent="0.2">
      <c r="B1482">
        <v>10996</v>
      </c>
      <c r="C1482" t="s">
        <v>8243</v>
      </c>
      <c r="D1482" t="s">
        <v>8244</v>
      </c>
      <c r="E1482" s="225">
        <v>560</v>
      </c>
      <c r="F1482" t="s">
        <v>8307</v>
      </c>
      <c r="G1482" t="s">
        <v>8308</v>
      </c>
      <c r="H1482" t="s">
        <v>8246</v>
      </c>
      <c r="I1482" s="99">
        <v>44122</v>
      </c>
      <c r="J1482" s="99">
        <v>44130</v>
      </c>
      <c r="K1482" t="s">
        <v>8266</v>
      </c>
      <c r="L1482" t="s">
        <v>8267</v>
      </c>
    </row>
    <row r="1483" spans="2:12" x14ac:dyDescent="0.2">
      <c r="B1483">
        <v>10997</v>
      </c>
      <c r="C1483" t="s">
        <v>8287</v>
      </c>
      <c r="D1483" t="s">
        <v>8237</v>
      </c>
      <c r="E1483" s="225">
        <v>1600</v>
      </c>
      <c r="F1483" t="s">
        <v>8709</v>
      </c>
      <c r="G1483" t="s">
        <v>8708</v>
      </c>
      <c r="H1483" t="s">
        <v>8707</v>
      </c>
      <c r="I1483" s="99">
        <v>44123</v>
      </c>
      <c r="J1483" s="99">
        <v>44133</v>
      </c>
      <c r="K1483" t="s">
        <v>8320</v>
      </c>
      <c r="L1483" t="s">
        <v>8321</v>
      </c>
    </row>
    <row r="1484" spans="2:12" x14ac:dyDescent="0.2">
      <c r="B1484">
        <v>10997</v>
      </c>
      <c r="C1484" t="s">
        <v>8369</v>
      </c>
      <c r="D1484" t="s">
        <v>8244</v>
      </c>
      <c r="E1484" s="225">
        <v>105</v>
      </c>
      <c r="F1484" t="s">
        <v>8709</v>
      </c>
      <c r="G1484" t="s">
        <v>8708</v>
      </c>
      <c r="H1484" t="s">
        <v>8707</v>
      </c>
      <c r="I1484" s="99">
        <v>44123</v>
      </c>
      <c r="J1484" s="99">
        <v>44133</v>
      </c>
      <c r="K1484" t="s">
        <v>8320</v>
      </c>
      <c r="L1484" t="s">
        <v>8321</v>
      </c>
    </row>
    <row r="1485" spans="2:12" x14ac:dyDescent="0.2">
      <c r="B1485">
        <v>10998</v>
      </c>
      <c r="C1485" t="s">
        <v>8270</v>
      </c>
      <c r="D1485" t="s">
        <v>8272</v>
      </c>
      <c r="E1485" s="225">
        <v>54</v>
      </c>
      <c r="F1485" t="s">
        <v>8401</v>
      </c>
      <c r="G1485" t="s">
        <v>8402</v>
      </c>
      <c r="H1485" t="s">
        <v>8400</v>
      </c>
      <c r="I1485" s="99">
        <v>44123</v>
      </c>
      <c r="J1485" s="99">
        <v>44137</v>
      </c>
      <c r="K1485" t="s">
        <v>8320</v>
      </c>
      <c r="L1485" t="s">
        <v>8321</v>
      </c>
    </row>
    <row r="1486" spans="2:12" x14ac:dyDescent="0.2">
      <c r="B1486">
        <v>10998</v>
      </c>
      <c r="C1486" t="s">
        <v>8328</v>
      </c>
      <c r="D1486" t="s">
        <v>8272</v>
      </c>
      <c r="E1486" s="225">
        <v>232.5</v>
      </c>
      <c r="F1486" t="s">
        <v>8401</v>
      </c>
      <c r="G1486" t="s">
        <v>8402</v>
      </c>
      <c r="H1486" t="s">
        <v>8400</v>
      </c>
      <c r="I1486" s="99">
        <v>44123</v>
      </c>
      <c r="J1486" s="99">
        <v>44137</v>
      </c>
      <c r="K1486" t="s">
        <v>8320</v>
      </c>
      <c r="L1486" t="s">
        <v>8321</v>
      </c>
    </row>
    <row r="1487" spans="2:12" x14ac:dyDescent="0.2">
      <c r="B1487">
        <v>10998</v>
      </c>
      <c r="C1487" t="s">
        <v>8409</v>
      </c>
      <c r="D1487" t="s">
        <v>8254</v>
      </c>
      <c r="E1487" s="225">
        <v>199.5</v>
      </c>
      <c r="F1487" t="s">
        <v>8401</v>
      </c>
      <c r="G1487" t="s">
        <v>8402</v>
      </c>
      <c r="H1487" t="s">
        <v>8400</v>
      </c>
      <c r="I1487" s="99">
        <v>44123</v>
      </c>
      <c r="J1487" s="99">
        <v>44137</v>
      </c>
      <c r="K1487" t="s">
        <v>8320</v>
      </c>
      <c r="L1487" t="s">
        <v>8321</v>
      </c>
    </row>
    <row r="1488" spans="2:12" x14ac:dyDescent="0.2">
      <c r="B1488">
        <v>10998</v>
      </c>
      <c r="C1488" t="s">
        <v>8275</v>
      </c>
      <c r="D1488" t="s">
        <v>8247</v>
      </c>
      <c r="E1488" s="225">
        <v>200</v>
      </c>
      <c r="F1488" t="s">
        <v>8401</v>
      </c>
      <c r="G1488" t="s">
        <v>8402</v>
      </c>
      <c r="H1488" t="s">
        <v>8400</v>
      </c>
      <c r="I1488" s="99">
        <v>44123</v>
      </c>
      <c r="J1488" s="99">
        <v>44137</v>
      </c>
      <c r="K1488" t="s">
        <v>8320</v>
      </c>
      <c r="L1488" t="s">
        <v>8321</v>
      </c>
    </row>
    <row r="1489" spans="2:12" x14ac:dyDescent="0.2">
      <c r="B1489">
        <v>10999</v>
      </c>
      <c r="C1489" t="s">
        <v>8397</v>
      </c>
      <c r="D1489" t="s">
        <v>8254</v>
      </c>
      <c r="E1489" s="225">
        <v>259.35000000000002</v>
      </c>
      <c r="F1489" t="s">
        <v>8289</v>
      </c>
      <c r="G1489" t="s">
        <v>8290</v>
      </c>
      <c r="H1489" t="s">
        <v>8246</v>
      </c>
      <c r="I1489" s="99">
        <v>44123</v>
      </c>
      <c r="J1489" s="99">
        <v>44130</v>
      </c>
      <c r="K1489" t="s">
        <v>8251</v>
      </c>
      <c r="L1489" t="s">
        <v>269</v>
      </c>
    </row>
    <row r="1490" spans="2:12" x14ac:dyDescent="0.2">
      <c r="B1490">
        <v>10999</v>
      </c>
      <c r="C1490" t="s">
        <v>8245</v>
      </c>
      <c r="D1490" t="s">
        <v>8247</v>
      </c>
      <c r="E1490" s="225">
        <v>755.25</v>
      </c>
      <c r="F1490" t="s">
        <v>8289</v>
      </c>
      <c r="G1490" t="s">
        <v>8290</v>
      </c>
      <c r="H1490" t="s">
        <v>8246</v>
      </c>
      <c r="I1490" s="99">
        <v>44123</v>
      </c>
      <c r="J1490" s="99">
        <v>44130</v>
      </c>
      <c r="K1490" t="s">
        <v>8251</v>
      </c>
      <c r="L1490" t="s">
        <v>269</v>
      </c>
    </row>
    <row r="1491" spans="2:12" x14ac:dyDescent="0.2">
      <c r="B1491">
        <v>11000</v>
      </c>
      <c r="C1491" t="s">
        <v>8270</v>
      </c>
      <c r="D1491" t="s">
        <v>8272</v>
      </c>
      <c r="E1491" s="225">
        <v>101.25</v>
      </c>
      <c r="F1491" t="s">
        <v>8703</v>
      </c>
      <c r="G1491" t="s">
        <v>8702</v>
      </c>
      <c r="H1491" t="s">
        <v>8701</v>
      </c>
      <c r="I1491" s="99">
        <v>44126</v>
      </c>
      <c r="J1491" s="99">
        <v>44134</v>
      </c>
      <c r="K1491" t="s">
        <v>8297</v>
      </c>
      <c r="L1491" t="s">
        <v>8298</v>
      </c>
    </row>
    <row r="1492" spans="2:12" x14ac:dyDescent="0.2">
      <c r="B1492">
        <v>11000</v>
      </c>
      <c r="C1492" t="s">
        <v>8352</v>
      </c>
      <c r="D1492" t="s">
        <v>8254</v>
      </c>
      <c r="E1492" s="225">
        <v>412.5</v>
      </c>
      <c r="F1492" t="s">
        <v>8703</v>
      </c>
      <c r="G1492" t="s">
        <v>8702</v>
      </c>
      <c r="H1492" t="s">
        <v>8701</v>
      </c>
      <c r="I1492" s="99">
        <v>44126</v>
      </c>
      <c r="J1492" s="99">
        <v>44134</v>
      </c>
      <c r="K1492" t="s">
        <v>8297</v>
      </c>
      <c r="L1492" t="s">
        <v>8298</v>
      </c>
    </row>
    <row r="1493" spans="2:12" x14ac:dyDescent="0.2">
      <c r="B1493">
        <v>11000</v>
      </c>
      <c r="C1493" t="s">
        <v>8397</v>
      </c>
      <c r="D1493" t="s">
        <v>8254</v>
      </c>
      <c r="E1493" s="225">
        <v>390</v>
      </c>
      <c r="F1493" t="s">
        <v>8703</v>
      </c>
      <c r="G1493" t="s">
        <v>8702</v>
      </c>
      <c r="H1493" t="s">
        <v>8701</v>
      </c>
      <c r="I1493" s="99">
        <v>44126</v>
      </c>
      <c r="J1493" s="99">
        <v>44134</v>
      </c>
      <c r="K1493" t="s">
        <v>8297</v>
      </c>
      <c r="L1493" t="s">
        <v>8298</v>
      </c>
    </row>
    <row r="1494" spans="2:12" x14ac:dyDescent="0.2">
      <c r="B1494">
        <v>11001</v>
      </c>
      <c r="C1494" t="s">
        <v>8259</v>
      </c>
      <c r="D1494" t="s">
        <v>8244</v>
      </c>
      <c r="E1494" s="225">
        <v>525</v>
      </c>
      <c r="F1494" t="s">
        <v>8293</v>
      </c>
      <c r="G1494" t="s">
        <v>8294</v>
      </c>
      <c r="H1494" t="s">
        <v>8292</v>
      </c>
      <c r="I1494" s="99">
        <v>44126</v>
      </c>
      <c r="J1494" s="99">
        <v>44134</v>
      </c>
      <c r="K1494" t="s">
        <v>8297</v>
      </c>
      <c r="L1494" t="s">
        <v>8298</v>
      </c>
    </row>
    <row r="1495" spans="2:12" x14ac:dyDescent="0.2">
      <c r="B1495">
        <v>11001</v>
      </c>
      <c r="C1495" t="s">
        <v>8415</v>
      </c>
      <c r="D1495" t="s">
        <v>8247</v>
      </c>
      <c r="E1495" s="225">
        <v>1800</v>
      </c>
      <c r="F1495" t="s">
        <v>8293</v>
      </c>
      <c r="G1495" t="s">
        <v>8294</v>
      </c>
      <c r="H1495" t="s">
        <v>8292</v>
      </c>
      <c r="I1495" s="99">
        <v>44126</v>
      </c>
      <c r="J1495" s="99">
        <v>44134</v>
      </c>
      <c r="K1495" t="s">
        <v>8297</v>
      </c>
      <c r="L1495" t="s">
        <v>8298</v>
      </c>
    </row>
    <row r="1496" spans="2:12" x14ac:dyDescent="0.2">
      <c r="B1496">
        <v>11002</v>
      </c>
      <c r="C1496" t="s">
        <v>8323</v>
      </c>
      <c r="D1496" t="s">
        <v>8272</v>
      </c>
      <c r="E1496" s="225">
        <v>229.5</v>
      </c>
      <c r="F1496" t="s">
        <v>8758</v>
      </c>
      <c r="G1496" t="s">
        <v>8757</v>
      </c>
      <c r="H1496" t="s">
        <v>8701</v>
      </c>
      <c r="I1496" s="99">
        <v>44126</v>
      </c>
      <c r="J1496" s="99">
        <v>44136</v>
      </c>
      <c r="K1496" t="s">
        <v>8266</v>
      </c>
      <c r="L1496" t="s">
        <v>8267</v>
      </c>
    </row>
    <row r="1497" spans="2:12" x14ac:dyDescent="0.2">
      <c r="B1497">
        <v>11002</v>
      </c>
      <c r="C1497" t="s">
        <v>8243</v>
      </c>
      <c r="D1497" t="s">
        <v>8244</v>
      </c>
      <c r="E1497" s="225">
        <v>285.60000000000002</v>
      </c>
      <c r="F1497" t="s">
        <v>8758</v>
      </c>
      <c r="G1497" t="s">
        <v>8757</v>
      </c>
      <c r="H1497" t="s">
        <v>8701</v>
      </c>
      <c r="I1497" s="99">
        <v>44126</v>
      </c>
      <c r="J1497" s="99">
        <v>44136</v>
      </c>
      <c r="K1497" t="s">
        <v>8266</v>
      </c>
      <c r="L1497" t="s">
        <v>8267</v>
      </c>
    </row>
    <row r="1498" spans="2:12" x14ac:dyDescent="0.2">
      <c r="B1498">
        <v>11003</v>
      </c>
      <c r="C1498" t="s">
        <v>8333</v>
      </c>
      <c r="D1498" t="s">
        <v>8272</v>
      </c>
      <c r="E1498" s="225">
        <v>72</v>
      </c>
      <c r="F1498" t="s">
        <v>8780</v>
      </c>
      <c r="G1498" t="s">
        <v>8779</v>
      </c>
      <c r="H1498" t="s">
        <v>8701</v>
      </c>
      <c r="I1498" s="99">
        <v>44126</v>
      </c>
      <c r="J1498" s="99">
        <v>44128</v>
      </c>
      <c r="K1498" t="s">
        <v>8257</v>
      </c>
      <c r="L1498" t="s">
        <v>6984</v>
      </c>
    </row>
    <row r="1499" spans="2:12" x14ac:dyDescent="0.2">
      <c r="B1499">
        <v>11003</v>
      </c>
      <c r="C1499" t="s">
        <v>8369</v>
      </c>
      <c r="D1499" t="s">
        <v>8244</v>
      </c>
      <c r="E1499" s="225">
        <v>70</v>
      </c>
      <c r="F1499" t="s">
        <v>8780</v>
      </c>
      <c r="G1499" t="s">
        <v>8779</v>
      </c>
      <c r="H1499" t="s">
        <v>8701</v>
      </c>
      <c r="I1499" s="99">
        <v>44126</v>
      </c>
      <c r="J1499" s="99">
        <v>44128</v>
      </c>
      <c r="K1499" t="s">
        <v>8257</v>
      </c>
      <c r="L1499" t="s">
        <v>6984</v>
      </c>
    </row>
    <row r="1500" spans="2:12" x14ac:dyDescent="0.2">
      <c r="B1500">
        <v>11004</v>
      </c>
      <c r="C1500" t="s">
        <v>8303</v>
      </c>
      <c r="D1500" t="s">
        <v>8272</v>
      </c>
      <c r="E1500" s="225">
        <v>108</v>
      </c>
      <c r="F1500" t="s">
        <v>8420</v>
      </c>
      <c r="G1500" t="s">
        <v>8421</v>
      </c>
      <c r="H1500" t="s">
        <v>8261</v>
      </c>
      <c r="I1500" s="99">
        <v>44127</v>
      </c>
      <c r="J1500" s="99">
        <v>44140</v>
      </c>
      <c r="K1500" t="s">
        <v>8257</v>
      </c>
      <c r="L1500" t="s">
        <v>6984</v>
      </c>
    </row>
    <row r="1501" spans="2:12" x14ac:dyDescent="0.2">
      <c r="B1501">
        <v>11004</v>
      </c>
      <c r="C1501" t="s">
        <v>8372</v>
      </c>
      <c r="D1501" t="s">
        <v>8262</v>
      </c>
      <c r="E1501" s="225">
        <v>187.38</v>
      </c>
      <c r="F1501" t="s">
        <v>8420</v>
      </c>
      <c r="G1501" t="s">
        <v>8421</v>
      </c>
      <c r="H1501" t="s">
        <v>8261</v>
      </c>
      <c r="I1501" s="99">
        <v>44127</v>
      </c>
      <c r="J1501" s="99">
        <v>44140</v>
      </c>
      <c r="K1501" t="s">
        <v>8257</v>
      </c>
      <c r="L1501" t="s">
        <v>6984</v>
      </c>
    </row>
    <row r="1502" spans="2:12" x14ac:dyDescent="0.2">
      <c r="B1502">
        <v>11005</v>
      </c>
      <c r="C1502" t="s">
        <v>8333</v>
      </c>
      <c r="D1502" t="s">
        <v>8272</v>
      </c>
      <c r="E1502" s="225">
        <v>36</v>
      </c>
      <c r="F1502" t="s">
        <v>8426</v>
      </c>
      <c r="G1502" t="s">
        <v>8427</v>
      </c>
      <c r="H1502" t="s">
        <v>8300</v>
      </c>
      <c r="I1502" s="99">
        <v>44127</v>
      </c>
      <c r="J1502" s="99">
        <v>44130</v>
      </c>
      <c r="K1502" t="s">
        <v>8297</v>
      </c>
      <c r="L1502" t="s">
        <v>8298</v>
      </c>
    </row>
    <row r="1503" spans="2:12" x14ac:dyDescent="0.2">
      <c r="B1503">
        <v>11005</v>
      </c>
      <c r="C1503" t="s">
        <v>8281</v>
      </c>
      <c r="D1503" t="s">
        <v>8237</v>
      </c>
      <c r="E1503" s="225">
        <v>550</v>
      </c>
      <c r="F1503" t="s">
        <v>8426</v>
      </c>
      <c r="G1503" t="s">
        <v>8427</v>
      </c>
      <c r="H1503" t="s">
        <v>8300</v>
      </c>
      <c r="I1503" s="99">
        <v>44127</v>
      </c>
      <c r="J1503" s="99">
        <v>44130</v>
      </c>
      <c r="K1503" t="s">
        <v>8297</v>
      </c>
      <c r="L1503" t="s">
        <v>8298</v>
      </c>
    </row>
    <row r="1504" spans="2:12" x14ac:dyDescent="0.2">
      <c r="B1504">
        <v>11006</v>
      </c>
      <c r="C1504" t="s">
        <v>8333</v>
      </c>
      <c r="D1504" t="s">
        <v>8272</v>
      </c>
      <c r="E1504" s="225">
        <v>144</v>
      </c>
      <c r="F1504" t="s">
        <v>8714</v>
      </c>
      <c r="G1504" t="s">
        <v>8713</v>
      </c>
      <c r="H1504" t="s">
        <v>8701</v>
      </c>
      <c r="I1504" s="99">
        <v>44127</v>
      </c>
      <c r="J1504" s="99">
        <v>44135</v>
      </c>
      <c r="K1504" t="s">
        <v>8257</v>
      </c>
      <c r="L1504" t="s">
        <v>6984</v>
      </c>
    </row>
    <row r="1505" spans="2:12" x14ac:dyDescent="0.2">
      <c r="B1505">
        <v>11007</v>
      </c>
      <c r="C1505" t="s">
        <v>8379</v>
      </c>
      <c r="D1505" t="s">
        <v>8254</v>
      </c>
      <c r="E1505" s="225">
        <v>1200</v>
      </c>
      <c r="F1505" t="s">
        <v>8370</v>
      </c>
      <c r="G1505" t="s">
        <v>8371</v>
      </c>
      <c r="H1505" t="s">
        <v>8365</v>
      </c>
      <c r="I1505" s="99">
        <v>44128</v>
      </c>
      <c r="J1505" s="99">
        <v>44133</v>
      </c>
      <c r="K1505" t="s">
        <v>8320</v>
      </c>
      <c r="L1505" t="s">
        <v>8321</v>
      </c>
    </row>
    <row r="1506" spans="2:12" x14ac:dyDescent="0.2">
      <c r="B1506">
        <v>11007</v>
      </c>
      <c r="C1506" t="s">
        <v>8243</v>
      </c>
      <c r="D1506" t="s">
        <v>8244</v>
      </c>
      <c r="E1506" s="225">
        <v>196</v>
      </c>
      <c r="F1506" t="s">
        <v>8370</v>
      </c>
      <c r="G1506" t="s">
        <v>8371</v>
      </c>
      <c r="H1506" t="s">
        <v>8365</v>
      </c>
      <c r="I1506" s="99">
        <v>44128</v>
      </c>
      <c r="J1506" s="99">
        <v>44133</v>
      </c>
      <c r="K1506" t="s">
        <v>8320</v>
      </c>
      <c r="L1506" t="s">
        <v>8321</v>
      </c>
    </row>
    <row r="1507" spans="2:12" x14ac:dyDescent="0.2">
      <c r="B1507">
        <v>11008</v>
      </c>
      <c r="C1507" t="s">
        <v>8358</v>
      </c>
      <c r="D1507" t="s">
        <v>8272</v>
      </c>
      <c r="E1507" s="225">
        <v>1197</v>
      </c>
      <c r="F1507" t="s">
        <v>8283</v>
      </c>
      <c r="G1507" t="s">
        <v>8284</v>
      </c>
      <c r="H1507" t="s">
        <v>8282</v>
      </c>
      <c r="I1507" s="99">
        <v>44128</v>
      </c>
      <c r="K1507" t="s">
        <v>8158</v>
      </c>
      <c r="L1507" t="s">
        <v>861</v>
      </c>
    </row>
    <row r="1508" spans="2:12" x14ac:dyDescent="0.2">
      <c r="B1508">
        <v>11008</v>
      </c>
      <c r="C1508" t="s">
        <v>8310</v>
      </c>
      <c r="D1508" t="s">
        <v>8237</v>
      </c>
      <c r="E1508" s="225">
        <v>451.5</v>
      </c>
      <c r="F1508" t="s">
        <v>8283</v>
      </c>
      <c r="G1508" t="s">
        <v>8284</v>
      </c>
      <c r="H1508" t="s">
        <v>8282</v>
      </c>
      <c r="I1508" s="99">
        <v>44128</v>
      </c>
      <c r="K1508" t="s">
        <v>8158</v>
      </c>
      <c r="L1508" t="s">
        <v>861</v>
      </c>
    </row>
    <row r="1509" spans="2:12" x14ac:dyDescent="0.2">
      <c r="B1509">
        <v>11008</v>
      </c>
      <c r="C1509" t="s">
        <v>8316</v>
      </c>
      <c r="D1509" t="s">
        <v>8247</v>
      </c>
      <c r="E1509" s="225">
        <v>3032.4</v>
      </c>
      <c r="F1509" t="s">
        <v>8283</v>
      </c>
      <c r="G1509" t="s">
        <v>8284</v>
      </c>
      <c r="H1509" t="s">
        <v>8282</v>
      </c>
      <c r="I1509" s="99">
        <v>44128</v>
      </c>
      <c r="K1509" t="s">
        <v>8158</v>
      </c>
      <c r="L1509" t="s">
        <v>861</v>
      </c>
    </row>
    <row r="1510" spans="2:12" x14ac:dyDescent="0.2">
      <c r="B1510">
        <v>11009</v>
      </c>
      <c r="C1510" t="s">
        <v>8270</v>
      </c>
      <c r="D1510" t="s">
        <v>8272</v>
      </c>
      <c r="E1510" s="225">
        <v>54</v>
      </c>
      <c r="F1510" t="s">
        <v>8349</v>
      </c>
      <c r="G1510" t="s">
        <v>8350</v>
      </c>
      <c r="H1510" t="s">
        <v>8324</v>
      </c>
      <c r="I1510" s="99">
        <v>44128</v>
      </c>
      <c r="J1510" s="99">
        <v>44130</v>
      </c>
      <c r="K1510" t="s">
        <v>8297</v>
      </c>
      <c r="L1510" t="s">
        <v>8298</v>
      </c>
    </row>
    <row r="1511" spans="2:12" x14ac:dyDescent="0.2">
      <c r="B1511">
        <v>11009</v>
      </c>
      <c r="C1511" t="s">
        <v>8268</v>
      </c>
      <c r="D1511" t="s">
        <v>8237</v>
      </c>
      <c r="E1511" s="225">
        <v>306</v>
      </c>
      <c r="F1511" t="s">
        <v>8349</v>
      </c>
      <c r="G1511" t="s">
        <v>8350</v>
      </c>
      <c r="H1511" t="s">
        <v>8324</v>
      </c>
      <c r="I1511" s="99">
        <v>44128</v>
      </c>
      <c r="J1511" s="99">
        <v>44130</v>
      </c>
      <c r="K1511" t="s">
        <v>8297</v>
      </c>
      <c r="L1511" t="s">
        <v>8298</v>
      </c>
    </row>
    <row r="1512" spans="2:12" x14ac:dyDescent="0.2">
      <c r="B1512">
        <v>11010</v>
      </c>
      <c r="C1512" t="s">
        <v>8270</v>
      </c>
      <c r="D1512" t="s">
        <v>8272</v>
      </c>
      <c r="E1512" s="225">
        <v>45</v>
      </c>
      <c r="F1512" t="s">
        <v>8335</v>
      </c>
      <c r="G1512" t="s">
        <v>8336</v>
      </c>
      <c r="H1512" t="s">
        <v>8311</v>
      </c>
      <c r="I1512" s="99">
        <v>44129</v>
      </c>
      <c r="J1512" s="99">
        <v>44141</v>
      </c>
      <c r="K1512" t="s">
        <v>8297</v>
      </c>
      <c r="L1512" t="s">
        <v>8298</v>
      </c>
    </row>
    <row r="1513" spans="2:12" x14ac:dyDescent="0.2">
      <c r="B1513">
        <v>11010</v>
      </c>
      <c r="C1513" t="s">
        <v>8415</v>
      </c>
      <c r="D1513" t="s">
        <v>8247</v>
      </c>
      <c r="E1513" s="225">
        <v>600</v>
      </c>
      <c r="F1513" t="s">
        <v>8335</v>
      </c>
      <c r="G1513" t="s">
        <v>8336</v>
      </c>
      <c r="H1513" t="s">
        <v>8311</v>
      </c>
      <c r="I1513" s="99">
        <v>44129</v>
      </c>
      <c r="J1513" s="99">
        <v>44141</v>
      </c>
      <c r="K1513" t="s">
        <v>8297</v>
      </c>
      <c r="L1513" t="s">
        <v>8298</v>
      </c>
    </row>
    <row r="1514" spans="2:12" x14ac:dyDescent="0.2">
      <c r="B1514">
        <v>11011</v>
      </c>
      <c r="C1514" t="s">
        <v>8310</v>
      </c>
      <c r="D1514" t="s">
        <v>8237</v>
      </c>
      <c r="E1514" s="225">
        <v>430</v>
      </c>
      <c r="F1514" t="s">
        <v>8422</v>
      </c>
      <c r="G1514" t="s">
        <v>8423</v>
      </c>
      <c r="H1514" t="s">
        <v>8246</v>
      </c>
      <c r="I1514" s="99">
        <v>44129</v>
      </c>
      <c r="J1514" s="99">
        <v>44133</v>
      </c>
      <c r="K1514" t="s">
        <v>8257</v>
      </c>
      <c r="L1514" t="s">
        <v>6984</v>
      </c>
    </row>
    <row r="1515" spans="2:12" x14ac:dyDescent="0.2">
      <c r="B1515">
        <v>11012</v>
      </c>
      <c r="C1515" t="s">
        <v>8327</v>
      </c>
      <c r="D1515" t="s">
        <v>8262</v>
      </c>
      <c r="E1515" s="225">
        <v>437</v>
      </c>
      <c r="F1515" t="s">
        <v>8304</v>
      </c>
      <c r="G1515" t="s">
        <v>8305</v>
      </c>
      <c r="H1515" t="s">
        <v>8246</v>
      </c>
      <c r="I1515" s="99">
        <v>44129</v>
      </c>
      <c r="J1515" s="99">
        <v>44137</v>
      </c>
      <c r="K1515" t="s">
        <v>8285</v>
      </c>
      <c r="L1515" t="s">
        <v>2317</v>
      </c>
    </row>
    <row r="1516" spans="2:12" x14ac:dyDescent="0.2">
      <c r="B1516">
        <v>11012</v>
      </c>
      <c r="C1516" t="s">
        <v>8268</v>
      </c>
      <c r="D1516" t="s">
        <v>8237</v>
      </c>
      <c r="E1516" s="225">
        <v>1162.8</v>
      </c>
      <c r="F1516" t="s">
        <v>8304</v>
      </c>
      <c r="G1516" t="s">
        <v>8305</v>
      </c>
      <c r="H1516" t="s">
        <v>8246</v>
      </c>
      <c r="I1516" s="99">
        <v>44129</v>
      </c>
      <c r="J1516" s="99">
        <v>44137</v>
      </c>
      <c r="K1516" t="s">
        <v>8285</v>
      </c>
      <c r="L1516" t="s">
        <v>2317</v>
      </c>
    </row>
    <row r="1517" spans="2:12" x14ac:dyDescent="0.2">
      <c r="B1517">
        <v>11012</v>
      </c>
      <c r="C1517" t="s">
        <v>8310</v>
      </c>
      <c r="D1517" t="s">
        <v>8237</v>
      </c>
      <c r="E1517" s="225">
        <v>1225.5</v>
      </c>
      <c r="F1517" t="s">
        <v>8304</v>
      </c>
      <c r="G1517" t="s">
        <v>8305</v>
      </c>
      <c r="H1517" t="s">
        <v>8246</v>
      </c>
      <c r="I1517" s="99">
        <v>44129</v>
      </c>
      <c r="J1517" s="99">
        <v>44137</v>
      </c>
      <c r="K1517" t="s">
        <v>8285</v>
      </c>
      <c r="L1517" t="s">
        <v>2317</v>
      </c>
    </row>
    <row r="1518" spans="2:12" x14ac:dyDescent="0.2">
      <c r="B1518">
        <v>11013</v>
      </c>
      <c r="C1518" t="s">
        <v>8334</v>
      </c>
      <c r="D1518" t="s">
        <v>8262</v>
      </c>
      <c r="E1518" s="225">
        <v>25</v>
      </c>
      <c r="F1518" t="s">
        <v>8325</v>
      </c>
      <c r="G1518" t="s">
        <v>8326</v>
      </c>
      <c r="H1518" t="s">
        <v>8324</v>
      </c>
      <c r="I1518" s="99">
        <v>44129</v>
      </c>
      <c r="J1518" s="99">
        <v>44130</v>
      </c>
      <c r="K1518" t="s">
        <v>8297</v>
      </c>
      <c r="L1518" t="s">
        <v>8298</v>
      </c>
    </row>
    <row r="1519" spans="2:12" x14ac:dyDescent="0.2">
      <c r="B1519">
        <v>11013</v>
      </c>
      <c r="C1519" t="s">
        <v>8373</v>
      </c>
      <c r="D1519" t="s">
        <v>8244</v>
      </c>
      <c r="E1519" s="225">
        <v>90</v>
      </c>
      <c r="F1519" t="s">
        <v>8325</v>
      </c>
      <c r="G1519" t="s">
        <v>8326</v>
      </c>
      <c r="H1519" t="s">
        <v>8324</v>
      </c>
      <c r="I1519" s="99">
        <v>44129</v>
      </c>
      <c r="J1519" s="99">
        <v>44130</v>
      </c>
      <c r="K1519" t="s">
        <v>8297</v>
      </c>
      <c r="L1519" t="s">
        <v>8298</v>
      </c>
    </row>
    <row r="1520" spans="2:12" x14ac:dyDescent="0.2">
      <c r="B1520">
        <v>11013</v>
      </c>
      <c r="C1520" t="s">
        <v>8243</v>
      </c>
      <c r="D1520" t="s">
        <v>8244</v>
      </c>
      <c r="E1520" s="225">
        <v>56</v>
      </c>
      <c r="F1520" t="s">
        <v>8325</v>
      </c>
      <c r="G1520" t="s">
        <v>8326</v>
      </c>
      <c r="H1520" t="s">
        <v>8324</v>
      </c>
      <c r="I1520" s="99">
        <v>44129</v>
      </c>
      <c r="J1520" s="99">
        <v>44130</v>
      </c>
      <c r="K1520" t="s">
        <v>8297</v>
      </c>
      <c r="L1520" t="s">
        <v>8298</v>
      </c>
    </row>
    <row r="1521" spans="2:12" x14ac:dyDescent="0.2">
      <c r="B1521">
        <v>11015</v>
      </c>
      <c r="C1521" t="s">
        <v>8397</v>
      </c>
      <c r="D1521" t="s">
        <v>8254</v>
      </c>
      <c r="E1521" s="225">
        <v>234</v>
      </c>
      <c r="F1521" t="s">
        <v>8404</v>
      </c>
      <c r="G1521" t="s">
        <v>8405</v>
      </c>
      <c r="H1521" t="s">
        <v>8403</v>
      </c>
      <c r="I1521" s="99">
        <v>44130</v>
      </c>
      <c r="J1521" s="99">
        <v>44140</v>
      </c>
      <c r="K1521" t="s">
        <v>8297</v>
      </c>
      <c r="L1521" t="s">
        <v>8298</v>
      </c>
    </row>
    <row r="1522" spans="2:12" x14ac:dyDescent="0.2">
      <c r="B1522">
        <v>11016</v>
      </c>
      <c r="C1522" t="s">
        <v>8309</v>
      </c>
      <c r="D1522" t="s">
        <v>8237</v>
      </c>
      <c r="E1522" s="225">
        <v>187.5</v>
      </c>
      <c r="F1522" t="s">
        <v>8386</v>
      </c>
      <c r="G1522" t="s">
        <v>8387</v>
      </c>
      <c r="H1522" t="s">
        <v>2434</v>
      </c>
      <c r="I1522" s="99">
        <v>44130</v>
      </c>
      <c r="J1522" s="99">
        <v>44133</v>
      </c>
      <c r="K1522" t="s">
        <v>8279</v>
      </c>
      <c r="L1522" t="s">
        <v>710</v>
      </c>
    </row>
    <row r="1523" spans="2:12" x14ac:dyDescent="0.2">
      <c r="B1523">
        <v>11017</v>
      </c>
      <c r="C1523" t="s">
        <v>8288</v>
      </c>
      <c r="D1523" t="s">
        <v>8272</v>
      </c>
      <c r="E1523" s="225">
        <v>450</v>
      </c>
      <c r="F1523" t="s">
        <v>8283</v>
      </c>
      <c r="G1523" t="s">
        <v>8284</v>
      </c>
      <c r="H1523" t="s">
        <v>8282</v>
      </c>
      <c r="I1523" s="99">
        <v>44133</v>
      </c>
      <c r="J1523" s="99">
        <v>44140</v>
      </c>
      <c r="K1523" t="s">
        <v>8279</v>
      </c>
      <c r="L1523" t="s">
        <v>710</v>
      </c>
    </row>
    <row r="1524" spans="2:12" x14ac:dyDescent="0.2">
      <c r="B1524">
        <v>11017</v>
      </c>
      <c r="C1524" t="s">
        <v>8337</v>
      </c>
      <c r="D1524" t="s">
        <v>8254</v>
      </c>
      <c r="E1524" s="225">
        <v>250</v>
      </c>
      <c r="F1524" t="s">
        <v>8283</v>
      </c>
      <c r="G1524" t="s">
        <v>8284</v>
      </c>
      <c r="H1524" t="s">
        <v>8282</v>
      </c>
      <c r="I1524" s="99">
        <v>44133</v>
      </c>
      <c r="J1524" s="99">
        <v>44140</v>
      </c>
      <c r="K1524" t="s">
        <v>8279</v>
      </c>
      <c r="L1524" t="s">
        <v>710</v>
      </c>
    </row>
    <row r="1525" spans="2:12" x14ac:dyDescent="0.2">
      <c r="B1525">
        <v>11017</v>
      </c>
      <c r="C1525" t="s">
        <v>8281</v>
      </c>
      <c r="D1525" t="s">
        <v>8237</v>
      </c>
      <c r="E1525" s="225">
        <v>6050</v>
      </c>
      <c r="F1525" t="s">
        <v>8283</v>
      </c>
      <c r="G1525" t="s">
        <v>8284</v>
      </c>
      <c r="H1525" t="s">
        <v>8282</v>
      </c>
      <c r="I1525" s="99">
        <v>44133</v>
      </c>
      <c r="J1525" s="99">
        <v>44140</v>
      </c>
      <c r="K1525" t="s">
        <v>8279</v>
      </c>
      <c r="L1525" t="s">
        <v>710</v>
      </c>
    </row>
    <row r="1526" spans="2:12" x14ac:dyDescent="0.2">
      <c r="B1526">
        <v>11018</v>
      </c>
      <c r="C1526" t="s">
        <v>8299</v>
      </c>
      <c r="D1526" t="s">
        <v>8237</v>
      </c>
      <c r="E1526" s="225">
        <v>760</v>
      </c>
      <c r="F1526" t="s">
        <v>8752</v>
      </c>
      <c r="G1526" t="s">
        <v>8751</v>
      </c>
      <c r="H1526" t="s">
        <v>8701</v>
      </c>
      <c r="I1526" s="99">
        <v>44133</v>
      </c>
      <c r="J1526" s="99">
        <v>44136</v>
      </c>
      <c r="K1526" t="s">
        <v>8266</v>
      </c>
      <c r="L1526" t="s">
        <v>8267</v>
      </c>
    </row>
    <row r="1527" spans="2:12" x14ac:dyDescent="0.2">
      <c r="B1527">
        <v>11018</v>
      </c>
      <c r="C1527" t="s">
        <v>8341</v>
      </c>
      <c r="D1527" t="s">
        <v>8244</v>
      </c>
      <c r="E1527" s="225">
        <v>190</v>
      </c>
      <c r="F1527" t="s">
        <v>8752</v>
      </c>
      <c r="G1527" t="s">
        <v>8751</v>
      </c>
      <c r="H1527" t="s">
        <v>8701</v>
      </c>
      <c r="I1527" s="99">
        <v>44133</v>
      </c>
      <c r="J1527" s="99">
        <v>44136</v>
      </c>
      <c r="K1527" t="s">
        <v>8266</v>
      </c>
      <c r="L1527" t="s">
        <v>8267</v>
      </c>
    </row>
    <row r="1528" spans="2:12" x14ac:dyDescent="0.2">
      <c r="B1528">
        <v>11019</v>
      </c>
      <c r="C1528" t="s">
        <v>8390</v>
      </c>
      <c r="D1528" t="s">
        <v>8262</v>
      </c>
      <c r="E1528" s="225">
        <v>40</v>
      </c>
      <c r="F1528" t="s">
        <v>8726</v>
      </c>
      <c r="G1528" t="s">
        <v>8725</v>
      </c>
      <c r="H1528" t="s">
        <v>8717</v>
      </c>
      <c r="I1528" s="99">
        <v>44133</v>
      </c>
      <c r="K1528" t="s">
        <v>8251</v>
      </c>
      <c r="L1528" t="s">
        <v>269</v>
      </c>
    </row>
    <row r="1529" spans="2:12" x14ac:dyDescent="0.2">
      <c r="B1529">
        <v>11021</v>
      </c>
      <c r="C1529" t="s">
        <v>8276</v>
      </c>
      <c r="D1529" t="s">
        <v>8272</v>
      </c>
      <c r="E1529" s="225">
        <v>156.75</v>
      </c>
      <c r="F1529" t="s">
        <v>8307</v>
      </c>
      <c r="G1529" t="s">
        <v>8308</v>
      </c>
      <c r="H1529" t="s">
        <v>8246</v>
      </c>
      <c r="I1529" s="99">
        <v>44134</v>
      </c>
      <c r="J1529" s="99">
        <v>44141</v>
      </c>
      <c r="K1529" t="s">
        <v>8257</v>
      </c>
      <c r="L1529" t="s">
        <v>6984</v>
      </c>
    </row>
    <row r="1530" spans="2:12" x14ac:dyDescent="0.2">
      <c r="B1530">
        <v>11021</v>
      </c>
      <c r="C1530" t="s">
        <v>8260</v>
      </c>
      <c r="D1530" t="s">
        <v>8262</v>
      </c>
      <c r="E1530" s="225">
        <v>1215</v>
      </c>
      <c r="F1530" t="s">
        <v>8307</v>
      </c>
      <c r="G1530" t="s">
        <v>8308</v>
      </c>
      <c r="H1530" t="s">
        <v>8246</v>
      </c>
      <c r="I1530" s="99">
        <v>44134</v>
      </c>
      <c r="J1530" s="99">
        <v>44141</v>
      </c>
      <c r="K1530" t="s">
        <v>8257</v>
      </c>
      <c r="L1530" t="s">
        <v>6984</v>
      </c>
    </row>
    <row r="1531" spans="2:12" x14ac:dyDescent="0.2">
      <c r="B1531">
        <v>11021</v>
      </c>
      <c r="C1531" t="s">
        <v>8372</v>
      </c>
      <c r="D1531" t="s">
        <v>8262</v>
      </c>
      <c r="E1531" s="225">
        <v>1967.49</v>
      </c>
      <c r="F1531" t="s">
        <v>8307</v>
      </c>
      <c r="G1531" t="s">
        <v>8308</v>
      </c>
      <c r="H1531" t="s">
        <v>8246</v>
      </c>
      <c r="I1531" s="99">
        <v>44134</v>
      </c>
      <c r="J1531" s="99">
        <v>44141</v>
      </c>
      <c r="K1531" t="s">
        <v>8257</v>
      </c>
      <c r="L1531" t="s">
        <v>6984</v>
      </c>
    </row>
    <row r="1532" spans="2:12" x14ac:dyDescent="0.2">
      <c r="B1532">
        <v>11021</v>
      </c>
      <c r="C1532" t="s">
        <v>8235</v>
      </c>
      <c r="D1532" t="s">
        <v>8237</v>
      </c>
      <c r="E1532" s="225">
        <v>1218</v>
      </c>
      <c r="F1532" t="s">
        <v>8307</v>
      </c>
      <c r="G1532" t="s">
        <v>8308</v>
      </c>
      <c r="H1532" t="s">
        <v>8246</v>
      </c>
      <c r="I1532" s="99">
        <v>44134</v>
      </c>
      <c r="J1532" s="99">
        <v>44141</v>
      </c>
      <c r="K1532" t="s">
        <v>8257</v>
      </c>
      <c r="L1532" t="s">
        <v>6984</v>
      </c>
    </row>
    <row r="1533" spans="2:12" x14ac:dyDescent="0.2">
      <c r="B1533">
        <v>11021</v>
      </c>
      <c r="C1533" t="s">
        <v>8245</v>
      </c>
      <c r="D1533" t="s">
        <v>8247</v>
      </c>
      <c r="E1533" s="225">
        <v>1749</v>
      </c>
      <c r="F1533" t="s">
        <v>8307</v>
      </c>
      <c r="G1533" t="s">
        <v>8308</v>
      </c>
      <c r="H1533" t="s">
        <v>8246</v>
      </c>
      <c r="I1533" s="99">
        <v>44134</v>
      </c>
      <c r="J1533" s="99">
        <v>44141</v>
      </c>
      <c r="K1533" t="s">
        <v>8257</v>
      </c>
      <c r="L1533" t="s">
        <v>6984</v>
      </c>
    </row>
    <row r="1534" spans="2:12" x14ac:dyDescent="0.2">
      <c r="B1534">
        <v>11022</v>
      </c>
      <c r="C1534" t="s">
        <v>8327</v>
      </c>
      <c r="D1534" t="s">
        <v>8262</v>
      </c>
      <c r="E1534" s="225">
        <v>322</v>
      </c>
      <c r="F1534" t="s">
        <v>8728</v>
      </c>
      <c r="G1534" t="s">
        <v>8727</v>
      </c>
      <c r="H1534" t="s">
        <v>8710</v>
      </c>
      <c r="I1534" s="99">
        <v>44134</v>
      </c>
      <c r="J1534" s="99">
        <v>44154</v>
      </c>
      <c r="K1534" t="s">
        <v>8279</v>
      </c>
      <c r="L1534" t="s">
        <v>710</v>
      </c>
    </row>
    <row r="1535" spans="2:12" x14ac:dyDescent="0.2">
      <c r="B1535">
        <v>11022</v>
      </c>
      <c r="C1535" t="s">
        <v>8353</v>
      </c>
      <c r="D1535" t="s">
        <v>8237</v>
      </c>
      <c r="E1535" s="225">
        <v>1080</v>
      </c>
      <c r="F1535" t="s">
        <v>8728</v>
      </c>
      <c r="G1535" t="s">
        <v>8727</v>
      </c>
      <c r="H1535" t="s">
        <v>8710</v>
      </c>
      <c r="I1535" s="99">
        <v>44134</v>
      </c>
      <c r="J1535" s="99">
        <v>44154</v>
      </c>
      <c r="K1535" t="s">
        <v>8279</v>
      </c>
      <c r="L1535" t="s">
        <v>710</v>
      </c>
    </row>
    <row r="1536" spans="2:12" x14ac:dyDescent="0.2">
      <c r="B1536">
        <v>11023</v>
      </c>
      <c r="C1536" t="s">
        <v>8306</v>
      </c>
      <c r="D1536" t="s">
        <v>8272</v>
      </c>
      <c r="E1536" s="225">
        <v>1380</v>
      </c>
      <c r="F1536" t="s">
        <v>8338</v>
      </c>
      <c r="G1536" t="s">
        <v>8339</v>
      </c>
      <c r="H1536" t="s">
        <v>2434</v>
      </c>
      <c r="I1536" s="99">
        <v>44134</v>
      </c>
      <c r="J1536" s="99">
        <v>44144</v>
      </c>
      <c r="K1536" t="s">
        <v>8285</v>
      </c>
      <c r="L1536" t="s">
        <v>2317</v>
      </c>
    </row>
    <row r="1537" spans="2:12" x14ac:dyDescent="0.2">
      <c r="B1537">
        <v>11023</v>
      </c>
      <c r="C1537" t="s">
        <v>8415</v>
      </c>
      <c r="D1537" t="s">
        <v>8247</v>
      </c>
      <c r="E1537" s="225">
        <v>120</v>
      </c>
      <c r="F1537" t="s">
        <v>8338</v>
      </c>
      <c r="G1537" t="s">
        <v>8339</v>
      </c>
      <c r="H1537" t="s">
        <v>2434</v>
      </c>
      <c r="I1537" s="99">
        <v>44134</v>
      </c>
      <c r="J1537" s="99">
        <v>44144</v>
      </c>
      <c r="K1537" t="s">
        <v>8285</v>
      </c>
      <c r="L1537" t="s">
        <v>2317</v>
      </c>
    </row>
    <row r="1538" spans="2:12" x14ac:dyDescent="0.2">
      <c r="B1538">
        <v>11024</v>
      </c>
      <c r="C1538" t="s">
        <v>8253</v>
      </c>
      <c r="D1538" t="s">
        <v>8254</v>
      </c>
      <c r="E1538" s="225">
        <v>442.05</v>
      </c>
      <c r="F1538" t="s">
        <v>8393</v>
      </c>
      <c r="G1538" t="s">
        <v>8394</v>
      </c>
      <c r="H1538" t="s">
        <v>2434</v>
      </c>
      <c r="I1538" s="99">
        <v>44135</v>
      </c>
      <c r="J1538" s="99">
        <v>44140</v>
      </c>
      <c r="K1538" t="s">
        <v>8266</v>
      </c>
      <c r="L1538" t="s">
        <v>8267</v>
      </c>
    </row>
    <row r="1539" spans="2:12" x14ac:dyDescent="0.2">
      <c r="B1539">
        <v>11024</v>
      </c>
      <c r="C1539" t="s">
        <v>8372</v>
      </c>
      <c r="D1539" t="s">
        <v>8262</v>
      </c>
      <c r="E1539" s="225">
        <v>374.76</v>
      </c>
      <c r="F1539" t="s">
        <v>8393</v>
      </c>
      <c r="G1539" t="s">
        <v>8394</v>
      </c>
      <c r="H1539" t="s">
        <v>2434</v>
      </c>
      <c r="I1539" s="99">
        <v>44135</v>
      </c>
      <c r="J1539" s="99">
        <v>44140</v>
      </c>
      <c r="K1539" t="s">
        <v>8266</v>
      </c>
      <c r="L1539" t="s">
        <v>8267</v>
      </c>
    </row>
    <row r="1540" spans="2:12" x14ac:dyDescent="0.2">
      <c r="B1540">
        <v>11024</v>
      </c>
      <c r="C1540" t="s">
        <v>8269</v>
      </c>
      <c r="D1540" t="s">
        <v>8237</v>
      </c>
      <c r="E1540" s="225">
        <v>75</v>
      </c>
      <c r="F1540" t="s">
        <v>8393</v>
      </c>
      <c r="G1540" t="s">
        <v>8394</v>
      </c>
      <c r="H1540" t="s">
        <v>2434</v>
      </c>
      <c r="I1540" s="99">
        <v>44135</v>
      </c>
      <c r="J1540" s="99">
        <v>44140</v>
      </c>
      <c r="K1540" t="s">
        <v>8266</v>
      </c>
      <c r="L1540" t="s">
        <v>8267</v>
      </c>
    </row>
    <row r="1541" spans="2:12" x14ac:dyDescent="0.2">
      <c r="B1541">
        <v>11024</v>
      </c>
      <c r="C1541" t="s">
        <v>8310</v>
      </c>
      <c r="D1541" t="s">
        <v>8237</v>
      </c>
      <c r="E1541" s="225">
        <v>1075</v>
      </c>
      <c r="F1541" t="s">
        <v>8393</v>
      </c>
      <c r="G1541" t="s">
        <v>8394</v>
      </c>
      <c r="H1541" t="s">
        <v>2434</v>
      </c>
      <c r="I1541" s="99">
        <v>44135</v>
      </c>
      <c r="J1541" s="99">
        <v>44140</v>
      </c>
      <c r="K1541" t="s">
        <v>8266</v>
      </c>
      <c r="L1541" t="s">
        <v>8267</v>
      </c>
    </row>
    <row r="1542" spans="2:12" x14ac:dyDescent="0.2">
      <c r="B1542">
        <v>11025</v>
      </c>
      <c r="C1542" t="s">
        <v>8333</v>
      </c>
      <c r="D1542" t="s">
        <v>8272</v>
      </c>
      <c r="E1542" s="225">
        <v>162</v>
      </c>
      <c r="F1542" t="s">
        <v>8301</v>
      </c>
      <c r="G1542" t="s">
        <v>8302</v>
      </c>
      <c r="H1542" t="s">
        <v>8300</v>
      </c>
      <c r="I1542" s="99">
        <v>44135</v>
      </c>
      <c r="J1542" s="99">
        <v>44144</v>
      </c>
      <c r="K1542" t="s">
        <v>8251</v>
      </c>
      <c r="L1542" t="s">
        <v>269</v>
      </c>
    </row>
    <row r="1543" spans="2:12" x14ac:dyDescent="0.2">
      <c r="B1543">
        <v>11026</v>
      </c>
      <c r="C1543" t="s">
        <v>8245</v>
      </c>
      <c r="D1543" t="s">
        <v>8247</v>
      </c>
      <c r="E1543" s="225">
        <v>530</v>
      </c>
      <c r="F1543" t="s">
        <v>8411</v>
      </c>
      <c r="G1543" t="s">
        <v>8412</v>
      </c>
      <c r="H1543" t="s">
        <v>8311</v>
      </c>
      <c r="I1543" s="99">
        <v>44135</v>
      </c>
      <c r="J1543" s="99">
        <v>44148</v>
      </c>
      <c r="K1543" t="s">
        <v>8266</v>
      </c>
      <c r="L1543" t="s">
        <v>8267</v>
      </c>
    </row>
    <row r="1544" spans="2:12" x14ac:dyDescent="0.2">
      <c r="B1544">
        <v>11027</v>
      </c>
      <c r="C1544" t="s">
        <v>8270</v>
      </c>
      <c r="D1544" t="s">
        <v>8272</v>
      </c>
      <c r="E1544" s="225">
        <v>101.25</v>
      </c>
      <c r="F1544" t="s">
        <v>8722</v>
      </c>
      <c r="G1544" t="s">
        <v>8721</v>
      </c>
      <c r="H1544" t="s">
        <v>8720</v>
      </c>
      <c r="I1544" s="99">
        <v>44136</v>
      </c>
      <c r="J1544" s="99">
        <v>44140</v>
      </c>
      <c r="K1544" t="s">
        <v>8285</v>
      </c>
      <c r="L1544" t="s">
        <v>2317</v>
      </c>
    </row>
    <row r="1545" spans="2:12" x14ac:dyDescent="0.2">
      <c r="B1545">
        <v>11027</v>
      </c>
      <c r="C1545" t="s">
        <v>8291</v>
      </c>
      <c r="D1545" t="s">
        <v>8262</v>
      </c>
      <c r="E1545" s="225">
        <v>776.48</v>
      </c>
      <c r="F1545" t="s">
        <v>8722</v>
      </c>
      <c r="G1545" t="s">
        <v>8721</v>
      </c>
      <c r="H1545" t="s">
        <v>8720</v>
      </c>
      <c r="I1545" s="99">
        <v>44136</v>
      </c>
      <c r="J1545" s="99">
        <v>44140</v>
      </c>
      <c r="K1545" t="s">
        <v>8285</v>
      </c>
      <c r="L1545" t="s">
        <v>2317</v>
      </c>
    </row>
    <row r="1546" spans="2:12" x14ac:dyDescent="0.2">
      <c r="B1546">
        <v>11028</v>
      </c>
      <c r="C1546" t="s">
        <v>8281</v>
      </c>
      <c r="D1546" t="s">
        <v>8237</v>
      </c>
      <c r="E1546" s="225">
        <v>1320</v>
      </c>
      <c r="F1546" t="s">
        <v>8359</v>
      </c>
      <c r="G1546" t="s">
        <v>8360</v>
      </c>
      <c r="H1546" t="s">
        <v>8246</v>
      </c>
      <c r="I1546" s="99">
        <v>44136</v>
      </c>
      <c r="J1546" s="99">
        <v>44142</v>
      </c>
      <c r="K1546" t="s">
        <v>8297</v>
      </c>
      <c r="L1546" t="s">
        <v>8298</v>
      </c>
    </row>
    <row r="1547" spans="2:12" x14ac:dyDescent="0.2">
      <c r="B1547">
        <v>11029</v>
      </c>
      <c r="C1547" t="s">
        <v>8317</v>
      </c>
      <c r="D1547" t="s">
        <v>8254</v>
      </c>
      <c r="E1547" s="225">
        <v>526.79999999999995</v>
      </c>
      <c r="F1547" t="s">
        <v>8273</v>
      </c>
      <c r="G1547" t="s">
        <v>8274</v>
      </c>
      <c r="H1547" t="s">
        <v>8271</v>
      </c>
      <c r="I1547" s="99">
        <v>44136</v>
      </c>
      <c r="J1547" s="99">
        <v>44147</v>
      </c>
      <c r="K1547" t="s">
        <v>8266</v>
      </c>
      <c r="L1547" t="s">
        <v>8267</v>
      </c>
    </row>
    <row r="1548" spans="2:12" x14ac:dyDescent="0.2">
      <c r="B1548">
        <v>11029</v>
      </c>
      <c r="C1548" t="s">
        <v>8341</v>
      </c>
      <c r="D1548" t="s">
        <v>8244</v>
      </c>
      <c r="E1548" s="225">
        <v>760</v>
      </c>
      <c r="F1548" t="s">
        <v>8273</v>
      </c>
      <c r="G1548" t="s">
        <v>8274</v>
      </c>
      <c r="H1548" t="s">
        <v>8271</v>
      </c>
      <c r="I1548" s="99">
        <v>44136</v>
      </c>
      <c r="J1548" s="99">
        <v>44147</v>
      </c>
      <c r="K1548" t="s">
        <v>8266</v>
      </c>
      <c r="L1548" t="s">
        <v>8267</v>
      </c>
    </row>
    <row r="1549" spans="2:12" x14ac:dyDescent="0.2">
      <c r="B1549">
        <v>11030</v>
      </c>
      <c r="C1549" t="s">
        <v>8276</v>
      </c>
      <c r="D1549" t="s">
        <v>8272</v>
      </c>
      <c r="E1549" s="225">
        <v>1425</v>
      </c>
      <c r="F1549" t="s">
        <v>8758</v>
      </c>
      <c r="G1549" t="s">
        <v>8757</v>
      </c>
      <c r="H1549" t="s">
        <v>8701</v>
      </c>
      <c r="I1549" s="99">
        <v>44137</v>
      </c>
      <c r="J1549" s="99">
        <v>44147</v>
      </c>
      <c r="K1549" t="s">
        <v>8158</v>
      </c>
      <c r="L1549" t="s">
        <v>861</v>
      </c>
    </row>
    <row r="1550" spans="2:12" x14ac:dyDescent="0.2">
      <c r="B1550">
        <v>11030</v>
      </c>
      <c r="C1550" t="s">
        <v>8286</v>
      </c>
      <c r="D1550" t="s">
        <v>8254</v>
      </c>
      <c r="E1550" s="225">
        <v>1494.5</v>
      </c>
      <c r="F1550" t="s">
        <v>8758</v>
      </c>
      <c r="G1550" t="s">
        <v>8757</v>
      </c>
      <c r="H1550" t="s">
        <v>8701</v>
      </c>
      <c r="I1550" s="99">
        <v>44137</v>
      </c>
      <c r="J1550" s="99">
        <v>44147</v>
      </c>
      <c r="K1550" t="s">
        <v>8158</v>
      </c>
      <c r="L1550" t="s">
        <v>861</v>
      </c>
    </row>
    <row r="1551" spans="2:12" x14ac:dyDescent="0.2">
      <c r="B1551">
        <v>11030</v>
      </c>
      <c r="C1551" t="s">
        <v>8281</v>
      </c>
      <c r="D1551" t="s">
        <v>8237</v>
      </c>
      <c r="E1551" s="225">
        <v>4125</v>
      </c>
      <c r="F1551" t="s">
        <v>8758</v>
      </c>
      <c r="G1551" t="s">
        <v>8757</v>
      </c>
      <c r="H1551" t="s">
        <v>8701</v>
      </c>
      <c r="I1551" s="99">
        <v>44137</v>
      </c>
      <c r="J1551" s="99">
        <v>44147</v>
      </c>
      <c r="K1551" t="s">
        <v>8158</v>
      </c>
      <c r="L1551" t="s">
        <v>861</v>
      </c>
    </row>
    <row r="1552" spans="2:12" x14ac:dyDescent="0.2">
      <c r="B1552">
        <v>11031</v>
      </c>
      <c r="C1552" t="s">
        <v>8333</v>
      </c>
      <c r="D1552" t="s">
        <v>8272</v>
      </c>
      <c r="E1552" s="225">
        <v>810</v>
      </c>
      <c r="F1552" t="s">
        <v>8758</v>
      </c>
      <c r="G1552" t="s">
        <v>8757</v>
      </c>
      <c r="H1552" t="s">
        <v>8701</v>
      </c>
      <c r="I1552" s="99">
        <v>44137</v>
      </c>
      <c r="J1552" s="99">
        <v>44144</v>
      </c>
      <c r="K1552" t="s">
        <v>8251</v>
      </c>
      <c r="L1552" t="s">
        <v>269</v>
      </c>
    </row>
    <row r="1553" spans="2:12" x14ac:dyDescent="0.2">
      <c r="B1553">
        <v>11031</v>
      </c>
      <c r="C1553" t="s">
        <v>8270</v>
      </c>
      <c r="D1553" t="s">
        <v>8272</v>
      </c>
      <c r="E1553" s="225">
        <v>94.5</v>
      </c>
      <c r="F1553" t="s">
        <v>8758</v>
      </c>
      <c r="G1553" t="s">
        <v>8757</v>
      </c>
      <c r="H1553" t="s">
        <v>8701</v>
      </c>
      <c r="I1553" s="99">
        <v>44137</v>
      </c>
      <c r="J1553" s="99">
        <v>44144</v>
      </c>
      <c r="K1553" t="s">
        <v>8251</v>
      </c>
      <c r="L1553" t="s">
        <v>269</v>
      </c>
    </row>
    <row r="1554" spans="2:12" x14ac:dyDescent="0.2">
      <c r="B1554">
        <v>11031</v>
      </c>
      <c r="C1554" t="s">
        <v>8310</v>
      </c>
      <c r="D1554" t="s">
        <v>8237</v>
      </c>
      <c r="E1554" s="225">
        <v>344</v>
      </c>
      <c r="F1554" t="s">
        <v>8758</v>
      </c>
      <c r="G1554" t="s">
        <v>8757</v>
      </c>
      <c r="H1554" t="s">
        <v>8701</v>
      </c>
      <c r="I1554" s="99">
        <v>44137</v>
      </c>
      <c r="J1554" s="99">
        <v>44144</v>
      </c>
      <c r="K1554" t="s">
        <v>8251</v>
      </c>
      <c r="L1554" t="s">
        <v>269</v>
      </c>
    </row>
    <row r="1555" spans="2:12" x14ac:dyDescent="0.2">
      <c r="B1555">
        <v>11031</v>
      </c>
      <c r="C1555" t="s">
        <v>8340</v>
      </c>
      <c r="D1555" t="s">
        <v>8244</v>
      </c>
      <c r="E1555" s="225">
        <v>665</v>
      </c>
      <c r="F1555" t="s">
        <v>8758</v>
      </c>
      <c r="G1555" t="s">
        <v>8757</v>
      </c>
      <c r="H1555" t="s">
        <v>8701</v>
      </c>
      <c r="I1555" s="99">
        <v>44137</v>
      </c>
      <c r="J1555" s="99">
        <v>44144</v>
      </c>
      <c r="K1555" t="s">
        <v>8251</v>
      </c>
      <c r="L1555" t="s">
        <v>269</v>
      </c>
    </row>
    <row r="1556" spans="2:12" x14ac:dyDescent="0.2">
      <c r="B1556">
        <v>11032</v>
      </c>
      <c r="C1556" t="s">
        <v>8380</v>
      </c>
      <c r="D1556" t="s">
        <v>8272</v>
      </c>
      <c r="E1556" s="225">
        <v>6587.5</v>
      </c>
      <c r="F1556" t="s">
        <v>8740</v>
      </c>
      <c r="G1556" t="s">
        <v>8739</v>
      </c>
      <c r="H1556" t="s">
        <v>8701</v>
      </c>
      <c r="I1556" s="99">
        <v>44137</v>
      </c>
      <c r="J1556" s="99">
        <v>44143</v>
      </c>
      <c r="K1556" t="s">
        <v>8297</v>
      </c>
      <c r="L1556" t="s">
        <v>8298</v>
      </c>
    </row>
    <row r="1557" spans="2:12" x14ac:dyDescent="0.2">
      <c r="B1557">
        <v>11032</v>
      </c>
      <c r="C1557" t="s">
        <v>8281</v>
      </c>
      <c r="D1557" t="s">
        <v>8237</v>
      </c>
      <c r="E1557" s="225">
        <v>1650</v>
      </c>
      <c r="F1557" t="s">
        <v>8740</v>
      </c>
      <c r="G1557" t="s">
        <v>8739</v>
      </c>
      <c r="H1557" t="s">
        <v>8701</v>
      </c>
      <c r="I1557" s="99">
        <v>44137</v>
      </c>
      <c r="J1557" s="99">
        <v>44143</v>
      </c>
      <c r="K1557" t="s">
        <v>8297</v>
      </c>
      <c r="L1557" t="s">
        <v>8298</v>
      </c>
    </row>
    <row r="1558" spans="2:12" x14ac:dyDescent="0.2">
      <c r="B1558">
        <v>11033</v>
      </c>
      <c r="C1558" t="s">
        <v>8353</v>
      </c>
      <c r="D1558" t="s">
        <v>8237</v>
      </c>
      <c r="E1558" s="225">
        <v>1166.4000000000001</v>
      </c>
      <c r="F1558" t="s">
        <v>8277</v>
      </c>
      <c r="G1558" t="s">
        <v>8278</v>
      </c>
      <c r="H1558" t="s">
        <v>8271</v>
      </c>
      <c r="I1558" s="99">
        <v>44137</v>
      </c>
      <c r="J1558" s="99">
        <v>44143</v>
      </c>
      <c r="K1558" t="s">
        <v>8158</v>
      </c>
      <c r="L1558" t="s">
        <v>861</v>
      </c>
    </row>
    <row r="1559" spans="2:12" x14ac:dyDescent="0.2">
      <c r="B1559">
        <v>11034</v>
      </c>
      <c r="C1559" t="s">
        <v>8322</v>
      </c>
      <c r="D1559" t="s">
        <v>8254</v>
      </c>
      <c r="E1559" s="225">
        <v>233.4</v>
      </c>
      <c r="F1559" t="s">
        <v>8756</v>
      </c>
      <c r="G1559" t="s">
        <v>8755</v>
      </c>
      <c r="H1559" t="s">
        <v>8701</v>
      </c>
      <c r="I1559" s="99">
        <v>44140</v>
      </c>
      <c r="J1559" s="99">
        <v>44147</v>
      </c>
      <c r="K1559" t="s">
        <v>8320</v>
      </c>
      <c r="L1559" t="s">
        <v>8321</v>
      </c>
    </row>
    <row r="1560" spans="2:12" x14ac:dyDescent="0.2">
      <c r="B1560">
        <v>11034</v>
      </c>
      <c r="C1560" t="s">
        <v>8409</v>
      </c>
      <c r="D1560" t="s">
        <v>8254</v>
      </c>
      <c r="E1560" s="225">
        <v>171</v>
      </c>
      <c r="F1560" t="s">
        <v>8756</v>
      </c>
      <c r="G1560" t="s">
        <v>8755</v>
      </c>
      <c r="H1560" t="s">
        <v>8701</v>
      </c>
      <c r="I1560" s="99">
        <v>44140</v>
      </c>
      <c r="J1560" s="99">
        <v>44147</v>
      </c>
      <c r="K1560" t="s">
        <v>8320</v>
      </c>
      <c r="L1560" t="s">
        <v>8321</v>
      </c>
    </row>
    <row r="1561" spans="2:12" x14ac:dyDescent="0.2">
      <c r="B1561">
        <v>11034</v>
      </c>
      <c r="C1561" t="s">
        <v>8368</v>
      </c>
      <c r="D1561" t="s">
        <v>8262</v>
      </c>
      <c r="E1561" s="225">
        <v>135</v>
      </c>
      <c r="F1561" t="s">
        <v>8756</v>
      </c>
      <c r="G1561" t="s">
        <v>8755</v>
      </c>
      <c r="H1561" t="s">
        <v>8701</v>
      </c>
      <c r="I1561" s="99">
        <v>44140</v>
      </c>
      <c r="J1561" s="99">
        <v>44147</v>
      </c>
      <c r="K1561" t="s">
        <v>8320</v>
      </c>
      <c r="L1561" t="s">
        <v>8321</v>
      </c>
    </row>
    <row r="1562" spans="2:12" x14ac:dyDescent="0.2">
      <c r="B1562">
        <v>11035</v>
      </c>
      <c r="C1562" t="s">
        <v>8333</v>
      </c>
      <c r="D1562" t="s">
        <v>8272</v>
      </c>
      <c r="E1562" s="225">
        <v>180</v>
      </c>
      <c r="F1562" t="s">
        <v>8263</v>
      </c>
      <c r="G1562" t="s">
        <v>8264</v>
      </c>
      <c r="H1562" t="s">
        <v>8261</v>
      </c>
      <c r="I1562" s="99">
        <v>44140</v>
      </c>
      <c r="J1562" s="99">
        <v>44144</v>
      </c>
      <c r="K1562" t="s">
        <v>8297</v>
      </c>
      <c r="L1562" t="s">
        <v>8298</v>
      </c>
    </row>
    <row r="1563" spans="2:12" x14ac:dyDescent="0.2">
      <c r="B1563">
        <v>11035</v>
      </c>
      <c r="C1563" t="s">
        <v>8323</v>
      </c>
      <c r="D1563" t="s">
        <v>8272</v>
      </c>
      <c r="E1563" s="225">
        <v>1080</v>
      </c>
      <c r="F1563" t="s">
        <v>8263</v>
      </c>
      <c r="G1563" t="s">
        <v>8264</v>
      </c>
      <c r="H1563" t="s">
        <v>8261</v>
      </c>
      <c r="I1563" s="99">
        <v>44140</v>
      </c>
      <c r="J1563" s="99">
        <v>44144</v>
      </c>
      <c r="K1563" t="s">
        <v>8297</v>
      </c>
      <c r="L1563" t="s">
        <v>8298</v>
      </c>
    </row>
    <row r="1564" spans="2:12" x14ac:dyDescent="0.2">
      <c r="B1564">
        <v>11035</v>
      </c>
      <c r="C1564" t="s">
        <v>8243</v>
      </c>
      <c r="D1564" t="s">
        <v>8244</v>
      </c>
      <c r="E1564" s="225">
        <v>420</v>
      </c>
      <c r="F1564" t="s">
        <v>8263</v>
      </c>
      <c r="G1564" t="s">
        <v>8264</v>
      </c>
      <c r="H1564" t="s">
        <v>8261</v>
      </c>
      <c r="I1564" s="99">
        <v>44140</v>
      </c>
      <c r="J1564" s="99">
        <v>44144</v>
      </c>
      <c r="K1564" t="s">
        <v>8297</v>
      </c>
      <c r="L1564" t="s">
        <v>8298</v>
      </c>
    </row>
    <row r="1565" spans="2:12" x14ac:dyDescent="0.2">
      <c r="B1565">
        <v>11036</v>
      </c>
      <c r="C1565" t="s">
        <v>8281</v>
      </c>
      <c r="D1565" t="s">
        <v>8237</v>
      </c>
      <c r="E1565" s="225">
        <v>1650</v>
      </c>
      <c r="F1565" t="s">
        <v>8391</v>
      </c>
      <c r="G1565" t="s">
        <v>8392</v>
      </c>
      <c r="H1565" t="s">
        <v>8246</v>
      </c>
      <c r="I1565" s="99">
        <v>44140</v>
      </c>
      <c r="J1565" s="99">
        <v>44142</v>
      </c>
      <c r="K1565" t="s">
        <v>8320</v>
      </c>
      <c r="L1565" t="s">
        <v>8321</v>
      </c>
    </row>
    <row r="1566" spans="2:12" x14ac:dyDescent="0.2">
      <c r="B1566">
        <v>11037</v>
      </c>
      <c r="C1566" t="s">
        <v>8288</v>
      </c>
      <c r="D1566" t="s">
        <v>8272</v>
      </c>
      <c r="E1566" s="225">
        <v>60</v>
      </c>
      <c r="F1566" t="s">
        <v>8349</v>
      </c>
      <c r="G1566" t="s">
        <v>8350</v>
      </c>
      <c r="H1566" t="s">
        <v>8324</v>
      </c>
      <c r="I1566" s="99">
        <v>44141</v>
      </c>
      <c r="J1566" s="99">
        <v>44147</v>
      </c>
      <c r="K1566" t="s">
        <v>8158</v>
      </c>
      <c r="L1566" t="s">
        <v>861</v>
      </c>
    </row>
    <row r="1567" spans="2:12" x14ac:dyDescent="0.2">
      <c r="B1567">
        <v>11038</v>
      </c>
      <c r="C1567" t="s">
        <v>8310</v>
      </c>
      <c r="D1567" t="s">
        <v>8237</v>
      </c>
      <c r="E1567" s="225">
        <v>645</v>
      </c>
      <c r="F1567" t="s">
        <v>8263</v>
      </c>
      <c r="G1567" t="s">
        <v>8264</v>
      </c>
      <c r="H1567" t="s">
        <v>8261</v>
      </c>
      <c r="I1567" s="99">
        <v>44141</v>
      </c>
      <c r="J1567" s="99">
        <v>44150</v>
      </c>
      <c r="K1567" t="s">
        <v>8285</v>
      </c>
      <c r="L1567" t="s">
        <v>2317</v>
      </c>
    </row>
    <row r="1568" spans="2:12" x14ac:dyDescent="0.2">
      <c r="B1568">
        <v>11038</v>
      </c>
      <c r="C1568" t="s">
        <v>8369</v>
      </c>
      <c r="D1568" t="s">
        <v>8244</v>
      </c>
      <c r="E1568" s="225">
        <v>14</v>
      </c>
      <c r="F1568" t="s">
        <v>8263</v>
      </c>
      <c r="G1568" t="s">
        <v>8264</v>
      </c>
      <c r="H1568" t="s">
        <v>8261</v>
      </c>
      <c r="I1568" s="99">
        <v>44141</v>
      </c>
      <c r="J1568" s="99">
        <v>44150</v>
      </c>
      <c r="K1568" t="s">
        <v>8285</v>
      </c>
      <c r="L1568" t="s">
        <v>2317</v>
      </c>
    </row>
    <row r="1569" spans="2:12" x14ac:dyDescent="0.2">
      <c r="B1569">
        <v>11039</v>
      </c>
      <c r="C1569" t="s">
        <v>8323</v>
      </c>
      <c r="D1569" t="s">
        <v>8272</v>
      </c>
      <c r="E1569" s="225">
        <v>432</v>
      </c>
      <c r="F1569" t="s">
        <v>8724</v>
      </c>
      <c r="G1569" t="s">
        <v>8723</v>
      </c>
      <c r="H1569" t="s">
        <v>8707</v>
      </c>
      <c r="I1569" s="99">
        <v>44141</v>
      </c>
      <c r="K1569" t="s">
        <v>8285</v>
      </c>
      <c r="L1569" t="s">
        <v>2317</v>
      </c>
    </row>
    <row r="1570" spans="2:12" x14ac:dyDescent="0.2">
      <c r="B1570">
        <v>11039</v>
      </c>
      <c r="C1570" t="s">
        <v>8390</v>
      </c>
      <c r="D1570" t="s">
        <v>8262</v>
      </c>
      <c r="E1570" s="225">
        <v>1200</v>
      </c>
      <c r="F1570" t="s">
        <v>8724</v>
      </c>
      <c r="G1570" t="s">
        <v>8723</v>
      </c>
      <c r="H1570" t="s">
        <v>8707</v>
      </c>
      <c r="I1570" s="99">
        <v>44141</v>
      </c>
      <c r="K1570" t="s">
        <v>8285</v>
      </c>
      <c r="L1570" t="s">
        <v>2317</v>
      </c>
    </row>
    <row r="1571" spans="2:12" x14ac:dyDescent="0.2">
      <c r="B1571">
        <v>11039</v>
      </c>
      <c r="C1571" t="s">
        <v>8258</v>
      </c>
      <c r="D1571" t="s">
        <v>8244</v>
      </c>
      <c r="E1571" s="225">
        <v>546</v>
      </c>
      <c r="F1571" t="s">
        <v>8724</v>
      </c>
      <c r="G1571" t="s">
        <v>8723</v>
      </c>
      <c r="H1571" t="s">
        <v>8707</v>
      </c>
      <c r="I1571" s="99">
        <v>44141</v>
      </c>
      <c r="K1571" t="s">
        <v>8285</v>
      </c>
      <c r="L1571" t="s">
        <v>2317</v>
      </c>
    </row>
    <row r="1572" spans="2:12" x14ac:dyDescent="0.2">
      <c r="B1572">
        <v>11039</v>
      </c>
      <c r="C1572" t="s">
        <v>8316</v>
      </c>
      <c r="D1572" t="s">
        <v>8247</v>
      </c>
      <c r="E1572" s="225">
        <v>912</v>
      </c>
      <c r="F1572" t="s">
        <v>8724</v>
      </c>
      <c r="G1572" t="s">
        <v>8723</v>
      </c>
      <c r="H1572" t="s">
        <v>8707</v>
      </c>
      <c r="I1572" s="99">
        <v>44141</v>
      </c>
      <c r="K1572" t="s">
        <v>8285</v>
      </c>
      <c r="L1572" t="s">
        <v>2317</v>
      </c>
    </row>
    <row r="1573" spans="2:12" x14ac:dyDescent="0.2">
      <c r="B1573">
        <v>11040</v>
      </c>
      <c r="C1573" t="s">
        <v>8368</v>
      </c>
      <c r="D1573" t="s">
        <v>8262</v>
      </c>
      <c r="E1573" s="225">
        <v>200</v>
      </c>
      <c r="F1573" t="s">
        <v>8714</v>
      </c>
      <c r="G1573" t="s">
        <v>8713</v>
      </c>
      <c r="H1573" t="s">
        <v>8701</v>
      </c>
      <c r="I1573" s="99">
        <v>44142</v>
      </c>
      <c r="K1573" t="s">
        <v>8266</v>
      </c>
      <c r="L1573" t="s">
        <v>8267</v>
      </c>
    </row>
    <row r="1574" spans="2:12" x14ac:dyDescent="0.2">
      <c r="B1574">
        <v>11041</v>
      </c>
      <c r="C1574" t="s">
        <v>8276</v>
      </c>
      <c r="D1574" t="s">
        <v>8272</v>
      </c>
      <c r="E1574" s="225">
        <v>456</v>
      </c>
      <c r="F1574" t="s">
        <v>8273</v>
      </c>
      <c r="G1574" t="s">
        <v>8274</v>
      </c>
      <c r="H1574" t="s">
        <v>8271</v>
      </c>
      <c r="I1574" s="99">
        <v>44142</v>
      </c>
      <c r="J1574" s="99">
        <v>44148</v>
      </c>
      <c r="K1574" t="s">
        <v>8257</v>
      </c>
      <c r="L1574" t="s">
        <v>6984</v>
      </c>
    </row>
    <row r="1575" spans="2:12" x14ac:dyDescent="0.2">
      <c r="B1575">
        <v>11041</v>
      </c>
      <c r="C1575" t="s">
        <v>8317</v>
      </c>
      <c r="D1575" t="s">
        <v>8254</v>
      </c>
      <c r="E1575" s="225">
        <v>1317</v>
      </c>
      <c r="F1575" t="s">
        <v>8273</v>
      </c>
      <c r="G1575" t="s">
        <v>8274</v>
      </c>
      <c r="H1575" t="s">
        <v>8271</v>
      </c>
      <c r="I1575" s="99">
        <v>44142</v>
      </c>
      <c r="J1575" s="99">
        <v>44148</v>
      </c>
      <c r="K1575" t="s">
        <v>8257</v>
      </c>
      <c r="L1575" t="s">
        <v>6984</v>
      </c>
    </row>
    <row r="1576" spans="2:12" x14ac:dyDescent="0.2">
      <c r="B1576">
        <v>11042</v>
      </c>
      <c r="C1576" t="s">
        <v>8322</v>
      </c>
      <c r="D1576" t="s">
        <v>8254</v>
      </c>
      <c r="E1576" s="225">
        <v>291.75</v>
      </c>
      <c r="F1576" t="s">
        <v>8748</v>
      </c>
      <c r="G1576" t="s">
        <v>8747</v>
      </c>
      <c r="H1576" t="s">
        <v>8710</v>
      </c>
      <c r="I1576" s="99">
        <v>44142</v>
      </c>
      <c r="J1576" s="99">
        <v>44151</v>
      </c>
      <c r="K1576" t="s">
        <v>8297</v>
      </c>
      <c r="L1576" t="s">
        <v>8298</v>
      </c>
    </row>
    <row r="1577" spans="2:12" x14ac:dyDescent="0.2">
      <c r="B1577">
        <v>11042</v>
      </c>
      <c r="C1577" t="s">
        <v>8409</v>
      </c>
      <c r="D1577" t="s">
        <v>8254</v>
      </c>
      <c r="E1577" s="225">
        <v>114</v>
      </c>
      <c r="F1577" t="s">
        <v>8748</v>
      </c>
      <c r="G1577" t="s">
        <v>8747</v>
      </c>
      <c r="H1577" t="s">
        <v>8710</v>
      </c>
      <c r="I1577" s="99">
        <v>44142</v>
      </c>
      <c r="J1577" s="99">
        <v>44151</v>
      </c>
      <c r="K1577" t="s">
        <v>8297</v>
      </c>
      <c r="L1577" t="s">
        <v>8298</v>
      </c>
    </row>
    <row r="1578" spans="2:12" x14ac:dyDescent="0.2">
      <c r="B1578">
        <v>11043</v>
      </c>
      <c r="C1578" t="s">
        <v>8242</v>
      </c>
      <c r="D1578" t="s">
        <v>8237</v>
      </c>
      <c r="E1578" s="225">
        <v>210</v>
      </c>
      <c r="F1578" t="s">
        <v>8428</v>
      </c>
      <c r="G1578" t="s">
        <v>8429</v>
      </c>
      <c r="H1578" t="s">
        <v>8236</v>
      </c>
      <c r="I1578" s="99">
        <v>44142</v>
      </c>
      <c r="J1578" s="99">
        <v>44149</v>
      </c>
      <c r="K1578" t="s">
        <v>8241</v>
      </c>
      <c r="L1578" t="s">
        <v>6934</v>
      </c>
    </row>
    <row r="1579" spans="2:12" x14ac:dyDescent="0.2">
      <c r="B1579">
        <v>11044</v>
      </c>
      <c r="C1579" t="s">
        <v>8291</v>
      </c>
      <c r="D1579" t="s">
        <v>8262</v>
      </c>
      <c r="E1579" s="225">
        <v>591.6</v>
      </c>
      <c r="F1579" t="s">
        <v>8401</v>
      </c>
      <c r="G1579" t="s">
        <v>8402</v>
      </c>
      <c r="H1579" t="s">
        <v>8400</v>
      </c>
      <c r="I1579" s="99">
        <v>44143</v>
      </c>
      <c r="J1579" s="99">
        <v>44151</v>
      </c>
      <c r="K1579" t="s">
        <v>8266</v>
      </c>
      <c r="L1579" t="s">
        <v>8267</v>
      </c>
    </row>
    <row r="1580" spans="2:12" x14ac:dyDescent="0.2">
      <c r="B1580">
        <v>11045</v>
      </c>
      <c r="C1580" t="s">
        <v>8269</v>
      </c>
      <c r="D1580" t="s">
        <v>8237</v>
      </c>
      <c r="E1580" s="225">
        <v>37.5</v>
      </c>
      <c r="F1580" t="s">
        <v>8722</v>
      </c>
      <c r="G1580" t="s">
        <v>8721</v>
      </c>
      <c r="H1580" t="s">
        <v>8720</v>
      </c>
      <c r="I1580" s="99">
        <v>44143</v>
      </c>
      <c r="K1580" t="s">
        <v>8251</v>
      </c>
      <c r="L1580" t="s">
        <v>269</v>
      </c>
    </row>
    <row r="1581" spans="2:12" x14ac:dyDescent="0.2">
      <c r="B1581">
        <v>11045</v>
      </c>
      <c r="C1581" t="s">
        <v>8245</v>
      </c>
      <c r="D1581" t="s">
        <v>8247</v>
      </c>
      <c r="E1581" s="225">
        <v>1272</v>
      </c>
      <c r="F1581" t="s">
        <v>8722</v>
      </c>
      <c r="G1581" t="s">
        <v>8721</v>
      </c>
      <c r="H1581" t="s">
        <v>8720</v>
      </c>
      <c r="I1581" s="99">
        <v>44143</v>
      </c>
      <c r="K1581" t="s">
        <v>8251</v>
      </c>
      <c r="L1581" t="s">
        <v>269</v>
      </c>
    </row>
    <row r="1582" spans="2:12" x14ac:dyDescent="0.2">
      <c r="B1582">
        <v>11046</v>
      </c>
      <c r="C1582" t="s">
        <v>8323</v>
      </c>
      <c r="D1582" t="s">
        <v>8272</v>
      </c>
      <c r="E1582" s="225">
        <v>307.8</v>
      </c>
      <c r="F1582" t="s">
        <v>8346</v>
      </c>
      <c r="G1582" t="s">
        <v>8347</v>
      </c>
      <c r="H1582" t="s">
        <v>8246</v>
      </c>
      <c r="I1582" s="99">
        <v>44143</v>
      </c>
      <c r="J1582" s="99">
        <v>44144</v>
      </c>
      <c r="K1582" t="s">
        <v>8320</v>
      </c>
      <c r="L1582" t="s">
        <v>8321</v>
      </c>
    </row>
    <row r="1583" spans="2:12" x14ac:dyDescent="0.2">
      <c r="B1583">
        <v>11046</v>
      </c>
      <c r="C1583" t="s">
        <v>8299</v>
      </c>
      <c r="D1583" t="s">
        <v>8237</v>
      </c>
      <c r="E1583" s="225">
        <v>722</v>
      </c>
      <c r="F1583" t="s">
        <v>8346</v>
      </c>
      <c r="G1583" t="s">
        <v>8347</v>
      </c>
      <c r="H1583" t="s">
        <v>8246</v>
      </c>
      <c r="I1583" s="99">
        <v>44143</v>
      </c>
      <c r="J1583" s="99">
        <v>44144</v>
      </c>
      <c r="K1583" t="s">
        <v>8320</v>
      </c>
      <c r="L1583" t="s">
        <v>8321</v>
      </c>
    </row>
    <row r="1584" spans="2:12" x14ac:dyDescent="0.2">
      <c r="B1584">
        <v>11046</v>
      </c>
      <c r="C1584" t="s">
        <v>8287</v>
      </c>
      <c r="D1584" t="s">
        <v>8237</v>
      </c>
      <c r="E1584" s="225">
        <v>456</v>
      </c>
      <c r="F1584" t="s">
        <v>8346</v>
      </c>
      <c r="G1584" t="s">
        <v>8347</v>
      </c>
      <c r="H1584" t="s">
        <v>8246</v>
      </c>
      <c r="I1584" s="99">
        <v>44143</v>
      </c>
      <c r="J1584" s="99">
        <v>44144</v>
      </c>
      <c r="K1584" t="s">
        <v>8320</v>
      </c>
      <c r="L1584" t="s">
        <v>8321</v>
      </c>
    </row>
    <row r="1585" spans="2:12" x14ac:dyDescent="0.2">
      <c r="B1585">
        <v>11047</v>
      </c>
      <c r="C1585" t="s">
        <v>8333</v>
      </c>
      <c r="D1585" t="s">
        <v>8272</v>
      </c>
      <c r="E1585" s="225">
        <v>337.5</v>
      </c>
      <c r="F1585" t="s">
        <v>8393</v>
      </c>
      <c r="G1585" t="s">
        <v>8394</v>
      </c>
      <c r="H1585" t="s">
        <v>2434</v>
      </c>
      <c r="I1585" s="99">
        <v>44144</v>
      </c>
      <c r="J1585" s="99">
        <v>44151</v>
      </c>
      <c r="K1585" t="s">
        <v>8158</v>
      </c>
      <c r="L1585" t="s">
        <v>861</v>
      </c>
    </row>
    <row r="1586" spans="2:12" x14ac:dyDescent="0.2">
      <c r="B1586">
        <v>11047</v>
      </c>
      <c r="C1586" t="s">
        <v>8286</v>
      </c>
      <c r="D1586" t="s">
        <v>8254</v>
      </c>
      <c r="E1586" s="225">
        <v>480.38</v>
      </c>
      <c r="F1586" t="s">
        <v>8393</v>
      </c>
      <c r="G1586" t="s">
        <v>8394</v>
      </c>
      <c r="H1586" t="s">
        <v>2434</v>
      </c>
      <c r="I1586" s="99">
        <v>44144</v>
      </c>
      <c r="J1586" s="99">
        <v>44151</v>
      </c>
      <c r="K1586" t="s">
        <v>8158</v>
      </c>
      <c r="L1586" t="s">
        <v>861</v>
      </c>
    </row>
    <row r="1587" spans="2:12" x14ac:dyDescent="0.2">
      <c r="B1587">
        <v>11048</v>
      </c>
      <c r="C1587" t="s">
        <v>8334</v>
      </c>
      <c r="D1587" t="s">
        <v>8262</v>
      </c>
      <c r="E1587" s="225">
        <v>525</v>
      </c>
      <c r="F1587" t="s">
        <v>8722</v>
      </c>
      <c r="G1587" t="s">
        <v>8721</v>
      </c>
      <c r="H1587" t="s">
        <v>8720</v>
      </c>
      <c r="I1587" s="99">
        <v>44144</v>
      </c>
      <c r="J1587" s="99">
        <v>44150</v>
      </c>
      <c r="K1587" t="s">
        <v>8158</v>
      </c>
      <c r="L1587" t="s">
        <v>861</v>
      </c>
    </row>
    <row r="1588" spans="2:12" x14ac:dyDescent="0.2">
      <c r="B1588">
        <v>11049</v>
      </c>
      <c r="C1588" t="s">
        <v>8276</v>
      </c>
      <c r="D1588" t="s">
        <v>8272</v>
      </c>
      <c r="E1588" s="225">
        <v>152</v>
      </c>
      <c r="F1588" t="s">
        <v>8770</v>
      </c>
      <c r="G1588" t="s">
        <v>8769</v>
      </c>
      <c r="H1588" t="s">
        <v>8710</v>
      </c>
      <c r="I1588" s="99">
        <v>44144</v>
      </c>
      <c r="J1588" s="99">
        <v>44154</v>
      </c>
      <c r="K1588" t="s">
        <v>8257</v>
      </c>
      <c r="L1588" t="s">
        <v>6984</v>
      </c>
    </row>
    <row r="1589" spans="2:12" x14ac:dyDescent="0.2">
      <c r="B1589">
        <v>11049</v>
      </c>
      <c r="C1589" t="s">
        <v>8299</v>
      </c>
      <c r="D1589" t="s">
        <v>8237</v>
      </c>
      <c r="E1589" s="225">
        <v>121.6</v>
      </c>
      <c r="F1589" t="s">
        <v>8770</v>
      </c>
      <c r="G1589" t="s">
        <v>8769</v>
      </c>
      <c r="H1589" t="s">
        <v>8710</v>
      </c>
      <c r="I1589" s="99">
        <v>44144</v>
      </c>
      <c r="J1589" s="99">
        <v>44154</v>
      </c>
      <c r="K1589" t="s">
        <v>8257</v>
      </c>
      <c r="L1589" t="s">
        <v>6984</v>
      </c>
    </row>
    <row r="1590" spans="2:12" x14ac:dyDescent="0.2">
      <c r="B1590">
        <v>11050</v>
      </c>
      <c r="C1590" t="s">
        <v>8303</v>
      </c>
      <c r="D1590" t="s">
        <v>8272</v>
      </c>
      <c r="E1590" s="225">
        <v>810</v>
      </c>
      <c r="F1590" t="s">
        <v>8293</v>
      </c>
      <c r="G1590" t="s">
        <v>8294</v>
      </c>
      <c r="H1590" t="s">
        <v>8292</v>
      </c>
      <c r="I1590" s="99">
        <v>44147</v>
      </c>
      <c r="J1590" s="99">
        <v>44155</v>
      </c>
      <c r="K1590" t="s">
        <v>8320</v>
      </c>
      <c r="L1590" t="s">
        <v>8321</v>
      </c>
    </row>
    <row r="1591" spans="2:12" x14ac:dyDescent="0.2">
      <c r="B1591">
        <v>11051</v>
      </c>
      <c r="C1591" t="s">
        <v>8270</v>
      </c>
      <c r="D1591" t="s">
        <v>8272</v>
      </c>
      <c r="E1591" s="225">
        <v>36</v>
      </c>
      <c r="F1591" t="s">
        <v>8382</v>
      </c>
      <c r="G1591" t="s">
        <v>8383</v>
      </c>
      <c r="H1591" t="s">
        <v>8236</v>
      </c>
      <c r="I1591" s="99">
        <v>44147</v>
      </c>
      <c r="K1591" t="s">
        <v>8158</v>
      </c>
      <c r="L1591" t="s">
        <v>861</v>
      </c>
    </row>
    <row r="1592" spans="2:12" x14ac:dyDescent="0.2">
      <c r="B1592">
        <v>11052</v>
      </c>
      <c r="C1592" t="s">
        <v>8306</v>
      </c>
      <c r="D1592" t="s">
        <v>8272</v>
      </c>
      <c r="E1592" s="225">
        <v>1104</v>
      </c>
      <c r="F1592" t="s">
        <v>8728</v>
      </c>
      <c r="G1592" t="s">
        <v>8727</v>
      </c>
      <c r="H1592" t="s">
        <v>8710</v>
      </c>
      <c r="I1592" s="99">
        <v>44147</v>
      </c>
      <c r="J1592" s="99">
        <v>44151</v>
      </c>
      <c r="K1592" t="s">
        <v>8257</v>
      </c>
      <c r="L1592" t="s">
        <v>6984</v>
      </c>
    </row>
    <row r="1593" spans="2:12" x14ac:dyDescent="0.2">
      <c r="B1593">
        <v>11052</v>
      </c>
      <c r="C1593" t="s">
        <v>8409</v>
      </c>
      <c r="D1593" t="s">
        <v>8254</v>
      </c>
      <c r="E1593" s="225">
        <v>228</v>
      </c>
      <c r="F1593" t="s">
        <v>8728</v>
      </c>
      <c r="G1593" t="s">
        <v>8727</v>
      </c>
      <c r="H1593" t="s">
        <v>8710</v>
      </c>
      <c r="I1593" s="99">
        <v>44147</v>
      </c>
      <c r="J1593" s="99">
        <v>44151</v>
      </c>
      <c r="K1593" t="s">
        <v>8257</v>
      </c>
      <c r="L1593" t="s">
        <v>6984</v>
      </c>
    </row>
    <row r="1594" spans="2:12" x14ac:dyDescent="0.2">
      <c r="B1594">
        <v>11053</v>
      </c>
      <c r="C1594" t="s">
        <v>8287</v>
      </c>
      <c r="D1594" t="s">
        <v>8237</v>
      </c>
      <c r="E1594" s="225">
        <v>640</v>
      </c>
      <c r="F1594" t="s">
        <v>8384</v>
      </c>
      <c r="G1594" t="s">
        <v>8385</v>
      </c>
      <c r="H1594" t="s">
        <v>8282</v>
      </c>
      <c r="I1594" s="99">
        <v>44147</v>
      </c>
      <c r="J1594" s="99">
        <v>44149</v>
      </c>
      <c r="K1594" t="s">
        <v>8297</v>
      </c>
      <c r="L1594" t="s">
        <v>8298</v>
      </c>
    </row>
    <row r="1595" spans="2:12" x14ac:dyDescent="0.2">
      <c r="B1595">
        <v>11053</v>
      </c>
      <c r="C1595" t="s">
        <v>8340</v>
      </c>
      <c r="D1595" t="s">
        <v>8244</v>
      </c>
      <c r="E1595" s="225">
        <v>665</v>
      </c>
      <c r="F1595" t="s">
        <v>8384</v>
      </c>
      <c r="G1595" t="s">
        <v>8385</v>
      </c>
      <c r="H1595" t="s">
        <v>8282</v>
      </c>
      <c r="I1595" s="99">
        <v>44147</v>
      </c>
      <c r="J1595" s="99">
        <v>44149</v>
      </c>
      <c r="K1595" t="s">
        <v>8297</v>
      </c>
      <c r="L1595" t="s">
        <v>8298</v>
      </c>
    </row>
    <row r="1596" spans="2:12" x14ac:dyDescent="0.2">
      <c r="B1596">
        <v>11054</v>
      </c>
      <c r="C1596" t="s">
        <v>8329</v>
      </c>
      <c r="D1596" t="s">
        <v>8272</v>
      </c>
      <c r="E1596" s="225">
        <v>280</v>
      </c>
      <c r="F1596" t="s">
        <v>8719</v>
      </c>
      <c r="G1596" t="s">
        <v>8718</v>
      </c>
      <c r="H1596" t="s">
        <v>8717</v>
      </c>
      <c r="I1596" s="99">
        <v>44148</v>
      </c>
      <c r="K1596" t="s">
        <v>8320</v>
      </c>
      <c r="L1596" t="s">
        <v>8321</v>
      </c>
    </row>
    <row r="1597" spans="2:12" x14ac:dyDescent="0.2">
      <c r="B1597">
        <v>11054</v>
      </c>
      <c r="C1597" t="s">
        <v>8269</v>
      </c>
      <c r="D1597" t="s">
        <v>8237</v>
      </c>
      <c r="E1597" s="225">
        <v>25</v>
      </c>
      <c r="F1597" t="s">
        <v>8719</v>
      </c>
      <c r="G1597" t="s">
        <v>8718</v>
      </c>
      <c r="H1597" t="s">
        <v>8717</v>
      </c>
      <c r="I1597" s="99">
        <v>44148</v>
      </c>
      <c r="K1597" t="s">
        <v>8320</v>
      </c>
      <c r="L1597" t="s">
        <v>8321</v>
      </c>
    </row>
    <row r="1598" spans="2:12" x14ac:dyDescent="0.2">
      <c r="B1598">
        <v>11055</v>
      </c>
      <c r="C1598" t="s">
        <v>8270</v>
      </c>
      <c r="D1598" t="s">
        <v>8272</v>
      </c>
      <c r="E1598" s="225">
        <v>67.5</v>
      </c>
      <c r="F1598" t="s">
        <v>8732</v>
      </c>
      <c r="G1598" t="s">
        <v>8731</v>
      </c>
      <c r="H1598" t="s">
        <v>8707</v>
      </c>
      <c r="I1598" s="99">
        <v>44148</v>
      </c>
      <c r="J1598" s="99">
        <v>44155</v>
      </c>
      <c r="K1598" t="s">
        <v>8158</v>
      </c>
      <c r="L1598" t="s">
        <v>861</v>
      </c>
    </row>
    <row r="1599" spans="2:12" x14ac:dyDescent="0.2">
      <c r="B1599">
        <v>11055</v>
      </c>
      <c r="C1599" t="s">
        <v>8362</v>
      </c>
      <c r="D1599" t="s">
        <v>8262</v>
      </c>
      <c r="E1599" s="225">
        <v>210</v>
      </c>
      <c r="F1599" t="s">
        <v>8732</v>
      </c>
      <c r="G1599" t="s">
        <v>8731</v>
      </c>
      <c r="H1599" t="s">
        <v>8707</v>
      </c>
      <c r="I1599" s="99">
        <v>44148</v>
      </c>
      <c r="J1599" s="99">
        <v>44155</v>
      </c>
      <c r="K1599" t="s">
        <v>8158</v>
      </c>
      <c r="L1599" t="s">
        <v>861</v>
      </c>
    </row>
    <row r="1600" spans="2:12" x14ac:dyDescent="0.2">
      <c r="B1600">
        <v>11055</v>
      </c>
      <c r="C1600" t="s">
        <v>8258</v>
      </c>
      <c r="D1600" t="s">
        <v>8244</v>
      </c>
      <c r="E1600" s="225">
        <v>390</v>
      </c>
      <c r="F1600" t="s">
        <v>8732</v>
      </c>
      <c r="G1600" t="s">
        <v>8731</v>
      </c>
      <c r="H1600" t="s">
        <v>8707</v>
      </c>
      <c r="I1600" s="99">
        <v>44148</v>
      </c>
      <c r="J1600" s="99">
        <v>44155</v>
      </c>
      <c r="K1600" t="s">
        <v>8158</v>
      </c>
      <c r="L1600" t="s">
        <v>861</v>
      </c>
    </row>
    <row r="1601" spans="2:12" x14ac:dyDescent="0.2">
      <c r="B1601">
        <v>11055</v>
      </c>
      <c r="C1601" t="s">
        <v>8245</v>
      </c>
      <c r="D1601" t="s">
        <v>8247</v>
      </c>
      <c r="E1601" s="225">
        <v>1060</v>
      </c>
      <c r="F1601" t="s">
        <v>8732</v>
      </c>
      <c r="G1601" t="s">
        <v>8731</v>
      </c>
      <c r="H1601" t="s">
        <v>8707</v>
      </c>
      <c r="I1601" s="99">
        <v>44148</v>
      </c>
      <c r="J1601" s="99">
        <v>44155</v>
      </c>
      <c r="K1601" t="s">
        <v>8158</v>
      </c>
      <c r="L1601" t="s">
        <v>861</v>
      </c>
    </row>
    <row r="1602" spans="2:12" x14ac:dyDescent="0.2">
      <c r="B1602">
        <v>11056</v>
      </c>
      <c r="C1602" t="s">
        <v>8268</v>
      </c>
      <c r="D1602" t="s">
        <v>8237</v>
      </c>
      <c r="E1602" s="225">
        <v>1700</v>
      </c>
      <c r="F1602" t="s">
        <v>8393</v>
      </c>
      <c r="G1602" t="s">
        <v>8394</v>
      </c>
      <c r="H1602" t="s">
        <v>2434</v>
      </c>
      <c r="I1602" s="99">
        <v>44148</v>
      </c>
      <c r="J1602" s="99">
        <v>44151</v>
      </c>
      <c r="K1602" t="s">
        <v>8320</v>
      </c>
      <c r="L1602" t="s">
        <v>8321</v>
      </c>
    </row>
    <row r="1603" spans="2:12" x14ac:dyDescent="0.2">
      <c r="B1603">
        <v>11056</v>
      </c>
      <c r="C1603" t="s">
        <v>8415</v>
      </c>
      <c r="D1603" t="s">
        <v>8247</v>
      </c>
      <c r="E1603" s="225">
        <v>1200</v>
      </c>
      <c r="F1603" t="s">
        <v>8393</v>
      </c>
      <c r="G1603" t="s">
        <v>8394</v>
      </c>
      <c r="H1603" t="s">
        <v>2434</v>
      </c>
      <c r="I1603" s="99">
        <v>44148</v>
      </c>
      <c r="J1603" s="99">
        <v>44151</v>
      </c>
      <c r="K1603" t="s">
        <v>8320</v>
      </c>
      <c r="L1603" t="s">
        <v>8321</v>
      </c>
    </row>
    <row r="1604" spans="2:12" x14ac:dyDescent="0.2">
      <c r="B1604">
        <v>11057</v>
      </c>
      <c r="C1604" t="s">
        <v>8288</v>
      </c>
      <c r="D1604" t="s">
        <v>8272</v>
      </c>
      <c r="E1604" s="225">
        <v>45</v>
      </c>
      <c r="F1604" t="s">
        <v>8418</v>
      </c>
      <c r="G1604" t="s">
        <v>8419</v>
      </c>
      <c r="H1604" t="s">
        <v>2434</v>
      </c>
      <c r="I1604" s="99">
        <v>44149</v>
      </c>
      <c r="J1604" s="99">
        <v>44151</v>
      </c>
      <c r="K1604" t="s">
        <v>8257</v>
      </c>
      <c r="L1604" t="s">
        <v>6984</v>
      </c>
    </row>
    <row r="1605" spans="2:12" x14ac:dyDescent="0.2">
      <c r="B1605">
        <v>11058</v>
      </c>
      <c r="C1605" t="s">
        <v>8409</v>
      </c>
      <c r="D1605" t="s">
        <v>8254</v>
      </c>
      <c r="E1605" s="225">
        <v>114</v>
      </c>
      <c r="F1605" t="s">
        <v>8416</v>
      </c>
      <c r="G1605" t="s">
        <v>8417</v>
      </c>
      <c r="H1605" t="s">
        <v>8246</v>
      </c>
      <c r="I1605" s="99">
        <v>44149</v>
      </c>
      <c r="K1605" t="s">
        <v>8279</v>
      </c>
      <c r="L1605" t="s">
        <v>710</v>
      </c>
    </row>
    <row r="1606" spans="2:12" x14ac:dyDescent="0.2">
      <c r="B1606">
        <v>11058</v>
      </c>
      <c r="C1606" t="s">
        <v>8368</v>
      </c>
      <c r="D1606" t="s">
        <v>8262</v>
      </c>
      <c r="E1606" s="225">
        <v>30</v>
      </c>
      <c r="F1606" t="s">
        <v>8416</v>
      </c>
      <c r="G1606" t="s">
        <v>8417</v>
      </c>
      <c r="H1606" t="s">
        <v>8246</v>
      </c>
      <c r="I1606" s="99">
        <v>44149</v>
      </c>
      <c r="K1606" t="s">
        <v>8279</v>
      </c>
      <c r="L1606" t="s">
        <v>710</v>
      </c>
    </row>
    <row r="1607" spans="2:12" x14ac:dyDescent="0.2">
      <c r="B1607">
        <v>11058</v>
      </c>
      <c r="C1607" t="s">
        <v>8268</v>
      </c>
      <c r="D1607" t="s">
        <v>8237</v>
      </c>
      <c r="E1607" s="225">
        <v>714</v>
      </c>
      <c r="F1607" t="s">
        <v>8416</v>
      </c>
      <c r="G1607" t="s">
        <v>8417</v>
      </c>
      <c r="H1607" t="s">
        <v>8246</v>
      </c>
      <c r="I1607" s="99">
        <v>44149</v>
      </c>
      <c r="K1607" t="s">
        <v>8279</v>
      </c>
      <c r="L1607" t="s">
        <v>710</v>
      </c>
    </row>
    <row r="1608" spans="2:12" x14ac:dyDescent="0.2">
      <c r="B1608">
        <v>11059</v>
      </c>
      <c r="C1608" t="s">
        <v>8268</v>
      </c>
      <c r="D1608" t="s">
        <v>8237</v>
      </c>
      <c r="E1608" s="225">
        <v>1190</v>
      </c>
      <c r="F1608" t="s">
        <v>8716</v>
      </c>
      <c r="G1608" t="s">
        <v>8715</v>
      </c>
      <c r="H1608" t="s">
        <v>8710</v>
      </c>
      <c r="I1608" s="99">
        <v>44149</v>
      </c>
      <c r="K1608" t="s">
        <v>8297</v>
      </c>
      <c r="L1608" t="s">
        <v>8298</v>
      </c>
    </row>
    <row r="1609" spans="2:12" x14ac:dyDescent="0.2">
      <c r="B1609">
        <v>11060</v>
      </c>
      <c r="C1609" t="s">
        <v>8397</v>
      </c>
      <c r="D1609" t="s">
        <v>8254</v>
      </c>
      <c r="E1609" s="225">
        <v>130</v>
      </c>
      <c r="F1609" t="s">
        <v>8411</v>
      </c>
      <c r="G1609" t="s">
        <v>8412</v>
      </c>
      <c r="H1609" t="s">
        <v>8311</v>
      </c>
      <c r="I1609" s="99">
        <v>44150</v>
      </c>
      <c r="J1609" s="99">
        <v>44154</v>
      </c>
      <c r="K1609" t="s">
        <v>8297</v>
      </c>
      <c r="L1609" t="s">
        <v>8298</v>
      </c>
    </row>
    <row r="1610" spans="2:12" x14ac:dyDescent="0.2">
      <c r="B1610">
        <v>11060</v>
      </c>
      <c r="C1610" t="s">
        <v>8268</v>
      </c>
      <c r="D1610" t="s">
        <v>8237</v>
      </c>
      <c r="E1610" s="225">
        <v>136</v>
      </c>
      <c r="F1610" t="s">
        <v>8411</v>
      </c>
      <c r="G1610" t="s">
        <v>8412</v>
      </c>
      <c r="H1610" t="s">
        <v>8311</v>
      </c>
      <c r="I1610" s="99">
        <v>44150</v>
      </c>
      <c r="J1610" s="99">
        <v>44154</v>
      </c>
      <c r="K1610" t="s">
        <v>8297</v>
      </c>
      <c r="L1610" t="s">
        <v>8298</v>
      </c>
    </row>
    <row r="1611" spans="2:12" x14ac:dyDescent="0.2">
      <c r="B1611">
        <v>11061</v>
      </c>
      <c r="C1611" t="s">
        <v>8268</v>
      </c>
      <c r="D1611" t="s">
        <v>8237</v>
      </c>
      <c r="E1611" s="225">
        <v>510</v>
      </c>
      <c r="F1611" t="s">
        <v>8714</v>
      </c>
      <c r="G1611" t="s">
        <v>8713</v>
      </c>
      <c r="H1611" t="s">
        <v>8701</v>
      </c>
      <c r="I1611" s="99">
        <v>44150</v>
      </c>
      <c r="K1611" t="s">
        <v>8266</v>
      </c>
      <c r="L1611" t="s">
        <v>8267</v>
      </c>
    </row>
    <row r="1612" spans="2:12" x14ac:dyDescent="0.2">
      <c r="B1612">
        <v>11062</v>
      </c>
      <c r="C1612" t="s">
        <v>8288</v>
      </c>
      <c r="D1612" t="s">
        <v>8272</v>
      </c>
      <c r="E1612" s="225">
        <v>144</v>
      </c>
      <c r="F1612" t="s">
        <v>8335</v>
      </c>
      <c r="G1612" t="s">
        <v>8336</v>
      </c>
      <c r="H1612" t="s">
        <v>8311</v>
      </c>
      <c r="I1612" s="99">
        <v>44150</v>
      </c>
      <c r="K1612" t="s">
        <v>8266</v>
      </c>
      <c r="L1612" t="s">
        <v>8267</v>
      </c>
    </row>
    <row r="1613" spans="2:12" x14ac:dyDescent="0.2">
      <c r="B1613">
        <v>11063</v>
      </c>
      <c r="C1613" t="s">
        <v>8358</v>
      </c>
      <c r="D1613" t="s">
        <v>8272</v>
      </c>
      <c r="E1613" s="225">
        <v>420</v>
      </c>
      <c r="F1613" t="s">
        <v>8344</v>
      </c>
      <c r="G1613" t="s">
        <v>8345</v>
      </c>
      <c r="H1613" t="s">
        <v>8343</v>
      </c>
      <c r="I1613" s="99">
        <v>44150</v>
      </c>
      <c r="J1613" s="99">
        <v>44156</v>
      </c>
      <c r="K1613" t="s">
        <v>8257</v>
      </c>
      <c r="L1613" t="s">
        <v>6984</v>
      </c>
    </row>
    <row r="1614" spans="2:12" x14ac:dyDescent="0.2">
      <c r="B1614">
        <v>11064</v>
      </c>
      <c r="C1614" t="s">
        <v>8334</v>
      </c>
      <c r="D1614" t="s">
        <v>8262</v>
      </c>
      <c r="E1614" s="225">
        <v>687.5</v>
      </c>
      <c r="F1614" t="s">
        <v>8758</v>
      </c>
      <c r="G1614" t="s">
        <v>8757</v>
      </c>
      <c r="H1614" t="s">
        <v>8701</v>
      </c>
      <c r="I1614" s="99">
        <v>44151</v>
      </c>
      <c r="J1614" s="99">
        <v>44154</v>
      </c>
      <c r="K1614" t="s">
        <v>8285</v>
      </c>
      <c r="L1614" t="s">
        <v>2317</v>
      </c>
    </row>
    <row r="1615" spans="2:12" x14ac:dyDescent="0.2">
      <c r="B1615">
        <v>11066</v>
      </c>
      <c r="C1615" t="s">
        <v>8358</v>
      </c>
      <c r="D1615" t="s">
        <v>8272</v>
      </c>
      <c r="E1615" s="225">
        <v>490</v>
      </c>
      <c r="F1615" t="s">
        <v>8740</v>
      </c>
      <c r="G1615" t="s">
        <v>8739</v>
      </c>
      <c r="H1615" t="s">
        <v>8701</v>
      </c>
      <c r="I1615" s="99">
        <v>44151</v>
      </c>
      <c r="J1615" s="99">
        <v>44154</v>
      </c>
      <c r="K1615" t="s">
        <v>8158</v>
      </c>
      <c r="L1615" t="s">
        <v>861</v>
      </c>
    </row>
    <row r="1616" spans="2:12" x14ac:dyDescent="0.2">
      <c r="B1616">
        <v>11066</v>
      </c>
      <c r="C1616" t="s">
        <v>8280</v>
      </c>
      <c r="D1616" t="s">
        <v>8262</v>
      </c>
      <c r="E1616" s="225">
        <v>52.35</v>
      </c>
      <c r="F1616" t="s">
        <v>8740</v>
      </c>
      <c r="G1616" t="s">
        <v>8739</v>
      </c>
      <c r="H1616" t="s">
        <v>8701</v>
      </c>
      <c r="I1616" s="99">
        <v>44151</v>
      </c>
      <c r="J1616" s="99">
        <v>44154</v>
      </c>
      <c r="K1616" t="s">
        <v>8158</v>
      </c>
      <c r="L1616" t="s">
        <v>861</v>
      </c>
    </row>
    <row r="1617" spans="2:12" x14ac:dyDescent="0.2">
      <c r="B1617">
        <v>11066</v>
      </c>
      <c r="C1617" t="s">
        <v>8327</v>
      </c>
      <c r="D1617" t="s">
        <v>8262</v>
      </c>
      <c r="E1617" s="225">
        <v>386.4</v>
      </c>
      <c r="F1617" t="s">
        <v>8740</v>
      </c>
      <c r="G1617" t="s">
        <v>8739</v>
      </c>
      <c r="H1617" t="s">
        <v>8701</v>
      </c>
      <c r="I1617" s="99">
        <v>44151</v>
      </c>
      <c r="J1617" s="99">
        <v>44154</v>
      </c>
      <c r="K1617" t="s">
        <v>8158</v>
      </c>
      <c r="L1617" t="s">
        <v>861</v>
      </c>
    </row>
    <row r="1618" spans="2:12" x14ac:dyDescent="0.2">
      <c r="B1618">
        <v>11068</v>
      </c>
      <c r="C1618" t="s">
        <v>8306</v>
      </c>
      <c r="D1618" t="s">
        <v>8272</v>
      </c>
      <c r="E1618" s="225">
        <v>1407.6</v>
      </c>
      <c r="F1618" t="s">
        <v>8712</v>
      </c>
      <c r="G1618" t="s">
        <v>8711</v>
      </c>
      <c r="H1618" t="s">
        <v>8710</v>
      </c>
      <c r="I1618" s="99">
        <v>44154</v>
      </c>
      <c r="K1618" t="s">
        <v>8320</v>
      </c>
      <c r="L1618" t="s">
        <v>8321</v>
      </c>
    </row>
    <row r="1619" spans="2:12" x14ac:dyDescent="0.2">
      <c r="B1619">
        <v>11068</v>
      </c>
      <c r="C1619" t="s">
        <v>8397</v>
      </c>
      <c r="D1619" t="s">
        <v>8254</v>
      </c>
      <c r="E1619" s="225">
        <v>309.39999999999998</v>
      </c>
      <c r="F1619" t="s">
        <v>8712</v>
      </c>
      <c r="G1619" t="s">
        <v>8711</v>
      </c>
      <c r="H1619" t="s">
        <v>8710</v>
      </c>
      <c r="I1619" s="99">
        <v>44154</v>
      </c>
      <c r="K1619" t="s">
        <v>8320</v>
      </c>
      <c r="L1619" t="s">
        <v>8321</v>
      </c>
    </row>
    <row r="1620" spans="2:12" x14ac:dyDescent="0.2">
      <c r="B1620">
        <v>11068</v>
      </c>
      <c r="C1620" t="s">
        <v>8316</v>
      </c>
      <c r="D1620" t="s">
        <v>8247</v>
      </c>
      <c r="E1620" s="225">
        <v>310.08</v>
      </c>
      <c r="F1620" t="s">
        <v>8712</v>
      </c>
      <c r="G1620" t="s">
        <v>8711</v>
      </c>
      <c r="H1620" t="s">
        <v>8710</v>
      </c>
      <c r="I1620" s="99">
        <v>44154</v>
      </c>
      <c r="K1620" t="s">
        <v>8320</v>
      </c>
      <c r="L1620" t="s">
        <v>8321</v>
      </c>
    </row>
    <row r="1621" spans="2:12" x14ac:dyDescent="0.2">
      <c r="B1621">
        <v>11069</v>
      </c>
      <c r="C1621" t="s">
        <v>8342</v>
      </c>
      <c r="D1621" t="s">
        <v>8272</v>
      </c>
      <c r="E1621" s="225">
        <v>360</v>
      </c>
      <c r="F1621" t="s">
        <v>8742</v>
      </c>
      <c r="G1621" t="s">
        <v>8741</v>
      </c>
      <c r="H1621" t="s">
        <v>8704</v>
      </c>
      <c r="I1621" s="99">
        <v>44154</v>
      </c>
      <c r="J1621" s="99">
        <v>44156</v>
      </c>
      <c r="K1621" t="s">
        <v>8285</v>
      </c>
      <c r="L1621" t="s">
        <v>2317</v>
      </c>
    </row>
    <row r="1622" spans="2:12" x14ac:dyDescent="0.2">
      <c r="B1622">
        <v>11070</v>
      </c>
      <c r="C1622" t="s">
        <v>8333</v>
      </c>
      <c r="D1622" t="s">
        <v>8272</v>
      </c>
      <c r="E1622" s="225">
        <v>612</v>
      </c>
      <c r="F1622" t="s">
        <v>8330</v>
      </c>
      <c r="G1622" t="s">
        <v>8331</v>
      </c>
      <c r="H1622" t="s">
        <v>8246</v>
      </c>
      <c r="I1622" s="99">
        <v>44155</v>
      </c>
      <c r="K1622" t="s">
        <v>8297</v>
      </c>
      <c r="L1622" t="s">
        <v>8298</v>
      </c>
    </row>
    <row r="1623" spans="2:12" x14ac:dyDescent="0.2">
      <c r="B1623">
        <v>11070</v>
      </c>
      <c r="C1623" t="s">
        <v>8276</v>
      </c>
      <c r="D1623" t="s">
        <v>8272</v>
      </c>
      <c r="E1623" s="225">
        <v>323</v>
      </c>
      <c r="F1623" t="s">
        <v>8330</v>
      </c>
      <c r="G1623" t="s">
        <v>8331</v>
      </c>
      <c r="H1623" t="s">
        <v>8246</v>
      </c>
      <c r="I1623" s="99">
        <v>44155</v>
      </c>
      <c r="K1623" t="s">
        <v>8297</v>
      </c>
      <c r="L1623" t="s">
        <v>8298</v>
      </c>
    </row>
    <row r="1624" spans="2:12" x14ac:dyDescent="0.2">
      <c r="B1624">
        <v>11070</v>
      </c>
      <c r="C1624" t="s">
        <v>8280</v>
      </c>
      <c r="D1624" t="s">
        <v>8262</v>
      </c>
      <c r="E1624" s="225">
        <v>444.97</v>
      </c>
      <c r="F1624" t="s">
        <v>8330</v>
      </c>
      <c r="G1624" t="s">
        <v>8331</v>
      </c>
      <c r="H1624" t="s">
        <v>8246</v>
      </c>
      <c r="I1624" s="99">
        <v>44155</v>
      </c>
      <c r="K1624" t="s">
        <v>8297</v>
      </c>
      <c r="L1624" t="s">
        <v>8298</v>
      </c>
    </row>
    <row r="1625" spans="2:12" x14ac:dyDescent="0.2">
      <c r="B1625">
        <v>11070</v>
      </c>
      <c r="C1625" t="s">
        <v>8309</v>
      </c>
      <c r="D1625" t="s">
        <v>8237</v>
      </c>
      <c r="E1625" s="225">
        <v>250</v>
      </c>
      <c r="F1625" t="s">
        <v>8330</v>
      </c>
      <c r="G1625" t="s">
        <v>8331</v>
      </c>
      <c r="H1625" t="s">
        <v>8246</v>
      </c>
      <c r="I1625" s="99">
        <v>44155</v>
      </c>
      <c r="K1625" t="s">
        <v>8297</v>
      </c>
      <c r="L1625" t="s">
        <v>8298</v>
      </c>
    </row>
    <row r="1626" spans="2:12" x14ac:dyDescent="0.2">
      <c r="B1626">
        <v>11071</v>
      </c>
      <c r="C1626" t="s">
        <v>8415</v>
      </c>
      <c r="D1626" t="s">
        <v>8247</v>
      </c>
      <c r="E1626" s="225">
        <v>427.5</v>
      </c>
      <c r="F1626" t="s">
        <v>8709</v>
      </c>
      <c r="G1626" t="s">
        <v>8708</v>
      </c>
      <c r="H1626" t="s">
        <v>8707</v>
      </c>
      <c r="I1626" s="99">
        <v>44155</v>
      </c>
      <c r="K1626" t="s">
        <v>8285</v>
      </c>
      <c r="L1626" t="s">
        <v>2317</v>
      </c>
    </row>
    <row r="1627" spans="2:12" x14ac:dyDescent="0.2">
      <c r="B1627">
        <v>11072</v>
      </c>
      <c r="C1627" t="s">
        <v>8276</v>
      </c>
      <c r="D1627" t="s">
        <v>8272</v>
      </c>
      <c r="E1627" s="225">
        <v>152</v>
      </c>
      <c r="F1627" t="s">
        <v>8283</v>
      </c>
      <c r="G1627" t="s">
        <v>8284</v>
      </c>
      <c r="H1627" t="s">
        <v>8282</v>
      </c>
      <c r="I1627" s="99">
        <v>44155</v>
      </c>
      <c r="K1627" t="s">
        <v>8266</v>
      </c>
      <c r="L1627" t="s">
        <v>8267</v>
      </c>
    </row>
    <row r="1628" spans="2:12" x14ac:dyDescent="0.2">
      <c r="B1628">
        <v>11072</v>
      </c>
      <c r="C1628" t="s">
        <v>8381</v>
      </c>
      <c r="D1628" t="s">
        <v>8262</v>
      </c>
      <c r="E1628" s="225">
        <v>357.5</v>
      </c>
      <c r="F1628" t="s">
        <v>8283</v>
      </c>
      <c r="G1628" t="s">
        <v>8284</v>
      </c>
      <c r="H1628" t="s">
        <v>8282</v>
      </c>
      <c r="I1628" s="99">
        <v>44155</v>
      </c>
      <c r="K1628" t="s">
        <v>8266</v>
      </c>
      <c r="L1628" t="s">
        <v>8267</v>
      </c>
    </row>
    <row r="1629" spans="2:12" x14ac:dyDescent="0.2">
      <c r="B1629">
        <v>11072</v>
      </c>
      <c r="C1629" t="s">
        <v>8340</v>
      </c>
      <c r="D1629" t="s">
        <v>8244</v>
      </c>
      <c r="E1629" s="225">
        <v>4322.5</v>
      </c>
      <c r="F1629" t="s">
        <v>8283</v>
      </c>
      <c r="G1629" t="s">
        <v>8284</v>
      </c>
      <c r="H1629" t="s">
        <v>8282</v>
      </c>
      <c r="I1629" s="99">
        <v>44155</v>
      </c>
      <c r="K1629" t="s">
        <v>8266</v>
      </c>
      <c r="L1629" t="s">
        <v>8267</v>
      </c>
    </row>
    <row r="1630" spans="2:12" x14ac:dyDescent="0.2">
      <c r="B1630">
        <v>11073</v>
      </c>
      <c r="C1630" t="s">
        <v>8270</v>
      </c>
      <c r="D1630" t="s">
        <v>8272</v>
      </c>
      <c r="E1630" s="225">
        <v>90</v>
      </c>
      <c r="F1630" t="s">
        <v>8706</v>
      </c>
      <c r="G1630" t="s">
        <v>8705</v>
      </c>
      <c r="H1630" t="s">
        <v>8704</v>
      </c>
      <c r="I1630" s="99">
        <v>44155</v>
      </c>
      <c r="K1630" t="s">
        <v>8297</v>
      </c>
      <c r="L1630" t="s">
        <v>8298</v>
      </c>
    </row>
    <row r="1631" spans="2:12" x14ac:dyDescent="0.2">
      <c r="B1631">
        <v>11073</v>
      </c>
      <c r="C1631" t="s">
        <v>8242</v>
      </c>
      <c r="D1631" t="s">
        <v>8237</v>
      </c>
      <c r="E1631" s="225">
        <v>210</v>
      </c>
      <c r="F1631" t="s">
        <v>8706</v>
      </c>
      <c r="G1631" t="s">
        <v>8705</v>
      </c>
      <c r="H1631" t="s">
        <v>8704</v>
      </c>
      <c r="I1631" s="99">
        <v>44155</v>
      </c>
      <c r="K1631" t="s">
        <v>8297</v>
      </c>
      <c r="L1631" t="s">
        <v>8298</v>
      </c>
    </row>
    <row r="1632" spans="2:12" x14ac:dyDescent="0.2">
      <c r="B1632">
        <v>11074</v>
      </c>
      <c r="C1632" t="s">
        <v>8280</v>
      </c>
      <c r="D1632" t="s">
        <v>8262</v>
      </c>
      <c r="E1632" s="225">
        <v>232.08</v>
      </c>
      <c r="F1632" t="s">
        <v>8375</v>
      </c>
      <c r="G1632" t="s">
        <v>8376</v>
      </c>
      <c r="H1632" t="s">
        <v>8374</v>
      </c>
      <c r="I1632" s="99">
        <v>44156</v>
      </c>
      <c r="K1632" t="s">
        <v>8158</v>
      </c>
      <c r="L1632" t="s">
        <v>861</v>
      </c>
    </row>
    <row r="1633" spans="2:12" x14ac:dyDescent="0.2">
      <c r="B1633">
        <v>11075</v>
      </c>
      <c r="C1633" t="s">
        <v>8276</v>
      </c>
      <c r="D1633" t="s">
        <v>8272</v>
      </c>
      <c r="E1633" s="225">
        <v>161.5</v>
      </c>
      <c r="F1633" t="s">
        <v>8277</v>
      </c>
      <c r="G1633" t="s">
        <v>8278</v>
      </c>
      <c r="H1633" t="s">
        <v>8271</v>
      </c>
      <c r="I1633" s="99">
        <v>44156</v>
      </c>
      <c r="K1633" t="s">
        <v>8320</v>
      </c>
      <c r="L1633" t="s">
        <v>8321</v>
      </c>
    </row>
    <row r="1634" spans="2:12" x14ac:dyDescent="0.2">
      <c r="B1634">
        <v>11075</v>
      </c>
      <c r="C1634" t="s">
        <v>8303</v>
      </c>
      <c r="D1634" t="s">
        <v>8272</v>
      </c>
      <c r="E1634" s="225">
        <v>30.6</v>
      </c>
      <c r="F1634" t="s">
        <v>8277</v>
      </c>
      <c r="G1634" t="s">
        <v>8278</v>
      </c>
      <c r="H1634" t="s">
        <v>8271</v>
      </c>
      <c r="I1634" s="99">
        <v>44156</v>
      </c>
      <c r="K1634" t="s">
        <v>8320</v>
      </c>
      <c r="L1634" t="s">
        <v>8321</v>
      </c>
    </row>
    <row r="1635" spans="2:12" x14ac:dyDescent="0.2">
      <c r="B1635">
        <v>11076</v>
      </c>
      <c r="C1635" t="s">
        <v>8351</v>
      </c>
      <c r="D1635" t="s">
        <v>8254</v>
      </c>
      <c r="E1635" s="225">
        <v>375</v>
      </c>
      <c r="F1635" t="s">
        <v>8377</v>
      </c>
      <c r="G1635" t="s">
        <v>8378</v>
      </c>
      <c r="H1635" t="s">
        <v>8236</v>
      </c>
      <c r="I1635" s="99">
        <v>44156</v>
      </c>
      <c r="K1635" t="s">
        <v>8266</v>
      </c>
      <c r="L1635" t="s">
        <v>8267</v>
      </c>
    </row>
    <row r="1636" spans="2:12" x14ac:dyDescent="0.2">
      <c r="B1636">
        <v>11076</v>
      </c>
      <c r="C1636" t="s">
        <v>8327</v>
      </c>
      <c r="D1636" t="s">
        <v>8262</v>
      </c>
      <c r="E1636" s="225">
        <v>69</v>
      </c>
      <c r="F1636" t="s">
        <v>8377</v>
      </c>
      <c r="G1636" t="s">
        <v>8378</v>
      </c>
      <c r="H1636" t="s">
        <v>8236</v>
      </c>
      <c r="I1636" s="99">
        <v>44156</v>
      </c>
      <c r="K1636" t="s">
        <v>8266</v>
      </c>
      <c r="L1636" t="s">
        <v>8267</v>
      </c>
    </row>
    <row r="1637" spans="2:12" x14ac:dyDescent="0.2">
      <c r="B1637">
        <v>11076</v>
      </c>
      <c r="C1637" t="s">
        <v>8252</v>
      </c>
      <c r="D1637" t="s">
        <v>8247</v>
      </c>
      <c r="E1637" s="225">
        <v>348.75</v>
      </c>
      <c r="F1637" t="s">
        <v>8377</v>
      </c>
      <c r="G1637" t="s">
        <v>8378</v>
      </c>
      <c r="H1637" t="s">
        <v>8236</v>
      </c>
      <c r="I1637" s="99">
        <v>44156</v>
      </c>
      <c r="K1637" t="s">
        <v>8266</v>
      </c>
      <c r="L1637" t="s">
        <v>8267</v>
      </c>
    </row>
    <row r="1638" spans="2:12" x14ac:dyDescent="0.2">
      <c r="B1638">
        <v>11077</v>
      </c>
      <c r="C1638" t="s">
        <v>8276</v>
      </c>
      <c r="D1638" t="s">
        <v>8272</v>
      </c>
      <c r="E1638" s="225">
        <v>364.8</v>
      </c>
      <c r="F1638" t="s">
        <v>8703</v>
      </c>
      <c r="G1638" t="s">
        <v>8702</v>
      </c>
      <c r="H1638" t="s">
        <v>8701</v>
      </c>
      <c r="I1638" s="99">
        <v>44156</v>
      </c>
      <c r="K1638" t="s">
        <v>8285</v>
      </c>
      <c r="L1638" t="s">
        <v>2317</v>
      </c>
    </row>
    <row r="1639" spans="2:12" x14ac:dyDescent="0.2">
      <c r="B1639">
        <v>11077</v>
      </c>
      <c r="C1639" t="s">
        <v>8342</v>
      </c>
      <c r="D1639" t="s">
        <v>8272</v>
      </c>
      <c r="E1639" s="225">
        <v>34.200000000000003</v>
      </c>
      <c r="F1639" t="s">
        <v>8703</v>
      </c>
      <c r="G1639" t="s">
        <v>8702</v>
      </c>
      <c r="H1639" t="s">
        <v>8701</v>
      </c>
      <c r="I1639" s="99">
        <v>44156</v>
      </c>
      <c r="K1639" t="s">
        <v>8285</v>
      </c>
      <c r="L1639" t="s">
        <v>2317</v>
      </c>
    </row>
    <row r="1640" spans="2:12" x14ac:dyDescent="0.2">
      <c r="B1640">
        <v>11077</v>
      </c>
      <c r="C1640" t="s">
        <v>8328</v>
      </c>
      <c r="D1640" t="s">
        <v>8272</v>
      </c>
      <c r="E1640" s="225">
        <v>31</v>
      </c>
      <c r="F1640" t="s">
        <v>8703</v>
      </c>
      <c r="G1640" t="s">
        <v>8702</v>
      </c>
      <c r="H1640" t="s">
        <v>8701</v>
      </c>
      <c r="I1640" s="99">
        <v>44156</v>
      </c>
      <c r="K1640" t="s">
        <v>8285</v>
      </c>
      <c r="L1640" t="s">
        <v>2317</v>
      </c>
    </row>
    <row r="1641" spans="2:12" x14ac:dyDescent="0.2">
      <c r="B1641">
        <v>11077</v>
      </c>
      <c r="C1641" t="s">
        <v>8337</v>
      </c>
      <c r="D1641" t="s">
        <v>8254</v>
      </c>
      <c r="E1641" s="225">
        <v>40</v>
      </c>
      <c r="F1641" t="s">
        <v>8703</v>
      </c>
      <c r="G1641" t="s">
        <v>8702</v>
      </c>
      <c r="H1641" t="s">
        <v>8701</v>
      </c>
      <c r="I1641" s="99">
        <v>44156</v>
      </c>
      <c r="K1641" t="s">
        <v>8285</v>
      </c>
      <c r="L1641" t="s">
        <v>2317</v>
      </c>
    </row>
    <row r="1642" spans="2:12" x14ac:dyDescent="0.2">
      <c r="B1642">
        <v>11077</v>
      </c>
      <c r="C1642" t="s">
        <v>8352</v>
      </c>
      <c r="D1642" t="s">
        <v>8254</v>
      </c>
      <c r="E1642" s="225">
        <v>22</v>
      </c>
      <c r="F1642" t="s">
        <v>8703</v>
      </c>
      <c r="G1642" t="s">
        <v>8702</v>
      </c>
      <c r="H1642" t="s">
        <v>8701</v>
      </c>
      <c r="I1642" s="99">
        <v>44156</v>
      </c>
      <c r="K1642" t="s">
        <v>8285</v>
      </c>
      <c r="L1642" t="s">
        <v>2317</v>
      </c>
    </row>
    <row r="1643" spans="2:12" x14ac:dyDescent="0.2">
      <c r="B1643">
        <v>11077</v>
      </c>
      <c r="C1643" t="s">
        <v>8351</v>
      </c>
      <c r="D1643" t="s">
        <v>8254</v>
      </c>
      <c r="E1643" s="225">
        <v>24.5</v>
      </c>
      <c r="F1643" t="s">
        <v>8703</v>
      </c>
      <c r="G1643" t="s">
        <v>8702</v>
      </c>
      <c r="H1643" t="s">
        <v>8701</v>
      </c>
      <c r="I1643" s="99">
        <v>44156</v>
      </c>
      <c r="K1643" t="s">
        <v>8285</v>
      </c>
      <c r="L1643" t="s">
        <v>2317</v>
      </c>
    </row>
    <row r="1644" spans="2:12" x14ac:dyDescent="0.2">
      <c r="B1644">
        <v>11077</v>
      </c>
      <c r="C1644" t="s">
        <v>8379</v>
      </c>
      <c r="D1644" t="s">
        <v>8254</v>
      </c>
      <c r="E1644" s="225">
        <v>72</v>
      </c>
      <c r="F1644" t="s">
        <v>8703</v>
      </c>
      <c r="G1644" t="s">
        <v>8702</v>
      </c>
      <c r="H1644" t="s">
        <v>8701</v>
      </c>
      <c r="I1644" s="99">
        <v>44156</v>
      </c>
      <c r="K1644" t="s">
        <v>8285</v>
      </c>
      <c r="L1644" t="s">
        <v>2317</v>
      </c>
    </row>
    <row r="1645" spans="2:12" x14ac:dyDescent="0.2">
      <c r="B1645">
        <v>11077</v>
      </c>
      <c r="C1645" t="s">
        <v>8348</v>
      </c>
      <c r="D1645" t="s">
        <v>8254</v>
      </c>
      <c r="E1645" s="225">
        <v>17</v>
      </c>
      <c r="F1645" t="s">
        <v>8703</v>
      </c>
      <c r="G1645" t="s">
        <v>8702</v>
      </c>
      <c r="H1645" t="s">
        <v>8701</v>
      </c>
      <c r="I1645" s="99">
        <v>44156</v>
      </c>
      <c r="K1645" t="s">
        <v>8285</v>
      </c>
      <c r="L1645" t="s">
        <v>2317</v>
      </c>
    </row>
    <row r="1646" spans="2:12" x14ac:dyDescent="0.2">
      <c r="B1646">
        <v>11077</v>
      </c>
      <c r="C1646" t="s">
        <v>8397</v>
      </c>
      <c r="D1646" t="s">
        <v>8254</v>
      </c>
      <c r="E1646" s="225">
        <v>26</v>
      </c>
      <c r="F1646" t="s">
        <v>8703</v>
      </c>
      <c r="G1646" t="s">
        <v>8702</v>
      </c>
      <c r="H1646" t="s">
        <v>8701</v>
      </c>
      <c r="I1646" s="99">
        <v>44156</v>
      </c>
      <c r="K1646" t="s">
        <v>8285</v>
      </c>
      <c r="L1646" t="s">
        <v>2317</v>
      </c>
    </row>
    <row r="1647" spans="2:12" x14ac:dyDescent="0.2">
      <c r="B1647">
        <v>11077</v>
      </c>
      <c r="C1647" t="s">
        <v>8280</v>
      </c>
      <c r="D1647" t="s">
        <v>8262</v>
      </c>
      <c r="E1647" s="225">
        <v>33.85</v>
      </c>
      <c r="F1647" t="s">
        <v>8703</v>
      </c>
      <c r="G1647" t="s">
        <v>8702</v>
      </c>
      <c r="H1647" t="s">
        <v>8701</v>
      </c>
      <c r="I1647" s="99">
        <v>44156</v>
      </c>
      <c r="K1647" t="s">
        <v>8285</v>
      </c>
      <c r="L1647" t="s">
        <v>2317</v>
      </c>
    </row>
    <row r="1648" spans="2:12" x14ac:dyDescent="0.2">
      <c r="B1648">
        <v>11077</v>
      </c>
      <c r="C1648" t="s">
        <v>8260</v>
      </c>
      <c r="D1648" t="s">
        <v>8262</v>
      </c>
      <c r="E1648" s="225">
        <v>77.760000000000005</v>
      </c>
      <c r="F1648" t="s">
        <v>8703</v>
      </c>
      <c r="G1648" t="s">
        <v>8702</v>
      </c>
      <c r="H1648" t="s">
        <v>8701</v>
      </c>
      <c r="I1648" s="99">
        <v>44156</v>
      </c>
      <c r="K1648" t="s">
        <v>8285</v>
      </c>
      <c r="L1648" t="s">
        <v>2317</v>
      </c>
    </row>
    <row r="1649" spans="2:12" x14ac:dyDescent="0.2">
      <c r="B1649">
        <v>11077</v>
      </c>
      <c r="C1649" t="s">
        <v>8299</v>
      </c>
      <c r="D1649" t="s">
        <v>8237</v>
      </c>
      <c r="E1649" s="225">
        <v>72.2</v>
      </c>
      <c r="F1649" t="s">
        <v>8703</v>
      </c>
      <c r="G1649" t="s">
        <v>8702</v>
      </c>
      <c r="H1649" t="s">
        <v>8701</v>
      </c>
      <c r="I1649" s="99">
        <v>44156</v>
      </c>
      <c r="K1649" t="s">
        <v>8285</v>
      </c>
      <c r="L1649" t="s">
        <v>2317</v>
      </c>
    </row>
    <row r="1650" spans="2:12" x14ac:dyDescent="0.2">
      <c r="B1650">
        <v>11077</v>
      </c>
      <c r="C1650" t="s">
        <v>8287</v>
      </c>
      <c r="D1650" t="s">
        <v>8237</v>
      </c>
      <c r="E1650" s="225">
        <v>32</v>
      </c>
      <c r="F1650" t="s">
        <v>8703</v>
      </c>
      <c r="G1650" t="s">
        <v>8702</v>
      </c>
      <c r="H1650" t="s">
        <v>8701</v>
      </c>
      <c r="I1650" s="99">
        <v>44156</v>
      </c>
      <c r="K1650" t="s">
        <v>8285</v>
      </c>
      <c r="L1650" t="s">
        <v>2317</v>
      </c>
    </row>
    <row r="1651" spans="2:12" x14ac:dyDescent="0.2">
      <c r="B1651">
        <v>11077</v>
      </c>
      <c r="C1651" t="s">
        <v>8268</v>
      </c>
      <c r="D1651" t="s">
        <v>8237</v>
      </c>
      <c r="E1651" s="225">
        <v>63.92</v>
      </c>
      <c r="F1651" t="s">
        <v>8703</v>
      </c>
      <c r="G1651" t="s">
        <v>8702</v>
      </c>
      <c r="H1651" t="s">
        <v>8701</v>
      </c>
      <c r="I1651" s="99">
        <v>44156</v>
      </c>
      <c r="K1651" t="s">
        <v>8285</v>
      </c>
      <c r="L1651" t="s">
        <v>2317</v>
      </c>
    </row>
    <row r="1652" spans="2:12" x14ac:dyDescent="0.2">
      <c r="B1652">
        <v>11077</v>
      </c>
      <c r="C1652" t="s">
        <v>8373</v>
      </c>
      <c r="D1652" t="s">
        <v>8244</v>
      </c>
      <c r="E1652" s="225">
        <v>18</v>
      </c>
      <c r="F1652" t="s">
        <v>8703</v>
      </c>
      <c r="G1652" t="s">
        <v>8702</v>
      </c>
      <c r="H1652" t="s">
        <v>8701</v>
      </c>
      <c r="I1652" s="99">
        <v>44156</v>
      </c>
      <c r="K1652" t="s">
        <v>8285</v>
      </c>
      <c r="L1652" t="s">
        <v>2317</v>
      </c>
    </row>
    <row r="1653" spans="2:12" x14ac:dyDescent="0.2">
      <c r="B1653">
        <v>11077</v>
      </c>
      <c r="C1653" t="s">
        <v>8369</v>
      </c>
      <c r="D1653" t="s">
        <v>8244</v>
      </c>
      <c r="E1653" s="225">
        <v>14</v>
      </c>
      <c r="F1653" t="s">
        <v>8703</v>
      </c>
      <c r="G1653" t="s">
        <v>8702</v>
      </c>
      <c r="H1653" t="s">
        <v>8701</v>
      </c>
      <c r="I1653" s="99">
        <v>44156</v>
      </c>
      <c r="K1653" t="s">
        <v>8285</v>
      </c>
      <c r="L1653" t="s">
        <v>2317</v>
      </c>
    </row>
    <row r="1654" spans="2:12" x14ac:dyDescent="0.2">
      <c r="B1654">
        <v>11077</v>
      </c>
      <c r="C1654" t="s">
        <v>8340</v>
      </c>
      <c r="D1654" t="s">
        <v>8244</v>
      </c>
      <c r="E1654" s="225">
        <v>64.510000000000005</v>
      </c>
      <c r="F1654" t="s">
        <v>8703</v>
      </c>
      <c r="G1654" t="s">
        <v>8702</v>
      </c>
      <c r="H1654" t="s">
        <v>8701</v>
      </c>
      <c r="I1654" s="99">
        <v>44156</v>
      </c>
      <c r="K1654" t="s">
        <v>8285</v>
      </c>
      <c r="L1654" t="s">
        <v>2317</v>
      </c>
    </row>
    <row r="1655" spans="2:12" x14ac:dyDescent="0.2">
      <c r="B1655">
        <v>11077</v>
      </c>
      <c r="C1655" t="s">
        <v>8415</v>
      </c>
      <c r="D1655" t="s">
        <v>8247</v>
      </c>
      <c r="E1655" s="225">
        <v>28.5</v>
      </c>
      <c r="F1655" t="s">
        <v>8703</v>
      </c>
      <c r="G1655" t="s">
        <v>8702</v>
      </c>
      <c r="H1655" t="s">
        <v>8701</v>
      </c>
      <c r="I1655" s="99">
        <v>44156</v>
      </c>
      <c r="K1655" t="s">
        <v>8285</v>
      </c>
      <c r="L1655" t="s">
        <v>2317</v>
      </c>
    </row>
    <row r="1656" spans="2:12" x14ac:dyDescent="0.2">
      <c r="B1656">
        <v>11077</v>
      </c>
      <c r="C1656" t="s">
        <v>8252</v>
      </c>
      <c r="D1656" t="s">
        <v>8247</v>
      </c>
      <c r="E1656" s="225">
        <v>22.55</v>
      </c>
      <c r="F1656" t="s">
        <v>8703</v>
      </c>
      <c r="G1656" t="s">
        <v>8702</v>
      </c>
      <c r="H1656" t="s">
        <v>8701</v>
      </c>
      <c r="I1656" s="99">
        <v>44156</v>
      </c>
      <c r="K1656" t="s">
        <v>8285</v>
      </c>
      <c r="L1656" t="s">
        <v>2317</v>
      </c>
    </row>
    <row r="1657" spans="2:12" x14ac:dyDescent="0.2">
      <c r="B1657">
        <v>11078</v>
      </c>
      <c r="C1657" t="s">
        <v>8253</v>
      </c>
      <c r="D1657" t="s">
        <v>8254</v>
      </c>
      <c r="E1657" s="225">
        <v>336</v>
      </c>
      <c r="F1657" t="s">
        <v>8255</v>
      </c>
      <c r="G1657" t="s">
        <v>8256</v>
      </c>
      <c r="H1657" t="s">
        <v>8236</v>
      </c>
      <c r="I1657" s="99">
        <v>43690</v>
      </c>
      <c r="J1657" s="99">
        <v>43697</v>
      </c>
      <c r="K1657" t="s">
        <v>8257</v>
      </c>
      <c r="L1657" t="s">
        <v>6984</v>
      </c>
    </row>
    <row r="1658" spans="2:12" x14ac:dyDescent="0.2">
      <c r="B1658">
        <v>11078</v>
      </c>
      <c r="C1658" t="s">
        <v>8259</v>
      </c>
      <c r="D1658" t="s">
        <v>8244</v>
      </c>
      <c r="E1658" s="225">
        <v>95.76</v>
      </c>
      <c r="F1658" t="s">
        <v>8255</v>
      </c>
      <c r="G1658" t="s">
        <v>8256</v>
      </c>
      <c r="H1658" t="s">
        <v>8236</v>
      </c>
      <c r="I1658" s="99">
        <v>43690</v>
      </c>
      <c r="J1658" s="99">
        <v>43697</v>
      </c>
      <c r="K1658" t="s">
        <v>8257</v>
      </c>
      <c r="L1658" t="s">
        <v>6984</v>
      </c>
    </row>
    <row r="1659" spans="2:12" x14ac:dyDescent="0.2">
      <c r="B1659">
        <v>11078</v>
      </c>
      <c r="C1659" t="s">
        <v>8258</v>
      </c>
      <c r="D1659" t="s">
        <v>8244</v>
      </c>
      <c r="E1659" s="225">
        <v>222.3</v>
      </c>
      <c r="F1659" t="s">
        <v>8255</v>
      </c>
      <c r="G1659" t="s">
        <v>8256</v>
      </c>
      <c r="H1659" t="s">
        <v>8236</v>
      </c>
      <c r="I1659" s="99">
        <v>43690</v>
      </c>
      <c r="J1659" s="99">
        <v>43697</v>
      </c>
      <c r="K1659" t="s">
        <v>8257</v>
      </c>
      <c r="L1659" t="s">
        <v>6984</v>
      </c>
    </row>
    <row r="1660" spans="2:12" x14ac:dyDescent="0.2">
      <c r="B1660">
        <v>11081</v>
      </c>
      <c r="C1660" t="s">
        <v>8288</v>
      </c>
      <c r="D1660" t="s">
        <v>8272</v>
      </c>
      <c r="E1660" s="225">
        <v>240</v>
      </c>
      <c r="F1660" t="s">
        <v>8295</v>
      </c>
      <c r="G1660" t="s">
        <v>8296</v>
      </c>
      <c r="H1660" t="s">
        <v>8236</v>
      </c>
      <c r="I1660" s="99">
        <v>43707</v>
      </c>
      <c r="J1660" s="99">
        <v>43725</v>
      </c>
      <c r="K1660" t="s">
        <v>8297</v>
      </c>
      <c r="L1660" t="s">
        <v>8298</v>
      </c>
    </row>
    <row r="1661" spans="2:12" x14ac:dyDescent="0.2">
      <c r="B1661">
        <v>11083</v>
      </c>
      <c r="C1661" t="s">
        <v>8333</v>
      </c>
      <c r="D1661" t="s">
        <v>8272</v>
      </c>
      <c r="E1661" s="225">
        <v>259.2</v>
      </c>
      <c r="F1661" t="s">
        <v>8703</v>
      </c>
      <c r="G1661" t="s">
        <v>8702</v>
      </c>
      <c r="H1661" t="s">
        <v>8701</v>
      </c>
      <c r="I1661" s="99">
        <v>43743</v>
      </c>
      <c r="J1661" s="99">
        <v>43749</v>
      </c>
      <c r="K1661" t="s">
        <v>8266</v>
      </c>
      <c r="L1661" t="s">
        <v>8267</v>
      </c>
    </row>
    <row r="1662" spans="2:12" x14ac:dyDescent="0.2">
      <c r="B1662">
        <v>11084</v>
      </c>
      <c r="C1662" t="s">
        <v>8342</v>
      </c>
      <c r="D1662" t="s">
        <v>8272</v>
      </c>
      <c r="E1662" s="225">
        <v>864</v>
      </c>
      <c r="F1662" t="s">
        <v>8295</v>
      </c>
      <c r="G1662" t="s">
        <v>8296</v>
      </c>
      <c r="H1662" t="s">
        <v>8236</v>
      </c>
      <c r="I1662" s="99">
        <v>43748</v>
      </c>
      <c r="J1662" s="99">
        <v>43754</v>
      </c>
      <c r="K1662" t="s">
        <v>8241</v>
      </c>
      <c r="L1662" t="s">
        <v>6934</v>
      </c>
    </row>
    <row r="1663" spans="2:12" x14ac:dyDescent="0.2">
      <c r="B1663">
        <v>11084</v>
      </c>
      <c r="C1663" t="s">
        <v>8235</v>
      </c>
      <c r="D1663" t="s">
        <v>8237</v>
      </c>
      <c r="E1663" s="225">
        <v>556</v>
      </c>
      <c r="F1663" t="s">
        <v>8295</v>
      </c>
      <c r="G1663" t="s">
        <v>8296</v>
      </c>
      <c r="H1663" t="s">
        <v>8236</v>
      </c>
      <c r="I1663" s="99">
        <v>43748</v>
      </c>
      <c r="J1663" s="99">
        <v>43754</v>
      </c>
      <c r="K1663" t="s">
        <v>8241</v>
      </c>
      <c r="L1663" t="s">
        <v>6934</v>
      </c>
    </row>
    <row r="1664" spans="2:12" x14ac:dyDescent="0.2">
      <c r="B1664">
        <v>11086</v>
      </c>
      <c r="C1664" t="s">
        <v>8342</v>
      </c>
      <c r="D1664" t="s">
        <v>8272</v>
      </c>
      <c r="E1664" s="225">
        <v>388.8</v>
      </c>
      <c r="F1664" t="s">
        <v>8756</v>
      </c>
      <c r="G1664" t="s">
        <v>8755</v>
      </c>
      <c r="H1664" t="s">
        <v>8701</v>
      </c>
      <c r="I1664" s="99">
        <v>43757</v>
      </c>
      <c r="J1664" s="99">
        <v>43783</v>
      </c>
      <c r="K1664" t="s">
        <v>8320</v>
      </c>
      <c r="L1664" t="s">
        <v>8321</v>
      </c>
    </row>
    <row r="1665" spans="2:12" x14ac:dyDescent="0.2">
      <c r="B1665">
        <v>11089</v>
      </c>
      <c r="C1665" t="s">
        <v>8323</v>
      </c>
      <c r="D1665" t="s">
        <v>8272</v>
      </c>
      <c r="E1665" s="225">
        <v>856.8</v>
      </c>
      <c r="F1665" t="s">
        <v>8758</v>
      </c>
      <c r="G1665" t="s">
        <v>8757</v>
      </c>
      <c r="H1665" t="s">
        <v>8701</v>
      </c>
      <c r="I1665" s="99">
        <v>43782</v>
      </c>
      <c r="J1665" s="99">
        <v>43784</v>
      </c>
      <c r="K1665" t="s">
        <v>8279</v>
      </c>
      <c r="L1665" t="s">
        <v>710</v>
      </c>
    </row>
    <row r="1666" spans="2:12" x14ac:dyDescent="0.2">
      <c r="B1666">
        <v>11089</v>
      </c>
      <c r="C1666" t="s">
        <v>8317</v>
      </c>
      <c r="D1666" t="s">
        <v>8254</v>
      </c>
      <c r="E1666" s="225">
        <v>2386.8000000000002</v>
      </c>
      <c r="F1666" t="s">
        <v>8758</v>
      </c>
      <c r="G1666" t="s">
        <v>8757</v>
      </c>
      <c r="H1666" t="s">
        <v>8701</v>
      </c>
      <c r="I1666" s="99">
        <v>43782</v>
      </c>
      <c r="J1666" s="99">
        <v>43784</v>
      </c>
      <c r="K1666" t="s">
        <v>8279</v>
      </c>
      <c r="L1666" t="s">
        <v>710</v>
      </c>
    </row>
    <row r="1667" spans="2:12" x14ac:dyDescent="0.2">
      <c r="B1667">
        <v>11089</v>
      </c>
      <c r="C1667" t="s">
        <v>8280</v>
      </c>
      <c r="D1667" t="s">
        <v>8262</v>
      </c>
      <c r="E1667" s="225">
        <v>248.11</v>
      </c>
      <c r="F1667" t="s">
        <v>8758</v>
      </c>
      <c r="G1667" t="s">
        <v>8757</v>
      </c>
      <c r="H1667" t="s">
        <v>8701</v>
      </c>
      <c r="I1667" s="99">
        <v>43782</v>
      </c>
      <c r="J1667" s="99">
        <v>43784</v>
      </c>
      <c r="K1667" t="s">
        <v>8279</v>
      </c>
      <c r="L1667" t="s">
        <v>710</v>
      </c>
    </row>
    <row r="1668" spans="2:12" x14ac:dyDescent="0.2">
      <c r="B1668">
        <v>11089</v>
      </c>
      <c r="C1668" t="s">
        <v>8281</v>
      </c>
      <c r="D1668" t="s">
        <v>8237</v>
      </c>
      <c r="E1668" s="225">
        <v>1496</v>
      </c>
      <c r="F1668" t="s">
        <v>8758</v>
      </c>
      <c r="G1668" t="s">
        <v>8757</v>
      </c>
      <c r="H1668" t="s">
        <v>8701</v>
      </c>
      <c r="I1668" s="99">
        <v>43782</v>
      </c>
      <c r="J1668" s="99">
        <v>43784</v>
      </c>
      <c r="K1668" t="s">
        <v>8279</v>
      </c>
      <c r="L1668" t="s">
        <v>710</v>
      </c>
    </row>
    <row r="1669" spans="2:12" x14ac:dyDescent="0.2">
      <c r="B1669">
        <v>11095</v>
      </c>
      <c r="C1669" t="s">
        <v>8334</v>
      </c>
      <c r="D1669" t="s">
        <v>8262</v>
      </c>
      <c r="E1669" s="225">
        <v>100</v>
      </c>
      <c r="F1669" t="s">
        <v>8255</v>
      </c>
      <c r="G1669" t="s">
        <v>8256</v>
      </c>
      <c r="H1669" t="s">
        <v>8236</v>
      </c>
      <c r="I1669" s="99">
        <v>43795</v>
      </c>
      <c r="J1669" s="99">
        <v>43802</v>
      </c>
      <c r="K1669" t="s">
        <v>8320</v>
      </c>
      <c r="L1669" t="s">
        <v>8321</v>
      </c>
    </row>
    <row r="1670" spans="2:12" x14ac:dyDescent="0.2">
      <c r="B1670">
        <v>11095</v>
      </c>
      <c r="C1670" t="s">
        <v>8369</v>
      </c>
      <c r="D1670" t="s">
        <v>8244</v>
      </c>
      <c r="E1670" s="225">
        <v>44.8</v>
      </c>
      <c r="F1670" t="s">
        <v>8255</v>
      </c>
      <c r="G1670" t="s">
        <v>8256</v>
      </c>
      <c r="H1670" t="s">
        <v>8236</v>
      </c>
      <c r="I1670" s="99">
        <v>43795</v>
      </c>
      <c r="J1670" s="99">
        <v>43802</v>
      </c>
      <c r="K1670" t="s">
        <v>8320</v>
      </c>
      <c r="L1670" t="s">
        <v>8321</v>
      </c>
    </row>
    <row r="1671" spans="2:12" x14ac:dyDescent="0.2">
      <c r="B1671">
        <v>11099</v>
      </c>
      <c r="C1671" t="s">
        <v>8306</v>
      </c>
      <c r="D1671" t="s">
        <v>8272</v>
      </c>
      <c r="E1671" s="225">
        <v>1398.4</v>
      </c>
      <c r="F1671" t="s">
        <v>8377</v>
      </c>
      <c r="G1671" t="s">
        <v>8378</v>
      </c>
      <c r="H1671" t="s">
        <v>8236</v>
      </c>
      <c r="I1671" s="99">
        <v>43803</v>
      </c>
      <c r="J1671" s="99">
        <v>43813</v>
      </c>
      <c r="K1671" t="s">
        <v>8285</v>
      </c>
      <c r="L1671" t="s">
        <v>2317</v>
      </c>
    </row>
    <row r="1672" spans="2:12" x14ac:dyDescent="0.2">
      <c r="B1672">
        <v>11102</v>
      </c>
      <c r="C1672" t="s">
        <v>8270</v>
      </c>
      <c r="D1672" t="s">
        <v>8272</v>
      </c>
      <c r="E1672" s="225">
        <v>90</v>
      </c>
      <c r="F1672" t="s">
        <v>8386</v>
      </c>
      <c r="G1672" t="s">
        <v>8387</v>
      </c>
      <c r="H1672" t="s">
        <v>2434</v>
      </c>
      <c r="I1672" s="99">
        <v>43820</v>
      </c>
      <c r="J1672" s="99">
        <v>43825</v>
      </c>
      <c r="K1672" t="s">
        <v>8251</v>
      </c>
      <c r="L1672" t="s">
        <v>269</v>
      </c>
    </row>
    <row r="1673" spans="2:12" x14ac:dyDescent="0.2">
      <c r="B1673">
        <v>11102</v>
      </c>
      <c r="C1673" t="s">
        <v>8258</v>
      </c>
      <c r="D1673" t="s">
        <v>8244</v>
      </c>
      <c r="E1673" s="225">
        <v>390</v>
      </c>
      <c r="F1673" t="s">
        <v>8386</v>
      </c>
      <c r="G1673" t="s">
        <v>8387</v>
      </c>
      <c r="H1673" t="s">
        <v>2434</v>
      </c>
      <c r="I1673" s="99">
        <v>43820</v>
      </c>
      <c r="J1673" s="99">
        <v>43825</v>
      </c>
      <c r="K1673" t="s">
        <v>8251</v>
      </c>
      <c r="L1673" t="s">
        <v>269</v>
      </c>
    </row>
    <row r="1674" spans="2:12" x14ac:dyDescent="0.2">
      <c r="B1674">
        <v>11104</v>
      </c>
      <c r="C1674" t="s">
        <v>8270</v>
      </c>
      <c r="D1674" t="s">
        <v>8272</v>
      </c>
      <c r="E1674" s="225">
        <v>34.200000000000003</v>
      </c>
      <c r="F1674" t="s">
        <v>8382</v>
      </c>
      <c r="G1674" t="s">
        <v>8383</v>
      </c>
      <c r="H1674" t="s">
        <v>8236</v>
      </c>
      <c r="I1674" s="99">
        <v>43825</v>
      </c>
      <c r="J1674" s="99">
        <v>43832</v>
      </c>
      <c r="K1674" t="s">
        <v>8241</v>
      </c>
      <c r="L1674" t="s">
        <v>6934</v>
      </c>
    </row>
    <row r="1675" spans="2:12" x14ac:dyDescent="0.2">
      <c r="B1675">
        <v>11104</v>
      </c>
      <c r="C1675" t="s">
        <v>8358</v>
      </c>
      <c r="D1675" t="s">
        <v>8272</v>
      </c>
      <c r="E1675" s="225">
        <v>106.4</v>
      </c>
      <c r="F1675" t="s">
        <v>8382</v>
      </c>
      <c r="G1675" t="s">
        <v>8383</v>
      </c>
      <c r="H1675" t="s">
        <v>8236</v>
      </c>
      <c r="I1675" s="99">
        <v>43825</v>
      </c>
      <c r="J1675" s="99">
        <v>43832</v>
      </c>
      <c r="K1675" t="s">
        <v>8241</v>
      </c>
      <c r="L1675" t="s">
        <v>6934</v>
      </c>
    </row>
    <row r="1676" spans="2:12" x14ac:dyDescent="0.2">
      <c r="B1676">
        <v>11107</v>
      </c>
      <c r="C1676" t="s">
        <v>8362</v>
      </c>
      <c r="D1676" t="s">
        <v>8262</v>
      </c>
      <c r="E1676" s="225">
        <v>560</v>
      </c>
      <c r="F1676" t="s">
        <v>8377</v>
      </c>
      <c r="G1676" t="s">
        <v>8378</v>
      </c>
      <c r="H1676" t="s">
        <v>8236</v>
      </c>
      <c r="I1676" s="99">
        <v>43830</v>
      </c>
      <c r="J1676" s="99">
        <v>43833</v>
      </c>
      <c r="K1676" t="s">
        <v>8257</v>
      </c>
      <c r="L1676" t="s">
        <v>6984</v>
      </c>
    </row>
    <row r="1677" spans="2:12" x14ac:dyDescent="0.2">
      <c r="B1677">
        <v>11107</v>
      </c>
      <c r="C1677" t="s">
        <v>8245</v>
      </c>
      <c r="D1677" t="s">
        <v>8247</v>
      </c>
      <c r="E1677" s="225">
        <v>848</v>
      </c>
      <c r="F1677" t="s">
        <v>8377</v>
      </c>
      <c r="G1677" t="s">
        <v>8378</v>
      </c>
      <c r="H1677" t="s">
        <v>8236</v>
      </c>
      <c r="I1677" s="99">
        <v>43830</v>
      </c>
      <c r="J1677" s="99">
        <v>43833</v>
      </c>
      <c r="K1677" t="s">
        <v>8257</v>
      </c>
      <c r="L1677" t="s">
        <v>6984</v>
      </c>
    </row>
    <row r="1678" spans="2:12" x14ac:dyDescent="0.2">
      <c r="B1678">
        <v>11110</v>
      </c>
      <c r="C1678" t="s">
        <v>8380</v>
      </c>
      <c r="D1678" t="s">
        <v>8272</v>
      </c>
      <c r="E1678" s="225">
        <v>2108</v>
      </c>
      <c r="F1678" t="s">
        <v>8295</v>
      </c>
      <c r="G1678" t="s">
        <v>8296</v>
      </c>
      <c r="H1678" t="s">
        <v>8236</v>
      </c>
      <c r="I1678" s="99">
        <v>43827</v>
      </c>
      <c r="J1678" s="99">
        <v>43837</v>
      </c>
      <c r="K1678" t="s">
        <v>8266</v>
      </c>
      <c r="L1678" t="s">
        <v>8267</v>
      </c>
    </row>
    <row r="1679" spans="2:12" x14ac:dyDescent="0.2">
      <c r="B1679">
        <v>11110</v>
      </c>
      <c r="C1679" t="s">
        <v>8390</v>
      </c>
      <c r="D1679" t="s">
        <v>8262</v>
      </c>
      <c r="E1679" s="225">
        <v>560</v>
      </c>
      <c r="F1679" t="s">
        <v>8295</v>
      </c>
      <c r="G1679" t="s">
        <v>8296</v>
      </c>
      <c r="H1679" t="s">
        <v>8236</v>
      </c>
      <c r="I1679" s="99">
        <v>43827</v>
      </c>
      <c r="J1679" s="99">
        <v>43837</v>
      </c>
      <c r="K1679" t="s">
        <v>8266</v>
      </c>
      <c r="L1679" t="s">
        <v>8267</v>
      </c>
    </row>
    <row r="1680" spans="2:12" x14ac:dyDescent="0.2">
      <c r="B1680">
        <v>11110</v>
      </c>
      <c r="C1680" t="s">
        <v>8316</v>
      </c>
      <c r="D1680" t="s">
        <v>8247</v>
      </c>
      <c r="E1680" s="225">
        <v>1092</v>
      </c>
      <c r="F1680" t="s">
        <v>8295</v>
      </c>
      <c r="G1680" t="s">
        <v>8296</v>
      </c>
      <c r="H1680" t="s">
        <v>8236</v>
      </c>
      <c r="I1680" s="99">
        <v>43827</v>
      </c>
      <c r="J1680" s="99">
        <v>43837</v>
      </c>
      <c r="K1680" t="s">
        <v>8266</v>
      </c>
      <c r="L1680" t="s">
        <v>8267</v>
      </c>
    </row>
    <row r="1681" spans="2:12" x14ac:dyDescent="0.2">
      <c r="B1681">
        <v>11115</v>
      </c>
      <c r="C1681" t="s">
        <v>8381</v>
      </c>
      <c r="D1681" t="s">
        <v>8262</v>
      </c>
      <c r="E1681" s="225">
        <v>175.5</v>
      </c>
      <c r="F1681" t="s">
        <v>8382</v>
      </c>
      <c r="G1681" t="s">
        <v>8383</v>
      </c>
      <c r="H1681" t="s">
        <v>8236</v>
      </c>
      <c r="I1681" s="99">
        <v>43816</v>
      </c>
      <c r="J1681" s="99">
        <v>43838</v>
      </c>
      <c r="K1681" t="s">
        <v>8251</v>
      </c>
      <c r="L1681" t="s">
        <v>269</v>
      </c>
    </row>
    <row r="1682" spans="2:12" x14ac:dyDescent="0.2">
      <c r="B1682">
        <v>11115</v>
      </c>
      <c r="C1682" t="s">
        <v>8353</v>
      </c>
      <c r="D1682" t="s">
        <v>8237</v>
      </c>
      <c r="E1682" s="225">
        <v>466.56</v>
      </c>
      <c r="F1682" t="s">
        <v>8382</v>
      </c>
      <c r="G1682" t="s">
        <v>8383</v>
      </c>
      <c r="H1682" t="s">
        <v>8236</v>
      </c>
      <c r="I1682" s="99">
        <v>43816</v>
      </c>
      <c r="J1682" s="99">
        <v>43838</v>
      </c>
      <c r="K1682" t="s">
        <v>8251</v>
      </c>
      <c r="L1682" t="s">
        <v>269</v>
      </c>
    </row>
    <row r="1683" spans="2:12" x14ac:dyDescent="0.2">
      <c r="B1683">
        <v>11117</v>
      </c>
      <c r="C1683" t="s">
        <v>8381</v>
      </c>
      <c r="D1683" t="s">
        <v>8262</v>
      </c>
      <c r="E1683" s="225">
        <v>195</v>
      </c>
      <c r="F1683" t="s">
        <v>8386</v>
      </c>
      <c r="G1683" t="s">
        <v>8387</v>
      </c>
      <c r="H1683" t="s">
        <v>2434</v>
      </c>
      <c r="I1683" s="99">
        <v>43851</v>
      </c>
      <c r="J1683" s="99">
        <v>43853</v>
      </c>
      <c r="K1683" t="s">
        <v>8320</v>
      </c>
      <c r="L1683" t="s">
        <v>8321</v>
      </c>
    </row>
    <row r="1684" spans="2:12" x14ac:dyDescent="0.2">
      <c r="B1684">
        <v>11117</v>
      </c>
      <c r="C1684" t="s">
        <v>8341</v>
      </c>
      <c r="D1684" t="s">
        <v>8244</v>
      </c>
      <c r="E1684" s="225">
        <v>608</v>
      </c>
      <c r="F1684" t="s">
        <v>8386</v>
      </c>
      <c r="G1684" t="s">
        <v>8387</v>
      </c>
      <c r="H1684" t="s">
        <v>2434</v>
      </c>
      <c r="I1684" s="99">
        <v>43851</v>
      </c>
      <c r="J1684" s="99">
        <v>43853</v>
      </c>
      <c r="K1684" t="s">
        <v>8320</v>
      </c>
      <c r="L1684" t="s">
        <v>8321</v>
      </c>
    </row>
    <row r="1685" spans="2:12" x14ac:dyDescent="0.2">
      <c r="B1685">
        <v>11121</v>
      </c>
      <c r="C1685" t="s">
        <v>8288</v>
      </c>
      <c r="D1685" t="s">
        <v>8272</v>
      </c>
      <c r="E1685" s="225">
        <v>360</v>
      </c>
      <c r="F1685" t="s">
        <v>8722</v>
      </c>
      <c r="G1685" t="s">
        <v>8721</v>
      </c>
      <c r="H1685" t="s">
        <v>8720</v>
      </c>
      <c r="I1685" s="99">
        <v>43855</v>
      </c>
      <c r="J1685" s="99">
        <v>43859</v>
      </c>
      <c r="K1685" t="s">
        <v>8266</v>
      </c>
      <c r="L1685" t="s">
        <v>8267</v>
      </c>
    </row>
    <row r="1686" spans="2:12" x14ac:dyDescent="0.2">
      <c r="B1686">
        <v>11121</v>
      </c>
      <c r="C1686" t="s">
        <v>8291</v>
      </c>
      <c r="D1686" t="s">
        <v>8262</v>
      </c>
      <c r="E1686" s="225">
        <v>788</v>
      </c>
      <c r="F1686" t="s">
        <v>8722</v>
      </c>
      <c r="G1686" t="s">
        <v>8721</v>
      </c>
      <c r="H1686" t="s">
        <v>8720</v>
      </c>
      <c r="I1686" s="99">
        <v>43855</v>
      </c>
      <c r="J1686" s="99">
        <v>43859</v>
      </c>
      <c r="K1686" t="s">
        <v>8266</v>
      </c>
      <c r="L1686" t="s">
        <v>8267</v>
      </c>
    </row>
    <row r="1687" spans="2:12" x14ac:dyDescent="0.2">
      <c r="B1687">
        <v>11125</v>
      </c>
      <c r="C1687" t="s">
        <v>8323</v>
      </c>
      <c r="D1687" t="s">
        <v>8272</v>
      </c>
      <c r="E1687" s="225">
        <v>432</v>
      </c>
      <c r="F1687" t="s">
        <v>8758</v>
      </c>
      <c r="G1687" t="s">
        <v>8757</v>
      </c>
      <c r="H1687" t="s">
        <v>8701</v>
      </c>
      <c r="I1687" s="99">
        <v>43865</v>
      </c>
      <c r="J1687" s="99">
        <v>43875</v>
      </c>
      <c r="K1687" t="s">
        <v>8297</v>
      </c>
      <c r="L1687" t="s">
        <v>8298</v>
      </c>
    </row>
    <row r="1688" spans="2:12" x14ac:dyDescent="0.2">
      <c r="B1688">
        <v>11125</v>
      </c>
      <c r="C1688" t="s">
        <v>8276</v>
      </c>
      <c r="D1688" t="s">
        <v>8272</v>
      </c>
      <c r="E1688" s="225">
        <v>285</v>
      </c>
      <c r="F1688" t="s">
        <v>8758</v>
      </c>
      <c r="G1688" t="s">
        <v>8757</v>
      </c>
      <c r="H1688" t="s">
        <v>8701</v>
      </c>
      <c r="I1688" s="99">
        <v>43860</v>
      </c>
      <c r="J1688" s="99">
        <v>43869</v>
      </c>
      <c r="K1688" t="s">
        <v>8285</v>
      </c>
      <c r="L1688" t="s">
        <v>2317</v>
      </c>
    </row>
    <row r="1689" spans="2:12" x14ac:dyDescent="0.2">
      <c r="B1689">
        <v>11125</v>
      </c>
      <c r="C1689" t="s">
        <v>8362</v>
      </c>
      <c r="D1689" t="s">
        <v>8262</v>
      </c>
      <c r="E1689" s="225">
        <v>58.8</v>
      </c>
      <c r="F1689" t="s">
        <v>8758</v>
      </c>
      <c r="G1689" t="s">
        <v>8757</v>
      </c>
      <c r="H1689" t="s">
        <v>8701</v>
      </c>
      <c r="I1689" s="99">
        <v>43860</v>
      </c>
      <c r="J1689" s="99">
        <v>43869</v>
      </c>
      <c r="K1689" t="s">
        <v>8285</v>
      </c>
      <c r="L1689" t="s">
        <v>2317</v>
      </c>
    </row>
    <row r="1690" spans="2:12" x14ac:dyDescent="0.2">
      <c r="B1690">
        <v>11125</v>
      </c>
      <c r="C1690" t="s">
        <v>8372</v>
      </c>
      <c r="D1690" t="s">
        <v>8262</v>
      </c>
      <c r="E1690" s="225">
        <v>1307.25</v>
      </c>
      <c r="F1690" t="s">
        <v>8758</v>
      </c>
      <c r="G1690" t="s">
        <v>8757</v>
      </c>
      <c r="H1690" t="s">
        <v>8701</v>
      </c>
      <c r="I1690" s="99">
        <v>43860</v>
      </c>
      <c r="J1690" s="99">
        <v>43869</v>
      </c>
      <c r="K1690" t="s">
        <v>8285</v>
      </c>
      <c r="L1690" t="s">
        <v>2317</v>
      </c>
    </row>
    <row r="1691" spans="2:12" x14ac:dyDescent="0.2">
      <c r="B1691">
        <v>11125</v>
      </c>
      <c r="C1691" t="s">
        <v>8309</v>
      </c>
      <c r="D1691" t="s">
        <v>8237</v>
      </c>
      <c r="E1691" s="225">
        <v>320</v>
      </c>
      <c r="F1691" t="s">
        <v>8758</v>
      </c>
      <c r="G1691" t="s">
        <v>8757</v>
      </c>
      <c r="H1691" t="s">
        <v>8701</v>
      </c>
      <c r="I1691" s="99">
        <v>43860</v>
      </c>
      <c r="J1691" s="99">
        <v>43869</v>
      </c>
      <c r="K1691" t="s">
        <v>8285</v>
      </c>
      <c r="L1691" t="s">
        <v>2317</v>
      </c>
    </row>
    <row r="1692" spans="2:12" x14ac:dyDescent="0.2">
      <c r="B1692">
        <v>11125</v>
      </c>
      <c r="C1692" t="s">
        <v>8252</v>
      </c>
      <c r="D1692" t="s">
        <v>8247</v>
      </c>
      <c r="E1692" s="225">
        <v>585.9</v>
      </c>
      <c r="F1692" t="s">
        <v>8758</v>
      </c>
      <c r="G1692" t="s">
        <v>8757</v>
      </c>
      <c r="H1692" t="s">
        <v>8701</v>
      </c>
      <c r="I1692" s="99">
        <v>43860</v>
      </c>
      <c r="J1692" s="99">
        <v>43869</v>
      </c>
      <c r="K1692" t="s">
        <v>8285</v>
      </c>
      <c r="L1692" t="s">
        <v>2317</v>
      </c>
    </row>
    <row r="1693" spans="2:12" x14ac:dyDescent="0.2">
      <c r="B1693">
        <v>11132</v>
      </c>
      <c r="C1693" t="s">
        <v>8291</v>
      </c>
      <c r="D1693" t="s">
        <v>8262</v>
      </c>
      <c r="E1693" s="225">
        <v>1379</v>
      </c>
      <c r="F1693" t="s">
        <v>8407</v>
      </c>
      <c r="G1693" t="s">
        <v>8408</v>
      </c>
      <c r="H1693" t="s">
        <v>8236</v>
      </c>
      <c r="I1693" s="99">
        <v>43874</v>
      </c>
      <c r="J1693" s="99">
        <v>43880</v>
      </c>
      <c r="K1693" t="s">
        <v>8320</v>
      </c>
      <c r="L1693" t="s">
        <v>8321</v>
      </c>
    </row>
    <row r="1694" spans="2:12" x14ac:dyDescent="0.2">
      <c r="B1694">
        <v>11135</v>
      </c>
      <c r="C1694" t="s">
        <v>8269</v>
      </c>
      <c r="D1694" t="s">
        <v>8237</v>
      </c>
      <c r="E1694" s="225">
        <v>98</v>
      </c>
      <c r="F1694" t="s">
        <v>8722</v>
      </c>
      <c r="G1694" t="s">
        <v>8721</v>
      </c>
      <c r="H1694" t="s">
        <v>8720</v>
      </c>
      <c r="I1694" s="99">
        <v>43876</v>
      </c>
      <c r="J1694" s="99">
        <v>43881</v>
      </c>
      <c r="K1694" t="s">
        <v>8257</v>
      </c>
      <c r="L1694" t="s">
        <v>6984</v>
      </c>
    </row>
    <row r="1695" spans="2:12" x14ac:dyDescent="0.2">
      <c r="B1695">
        <v>11135</v>
      </c>
      <c r="C1695" t="s">
        <v>8281</v>
      </c>
      <c r="D1695" t="s">
        <v>8237</v>
      </c>
      <c r="E1695" s="225">
        <v>704</v>
      </c>
      <c r="F1695" t="s">
        <v>8722</v>
      </c>
      <c r="G1695" t="s">
        <v>8721</v>
      </c>
      <c r="H1695" t="s">
        <v>8720</v>
      </c>
      <c r="I1695" s="99">
        <v>43876</v>
      </c>
      <c r="J1695" s="99">
        <v>43881</v>
      </c>
      <c r="K1695" t="s">
        <v>8257</v>
      </c>
      <c r="L1695" t="s">
        <v>6984</v>
      </c>
    </row>
    <row r="1696" spans="2:12" x14ac:dyDescent="0.2">
      <c r="B1696">
        <v>11137</v>
      </c>
      <c r="C1696" t="s">
        <v>8333</v>
      </c>
      <c r="D1696" t="s">
        <v>8272</v>
      </c>
      <c r="E1696" s="225">
        <v>345.6</v>
      </c>
      <c r="F1696" t="s">
        <v>8382</v>
      </c>
      <c r="G1696" t="s">
        <v>8383</v>
      </c>
      <c r="H1696" t="s">
        <v>8236</v>
      </c>
      <c r="I1696" s="99">
        <v>43880</v>
      </c>
      <c r="J1696" s="99">
        <v>43882</v>
      </c>
      <c r="K1696" t="s">
        <v>8257</v>
      </c>
      <c r="L1696" t="s">
        <v>6984</v>
      </c>
    </row>
    <row r="1697" spans="2:12" x14ac:dyDescent="0.2">
      <c r="B1697">
        <v>11137</v>
      </c>
      <c r="C1697" t="s">
        <v>8303</v>
      </c>
      <c r="D1697" t="s">
        <v>8272</v>
      </c>
      <c r="E1697" s="225">
        <v>201.6</v>
      </c>
      <c r="F1697" t="s">
        <v>8382</v>
      </c>
      <c r="G1697" t="s">
        <v>8383</v>
      </c>
      <c r="H1697" t="s">
        <v>8236</v>
      </c>
      <c r="I1697" s="99">
        <v>43880</v>
      </c>
      <c r="J1697" s="99">
        <v>43882</v>
      </c>
      <c r="K1697" t="s">
        <v>8257</v>
      </c>
      <c r="L1697" t="s">
        <v>6984</v>
      </c>
    </row>
    <row r="1698" spans="2:12" x14ac:dyDescent="0.2">
      <c r="B1698">
        <v>11137</v>
      </c>
      <c r="C1698" t="s">
        <v>8291</v>
      </c>
      <c r="D1698" t="s">
        <v>8262</v>
      </c>
      <c r="E1698" s="225">
        <v>1576</v>
      </c>
      <c r="F1698" t="s">
        <v>8382</v>
      </c>
      <c r="G1698" t="s">
        <v>8383</v>
      </c>
      <c r="H1698" t="s">
        <v>8236</v>
      </c>
      <c r="I1698" s="99">
        <v>43880</v>
      </c>
      <c r="J1698" s="99">
        <v>43882</v>
      </c>
      <c r="K1698" t="s">
        <v>8257</v>
      </c>
      <c r="L1698" t="s">
        <v>6984</v>
      </c>
    </row>
    <row r="1699" spans="2:12" x14ac:dyDescent="0.2">
      <c r="B1699">
        <v>11140</v>
      </c>
      <c r="C1699" t="s">
        <v>8322</v>
      </c>
      <c r="D1699" t="s">
        <v>8254</v>
      </c>
      <c r="E1699" s="225">
        <v>496</v>
      </c>
      <c r="F1699" t="s">
        <v>8722</v>
      </c>
      <c r="G1699" t="s">
        <v>8721</v>
      </c>
      <c r="H1699" t="s">
        <v>8720</v>
      </c>
      <c r="I1699" s="99">
        <v>43876</v>
      </c>
      <c r="J1699" s="99">
        <v>43887</v>
      </c>
      <c r="K1699" t="s">
        <v>8279</v>
      </c>
      <c r="L1699" t="s">
        <v>710</v>
      </c>
    </row>
    <row r="1700" spans="2:12" x14ac:dyDescent="0.2">
      <c r="B1700">
        <v>11140</v>
      </c>
      <c r="C1700" t="s">
        <v>8410</v>
      </c>
      <c r="D1700" t="s">
        <v>8262</v>
      </c>
      <c r="E1700" s="225">
        <v>171</v>
      </c>
      <c r="F1700" t="s">
        <v>8722</v>
      </c>
      <c r="G1700" t="s">
        <v>8721</v>
      </c>
      <c r="H1700" t="s">
        <v>8720</v>
      </c>
      <c r="I1700" s="99">
        <v>43896</v>
      </c>
      <c r="J1700" s="99">
        <v>43904</v>
      </c>
      <c r="K1700" t="s">
        <v>8266</v>
      </c>
      <c r="L1700" t="s">
        <v>8267</v>
      </c>
    </row>
    <row r="1701" spans="2:12" x14ac:dyDescent="0.2">
      <c r="B1701">
        <v>11140</v>
      </c>
      <c r="C1701" t="s">
        <v>8281</v>
      </c>
      <c r="D1701" t="s">
        <v>8237</v>
      </c>
      <c r="E1701" s="225">
        <v>316.8</v>
      </c>
      <c r="F1701" t="s">
        <v>8722</v>
      </c>
      <c r="G1701" t="s">
        <v>8721</v>
      </c>
      <c r="H1701" t="s">
        <v>8720</v>
      </c>
      <c r="I1701" s="99">
        <v>43876</v>
      </c>
      <c r="J1701" s="99">
        <v>43887</v>
      </c>
      <c r="K1701" t="s">
        <v>8279</v>
      </c>
      <c r="L1701" t="s">
        <v>710</v>
      </c>
    </row>
    <row r="1702" spans="2:12" x14ac:dyDescent="0.2">
      <c r="B1702">
        <v>11146</v>
      </c>
      <c r="C1702" t="s">
        <v>8328</v>
      </c>
      <c r="D1702" t="s">
        <v>8272</v>
      </c>
      <c r="E1702" s="225">
        <v>133.91999999999999</v>
      </c>
      <c r="F1702" t="s">
        <v>8295</v>
      </c>
      <c r="G1702" t="s">
        <v>8296</v>
      </c>
      <c r="H1702" t="s">
        <v>8236</v>
      </c>
      <c r="I1702" s="99">
        <v>43902</v>
      </c>
      <c r="J1702" s="99">
        <v>43908</v>
      </c>
      <c r="K1702" t="s">
        <v>8257</v>
      </c>
      <c r="L1702" t="s">
        <v>6984</v>
      </c>
    </row>
    <row r="1703" spans="2:12" x14ac:dyDescent="0.2">
      <c r="B1703">
        <v>11146</v>
      </c>
      <c r="C1703" t="s">
        <v>8341</v>
      </c>
      <c r="D1703" t="s">
        <v>8244</v>
      </c>
      <c r="E1703" s="225">
        <v>1094.4000000000001</v>
      </c>
      <c r="F1703" t="s">
        <v>8295</v>
      </c>
      <c r="G1703" t="s">
        <v>8296</v>
      </c>
      <c r="H1703" t="s">
        <v>8236</v>
      </c>
      <c r="I1703" s="99">
        <v>43902</v>
      </c>
      <c r="J1703" s="99">
        <v>43908</v>
      </c>
      <c r="K1703" t="s">
        <v>8257</v>
      </c>
      <c r="L1703" t="s">
        <v>6984</v>
      </c>
    </row>
    <row r="1704" spans="2:12" x14ac:dyDescent="0.2">
      <c r="B1704">
        <v>11146</v>
      </c>
      <c r="C1704" t="s">
        <v>8340</v>
      </c>
      <c r="D1704" t="s">
        <v>8244</v>
      </c>
      <c r="E1704" s="225">
        <v>718.2</v>
      </c>
      <c r="F1704" t="s">
        <v>8295</v>
      </c>
      <c r="G1704" t="s">
        <v>8296</v>
      </c>
      <c r="H1704" t="s">
        <v>8236</v>
      </c>
      <c r="I1704" s="99">
        <v>43902</v>
      </c>
      <c r="J1704" s="99">
        <v>43908</v>
      </c>
      <c r="K1704" t="s">
        <v>8257</v>
      </c>
      <c r="L1704" t="s">
        <v>6984</v>
      </c>
    </row>
    <row r="1705" spans="2:12" x14ac:dyDescent="0.2">
      <c r="B1705">
        <v>11150</v>
      </c>
      <c r="C1705" t="s">
        <v>8303</v>
      </c>
      <c r="D1705" t="s">
        <v>8272</v>
      </c>
      <c r="E1705" s="225">
        <v>216</v>
      </c>
      <c r="F1705" t="s">
        <v>8382</v>
      </c>
      <c r="G1705" t="s">
        <v>8383</v>
      </c>
      <c r="H1705" t="s">
        <v>8236</v>
      </c>
      <c r="I1705" s="99">
        <v>43890</v>
      </c>
      <c r="J1705" s="99">
        <v>43911</v>
      </c>
      <c r="K1705" t="s">
        <v>8251</v>
      </c>
      <c r="L1705" t="s">
        <v>269</v>
      </c>
    </row>
    <row r="1706" spans="2:12" x14ac:dyDescent="0.2">
      <c r="B1706">
        <v>11150</v>
      </c>
      <c r="C1706" t="s">
        <v>8280</v>
      </c>
      <c r="D1706" t="s">
        <v>8262</v>
      </c>
      <c r="E1706" s="225">
        <v>222.4</v>
      </c>
      <c r="F1706" t="s">
        <v>8382</v>
      </c>
      <c r="G1706" t="s">
        <v>8383</v>
      </c>
      <c r="H1706" t="s">
        <v>8236</v>
      </c>
      <c r="I1706" s="99">
        <v>43918</v>
      </c>
      <c r="J1706" s="99">
        <v>43922</v>
      </c>
      <c r="K1706" t="s">
        <v>8266</v>
      </c>
      <c r="L1706" t="s">
        <v>8267</v>
      </c>
    </row>
    <row r="1707" spans="2:12" x14ac:dyDescent="0.2">
      <c r="B1707">
        <v>11150</v>
      </c>
      <c r="C1707" t="s">
        <v>8269</v>
      </c>
      <c r="D1707" t="s">
        <v>8237</v>
      </c>
      <c r="E1707" s="225">
        <v>32</v>
      </c>
      <c r="F1707" t="s">
        <v>8382</v>
      </c>
      <c r="G1707" t="s">
        <v>8383</v>
      </c>
      <c r="H1707" t="s">
        <v>8236</v>
      </c>
      <c r="I1707" s="99">
        <v>43918</v>
      </c>
      <c r="J1707" s="99">
        <v>43922</v>
      </c>
      <c r="K1707" t="s">
        <v>8266</v>
      </c>
      <c r="L1707" t="s">
        <v>8267</v>
      </c>
    </row>
    <row r="1708" spans="2:12" x14ac:dyDescent="0.2">
      <c r="B1708">
        <v>11155</v>
      </c>
      <c r="C1708" t="s">
        <v>8288</v>
      </c>
      <c r="D1708" t="s">
        <v>8272</v>
      </c>
      <c r="E1708" s="225">
        <v>270</v>
      </c>
      <c r="F1708" t="s">
        <v>8386</v>
      </c>
      <c r="G1708" t="s">
        <v>8387</v>
      </c>
      <c r="H1708" t="s">
        <v>2434</v>
      </c>
      <c r="I1708" s="99">
        <v>43918</v>
      </c>
      <c r="J1708" s="99">
        <v>43923</v>
      </c>
      <c r="K1708" t="s">
        <v>8285</v>
      </c>
      <c r="L1708" t="s">
        <v>2317</v>
      </c>
    </row>
    <row r="1709" spans="2:12" x14ac:dyDescent="0.2">
      <c r="B1709">
        <v>11155</v>
      </c>
      <c r="C1709" t="s">
        <v>8406</v>
      </c>
      <c r="D1709" t="s">
        <v>8262</v>
      </c>
      <c r="E1709" s="225">
        <v>137.69999999999999</v>
      </c>
      <c r="F1709" t="s">
        <v>8386</v>
      </c>
      <c r="G1709" t="s">
        <v>8387</v>
      </c>
      <c r="H1709" t="s">
        <v>2434</v>
      </c>
      <c r="I1709" s="99">
        <v>43918</v>
      </c>
      <c r="J1709" s="99">
        <v>43923</v>
      </c>
      <c r="K1709" t="s">
        <v>8285</v>
      </c>
      <c r="L1709" t="s">
        <v>2317</v>
      </c>
    </row>
    <row r="1710" spans="2:12" x14ac:dyDescent="0.2">
      <c r="B1710">
        <v>11157</v>
      </c>
      <c r="C1710" t="s">
        <v>8322</v>
      </c>
      <c r="D1710" t="s">
        <v>8254</v>
      </c>
      <c r="E1710" s="225">
        <v>1472.5</v>
      </c>
      <c r="F1710" t="s">
        <v>8758</v>
      </c>
      <c r="G1710" t="s">
        <v>8757</v>
      </c>
      <c r="H1710" t="s">
        <v>8701</v>
      </c>
      <c r="I1710" s="99">
        <v>43917</v>
      </c>
      <c r="J1710" s="99">
        <v>43923</v>
      </c>
      <c r="K1710" t="s">
        <v>8320</v>
      </c>
      <c r="L1710" t="s">
        <v>8321</v>
      </c>
    </row>
    <row r="1711" spans="2:12" x14ac:dyDescent="0.2">
      <c r="B1711">
        <v>11157</v>
      </c>
      <c r="C1711" t="s">
        <v>8316</v>
      </c>
      <c r="D1711" t="s">
        <v>8247</v>
      </c>
      <c r="E1711" s="225">
        <v>546</v>
      </c>
      <c r="F1711" t="s">
        <v>8758</v>
      </c>
      <c r="G1711" t="s">
        <v>8757</v>
      </c>
      <c r="H1711" t="s">
        <v>8701</v>
      </c>
      <c r="I1711" s="99">
        <v>43917</v>
      </c>
      <c r="J1711" s="99">
        <v>43923</v>
      </c>
      <c r="K1711" t="s">
        <v>8320</v>
      </c>
      <c r="L1711" t="s">
        <v>8321</v>
      </c>
    </row>
    <row r="1712" spans="2:12" x14ac:dyDescent="0.2">
      <c r="B1712">
        <v>11159</v>
      </c>
      <c r="C1712" t="s">
        <v>8291</v>
      </c>
      <c r="D1712" t="s">
        <v>8262</v>
      </c>
      <c r="E1712" s="225">
        <v>1379</v>
      </c>
      <c r="F1712" t="s">
        <v>8295</v>
      </c>
      <c r="G1712" t="s">
        <v>8296</v>
      </c>
      <c r="H1712" t="s">
        <v>8236</v>
      </c>
      <c r="I1712" s="99">
        <v>43915</v>
      </c>
      <c r="J1712" s="99">
        <v>43924</v>
      </c>
      <c r="K1712" t="s">
        <v>8257</v>
      </c>
      <c r="L1712" t="s">
        <v>6984</v>
      </c>
    </row>
    <row r="1713" spans="2:12" x14ac:dyDescent="0.2">
      <c r="B1713">
        <v>11159</v>
      </c>
      <c r="C1713" t="s">
        <v>8369</v>
      </c>
      <c r="D1713" t="s">
        <v>8244</v>
      </c>
      <c r="E1713" s="225">
        <v>112</v>
      </c>
      <c r="F1713" t="s">
        <v>8295</v>
      </c>
      <c r="G1713" t="s">
        <v>8296</v>
      </c>
      <c r="H1713" t="s">
        <v>8236</v>
      </c>
      <c r="I1713" s="99">
        <v>43915</v>
      </c>
      <c r="J1713" s="99">
        <v>43924</v>
      </c>
      <c r="K1713" t="s">
        <v>8257</v>
      </c>
      <c r="L1713" t="s">
        <v>6984</v>
      </c>
    </row>
    <row r="1714" spans="2:12" x14ac:dyDescent="0.2">
      <c r="B1714">
        <v>11162</v>
      </c>
      <c r="C1714" t="s">
        <v>8276</v>
      </c>
      <c r="D1714" t="s">
        <v>8272</v>
      </c>
      <c r="E1714" s="225">
        <v>581.4</v>
      </c>
      <c r="F1714" t="s">
        <v>8758</v>
      </c>
      <c r="G1714" t="s">
        <v>8757</v>
      </c>
      <c r="H1714" t="s">
        <v>8701</v>
      </c>
      <c r="I1714" s="99">
        <v>43907</v>
      </c>
      <c r="J1714" s="99">
        <v>43925</v>
      </c>
      <c r="K1714" t="s">
        <v>8266</v>
      </c>
      <c r="L1714" t="s">
        <v>8267</v>
      </c>
    </row>
    <row r="1715" spans="2:12" x14ac:dyDescent="0.2">
      <c r="B1715">
        <v>11162</v>
      </c>
      <c r="C1715" t="s">
        <v>8409</v>
      </c>
      <c r="D1715" t="s">
        <v>8254</v>
      </c>
      <c r="E1715" s="225">
        <v>1744.2</v>
      </c>
      <c r="F1715" t="s">
        <v>8758</v>
      </c>
      <c r="G1715" t="s">
        <v>8757</v>
      </c>
      <c r="H1715" t="s">
        <v>8701</v>
      </c>
      <c r="I1715" s="99">
        <v>43907</v>
      </c>
      <c r="J1715" s="99">
        <v>43925</v>
      </c>
      <c r="K1715" t="s">
        <v>8266</v>
      </c>
      <c r="L1715" t="s">
        <v>8267</v>
      </c>
    </row>
    <row r="1716" spans="2:12" x14ac:dyDescent="0.2">
      <c r="B1716">
        <v>11162</v>
      </c>
      <c r="C1716" t="s">
        <v>8280</v>
      </c>
      <c r="D1716" t="s">
        <v>8262</v>
      </c>
      <c r="E1716" s="225">
        <v>578.92999999999995</v>
      </c>
      <c r="F1716" t="s">
        <v>8758</v>
      </c>
      <c r="G1716" t="s">
        <v>8757</v>
      </c>
      <c r="H1716" t="s">
        <v>8701</v>
      </c>
      <c r="I1716" s="99">
        <v>43907</v>
      </c>
      <c r="J1716" s="99">
        <v>43925</v>
      </c>
      <c r="K1716" t="s">
        <v>8266</v>
      </c>
      <c r="L1716" t="s">
        <v>8267</v>
      </c>
    </row>
    <row r="1717" spans="2:12" x14ac:dyDescent="0.2">
      <c r="B1717">
        <v>11166</v>
      </c>
      <c r="C1717" t="s">
        <v>8235</v>
      </c>
      <c r="D1717" t="s">
        <v>8237</v>
      </c>
      <c r="E1717" s="225">
        <v>1112</v>
      </c>
      <c r="F1717" t="s">
        <v>8255</v>
      </c>
      <c r="G1717" t="s">
        <v>8256</v>
      </c>
      <c r="H1717" t="s">
        <v>8236</v>
      </c>
      <c r="I1717" s="99">
        <v>43924</v>
      </c>
      <c r="J1717" s="99">
        <v>43925</v>
      </c>
      <c r="K1717" t="s">
        <v>8266</v>
      </c>
      <c r="L1717" t="s">
        <v>8267</v>
      </c>
    </row>
    <row r="1718" spans="2:12" x14ac:dyDescent="0.2">
      <c r="B1718">
        <v>11166</v>
      </c>
      <c r="C1718" t="s">
        <v>8415</v>
      </c>
      <c r="D1718" t="s">
        <v>8247</v>
      </c>
      <c r="E1718" s="225">
        <v>364.8</v>
      </c>
      <c r="F1718" t="s">
        <v>8255</v>
      </c>
      <c r="G1718" t="s">
        <v>8256</v>
      </c>
      <c r="H1718" t="s">
        <v>8236</v>
      </c>
      <c r="I1718" s="99">
        <v>43924</v>
      </c>
      <c r="J1718" s="99">
        <v>43925</v>
      </c>
      <c r="K1718" t="s">
        <v>8266</v>
      </c>
      <c r="L1718" t="s">
        <v>8267</v>
      </c>
    </row>
    <row r="1719" spans="2:12" x14ac:dyDescent="0.2">
      <c r="B1719">
        <v>11171</v>
      </c>
      <c r="C1719" t="s">
        <v>8373</v>
      </c>
      <c r="D1719" t="s">
        <v>8244</v>
      </c>
      <c r="E1719" s="225">
        <v>108</v>
      </c>
      <c r="F1719" t="s">
        <v>8377</v>
      </c>
      <c r="G1719" t="s">
        <v>8378</v>
      </c>
      <c r="H1719" t="s">
        <v>8236</v>
      </c>
      <c r="I1719" s="99">
        <v>43936</v>
      </c>
      <c r="J1719" s="99">
        <v>43939</v>
      </c>
      <c r="K1719" t="s">
        <v>8266</v>
      </c>
      <c r="L1719" t="s">
        <v>8267</v>
      </c>
    </row>
    <row r="1720" spans="2:12" x14ac:dyDescent="0.2">
      <c r="B1720">
        <v>11171</v>
      </c>
      <c r="C1720" t="s">
        <v>8340</v>
      </c>
      <c r="D1720" t="s">
        <v>8244</v>
      </c>
      <c r="E1720" s="225">
        <v>212.8</v>
      </c>
      <c r="F1720" t="s">
        <v>8377</v>
      </c>
      <c r="G1720" t="s">
        <v>8378</v>
      </c>
      <c r="H1720" t="s">
        <v>8236</v>
      </c>
      <c r="I1720" s="99">
        <v>43936</v>
      </c>
      <c r="J1720" s="99">
        <v>43939</v>
      </c>
      <c r="K1720" t="s">
        <v>8266</v>
      </c>
      <c r="L1720" t="s">
        <v>8267</v>
      </c>
    </row>
    <row r="1721" spans="2:12" x14ac:dyDescent="0.2">
      <c r="B1721">
        <v>11174</v>
      </c>
      <c r="C1721" t="s">
        <v>8332</v>
      </c>
      <c r="D1721" t="s">
        <v>8262</v>
      </c>
      <c r="E1721" s="225">
        <v>1755</v>
      </c>
      <c r="F1721" t="s">
        <v>8756</v>
      </c>
      <c r="G1721" t="s">
        <v>8755</v>
      </c>
      <c r="H1721" t="s">
        <v>8701</v>
      </c>
      <c r="I1721" s="99">
        <v>43907</v>
      </c>
      <c r="J1721" s="99">
        <v>43939</v>
      </c>
      <c r="K1721" t="s">
        <v>8257</v>
      </c>
      <c r="L1721" t="s">
        <v>6984</v>
      </c>
    </row>
    <row r="1722" spans="2:12" x14ac:dyDescent="0.2">
      <c r="B1722">
        <v>11175</v>
      </c>
      <c r="C1722" t="s">
        <v>8410</v>
      </c>
      <c r="D1722" t="s">
        <v>8262</v>
      </c>
      <c r="E1722" s="225">
        <v>228</v>
      </c>
      <c r="F1722" t="s">
        <v>8407</v>
      </c>
      <c r="G1722" t="s">
        <v>8408</v>
      </c>
      <c r="H1722" t="s">
        <v>8236</v>
      </c>
      <c r="I1722" s="99">
        <v>43945</v>
      </c>
      <c r="J1722" s="99">
        <v>43949</v>
      </c>
      <c r="K1722" t="s">
        <v>8251</v>
      </c>
      <c r="L1722" t="s">
        <v>269</v>
      </c>
    </row>
    <row r="1723" spans="2:12" x14ac:dyDescent="0.2">
      <c r="B1723">
        <v>11175</v>
      </c>
      <c r="C1723" t="s">
        <v>8281</v>
      </c>
      <c r="D1723" t="s">
        <v>8237</v>
      </c>
      <c r="E1723" s="225">
        <v>528</v>
      </c>
      <c r="F1723" t="s">
        <v>8407</v>
      </c>
      <c r="G1723" t="s">
        <v>8408</v>
      </c>
      <c r="H1723" t="s">
        <v>8236</v>
      </c>
      <c r="I1723" s="99">
        <v>43945</v>
      </c>
      <c r="J1723" s="99">
        <v>43949</v>
      </c>
      <c r="K1723" t="s">
        <v>8251</v>
      </c>
      <c r="L1723" t="s">
        <v>269</v>
      </c>
    </row>
    <row r="1724" spans="2:12" x14ac:dyDescent="0.2">
      <c r="B1724">
        <v>11178</v>
      </c>
      <c r="C1724" t="s">
        <v>8253</v>
      </c>
      <c r="D1724" t="s">
        <v>8254</v>
      </c>
      <c r="E1724" s="225">
        <v>226.8</v>
      </c>
      <c r="F1724" t="s">
        <v>8382</v>
      </c>
      <c r="G1724" t="s">
        <v>8383</v>
      </c>
      <c r="H1724" t="s">
        <v>8236</v>
      </c>
      <c r="I1724" s="99">
        <v>43958</v>
      </c>
      <c r="J1724" s="99">
        <v>43966</v>
      </c>
      <c r="K1724" t="s">
        <v>8266</v>
      </c>
      <c r="L1724" t="s">
        <v>8267</v>
      </c>
    </row>
    <row r="1725" spans="2:12" x14ac:dyDescent="0.2">
      <c r="B1725">
        <v>11178</v>
      </c>
      <c r="C1725" t="s">
        <v>8348</v>
      </c>
      <c r="D1725" t="s">
        <v>8254</v>
      </c>
      <c r="E1725" s="225">
        <v>122.4</v>
      </c>
      <c r="F1725" t="s">
        <v>8382</v>
      </c>
      <c r="G1725" t="s">
        <v>8383</v>
      </c>
      <c r="H1725" t="s">
        <v>8236</v>
      </c>
      <c r="I1725" s="99">
        <v>43958</v>
      </c>
      <c r="J1725" s="99">
        <v>43966</v>
      </c>
      <c r="K1725" t="s">
        <v>8266</v>
      </c>
      <c r="L1725" t="s">
        <v>8267</v>
      </c>
    </row>
    <row r="1726" spans="2:12" x14ac:dyDescent="0.2">
      <c r="B1726">
        <v>11178</v>
      </c>
      <c r="C1726" t="s">
        <v>8353</v>
      </c>
      <c r="D1726" t="s">
        <v>8237</v>
      </c>
      <c r="E1726" s="225">
        <v>259.2</v>
      </c>
      <c r="F1726" t="s">
        <v>8382</v>
      </c>
      <c r="G1726" t="s">
        <v>8383</v>
      </c>
      <c r="H1726" t="s">
        <v>8236</v>
      </c>
      <c r="I1726" s="99">
        <v>43958</v>
      </c>
      <c r="J1726" s="99">
        <v>43966</v>
      </c>
      <c r="K1726" t="s">
        <v>8266</v>
      </c>
      <c r="L1726" t="s">
        <v>8267</v>
      </c>
    </row>
    <row r="1727" spans="2:12" x14ac:dyDescent="0.2">
      <c r="B1727">
        <v>11182</v>
      </c>
      <c r="C1727" t="s">
        <v>8397</v>
      </c>
      <c r="D1727" t="s">
        <v>8254</v>
      </c>
      <c r="E1727" s="225">
        <v>52</v>
      </c>
      <c r="F1727" t="s">
        <v>8774</v>
      </c>
      <c r="G1727" t="s">
        <v>8773</v>
      </c>
      <c r="H1727" t="s">
        <v>8720</v>
      </c>
      <c r="I1727" s="99">
        <v>43959</v>
      </c>
      <c r="J1727" s="99">
        <v>43967</v>
      </c>
      <c r="K1727" t="s">
        <v>8257</v>
      </c>
      <c r="L1727" t="s">
        <v>6984</v>
      </c>
    </row>
    <row r="1728" spans="2:12" x14ac:dyDescent="0.2">
      <c r="B1728">
        <v>11182</v>
      </c>
      <c r="C1728" t="s">
        <v>8373</v>
      </c>
      <c r="D1728" t="s">
        <v>8244</v>
      </c>
      <c r="E1728" s="225">
        <v>72</v>
      </c>
      <c r="F1728" t="s">
        <v>8774</v>
      </c>
      <c r="G1728" t="s">
        <v>8773</v>
      </c>
      <c r="H1728" t="s">
        <v>8720</v>
      </c>
      <c r="I1728" s="99">
        <v>43959</v>
      </c>
      <c r="J1728" s="99">
        <v>43967</v>
      </c>
      <c r="K1728" t="s">
        <v>8257</v>
      </c>
      <c r="L1728" t="s">
        <v>6984</v>
      </c>
    </row>
    <row r="1729" spans="2:12" x14ac:dyDescent="0.2">
      <c r="B1729">
        <v>11185</v>
      </c>
      <c r="C1729" t="s">
        <v>8362</v>
      </c>
      <c r="D1729" t="s">
        <v>8262</v>
      </c>
      <c r="E1729" s="225">
        <v>638.4</v>
      </c>
      <c r="F1729" t="s">
        <v>8722</v>
      </c>
      <c r="G1729" t="s">
        <v>8721</v>
      </c>
      <c r="H1729" t="s">
        <v>8720</v>
      </c>
      <c r="I1729" s="99">
        <v>43957</v>
      </c>
      <c r="J1729" s="99">
        <v>43967</v>
      </c>
      <c r="K1729" t="s">
        <v>8257</v>
      </c>
      <c r="L1729" t="s">
        <v>6984</v>
      </c>
    </row>
    <row r="1730" spans="2:12" x14ac:dyDescent="0.2">
      <c r="B1730">
        <v>11185</v>
      </c>
      <c r="C1730" t="s">
        <v>8243</v>
      </c>
      <c r="D1730" t="s">
        <v>8244</v>
      </c>
      <c r="E1730" s="225">
        <v>212.8</v>
      </c>
      <c r="F1730" t="s">
        <v>8722</v>
      </c>
      <c r="G1730" t="s">
        <v>8721</v>
      </c>
      <c r="H1730" t="s">
        <v>8720</v>
      </c>
      <c r="I1730" s="99">
        <v>43957</v>
      </c>
      <c r="J1730" s="99">
        <v>43967</v>
      </c>
      <c r="K1730" t="s">
        <v>8257</v>
      </c>
      <c r="L1730" t="s">
        <v>6984</v>
      </c>
    </row>
    <row r="1731" spans="2:12" x14ac:dyDescent="0.2">
      <c r="B1731">
        <v>11187</v>
      </c>
      <c r="C1731" t="s">
        <v>8361</v>
      </c>
      <c r="D1731" t="s">
        <v>8254</v>
      </c>
      <c r="E1731" s="225">
        <v>176.7</v>
      </c>
      <c r="F1731" t="s">
        <v>8382</v>
      </c>
      <c r="G1731" t="s">
        <v>8383</v>
      </c>
      <c r="H1731" t="s">
        <v>8236</v>
      </c>
      <c r="I1731" s="99">
        <v>43965</v>
      </c>
      <c r="J1731" s="99">
        <v>43973</v>
      </c>
      <c r="K1731" t="s">
        <v>8251</v>
      </c>
      <c r="L1731" t="s">
        <v>269</v>
      </c>
    </row>
    <row r="1732" spans="2:12" x14ac:dyDescent="0.2">
      <c r="B1732">
        <v>11187</v>
      </c>
      <c r="C1732" t="s">
        <v>8316</v>
      </c>
      <c r="D1732" t="s">
        <v>8247</v>
      </c>
      <c r="E1732" s="225">
        <v>346.56</v>
      </c>
      <c r="F1732" t="s">
        <v>8382</v>
      </c>
      <c r="G1732" t="s">
        <v>8383</v>
      </c>
      <c r="H1732" t="s">
        <v>8236</v>
      </c>
      <c r="I1732" s="99">
        <v>43965</v>
      </c>
      <c r="J1732" s="99">
        <v>43973</v>
      </c>
      <c r="K1732" t="s">
        <v>8251</v>
      </c>
      <c r="L1732" t="s">
        <v>269</v>
      </c>
    </row>
    <row r="1733" spans="2:12" x14ac:dyDescent="0.2">
      <c r="B1733">
        <v>11189</v>
      </c>
      <c r="C1733" t="s">
        <v>8352</v>
      </c>
      <c r="D1733" t="s">
        <v>8254</v>
      </c>
      <c r="E1733" s="225">
        <v>935</v>
      </c>
      <c r="F1733" t="s">
        <v>8377</v>
      </c>
      <c r="G1733" t="s">
        <v>8378</v>
      </c>
      <c r="H1733" t="s">
        <v>8236</v>
      </c>
      <c r="I1733" s="99">
        <v>43974</v>
      </c>
      <c r="J1733" s="99">
        <v>43977</v>
      </c>
      <c r="K1733" t="s">
        <v>8266</v>
      </c>
      <c r="L1733" t="s">
        <v>8267</v>
      </c>
    </row>
    <row r="1734" spans="2:12" x14ac:dyDescent="0.2">
      <c r="B1734">
        <v>11189</v>
      </c>
      <c r="C1734" t="s">
        <v>8379</v>
      </c>
      <c r="D1734" t="s">
        <v>8254</v>
      </c>
      <c r="E1734" s="225">
        <v>340</v>
      </c>
      <c r="F1734" t="s">
        <v>8377</v>
      </c>
      <c r="G1734" t="s">
        <v>8378</v>
      </c>
      <c r="H1734" t="s">
        <v>8236</v>
      </c>
      <c r="I1734" s="99">
        <v>43974</v>
      </c>
      <c r="J1734" s="99">
        <v>43977</v>
      </c>
      <c r="K1734" t="s">
        <v>8266</v>
      </c>
      <c r="L1734" t="s">
        <v>8267</v>
      </c>
    </row>
    <row r="1735" spans="2:12" x14ac:dyDescent="0.2">
      <c r="B1735">
        <v>11189</v>
      </c>
      <c r="C1735" t="s">
        <v>8415</v>
      </c>
      <c r="D1735" t="s">
        <v>8247</v>
      </c>
      <c r="E1735" s="225">
        <v>1275</v>
      </c>
      <c r="F1735" t="s">
        <v>8377</v>
      </c>
      <c r="G1735" t="s">
        <v>8378</v>
      </c>
      <c r="H1735" t="s">
        <v>8236</v>
      </c>
      <c r="I1735" s="99">
        <v>43974</v>
      </c>
      <c r="J1735" s="99">
        <v>43977</v>
      </c>
      <c r="K1735" t="s">
        <v>8266</v>
      </c>
      <c r="L1735" t="s">
        <v>8267</v>
      </c>
    </row>
    <row r="1736" spans="2:12" x14ac:dyDescent="0.2">
      <c r="B1736">
        <v>11192</v>
      </c>
      <c r="C1736" t="s">
        <v>8328</v>
      </c>
      <c r="D1736" t="s">
        <v>8272</v>
      </c>
      <c r="E1736" s="225">
        <v>251.1</v>
      </c>
      <c r="F1736" t="s">
        <v>8758</v>
      </c>
      <c r="G1736" t="s">
        <v>8757</v>
      </c>
      <c r="H1736" t="s">
        <v>8701</v>
      </c>
      <c r="I1736" s="99">
        <v>43974</v>
      </c>
      <c r="J1736" s="99">
        <v>43984</v>
      </c>
      <c r="K1736" t="s">
        <v>8251</v>
      </c>
      <c r="L1736" t="s">
        <v>269</v>
      </c>
    </row>
    <row r="1737" spans="2:12" x14ac:dyDescent="0.2">
      <c r="B1737">
        <v>11194</v>
      </c>
      <c r="C1737" t="s">
        <v>8242</v>
      </c>
      <c r="D1737" t="s">
        <v>8237</v>
      </c>
      <c r="E1737" s="225">
        <v>63</v>
      </c>
      <c r="F1737" t="s">
        <v>8714</v>
      </c>
      <c r="G1737" t="s">
        <v>8713</v>
      </c>
      <c r="H1737" t="s">
        <v>8701</v>
      </c>
      <c r="I1737" s="99">
        <v>43992</v>
      </c>
      <c r="J1737" s="99">
        <v>43995</v>
      </c>
      <c r="K1737" t="s">
        <v>8251</v>
      </c>
      <c r="L1737" t="s">
        <v>269</v>
      </c>
    </row>
    <row r="1738" spans="2:12" x14ac:dyDescent="0.2">
      <c r="B1738">
        <v>11194</v>
      </c>
      <c r="C1738" t="s">
        <v>8269</v>
      </c>
      <c r="D1738" t="s">
        <v>8237</v>
      </c>
      <c r="E1738" s="225">
        <v>16</v>
      </c>
      <c r="F1738" t="s">
        <v>8714</v>
      </c>
      <c r="G1738" t="s">
        <v>8713</v>
      </c>
      <c r="H1738" t="s">
        <v>8701</v>
      </c>
      <c r="I1738" s="99">
        <v>43992</v>
      </c>
      <c r="J1738" s="99">
        <v>43995</v>
      </c>
      <c r="K1738" t="s">
        <v>8251</v>
      </c>
      <c r="L1738" t="s">
        <v>269</v>
      </c>
    </row>
    <row r="1739" spans="2:12" x14ac:dyDescent="0.2">
      <c r="B1739">
        <v>11194</v>
      </c>
      <c r="C1739" t="s">
        <v>8235</v>
      </c>
      <c r="D1739" t="s">
        <v>8237</v>
      </c>
      <c r="E1739" s="225">
        <v>313.2</v>
      </c>
      <c r="F1739" t="s">
        <v>8714</v>
      </c>
      <c r="G1739" t="s">
        <v>8713</v>
      </c>
      <c r="H1739" t="s">
        <v>8701</v>
      </c>
      <c r="I1739" s="99">
        <v>43992</v>
      </c>
      <c r="J1739" s="99">
        <v>43995</v>
      </c>
      <c r="K1739" t="s">
        <v>8251</v>
      </c>
      <c r="L1739" t="s">
        <v>269</v>
      </c>
    </row>
    <row r="1740" spans="2:12" x14ac:dyDescent="0.2">
      <c r="B1740">
        <v>11199</v>
      </c>
      <c r="C1740" t="s">
        <v>8323</v>
      </c>
      <c r="D1740" t="s">
        <v>8272</v>
      </c>
      <c r="E1740" s="225">
        <v>540</v>
      </c>
      <c r="F1740" t="s">
        <v>8255</v>
      </c>
      <c r="G1740" t="s">
        <v>8256</v>
      </c>
      <c r="H1740" t="s">
        <v>8236</v>
      </c>
      <c r="I1740" s="99">
        <v>44009</v>
      </c>
      <c r="J1740" s="99">
        <v>44013</v>
      </c>
      <c r="K1740" t="s">
        <v>8285</v>
      </c>
      <c r="L1740" t="s">
        <v>2317</v>
      </c>
    </row>
    <row r="1741" spans="2:12" x14ac:dyDescent="0.2">
      <c r="B1741">
        <v>11199</v>
      </c>
      <c r="C1741" t="s">
        <v>8291</v>
      </c>
      <c r="D1741" t="s">
        <v>8262</v>
      </c>
      <c r="E1741" s="225">
        <v>1972</v>
      </c>
      <c r="F1741" t="s">
        <v>8255</v>
      </c>
      <c r="G1741" t="s">
        <v>8256</v>
      </c>
      <c r="H1741" t="s">
        <v>8236</v>
      </c>
      <c r="I1741" s="99">
        <v>44009</v>
      </c>
      <c r="J1741" s="99">
        <v>44013</v>
      </c>
      <c r="K1741" t="s">
        <v>8285</v>
      </c>
      <c r="L1741" t="s">
        <v>2317</v>
      </c>
    </row>
    <row r="1742" spans="2:12" x14ac:dyDescent="0.2">
      <c r="B1742">
        <v>11199</v>
      </c>
      <c r="C1742" t="s">
        <v>8415</v>
      </c>
      <c r="D1742" t="s">
        <v>8247</v>
      </c>
      <c r="E1742" s="225">
        <v>300</v>
      </c>
      <c r="F1742" t="s">
        <v>8255</v>
      </c>
      <c r="G1742" t="s">
        <v>8256</v>
      </c>
      <c r="H1742" t="s">
        <v>8236</v>
      </c>
      <c r="I1742" s="99">
        <v>44009</v>
      </c>
      <c r="J1742" s="99">
        <v>44013</v>
      </c>
      <c r="K1742" t="s">
        <v>8285</v>
      </c>
      <c r="L1742" t="s">
        <v>2317</v>
      </c>
    </row>
    <row r="1743" spans="2:12" x14ac:dyDescent="0.2">
      <c r="B1743">
        <v>11202</v>
      </c>
      <c r="C1743" t="s">
        <v>8270</v>
      </c>
      <c r="D1743" t="s">
        <v>8272</v>
      </c>
      <c r="E1743" s="225">
        <v>64.8</v>
      </c>
      <c r="F1743" t="s">
        <v>8758</v>
      </c>
      <c r="G1743" t="s">
        <v>8757</v>
      </c>
      <c r="H1743" t="s">
        <v>8701</v>
      </c>
      <c r="I1743" s="99">
        <v>44019</v>
      </c>
      <c r="J1743" s="99">
        <v>44021</v>
      </c>
      <c r="K1743" t="s">
        <v>8251</v>
      </c>
      <c r="L1743" t="s">
        <v>269</v>
      </c>
    </row>
    <row r="1744" spans="2:12" x14ac:dyDescent="0.2">
      <c r="B1744">
        <v>11202</v>
      </c>
      <c r="C1744" t="s">
        <v>8327</v>
      </c>
      <c r="D1744" t="s">
        <v>8262</v>
      </c>
      <c r="E1744" s="225">
        <v>257.60000000000002</v>
      </c>
      <c r="F1744" t="s">
        <v>8758</v>
      </c>
      <c r="G1744" t="s">
        <v>8757</v>
      </c>
      <c r="H1744" t="s">
        <v>8701</v>
      </c>
      <c r="I1744" s="99">
        <v>44019</v>
      </c>
      <c r="J1744" s="99">
        <v>44021</v>
      </c>
      <c r="K1744" t="s">
        <v>8251</v>
      </c>
      <c r="L1744" t="s">
        <v>269</v>
      </c>
    </row>
    <row r="1745" spans="2:12" x14ac:dyDescent="0.2">
      <c r="B1745">
        <v>11202</v>
      </c>
      <c r="C1745" t="s">
        <v>8341</v>
      </c>
      <c r="D1745" t="s">
        <v>8244</v>
      </c>
      <c r="E1745" s="225">
        <v>1216</v>
      </c>
      <c r="F1745" t="s">
        <v>8758</v>
      </c>
      <c r="G1745" t="s">
        <v>8757</v>
      </c>
      <c r="H1745" t="s">
        <v>8701</v>
      </c>
      <c r="I1745" s="99">
        <v>44019</v>
      </c>
      <c r="J1745" s="99">
        <v>44021</v>
      </c>
      <c r="K1745" t="s">
        <v>8251</v>
      </c>
      <c r="L1745" t="s">
        <v>269</v>
      </c>
    </row>
    <row r="1746" spans="2:12" x14ac:dyDescent="0.2">
      <c r="B1746">
        <v>11202</v>
      </c>
      <c r="C1746" t="s">
        <v>8252</v>
      </c>
      <c r="D1746" t="s">
        <v>8247</v>
      </c>
      <c r="E1746" s="225">
        <v>558</v>
      </c>
      <c r="F1746" t="s">
        <v>8758</v>
      </c>
      <c r="G1746" t="s">
        <v>8757</v>
      </c>
      <c r="H1746" t="s">
        <v>8701</v>
      </c>
      <c r="I1746" s="99">
        <v>44019</v>
      </c>
      <c r="J1746" s="99">
        <v>44021</v>
      </c>
      <c r="K1746" t="s">
        <v>8251</v>
      </c>
      <c r="L1746" t="s">
        <v>269</v>
      </c>
    </row>
    <row r="1747" spans="2:12" x14ac:dyDescent="0.2">
      <c r="B1747">
        <v>11202</v>
      </c>
      <c r="C1747" t="s">
        <v>8245</v>
      </c>
      <c r="D1747" t="s">
        <v>8247</v>
      </c>
      <c r="E1747" s="225">
        <v>848</v>
      </c>
      <c r="F1747" t="s">
        <v>8758</v>
      </c>
      <c r="G1747" t="s">
        <v>8757</v>
      </c>
      <c r="H1747" t="s">
        <v>8701</v>
      </c>
      <c r="I1747" s="99">
        <v>44019</v>
      </c>
      <c r="J1747" s="99">
        <v>44021</v>
      </c>
      <c r="K1747" t="s">
        <v>8251</v>
      </c>
      <c r="L1747" t="s">
        <v>269</v>
      </c>
    </row>
    <row r="1748" spans="2:12" x14ac:dyDescent="0.2">
      <c r="B1748">
        <v>11207</v>
      </c>
      <c r="C1748" t="s">
        <v>8410</v>
      </c>
      <c r="D1748" t="s">
        <v>8262</v>
      </c>
      <c r="E1748" s="225">
        <v>237.5</v>
      </c>
      <c r="F1748" t="s">
        <v>8386</v>
      </c>
      <c r="G1748" t="s">
        <v>8387</v>
      </c>
      <c r="H1748" t="s">
        <v>2434</v>
      </c>
      <c r="I1748" s="99">
        <v>44021</v>
      </c>
      <c r="J1748" s="99">
        <v>44027</v>
      </c>
      <c r="K1748" t="s">
        <v>8285</v>
      </c>
      <c r="L1748" t="s">
        <v>2317</v>
      </c>
    </row>
    <row r="1749" spans="2:12" x14ac:dyDescent="0.2">
      <c r="B1749">
        <v>11207</v>
      </c>
      <c r="C1749" t="s">
        <v>8369</v>
      </c>
      <c r="D1749" t="s">
        <v>8244</v>
      </c>
      <c r="E1749" s="225">
        <v>210</v>
      </c>
      <c r="F1749" t="s">
        <v>8386</v>
      </c>
      <c r="G1749" t="s">
        <v>8387</v>
      </c>
      <c r="H1749" t="s">
        <v>2434</v>
      </c>
      <c r="I1749" s="99">
        <v>44021</v>
      </c>
      <c r="J1749" s="99">
        <v>44027</v>
      </c>
      <c r="K1749" t="s">
        <v>8285</v>
      </c>
      <c r="L1749" t="s">
        <v>2317</v>
      </c>
    </row>
    <row r="1750" spans="2:12" x14ac:dyDescent="0.2">
      <c r="B1750">
        <v>11207</v>
      </c>
      <c r="C1750" t="s">
        <v>8245</v>
      </c>
      <c r="D1750" t="s">
        <v>8247</v>
      </c>
      <c r="E1750" s="225">
        <v>1060</v>
      </c>
      <c r="F1750" t="s">
        <v>8386</v>
      </c>
      <c r="G1750" t="s">
        <v>8387</v>
      </c>
      <c r="H1750" t="s">
        <v>2434</v>
      </c>
      <c r="I1750" s="99">
        <v>44021</v>
      </c>
      <c r="J1750" s="99">
        <v>44027</v>
      </c>
      <c r="K1750" t="s">
        <v>8285</v>
      </c>
      <c r="L1750" t="s">
        <v>2317</v>
      </c>
    </row>
    <row r="1751" spans="2:12" x14ac:dyDescent="0.2">
      <c r="B1751">
        <v>11212</v>
      </c>
      <c r="C1751" t="s">
        <v>8303</v>
      </c>
      <c r="D1751" t="s">
        <v>8272</v>
      </c>
      <c r="E1751" s="225">
        <v>180</v>
      </c>
      <c r="F1751" t="s">
        <v>8295</v>
      </c>
      <c r="G1751" t="s">
        <v>8296</v>
      </c>
      <c r="H1751" t="s">
        <v>8236</v>
      </c>
      <c r="I1751" s="99">
        <v>44029</v>
      </c>
      <c r="J1751" s="99">
        <v>44035</v>
      </c>
      <c r="K1751" t="s">
        <v>8279</v>
      </c>
      <c r="L1751" t="s">
        <v>710</v>
      </c>
    </row>
    <row r="1752" spans="2:12" x14ac:dyDescent="0.2">
      <c r="B1752">
        <v>11212</v>
      </c>
      <c r="C1752" t="s">
        <v>8242</v>
      </c>
      <c r="D1752" t="s">
        <v>8237</v>
      </c>
      <c r="E1752" s="225">
        <v>624.75</v>
      </c>
      <c r="F1752" t="s">
        <v>8295</v>
      </c>
      <c r="G1752" t="s">
        <v>8296</v>
      </c>
      <c r="H1752" t="s">
        <v>8236</v>
      </c>
      <c r="I1752" s="99">
        <v>44029</v>
      </c>
      <c r="J1752" s="99">
        <v>44035</v>
      </c>
      <c r="K1752" t="s">
        <v>8279</v>
      </c>
      <c r="L1752" t="s">
        <v>710</v>
      </c>
    </row>
    <row r="1753" spans="2:12" x14ac:dyDescent="0.2">
      <c r="B1753">
        <v>11217</v>
      </c>
      <c r="C1753" t="s">
        <v>8242</v>
      </c>
      <c r="D1753" t="s">
        <v>8237</v>
      </c>
      <c r="E1753" s="225">
        <v>210</v>
      </c>
      <c r="F1753" t="s">
        <v>8772</v>
      </c>
      <c r="G1753" t="s">
        <v>8771</v>
      </c>
      <c r="H1753" t="s">
        <v>8701</v>
      </c>
      <c r="I1753" s="99">
        <v>44008</v>
      </c>
      <c r="J1753" s="99">
        <v>44043</v>
      </c>
      <c r="K1753" t="s">
        <v>8320</v>
      </c>
      <c r="L1753" t="s">
        <v>8321</v>
      </c>
    </row>
    <row r="1754" spans="2:12" x14ac:dyDescent="0.2">
      <c r="B1754">
        <v>11218</v>
      </c>
      <c r="C1754" t="s">
        <v>8309</v>
      </c>
      <c r="D1754" t="s">
        <v>8237</v>
      </c>
      <c r="E1754" s="225">
        <v>593.75</v>
      </c>
      <c r="F1754" t="s">
        <v>8295</v>
      </c>
      <c r="G1754" t="s">
        <v>8296</v>
      </c>
      <c r="H1754" t="s">
        <v>8236</v>
      </c>
      <c r="I1754" s="99">
        <v>44047</v>
      </c>
      <c r="J1754" s="99">
        <v>44051</v>
      </c>
      <c r="K1754" t="s">
        <v>8266</v>
      </c>
      <c r="L1754" t="s">
        <v>8267</v>
      </c>
    </row>
    <row r="1755" spans="2:12" x14ac:dyDescent="0.2">
      <c r="B1755">
        <v>11219</v>
      </c>
      <c r="C1755" t="s">
        <v>8323</v>
      </c>
      <c r="D1755" t="s">
        <v>8272</v>
      </c>
      <c r="E1755" s="225">
        <v>72</v>
      </c>
      <c r="F1755" t="s">
        <v>8714</v>
      </c>
      <c r="G1755" t="s">
        <v>8713</v>
      </c>
      <c r="H1755" t="s">
        <v>8701</v>
      </c>
      <c r="I1755" s="99">
        <v>44051</v>
      </c>
      <c r="J1755" s="99">
        <v>44061</v>
      </c>
      <c r="K1755" t="s">
        <v>8320</v>
      </c>
      <c r="L1755" t="s">
        <v>8321</v>
      </c>
    </row>
    <row r="1756" spans="2:12" x14ac:dyDescent="0.2">
      <c r="B1756">
        <v>11220</v>
      </c>
      <c r="C1756" t="s">
        <v>8369</v>
      </c>
      <c r="D1756" t="s">
        <v>8244</v>
      </c>
      <c r="E1756" s="225">
        <v>168</v>
      </c>
      <c r="F1756" t="s">
        <v>8756</v>
      </c>
      <c r="G1756" t="s">
        <v>8755</v>
      </c>
      <c r="H1756" t="s">
        <v>8701</v>
      </c>
      <c r="I1756" s="99">
        <v>44056</v>
      </c>
      <c r="J1756" s="99">
        <v>44063</v>
      </c>
      <c r="K1756" t="s">
        <v>8257</v>
      </c>
      <c r="L1756" t="s">
        <v>6984</v>
      </c>
    </row>
    <row r="1757" spans="2:12" x14ac:dyDescent="0.2">
      <c r="B1757">
        <v>11222</v>
      </c>
      <c r="C1757" t="s">
        <v>8303</v>
      </c>
      <c r="D1757" t="s">
        <v>8272</v>
      </c>
      <c r="E1757" s="225">
        <v>1440</v>
      </c>
      <c r="F1757" t="s">
        <v>8758</v>
      </c>
      <c r="G1757" t="s">
        <v>8757</v>
      </c>
      <c r="H1757" t="s">
        <v>8701</v>
      </c>
      <c r="I1757" s="99">
        <v>44075</v>
      </c>
      <c r="J1757" s="99">
        <v>44079</v>
      </c>
      <c r="K1757" t="s">
        <v>8285</v>
      </c>
      <c r="L1757" t="s">
        <v>2317</v>
      </c>
    </row>
    <row r="1758" spans="2:12" x14ac:dyDescent="0.2">
      <c r="B1758">
        <v>11222</v>
      </c>
      <c r="C1758" t="s">
        <v>8390</v>
      </c>
      <c r="D1758" t="s">
        <v>8262</v>
      </c>
      <c r="E1758" s="225">
        <v>360</v>
      </c>
      <c r="F1758" t="s">
        <v>8758</v>
      </c>
      <c r="G1758" t="s">
        <v>8757</v>
      </c>
      <c r="H1758" t="s">
        <v>8701</v>
      </c>
      <c r="I1758" s="99">
        <v>44075</v>
      </c>
      <c r="J1758" s="99">
        <v>44079</v>
      </c>
      <c r="K1758" t="s">
        <v>8285</v>
      </c>
      <c r="L1758" t="s">
        <v>2317</v>
      </c>
    </row>
    <row r="1759" spans="2:12" x14ac:dyDescent="0.2">
      <c r="B1759">
        <v>11222</v>
      </c>
      <c r="C1759" t="s">
        <v>8268</v>
      </c>
      <c r="D1759" t="s">
        <v>8237</v>
      </c>
      <c r="E1759" s="225">
        <v>1360</v>
      </c>
      <c r="F1759" t="s">
        <v>8758</v>
      </c>
      <c r="G1759" t="s">
        <v>8757</v>
      </c>
      <c r="H1759" t="s">
        <v>8701</v>
      </c>
      <c r="I1759" s="99">
        <v>44075</v>
      </c>
      <c r="J1759" s="99">
        <v>44079</v>
      </c>
      <c r="K1759" t="s">
        <v>8285</v>
      </c>
      <c r="L1759" t="s">
        <v>2317</v>
      </c>
    </row>
    <row r="1760" spans="2:12" x14ac:dyDescent="0.2">
      <c r="B1760">
        <v>11222</v>
      </c>
      <c r="C1760" t="s">
        <v>8269</v>
      </c>
      <c r="D1760" t="s">
        <v>8237</v>
      </c>
      <c r="E1760" s="225">
        <v>35</v>
      </c>
      <c r="F1760" t="s">
        <v>8758</v>
      </c>
      <c r="G1760" t="s">
        <v>8757</v>
      </c>
      <c r="H1760" t="s">
        <v>8701</v>
      </c>
      <c r="I1760" s="99">
        <v>44069</v>
      </c>
      <c r="J1760" s="99">
        <v>44072</v>
      </c>
      <c r="K1760" t="s">
        <v>8241</v>
      </c>
      <c r="L1760" t="s">
        <v>6934</v>
      </c>
    </row>
    <row r="1761" spans="2:12" x14ac:dyDescent="0.2">
      <c r="B1761">
        <v>11222</v>
      </c>
      <c r="C1761" t="s">
        <v>8235</v>
      </c>
      <c r="D1761" t="s">
        <v>8237</v>
      </c>
      <c r="E1761" s="225">
        <v>417.6</v>
      </c>
      <c r="F1761" t="s">
        <v>8758</v>
      </c>
      <c r="G1761" t="s">
        <v>8757</v>
      </c>
      <c r="H1761" t="s">
        <v>8701</v>
      </c>
      <c r="I1761" s="99">
        <v>44069</v>
      </c>
      <c r="J1761" s="99">
        <v>44072</v>
      </c>
      <c r="K1761" t="s">
        <v>8241</v>
      </c>
      <c r="L1761" t="s">
        <v>6934</v>
      </c>
    </row>
    <row r="1762" spans="2:12" x14ac:dyDescent="0.2">
      <c r="B1762">
        <v>11222</v>
      </c>
      <c r="C1762" t="s">
        <v>8415</v>
      </c>
      <c r="D1762" t="s">
        <v>8247</v>
      </c>
      <c r="E1762" s="225">
        <v>1350</v>
      </c>
      <c r="F1762" t="s">
        <v>8758</v>
      </c>
      <c r="G1762" t="s">
        <v>8757</v>
      </c>
      <c r="H1762" t="s">
        <v>8701</v>
      </c>
      <c r="I1762" s="99">
        <v>44069</v>
      </c>
      <c r="J1762" s="99">
        <v>44072</v>
      </c>
      <c r="K1762" t="s">
        <v>8241</v>
      </c>
      <c r="L1762" t="s">
        <v>6934</v>
      </c>
    </row>
    <row r="1763" spans="2:12" x14ac:dyDescent="0.2">
      <c r="B1763">
        <v>11232</v>
      </c>
      <c r="C1763" t="s">
        <v>8380</v>
      </c>
      <c r="D1763" t="s">
        <v>8272</v>
      </c>
      <c r="E1763" s="225">
        <v>3754.87</v>
      </c>
      <c r="F1763" t="s">
        <v>8714</v>
      </c>
      <c r="G1763" t="s">
        <v>8713</v>
      </c>
      <c r="H1763" t="s">
        <v>8701</v>
      </c>
      <c r="I1763" s="99">
        <v>44078</v>
      </c>
      <c r="J1763" s="99">
        <v>44083</v>
      </c>
      <c r="K1763" t="s">
        <v>8285</v>
      </c>
      <c r="L1763" t="s">
        <v>2317</v>
      </c>
    </row>
    <row r="1764" spans="2:12" x14ac:dyDescent="0.2">
      <c r="B1764">
        <v>11232</v>
      </c>
      <c r="C1764" t="s">
        <v>8288</v>
      </c>
      <c r="D1764" t="s">
        <v>8272</v>
      </c>
      <c r="E1764" s="225">
        <v>213.75</v>
      </c>
      <c r="F1764" t="s">
        <v>8714</v>
      </c>
      <c r="G1764" t="s">
        <v>8713</v>
      </c>
      <c r="H1764" t="s">
        <v>8701</v>
      </c>
      <c r="I1764" s="99">
        <v>44078</v>
      </c>
      <c r="J1764" s="99">
        <v>44083</v>
      </c>
      <c r="K1764" t="s">
        <v>8285</v>
      </c>
      <c r="L1764" t="s">
        <v>2317</v>
      </c>
    </row>
    <row r="1765" spans="2:12" x14ac:dyDescent="0.2">
      <c r="B1765">
        <v>11232</v>
      </c>
      <c r="C1765" t="s">
        <v>8310</v>
      </c>
      <c r="D1765" t="s">
        <v>8237</v>
      </c>
      <c r="E1765" s="225">
        <v>306.37</v>
      </c>
      <c r="F1765" t="s">
        <v>8714</v>
      </c>
      <c r="G1765" t="s">
        <v>8713</v>
      </c>
      <c r="H1765" t="s">
        <v>8701</v>
      </c>
      <c r="I1765" s="99">
        <v>44078</v>
      </c>
      <c r="J1765" s="99">
        <v>44083</v>
      </c>
      <c r="K1765" t="s">
        <v>8285</v>
      </c>
      <c r="L1765" t="s">
        <v>2317</v>
      </c>
    </row>
    <row r="1766" spans="2:12" x14ac:dyDescent="0.2">
      <c r="B1766">
        <v>11232</v>
      </c>
      <c r="C1766" t="s">
        <v>8281</v>
      </c>
      <c r="D1766" t="s">
        <v>8237</v>
      </c>
      <c r="E1766" s="225">
        <v>1402.5</v>
      </c>
      <c r="F1766" t="s">
        <v>8714</v>
      </c>
      <c r="G1766" t="s">
        <v>8713</v>
      </c>
      <c r="H1766" t="s">
        <v>8701</v>
      </c>
      <c r="I1766" s="99">
        <v>44078</v>
      </c>
      <c r="J1766" s="99">
        <v>44082</v>
      </c>
      <c r="K1766" t="s">
        <v>8266</v>
      </c>
      <c r="L1766" t="s">
        <v>8267</v>
      </c>
    </row>
    <row r="1767" spans="2:12" x14ac:dyDescent="0.2">
      <c r="B1767">
        <v>11232</v>
      </c>
      <c r="C1767" t="s">
        <v>8341</v>
      </c>
      <c r="D1767" t="s">
        <v>8244</v>
      </c>
      <c r="E1767" s="225">
        <v>532</v>
      </c>
      <c r="F1767" t="s">
        <v>8714</v>
      </c>
      <c r="G1767" t="s">
        <v>8713</v>
      </c>
      <c r="H1767" t="s">
        <v>8701</v>
      </c>
      <c r="I1767" s="99">
        <v>44078</v>
      </c>
      <c r="J1767" s="99">
        <v>44083</v>
      </c>
      <c r="K1767" t="s">
        <v>8285</v>
      </c>
      <c r="L1767" t="s">
        <v>2317</v>
      </c>
    </row>
    <row r="1768" spans="2:12" x14ac:dyDescent="0.2">
      <c r="B1768">
        <v>11238</v>
      </c>
      <c r="C1768" t="s">
        <v>8390</v>
      </c>
      <c r="D1768" t="s">
        <v>8262</v>
      </c>
      <c r="E1768" s="225">
        <v>475</v>
      </c>
      <c r="F1768" t="s">
        <v>8758</v>
      </c>
      <c r="G1768" t="s">
        <v>8757</v>
      </c>
      <c r="H1768" t="s">
        <v>8701</v>
      </c>
      <c r="I1768" s="99">
        <v>44065</v>
      </c>
      <c r="J1768" s="99">
        <v>44086</v>
      </c>
      <c r="K1768" t="s">
        <v>8320</v>
      </c>
      <c r="L1768" t="s">
        <v>8321</v>
      </c>
    </row>
    <row r="1769" spans="2:12" x14ac:dyDescent="0.2">
      <c r="B1769">
        <v>11238</v>
      </c>
      <c r="C1769" t="s">
        <v>8259</v>
      </c>
      <c r="D1769" t="s">
        <v>8244</v>
      </c>
      <c r="E1769" s="225">
        <v>1008</v>
      </c>
      <c r="F1769" t="s">
        <v>8758</v>
      </c>
      <c r="G1769" t="s">
        <v>8757</v>
      </c>
      <c r="H1769" t="s">
        <v>8701</v>
      </c>
      <c r="I1769" s="99">
        <v>44065</v>
      </c>
      <c r="J1769" s="99">
        <v>44086</v>
      </c>
      <c r="K1769" t="s">
        <v>8320</v>
      </c>
      <c r="L1769" t="s">
        <v>8321</v>
      </c>
    </row>
    <row r="1770" spans="2:12" x14ac:dyDescent="0.2">
      <c r="B1770">
        <v>11240</v>
      </c>
      <c r="C1770" t="s">
        <v>8270</v>
      </c>
      <c r="D1770" t="s">
        <v>8272</v>
      </c>
      <c r="E1770" s="225">
        <v>22.5</v>
      </c>
      <c r="F1770" t="s">
        <v>8774</v>
      </c>
      <c r="G1770" t="s">
        <v>8773</v>
      </c>
      <c r="H1770" t="s">
        <v>8720</v>
      </c>
      <c r="I1770" s="99">
        <v>44083</v>
      </c>
      <c r="J1770" s="99">
        <v>44092</v>
      </c>
      <c r="K1770" t="s">
        <v>8297</v>
      </c>
      <c r="L1770" t="s">
        <v>8298</v>
      </c>
    </row>
    <row r="1771" spans="2:12" x14ac:dyDescent="0.2">
      <c r="B1771">
        <v>11240</v>
      </c>
      <c r="C1771" t="s">
        <v>8369</v>
      </c>
      <c r="D1771" t="s">
        <v>8244</v>
      </c>
      <c r="E1771" s="225">
        <v>35</v>
      </c>
      <c r="F1771" t="s">
        <v>8774</v>
      </c>
      <c r="G1771" t="s">
        <v>8773</v>
      </c>
      <c r="H1771" t="s">
        <v>8720</v>
      </c>
      <c r="I1771" s="99">
        <v>44083</v>
      </c>
      <c r="J1771" s="99">
        <v>44092</v>
      </c>
      <c r="K1771" t="s">
        <v>8297</v>
      </c>
      <c r="L1771" t="s">
        <v>8298</v>
      </c>
    </row>
    <row r="1772" spans="2:12" x14ac:dyDescent="0.2">
      <c r="B1772">
        <v>11242</v>
      </c>
      <c r="C1772" t="s">
        <v>8328</v>
      </c>
      <c r="D1772" t="s">
        <v>8272</v>
      </c>
      <c r="E1772" s="225">
        <v>55.8</v>
      </c>
      <c r="F1772" t="s">
        <v>8382</v>
      </c>
      <c r="G1772" t="s">
        <v>8383</v>
      </c>
      <c r="H1772" t="s">
        <v>8236</v>
      </c>
      <c r="I1772" s="99">
        <v>44092</v>
      </c>
      <c r="J1772" s="99">
        <v>44093</v>
      </c>
      <c r="K1772" t="s">
        <v>8320</v>
      </c>
      <c r="L1772" t="s">
        <v>8321</v>
      </c>
    </row>
    <row r="1773" spans="2:12" x14ac:dyDescent="0.2">
      <c r="B1773">
        <v>11243</v>
      </c>
      <c r="C1773" t="s">
        <v>8333</v>
      </c>
      <c r="D1773" t="s">
        <v>8272</v>
      </c>
      <c r="E1773" s="225">
        <v>450</v>
      </c>
      <c r="F1773" t="s">
        <v>8295</v>
      </c>
      <c r="G1773" t="s">
        <v>8296</v>
      </c>
      <c r="H1773" t="s">
        <v>8236</v>
      </c>
      <c r="I1773" s="99">
        <v>44090</v>
      </c>
      <c r="J1773" s="99">
        <v>44098</v>
      </c>
      <c r="K1773" t="s">
        <v>8266</v>
      </c>
      <c r="L1773" t="s">
        <v>8267</v>
      </c>
    </row>
    <row r="1774" spans="2:12" x14ac:dyDescent="0.2">
      <c r="B1774">
        <v>11244</v>
      </c>
      <c r="C1774" t="s">
        <v>8328</v>
      </c>
      <c r="D1774" t="s">
        <v>8272</v>
      </c>
      <c r="E1774" s="225">
        <v>15.5</v>
      </c>
      <c r="F1774" t="s">
        <v>8407</v>
      </c>
      <c r="G1774" t="s">
        <v>8408</v>
      </c>
      <c r="H1774" t="s">
        <v>8236</v>
      </c>
      <c r="I1774" s="99">
        <v>44093</v>
      </c>
      <c r="J1774" s="99">
        <v>44099</v>
      </c>
      <c r="K1774" t="s">
        <v>8266</v>
      </c>
      <c r="L1774" t="s">
        <v>8267</v>
      </c>
    </row>
    <row r="1775" spans="2:12" x14ac:dyDescent="0.2">
      <c r="B1775">
        <v>11244</v>
      </c>
      <c r="C1775" t="s">
        <v>8415</v>
      </c>
      <c r="D1775" t="s">
        <v>8247</v>
      </c>
      <c r="E1775" s="225">
        <v>1050</v>
      </c>
      <c r="F1775" t="s">
        <v>8407</v>
      </c>
      <c r="G1775" t="s">
        <v>8408</v>
      </c>
      <c r="H1775" t="s">
        <v>8236</v>
      </c>
      <c r="I1775" s="99">
        <v>44093</v>
      </c>
      <c r="J1775" s="99">
        <v>44099</v>
      </c>
      <c r="K1775" t="s">
        <v>8266</v>
      </c>
      <c r="L1775" t="s">
        <v>8267</v>
      </c>
    </row>
    <row r="1776" spans="2:12" x14ac:dyDescent="0.2">
      <c r="B1776">
        <v>11244</v>
      </c>
      <c r="C1776" t="s">
        <v>8245</v>
      </c>
      <c r="D1776" t="s">
        <v>8247</v>
      </c>
      <c r="E1776" s="225">
        <v>795</v>
      </c>
      <c r="F1776" t="s">
        <v>8407</v>
      </c>
      <c r="G1776" t="s">
        <v>8408</v>
      </c>
      <c r="H1776" t="s">
        <v>8236</v>
      </c>
      <c r="I1776" s="99">
        <v>44093</v>
      </c>
      <c r="J1776" s="99">
        <v>44099</v>
      </c>
      <c r="K1776" t="s">
        <v>8266</v>
      </c>
      <c r="L1776" t="s">
        <v>8267</v>
      </c>
    </row>
    <row r="1777" spans="2:12" x14ac:dyDescent="0.2">
      <c r="B1777">
        <v>11248</v>
      </c>
      <c r="C1777" t="s">
        <v>8291</v>
      </c>
      <c r="D1777" t="s">
        <v>8262</v>
      </c>
      <c r="E1777" s="225">
        <v>739.5</v>
      </c>
      <c r="F1777" t="s">
        <v>8758</v>
      </c>
      <c r="G1777" t="s">
        <v>8757</v>
      </c>
      <c r="H1777" t="s">
        <v>8701</v>
      </c>
      <c r="I1777" s="99">
        <v>44089</v>
      </c>
      <c r="J1777" s="99">
        <v>44099</v>
      </c>
      <c r="K1777" t="s">
        <v>8320</v>
      </c>
      <c r="L1777" t="s">
        <v>8321</v>
      </c>
    </row>
    <row r="1778" spans="2:12" x14ac:dyDescent="0.2">
      <c r="B1778">
        <v>11250</v>
      </c>
      <c r="C1778" t="s">
        <v>8322</v>
      </c>
      <c r="D1778" t="s">
        <v>8254</v>
      </c>
      <c r="E1778" s="225">
        <v>490.14</v>
      </c>
      <c r="F1778" t="s">
        <v>8714</v>
      </c>
      <c r="G1778" t="s">
        <v>8713</v>
      </c>
      <c r="H1778" t="s">
        <v>8701</v>
      </c>
      <c r="I1778" s="99">
        <v>44113</v>
      </c>
      <c r="J1778" s="99">
        <v>44119</v>
      </c>
      <c r="K1778" t="s">
        <v>8251</v>
      </c>
      <c r="L1778" t="s">
        <v>269</v>
      </c>
    </row>
    <row r="1779" spans="2:12" x14ac:dyDescent="0.2">
      <c r="B1779">
        <v>11250</v>
      </c>
      <c r="C1779" t="s">
        <v>8410</v>
      </c>
      <c r="D1779" t="s">
        <v>8262</v>
      </c>
      <c r="E1779" s="225">
        <v>51.3</v>
      </c>
      <c r="F1779" t="s">
        <v>8714</v>
      </c>
      <c r="G1779" t="s">
        <v>8713</v>
      </c>
      <c r="H1779" t="s">
        <v>8701</v>
      </c>
      <c r="I1779" s="99">
        <v>44113</v>
      </c>
      <c r="J1779" s="99">
        <v>44119</v>
      </c>
      <c r="K1779" t="s">
        <v>8251</v>
      </c>
      <c r="L1779" t="s">
        <v>269</v>
      </c>
    </row>
    <row r="1780" spans="2:12" x14ac:dyDescent="0.2">
      <c r="B1780">
        <v>11250</v>
      </c>
      <c r="C1780" t="s">
        <v>8252</v>
      </c>
      <c r="D1780" t="s">
        <v>8247</v>
      </c>
      <c r="E1780" s="225">
        <v>62.77</v>
      </c>
      <c r="F1780" t="s">
        <v>8714</v>
      </c>
      <c r="G1780" t="s">
        <v>8713</v>
      </c>
      <c r="H1780" t="s">
        <v>8701</v>
      </c>
      <c r="I1780" s="99">
        <v>44113</v>
      </c>
      <c r="J1780" s="99">
        <v>44119</v>
      </c>
      <c r="K1780" t="s">
        <v>8251</v>
      </c>
      <c r="L1780" t="s">
        <v>269</v>
      </c>
    </row>
    <row r="1781" spans="2:12" x14ac:dyDescent="0.2">
      <c r="B1781">
        <v>11253</v>
      </c>
      <c r="C1781" t="s">
        <v>8361</v>
      </c>
      <c r="D1781" t="s">
        <v>8254</v>
      </c>
      <c r="E1781" s="225">
        <v>775</v>
      </c>
      <c r="F1781" t="s">
        <v>8758</v>
      </c>
      <c r="G1781" t="s">
        <v>8757</v>
      </c>
      <c r="H1781" t="s">
        <v>8701</v>
      </c>
      <c r="I1781" s="99">
        <v>44113</v>
      </c>
      <c r="J1781" s="99">
        <v>44124</v>
      </c>
      <c r="K1781" t="s">
        <v>8297</v>
      </c>
      <c r="L1781" t="s">
        <v>8298</v>
      </c>
    </row>
    <row r="1782" spans="2:12" x14ac:dyDescent="0.2">
      <c r="B1782">
        <v>11253</v>
      </c>
      <c r="C1782" t="s">
        <v>8410</v>
      </c>
      <c r="D1782" t="s">
        <v>8262</v>
      </c>
      <c r="E1782" s="225">
        <v>95</v>
      </c>
      <c r="F1782" t="s">
        <v>8758</v>
      </c>
      <c r="G1782" t="s">
        <v>8757</v>
      </c>
      <c r="H1782" t="s">
        <v>8701</v>
      </c>
      <c r="I1782" s="99">
        <v>44113</v>
      </c>
      <c r="J1782" s="99">
        <v>44124</v>
      </c>
      <c r="K1782" t="s">
        <v>8297</v>
      </c>
      <c r="L1782" t="s">
        <v>8298</v>
      </c>
    </row>
    <row r="1783" spans="2:12" x14ac:dyDescent="0.2">
      <c r="B1783">
        <v>11253</v>
      </c>
      <c r="C1783" t="s">
        <v>8268</v>
      </c>
      <c r="D1783" t="s">
        <v>8237</v>
      </c>
      <c r="E1783" s="225">
        <v>1020</v>
      </c>
      <c r="F1783" t="s">
        <v>8758</v>
      </c>
      <c r="G1783" t="s">
        <v>8757</v>
      </c>
      <c r="H1783" t="s">
        <v>8701</v>
      </c>
      <c r="I1783" s="99">
        <v>44113</v>
      </c>
      <c r="J1783" s="99">
        <v>44124</v>
      </c>
      <c r="K1783" t="s">
        <v>8297</v>
      </c>
      <c r="L1783" t="s">
        <v>8298</v>
      </c>
    </row>
    <row r="1784" spans="2:12" x14ac:dyDescent="0.2">
      <c r="B1784">
        <v>11253</v>
      </c>
      <c r="C1784" t="s">
        <v>8341</v>
      </c>
      <c r="D1784" t="s">
        <v>8244</v>
      </c>
      <c r="E1784" s="225">
        <v>1710</v>
      </c>
      <c r="F1784" t="s">
        <v>8758</v>
      </c>
      <c r="G1784" t="s">
        <v>8757</v>
      </c>
      <c r="H1784" t="s">
        <v>8701</v>
      </c>
      <c r="I1784" s="99">
        <v>44113</v>
      </c>
      <c r="J1784" s="99">
        <v>44124</v>
      </c>
      <c r="K1784" t="s">
        <v>8297</v>
      </c>
      <c r="L1784" t="s">
        <v>8298</v>
      </c>
    </row>
    <row r="1785" spans="2:12" x14ac:dyDescent="0.2">
      <c r="B1785">
        <v>11259</v>
      </c>
      <c r="C1785" t="s">
        <v>8280</v>
      </c>
      <c r="D1785" t="s">
        <v>8262</v>
      </c>
      <c r="E1785" s="225">
        <v>654.38</v>
      </c>
      <c r="F1785" t="s">
        <v>8756</v>
      </c>
      <c r="G1785" t="s">
        <v>8755</v>
      </c>
      <c r="H1785" t="s">
        <v>8701</v>
      </c>
      <c r="I1785" s="99">
        <v>44133</v>
      </c>
      <c r="J1785" s="99">
        <v>44135</v>
      </c>
      <c r="K1785" t="s">
        <v>8285</v>
      </c>
      <c r="L1785" t="s">
        <v>2317</v>
      </c>
    </row>
    <row r="1786" spans="2:12" x14ac:dyDescent="0.2">
      <c r="B1786">
        <v>11259</v>
      </c>
      <c r="C1786" t="s">
        <v>8309</v>
      </c>
      <c r="D1786" t="s">
        <v>8237</v>
      </c>
      <c r="E1786" s="225">
        <v>187.5</v>
      </c>
      <c r="F1786" t="s">
        <v>8756</v>
      </c>
      <c r="G1786" t="s">
        <v>8755</v>
      </c>
      <c r="H1786" t="s">
        <v>8701</v>
      </c>
      <c r="I1786" s="99">
        <v>44133</v>
      </c>
      <c r="J1786" s="99">
        <v>44135</v>
      </c>
      <c r="K1786" t="s">
        <v>8285</v>
      </c>
      <c r="L1786" t="s">
        <v>2317</v>
      </c>
    </row>
    <row r="1787" spans="2:12" x14ac:dyDescent="0.2">
      <c r="B1787">
        <v>11259</v>
      </c>
      <c r="C1787" t="s">
        <v>8243</v>
      </c>
      <c r="D1787" t="s">
        <v>8244</v>
      </c>
      <c r="E1787" s="225">
        <v>420</v>
      </c>
      <c r="F1787" t="s">
        <v>8756</v>
      </c>
      <c r="G1787" t="s">
        <v>8755</v>
      </c>
      <c r="H1787" t="s">
        <v>8701</v>
      </c>
      <c r="I1787" s="99">
        <v>44133</v>
      </c>
      <c r="J1787" s="99">
        <v>44135</v>
      </c>
      <c r="K1787" t="s">
        <v>8285</v>
      </c>
      <c r="L1787" t="s">
        <v>2317</v>
      </c>
    </row>
    <row r="1788" spans="2:12" x14ac:dyDescent="0.2">
      <c r="B1788">
        <v>11262</v>
      </c>
      <c r="C1788" t="s">
        <v>8281</v>
      </c>
      <c r="D1788" t="s">
        <v>8237</v>
      </c>
      <c r="E1788" s="225">
        <v>660</v>
      </c>
      <c r="F1788" t="s">
        <v>8295</v>
      </c>
      <c r="G1788" t="s">
        <v>8296</v>
      </c>
      <c r="H1788" t="s">
        <v>8236</v>
      </c>
      <c r="I1788" s="99">
        <v>44132</v>
      </c>
      <c r="J1788" s="99">
        <v>44139</v>
      </c>
      <c r="K1788" t="s">
        <v>8320</v>
      </c>
      <c r="L1788" t="s">
        <v>8321</v>
      </c>
    </row>
    <row r="1789" spans="2:12" x14ac:dyDescent="0.2">
      <c r="B1789">
        <v>11263</v>
      </c>
      <c r="C1789" t="s">
        <v>8327</v>
      </c>
      <c r="D1789" t="s">
        <v>8262</v>
      </c>
      <c r="E1789" s="225">
        <v>248.4</v>
      </c>
      <c r="F1789" t="s">
        <v>8714</v>
      </c>
      <c r="G1789" t="s">
        <v>8713</v>
      </c>
      <c r="H1789" t="s">
        <v>8701</v>
      </c>
      <c r="I1789" s="99">
        <v>44134</v>
      </c>
      <c r="J1789" s="99">
        <v>44139</v>
      </c>
      <c r="K1789" t="s">
        <v>8257</v>
      </c>
      <c r="L1789" t="s">
        <v>6984</v>
      </c>
    </row>
    <row r="1790" spans="2:12" x14ac:dyDescent="0.2">
      <c r="B1790">
        <v>11263</v>
      </c>
      <c r="C1790" t="s">
        <v>8368</v>
      </c>
      <c r="D1790" t="s">
        <v>8262</v>
      </c>
      <c r="E1790" s="225">
        <v>108</v>
      </c>
      <c r="F1790" t="s">
        <v>8714</v>
      </c>
      <c r="G1790" t="s">
        <v>8713</v>
      </c>
      <c r="H1790" t="s">
        <v>8701</v>
      </c>
      <c r="I1790" s="99">
        <v>44134</v>
      </c>
      <c r="J1790" s="99">
        <v>44139</v>
      </c>
      <c r="K1790" t="s">
        <v>8257</v>
      </c>
      <c r="L1790" t="s">
        <v>6984</v>
      </c>
    </row>
    <row r="1791" spans="2:12" x14ac:dyDescent="0.2">
      <c r="B1791">
        <v>11263</v>
      </c>
      <c r="C1791" t="s">
        <v>8340</v>
      </c>
      <c r="D1791" t="s">
        <v>8244</v>
      </c>
      <c r="E1791" s="225">
        <v>931</v>
      </c>
      <c r="F1791" t="s">
        <v>8714</v>
      </c>
      <c r="G1791" t="s">
        <v>8713</v>
      </c>
      <c r="H1791" t="s">
        <v>8701</v>
      </c>
      <c r="I1791" s="99">
        <v>44134</v>
      </c>
      <c r="J1791" s="99">
        <v>44139</v>
      </c>
      <c r="K1791" t="s">
        <v>8257</v>
      </c>
      <c r="L1791" t="s">
        <v>6984</v>
      </c>
    </row>
    <row r="1792" spans="2:12" x14ac:dyDescent="0.2">
      <c r="B1792">
        <v>11266</v>
      </c>
      <c r="C1792" t="s">
        <v>8243</v>
      </c>
      <c r="D1792" t="s">
        <v>8244</v>
      </c>
      <c r="E1792" s="225">
        <v>399</v>
      </c>
      <c r="F1792" t="s">
        <v>8377</v>
      </c>
      <c r="G1792" t="s">
        <v>8378</v>
      </c>
      <c r="H1792" t="s">
        <v>8236</v>
      </c>
      <c r="I1792" s="99">
        <v>44119</v>
      </c>
      <c r="J1792" s="99">
        <v>44142</v>
      </c>
      <c r="K1792" t="s">
        <v>8297</v>
      </c>
      <c r="L1792" t="s">
        <v>8298</v>
      </c>
    </row>
    <row r="1793" spans="2:12" x14ac:dyDescent="0.2">
      <c r="B1793">
        <v>11266</v>
      </c>
      <c r="C1793" t="s">
        <v>8245</v>
      </c>
      <c r="D1793" t="s">
        <v>8247</v>
      </c>
      <c r="E1793" s="225">
        <v>1007</v>
      </c>
      <c r="F1793" t="s">
        <v>8377</v>
      </c>
      <c r="G1793" t="s">
        <v>8378</v>
      </c>
      <c r="H1793" t="s">
        <v>8236</v>
      </c>
      <c r="I1793" s="99">
        <v>44119</v>
      </c>
      <c r="J1793" s="99">
        <v>44142</v>
      </c>
      <c r="K1793" t="s">
        <v>8297</v>
      </c>
      <c r="L1793" t="s">
        <v>8298</v>
      </c>
    </row>
    <row r="1794" spans="2:12" x14ac:dyDescent="0.2">
      <c r="B1794">
        <v>11269</v>
      </c>
      <c r="C1794" t="s">
        <v>8333</v>
      </c>
      <c r="D1794" t="s">
        <v>8272</v>
      </c>
      <c r="E1794" s="225">
        <v>72</v>
      </c>
      <c r="F1794" t="s">
        <v>8758</v>
      </c>
      <c r="G1794" t="s">
        <v>8757</v>
      </c>
      <c r="H1794" t="s">
        <v>8701</v>
      </c>
      <c r="I1794" s="99">
        <v>44149</v>
      </c>
      <c r="J1794" s="99">
        <v>44155</v>
      </c>
      <c r="K1794" t="s">
        <v>8257</v>
      </c>
      <c r="L1794" t="s">
        <v>6984</v>
      </c>
    </row>
    <row r="1795" spans="2:12" x14ac:dyDescent="0.2">
      <c r="B1795">
        <v>11269</v>
      </c>
      <c r="C1795" t="s">
        <v>8358</v>
      </c>
      <c r="D1795" t="s">
        <v>8272</v>
      </c>
      <c r="E1795" s="225">
        <v>134.4</v>
      </c>
      <c r="F1795" t="s">
        <v>8758</v>
      </c>
      <c r="G1795" t="s">
        <v>8757</v>
      </c>
      <c r="H1795" t="s">
        <v>8701</v>
      </c>
      <c r="I1795" s="99">
        <v>44149</v>
      </c>
      <c r="J1795" s="99">
        <v>44155</v>
      </c>
      <c r="K1795" t="s">
        <v>8257</v>
      </c>
      <c r="L1795" t="s">
        <v>6984</v>
      </c>
    </row>
    <row r="1796" spans="2:12" x14ac:dyDescent="0.2">
      <c r="B1796">
        <v>11269</v>
      </c>
      <c r="C1796" t="s">
        <v>8334</v>
      </c>
      <c r="D1796" t="s">
        <v>8262</v>
      </c>
      <c r="E1796" s="225">
        <v>400</v>
      </c>
      <c r="F1796" t="s">
        <v>8758</v>
      </c>
      <c r="G1796" t="s">
        <v>8757</v>
      </c>
      <c r="H1796" t="s">
        <v>8701</v>
      </c>
      <c r="I1796" s="99">
        <v>44149</v>
      </c>
      <c r="J1796" s="99">
        <v>44155</v>
      </c>
      <c r="K1796" t="s">
        <v>8257</v>
      </c>
      <c r="L1796" t="s">
        <v>6984</v>
      </c>
    </row>
    <row r="1797" spans="2:12" x14ac:dyDescent="0.2">
      <c r="B1797">
        <v>11269</v>
      </c>
      <c r="C1797" t="s">
        <v>8299</v>
      </c>
      <c r="D1797" t="s">
        <v>8237</v>
      </c>
      <c r="E1797" s="225">
        <v>3800</v>
      </c>
      <c r="F1797" t="s">
        <v>8758</v>
      </c>
      <c r="G1797" t="s">
        <v>8757</v>
      </c>
      <c r="H1797" t="s">
        <v>8701</v>
      </c>
      <c r="I1797" s="99">
        <v>44132</v>
      </c>
      <c r="J1797" s="99">
        <v>44155</v>
      </c>
      <c r="K1797" t="s">
        <v>8158</v>
      </c>
      <c r="L1797" t="s">
        <v>861</v>
      </c>
    </row>
    <row r="1798" spans="2:12" x14ac:dyDescent="0.2">
      <c r="B1798">
        <v>11269</v>
      </c>
      <c r="C1798" t="s">
        <v>8269</v>
      </c>
      <c r="D1798" t="s">
        <v>8237</v>
      </c>
      <c r="E1798" s="225">
        <v>75</v>
      </c>
      <c r="F1798" t="s">
        <v>8758</v>
      </c>
      <c r="G1798" t="s">
        <v>8757</v>
      </c>
      <c r="H1798" t="s">
        <v>8701</v>
      </c>
      <c r="I1798" s="99">
        <v>44132</v>
      </c>
      <c r="J1798" s="99">
        <v>44155</v>
      </c>
      <c r="K1798" t="s">
        <v>8158</v>
      </c>
      <c r="L1798" t="s">
        <v>861</v>
      </c>
    </row>
    <row r="1799" spans="2:12" x14ac:dyDescent="0.2">
      <c r="B1799">
        <v>11269</v>
      </c>
      <c r="C1799" t="s">
        <v>8310</v>
      </c>
      <c r="D1799" t="s">
        <v>8237</v>
      </c>
      <c r="E1799" s="225">
        <v>1032</v>
      </c>
      <c r="F1799" t="s">
        <v>8758</v>
      </c>
      <c r="G1799" t="s">
        <v>8757</v>
      </c>
      <c r="H1799" t="s">
        <v>8701</v>
      </c>
      <c r="I1799" s="99">
        <v>44149</v>
      </c>
      <c r="J1799" s="99">
        <v>44155</v>
      </c>
      <c r="K1799" t="s">
        <v>8257</v>
      </c>
      <c r="L1799" t="s">
        <v>6984</v>
      </c>
    </row>
    <row r="1800" spans="2:12" x14ac:dyDescent="0.2">
      <c r="B1800">
        <v>11277</v>
      </c>
      <c r="C1800" t="s">
        <v>8306</v>
      </c>
      <c r="D1800" t="s">
        <v>8272</v>
      </c>
      <c r="E1800" s="225">
        <v>1104</v>
      </c>
      <c r="F1800" t="s">
        <v>8756</v>
      </c>
      <c r="G1800" t="s">
        <v>8755</v>
      </c>
      <c r="H1800" t="s">
        <v>8701</v>
      </c>
      <c r="I1800" s="99">
        <v>44155</v>
      </c>
      <c r="J1800" s="99">
        <v>44160</v>
      </c>
      <c r="K1800" t="s">
        <v>8320</v>
      </c>
      <c r="L1800" t="s">
        <v>8321</v>
      </c>
    </row>
    <row r="1801" spans="2:12" x14ac:dyDescent="0.2">
      <c r="B1801">
        <v>11277</v>
      </c>
      <c r="C1801" t="s">
        <v>8280</v>
      </c>
      <c r="D1801" t="s">
        <v>8262</v>
      </c>
      <c r="E1801" s="225">
        <v>349</v>
      </c>
      <c r="F1801" t="s">
        <v>8756</v>
      </c>
      <c r="G1801" t="s">
        <v>8755</v>
      </c>
      <c r="H1801" t="s">
        <v>8701</v>
      </c>
      <c r="I1801" s="99">
        <v>44155</v>
      </c>
      <c r="J1801" s="99">
        <v>44160</v>
      </c>
      <c r="K1801" t="s">
        <v>8320</v>
      </c>
      <c r="L1801" t="s">
        <v>8321</v>
      </c>
    </row>
    <row r="1802" spans="2:12" x14ac:dyDescent="0.2">
      <c r="B1802">
        <v>11277</v>
      </c>
      <c r="C1802" t="s">
        <v>8281</v>
      </c>
      <c r="D1802" t="s">
        <v>8237</v>
      </c>
      <c r="E1802" s="225">
        <v>440</v>
      </c>
      <c r="F1802" t="s">
        <v>8756</v>
      </c>
      <c r="G1802" t="s">
        <v>8755</v>
      </c>
      <c r="H1802" t="s">
        <v>8701</v>
      </c>
      <c r="I1802" s="99">
        <v>44155</v>
      </c>
      <c r="J1802" s="99">
        <v>44160</v>
      </c>
      <c r="K1802" t="s">
        <v>8320</v>
      </c>
      <c r="L1802" t="s">
        <v>8321</v>
      </c>
    </row>
    <row r="1803" spans="2:12" x14ac:dyDescent="0.2">
      <c r="B1803">
        <v>11280</v>
      </c>
      <c r="C1803" t="s">
        <v>8288</v>
      </c>
      <c r="D1803" t="s">
        <v>8272</v>
      </c>
      <c r="E1803" s="225">
        <v>357</v>
      </c>
      <c r="F1803" t="s">
        <v>8386</v>
      </c>
      <c r="G1803" t="s">
        <v>8387</v>
      </c>
      <c r="H1803" t="s">
        <v>2434</v>
      </c>
      <c r="I1803" s="99">
        <v>44155</v>
      </c>
      <c r="J1803" s="99">
        <v>44162</v>
      </c>
      <c r="K1803" t="s">
        <v>8266</v>
      </c>
      <c r="L1803" t="s">
        <v>8267</v>
      </c>
    </row>
    <row r="1804" spans="2:12" x14ac:dyDescent="0.2">
      <c r="B1804">
        <v>11280</v>
      </c>
      <c r="C1804" t="s">
        <v>8258</v>
      </c>
      <c r="D1804" t="s">
        <v>8244</v>
      </c>
      <c r="E1804" s="225">
        <v>780</v>
      </c>
      <c r="F1804" t="s">
        <v>8386</v>
      </c>
      <c r="G1804" t="s">
        <v>8387</v>
      </c>
      <c r="H1804" t="s">
        <v>2434</v>
      </c>
      <c r="I1804" s="99">
        <v>44155</v>
      </c>
      <c r="J1804" s="99">
        <v>44162</v>
      </c>
      <c r="K1804" t="s">
        <v>8266</v>
      </c>
      <c r="L1804" t="s">
        <v>8267</v>
      </c>
    </row>
    <row r="1805" spans="2:12" x14ac:dyDescent="0.2">
      <c r="B1805">
        <v>11283</v>
      </c>
      <c r="C1805" t="s">
        <v>8276</v>
      </c>
      <c r="D1805" t="s">
        <v>8272</v>
      </c>
      <c r="E1805" s="225">
        <v>427.5</v>
      </c>
      <c r="F1805" t="s">
        <v>8758</v>
      </c>
      <c r="G1805" t="s">
        <v>8757</v>
      </c>
      <c r="H1805" t="s">
        <v>8701</v>
      </c>
      <c r="I1805" s="99">
        <v>44161</v>
      </c>
      <c r="J1805" s="99">
        <v>44166</v>
      </c>
      <c r="K1805" t="s">
        <v>8241</v>
      </c>
      <c r="L1805" t="s">
        <v>6934</v>
      </c>
    </row>
    <row r="1806" spans="2:12" x14ac:dyDescent="0.2">
      <c r="B1806">
        <v>11283</v>
      </c>
      <c r="C1806" t="s">
        <v>8410</v>
      </c>
      <c r="D1806" t="s">
        <v>8262</v>
      </c>
      <c r="E1806" s="225">
        <v>356.25</v>
      </c>
      <c r="F1806" t="s">
        <v>8758</v>
      </c>
      <c r="G1806" t="s">
        <v>8757</v>
      </c>
      <c r="H1806" t="s">
        <v>8701</v>
      </c>
      <c r="I1806" s="99">
        <v>44161</v>
      </c>
      <c r="J1806" s="99">
        <v>44166</v>
      </c>
      <c r="K1806" t="s">
        <v>8241</v>
      </c>
      <c r="L1806" t="s">
        <v>6934</v>
      </c>
    </row>
    <row r="1807" spans="2:12" x14ac:dyDescent="0.2">
      <c r="B1807">
        <v>11283</v>
      </c>
      <c r="C1807" t="s">
        <v>8372</v>
      </c>
      <c r="D1807" t="s">
        <v>8262</v>
      </c>
      <c r="E1807" s="225">
        <v>936.9</v>
      </c>
      <c r="F1807" t="s">
        <v>8758</v>
      </c>
      <c r="G1807" t="s">
        <v>8757</v>
      </c>
      <c r="H1807" t="s">
        <v>8701</v>
      </c>
      <c r="I1807" s="99">
        <v>44161</v>
      </c>
      <c r="J1807" s="99">
        <v>44163</v>
      </c>
      <c r="K1807" t="s">
        <v>8285</v>
      </c>
      <c r="L1807" t="s">
        <v>2317</v>
      </c>
    </row>
    <row r="1808" spans="2:12" x14ac:dyDescent="0.2">
      <c r="B1808">
        <v>11283</v>
      </c>
      <c r="C1808" t="s">
        <v>8341</v>
      </c>
      <c r="D1808" t="s">
        <v>8244</v>
      </c>
      <c r="E1808" s="225">
        <v>513</v>
      </c>
      <c r="F1808" t="s">
        <v>8758</v>
      </c>
      <c r="G1808" t="s">
        <v>8757</v>
      </c>
      <c r="H1808" t="s">
        <v>8701</v>
      </c>
      <c r="I1808" s="99">
        <v>44161</v>
      </c>
      <c r="J1808" s="99">
        <v>44166</v>
      </c>
      <c r="K1808" t="s">
        <v>8241</v>
      </c>
      <c r="L1808" t="s">
        <v>6934</v>
      </c>
    </row>
    <row r="1809" spans="2:12" x14ac:dyDescent="0.2">
      <c r="B1809">
        <v>11292</v>
      </c>
      <c r="C1809" t="s">
        <v>8310</v>
      </c>
      <c r="D1809" t="s">
        <v>8237</v>
      </c>
      <c r="E1809" s="225">
        <v>645</v>
      </c>
      <c r="F1809" t="s">
        <v>8377</v>
      </c>
      <c r="G1809" t="s">
        <v>8378</v>
      </c>
      <c r="H1809" t="s">
        <v>8236</v>
      </c>
      <c r="I1809" s="99">
        <v>44162</v>
      </c>
      <c r="J1809" s="99">
        <v>44168</v>
      </c>
      <c r="K1809" t="s">
        <v>8257</v>
      </c>
      <c r="L1809" t="s">
        <v>6984</v>
      </c>
    </row>
    <row r="1810" spans="2:12" x14ac:dyDescent="0.2">
      <c r="B1810">
        <v>11294</v>
      </c>
      <c r="C1810" t="s">
        <v>8276</v>
      </c>
      <c r="D1810" t="s">
        <v>8272</v>
      </c>
      <c r="E1810" s="225">
        <v>57</v>
      </c>
      <c r="F1810" t="s">
        <v>8758</v>
      </c>
      <c r="G1810" t="s">
        <v>8757</v>
      </c>
      <c r="H1810" t="s">
        <v>8701</v>
      </c>
      <c r="I1810" s="99">
        <v>44168</v>
      </c>
      <c r="J1810" s="99">
        <v>44174</v>
      </c>
      <c r="K1810" t="s">
        <v>8320</v>
      </c>
      <c r="L1810" t="s">
        <v>8321</v>
      </c>
    </row>
    <row r="1811" spans="2:12" x14ac:dyDescent="0.2">
      <c r="B1811">
        <v>11294</v>
      </c>
      <c r="C1811" t="s">
        <v>8328</v>
      </c>
      <c r="D1811" t="s">
        <v>8272</v>
      </c>
      <c r="E1811" s="225">
        <v>325.5</v>
      </c>
      <c r="F1811" t="s">
        <v>8758</v>
      </c>
      <c r="G1811" t="s">
        <v>8757</v>
      </c>
      <c r="H1811" t="s">
        <v>8701</v>
      </c>
      <c r="I1811" s="99">
        <v>44168</v>
      </c>
      <c r="J1811" s="99">
        <v>44174</v>
      </c>
      <c r="K1811" t="s">
        <v>8320</v>
      </c>
      <c r="L1811" t="s">
        <v>8321</v>
      </c>
    </row>
    <row r="1812" spans="2:12" x14ac:dyDescent="0.2">
      <c r="B1812">
        <v>11294</v>
      </c>
      <c r="C1812" t="s">
        <v>8334</v>
      </c>
      <c r="D1812" t="s">
        <v>8262</v>
      </c>
      <c r="E1812" s="225">
        <v>562.5</v>
      </c>
      <c r="F1812" t="s">
        <v>8758</v>
      </c>
      <c r="G1812" t="s">
        <v>8757</v>
      </c>
      <c r="H1812" t="s">
        <v>8701</v>
      </c>
      <c r="I1812" s="99">
        <v>44168</v>
      </c>
      <c r="J1812" s="99">
        <v>44174</v>
      </c>
      <c r="K1812" t="s">
        <v>8320</v>
      </c>
      <c r="L1812" t="s">
        <v>8321</v>
      </c>
    </row>
    <row r="1813" spans="2:12" x14ac:dyDescent="0.2">
      <c r="B1813">
        <v>11294</v>
      </c>
      <c r="C1813" t="s">
        <v>8327</v>
      </c>
      <c r="D1813" t="s">
        <v>8262</v>
      </c>
      <c r="E1813" s="225">
        <v>110.4</v>
      </c>
      <c r="F1813" t="s">
        <v>8758</v>
      </c>
      <c r="G1813" t="s">
        <v>8757</v>
      </c>
      <c r="H1813" t="s">
        <v>8701</v>
      </c>
      <c r="I1813" s="99">
        <v>44160</v>
      </c>
      <c r="J1813" s="99">
        <v>44168</v>
      </c>
      <c r="K1813" t="s">
        <v>8241</v>
      </c>
      <c r="L1813" t="s">
        <v>6934</v>
      </c>
    </row>
    <row r="1814" spans="2:12" x14ac:dyDescent="0.2">
      <c r="B1814">
        <v>11294</v>
      </c>
      <c r="C1814" t="s">
        <v>8309</v>
      </c>
      <c r="D1814" t="s">
        <v>8237</v>
      </c>
      <c r="E1814" s="225">
        <v>625</v>
      </c>
      <c r="F1814" t="s">
        <v>8758</v>
      </c>
      <c r="G1814" t="s">
        <v>8757</v>
      </c>
      <c r="H1814" t="s">
        <v>8701</v>
      </c>
      <c r="I1814" s="99">
        <v>44168</v>
      </c>
      <c r="J1814" s="99">
        <v>44174</v>
      </c>
      <c r="K1814" t="s">
        <v>8320</v>
      </c>
      <c r="L1814" t="s">
        <v>8321</v>
      </c>
    </row>
    <row r="1815" spans="2:12" x14ac:dyDescent="0.2">
      <c r="B1815">
        <v>11301</v>
      </c>
      <c r="C1815" t="s">
        <v>8303</v>
      </c>
      <c r="D1815" t="s">
        <v>8272</v>
      </c>
      <c r="E1815" s="225">
        <v>360</v>
      </c>
      <c r="F1815" t="s">
        <v>8377</v>
      </c>
      <c r="G1815" t="s">
        <v>8378</v>
      </c>
      <c r="H1815" t="s">
        <v>8236</v>
      </c>
      <c r="I1815" s="99">
        <v>44176</v>
      </c>
      <c r="J1815" s="99">
        <v>44177</v>
      </c>
      <c r="K1815" t="s">
        <v>8257</v>
      </c>
      <c r="L1815" t="s">
        <v>6984</v>
      </c>
    </row>
    <row r="1816" spans="2:12" x14ac:dyDescent="0.2">
      <c r="B1816">
        <v>11301</v>
      </c>
      <c r="C1816" t="s">
        <v>8253</v>
      </c>
      <c r="D1816" t="s">
        <v>8254</v>
      </c>
      <c r="E1816" s="225">
        <v>199.97</v>
      </c>
      <c r="F1816" t="s">
        <v>8377</v>
      </c>
      <c r="G1816" t="s">
        <v>8378</v>
      </c>
      <c r="H1816" t="s">
        <v>8236</v>
      </c>
      <c r="I1816" s="99">
        <v>44175</v>
      </c>
      <c r="J1816" s="99">
        <v>44184</v>
      </c>
      <c r="K1816" t="s">
        <v>8241</v>
      </c>
      <c r="L1816" t="s">
        <v>6934</v>
      </c>
    </row>
    <row r="1817" spans="2:12" x14ac:dyDescent="0.2">
      <c r="B1817">
        <v>11301</v>
      </c>
      <c r="C1817" t="s">
        <v>8280</v>
      </c>
      <c r="D1817" t="s">
        <v>8262</v>
      </c>
      <c r="E1817" s="225">
        <v>248.66</v>
      </c>
      <c r="F1817" t="s">
        <v>8377</v>
      </c>
      <c r="G1817" t="s">
        <v>8378</v>
      </c>
      <c r="H1817" t="s">
        <v>8236</v>
      </c>
      <c r="I1817" s="99">
        <v>44175</v>
      </c>
      <c r="J1817" s="99">
        <v>44184</v>
      </c>
      <c r="K1817" t="s">
        <v>8241</v>
      </c>
      <c r="L1817" t="s">
        <v>6934</v>
      </c>
    </row>
    <row r="1818" spans="2:12" x14ac:dyDescent="0.2">
      <c r="B1818">
        <v>11301</v>
      </c>
      <c r="C1818" t="s">
        <v>8309</v>
      </c>
      <c r="D1818" t="s">
        <v>8237</v>
      </c>
      <c r="E1818" s="225">
        <v>35.619999999999997</v>
      </c>
      <c r="F1818" t="s">
        <v>8377</v>
      </c>
      <c r="G1818" t="s">
        <v>8378</v>
      </c>
      <c r="H1818" t="s">
        <v>8236</v>
      </c>
      <c r="I1818" s="99">
        <v>44175</v>
      </c>
      <c r="J1818" s="99">
        <v>44184</v>
      </c>
      <c r="K1818" t="s">
        <v>8241</v>
      </c>
      <c r="L1818" t="s">
        <v>6934</v>
      </c>
    </row>
    <row r="1819" spans="2:12" x14ac:dyDescent="0.2">
      <c r="B1819">
        <v>11305</v>
      </c>
      <c r="C1819" t="s">
        <v>8276</v>
      </c>
      <c r="D1819" t="s">
        <v>8272</v>
      </c>
      <c r="E1819" s="225">
        <v>228</v>
      </c>
      <c r="F1819" t="s">
        <v>8386</v>
      </c>
      <c r="G1819" t="s">
        <v>8387</v>
      </c>
      <c r="H1819" t="s">
        <v>2434</v>
      </c>
      <c r="I1819" s="99">
        <v>44184</v>
      </c>
      <c r="J1819" s="99">
        <v>44188</v>
      </c>
      <c r="K1819" t="s">
        <v>8266</v>
      </c>
      <c r="L1819" t="s">
        <v>8267</v>
      </c>
    </row>
    <row r="1820" spans="2:12" x14ac:dyDescent="0.2">
      <c r="B1820">
        <v>11306</v>
      </c>
      <c r="C1820" t="s">
        <v>8337</v>
      </c>
      <c r="D1820" t="s">
        <v>8254</v>
      </c>
      <c r="E1820" s="225">
        <v>200</v>
      </c>
      <c r="F1820" t="s">
        <v>8722</v>
      </c>
      <c r="G1820" t="s">
        <v>8721</v>
      </c>
      <c r="H1820" t="s">
        <v>8720</v>
      </c>
      <c r="I1820" s="99">
        <v>44184</v>
      </c>
      <c r="J1820" s="99">
        <v>44188</v>
      </c>
      <c r="K1820" t="s">
        <v>8257</v>
      </c>
      <c r="L1820" t="s">
        <v>6984</v>
      </c>
    </row>
    <row r="1821" spans="2:12" x14ac:dyDescent="0.2">
      <c r="B1821">
        <v>11306</v>
      </c>
      <c r="C1821" t="s">
        <v>8268</v>
      </c>
      <c r="D1821" t="s">
        <v>8237</v>
      </c>
      <c r="E1821" s="225">
        <v>1700</v>
      </c>
      <c r="F1821" t="s">
        <v>8722</v>
      </c>
      <c r="G1821" t="s">
        <v>8721</v>
      </c>
      <c r="H1821" t="s">
        <v>8720</v>
      </c>
      <c r="I1821" s="99">
        <v>44184</v>
      </c>
      <c r="J1821" s="99">
        <v>44188</v>
      </c>
      <c r="K1821" t="s">
        <v>8257</v>
      </c>
      <c r="L1821" t="s">
        <v>6984</v>
      </c>
    </row>
    <row r="1822" spans="2:12" x14ac:dyDescent="0.2">
      <c r="B1822">
        <v>11306</v>
      </c>
      <c r="C1822" t="s">
        <v>8235</v>
      </c>
      <c r="D1822" t="s">
        <v>8237</v>
      </c>
      <c r="E1822" s="225">
        <v>1218</v>
      </c>
      <c r="F1822" t="s">
        <v>8722</v>
      </c>
      <c r="G1822" t="s">
        <v>8721</v>
      </c>
      <c r="H1822" t="s">
        <v>8720</v>
      </c>
      <c r="I1822" s="99">
        <v>44184</v>
      </c>
      <c r="J1822" s="99">
        <v>44188</v>
      </c>
      <c r="K1822" t="s">
        <v>8257</v>
      </c>
      <c r="L1822" t="s">
        <v>6984</v>
      </c>
    </row>
    <row r="1823" spans="2:12" x14ac:dyDescent="0.2">
      <c r="B1823">
        <v>11309</v>
      </c>
      <c r="C1823" t="s">
        <v>8280</v>
      </c>
      <c r="D1823" t="s">
        <v>8262</v>
      </c>
      <c r="E1823" s="225">
        <v>52.35</v>
      </c>
      <c r="F1823" t="s">
        <v>8428</v>
      </c>
      <c r="G1823" t="s">
        <v>8429</v>
      </c>
      <c r="H1823" t="s">
        <v>8236</v>
      </c>
      <c r="I1823" s="99">
        <v>44182</v>
      </c>
      <c r="J1823" s="99">
        <v>44188</v>
      </c>
      <c r="K1823" t="s">
        <v>8297</v>
      </c>
      <c r="L1823" t="s">
        <v>8298</v>
      </c>
    </row>
    <row r="1824" spans="2:12" x14ac:dyDescent="0.2">
      <c r="B1824">
        <v>11311</v>
      </c>
      <c r="C1824" t="s">
        <v>8410</v>
      </c>
      <c r="D1824" t="s">
        <v>8262</v>
      </c>
      <c r="E1824" s="225">
        <v>213.75</v>
      </c>
      <c r="F1824" t="s">
        <v>8377</v>
      </c>
      <c r="G1824" t="s">
        <v>8378</v>
      </c>
      <c r="H1824" t="s">
        <v>8236</v>
      </c>
      <c r="I1824" s="99">
        <v>44196</v>
      </c>
      <c r="J1824" s="99">
        <v>44198</v>
      </c>
      <c r="K1824" t="s">
        <v>8266</v>
      </c>
      <c r="L1824" t="s">
        <v>8267</v>
      </c>
    </row>
    <row r="1825" spans="2:12" x14ac:dyDescent="0.2">
      <c r="B1825">
        <v>11311</v>
      </c>
      <c r="C1825" t="s">
        <v>8353</v>
      </c>
      <c r="D1825" t="s">
        <v>8237</v>
      </c>
      <c r="E1825" s="225">
        <v>675</v>
      </c>
      <c r="F1825" t="s">
        <v>8377</v>
      </c>
      <c r="G1825" t="s">
        <v>8378</v>
      </c>
      <c r="H1825" t="s">
        <v>8236</v>
      </c>
      <c r="I1825" s="99">
        <v>44196</v>
      </c>
      <c r="J1825" s="99">
        <v>44198</v>
      </c>
      <c r="K1825" t="s">
        <v>8266</v>
      </c>
      <c r="L1825" t="s">
        <v>8267</v>
      </c>
    </row>
    <row r="1826" spans="2:12" x14ac:dyDescent="0.2">
      <c r="B1826">
        <v>11311</v>
      </c>
      <c r="C1826" t="s">
        <v>8341</v>
      </c>
      <c r="D1826" t="s">
        <v>8244</v>
      </c>
      <c r="E1826" s="225">
        <v>855</v>
      </c>
      <c r="F1826" t="s">
        <v>8377</v>
      </c>
      <c r="G1826" t="s">
        <v>8378</v>
      </c>
      <c r="H1826" t="s">
        <v>8236</v>
      </c>
      <c r="I1826" s="99">
        <v>44196</v>
      </c>
      <c r="J1826" s="99">
        <v>44198</v>
      </c>
      <c r="K1826" t="s">
        <v>8266</v>
      </c>
      <c r="L1826" t="s">
        <v>8267</v>
      </c>
    </row>
    <row r="1827" spans="2:12" x14ac:dyDescent="0.2">
      <c r="B1827">
        <v>11311</v>
      </c>
      <c r="C1827" t="s">
        <v>8258</v>
      </c>
      <c r="D1827" t="s">
        <v>8244</v>
      </c>
      <c r="E1827" s="225">
        <v>204.75</v>
      </c>
      <c r="F1827" t="s">
        <v>8377</v>
      </c>
      <c r="G1827" t="s">
        <v>8378</v>
      </c>
      <c r="H1827" t="s">
        <v>8236</v>
      </c>
      <c r="I1827" s="99">
        <v>44196</v>
      </c>
      <c r="J1827" s="99">
        <v>44198</v>
      </c>
      <c r="K1827" t="s">
        <v>8266</v>
      </c>
      <c r="L1827" t="s">
        <v>8267</v>
      </c>
    </row>
    <row r="1828" spans="2:12" x14ac:dyDescent="0.2">
      <c r="B1828">
        <v>11315</v>
      </c>
      <c r="C1828" t="s">
        <v>8373</v>
      </c>
      <c r="D1828" t="s">
        <v>8244</v>
      </c>
      <c r="E1828" s="225">
        <v>396</v>
      </c>
      <c r="F1828" t="s">
        <v>8758</v>
      </c>
      <c r="G1828" t="s">
        <v>8757</v>
      </c>
      <c r="H1828" t="s">
        <v>8701</v>
      </c>
      <c r="I1828" s="99">
        <v>44190</v>
      </c>
      <c r="J1828" s="99">
        <v>44198</v>
      </c>
      <c r="K1828" t="s">
        <v>8257</v>
      </c>
      <c r="L1828" t="s">
        <v>6984</v>
      </c>
    </row>
    <row r="1829" spans="2:12" x14ac:dyDescent="0.2">
      <c r="B1829">
        <v>11315</v>
      </c>
      <c r="C1829" t="s">
        <v>8341</v>
      </c>
      <c r="D1829" t="s">
        <v>8244</v>
      </c>
      <c r="E1829" s="225">
        <v>1064</v>
      </c>
      <c r="F1829" t="s">
        <v>8758</v>
      </c>
      <c r="G1829" t="s">
        <v>8757</v>
      </c>
      <c r="H1829" t="s">
        <v>8701</v>
      </c>
      <c r="I1829" s="99">
        <v>44190</v>
      </c>
      <c r="J1829" s="99">
        <v>44198</v>
      </c>
      <c r="K1829" t="s">
        <v>8257</v>
      </c>
      <c r="L1829" t="s">
        <v>6984</v>
      </c>
    </row>
    <row r="1830" spans="2:12" x14ac:dyDescent="0.2">
      <c r="B1830">
        <v>11318</v>
      </c>
      <c r="C1830" t="s">
        <v>8270</v>
      </c>
      <c r="D1830" t="s">
        <v>8272</v>
      </c>
      <c r="E1830" s="225">
        <v>90</v>
      </c>
      <c r="F1830" t="s">
        <v>8407</v>
      </c>
      <c r="G1830" t="s">
        <v>8408</v>
      </c>
      <c r="H1830" t="s">
        <v>8236</v>
      </c>
      <c r="I1830" s="99">
        <v>44203</v>
      </c>
      <c r="J1830" s="99">
        <v>44208</v>
      </c>
      <c r="K1830" t="s">
        <v>8257</v>
      </c>
      <c r="L1830" t="s">
        <v>6984</v>
      </c>
    </row>
    <row r="1831" spans="2:12" x14ac:dyDescent="0.2">
      <c r="B1831">
        <v>11318</v>
      </c>
      <c r="C1831" t="s">
        <v>8368</v>
      </c>
      <c r="D1831" t="s">
        <v>8262</v>
      </c>
      <c r="E1831" s="225">
        <v>400</v>
      </c>
      <c r="F1831" t="s">
        <v>8407</v>
      </c>
      <c r="G1831" t="s">
        <v>8408</v>
      </c>
      <c r="H1831" t="s">
        <v>8236</v>
      </c>
      <c r="I1831" s="99">
        <v>44203</v>
      </c>
      <c r="J1831" s="99">
        <v>44208</v>
      </c>
      <c r="K1831" t="s">
        <v>8257</v>
      </c>
      <c r="L1831" t="s">
        <v>6984</v>
      </c>
    </row>
    <row r="1832" spans="2:12" x14ac:dyDescent="0.2">
      <c r="B1832">
        <v>11318</v>
      </c>
      <c r="C1832" t="s">
        <v>8259</v>
      </c>
      <c r="D1832" t="s">
        <v>8244</v>
      </c>
      <c r="E1832" s="225">
        <v>126</v>
      </c>
      <c r="F1832" t="s">
        <v>8407</v>
      </c>
      <c r="G1832" t="s">
        <v>8408</v>
      </c>
      <c r="H1832" t="s">
        <v>8236</v>
      </c>
      <c r="I1832" s="99">
        <v>44203</v>
      </c>
      <c r="J1832" s="99">
        <v>44208</v>
      </c>
      <c r="K1832" t="s">
        <v>8257</v>
      </c>
      <c r="L1832" t="s">
        <v>6984</v>
      </c>
    </row>
    <row r="1833" spans="2:12" x14ac:dyDescent="0.2">
      <c r="B1833">
        <v>11321</v>
      </c>
      <c r="C1833" t="s">
        <v>8309</v>
      </c>
      <c r="D1833" t="s">
        <v>8237</v>
      </c>
      <c r="E1833" s="225">
        <v>625</v>
      </c>
      <c r="F1833" t="s">
        <v>8386</v>
      </c>
      <c r="G1833" t="s">
        <v>8387</v>
      </c>
      <c r="H1833" t="s">
        <v>2434</v>
      </c>
      <c r="I1833" s="99">
        <v>44208</v>
      </c>
      <c r="J1833" s="99">
        <v>44215</v>
      </c>
      <c r="K1833" t="s">
        <v>8257</v>
      </c>
      <c r="L1833" t="s">
        <v>6984</v>
      </c>
    </row>
    <row r="1834" spans="2:12" x14ac:dyDescent="0.2">
      <c r="B1834">
        <v>11321</v>
      </c>
      <c r="C1834" t="s">
        <v>8268</v>
      </c>
      <c r="D1834" t="s">
        <v>8237</v>
      </c>
      <c r="E1834" s="225">
        <v>510</v>
      </c>
      <c r="F1834" t="s">
        <v>8386</v>
      </c>
      <c r="G1834" t="s">
        <v>8387</v>
      </c>
      <c r="H1834" t="s">
        <v>2434</v>
      </c>
      <c r="I1834" s="99">
        <v>44208</v>
      </c>
      <c r="J1834" s="99">
        <v>44215</v>
      </c>
      <c r="K1834" t="s">
        <v>8257</v>
      </c>
      <c r="L1834" t="s">
        <v>6984</v>
      </c>
    </row>
    <row r="1835" spans="2:12" x14ac:dyDescent="0.2">
      <c r="B1835">
        <v>11321</v>
      </c>
      <c r="C1835" t="s">
        <v>8310</v>
      </c>
      <c r="D1835" t="s">
        <v>8237</v>
      </c>
      <c r="E1835" s="225">
        <v>258</v>
      </c>
      <c r="F1835" t="s">
        <v>8386</v>
      </c>
      <c r="G1835" t="s">
        <v>8387</v>
      </c>
      <c r="H1835" t="s">
        <v>2434</v>
      </c>
      <c r="I1835" s="99">
        <v>44208</v>
      </c>
      <c r="J1835" s="99">
        <v>44215</v>
      </c>
      <c r="K1835" t="s">
        <v>8257</v>
      </c>
      <c r="L1835" t="s">
        <v>6984</v>
      </c>
    </row>
    <row r="1836" spans="2:12" x14ac:dyDescent="0.2">
      <c r="B1836">
        <v>11321</v>
      </c>
      <c r="C1836" t="s">
        <v>8259</v>
      </c>
      <c r="D1836" t="s">
        <v>8244</v>
      </c>
      <c r="E1836" s="225">
        <v>84</v>
      </c>
      <c r="F1836" t="s">
        <v>8386</v>
      </c>
      <c r="G1836" t="s">
        <v>8387</v>
      </c>
      <c r="H1836" t="s">
        <v>2434</v>
      </c>
      <c r="I1836" s="99">
        <v>44208</v>
      </c>
      <c r="J1836" s="99">
        <v>44215</v>
      </c>
      <c r="K1836" t="s">
        <v>8257</v>
      </c>
      <c r="L1836" t="s">
        <v>6984</v>
      </c>
    </row>
    <row r="1837" spans="2:12" x14ac:dyDescent="0.2">
      <c r="B1837">
        <v>11343</v>
      </c>
      <c r="C1837" t="s">
        <v>8303</v>
      </c>
      <c r="D1837" t="s">
        <v>8272</v>
      </c>
      <c r="E1837" s="225">
        <v>765</v>
      </c>
      <c r="F1837" t="s">
        <v>8756</v>
      </c>
      <c r="G1837" t="s">
        <v>8755</v>
      </c>
      <c r="H1837" t="s">
        <v>8701</v>
      </c>
      <c r="I1837" s="99">
        <v>44232</v>
      </c>
      <c r="J1837" s="99">
        <v>44240</v>
      </c>
      <c r="K1837" t="s">
        <v>8297</v>
      </c>
      <c r="L1837" t="s">
        <v>8298</v>
      </c>
    </row>
    <row r="1838" spans="2:12" x14ac:dyDescent="0.2">
      <c r="B1838">
        <v>11343</v>
      </c>
      <c r="C1838" t="s">
        <v>8341</v>
      </c>
      <c r="D1838" t="s">
        <v>8244</v>
      </c>
      <c r="E1838" s="225">
        <v>646</v>
      </c>
      <c r="F1838" t="s">
        <v>8756</v>
      </c>
      <c r="G1838" t="s">
        <v>8755</v>
      </c>
      <c r="H1838" t="s">
        <v>8701</v>
      </c>
      <c r="I1838" s="99">
        <v>44232</v>
      </c>
      <c r="J1838" s="99">
        <v>44240</v>
      </c>
      <c r="K1838" t="s">
        <v>8297</v>
      </c>
      <c r="L1838" t="s">
        <v>8298</v>
      </c>
    </row>
    <row r="1839" spans="2:12" x14ac:dyDescent="0.2">
      <c r="B1839">
        <v>11345</v>
      </c>
      <c r="C1839" t="s">
        <v>8269</v>
      </c>
      <c r="D1839" t="s">
        <v>8237</v>
      </c>
      <c r="E1839" s="225">
        <v>40</v>
      </c>
      <c r="F1839" t="s">
        <v>8758</v>
      </c>
      <c r="G1839" t="s">
        <v>8757</v>
      </c>
      <c r="H1839" t="s">
        <v>8701</v>
      </c>
      <c r="I1839" s="99">
        <v>44236</v>
      </c>
      <c r="J1839" s="99">
        <v>44245</v>
      </c>
      <c r="K1839" t="s">
        <v>8297</v>
      </c>
      <c r="L1839" t="s">
        <v>8298</v>
      </c>
    </row>
    <row r="1840" spans="2:12" x14ac:dyDescent="0.2">
      <c r="B1840">
        <v>11346</v>
      </c>
      <c r="C1840" t="s">
        <v>8306</v>
      </c>
      <c r="D1840" t="s">
        <v>8272</v>
      </c>
      <c r="E1840" s="225">
        <v>782</v>
      </c>
      <c r="F1840" t="s">
        <v>8255</v>
      </c>
      <c r="G1840" t="s">
        <v>8256</v>
      </c>
      <c r="H1840" t="s">
        <v>8236</v>
      </c>
      <c r="I1840" s="99">
        <v>44236</v>
      </c>
      <c r="J1840" s="99">
        <v>44245</v>
      </c>
      <c r="K1840" t="s">
        <v>8257</v>
      </c>
      <c r="L1840" t="s">
        <v>6984</v>
      </c>
    </row>
    <row r="1841" spans="2:12" x14ac:dyDescent="0.2">
      <c r="B1841">
        <v>11346</v>
      </c>
      <c r="C1841" t="s">
        <v>8409</v>
      </c>
      <c r="D1841" t="s">
        <v>8254</v>
      </c>
      <c r="E1841" s="225">
        <v>726.75</v>
      </c>
      <c r="F1841" t="s">
        <v>8255</v>
      </c>
      <c r="G1841" t="s">
        <v>8256</v>
      </c>
      <c r="H1841" t="s">
        <v>8236</v>
      </c>
      <c r="I1841" s="99">
        <v>44236</v>
      </c>
      <c r="J1841" s="99">
        <v>44245</v>
      </c>
      <c r="K1841" t="s">
        <v>8257</v>
      </c>
      <c r="L1841" t="s">
        <v>6984</v>
      </c>
    </row>
    <row r="1842" spans="2:12" x14ac:dyDescent="0.2">
      <c r="B1842">
        <v>11346</v>
      </c>
      <c r="C1842" t="s">
        <v>8406</v>
      </c>
      <c r="D1842" t="s">
        <v>8262</v>
      </c>
      <c r="E1842" s="225">
        <v>86.7</v>
      </c>
      <c r="F1842" t="s">
        <v>8255</v>
      </c>
      <c r="G1842" t="s">
        <v>8256</v>
      </c>
      <c r="H1842" t="s">
        <v>8236</v>
      </c>
      <c r="I1842" s="99">
        <v>44236</v>
      </c>
      <c r="J1842" s="99">
        <v>44245</v>
      </c>
      <c r="K1842" t="s">
        <v>8257</v>
      </c>
      <c r="L1842" t="s">
        <v>6984</v>
      </c>
    </row>
    <row r="1843" spans="2:12" x14ac:dyDescent="0.2">
      <c r="B1843">
        <v>11350</v>
      </c>
      <c r="C1843" t="s">
        <v>8322</v>
      </c>
      <c r="D1843" t="s">
        <v>8254</v>
      </c>
      <c r="E1843" s="225">
        <v>248.96</v>
      </c>
      <c r="F1843" t="s">
        <v>8382</v>
      </c>
      <c r="G1843" t="s">
        <v>8383</v>
      </c>
      <c r="H1843" t="s">
        <v>8236</v>
      </c>
      <c r="I1843" s="99">
        <v>44245</v>
      </c>
      <c r="J1843" s="99">
        <v>44250</v>
      </c>
      <c r="K1843" t="s">
        <v>8297</v>
      </c>
      <c r="L1843" t="s">
        <v>8298</v>
      </c>
    </row>
    <row r="1844" spans="2:12" x14ac:dyDescent="0.2">
      <c r="B1844">
        <v>11350</v>
      </c>
      <c r="C1844" t="s">
        <v>8362</v>
      </c>
      <c r="D1844" t="s">
        <v>8262</v>
      </c>
      <c r="E1844" s="225">
        <v>112</v>
      </c>
      <c r="F1844" t="s">
        <v>8382</v>
      </c>
      <c r="G1844" t="s">
        <v>8383</v>
      </c>
      <c r="H1844" t="s">
        <v>8236</v>
      </c>
      <c r="I1844" s="99">
        <v>44245</v>
      </c>
      <c r="J1844" s="99">
        <v>44250</v>
      </c>
      <c r="K1844" t="s">
        <v>8297</v>
      </c>
      <c r="L1844" t="s">
        <v>8298</v>
      </c>
    </row>
    <row r="1845" spans="2:12" x14ac:dyDescent="0.2">
      <c r="B1845">
        <v>11350</v>
      </c>
      <c r="C1845" t="s">
        <v>8340</v>
      </c>
      <c r="D1845" t="s">
        <v>8244</v>
      </c>
      <c r="E1845" s="225">
        <v>99.75</v>
      </c>
      <c r="F1845" t="s">
        <v>8382</v>
      </c>
      <c r="G1845" t="s">
        <v>8383</v>
      </c>
      <c r="H1845" t="s">
        <v>8236</v>
      </c>
      <c r="I1845" s="99">
        <v>44245</v>
      </c>
      <c r="J1845" s="99">
        <v>44250</v>
      </c>
      <c r="K1845" t="s">
        <v>8297</v>
      </c>
      <c r="L1845" t="s">
        <v>8298</v>
      </c>
    </row>
    <row r="1846" spans="2:12" x14ac:dyDescent="0.2">
      <c r="B1846">
        <v>11354</v>
      </c>
      <c r="C1846" t="s">
        <v>8288</v>
      </c>
      <c r="D1846" t="s">
        <v>8272</v>
      </c>
      <c r="E1846" s="225">
        <v>382.5</v>
      </c>
      <c r="F1846" t="s">
        <v>8255</v>
      </c>
      <c r="G1846" t="s">
        <v>8256</v>
      </c>
      <c r="H1846" t="s">
        <v>8236</v>
      </c>
      <c r="I1846" s="99">
        <v>44254</v>
      </c>
      <c r="J1846" s="99">
        <v>44260</v>
      </c>
      <c r="K1846" t="s">
        <v>8285</v>
      </c>
      <c r="L1846" t="s">
        <v>2317</v>
      </c>
    </row>
    <row r="1847" spans="2:12" x14ac:dyDescent="0.2">
      <c r="B1847">
        <v>11354</v>
      </c>
      <c r="C1847" t="s">
        <v>8362</v>
      </c>
      <c r="D1847" t="s">
        <v>8262</v>
      </c>
      <c r="E1847" s="225">
        <v>238</v>
      </c>
      <c r="F1847" t="s">
        <v>8255</v>
      </c>
      <c r="G1847" t="s">
        <v>8256</v>
      </c>
      <c r="H1847" t="s">
        <v>8236</v>
      </c>
      <c r="I1847" s="99">
        <v>44254</v>
      </c>
      <c r="J1847" s="99">
        <v>44260</v>
      </c>
      <c r="K1847" t="s">
        <v>8285</v>
      </c>
      <c r="L1847" t="s">
        <v>2317</v>
      </c>
    </row>
    <row r="1848" spans="2:12" x14ac:dyDescent="0.2">
      <c r="B1848">
        <v>11354</v>
      </c>
      <c r="C1848" t="s">
        <v>8269</v>
      </c>
      <c r="D1848" t="s">
        <v>8237</v>
      </c>
      <c r="E1848" s="225">
        <v>8.5</v>
      </c>
      <c r="F1848" t="s">
        <v>8255</v>
      </c>
      <c r="G1848" t="s">
        <v>8256</v>
      </c>
      <c r="H1848" t="s">
        <v>8236</v>
      </c>
      <c r="I1848" s="99">
        <v>44254</v>
      </c>
      <c r="J1848" s="99">
        <v>44260</v>
      </c>
      <c r="K1848" t="s">
        <v>8285</v>
      </c>
      <c r="L1848" t="s">
        <v>2317</v>
      </c>
    </row>
    <row r="1849" spans="2:12" x14ac:dyDescent="0.2">
      <c r="B1849">
        <v>11354</v>
      </c>
      <c r="C1849" t="s">
        <v>8245</v>
      </c>
      <c r="D1849" t="s">
        <v>8247</v>
      </c>
      <c r="E1849" s="225">
        <v>159</v>
      </c>
      <c r="F1849" t="s">
        <v>8255</v>
      </c>
      <c r="G1849" t="s">
        <v>8256</v>
      </c>
      <c r="H1849" t="s">
        <v>8236</v>
      </c>
      <c r="I1849" s="99">
        <v>44252</v>
      </c>
      <c r="J1849" s="99">
        <v>44257</v>
      </c>
      <c r="K1849" t="s">
        <v>8266</v>
      </c>
      <c r="L1849" t="s">
        <v>8267</v>
      </c>
    </row>
    <row r="1850" spans="2:12" x14ac:dyDescent="0.2">
      <c r="B1850">
        <v>11358</v>
      </c>
      <c r="C1850" t="s">
        <v>8380</v>
      </c>
      <c r="D1850" t="s">
        <v>8272</v>
      </c>
      <c r="E1850" s="225">
        <v>7509.75</v>
      </c>
      <c r="F1850" t="s">
        <v>8714</v>
      </c>
      <c r="G1850" t="s">
        <v>8713</v>
      </c>
      <c r="H1850" t="s">
        <v>8701</v>
      </c>
      <c r="I1850" s="99">
        <v>44237</v>
      </c>
      <c r="J1850" s="99">
        <v>44265</v>
      </c>
      <c r="K1850" t="s">
        <v>8266</v>
      </c>
      <c r="L1850" t="s">
        <v>8267</v>
      </c>
    </row>
    <row r="1851" spans="2:12" x14ac:dyDescent="0.2">
      <c r="B1851">
        <v>11358</v>
      </c>
      <c r="C1851" t="s">
        <v>8291</v>
      </c>
      <c r="D1851" t="s">
        <v>8262</v>
      </c>
      <c r="E1851" s="225">
        <v>936.7</v>
      </c>
      <c r="F1851" t="s">
        <v>8714</v>
      </c>
      <c r="G1851" t="s">
        <v>8713</v>
      </c>
      <c r="H1851" t="s">
        <v>8701</v>
      </c>
      <c r="I1851" s="99">
        <v>44237</v>
      </c>
      <c r="J1851" s="99">
        <v>44265</v>
      </c>
      <c r="K1851" t="s">
        <v>8266</v>
      </c>
      <c r="L1851" t="s">
        <v>8267</v>
      </c>
    </row>
    <row r="1852" spans="2:12" x14ac:dyDescent="0.2">
      <c r="B1852">
        <v>11360</v>
      </c>
      <c r="C1852" t="s">
        <v>8253</v>
      </c>
      <c r="D1852" t="s">
        <v>8254</v>
      </c>
      <c r="E1852" s="225">
        <v>268.39</v>
      </c>
      <c r="F1852" t="s">
        <v>8756</v>
      </c>
      <c r="G1852" t="s">
        <v>8755</v>
      </c>
      <c r="H1852" t="s">
        <v>8701</v>
      </c>
      <c r="I1852" s="99">
        <v>44258</v>
      </c>
      <c r="J1852" s="99">
        <v>44265</v>
      </c>
      <c r="K1852" t="s">
        <v>8257</v>
      </c>
      <c r="L1852" t="s">
        <v>6984</v>
      </c>
    </row>
    <row r="1853" spans="2:12" x14ac:dyDescent="0.2">
      <c r="B1853">
        <v>11360</v>
      </c>
      <c r="C1853" t="s">
        <v>8280</v>
      </c>
      <c r="D1853" t="s">
        <v>8262</v>
      </c>
      <c r="E1853" s="225">
        <v>872.5</v>
      </c>
      <c r="F1853" t="s">
        <v>8756</v>
      </c>
      <c r="G1853" t="s">
        <v>8755</v>
      </c>
      <c r="H1853" t="s">
        <v>8701</v>
      </c>
      <c r="I1853" s="99">
        <v>44258</v>
      </c>
      <c r="J1853" s="99">
        <v>44265</v>
      </c>
      <c r="K1853" t="s">
        <v>8257</v>
      </c>
      <c r="L1853" t="s">
        <v>6984</v>
      </c>
    </row>
    <row r="1854" spans="2:12" x14ac:dyDescent="0.2">
      <c r="B1854">
        <v>11360</v>
      </c>
      <c r="C1854" t="s">
        <v>8309</v>
      </c>
      <c r="D1854" t="s">
        <v>8237</v>
      </c>
      <c r="E1854" s="225">
        <v>175</v>
      </c>
      <c r="F1854" t="s">
        <v>8756</v>
      </c>
      <c r="G1854" t="s">
        <v>8755</v>
      </c>
      <c r="H1854" t="s">
        <v>8701</v>
      </c>
      <c r="I1854" s="99">
        <v>44258</v>
      </c>
      <c r="J1854" s="99">
        <v>44265</v>
      </c>
      <c r="K1854" t="s">
        <v>8257</v>
      </c>
      <c r="L1854" t="s">
        <v>6984</v>
      </c>
    </row>
    <row r="1855" spans="2:12" x14ac:dyDescent="0.2">
      <c r="B1855">
        <v>11360</v>
      </c>
      <c r="C1855" t="s">
        <v>8341</v>
      </c>
      <c r="D1855" t="s">
        <v>8244</v>
      </c>
      <c r="E1855" s="225">
        <v>912</v>
      </c>
      <c r="F1855" t="s">
        <v>8756</v>
      </c>
      <c r="G1855" t="s">
        <v>8755</v>
      </c>
      <c r="H1855" t="s">
        <v>8701</v>
      </c>
      <c r="I1855" s="99">
        <v>44258</v>
      </c>
      <c r="J1855" s="99">
        <v>44265</v>
      </c>
      <c r="K1855" t="s">
        <v>8257</v>
      </c>
      <c r="L1855" t="s">
        <v>6984</v>
      </c>
    </row>
    <row r="1856" spans="2:12" x14ac:dyDescent="0.2">
      <c r="B1856">
        <v>11364</v>
      </c>
      <c r="C1856" t="s">
        <v>8342</v>
      </c>
      <c r="D1856" t="s">
        <v>8272</v>
      </c>
      <c r="E1856" s="225">
        <v>378</v>
      </c>
      <c r="F1856" t="s">
        <v>8377</v>
      </c>
      <c r="G1856" t="s">
        <v>8378</v>
      </c>
      <c r="H1856" t="s">
        <v>8236</v>
      </c>
      <c r="I1856" s="99">
        <v>44244</v>
      </c>
      <c r="J1856" s="99">
        <v>44267</v>
      </c>
      <c r="K1856" t="s">
        <v>8285</v>
      </c>
      <c r="L1856" t="s">
        <v>2317</v>
      </c>
    </row>
    <row r="1857" spans="2:12" x14ac:dyDescent="0.2">
      <c r="B1857">
        <v>11366</v>
      </c>
      <c r="C1857" t="s">
        <v>8309</v>
      </c>
      <c r="D1857" t="s">
        <v>8237</v>
      </c>
      <c r="E1857" s="225">
        <v>437.5</v>
      </c>
      <c r="F1857" t="s">
        <v>8295</v>
      </c>
      <c r="G1857" t="s">
        <v>8296</v>
      </c>
      <c r="H1857" t="s">
        <v>8236</v>
      </c>
      <c r="I1857" s="99">
        <v>44244</v>
      </c>
      <c r="J1857" s="99">
        <v>44267</v>
      </c>
      <c r="K1857" t="s">
        <v>8251</v>
      </c>
      <c r="L1857" t="s">
        <v>269</v>
      </c>
    </row>
    <row r="1858" spans="2:12" x14ac:dyDescent="0.2">
      <c r="B1858">
        <v>11366</v>
      </c>
      <c r="C1858" t="s">
        <v>8258</v>
      </c>
      <c r="D1858" t="s">
        <v>8244</v>
      </c>
      <c r="E1858" s="225">
        <v>292.5</v>
      </c>
      <c r="F1858" t="s">
        <v>8295</v>
      </c>
      <c r="G1858" t="s">
        <v>8296</v>
      </c>
      <c r="H1858" t="s">
        <v>8236</v>
      </c>
      <c r="I1858" s="99">
        <v>44244</v>
      </c>
      <c r="J1858" s="99">
        <v>44267</v>
      </c>
      <c r="K1858" t="s">
        <v>8251</v>
      </c>
      <c r="L1858" t="s">
        <v>269</v>
      </c>
    </row>
    <row r="1859" spans="2:12" x14ac:dyDescent="0.2">
      <c r="B1859">
        <v>11368</v>
      </c>
      <c r="C1859" t="s">
        <v>8323</v>
      </c>
      <c r="D1859" t="s">
        <v>8272</v>
      </c>
      <c r="E1859" s="225">
        <v>72</v>
      </c>
      <c r="F1859" t="s">
        <v>8386</v>
      </c>
      <c r="G1859" t="s">
        <v>8387</v>
      </c>
      <c r="H1859" t="s">
        <v>2434</v>
      </c>
      <c r="I1859" s="99">
        <v>44263</v>
      </c>
      <c r="J1859" s="99">
        <v>44270</v>
      </c>
      <c r="K1859" t="s">
        <v>8266</v>
      </c>
      <c r="L1859" t="s">
        <v>8267</v>
      </c>
    </row>
    <row r="1860" spans="2:12" x14ac:dyDescent="0.2">
      <c r="B1860">
        <v>11368</v>
      </c>
      <c r="C1860" t="s">
        <v>8329</v>
      </c>
      <c r="D1860" t="s">
        <v>8272</v>
      </c>
      <c r="E1860" s="225">
        <v>210</v>
      </c>
      <c r="F1860" t="s">
        <v>8386</v>
      </c>
      <c r="G1860" t="s">
        <v>8387</v>
      </c>
      <c r="H1860" t="s">
        <v>2434</v>
      </c>
      <c r="I1860" s="99">
        <v>44263</v>
      </c>
      <c r="J1860" s="99">
        <v>44270</v>
      </c>
      <c r="K1860" t="s">
        <v>8266</v>
      </c>
      <c r="L1860" t="s">
        <v>8267</v>
      </c>
    </row>
    <row r="1861" spans="2:12" x14ac:dyDescent="0.2">
      <c r="B1861">
        <v>11370</v>
      </c>
      <c r="C1861" t="s">
        <v>8351</v>
      </c>
      <c r="D1861" t="s">
        <v>8254</v>
      </c>
      <c r="E1861" s="225">
        <v>1187.5</v>
      </c>
      <c r="F1861" t="s">
        <v>8377</v>
      </c>
      <c r="G1861" t="s">
        <v>8378</v>
      </c>
      <c r="H1861" t="s">
        <v>8236</v>
      </c>
      <c r="I1861" s="99">
        <v>44266</v>
      </c>
      <c r="J1861" s="99">
        <v>44272</v>
      </c>
      <c r="K1861" t="s">
        <v>8279</v>
      </c>
      <c r="L1861" t="s">
        <v>710</v>
      </c>
    </row>
    <row r="1862" spans="2:12" x14ac:dyDescent="0.2">
      <c r="B1862">
        <v>11370</v>
      </c>
      <c r="C1862" t="s">
        <v>8280</v>
      </c>
      <c r="D1862" t="s">
        <v>8262</v>
      </c>
      <c r="E1862" s="225">
        <v>198.93</v>
      </c>
      <c r="F1862" t="s">
        <v>8377</v>
      </c>
      <c r="G1862" t="s">
        <v>8378</v>
      </c>
      <c r="H1862" t="s">
        <v>8236</v>
      </c>
      <c r="I1862" s="99">
        <v>44266</v>
      </c>
      <c r="J1862" s="99">
        <v>44272</v>
      </c>
      <c r="K1862" t="s">
        <v>8279</v>
      </c>
      <c r="L1862" t="s">
        <v>710</v>
      </c>
    </row>
    <row r="1863" spans="2:12" x14ac:dyDescent="0.2">
      <c r="B1863">
        <v>11373</v>
      </c>
      <c r="C1863" t="s">
        <v>8333</v>
      </c>
      <c r="D1863" t="s">
        <v>8272</v>
      </c>
      <c r="E1863" s="225">
        <v>1152</v>
      </c>
      <c r="F1863" t="s">
        <v>8758</v>
      </c>
      <c r="G1863" t="s">
        <v>8757</v>
      </c>
      <c r="H1863" t="s">
        <v>8701</v>
      </c>
      <c r="I1863" s="99">
        <v>44253</v>
      </c>
      <c r="J1863" s="99">
        <v>44272</v>
      </c>
      <c r="K1863" t="s">
        <v>8266</v>
      </c>
      <c r="L1863" t="s">
        <v>8267</v>
      </c>
    </row>
    <row r="1864" spans="2:12" x14ac:dyDescent="0.2">
      <c r="B1864">
        <v>11373</v>
      </c>
      <c r="C1864" t="s">
        <v>8327</v>
      </c>
      <c r="D1864" t="s">
        <v>8262</v>
      </c>
      <c r="E1864" s="225">
        <v>88.32</v>
      </c>
      <c r="F1864" t="s">
        <v>8758</v>
      </c>
      <c r="G1864" t="s">
        <v>8757</v>
      </c>
      <c r="H1864" t="s">
        <v>8701</v>
      </c>
      <c r="I1864" s="99">
        <v>44253</v>
      </c>
      <c r="J1864" s="99">
        <v>44272</v>
      </c>
      <c r="K1864" t="s">
        <v>8266</v>
      </c>
      <c r="L1864" t="s">
        <v>8267</v>
      </c>
    </row>
    <row r="1865" spans="2:12" x14ac:dyDescent="0.2">
      <c r="B1865">
        <v>11373</v>
      </c>
      <c r="C1865" t="s">
        <v>8268</v>
      </c>
      <c r="D1865" t="s">
        <v>8237</v>
      </c>
      <c r="E1865" s="225">
        <v>1224</v>
      </c>
      <c r="F1865" t="s">
        <v>8758</v>
      </c>
      <c r="G1865" t="s">
        <v>8757</v>
      </c>
      <c r="H1865" t="s">
        <v>8701</v>
      </c>
      <c r="I1865" s="99">
        <v>44253</v>
      </c>
      <c r="J1865" s="99">
        <v>44272</v>
      </c>
      <c r="K1865" t="s">
        <v>8266</v>
      </c>
      <c r="L1865" t="s">
        <v>8267</v>
      </c>
    </row>
    <row r="1866" spans="2:12" x14ac:dyDescent="0.2">
      <c r="B1866">
        <v>11373</v>
      </c>
      <c r="C1866" t="s">
        <v>8310</v>
      </c>
      <c r="D1866" t="s">
        <v>8237</v>
      </c>
      <c r="E1866" s="225">
        <v>946</v>
      </c>
      <c r="F1866" t="s">
        <v>8758</v>
      </c>
      <c r="G1866" t="s">
        <v>8757</v>
      </c>
      <c r="H1866" t="s">
        <v>8701</v>
      </c>
      <c r="I1866" s="99">
        <v>44253</v>
      </c>
      <c r="J1866" s="99">
        <v>44272</v>
      </c>
      <c r="K1866" t="s">
        <v>8266</v>
      </c>
      <c r="L1866" t="s">
        <v>8267</v>
      </c>
    </row>
    <row r="1867" spans="2:12" x14ac:dyDescent="0.2">
      <c r="B1867">
        <v>11379</v>
      </c>
      <c r="C1867" t="s">
        <v>8340</v>
      </c>
      <c r="D1867" t="s">
        <v>8244</v>
      </c>
      <c r="E1867" s="225">
        <v>665</v>
      </c>
      <c r="F1867" t="s">
        <v>8377</v>
      </c>
      <c r="G1867" t="s">
        <v>8378</v>
      </c>
      <c r="H1867" t="s">
        <v>8236</v>
      </c>
      <c r="I1867" s="99">
        <v>44270</v>
      </c>
      <c r="J1867" s="99">
        <v>44273</v>
      </c>
      <c r="K1867" t="s">
        <v>8158</v>
      </c>
      <c r="L1867" t="s">
        <v>861</v>
      </c>
    </row>
    <row r="1868" spans="2:12" x14ac:dyDescent="0.2">
      <c r="B1868">
        <v>11381</v>
      </c>
      <c r="C1868" t="s">
        <v>8328</v>
      </c>
      <c r="D1868" t="s">
        <v>8272</v>
      </c>
      <c r="E1868" s="225">
        <v>883.5</v>
      </c>
      <c r="F1868" t="s">
        <v>8758</v>
      </c>
      <c r="G1868" t="s">
        <v>8757</v>
      </c>
      <c r="H1868" t="s">
        <v>8701</v>
      </c>
      <c r="I1868" s="99">
        <v>44279</v>
      </c>
      <c r="J1868" s="99">
        <v>44281</v>
      </c>
      <c r="K1868" t="s">
        <v>8285</v>
      </c>
      <c r="L1868" t="s">
        <v>2317</v>
      </c>
    </row>
    <row r="1869" spans="2:12" x14ac:dyDescent="0.2">
      <c r="B1869">
        <v>11381</v>
      </c>
      <c r="C1869" t="s">
        <v>8390</v>
      </c>
      <c r="D1869" t="s">
        <v>8262</v>
      </c>
      <c r="E1869" s="225">
        <v>340</v>
      </c>
      <c r="F1869" t="s">
        <v>8758</v>
      </c>
      <c r="G1869" t="s">
        <v>8757</v>
      </c>
      <c r="H1869" t="s">
        <v>8701</v>
      </c>
      <c r="I1869" s="99">
        <v>44272</v>
      </c>
      <c r="J1869" s="99">
        <v>44281</v>
      </c>
      <c r="K1869" t="s">
        <v>8266</v>
      </c>
      <c r="L1869" t="s">
        <v>8267</v>
      </c>
    </row>
    <row r="1870" spans="2:12" x14ac:dyDescent="0.2">
      <c r="B1870">
        <v>11381</v>
      </c>
      <c r="C1870" t="s">
        <v>8353</v>
      </c>
      <c r="D1870" t="s">
        <v>8237</v>
      </c>
      <c r="E1870" s="225">
        <v>1710</v>
      </c>
      <c r="F1870" t="s">
        <v>8758</v>
      </c>
      <c r="G1870" t="s">
        <v>8757</v>
      </c>
      <c r="H1870" t="s">
        <v>8701</v>
      </c>
      <c r="I1870" s="99">
        <v>44279</v>
      </c>
      <c r="J1870" s="99">
        <v>44281</v>
      </c>
      <c r="K1870" t="s">
        <v>8285</v>
      </c>
      <c r="L1870" t="s">
        <v>2317</v>
      </c>
    </row>
    <row r="1871" spans="2:12" x14ac:dyDescent="0.2">
      <c r="B1871">
        <v>11381</v>
      </c>
      <c r="C1871" t="s">
        <v>8243</v>
      </c>
      <c r="D1871" t="s">
        <v>8244</v>
      </c>
      <c r="E1871" s="225">
        <v>350</v>
      </c>
      <c r="F1871" t="s">
        <v>8758</v>
      </c>
      <c r="G1871" t="s">
        <v>8757</v>
      </c>
      <c r="H1871" t="s">
        <v>8701</v>
      </c>
      <c r="I1871" s="99">
        <v>44272</v>
      </c>
      <c r="J1871" s="99">
        <v>44281</v>
      </c>
      <c r="K1871" t="s">
        <v>8266</v>
      </c>
      <c r="L1871" t="s">
        <v>8267</v>
      </c>
    </row>
    <row r="1872" spans="2:12" x14ac:dyDescent="0.2">
      <c r="B1872">
        <v>11387</v>
      </c>
      <c r="C1872" t="s">
        <v>8328</v>
      </c>
      <c r="D1872" t="s">
        <v>8272</v>
      </c>
      <c r="E1872" s="225">
        <v>108.5</v>
      </c>
      <c r="F1872" t="s">
        <v>8428</v>
      </c>
      <c r="G1872" t="s">
        <v>8429</v>
      </c>
      <c r="H1872" t="s">
        <v>8236</v>
      </c>
      <c r="I1872" s="99">
        <v>44286</v>
      </c>
      <c r="J1872" s="99">
        <v>44288</v>
      </c>
      <c r="K1872" t="s">
        <v>8251</v>
      </c>
      <c r="L1872" t="s">
        <v>269</v>
      </c>
    </row>
    <row r="1873" spans="2:12" x14ac:dyDescent="0.2">
      <c r="B1873">
        <v>11388</v>
      </c>
      <c r="C1873" t="s">
        <v>8381</v>
      </c>
      <c r="D1873" t="s">
        <v>8262</v>
      </c>
      <c r="E1873" s="225">
        <v>390</v>
      </c>
      <c r="F1873" t="s">
        <v>8386</v>
      </c>
      <c r="G1873" t="s">
        <v>8387</v>
      </c>
      <c r="H1873" t="s">
        <v>2434</v>
      </c>
      <c r="I1873" s="99">
        <v>44292</v>
      </c>
      <c r="J1873" s="99">
        <v>44298</v>
      </c>
      <c r="K1873" t="s">
        <v>8266</v>
      </c>
      <c r="L1873" t="s">
        <v>8267</v>
      </c>
    </row>
    <row r="1874" spans="2:12" x14ac:dyDescent="0.2">
      <c r="B1874">
        <v>11389</v>
      </c>
      <c r="C1874" t="s">
        <v>8333</v>
      </c>
      <c r="D1874" t="s">
        <v>8272</v>
      </c>
      <c r="E1874" s="225">
        <v>810</v>
      </c>
      <c r="F1874" t="s">
        <v>8722</v>
      </c>
      <c r="G1874" t="s">
        <v>8721</v>
      </c>
      <c r="H1874" t="s">
        <v>8720</v>
      </c>
      <c r="I1874" s="99">
        <v>44291</v>
      </c>
      <c r="J1874" s="99">
        <v>44300</v>
      </c>
      <c r="K1874" t="s">
        <v>8257</v>
      </c>
      <c r="L1874" t="s">
        <v>6984</v>
      </c>
    </row>
    <row r="1875" spans="2:12" x14ac:dyDescent="0.2">
      <c r="B1875">
        <v>11389</v>
      </c>
      <c r="C1875" t="s">
        <v>8268</v>
      </c>
      <c r="D1875" t="s">
        <v>8237</v>
      </c>
      <c r="E1875" s="225">
        <v>637.5</v>
      </c>
      <c r="F1875" t="s">
        <v>8722</v>
      </c>
      <c r="G1875" t="s">
        <v>8721</v>
      </c>
      <c r="H1875" t="s">
        <v>8720</v>
      </c>
      <c r="I1875" s="99">
        <v>44291</v>
      </c>
      <c r="J1875" s="99">
        <v>44300</v>
      </c>
      <c r="K1875" t="s">
        <v>8257</v>
      </c>
      <c r="L1875" t="s">
        <v>6984</v>
      </c>
    </row>
    <row r="1876" spans="2:12" x14ac:dyDescent="0.2">
      <c r="B1876">
        <v>11391</v>
      </c>
      <c r="C1876" t="s">
        <v>8306</v>
      </c>
      <c r="D1876" t="s">
        <v>8272</v>
      </c>
      <c r="E1876" s="225">
        <v>368</v>
      </c>
      <c r="F1876" t="s">
        <v>8382</v>
      </c>
      <c r="G1876" t="s">
        <v>8383</v>
      </c>
      <c r="H1876" t="s">
        <v>8236</v>
      </c>
      <c r="I1876" s="99">
        <v>44292</v>
      </c>
      <c r="J1876" s="99">
        <v>44303</v>
      </c>
      <c r="K1876" t="s">
        <v>8158</v>
      </c>
      <c r="L1876" t="s">
        <v>861</v>
      </c>
    </row>
    <row r="1877" spans="2:12" x14ac:dyDescent="0.2">
      <c r="B1877">
        <v>11391</v>
      </c>
      <c r="C1877" t="s">
        <v>8329</v>
      </c>
      <c r="D1877" t="s">
        <v>8272</v>
      </c>
      <c r="E1877" s="225">
        <v>268.8</v>
      </c>
      <c r="F1877" t="s">
        <v>8382</v>
      </c>
      <c r="G1877" t="s">
        <v>8383</v>
      </c>
      <c r="H1877" t="s">
        <v>8236</v>
      </c>
      <c r="I1877" s="99">
        <v>44292</v>
      </c>
      <c r="J1877" s="99">
        <v>44303</v>
      </c>
      <c r="K1877" t="s">
        <v>8158</v>
      </c>
      <c r="L1877" t="s">
        <v>861</v>
      </c>
    </row>
    <row r="1878" spans="2:12" x14ac:dyDescent="0.2">
      <c r="B1878">
        <v>11391</v>
      </c>
      <c r="C1878" t="s">
        <v>8243</v>
      </c>
      <c r="D1878" t="s">
        <v>8244</v>
      </c>
      <c r="E1878" s="225">
        <v>112</v>
      </c>
      <c r="F1878" t="s">
        <v>8382</v>
      </c>
      <c r="G1878" t="s">
        <v>8383</v>
      </c>
      <c r="H1878" t="s">
        <v>8236</v>
      </c>
      <c r="I1878" s="99">
        <v>44292</v>
      </c>
      <c r="J1878" s="99">
        <v>44303</v>
      </c>
      <c r="K1878" t="s">
        <v>8158</v>
      </c>
      <c r="L1878" t="s">
        <v>861</v>
      </c>
    </row>
    <row r="1879" spans="2:12" x14ac:dyDescent="0.2">
      <c r="B1879">
        <v>11394</v>
      </c>
      <c r="C1879" t="s">
        <v>8351</v>
      </c>
      <c r="D1879" t="s">
        <v>8254</v>
      </c>
      <c r="E1879" s="225">
        <v>300</v>
      </c>
      <c r="F1879" t="s">
        <v>8722</v>
      </c>
      <c r="G1879" t="s">
        <v>8721</v>
      </c>
      <c r="H1879" t="s">
        <v>8720</v>
      </c>
      <c r="I1879" s="99">
        <v>44303</v>
      </c>
      <c r="J1879" s="99">
        <v>44306</v>
      </c>
      <c r="K1879" t="s">
        <v>8297</v>
      </c>
      <c r="L1879" t="s">
        <v>8298</v>
      </c>
    </row>
    <row r="1880" spans="2:12" x14ac:dyDescent="0.2">
      <c r="B1880">
        <v>11394</v>
      </c>
      <c r="C1880" t="s">
        <v>8322</v>
      </c>
      <c r="D1880" t="s">
        <v>8254</v>
      </c>
      <c r="E1880" s="225">
        <v>262.58</v>
      </c>
      <c r="F1880" t="s">
        <v>8722</v>
      </c>
      <c r="G1880" t="s">
        <v>8721</v>
      </c>
      <c r="H1880" t="s">
        <v>8720</v>
      </c>
      <c r="I1880" s="99">
        <v>44301</v>
      </c>
      <c r="J1880" s="99">
        <v>44303</v>
      </c>
      <c r="K1880" t="s">
        <v>8251</v>
      </c>
      <c r="L1880" t="s">
        <v>269</v>
      </c>
    </row>
    <row r="1881" spans="2:12" x14ac:dyDescent="0.2">
      <c r="B1881">
        <v>11394</v>
      </c>
      <c r="C1881" t="s">
        <v>8291</v>
      </c>
      <c r="D1881" t="s">
        <v>8262</v>
      </c>
      <c r="E1881" s="225">
        <v>2958</v>
      </c>
      <c r="F1881" t="s">
        <v>8722</v>
      </c>
      <c r="G1881" t="s">
        <v>8721</v>
      </c>
      <c r="H1881" t="s">
        <v>8720</v>
      </c>
      <c r="I1881" s="99">
        <v>44303</v>
      </c>
      <c r="J1881" s="99">
        <v>44306</v>
      </c>
      <c r="K1881" t="s">
        <v>8297</v>
      </c>
      <c r="L1881" t="s">
        <v>8298</v>
      </c>
    </row>
    <row r="1882" spans="2:12" x14ac:dyDescent="0.2">
      <c r="B1882">
        <v>11394</v>
      </c>
      <c r="C1882" t="s">
        <v>8242</v>
      </c>
      <c r="D1882" t="s">
        <v>8237</v>
      </c>
      <c r="E1882" s="225">
        <v>78.75</v>
      </c>
      <c r="F1882" t="s">
        <v>8722</v>
      </c>
      <c r="G1882" t="s">
        <v>8721</v>
      </c>
      <c r="H1882" t="s">
        <v>8720</v>
      </c>
      <c r="I1882" s="99">
        <v>44301</v>
      </c>
      <c r="J1882" s="99">
        <v>44303</v>
      </c>
      <c r="K1882" t="s">
        <v>8251</v>
      </c>
      <c r="L1882" t="s">
        <v>269</v>
      </c>
    </row>
    <row r="1883" spans="2:12" x14ac:dyDescent="0.2">
      <c r="B1883">
        <v>11394</v>
      </c>
      <c r="C1883" t="s">
        <v>8341</v>
      </c>
      <c r="D1883" t="s">
        <v>8244</v>
      </c>
      <c r="E1883" s="225">
        <v>684</v>
      </c>
      <c r="F1883" t="s">
        <v>8722</v>
      </c>
      <c r="G1883" t="s">
        <v>8721</v>
      </c>
      <c r="H1883" t="s">
        <v>8720</v>
      </c>
      <c r="I1883" s="99">
        <v>44301</v>
      </c>
      <c r="J1883" s="99">
        <v>44303</v>
      </c>
      <c r="K1883" t="s">
        <v>8251</v>
      </c>
      <c r="L1883" t="s">
        <v>269</v>
      </c>
    </row>
    <row r="1884" spans="2:12" x14ac:dyDescent="0.2">
      <c r="B1884">
        <v>11402</v>
      </c>
      <c r="C1884" t="s">
        <v>8291</v>
      </c>
      <c r="D1884" t="s">
        <v>8262</v>
      </c>
      <c r="E1884" s="225">
        <v>1109.25</v>
      </c>
      <c r="F1884" t="s">
        <v>8758</v>
      </c>
      <c r="G1884" t="s">
        <v>8757</v>
      </c>
      <c r="H1884" t="s">
        <v>8701</v>
      </c>
      <c r="I1884" s="99">
        <v>44300</v>
      </c>
      <c r="J1884" s="99">
        <v>44309</v>
      </c>
      <c r="K1884" t="s">
        <v>8158</v>
      </c>
      <c r="L1884" t="s">
        <v>861</v>
      </c>
    </row>
    <row r="1885" spans="2:12" x14ac:dyDescent="0.2">
      <c r="B1885">
        <v>11402</v>
      </c>
      <c r="C1885" t="s">
        <v>8334</v>
      </c>
      <c r="D1885" t="s">
        <v>8262</v>
      </c>
      <c r="E1885" s="225">
        <v>750</v>
      </c>
      <c r="F1885" t="s">
        <v>8758</v>
      </c>
      <c r="G1885" t="s">
        <v>8757</v>
      </c>
      <c r="H1885" t="s">
        <v>8701</v>
      </c>
      <c r="I1885" s="99">
        <v>44300</v>
      </c>
      <c r="J1885" s="99">
        <v>44309</v>
      </c>
      <c r="K1885" t="s">
        <v>8158</v>
      </c>
      <c r="L1885" t="s">
        <v>861</v>
      </c>
    </row>
    <row r="1886" spans="2:12" x14ac:dyDescent="0.2">
      <c r="B1886">
        <v>11402</v>
      </c>
      <c r="C1886" t="s">
        <v>8309</v>
      </c>
      <c r="D1886" t="s">
        <v>8237</v>
      </c>
      <c r="E1886" s="225">
        <v>412.5</v>
      </c>
      <c r="F1886" t="s">
        <v>8758</v>
      </c>
      <c r="G1886" t="s">
        <v>8757</v>
      </c>
      <c r="H1886" t="s">
        <v>8701</v>
      </c>
      <c r="I1886" s="99">
        <v>44300</v>
      </c>
      <c r="J1886" s="99">
        <v>44309</v>
      </c>
      <c r="K1886" t="s">
        <v>8158</v>
      </c>
      <c r="L1886" t="s">
        <v>861</v>
      </c>
    </row>
    <row r="1887" spans="2:12" x14ac:dyDescent="0.2">
      <c r="B1887">
        <v>11402</v>
      </c>
      <c r="C1887" t="s">
        <v>8235</v>
      </c>
      <c r="D1887" t="s">
        <v>8237</v>
      </c>
      <c r="E1887" s="225">
        <v>1740</v>
      </c>
      <c r="F1887" t="s">
        <v>8758</v>
      </c>
      <c r="G1887" t="s">
        <v>8757</v>
      </c>
      <c r="H1887" t="s">
        <v>8701</v>
      </c>
      <c r="I1887" s="99">
        <v>44300</v>
      </c>
      <c r="J1887" s="99">
        <v>44309</v>
      </c>
      <c r="K1887" t="s">
        <v>8158</v>
      </c>
      <c r="L1887" t="s">
        <v>861</v>
      </c>
    </row>
    <row r="1888" spans="2:12" x14ac:dyDescent="0.2">
      <c r="B1888">
        <v>11406</v>
      </c>
      <c r="C1888" t="s">
        <v>8328</v>
      </c>
      <c r="D1888" t="s">
        <v>8272</v>
      </c>
      <c r="E1888" s="225">
        <v>139.5</v>
      </c>
      <c r="F1888" t="s">
        <v>8377</v>
      </c>
      <c r="G1888" t="s">
        <v>8378</v>
      </c>
      <c r="H1888" t="s">
        <v>8236</v>
      </c>
      <c r="I1888" s="99">
        <v>44295</v>
      </c>
      <c r="J1888" s="99">
        <v>44313</v>
      </c>
      <c r="K1888" t="s">
        <v>8320</v>
      </c>
      <c r="L1888" t="s">
        <v>8321</v>
      </c>
    </row>
    <row r="1889" spans="2:12" x14ac:dyDescent="0.2">
      <c r="B1889">
        <v>11406</v>
      </c>
      <c r="C1889" t="s">
        <v>8280</v>
      </c>
      <c r="D1889" t="s">
        <v>8262</v>
      </c>
      <c r="E1889" s="225">
        <v>471.15</v>
      </c>
      <c r="F1889" t="s">
        <v>8377</v>
      </c>
      <c r="G1889" t="s">
        <v>8378</v>
      </c>
      <c r="H1889" t="s">
        <v>8236</v>
      </c>
      <c r="I1889" s="99">
        <v>44295</v>
      </c>
      <c r="J1889" s="99">
        <v>44313</v>
      </c>
      <c r="K1889" t="s">
        <v>8320</v>
      </c>
      <c r="L1889" t="s">
        <v>8321</v>
      </c>
    </row>
    <row r="1890" spans="2:12" x14ac:dyDescent="0.2">
      <c r="B1890">
        <v>11406</v>
      </c>
      <c r="C1890" t="s">
        <v>8291</v>
      </c>
      <c r="D1890" t="s">
        <v>8262</v>
      </c>
      <c r="E1890" s="225">
        <v>621.17999999999995</v>
      </c>
      <c r="F1890" t="s">
        <v>8377</v>
      </c>
      <c r="G1890" t="s">
        <v>8378</v>
      </c>
      <c r="H1890" t="s">
        <v>8236</v>
      </c>
      <c r="I1890" s="99">
        <v>44295</v>
      </c>
      <c r="J1890" s="99">
        <v>44313</v>
      </c>
      <c r="K1890" t="s">
        <v>8320</v>
      </c>
      <c r="L1890" t="s">
        <v>8321</v>
      </c>
    </row>
    <row r="1891" spans="2:12" x14ac:dyDescent="0.2">
      <c r="B1891">
        <v>11406</v>
      </c>
      <c r="C1891" t="s">
        <v>8235</v>
      </c>
      <c r="D1891" t="s">
        <v>8237</v>
      </c>
      <c r="E1891" s="225">
        <v>556.79999999999995</v>
      </c>
      <c r="F1891" t="s">
        <v>8377</v>
      </c>
      <c r="G1891" t="s">
        <v>8378</v>
      </c>
      <c r="H1891" t="s">
        <v>8236</v>
      </c>
      <c r="I1891" s="99">
        <v>44295</v>
      </c>
      <c r="J1891" s="99">
        <v>44313</v>
      </c>
      <c r="K1891" t="s">
        <v>8320</v>
      </c>
      <c r="L1891" t="s">
        <v>8321</v>
      </c>
    </row>
    <row r="1892" spans="2:12" x14ac:dyDescent="0.2">
      <c r="B1892">
        <v>11406</v>
      </c>
      <c r="C1892" t="s">
        <v>8415</v>
      </c>
      <c r="D1892" t="s">
        <v>8247</v>
      </c>
      <c r="E1892" s="225">
        <v>240</v>
      </c>
      <c r="F1892" t="s">
        <v>8377</v>
      </c>
      <c r="G1892" t="s">
        <v>8378</v>
      </c>
      <c r="H1892" t="s">
        <v>8236</v>
      </c>
      <c r="I1892" s="99">
        <v>44300</v>
      </c>
      <c r="J1892" s="99">
        <v>44312</v>
      </c>
      <c r="K1892" t="s">
        <v>8320</v>
      </c>
      <c r="L1892" t="s">
        <v>8321</v>
      </c>
    </row>
    <row r="1893" spans="2:12" x14ac:dyDescent="0.2">
      <c r="B1893">
        <v>11412</v>
      </c>
      <c r="C1893" t="s">
        <v>8380</v>
      </c>
      <c r="D1893" t="s">
        <v>8272</v>
      </c>
      <c r="E1893" s="225">
        <v>1317.5</v>
      </c>
      <c r="F1893" t="s">
        <v>8428</v>
      </c>
      <c r="G1893" t="s">
        <v>8429</v>
      </c>
      <c r="H1893" t="s">
        <v>8236</v>
      </c>
      <c r="I1893" s="99">
        <v>44309</v>
      </c>
      <c r="J1893" s="99">
        <v>44313</v>
      </c>
      <c r="K1893" t="s">
        <v>8257</v>
      </c>
      <c r="L1893" t="s">
        <v>6984</v>
      </c>
    </row>
    <row r="1894" spans="2:12" x14ac:dyDescent="0.2">
      <c r="B1894">
        <v>11412</v>
      </c>
      <c r="C1894" t="s">
        <v>8353</v>
      </c>
      <c r="D1894" t="s">
        <v>8237</v>
      </c>
      <c r="E1894" s="225">
        <v>360</v>
      </c>
      <c r="F1894" t="s">
        <v>8428</v>
      </c>
      <c r="G1894" t="s">
        <v>8429</v>
      </c>
      <c r="H1894" t="s">
        <v>8236</v>
      </c>
      <c r="I1894" s="99">
        <v>44309</v>
      </c>
      <c r="J1894" s="99">
        <v>44313</v>
      </c>
      <c r="K1894" t="s">
        <v>8257</v>
      </c>
      <c r="L1894" t="s">
        <v>6984</v>
      </c>
    </row>
    <row r="1895" spans="2:12" x14ac:dyDescent="0.2">
      <c r="B1895">
        <v>11415</v>
      </c>
      <c r="C1895" t="s">
        <v>8260</v>
      </c>
      <c r="D1895" t="s">
        <v>8262</v>
      </c>
      <c r="E1895" s="225">
        <v>3847.5</v>
      </c>
      <c r="F1895" t="s">
        <v>8386</v>
      </c>
      <c r="G1895" t="s">
        <v>8387</v>
      </c>
      <c r="H1895" t="s">
        <v>2434</v>
      </c>
      <c r="I1895" s="99">
        <v>44305</v>
      </c>
      <c r="J1895" s="99">
        <v>44314</v>
      </c>
      <c r="K1895" t="s">
        <v>8279</v>
      </c>
      <c r="L1895" t="s">
        <v>710</v>
      </c>
    </row>
    <row r="1896" spans="2:12" x14ac:dyDescent="0.2">
      <c r="B1896">
        <v>11415</v>
      </c>
      <c r="C1896" t="s">
        <v>8309</v>
      </c>
      <c r="D1896" t="s">
        <v>8237</v>
      </c>
      <c r="E1896" s="225">
        <v>593.75</v>
      </c>
      <c r="F1896" t="s">
        <v>8386</v>
      </c>
      <c r="G1896" t="s">
        <v>8387</v>
      </c>
      <c r="H1896" t="s">
        <v>2434</v>
      </c>
      <c r="I1896" s="99">
        <v>44305</v>
      </c>
      <c r="J1896" s="99">
        <v>44314</v>
      </c>
      <c r="K1896" t="s">
        <v>8279</v>
      </c>
      <c r="L1896" t="s">
        <v>710</v>
      </c>
    </row>
    <row r="1897" spans="2:12" x14ac:dyDescent="0.2">
      <c r="B1897">
        <v>11417</v>
      </c>
      <c r="C1897" t="s">
        <v>8328</v>
      </c>
      <c r="D1897" t="s">
        <v>8272</v>
      </c>
      <c r="E1897" s="225">
        <v>77.5</v>
      </c>
      <c r="F1897" t="s">
        <v>8722</v>
      </c>
      <c r="G1897" t="s">
        <v>8721</v>
      </c>
      <c r="H1897" t="s">
        <v>8720</v>
      </c>
      <c r="I1897" s="99">
        <v>44314</v>
      </c>
      <c r="J1897" s="99">
        <v>44316</v>
      </c>
      <c r="K1897" t="s">
        <v>8285</v>
      </c>
      <c r="L1897" t="s">
        <v>2317</v>
      </c>
    </row>
    <row r="1898" spans="2:12" x14ac:dyDescent="0.2">
      <c r="B1898">
        <v>11417</v>
      </c>
      <c r="C1898" t="s">
        <v>8379</v>
      </c>
      <c r="D1898" t="s">
        <v>8254</v>
      </c>
      <c r="E1898" s="225">
        <v>640</v>
      </c>
      <c r="F1898" t="s">
        <v>8722</v>
      </c>
      <c r="G1898" t="s">
        <v>8721</v>
      </c>
      <c r="H1898" t="s">
        <v>8720</v>
      </c>
      <c r="I1898" s="99">
        <v>44314</v>
      </c>
      <c r="J1898" s="99">
        <v>44316</v>
      </c>
      <c r="K1898" t="s">
        <v>8285</v>
      </c>
      <c r="L1898" t="s">
        <v>2317</v>
      </c>
    </row>
    <row r="1899" spans="2:12" x14ac:dyDescent="0.2">
      <c r="B1899">
        <v>11419</v>
      </c>
      <c r="C1899" t="s">
        <v>8245</v>
      </c>
      <c r="D1899" t="s">
        <v>8247</v>
      </c>
      <c r="E1899" s="225">
        <v>848</v>
      </c>
      <c r="F1899" t="s">
        <v>8756</v>
      </c>
      <c r="G1899" t="s">
        <v>8755</v>
      </c>
      <c r="H1899" t="s">
        <v>8701</v>
      </c>
      <c r="I1899" s="99">
        <v>44309</v>
      </c>
      <c r="J1899" s="99">
        <v>44319</v>
      </c>
      <c r="K1899" t="s">
        <v>8251</v>
      </c>
      <c r="L1899" t="s">
        <v>269</v>
      </c>
    </row>
    <row r="1900" spans="2:12" x14ac:dyDescent="0.2">
      <c r="B1900">
        <v>11420</v>
      </c>
      <c r="C1900" t="s">
        <v>8270</v>
      </c>
      <c r="D1900" t="s">
        <v>8272</v>
      </c>
      <c r="E1900" s="225">
        <v>90</v>
      </c>
      <c r="F1900" t="s">
        <v>8758</v>
      </c>
      <c r="G1900" t="s">
        <v>8757</v>
      </c>
      <c r="H1900" t="s">
        <v>8701</v>
      </c>
      <c r="I1900" s="99">
        <v>44319</v>
      </c>
      <c r="J1900" s="99">
        <v>44323</v>
      </c>
      <c r="K1900" t="s">
        <v>8285</v>
      </c>
      <c r="L1900" t="s">
        <v>2317</v>
      </c>
    </row>
    <row r="1901" spans="2:12" x14ac:dyDescent="0.2">
      <c r="B1901">
        <v>11420</v>
      </c>
      <c r="C1901" t="s">
        <v>8280</v>
      </c>
      <c r="D1901" t="s">
        <v>8262</v>
      </c>
      <c r="E1901" s="225">
        <v>959.75</v>
      </c>
      <c r="F1901" t="s">
        <v>8758</v>
      </c>
      <c r="G1901" t="s">
        <v>8757</v>
      </c>
      <c r="H1901" t="s">
        <v>8701</v>
      </c>
      <c r="I1901" s="99">
        <v>44319</v>
      </c>
      <c r="J1901" s="99">
        <v>44323</v>
      </c>
      <c r="K1901" t="s">
        <v>8285</v>
      </c>
      <c r="L1901" t="s">
        <v>2317</v>
      </c>
    </row>
    <row r="1902" spans="2:12" x14ac:dyDescent="0.2">
      <c r="B1902">
        <v>11420</v>
      </c>
      <c r="C1902" t="s">
        <v>8258</v>
      </c>
      <c r="D1902" t="s">
        <v>8244</v>
      </c>
      <c r="E1902" s="225">
        <v>292.5</v>
      </c>
      <c r="F1902" t="s">
        <v>8758</v>
      </c>
      <c r="G1902" t="s">
        <v>8757</v>
      </c>
      <c r="H1902" t="s">
        <v>8701</v>
      </c>
      <c r="I1902" s="99">
        <v>44316</v>
      </c>
      <c r="J1902" s="99">
        <v>44326</v>
      </c>
      <c r="K1902" t="s">
        <v>8297</v>
      </c>
      <c r="L1902" t="s">
        <v>8298</v>
      </c>
    </row>
    <row r="1903" spans="2:12" x14ac:dyDescent="0.2">
      <c r="B1903">
        <v>11425</v>
      </c>
      <c r="C1903" t="s">
        <v>8306</v>
      </c>
      <c r="D1903" t="s">
        <v>8272</v>
      </c>
      <c r="E1903" s="225">
        <v>414</v>
      </c>
      <c r="F1903" t="s">
        <v>8722</v>
      </c>
      <c r="G1903" t="s">
        <v>8721</v>
      </c>
      <c r="H1903" t="s">
        <v>8720</v>
      </c>
      <c r="I1903" s="99">
        <v>44316</v>
      </c>
      <c r="J1903" s="99">
        <v>44328</v>
      </c>
      <c r="K1903" t="s">
        <v>8297</v>
      </c>
      <c r="L1903" t="s">
        <v>8298</v>
      </c>
    </row>
    <row r="1904" spans="2:12" x14ac:dyDescent="0.2">
      <c r="B1904">
        <v>11425</v>
      </c>
      <c r="C1904" t="s">
        <v>8415</v>
      </c>
      <c r="D1904" t="s">
        <v>8247</v>
      </c>
      <c r="E1904" s="225">
        <v>600</v>
      </c>
      <c r="F1904" t="s">
        <v>8722</v>
      </c>
      <c r="G1904" t="s">
        <v>8721</v>
      </c>
      <c r="H1904" t="s">
        <v>8720</v>
      </c>
      <c r="I1904" s="99">
        <v>44316</v>
      </c>
      <c r="J1904" s="99">
        <v>44328</v>
      </c>
      <c r="K1904" t="s">
        <v>8297</v>
      </c>
      <c r="L1904" t="s">
        <v>8298</v>
      </c>
    </row>
    <row r="1905" spans="2:12" x14ac:dyDescent="0.2">
      <c r="B1905">
        <v>11427</v>
      </c>
      <c r="C1905" t="s">
        <v>8309</v>
      </c>
      <c r="D1905" t="s">
        <v>8237</v>
      </c>
      <c r="E1905" s="225">
        <v>187.5</v>
      </c>
      <c r="F1905" t="s">
        <v>8386</v>
      </c>
      <c r="G1905" t="s">
        <v>8387</v>
      </c>
      <c r="H1905" t="s">
        <v>2434</v>
      </c>
      <c r="I1905" s="99">
        <v>44330</v>
      </c>
      <c r="J1905" s="99">
        <v>44333</v>
      </c>
      <c r="K1905" t="s">
        <v>8279</v>
      </c>
      <c r="L1905" t="s">
        <v>710</v>
      </c>
    </row>
    <row r="1906" spans="2:12" x14ac:dyDescent="0.2">
      <c r="B1906">
        <v>11429</v>
      </c>
      <c r="C1906" t="s">
        <v>8333</v>
      </c>
      <c r="D1906" t="s">
        <v>8272</v>
      </c>
      <c r="E1906" s="225">
        <v>144</v>
      </c>
      <c r="F1906" t="s">
        <v>8714</v>
      </c>
      <c r="G1906" t="s">
        <v>8713</v>
      </c>
      <c r="H1906" t="s">
        <v>8701</v>
      </c>
      <c r="I1906" s="99">
        <v>44327</v>
      </c>
      <c r="J1906" s="99">
        <v>44335</v>
      </c>
      <c r="K1906" t="s">
        <v>8257</v>
      </c>
      <c r="L1906" t="s">
        <v>6984</v>
      </c>
    </row>
    <row r="1907" spans="2:12" x14ac:dyDescent="0.2">
      <c r="B1907">
        <v>11431</v>
      </c>
      <c r="C1907" t="s">
        <v>8323</v>
      </c>
      <c r="D1907" t="s">
        <v>8272</v>
      </c>
      <c r="E1907" s="225">
        <v>229.5</v>
      </c>
      <c r="F1907" t="s">
        <v>8758</v>
      </c>
      <c r="G1907" t="s">
        <v>8757</v>
      </c>
      <c r="H1907" t="s">
        <v>8701</v>
      </c>
      <c r="I1907" s="99">
        <v>44326</v>
      </c>
      <c r="J1907" s="99">
        <v>44336</v>
      </c>
      <c r="K1907" t="s">
        <v>8266</v>
      </c>
      <c r="L1907" t="s">
        <v>8267</v>
      </c>
    </row>
    <row r="1908" spans="2:12" x14ac:dyDescent="0.2">
      <c r="B1908">
        <v>11431</v>
      </c>
      <c r="C1908" t="s">
        <v>8243</v>
      </c>
      <c r="D1908" t="s">
        <v>8244</v>
      </c>
      <c r="E1908" s="225">
        <v>285.60000000000002</v>
      </c>
      <c r="F1908" t="s">
        <v>8758</v>
      </c>
      <c r="G1908" t="s">
        <v>8757</v>
      </c>
      <c r="H1908" t="s">
        <v>8701</v>
      </c>
      <c r="I1908" s="99">
        <v>44326</v>
      </c>
      <c r="J1908" s="99">
        <v>44336</v>
      </c>
      <c r="K1908" t="s">
        <v>8266</v>
      </c>
      <c r="L1908" t="s">
        <v>8267</v>
      </c>
    </row>
    <row r="1909" spans="2:12" x14ac:dyDescent="0.2">
      <c r="B1909">
        <v>11435</v>
      </c>
      <c r="C1909" t="s">
        <v>8270</v>
      </c>
      <c r="D1909" t="s">
        <v>8272</v>
      </c>
      <c r="E1909" s="225">
        <v>101.25</v>
      </c>
      <c r="F1909" t="s">
        <v>8722</v>
      </c>
      <c r="G1909" t="s">
        <v>8721</v>
      </c>
      <c r="H1909" t="s">
        <v>8720</v>
      </c>
      <c r="I1909" s="99">
        <v>44336</v>
      </c>
      <c r="J1909" s="99">
        <v>44340</v>
      </c>
      <c r="K1909" t="s">
        <v>8285</v>
      </c>
      <c r="L1909" t="s">
        <v>2317</v>
      </c>
    </row>
    <row r="1910" spans="2:12" x14ac:dyDescent="0.2">
      <c r="B1910">
        <v>11435</v>
      </c>
      <c r="C1910" t="s">
        <v>8291</v>
      </c>
      <c r="D1910" t="s">
        <v>8262</v>
      </c>
      <c r="E1910" s="225">
        <v>776.48</v>
      </c>
      <c r="F1910" t="s">
        <v>8722</v>
      </c>
      <c r="G1910" t="s">
        <v>8721</v>
      </c>
      <c r="H1910" t="s">
        <v>8720</v>
      </c>
      <c r="I1910" s="99">
        <v>44336</v>
      </c>
      <c r="J1910" s="99">
        <v>44340</v>
      </c>
      <c r="K1910" t="s">
        <v>8285</v>
      </c>
      <c r="L1910" t="s">
        <v>2317</v>
      </c>
    </row>
    <row r="1911" spans="2:12" x14ac:dyDescent="0.2">
      <c r="B1911">
        <v>11437</v>
      </c>
      <c r="C1911" t="s">
        <v>8276</v>
      </c>
      <c r="D1911" t="s">
        <v>8272</v>
      </c>
      <c r="E1911" s="225">
        <v>1425</v>
      </c>
      <c r="F1911" t="s">
        <v>8758</v>
      </c>
      <c r="G1911" t="s">
        <v>8757</v>
      </c>
      <c r="H1911" t="s">
        <v>8701</v>
      </c>
      <c r="I1911" s="99">
        <v>44337</v>
      </c>
      <c r="J1911" s="99">
        <v>44347</v>
      </c>
      <c r="K1911" t="s">
        <v>8158</v>
      </c>
      <c r="L1911" t="s">
        <v>861</v>
      </c>
    </row>
    <row r="1912" spans="2:12" x14ac:dyDescent="0.2">
      <c r="B1912">
        <v>11437</v>
      </c>
      <c r="C1912" t="s">
        <v>8333</v>
      </c>
      <c r="D1912" t="s">
        <v>8272</v>
      </c>
      <c r="E1912" s="225">
        <v>810</v>
      </c>
      <c r="F1912" t="s">
        <v>8758</v>
      </c>
      <c r="G1912" t="s">
        <v>8757</v>
      </c>
      <c r="H1912" t="s">
        <v>8701</v>
      </c>
      <c r="I1912" s="99">
        <v>44337</v>
      </c>
      <c r="J1912" s="99">
        <v>44344</v>
      </c>
      <c r="K1912" t="s">
        <v>8251</v>
      </c>
      <c r="L1912" t="s">
        <v>269</v>
      </c>
    </row>
    <row r="1913" spans="2:12" x14ac:dyDescent="0.2">
      <c r="B1913">
        <v>11437</v>
      </c>
      <c r="C1913" t="s">
        <v>8270</v>
      </c>
      <c r="D1913" t="s">
        <v>8272</v>
      </c>
      <c r="E1913" s="225">
        <v>94.5</v>
      </c>
      <c r="F1913" t="s">
        <v>8758</v>
      </c>
      <c r="G1913" t="s">
        <v>8757</v>
      </c>
      <c r="H1913" t="s">
        <v>8701</v>
      </c>
      <c r="I1913" s="99">
        <v>44337</v>
      </c>
      <c r="J1913" s="99">
        <v>44344</v>
      </c>
      <c r="K1913" t="s">
        <v>8251</v>
      </c>
      <c r="L1913" t="s">
        <v>269</v>
      </c>
    </row>
    <row r="1914" spans="2:12" x14ac:dyDescent="0.2">
      <c r="B1914">
        <v>11437</v>
      </c>
      <c r="C1914" t="s">
        <v>8286</v>
      </c>
      <c r="D1914" t="s">
        <v>8254</v>
      </c>
      <c r="E1914" s="225">
        <v>1494.5</v>
      </c>
      <c r="F1914" t="s">
        <v>8758</v>
      </c>
      <c r="G1914" t="s">
        <v>8757</v>
      </c>
      <c r="H1914" t="s">
        <v>8701</v>
      </c>
      <c r="I1914" s="99">
        <v>44337</v>
      </c>
      <c r="J1914" s="99">
        <v>44347</v>
      </c>
      <c r="K1914" t="s">
        <v>8158</v>
      </c>
      <c r="L1914" t="s">
        <v>861</v>
      </c>
    </row>
    <row r="1915" spans="2:12" x14ac:dyDescent="0.2">
      <c r="B1915">
        <v>11437</v>
      </c>
      <c r="C1915" t="s">
        <v>8281</v>
      </c>
      <c r="D1915" t="s">
        <v>8237</v>
      </c>
      <c r="E1915" s="225">
        <v>4125</v>
      </c>
      <c r="F1915" t="s">
        <v>8758</v>
      </c>
      <c r="G1915" t="s">
        <v>8757</v>
      </c>
      <c r="H1915" t="s">
        <v>8701</v>
      </c>
      <c r="I1915" s="99">
        <v>44337</v>
      </c>
      <c r="J1915" s="99">
        <v>44347</v>
      </c>
      <c r="K1915" t="s">
        <v>8158</v>
      </c>
      <c r="L1915" t="s">
        <v>861</v>
      </c>
    </row>
    <row r="1916" spans="2:12" x14ac:dyDescent="0.2">
      <c r="B1916">
        <v>11437</v>
      </c>
      <c r="C1916" t="s">
        <v>8310</v>
      </c>
      <c r="D1916" t="s">
        <v>8237</v>
      </c>
      <c r="E1916" s="225">
        <v>344</v>
      </c>
      <c r="F1916" t="s">
        <v>8758</v>
      </c>
      <c r="G1916" t="s">
        <v>8757</v>
      </c>
      <c r="H1916" t="s">
        <v>8701</v>
      </c>
      <c r="I1916" s="99">
        <v>44337</v>
      </c>
      <c r="J1916" s="99">
        <v>44344</v>
      </c>
      <c r="K1916" t="s">
        <v>8251</v>
      </c>
      <c r="L1916" t="s">
        <v>269</v>
      </c>
    </row>
    <row r="1917" spans="2:12" x14ac:dyDescent="0.2">
      <c r="B1917">
        <v>11437</v>
      </c>
      <c r="C1917" t="s">
        <v>8340</v>
      </c>
      <c r="D1917" t="s">
        <v>8244</v>
      </c>
      <c r="E1917" s="225">
        <v>665</v>
      </c>
      <c r="F1917" t="s">
        <v>8758</v>
      </c>
      <c r="G1917" t="s">
        <v>8757</v>
      </c>
      <c r="H1917" t="s">
        <v>8701</v>
      </c>
      <c r="I1917" s="99">
        <v>44337</v>
      </c>
      <c r="J1917" s="99">
        <v>44344</v>
      </c>
      <c r="K1917" t="s">
        <v>8251</v>
      </c>
      <c r="L1917" t="s">
        <v>269</v>
      </c>
    </row>
    <row r="1918" spans="2:12" x14ac:dyDescent="0.2">
      <c r="B1918">
        <v>11446</v>
      </c>
      <c r="C1918" t="s">
        <v>8322</v>
      </c>
      <c r="D1918" t="s">
        <v>8254</v>
      </c>
      <c r="E1918" s="225">
        <v>233.4</v>
      </c>
      <c r="F1918" t="s">
        <v>8756</v>
      </c>
      <c r="G1918" t="s">
        <v>8755</v>
      </c>
      <c r="H1918" t="s">
        <v>8701</v>
      </c>
      <c r="I1918" s="99">
        <v>44340</v>
      </c>
      <c r="J1918" s="99">
        <v>44347</v>
      </c>
      <c r="K1918" t="s">
        <v>8320</v>
      </c>
      <c r="L1918" t="s">
        <v>8321</v>
      </c>
    </row>
    <row r="1919" spans="2:12" x14ac:dyDescent="0.2">
      <c r="B1919">
        <v>11446</v>
      </c>
      <c r="C1919" t="s">
        <v>8409</v>
      </c>
      <c r="D1919" t="s">
        <v>8254</v>
      </c>
      <c r="E1919" s="225">
        <v>171</v>
      </c>
      <c r="F1919" t="s">
        <v>8756</v>
      </c>
      <c r="G1919" t="s">
        <v>8755</v>
      </c>
      <c r="H1919" t="s">
        <v>8701</v>
      </c>
      <c r="I1919" s="99">
        <v>44340</v>
      </c>
      <c r="J1919" s="99">
        <v>44347</v>
      </c>
      <c r="K1919" t="s">
        <v>8320</v>
      </c>
      <c r="L1919" t="s">
        <v>8321</v>
      </c>
    </row>
    <row r="1920" spans="2:12" x14ac:dyDescent="0.2">
      <c r="B1920">
        <v>11446</v>
      </c>
      <c r="C1920" t="s">
        <v>8368</v>
      </c>
      <c r="D1920" t="s">
        <v>8262</v>
      </c>
      <c r="E1920" s="225">
        <v>135</v>
      </c>
      <c r="F1920" t="s">
        <v>8756</v>
      </c>
      <c r="G1920" t="s">
        <v>8755</v>
      </c>
      <c r="H1920" t="s">
        <v>8701</v>
      </c>
      <c r="I1920" s="99">
        <v>44340</v>
      </c>
      <c r="J1920" s="99">
        <v>44347</v>
      </c>
      <c r="K1920" t="s">
        <v>8320</v>
      </c>
      <c r="L1920" t="s">
        <v>8321</v>
      </c>
    </row>
    <row r="1921" spans="2:12" x14ac:dyDescent="0.2">
      <c r="B1921">
        <v>11449</v>
      </c>
      <c r="C1921" t="s">
        <v>8242</v>
      </c>
      <c r="D1921" t="s">
        <v>8237</v>
      </c>
      <c r="E1921" s="225">
        <v>210</v>
      </c>
      <c r="F1921" t="s">
        <v>8428</v>
      </c>
      <c r="G1921" t="s">
        <v>8429</v>
      </c>
      <c r="H1921" t="s">
        <v>8236</v>
      </c>
      <c r="I1921" s="99">
        <v>44342</v>
      </c>
      <c r="J1921" s="99">
        <v>44349</v>
      </c>
      <c r="K1921" t="s">
        <v>8241</v>
      </c>
      <c r="L1921" t="s">
        <v>6934</v>
      </c>
    </row>
    <row r="1922" spans="2:12" x14ac:dyDescent="0.2">
      <c r="B1922">
        <v>11450</v>
      </c>
      <c r="C1922" t="s">
        <v>8334</v>
      </c>
      <c r="D1922" t="s">
        <v>8262</v>
      </c>
      <c r="E1922" s="225">
        <v>525</v>
      </c>
      <c r="F1922" t="s">
        <v>8722</v>
      </c>
      <c r="G1922" t="s">
        <v>8721</v>
      </c>
      <c r="H1922" t="s">
        <v>8720</v>
      </c>
      <c r="I1922" s="99">
        <v>44344</v>
      </c>
      <c r="J1922" s="99">
        <v>44350</v>
      </c>
      <c r="K1922" t="s">
        <v>8158</v>
      </c>
      <c r="L1922" t="s">
        <v>861</v>
      </c>
    </row>
    <row r="1923" spans="2:12" x14ac:dyDescent="0.2">
      <c r="B1923">
        <v>11455</v>
      </c>
      <c r="C1923" t="s">
        <v>8334</v>
      </c>
      <c r="D1923" t="s">
        <v>8262</v>
      </c>
      <c r="E1923" s="225">
        <v>687.5</v>
      </c>
      <c r="F1923" t="s">
        <v>8758</v>
      </c>
      <c r="G1923" t="s">
        <v>8757</v>
      </c>
      <c r="H1923" t="s">
        <v>8701</v>
      </c>
      <c r="I1923" s="99">
        <v>44351</v>
      </c>
      <c r="J1923" s="99">
        <v>44354</v>
      </c>
      <c r="K1923" t="s">
        <v>8285</v>
      </c>
      <c r="L1923" t="s">
        <v>2317</v>
      </c>
    </row>
    <row r="1924" spans="2:12" x14ac:dyDescent="0.2">
      <c r="E1924" s="225"/>
      <c r="I1924" s="99"/>
      <c r="J1924" s="99"/>
    </row>
    <row r="1925" spans="2:12" x14ac:dyDescent="0.2">
      <c r="E1925" s="225"/>
      <c r="I1925" s="99"/>
      <c r="J1925" s="99"/>
    </row>
    <row r="1926" spans="2:12" x14ac:dyDescent="0.2">
      <c r="E1926" s="225"/>
      <c r="I1926" s="99"/>
      <c r="J1926" s="99"/>
    </row>
    <row r="1927" spans="2:12" x14ac:dyDescent="0.2">
      <c r="E1927" s="225"/>
      <c r="I1927" s="99"/>
      <c r="J1927" s="99"/>
    </row>
    <row r="1928" spans="2:12" x14ac:dyDescent="0.2">
      <c r="E1928" s="225"/>
      <c r="I1928" s="99"/>
      <c r="J1928" s="99"/>
    </row>
    <row r="1929" spans="2:12" x14ac:dyDescent="0.2">
      <c r="E1929" s="225"/>
      <c r="I1929" s="99"/>
      <c r="J1929" s="99"/>
    </row>
    <row r="1930" spans="2:12" x14ac:dyDescent="0.2">
      <c r="E1930" s="225"/>
      <c r="I1930" s="99"/>
      <c r="J1930" s="99"/>
    </row>
    <row r="1931" spans="2:12" x14ac:dyDescent="0.2">
      <c r="E1931" s="225"/>
      <c r="I1931" s="99"/>
      <c r="J1931" s="99"/>
    </row>
    <row r="1932" spans="2:12" x14ac:dyDescent="0.2">
      <c r="E1932" s="225"/>
      <c r="I1932" s="99"/>
      <c r="J1932" s="99"/>
    </row>
    <row r="1933" spans="2:12" x14ac:dyDescent="0.2">
      <c r="E1933" s="225"/>
      <c r="I1933" s="99"/>
      <c r="J1933" s="99"/>
    </row>
    <row r="1934" spans="2:12" x14ac:dyDescent="0.2">
      <c r="E1934" s="225"/>
      <c r="I1934" s="99"/>
      <c r="J1934" s="99"/>
    </row>
    <row r="1935" spans="2:12" x14ac:dyDescent="0.2">
      <c r="E1935" s="225"/>
      <c r="I1935" s="99"/>
      <c r="J1935" s="99"/>
    </row>
    <row r="1936" spans="2:12" x14ac:dyDescent="0.2">
      <c r="E1936" s="225"/>
      <c r="I1936" s="99"/>
      <c r="J1936" s="99"/>
    </row>
    <row r="1937" spans="5:10" x14ac:dyDescent="0.2">
      <c r="E1937" s="225"/>
      <c r="I1937" s="99"/>
      <c r="J1937" s="99"/>
    </row>
    <row r="1938" spans="5:10" x14ac:dyDescent="0.2">
      <c r="E1938" s="225"/>
      <c r="I1938" s="99"/>
      <c r="J1938" s="99"/>
    </row>
    <row r="1939" spans="5:10" x14ac:dyDescent="0.2">
      <c r="E1939" s="225"/>
      <c r="I1939" s="99"/>
      <c r="J1939" s="99"/>
    </row>
    <row r="1940" spans="5:10" x14ac:dyDescent="0.2">
      <c r="E1940" s="225"/>
      <c r="I1940" s="99"/>
      <c r="J1940" s="99"/>
    </row>
    <row r="1941" spans="5:10" x14ac:dyDescent="0.2">
      <c r="E1941" s="225"/>
      <c r="I1941" s="99"/>
      <c r="J1941" s="99"/>
    </row>
    <row r="1942" spans="5:10" x14ac:dyDescent="0.2">
      <c r="E1942" s="225"/>
      <c r="I1942" s="99"/>
      <c r="J1942" s="99"/>
    </row>
    <row r="1943" spans="5:10" x14ac:dyDescent="0.2">
      <c r="E1943" s="225"/>
      <c r="I1943" s="99"/>
      <c r="J1943" s="99"/>
    </row>
    <row r="1944" spans="5:10" x14ac:dyDescent="0.2">
      <c r="E1944" s="225"/>
      <c r="I1944" s="99"/>
      <c r="J1944" s="99"/>
    </row>
    <row r="1945" spans="5:10" x14ac:dyDescent="0.2">
      <c r="E1945" s="225"/>
      <c r="I1945" s="99"/>
      <c r="J1945" s="99"/>
    </row>
    <row r="1946" spans="5:10" x14ac:dyDescent="0.2">
      <c r="E1946" s="225"/>
      <c r="I1946" s="99"/>
      <c r="J1946" s="99"/>
    </row>
    <row r="1947" spans="5:10" x14ac:dyDescent="0.2">
      <c r="E1947" s="225"/>
      <c r="I1947" s="99"/>
      <c r="J1947" s="99"/>
    </row>
    <row r="1948" spans="5:10" x14ac:dyDescent="0.2">
      <c r="E1948" s="225"/>
      <c r="I1948" s="99"/>
      <c r="J1948" s="99"/>
    </row>
    <row r="1949" spans="5:10" x14ac:dyDescent="0.2">
      <c r="E1949" s="225"/>
      <c r="I1949" s="99"/>
      <c r="J1949" s="99"/>
    </row>
    <row r="1950" spans="5:10" x14ac:dyDescent="0.2">
      <c r="E1950" s="225"/>
      <c r="I1950" s="99"/>
      <c r="J1950" s="99"/>
    </row>
    <row r="1951" spans="5:10" x14ac:dyDescent="0.2">
      <c r="E1951" s="225"/>
      <c r="I1951" s="99"/>
      <c r="J1951" s="99"/>
    </row>
    <row r="1952" spans="5:10" x14ac:dyDescent="0.2">
      <c r="E1952" s="225"/>
      <c r="I1952" s="99"/>
      <c r="J1952" s="99"/>
    </row>
    <row r="1953" spans="5:10" x14ac:dyDescent="0.2">
      <c r="E1953" s="225"/>
      <c r="I1953" s="99"/>
      <c r="J1953" s="99"/>
    </row>
    <row r="1954" spans="5:10" x14ac:dyDescent="0.2">
      <c r="E1954" s="225"/>
      <c r="I1954" s="99"/>
      <c r="J1954" s="99"/>
    </row>
    <row r="1955" spans="5:10" x14ac:dyDescent="0.2">
      <c r="E1955" s="225"/>
      <c r="I1955" s="99"/>
      <c r="J1955" s="99"/>
    </row>
    <row r="1956" spans="5:10" x14ac:dyDescent="0.2">
      <c r="E1956" s="225"/>
      <c r="I1956" s="99"/>
      <c r="J1956" s="99"/>
    </row>
    <row r="1957" spans="5:10" x14ac:dyDescent="0.2">
      <c r="E1957" s="225"/>
      <c r="I1957" s="99"/>
      <c r="J1957" s="99"/>
    </row>
    <row r="1958" spans="5:10" x14ac:dyDescent="0.2">
      <c r="E1958" s="225"/>
      <c r="I1958" s="99"/>
      <c r="J1958" s="99"/>
    </row>
    <row r="1959" spans="5:10" x14ac:dyDescent="0.2">
      <c r="E1959" s="225"/>
      <c r="I1959" s="99"/>
      <c r="J1959" s="99"/>
    </row>
    <row r="1960" spans="5:10" x14ac:dyDescent="0.2">
      <c r="E1960" s="225"/>
      <c r="I1960" s="99"/>
      <c r="J1960" s="99"/>
    </row>
    <row r="1961" spans="5:10" x14ac:dyDescent="0.2">
      <c r="E1961" s="225"/>
      <c r="I1961" s="99"/>
      <c r="J1961" s="99"/>
    </row>
    <row r="1962" spans="5:10" x14ac:dyDescent="0.2">
      <c r="E1962" s="225"/>
      <c r="I1962" s="99"/>
      <c r="J1962" s="99"/>
    </row>
    <row r="1963" spans="5:10" x14ac:dyDescent="0.2">
      <c r="E1963" s="225"/>
      <c r="I1963" s="99"/>
      <c r="J1963" s="99"/>
    </row>
    <row r="1964" spans="5:10" x14ac:dyDescent="0.2">
      <c r="E1964" s="225"/>
      <c r="I1964" s="99"/>
      <c r="J1964" s="99"/>
    </row>
    <row r="1965" spans="5:10" x14ac:dyDescent="0.2">
      <c r="E1965" s="225"/>
      <c r="I1965" s="99"/>
      <c r="J1965" s="99"/>
    </row>
    <row r="1966" spans="5:10" x14ac:dyDescent="0.2">
      <c r="E1966" s="225"/>
      <c r="I1966" s="99"/>
      <c r="J1966" s="99"/>
    </row>
    <row r="1967" spans="5:10" x14ac:dyDescent="0.2">
      <c r="E1967" s="225"/>
      <c r="I1967" s="99"/>
      <c r="J1967" s="99"/>
    </row>
    <row r="1968" spans="5:10" x14ac:dyDescent="0.2">
      <c r="E1968" s="225"/>
      <c r="I1968" s="99"/>
      <c r="J1968" s="99"/>
    </row>
    <row r="1969" spans="5:10" x14ac:dyDescent="0.2">
      <c r="E1969" s="225"/>
      <c r="I1969" s="99"/>
      <c r="J1969" s="99"/>
    </row>
    <row r="1970" spans="5:10" x14ac:dyDescent="0.2">
      <c r="E1970" s="225"/>
      <c r="I1970" s="99"/>
      <c r="J1970" s="99"/>
    </row>
    <row r="1971" spans="5:10" x14ac:dyDescent="0.2">
      <c r="E1971" s="225"/>
      <c r="I1971" s="99"/>
      <c r="J1971" s="99"/>
    </row>
    <row r="1972" spans="5:10" x14ac:dyDescent="0.2">
      <c r="E1972" s="225"/>
      <c r="I1972" s="99"/>
      <c r="J1972" s="99"/>
    </row>
    <row r="1973" spans="5:10" x14ac:dyDescent="0.2">
      <c r="E1973" s="225"/>
      <c r="I1973" s="99"/>
      <c r="J1973" s="99"/>
    </row>
    <row r="1974" spans="5:10" x14ac:dyDescent="0.2">
      <c r="E1974" s="225"/>
      <c r="I1974" s="99"/>
      <c r="J1974" s="99"/>
    </row>
    <row r="1975" spans="5:10" x14ac:dyDescent="0.2">
      <c r="E1975" s="225"/>
      <c r="I1975" s="99"/>
      <c r="J1975" s="99"/>
    </row>
    <row r="1976" spans="5:10" x14ac:dyDescent="0.2">
      <c r="E1976" s="225"/>
      <c r="I1976" s="99"/>
      <c r="J1976" s="99"/>
    </row>
    <row r="1977" spans="5:10" x14ac:dyDescent="0.2">
      <c r="E1977" s="225"/>
      <c r="I1977" s="99"/>
      <c r="J1977" s="99"/>
    </row>
    <row r="1978" spans="5:10" x14ac:dyDescent="0.2">
      <c r="E1978" s="225"/>
      <c r="I1978" s="99"/>
      <c r="J1978" s="99"/>
    </row>
    <row r="1979" spans="5:10" x14ac:dyDescent="0.2">
      <c r="E1979" s="225"/>
      <c r="I1979" s="99"/>
      <c r="J1979" s="99"/>
    </row>
    <row r="1980" spans="5:10" x14ac:dyDescent="0.2">
      <c r="E1980" s="225"/>
      <c r="I1980" s="99"/>
      <c r="J1980" s="99"/>
    </row>
    <row r="1981" spans="5:10" x14ac:dyDescent="0.2">
      <c r="E1981" s="225"/>
      <c r="I1981" s="99"/>
      <c r="J1981" s="99"/>
    </row>
    <row r="1982" spans="5:10" x14ac:dyDescent="0.2">
      <c r="E1982" s="225"/>
      <c r="I1982" s="99"/>
      <c r="J1982" s="99"/>
    </row>
    <row r="1983" spans="5:10" x14ac:dyDescent="0.2">
      <c r="E1983" s="225"/>
      <c r="I1983" s="99"/>
      <c r="J1983" s="99"/>
    </row>
    <row r="1984" spans="5:10" x14ac:dyDescent="0.2">
      <c r="E1984" s="225"/>
      <c r="I1984" s="99"/>
      <c r="J1984" s="99"/>
    </row>
    <row r="1985" spans="5:10" x14ac:dyDescent="0.2">
      <c r="E1985" s="225"/>
      <c r="I1985" s="99"/>
      <c r="J1985" s="99"/>
    </row>
    <row r="1986" spans="5:10" x14ac:dyDescent="0.2">
      <c r="E1986" s="225"/>
      <c r="I1986" s="99"/>
      <c r="J1986" s="99"/>
    </row>
    <row r="1987" spans="5:10" x14ac:dyDescent="0.2">
      <c r="E1987" s="225"/>
      <c r="I1987" s="99"/>
      <c r="J1987" s="99"/>
    </row>
    <row r="1988" spans="5:10" x14ac:dyDescent="0.2">
      <c r="E1988" s="225"/>
      <c r="I1988" s="99"/>
      <c r="J1988" s="99"/>
    </row>
    <row r="1989" spans="5:10" x14ac:dyDescent="0.2">
      <c r="E1989" s="225"/>
      <c r="I1989" s="99"/>
      <c r="J1989" s="99"/>
    </row>
    <row r="1990" spans="5:10" x14ac:dyDescent="0.2">
      <c r="E1990" s="225"/>
      <c r="I1990" s="99"/>
      <c r="J1990" s="99"/>
    </row>
    <row r="1991" spans="5:10" x14ac:dyDescent="0.2">
      <c r="E1991" s="225"/>
      <c r="I1991" s="99"/>
      <c r="J1991" s="99"/>
    </row>
    <row r="1992" spans="5:10" x14ac:dyDescent="0.2">
      <c r="E1992" s="225"/>
      <c r="I1992" s="99"/>
      <c r="J1992" s="99"/>
    </row>
    <row r="1993" spans="5:10" x14ac:dyDescent="0.2">
      <c r="E1993" s="225"/>
      <c r="I1993" s="99"/>
      <c r="J1993" s="99"/>
    </row>
    <row r="1994" spans="5:10" x14ac:dyDescent="0.2">
      <c r="E1994" s="225"/>
      <c r="I1994" s="99"/>
      <c r="J1994" s="99"/>
    </row>
    <row r="1995" spans="5:10" x14ac:dyDescent="0.2">
      <c r="E1995" s="225"/>
      <c r="I1995" s="99"/>
      <c r="J1995" s="99"/>
    </row>
    <row r="1996" spans="5:10" x14ac:dyDescent="0.2">
      <c r="E1996" s="225"/>
      <c r="I1996" s="99"/>
      <c r="J1996" s="99"/>
    </row>
    <row r="1997" spans="5:10" x14ac:dyDescent="0.2">
      <c r="E1997" s="225"/>
      <c r="I1997" s="99"/>
      <c r="J1997" s="99"/>
    </row>
    <row r="1998" spans="5:10" x14ac:dyDescent="0.2">
      <c r="E1998" s="225"/>
      <c r="I1998" s="99"/>
      <c r="J1998" s="99"/>
    </row>
    <row r="1999" spans="5:10" x14ac:dyDescent="0.2">
      <c r="E1999" s="225"/>
      <c r="I1999" s="99"/>
      <c r="J1999" s="99"/>
    </row>
    <row r="2000" spans="5:10" x14ac:dyDescent="0.2">
      <c r="E2000" s="225"/>
      <c r="I2000" s="99"/>
      <c r="J2000" s="99"/>
    </row>
    <row r="2001" spans="5:10" x14ac:dyDescent="0.2">
      <c r="E2001" s="225"/>
      <c r="I2001" s="99"/>
      <c r="J2001" s="99"/>
    </row>
    <row r="2002" spans="5:10" x14ac:dyDescent="0.2">
      <c r="E2002" s="225"/>
      <c r="I2002" s="99"/>
      <c r="J2002" s="99"/>
    </row>
    <row r="2003" spans="5:10" x14ac:dyDescent="0.2">
      <c r="E2003" s="225"/>
      <c r="I2003" s="99"/>
      <c r="J2003" s="99"/>
    </row>
    <row r="2004" spans="5:10" x14ac:dyDescent="0.2">
      <c r="E2004" s="225"/>
      <c r="I2004" s="99"/>
      <c r="J2004" s="99"/>
    </row>
    <row r="2005" spans="5:10" x14ac:dyDescent="0.2">
      <c r="E2005" s="225"/>
      <c r="I2005" s="99"/>
      <c r="J2005" s="99"/>
    </row>
    <row r="2006" spans="5:10" x14ac:dyDescent="0.2">
      <c r="E2006" s="225"/>
      <c r="I2006" s="99"/>
      <c r="J2006" s="99"/>
    </row>
    <row r="2007" spans="5:10" x14ac:dyDescent="0.2">
      <c r="E2007" s="225"/>
      <c r="I2007" s="99"/>
      <c r="J2007" s="99"/>
    </row>
    <row r="2008" spans="5:10" x14ac:dyDescent="0.2">
      <c r="E2008" s="225"/>
      <c r="I2008" s="99"/>
      <c r="J2008" s="99"/>
    </row>
    <row r="2009" spans="5:10" x14ac:dyDescent="0.2">
      <c r="E2009" s="225"/>
      <c r="I2009" s="99"/>
      <c r="J2009" s="99"/>
    </row>
    <row r="2010" spans="5:10" x14ac:dyDescent="0.2">
      <c r="E2010" s="225"/>
      <c r="I2010" s="99"/>
      <c r="J2010" s="99"/>
    </row>
    <row r="2011" spans="5:10" x14ac:dyDescent="0.2">
      <c r="E2011" s="225"/>
      <c r="I2011" s="99"/>
      <c r="J2011" s="99"/>
    </row>
    <row r="2012" spans="5:10" x14ac:dyDescent="0.2">
      <c r="E2012" s="225"/>
      <c r="I2012" s="99"/>
      <c r="J2012" s="99"/>
    </row>
    <row r="2013" spans="5:10" x14ac:dyDescent="0.2">
      <c r="E2013" s="225"/>
      <c r="I2013" s="99"/>
      <c r="J2013" s="99"/>
    </row>
    <row r="2014" spans="5:10" x14ac:dyDescent="0.2">
      <c r="E2014" s="225"/>
      <c r="I2014" s="99"/>
      <c r="J2014" s="99"/>
    </row>
    <row r="2015" spans="5:10" x14ac:dyDescent="0.2">
      <c r="E2015" s="225"/>
      <c r="I2015" s="99"/>
      <c r="J2015" s="99"/>
    </row>
    <row r="2016" spans="5:10" x14ac:dyDescent="0.2">
      <c r="E2016" s="225"/>
      <c r="I2016" s="99"/>
      <c r="J2016" s="99"/>
    </row>
    <row r="2017" spans="5:10" x14ac:dyDescent="0.2">
      <c r="E2017" s="225"/>
      <c r="I2017" s="99"/>
      <c r="J2017" s="99"/>
    </row>
    <row r="2018" spans="5:10" x14ac:dyDescent="0.2">
      <c r="E2018" s="225"/>
      <c r="I2018" s="99"/>
      <c r="J2018" s="99"/>
    </row>
    <row r="2019" spans="5:10" x14ac:dyDescent="0.2">
      <c r="E2019" s="225"/>
      <c r="I2019" s="99"/>
      <c r="J2019" s="99"/>
    </row>
    <row r="2020" spans="5:10" x14ac:dyDescent="0.2">
      <c r="E2020" s="225"/>
      <c r="I2020" s="99"/>
      <c r="J2020" s="99"/>
    </row>
    <row r="2021" spans="5:10" x14ac:dyDescent="0.2">
      <c r="E2021" s="225"/>
      <c r="I2021" s="99"/>
      <c r="J2021" s="99"/>
    </row>
    <row r="2022" spans="5:10" x14ac:dyDescent="0.2">
      <c r="E2022" s="225"/>
      <c r="I2022" s="99"/>
      <c r="J2022" s="99"/>
    </row>
    <row r="2023" spans="5:10" x14ac:dyDescent="0.2">
      <c r="E2023" s="225"/>
      <c r="I2023" s="99"/>
      <c r="J2023" s="99"/>
    </row>
    <row r="2024" spans="5:10" x14ac:dyDescent="0.2">
      <c r="E2024" s="225"/>
      <c r="I2024" s="99"/>
      <c r="J2024" s="99"/>
    </row>
    <row r="2025" spans="5:10" x14ac:dyDescent="0.2">
      <c r="E2025" s="225"/>
      <c r="I2025" s="99"/>
      <c r="J2025" s="99"/>
    </row>
    <row r="2026" spans="5:10" x14ac:dyDescent="0.2">
      <c r="E2026" s="225"/>
      <c r="I2026" s="99"/>
      <c r="J2026" s="99"/>
    </row>
    <row r="2027" spans="5:10" x14ac:dyDescent="0.2">
      <c r="E2027" s="225"/>
      <c r="I2027" s="99"/>
      <c r="J2027" s="99"/>
    </row>
    <row r="2028" spans="5:10" x14ac:dyDescent="0.2">
      <c r="E2028" s="225"/>
      <c r="I2028" s="99"/>
      <c r="J2028" s="99"/>
    </row>
    <row r="2029" spans="5:10" x14ac:dyDescent="0.2">
      <c r="E2029" s="225"/>
      <c r="I2029" s="99"/>
      <c r="J2029" s="99"/>
    </row>
    <row r="2030" spans="5:10" x14ac:dyDescent="0.2">
      <c r="E2030" s="225"/>
      <c r="I2030" s="99"/>
      <c r="J2030" s="99"/>
    </row>
    <row r="2031" spans="5:10" x14ac:dyDescent="0.2">
      <c r="E2031" s="225"/>
      <c r="I2031" s="99"/>
      <c r="J2031" s="99"/>
    </row>
    <row r="2032" spans="5:10" x14ac:dyDescent="0.2">
      <c r="E2032" s="225"/>
      <c r="I2032" s="99"/>
      <c r="J2032" s="99"/>
    </row>
    <row r="2033" spans="5:10" x14ac:dyDescent="0.2">
      <c r="E2033" s="225"/>
      <c r="I2033" s="99"/>
      <c r="J2033" s="99"/>
    </row>
    <row r="2034" spans="5:10" x14ac:dyDescent="0.2">
      <c r="E2034" s="225"/>
      <c r="I2034" s="99"/>
      <c r="J2034" s="99"/>
    </row>
    <row r="2035" spans="5:10" x14ac:dyDescent="0.2">
      <c r="E2035" s="225"/>
      <c r="I2035" s="99"/>
      <c r="J2035" s="99"/>
    </row>
    <row r="2036" spans="5:10" x14ac:dyDescent="0.2">
      <c r="E2036" s="225"/>
      <c r="I2036" s="99"/>
      <c r="J2036" s="99"/>
    </row>
    <row r="2037" spans="5:10" x14ac:dyDescent="0.2">
      <c r="E2037" s="225"/>
      <c r="I2037" s="99"/>
      <c r="J2037" s="99"/>
    </row>
    <row r="2038" spans="5:10" x14ac:dyDescent="0.2">
      <c r="E2038" s="225"/>
      <c r="I2038" s="99"/>
      <c r="J2038" s="99"/>
    </row>
    <row r="2039" spans="5:10" x14ac:dyDescent="0.2">
      <c r="E2039" s="225"/>
      <c r="I2039" s="99"/>
      <c r="J2039" s="99"/>
    </row>
    <row r="2040" spans="5:10" x14ac:dyDescent="0.2">
      <c r="E2040" s="225"/>
      <c r="I2040" s="99"/>
      <c r="J2040" s="99"/>
    </row>
    <row r="2041" spans="5:10" x14ac:dyDescent="0.2">
      <c r="E2041" s="225"/>
      <c r="I2041" s="99"/>
      <c r="J2041" s="99"/>
    </row>
    <row r="2042" spans="5:10" x14ac:dyDescent="0.2">
      <c r="E2042" s="225"/>
      <c r="I2042" s="99"/>
      <c r="J2042" s="99"/>
    </row>
    <row r="2043" spans="5:10" x14ac:dyDescent="0.2">
      <c r="E2043" s="225"/>
      <c r="I2043" s="99"/>
      <c r="J2043" s="99"/>
    </row>
    <row r="2044" spans="5:10" x14ac:dyDescent="0.2">
      <c r="E2044" s="225"/>
      <c r="I2044" s="99"/>
      <c r="J2044" s="99"/>
    </row>
    <row r="2045" spans="5:10" x14ac:dyDescent="0.2">
      <c r="E2045" s="225"/>
      <c r="I2045" s="99"/>
      <c r="J2045" s="99"/>
    </row>
    <row r="2046" spans="5:10" x14ac:dyDescent="0.2">
      <c r="E2046" s="225"/>
      <c r="I2046" s="99"/>
      <c r="J2046" s="99"/>
    </row>
    <row r="2047" spans="5:10" x14ac:dyDescent="0.2">
      <c r="E2047" s="225"/>
      <c r="I2047" s="99"/>
      <c r="J2047" s="99"/>
    </row>
    <row r="2048" spans="5:10" x14ac:dyDescent="0.2">
      <c r="E2048" s="225"/>
      <c r="I2048" s="99"/>
      <c r="J2048" s="99"/>
    </row>
    <row r="2049" spans="5:10" x14ac:dyDescent="0.2">
      <c r="E2049" s="225"/>
      <c r="I2049" s="99"/>
      <c r="J2049" s="99"/>
    </row>
    <row r="2050" spans="5:10" x14ac:dyDescent="0.2">
      <c r="E2050" s="225"/>
      <c r="I2050" s="99"/>
      <c r="J2050" s="99"/>
    </row>
    <row r="2051" spans="5:10" x14ac:dyDescent="0.2">
      <c r="E2051" s="225"/>
      <c r="I2051" s="99"/>
      <c r="J2051" s="99"/>
    </row>
    <row r="2052" spans="5:10" x14ac:dyDescent="0.2">
      <c r="E2052" s="225"/>
      <c r="I2052" s="99"/>
      <c r="J2052" s="99"/>
    </row>
    <row r="2053" spans="5:10" x14ac:dyDescent="0.2">
      <c r="E2053" s="225"/>
      <c r="I2053" s="99"/>
      <c r="J2053" s="99"/>
    </row>
    <row r="2054" spans="5:10" x14ac:dyDescent="0.2">
      <c r="E2054" s="225"/>
      <c r="I2054" s="99"/>
      <c r="J2054" s="99"/>
    </row>
    <row r="2055" spans="5:10" x14ac:dyDescent="0.2">
      <c r="E2055" s="225"/>
      <c r="I2055" s="99"/>
      <c r="J2055" s="99"/>
    </row>
    <row r="2056" spans="5:10" x14ac:dyDescent="0.2">
      <c r="E2056" s="225"/>
      <c r="I2056" s="99"/>
      <c r="J2056" s="99"/>
    </row>
    <row r="2057" spans="5:10" x14ac:dyDescent="0.2">
      <c r="E2057" s="225"/>
      <c r="I2057" s="99"/>
      <c r="J2057" s="99"/>
    </row>
    <row r="2058" spans="5:10" x14ac:dyDescent="0.2">
      <c r="E2058" s="225"/>
      <c r="I2058" s="99"/>
      <c r="J2058" s="99"/>
    </row>
    <row r="2059" spans="5:10" x14ac:dyDescent="0.2">
      <c r="E2059" s="225"/>
      <c r="I2059" s="99"/>
      <c r="J2059" s="99"/>
    </row>
    <row r="2060" spans="5:10" x14ac:dyDescent="0.2">
      <c r="E2060" s="225"/>
      <c r="I2060" s="99"/>
      <c r="J2060" s="99"/>
    </row>
    <row r="2061" spans="5:10" x14ac:dyDescent="0.2">
      <c r="E2061" s="225"/>
      <c r="I2061" s="99"/>
      <c r="J2061" s="99"/>
    </row>
    <row r="2062" spans="5:10" x14ac:dyDescent="0.2">
      <c r="E2062" s="225"/>
      <c r="I2062" s="99"/>
      <c r="J2062" s="99"/>
    </row>
    <row r="2063" spans="5:10" x14ac:dyDescent="0.2">
      <c r="E2063" s="225"/>
      <c r="I2063" s="99"/>
      <c r="J2063" s="99"/>
    </row>
    <row r="2064" spans="5:10" x14ac:dyDescent="0.2">
      <c r="E2064" s="225"/>
      <c r="I2064" s="99"/>
      <c r="J2064" s="99"/>
    </row>
    <row r="2065" spans="5:10" x14ac:dyDescent="0.2">
      <c r="E2065" s="225"/>
      <c r="I2065" s="99"/>
      <c r="J2065" s="99"/>
    </row>
    <row r="2066" spans="5:10" x14ac:dyDescent="0.2">
      <c r="E2066" s="225"/>
      <c r="I2066" s="99"/>
      <c r="J2066" s="99"/>
    </row>
    <row r="2067" spans="5:10" x14ac:dyDescent="0.2">
      <c r="E2067" s="225"/>
      <c r="I2067" s="99"/>
      <c r="J2067" s="99"/>
    </row>
    <row r="2068" spans="5:10" x14ac:dyDescent="0.2">
      <c r="E2068" s="225"/>
      <c r="I2068" s="99"/>
      <c r="J2068" s="99"/>
    </row>
    <row r="2069" spans="5:10" x14ac:dyDescent="0.2">
      <c r="E2069" s="225"/>
      <c r="I2069" s="99"/>
      <c r="J2069" s="99"/>
    </row>
    <row r="2070" spans="5:10" x14ac:dyDescent="0.2">
      <c r="E2070" s="225"/>
      <c r="I2070" s="99"/>
      <c r="J2070" s="99"/>
    </row>
    <row r="2071" spans="5:10" x14ac:dyDescent="0.2">
      <c r="E2071" s="225"/>
      <c r="I2071" s="99"/>
      <c r="J2071" s="99"/>
    </row>
    <row r="2072" spans="5:10" x14ac:dyDescent="0.2">
      <c r="E2072" s="225"/>
      <c r="I2072" s="99"/>
      <c r="J2072" s="99"/>
    </row>
    <row r="2073" spans="5:10" x14ac:dyDescent="0.2">
      <c r="E2073" s="225"/>
      <c r="I2073" s="99"/>
      <c r="J2073" s="99"/>
    </row>
    <row r="2074" spans="5:10" x14ac:dyDescent="0.2">
      <c r="E2074" s="225"/>
      <c r="I2074" s="99"/>
      <c r="J2074" s="99"/>
    </row>
    <row r="2075" spans="5:10" x14ac:dyDescent="0.2">
      <c r="E2075" s="225"/>
      <c r="I2075" s="99"/>
      <c r="J2075" s="99"/>
    </row>
    <row r="2076" spans="5:10" x14ac:dyDescent="0.2">
      <c r="E2076" s="225"/>
      <c r="I2076" s="99"/>
      <c r="J2076" s="99"/>
    </row>
    <row r="2077" spans="5:10" x14ac:dyDescent="0.2">
      <c r="E2077" s="225"/>
      <c r="I2077" s="99"/>
      <c r="J2077" s="99"/>
    </row>
    <row r="2078" spans="5:10" x14ac:dyDescent="0.2">
      <c r="E2078" s="225"/>
      <c r="I2078" s="99"/>
      <c r="J2078" s="99"/>
    </row>
    <row r="2079" spans="5:10" x14ac:dyDescent="0.2">
      <c r="E2079" s="225"/>
      <c r="I2079" s="99"/>
      <c r="J2079" s="99"/>
    </row>
    <row r="2080" spans="5:10" x14ac:dyDescent="0.2">
      <c r="E2080" s="225"/>
      <c r="I2080" s="99"/>
      <c r="J2080" s="99"/>
    </row>
    <row r="2081" spans="5:10" x14ac:dyDescent="0.2">
      <c r="E2081" s="225"/>
      <c r="I2081" s="99"/>
      <c r="J2081" s="99"/>
    </row>
    <row r="2082" spans="5:10" x14ac:dyDescent="0.2">
      <c r="E2082" s="225"/>
      <c r="I2082" s="99"/>
      <c r="J2082" s="99"/>
    </row>
    <row r="2083" spans="5:10" x14ac:dyDescent="0.2">
      <c r="E2083" s="225"/>
      <c r="I2083" s="99"/>
      <c r="J2083" s="99"/>
    </row>
    <row r="2084" spans="5:10" x14ac:dyDescent="0.2">
      <c r="E2084" s="225"/>
      <c r="I2084" s="99"/>
      <c r="J2084" s="99"/>
    </row>
    <row r="2085" spans="5:10" x14ac:dyDescent="0.2">
      <c r="E2085" s="225"/>
      <c r="I2085" s="99"/>
      <c r="J2085" s="99"/>
    </row>
    <row r="2086" spans="5:10" x14ac:dyDescent="0.2">
      <c r="E2086" s="225"/>
      <c r="I2086" s="99"/>
      <c r="J2086" s="99"/>
    </row>
    <row r="2087" spans="5:10" x14ac:dyDescent="0.2">
      <c r="E2087" s="225"/>
      <c r="I2087" s="99"/>
      <c r="J2087" s="99"/>
    </row>
    <row r="2088" spans="5:10" x14ac:dyDescent="0.2">
      <c r="E2088" s="225"/>
      <c r="I2088" s="99"/>
      <c r="J2088" s="99"/>
    </row>
    <row r="2089" spans="5:10" x14ac:dyDescent="0.2">
      <c r="E2089" s="225"/>
      <c r="I2089" s="99"/>
      <c r="J2089" s="99"/>
    </row>
    <row r="2090" spans="5:10" x14ac:dyDescent="0.2">
      <c r="E2090" s="225"/>
      <c r="I2090" s="99"/>
      <c r="J2090" s="99"/>
    </row>
    <row r="2091" spans="5:10" x14ac:dyDescent="0.2">
      <c r="E2091" s="225"/>
      <c r="I2091" s="99"/>
      <c r="J2091" s="99"/>
    </row>
    <row r="2092" spans="5:10" x14ac:dyDescent="0.2">
      <c r="E2092" s="225"/>
      <c r="I2092" s="99"/>
      <c r="J2092" s="99"/>
    </row>
    <row r="2093" spans="5:10" x14ac:dyDescent="0.2">
      <c r="E2093" s="225"/>
      <c r="I2093" s="99"/>
      <c r="J2093" s="99"/>
    </row>
    <row r="2094" spans="5:10" x14ac:dyDescent="0.2">
      <c r="E2094" s="225"/>
      <c r="I2094" s="99"/>
      <c r="J2094" s="99"/>
    </row>
    <row r="2095" spans="5:10" x14ac:dyDescent="0.2">
      <c r="E2095" s="225"/>
      <c r="I2095" s="99"/>
      <c r="J2095" s="99"/>
    </row>
    <row r="2096" spans="5:10" x14ac:dyDescent="0.2">
      <c r="E2096" s="225"/>
      <c r="I2096" s="99"/>
      <c r="J2096" s="99"/>
    </row>
    <row r="2097" spans="5:10" x14ac:dyDescent="0.2">
      <c r="E2097" s="225"/>
      <c r="I2097" s="99"/>
      <c r="J2097" s="99"/>
    </row>
    <row r="2098" spans="5:10" x14ac:dyDescent="0.2">
      <c r="E2098" s="225"/>
      <c r="I2098" s="99"/>
      <c r="J2098" s="99"/>
    </row>
    <row r="2099" spans="5:10" x14ac:dyDescent="0.2">
      <c r="E2099" s="225"/>
      <c r="I2099" s="99"/>
      <c r="J2099" s="99"/>
    </row>
    <row r="2100" spans="5:10" x14ac:dyDescent="0.2">
      <c r="E2100" s="225"/>
      <c r="I2100" s="99"/>
      <c r="J2100" s="99"/>
    </row>
    <row r="2101" spans="5:10" x14ac:dyDescent="0.2">
      <c r="E2101" s="225"/>
      <c r="I2101" s="99"/>
      <c r="J2101" s="99"/>
    </row>
    <row r="2102" spans="5:10" x14ac:dyDescent="0.2">
      <c r="E2102" s="225"/>
      <c r="I2102" s="99"/>
      <c r="J2102" s="99"/>
    </row>
    <row r="2103" spans="5:10" x14ac:dyDescent="0.2">
      <c r="E2103" s="225"/>
      <c r="I2103" s="99"/>
      <c r="J2103" s="99"/>
    </row>
    <row r="2104" spans="5:10" x14ac:dyDescent="0.2">
      <c r="E2104" s="225"/>
      <c r="I2104" s="99"/>
      <c r="J2104" s="99"/>
    </row>
    <row r="2105" spans="5:10" x14ac:dyDescent="0.2">
      <c r="E2105" s="225"/>
      <c r="I2105" s="99"/>
      <c r="J2105" s="99"/>
    </row>
    <row r="2106" spans="5:10" x14ac:dyDescent="0.2">
      <c r="E2106" s="225"/>
      <c r="I2106" s="99"/>
      <c r="J2106" s="99"/>
    </row>
    <row r="2107" spans="5:10" x14ac:dyDescent="0.2">
      <c r="E2107" s="225"/>
      <c r="I2107" s="99"/>
      <c r="J2107" s="99"/>
    </row>
    <row r="2108" spans="5:10" x14ac:dyDescent="0.2">
      <c r="E2108" s="225"/>
      <c r="I2108" s="99"/>
      <c r="J2108" s="99"/>
    </row>
    <row r="2109" spans="5:10" x14ac:dyDescent="0.2">
      <c r="E2109" s="225"/>
      <c r="I2109" s="99"/>
      <c r="J2109" s="99"/>
    </row>
    <row r="2110" spans="5:10" x14ac:dyDescent="0.2">
      <c r="E2110" s="225"/>
      <c r="I2110" s="99"/>
      <c r="J2110" s="99"/>
    </row>
    <row r="2111" spans="5:10" x14ac:dyDescent="0.2">
      <c r="E2111" s="225"/>
      <c r="I2111" s="99"/>
      <c r="J2111" s="99"/>
    </row>
    <row r="2112" spans="5:10" x14ac:dyDescent="0.2">
      <c r="E2112" s="225"/>
      <c r="I2112" s="99"/>
      <c r="J2112" s="99"/>
    </row>
    <row r="2113" spans="5:10" x14ac:dyDescent="0.2">
      <c r="E2113" s="225"/>
      <c r="I2113" s="99"/>
      <c r="J2113" s="99"/>
    </row>
    <row r="2114" spans="5:10" x14ac:dyDescent="0.2">
      <c r="E2114" s="225"/>
      <c r="I2114" s="99"/>
      <c r="J2114" s="99"/>
    </row>
    <row r="2115" spans="5:10" x14ac:dyDescent="0.2">
      <c r="E2115" s="225"/>
      <c r="I2115" s="99"/>
      <c r="J2115" s="99"/>
    </row>
    <row r="2116" spans="5:10" x14ac:dyDescent="0.2">
      <c r="E2116" s="225"/>
      <c r="I2116" s="99"/>
      <c r="J2116" s="99"/>
    </row>
    <row r="2117" spans="5:10" x14ac:dyDescent="0.2">
      <c r="E2117" s="225"/>
      <c r="I2117" s="99"/>
      <c r="J2117" s="99"/>
    </row>
    <row r="2118" spans="5:10" x14ac:dyDescent="0.2">
      <c r="E2118" s="225"/>
      <c r="I2118" s="99"/>
      <c r="J2118" s="99"/>
    </row>
    <row r="2119" spans="5:10" x14ac:dyDescent="0.2">
      <c r="E2119" s="225"/>
      <c r="I2119" s="99"/>
      <c r="J2119" s="99"/>
    </row>
    <row r="2120" spans="5:10" x14ac:dyDescent="0.2">
      <c r="E2120" s="225"/>
      <c r="I2120" s="99"/>
      <c r="J2120" s="99"/>
    </row>
    <row r="2121" spans="5:10" x14ac:dyDescent="0.2">
      <c r="E2121" s="225"/>
      <c r="I2121" s="99"/>
      <c r="J2121" s="99"/>
    </row>
    <row r="2122" spans="5:10" x14ac:dyDescent="0.2">
      <c r="E2122" s="225"/>
      <c r="I2122" s="99"/>
      <c r="J2122" s="99"/>
    </row>
    <row r="2123" spans="5:10" x14ac:dyDescent="0.2">
      <c r="E2123" s="225"/>
      <c r="I2123" s="99"/>
      <c r="J2123" s="99"/>
    </row>
    <row r="2124" spans="5:10" x14ac:dyDescent="0.2">
      <c r="E2124" s="225"/>
      <c r="I2124" s="99"/>
      <c r="J2124" s="99"/>
    </row>
    <row r="2125" spans="5:10" x14ac:dyDescent="0.2">
      <c r="E2125" s="225"/>
      <c r="I2125" s="99"/>
      <c r="J2125" s="99"/>
    </row>
    <row r="2126" spans="5:10" x14ac:dyDescent="0.2">
      <c r="E2126" s="225"/>
      <c r="I2126" s="99"/>
      <c r="J2126" s="99"/>
    </row>
    <row r="2127" spans="5:10" x14ac:dyDescent="0.2">
      <c r="E2127" s="225"/>
      <c r="I2127" s="99"/>
      <c r="J2127" s="99"/>
    </row>
    <row r="2128" spans="5:10" x14ac:dyDescent="0.2">
      <c r="E2128" s="225"/>
      <c r="I2128" s="99"/>
      <c r="J2128" s="99"/>
    </row>
    <row r="2129" spans="5:10" x14ac:dyDescent="0.2">
      <c r="E2129" s="225"/>
      <c r="I2129" s="99"/>
      <c r="J2129" s="99"/>
    </row>
    <row r="2130" spans="5:10" x14ac:dyDescent="0.2">
      <c r="E2130" s="225"/>
      <c r="I2130" s="99"/>
      <c r="J2130" s="99"/>
    </row>
    <row r="2131" spans="5:10" x14ac:dyDescent="0.2">
      <c r="E2131" s="225"/>
      <c r="I2131" s="99"/>
      <c r="J2131" s="99"/>
    </row>
    <row r="2132" spans="5:10" x14ac:dyDescent="0.2">
      <c r="E2132" s="225"/>
      <c r="I2132" s="99"/>
      <c r="J2132" s="99"/>
    </row>
    <row r="2133" spans="5:10" x14ac:dyDescent="0.2">
      <c r="E2133" s="225"/>
      <c r="I2133" s="99"/>
      <c r="J2133" s="99"/>
    </row>
    <row r="2134" spans="5:10" x14ac:dyDescent="0.2">
      <c r="E2134" s="225"/>
      <c r="I2134" s="99"/>
      <c r="J2134" s="99"/>
    </row>
    <row r="2135" spans="5:10" x14ac:dyDescent="0.2">
      <c r="E2135" s="225"/>
      <c r="I2135" s="99"/>
      <c r="J2135" s="99"/>
    </row>
    <row r="2136" spans="5:10" x14ac:dyDescent="0.2">
      <c r="E2136" s="225"/>
      <c r="I2136" s="99"/>
      <c r="J2136" s="99"/>
    </row>
    <row r="2137" spans="5:10" x14ac:dyDescent="0.2">
      <c r="E2137" s="225"/>
      <c r="I2137" s="99"/>
      <c r="J2137" s="99"/>
    </row>
    <row r="2138" spans="5:10" x14ac:dyDescent="0.2">
      <c r="E2138" s="225"/>
      <c r="I2138" s="99"/>
      <c r="J2138" s="99"/>
    </row>
    <row r="2139" spans="5:10" x14ac:dyDescent="0.2">
      <c r="E2139" s="225"/>
      <c r="I2139" s="99"/>
      <c r="J2139" s="99"/>
    </row>
    <row r="2140" spans="5:10" x14ac:dyDescent="0.2">
      <c r="E2140" s="225"/>
      <c r="I2140" s="99"/>
      <c r="J2140" s="99"/>
    </row>
    <row r="2141" spans="5:10" x14ac:dyDescent="0.2">
      <c r="E2141" s="225"/>
      <c r="I2141" s="99"/>
      <c r="J2141" s="99"/>
    </row>
    <row r="2142" spans="5:10" x14ac:dyDescent="0.2">
      <c r="E2142" s="225"/>
      <c r="I2142" s="99"/>
      <c r="J2142" s="99"/>
    </row>
    <row r="2143" spans="5:10" x14ac:dyDescent="0.2">
      <c r="E2143" s="225"/>
      <c r="I2143" s="99"/>
      <c r="J2143" s="99"/>
    </row>
    <row r="2144" spans="5:10" x14ac:dyDescent="0.2">
      <c r="E2144" s="225"/>
      <c r="I2144" s="99"/>
      <c r="J2144" s="99"/>
    </row>
    <row r="2145" spans="5:10" x14ac:dyDescent="0.2">
      <c r="E2145" s="225"/>
      <c r="I2145" s="99"/>
      <c r="J2145" s="99"/>
    </row>
    <row r="2146" spans="5:10" x14ac:dyDescent="0.2">
      <c r="E2146" s="225"/>
      <c r="I2146" s="99"/>
      <c r="J2146" s="99"/>
    </row>
    <row r="2147" spans="5:10" x14ac:dyDescent="0.2">
      <c r="E2147" s="225"/>
      <c r="I2147" s="99"/>
      <c r="J2147" s="99"/>
    </row>
    <row r="2148" spans="5:10" x14ac:dyDescent="0.2">
      <c r="E2148" s="225"/>
      <c r="I2148" s="99"/>
      <c r="J2148" s="99"/>
    </row>
    <row r="2149" spans="5:10" x14ac:dyDescent="0.2">
      <c r="E2149" s="225"/>
      <c r="I2149" s="99"/>
      <c r="J2149" s="99"/>
    </row>
    <row r="2150" spans="5:10" x14ac:dyDescent="0.2">
      <c r="E2150" s="225"/>
      <c r="I2150" s="99"/>
      <c r="J2150" s="99"/>
    </row>
    <row r="2151" spans="5:10" x14ac:dyDescent="0.2">
      <c r="E2151" s="225"/>
      <c r="I2151" s="99"/>
      <c r="J2151" s="99"/>
    </row>
    <row r="2152" spans="5:10" x14ac:dyDescent="0.2">
      <c r="E2152" s="225"/>
      <c r="I2152" s="99"/>
      <c r="J2152" s="99"/>
    </row>
    <row r="2153" spans="5:10" x14ac:dyDescent="0.2">
      <c r="E2153" s="225"/>
      <c r="I2153" s="99"/>
      <c r="J2153" s="99"/>
    </row>
    <row r="2154" spans="5:10" x14ac:dyDescent="0.2">
      <c r="E2154" s="225"/>
      <c r="I2154" s="99"/>
      <c r="J2154" s="99"/>
    </row>
    <row r="2155" spans="5:10" x14ac:dyDescent="0.2">
      <c r="E2155" s="225"/>
      <c r="I2155" s="99"/>
      <c r="J2155" s="99"/>
    </row>
    <row r="2156" spans="5:10" x14ac:dyDescent="0.2">
      <c r="E2156" s="225"/>
      <c r="I2156" s="99"/>
      <c r="J2156" s="99"/>
    </row>
    <row r="2157" spans="5:10" x14ac:dyDescent="0.2">
      <c r="E2157" s="225"/>
      <c r="I2157" s="99"/>
      <c r="J2157" s="99"/>
    </row>
    <row r="2158" spans="5:10" x14ac:dyDescent="0.2">
      <c r="E2158" s="225"/>
      <c r="I2158" s="99"/>
      <c r="J2158" s="99"/>
    </row>
    <row r="2159" spans="5:10" x14ac:dyDescent="0.2">
      <c r="E2159" s="225"/>
      <c r="I2159" s="99"/>
      <c r="J2159" s="99"/>
    </row>
    <row r="2160" spans="5:10" x14ac:dyDescent="0.2">
      <c r="E2160" s="225"/>
      <c r="I2160" s="99"/>
      <c r="J2160" s="99"/>
    </row>
    <row r="2161" spans="5:10" x14ac:dyDescent="0.2">
      <c r="E2161" s="225"/>
      <c r="I2161" s="99"/>
      <c r="J2161" s="99"/>
    </row>
    <row r="2162" spans="5:10" x14ac:dyDescent="0.2">
      <c r="E2162" s="225"/>
      <c r="I2162" s="99"/>
      <c r="J2162" s="99"/>
    </row>
    <row r="2163" spans="5:10" x14ac:dyDescent="0.2">
      <c r="E2163" s="225"/>
      <c r="I2163" s="99"/>
      <c r="J2163" s="99"/>
    </row>
    <row r="2164" spans="5:10" x14ac:dyDescent="0.2">
      <c r="E2164" s="225"/>
      <c r="I2164" s="99"/>
      <c r="J2164" s="99"/>
    </row>
    <row r="2165" spans="5:10" x14ac:dyDescent="0.2">
      <c r="E2165" s="225"/>
      <c r="I2165" s="99"/>
      <c r="J2165" s="99"/>
    </row>
    <row r="2166" spans="5:10" x14ac:dyDescent="0.2">
      <c r="E2166" s="225"/>
      <c r="I2166" s="99"/>
      <c r="J2166" s="99"/>
    </row>
    <row r="2167" spans="5:10" x14ac:dyDescent="0.2">
      <c r="E2167" s="225"/>
      <c r="I2167" s="99"/>
      <c r="J2167" s="99"/>
    </row>
    <row r="2168" spans="5:10" x14ac:dyDescent="0.2">
      <c r="E2168" s="225"/>
      <c r="I2168" s="99"/>
      <c r="J2168" s="99"/>
    </row>
    <row r="2169" spans="5:10" x14ac:dyDescent="0.2">
      <c r="E2169" s="225"/>
      <c r="I2169" s="99"/>
      <c r="J2169" s="99"/>
    </row>
    <row r="2170" spans="5:10" x14ac:dyDescent="0.2">
      <c r="E2170" s="225"/>
      <c r="I2170" s="99"/>
      <c r="J2170" s="99"/>
    </row>
    <row r="2171" spans="5:10" x14ac:dyDescent="0.2">
      <c r="E2171" s="225"/>
      <c r="I2171" s="99"/>
      <c r="J2171" s="99"/>
    </row>
    <row r="2172" spans="5:10" x14ac:dyDescent="0.2">
      <c r="E2172" s="225"/>
      <c r="I2172" s="99"/>
      <c r="J2172" s="99"/>
    </row>
    <row r="2173" spans="5:10" x14ac:dyDescent="0.2">
      <c r="E2173" s="225"/>
      <c r="I2173" s="99"/>
      <c r="J2173" s="99"/>
    </row>
    <row r="2174" spans="5:10" x14ac:dyDescent="0.2">
      <c r="E2174" s="225"/>
      <c r="I2174" s="99"/>
      <c r="J2174" s="99"/>
    </row>
    <row r="2175" spans="5:10" x14ac:dyDescent="0.2">
      <c r="E2175" s="225"/>
      <c r="I2175" s="99"/>
      <c r="J2175" s="99"/>
    </row>
    <row r="2176" spans="5:10" x14ac:dyDescent="0.2">
      <c r="E2176" s="225"/>
      <c r="I2176" s="99"/>
      <c r="J2176" s="99"/>
    </row>
    <row r="2177" spans="5:10" x14ac:dyDescent="0.2">
      <c r="E2177" s="225"/>
      <c r="I2177" s="99"/>
      <c r="J2177" s="99"/>
    </row>
    <row r="2178" spans="5:10" x14ac:dyDescent="0.2">
      <c r="E2178" s="225"/>
      <c r="I2178" s="99"/>
      <c r="J2178" s="99"/>
    </row>
    <row r="2179" spans="5:10" x14ac:dyDescent="0.2">
      <c r="E2179" s="225"/>
      <c r="I2179" s="99"/>
      <c r="J2179" s="99"/>
    </row>
    <row r="2180" spans="5:10" x14ac:dyDescent="0.2">
      <c r="E2180" s="225"/>
      <c r="I2180" s="99"/>
      <c r="J2180" s="99"/>
    </row>
    <row r="2181" spans="5:10" x14ac:dyDescent="0.2">
      <c r="E2181" s="225"/>
      <c r="I2181" s="99"/>
      <c r="J2181" s="99"/>
    </row>
    <row r="2182" spans="5:10" x14ac:dyDescent="0.2">
      <c r="E2182" s="225"/>
      <c r="I2182" s="99"/>
      <c r="J2182" s="99"/>
    </row>
    <row r="2183" spans="5:10" x14ac:dyDescent="0.2">
      <c r="E2183" s="225"/>
      <c r="I2183" s="99"/>
      <c r="J2183" s="99"/>
    </row>
    <row r="2184" spans="5:10" x14ac:dyDescent="0.2">
      <c r="E2184" s="225"/>
      <c r="I2184" s="99"/>
      <c r="J2184" s="99"/>
    </row>
    <row r="2185" spans="5:10" x14ac:dyDescent="0.2">
      <c r="E2185" s="225"/>
      <c r="I2185" s="99"/>
      <c r="J2185" s="99"/>
    </row>
    <row r="2186" spans="5:10" x14ac:dyDescent="0.2">
      <c r="E2186" s="225"/>
      <c r="I2186" s="99"/>
      <c r="J2186" s="99"/>
    </row>
    <row r="2187" spans="5:10" x14ac:dyDescent="0.2">
      <c r="E2187" s="225"/>
      <c r="I2187" s="99"/>
      <c r="J2187" s="99"/>
    </row>
    <row r="2188" spans="5:10" x14ac:dyDescent="0.2">
      <c r="E2188" s="225"/>
      <c r="I2188" s="99"/>
      <c r="J2188" s="99"/>
    </row>
    <row r="2189" spans="5:10" x14ac:dyDescent="0.2">
      <c r="E2189" s="225"/>
      <c r="I2189" s="99"/>
      <c r="J2189" s="99"/>
    </row>
    <row r="2190" spans="5:10" x14ac:dyDescent="0.2">
      <c r="E2190" s="225"/>
      <c r="I2190" s="99"/>
      <c r="J2190" s="99"/>
    </row>
    <row r="2191" spans="5:10" x14ac:dyDescent="0.2">
      <c r="E2191" s="225"/>
      <c r="I2191" s="99"/>
      <c r="J2191" s="99"/>
    </row>
    <row r="2192" spans="5:10" x14ac:dyDescent="0.2">
      <c r="E2192" s="225"/>
      <c r="I2192" s="99"/>
      <c r="J2192" s="99"/>
    </row>
    <row r="2193" spans="5:10" x14ac:dyDescent="0.2">
      <c r="E2193" s="225"/>
      <c r="I2193" s="99"/>
      <c r="J2193" s="99"/>
    </row>
    <row r="2194" spans="5:10" x14ac:dyDescent="0.2">
      <c r="E2194" s="225"/>
      <c r="I2194" s="99"/>
      <c r="J2194" s="99"/>
    </row>
    <row r="2195" spans="5:10" x14ac:dyDescent="0.2">
      <c r="E2195" s="225"/>
      <c r="I2195" s="99"/>
      <c r="J2195" s="99"/>
    </row>
    <row r="2196" spans="5:10" x14ac:dyDescent="0.2">
      <c r="E2196" s="225"/>
      <c r="I2196" s="99"/>
      <c r="J2196" s="99"/>
    </row>
    <row r="2197" spans="5:10" x14ac:dyDescent="0.2">
      <c r="E2197" s="225"/>
      <c r="I2197" s="99"/>
      <c r="J2197" s="99"/>
    </row>
    <row r="2198" spans="5:10" x14ac:dyDescent="0.2">
      <c r="E2198" s="225"/>
      <c r="I2198" s="99"/>
      <c r="J2198" s="99"/>
    </row>
    <row r="2199" spans="5:10" x14ac:dyDescent="0.2">
      <c r="E2199" s="225"/>
      <c r="I2199" s="99"/>
      <c r="J2199" s="99"/>
    </row>
    <row r="2200" spans="5:10" x14ac:dyDescent="0.2">
      <c r="E2200" s="225"/>
      <c r="I2200" s="99"/>
      <c r="J2200" s="99"/>
    </row>
    <row r="2201" spans="5:10" x14ac:dyDescent="0.2">
      <c r="E2201" s="225"/>
      <c r="I2201" s="99"/>
      <c r="J2201" s="99"/>
    </row>
    <row r="2202" spans="5:10" x14ac:dyDescent="0.2">
      <c r="E2202" s="225"/>
      <c r="I2202" s="99"/>
      <c r="J2202" s="99"/>
    </row>
    <row r="2203" spans="5:10" x14ac:dyDescent="0.2">
      <c r="E2203" s="225"/>
      <c r="I2203" s="99"/>
      <c r="J2203" s="99"/>
    </row>
    <row r="2204" spans="5:10" x14ac:dyDescent="0.2">
      <c r="E2204" s="225"/>
      <c r="I2204" s="99"/>
      <c r="J2204" s="99"/>
    </row>
    <row r="2205" spans="5:10" x14ac:dyDescent="0.2">
      <c r="E2205" s="225"/>
      <c r="I2205" s="99"/>
      <c r="J2205" s="99"/>
    </row>
    <row r="2206" spans="5:10" x14ac:dyDescent="0.2">
      <c r="E2206" s="225"/>
      <c r="I2206" s="99"/>
      <c r="J2206" s="99"/>
    </row>
    <row r="2207" spans="5:10" x14ac:dyDescent="0.2">
      <c r="E2207" s="225"/>
      <c r="I2207" s="99"/>
      <c r="J2207" s="99"/>
    </row>
    <row r="2208" spans="5:10" x14ac:dyDescent="0.2">
      <c r="E2208" s="225"/>
      <c r="I2208" s="99"/>
      <c r="J2208" s="99"/>
    </row>
    <row r="2209" spans="5:10" x14ac:dyDescent="0.2">
      <c r="E2209" s="225"/>
      <c r="I2209" s="99"/>
      <c r="J2209" s="99"/>
    </row>
    <row r="2210" spans="5:10" x14ac:dyDescent="0.2">
      <c r="E2210" s="225"/>
      <c r="I2210" s="99"/>
      <c r="J2210" s="99"/>
    </row>
    <row r="2211" spans="5:10" x14ac:dyDescent="0.2">
      <c r="E2211" s="225"/>
      <c r="I2211" s="99"/>
      <c r="J2211" s="99"/>
    </row>
    <row r="2212" spans="5:10" x14ac:dyDescent="0.2">
      <c r="E2212" s="225"/>
      <c r="I2212" s="99"/>
      <c r="J2212" s="99"/>
    </row>
    <row r="2213" spans="5:10" x14ac:dyDescent="0.2">
      <c r="E2213" s="225"/>
      <c r="I2213" s="99"/>
      <c r="J2213" s="99"/>
    </row>
    <row r="2214" spans="5:10" x14ac:dyDescent="0.2">
      <c r="E2214" s="225"/>
      <c r="I2214" s="99"/>
      <c r="J2214" s="99"/>
    </row>
    <row r="2215" spans="5:10" x14ac:dyDescent="0.2">
      <c r="E2215" s="225"/>
      <c r="I2215" s="99"/>
      <c r="J2215" s="99"/>
    </row>
    <row r="2216" spans="5:10" x14ac:dyDescent="0.2">
      <c r="E2216" s="225"/>
      <c r="I2216" s="99"/>
      <c r="J2216" s="99"/>
    </row>
    <row r="2217" spans="5:10" x14ac:dyDescent="0.2">
      <c r="E2217" s="225"/>
      <c r="I2217" s="99"/>
      <c r="J2217" s="99"/>
    </row>
    <row r="2218" spans="5:10" x14ac:dyDescent="0.2">
      <c r="E2218" s="225"/>
      <c r="I2218" s="99"/>
      <c r="J2218" s="99"/>
    </row>
    <row r="2219" spans="5:10" x14ac:dyDescent="0.2">
      <c r="E2219" s="225"/>
      <c r="I2219" s="99"/>
      <c r="J2219" s="99"/>
    </row>
    <row r="2220" spans="5:10" x14ac:dyDescent="0.2">
      <c r="E2220" s="225"/>
      <c r="I2220" s="99"/>
      <c r="J2220" s="99"/>
    </row>
    <row r="2221" spans="5:10" x14ac:dyDescent="0.2">
      <c r="E2221" s="225"/>
      <c r="I2221" s="99"/>
      <c r="J2221" s="99"/>
    </row>
    <row r="2222" spans="5:10" x14ac:dyDescent="0.2">
      <c r="E2222" s="225"/>
      <c r="I2222" s="99"/>
      <c r="J2222" s="99"/>
    </row>
    <row r="2223" spans="5:10" x14ac:dyDescent="0.2">
      <c r="E2223" s="225"/>
      <c r="I2223" s="99"/>
      <c r="J2223" s="99"/>
    </row>
    <row r="2224" spans="5:10" x14ac:dyDescent="0.2">
      <c r="E2224" s="225"/>
      <c r="I2224" s="99"/>
      <c r="J2224" s="99"/>
    </row>
    <row r="2225" spans="5:10" x14ac:dyDescent="0.2">
      <c r="E2225" s="225"/>
      <c r="I2225" s="99"/>
      <c r="J2225" s="99"/>
    </row>
    <row r="2226" spans="5:10" x14ac:dyDescent="0.2">
      <c r="E2226" s="225"/>
      <c r="I2226" s="99"/>
      <c r="J2226" s="99"/>
    </row>
    <row r="2227" spans="5:10" x14ac:dyDescent="0.2">
      <c r="E2227" s="225"/>
      <c r="I2227" s="99"/>
      <c r="J2227" s="99"/>
    </row>
    <row r="2228" spans="5:10" x14ac:dyDescent="0.2">
      <c r="E2228" s="225"/>
      <c r="I2228" s="99"/>
      <c r="J2228" s="99"/>
    </row>
    <row r="2229" spans="5:10" x14ac:dyDescent="0.2">
      <c r="E2229" s="225"/>
      <c r="I2229" s="99"/>
      <c r="J2229" s="99"/>
    </row>
    <row r="2230" spans="5:10" x14ac:dyDescent="0.2">
      <c r="E2230" s="225"/>
      <c r="I2230" s="99"/>
      <c r="J2230" s="99"/>
    </row>
    <row r="2231" spans="5:10" x14ac:dyDescent="0.2">
      <c r="E2231" s="225"/>
      <c r="I2231" s="99"/>
      <c r="J2231" s="99"/>
    </row>
    <row r="2232" spans="5:10" x14ac:dyDescent="0.2">
      <c r="E2232" s="225"/>
      <c r="I2232" s="99"/>
      <c r="J2232" s="99"/>
    </row>
    <row r="2233" spans="5:10" x14ac:dyDescent="0.2">
      <c r="E2233" s="225"/>
      <c r="I2233" s="99"/>
      <c r="J2233" s="99"/>
    </row>
    <row r="2234" spans="5:10" x14ac:dyDescent="0.2">
      <c r="E2234" s="225"/>
      <c r="I2234" s="99"/>
      <c r="J2234" s="99"/>
    </row>
    <row r="2235" spans="5:10" x14ac:dyDescent="0.2">
      <c r="E2235" s="225"/>
      <c r="I2235" s="99"/>
      <c r="J2235" s="99"/>
    </row>
    <row r="2236" spans="5:10" x14ac:dyDescent="0.2">
      <c r="E2236" s="225"/>
      <c r="I2236" s="99"/>
      <c r="J2236" s="99"/>
    </row>
    <row r="2237" spans="5:10" x14ac:dyDescent="0.2">
      <c r="E2237" s="225"/>
      <c r="I2237" s="99"/>
      <c r="J2237" s="99"/>
    </row>
    <row r="2238" spans="5:10" x14ac:dyDescent="0.2">
      <c r="E2238" s="225"/>
      <c r="I2238" s="99"/>
      <c r="J2238" s="99"/>
    </row>
    <row r="2239" spans="5:10" x14ac:dyDescent="0.2">
      <c r="E2239" s="225"/>
      <c r="I2239" s="99"/>
      <c r="J2239" s="99"/>
    </row>
    <row r="2240" spans="5:10" x14ac:dyDescent="0.2">
      <c r="E2240" s="225"/>
      <c r="I2240" s="99"/>
      <c r="J2240" s="99"/>
    </row>
    <row r="2241" spans="5:10" x14ac:dyDescent="0.2">
      <c r="E2241" s="225"/>
      <c r="I2241" s="99"/>
      <c r="J2241" s="99"/>
    </row>
    <row r="2242" spans="5:10" x14ac:dyDescent="0.2">
      <c r="E2242" s="225"/>
      <c r="I2242" s="99"/>
      <c r="J2242" s="99"/>
    </row>
    <row r="2243" spans="5:10" x14ac:dyDescent="0.2">
      <c r="E2243" s="225"/>
      <c r="I2243" s="99"/>
      <c r="J2243" s="99"/>
    </row>
    <row r="2244" spans="5:10" x14ac:dyDescent="0.2">
      <c r="E2244" s="225"/>
      <c r="I2244" s="99"/>
      <c r="J2244" s="99"/>
    </row>
    <row r="2245" spans="5:10" x14ac:dyDescent="0.2">
      <c r="E2245" s="225"/>
      <c r="I2245" s="99"/>
      <c r="J2245" s="99"/>
    </row>
    <row r="2246" spans="5:10" x14ac:dyDescent="0.2">
      <c r="E2246" s="225"/>
      <c r="I2246" s="99"/>
      <c r="J2246" s="99"/>
    </row>
    <row r="2247" spans="5:10" x14ac:dyDescent="0.2">
      <c r="E2247" s="225"/>
      <c r="I2247" s="99"/>
      <c r="J2247" s="99"/>
    </row>
    <row r="2248" spans="5:10" x14ac:dyDescent="0.2">
      <c r="E2248" s="225"/>
      <c r="I2248" s="99"/>
      <c r="J2248" s="99"/>
    </row>
    <row r="2249" spans="5:10" x14ac:dyDescent="0.2">
      <c r="E2249" s="225"/>
      <c r="I2249" s="99"/>
      <c r="J2249" s="99"/>
    </row>
    <row r="2250" spans="5:10" x14ac:dyDescent="0.2">
      <c r="E2250" s="225"/>
      <c r="I2250" s="99"/>
      <c r="J2250" s="99"/>
    </row>
    <row r="2251" spans="5:10" x14ac:dyDescent="0.2">
      <c r="E2251" s="225"/>
      <c r="I2251" s="99"/>
      <c r="J2251" s="99"/>
    </row>
    <row r="2252" spans="5:10" x14ac:dyDescent="0.2">
      <c r="E2252" s="225"/>
      <c r="I2252" s="99"/>
      <c r="J2252" s="99"/>
    </row>
    <row r="2253" spans="5:10" x14ac:dyDescent="0.2">
      <c r="E2253" s="225"/>
      <c r="I2253" s="99"/>
      <c r="J2253" s="99"/>
    </row>
    <row r="2254" spans="5:10" x14ac:dyDescent="0.2">
      <c r="E2254" s="225"/>
      <c r="I2254" s="99"/>
      <c r="J2254" s="99"/>
    </row>
    <row r="2255" spans="5:10" x14ac:dyDescent="0.2">
      <c r="E2255" s="225"/>
      <c r="I2255" s="99"/>
      <c r="J2255" s="99"/>
    </row>
    <row r="2256" spans="5:10" x14ac:dyDescent="0.2">
      <c r="E2256" s="225"/>
      <c r="I2256" s="99"/>
      <c r="J2256" s="99"/>
    </row>
    <row r="2257" spans="5:10" x14ac:dyDescent="0.2">
      <c r="E2257" s="225"/>
      <c r="I2257" s="99"/>
      <c r="J2257" s="99"/>
    </row>
    <row r="2258" spans="5:10" x14ac:dyDescent="0.2">
      <c r="E2258" s="225"/>
      <c r="I2258" s="99"/>
      <c r="J2258" s="99"/>
    </row>
    <row r="2259" spans="5:10" x14ac:dyDescent="0.2">
      <c r="E2259" s="225"/>
      <c r="I2259" s="99"/>
      <c r="J2259" s="99"/>
    </row>
    <row r="2260" spans="5:10" x14ac:dyDescent="0.2">
      <c r="E2260" s="225"/>
      <c r="I2260" s="99"/>
      <c r="J2260" s="99"/>
    </row>
    <row r="2261" spans="5:10" x14ac:dyDescent="0.2">
      <c r="E2261" s="225"/>
      <c r="I2261" s="99"/>
      <c r="J2261" s="99"/>
    </row>
    <row r="2262" spans="5:10" x14ac:dyDescent="0.2">
      <c r="E2262" s="225"/>
      <c r="I2262" s="99"/>
      <c r="J2262" s="99"/>
    </row>
    <row r="2263" spans="5:10" x14ac:dyDescent="0.2">
      <c r="E2263" s="225"/>
      <c r="I2263" s="99"/>
      <c r="J2263" s="99"/>
    </row>
    <row r="2264" spans="5:10" x14ac:dyDescent="0.2">
      <c r="E2264" s="225"/>
      <c r="I2264" s="99"/>
      <c r="J2264" s="99"/>
    </row>
    <row r="2265" spans="5:10" x14ac:dyDescent="0.2">
      <c r="E2265" s="225"/>
      <c r="I2265" s="99"/>
      <c r="J2265" s="99"/>
    </row>
    <row r="2266" spans="5:10" x14ac:dyDescent="0.2">
      <c r="E2266" s="225"/>
      <c r="I2266" s="99"/>
      <c r="J2266" s="99"/>
    </row>
    <row r="2267" spans="5:10" x14ac:dyDescent="0.2">
      <c r="E2267" s="225"/>
      <c r="I2267" s="99"/>
      <c r="J2267" s="99"/>
    </row>
    <row r="2268" spans="5:10" x14ac:dyDescent="0.2">
      <c r="E2268" s="225"/>
      <c r="I2268" s="99"/>
      <c r="J2268" s="99"/>
    </row>
    <row r="2269" spans="5:10" x14ac:dyDescent="0.2">
      <c r="E2269" s="225"/>
      <c r="I2269" s="99"/>
      <c r="J2269" s="99"/>
    </row>
    <row r="2270" spans="5:10" x14ac:dyDescent="0.2">
      <c r="E2270" s="225"/>
      <c r="I2270" s="99"/>
      <c r="J2270" s="99"/>
    </row>
    <row r="2271" spans="5:10" x14ac:dyDescent="0.2">
      <c r="E2271" s="225"/>
      <c r="I2271" s="99"/>
      <c r="J2271" s="99"/>
    </row>
    <row r="2272" spans="5:10" x14ac:dyDescent="0.2">
      <c r="E2272" s="225"/>
      <c r="I2272" s="99"/>
      <c r="J2272" s="99"/>
    </row>
    <row r="2273" spans="5:10" x14ac:dyDescent="0.2">
      <c r="E2273" s="225"/>
      <c r="I2273" s="99"/>
      <c r="J2273" s="99"/>
    </row>
    <row r="2274" spans="5:10" x14ac:dyDescent="0.2">
      <c r="E2274" s="225"/>
      <c r="I2274" s="99"/>
      <c r="J2274" s="99"/>
    </row>
    <row r="2275" spans="5:10" x14ac:dyDescent="0.2">
      <c r="E2275" s="225"/>
      <c r="I2275" s="99"/>
      <c r="J2275" s="99"/>
    </row>
    <row r="2276" spans="5:10" x14ac:dyDescent="0.2">
      <c r="E2276" s="225"/>
      <c r="I2276" s="99"/>
      <c r="J2276" s="99"/>
    </row>
    <row r="2277" spans="5:10" x14ac:dyDescent="0.2">
      <c r="E2277" s="225"/>
      <c r="I2277" s="99"/>
      <c r="J2277" s="99"/>
    </row>
    <row r="2278" spans="5:10" x14ac:dyDescent="0.2">
      <c r="E2278" s="225"/>
      <c r="I2278" s="99"/>
      <c r="J2278" s="99"/>
    </row>
    <row r="2279" spans="5:10" x14ac:dyDescent="0.2">
      <c r="E2279" s="225"/>
      <c r="I2279" s="99"/>
      <c r="J2279" s="99"/>
    </row>
    <row r="2280" spans="5:10" x14ac:dyDescent="0.2">
      <c r="E2280" s="225"/>
      <c r="I2280" s="99"/>
      <c r="J2280" s="99"/>
    </row>
    <row r="2281" spans="5:10" x14ac:dyDescent="0.2">
      <c r="E2281" s="225"/>
      <c r="I2281" s="99"/>
      <c r="J2281" s="99"/>
    </row>
    <row r="2282" spans="5:10" x14ac:dyDescent="0.2">
      <c r="E2282" s="225"/>
      <c r="I2282" s="99"/>
      <c r="J2282" s="99"/>
    </row>
    <row r="2283" spans="5:10" x14ac:dyDescent="0.2">
      <c r="E2283" s="225"/>
      <c r="I2283" s="99"/>
      <c r="J2283" s="99"/>
    </row>
    <row r="2284" spans="5:10" x14ac:dyDescent="0.2">
      <c r="E2284" s="225"/>
      <c r="I2284" s="99"/>
      <c r="J2284" s="99"/>
    </row>
    <row r="2285" spans="5:10" x14ac:dyDescent="0.2">
      <c r="E2285" s="225"/>
      <c r="I2285" s="99"/>
      <c r="J2285" s="99"/>
    </row>
    <row r="2286" spans="5:10" x14ac:dyDescent="0.2">
      <c r="E2286" s="225"/>
      <c r="I2286" s="99"/>
      <c r="J2286" s="99"/>
    </row>
    <row r="2287" spans="5:10" x14ac:dyDescent="0.2">
      <c r="E2287" s="225"/>
      <c r="I2287" s="99"/>
      <c r="J2287" s="99"/>
    </row>
    <row r="2288" spans="5:10" x14ac:dyDescent="0.2">
      <c r="E2288" s="225"/>
      <c r="I2288" s="99"/>
      <c r="J2288" s="99"/>
    </row>
    <row r="2289" spans="5:10" x14ac:dyDescent="0.2">
      <c r="E2289" s="225"/>
      <c r="I2289" s="99"/>
      <c r="J2289" s="99"/>
    </row>
    <row r="2290" spans="5:10" x14ac:dyDescent="0.2">
      <c r="E2290" s="225"/>
      <c r="I2290" s="99"/>
      <c r="J2290" s="99"/>
    </row>
    <row r="2291" spans="5:10" x14ac:dyDescent="0.2">
      <c r="E2291" s="225"/>
      <c r="I2291" s="99"/>
      <c r="J2291" s="99"/>
    </row>
    <row r="2292" spans="5:10" x14ac:dyDescent="0.2">
      <c r="E2292" s="225"/>
      <c r="I2292" s="99"/>
      <c r="J2292" s="99"/>
    </row>
    <row r="2293" spans="5:10" x14ac:dyDescent="0.2">
      <c r="E2293" s="225"/>
      <c r="I2293" s="99"/>
      <c r="J2293" s="99"/>
    </row>
    <row r="2294" spans="5:10" x14ac:dyDescent="0.2">
      <c r="E2294" s="225"/>
      <c r="I2294" s="99"/>
      <c r="J2294" s="99"/>
    </row>
    <row r="2295" spans="5:10" x14ac:dyDescent="0.2">
      <c r="E2295" s="225"/>
      <c r="I2295" s="99"/>
      <c r="J2295" s="99"/>
    </row>
    <row r="2296" spans="5:10" x14ac:dyDescent="0.2">
      <c r="E2296" s="225"/>
      <c r="I2296" s="99"/>
      <c r="J2296" s="99"/>
    </row>
    <row r="2297" spans="5:10" x14ac:dyDescent="0.2">
      <c r="E2297" s="225"/>
      <c r="I2297" s="99"/>
      <c r="J2297" s="99"/>
    </row>
    <row r="2298" spans="5:10" x14ac:dyDescent="0.2">
      <c r="E2298" s="225"/>
      <c r="I2298" s="99"/>
      <c r="J2298" s="99"/>
    </row>
    <row r="2299" spans="5:10" x14ac:dyDescent="0.2">
      <c r="E2299" s="225"/>
      <c r="I2299" s="99"/>
      <c r="J2299" s="99"/>
    </row>
    <row r="2300" spans="5:10" x14ac:dyDescent="0.2">
      <c r="E2300" s="225"/>
      <c r="I2300" s="99"/>
      <c r="J2300" s="99"/>
    </row>
    <row r="2301" spans="5:10" x14ac:dyDescent="0.2">
      <c r="E2301" s="225"/>
      <c r="I2301" s="99"/>
      <c r="J2301" s="99"/>
    </row>
    <row r="2302" spans="5:10" x14ac:dyDescent="0.2">
      <c r="E2302" s="225"/>
      <c r="I2302" s="99"/>
      <c r="J2302" s="99"/>
    </row>
    <row r="2303" spans="5:10" x14ac:dyDescent="0.2">
      <c r="E2303" s="225"/>
      <c r="I2303" s="99"/>
      <c r="J2303" s="99"/>
    </row>
    <row r="2304" spans="5:10" x14ac:dyDescent="0.2">
      <c r="E2304" s="225"/>
      <c r="I2304" s="99"/>
      <c r="J2304" s="99"/>
    </row>
    <row r="2305" spans="5:9" x14ac:dyDescent="0.2">
      <c r="E2305" s="225"/>
      <c r="I2305" s="99"/>
    </row>
    <row r="2306" spans="5:9" x14ac:dyDescent="0.2">
      <c r="E2306" s="225"/>
      <c r="I2306" s="99"/>
    </row>
    <row r="2307" spans="5:9" x14ac:dyDescent="0.2">
      <c r="E2307" s="225"/>
      <c r="I2307" s="99"/>
    </row>
    <row r="2308" spans="5:9" x14ac:dyDescent="0.2">
      <c r="E2308" s="225"/>
      <c r="I2308" s="99"/>
    </row>
    <row r="2309" spans="5:9" x14ac:dyDescent="0.2">
      <c r="E2309" s="225"/>
      <c r="I2309" s="99"/>
    </row>
    <row r="2310" spans="5:9" x14ac:dyDescent="0.2">
      <c r="E2310" s="225"/>
      <c r="I2310" s="99"/>
    </row>
    <row r="2311" spans="5:9" x14ac:dyDescent="0.2">
      <c r="E2311" s="225"/>
      <c r="I2311" s="99"/>
    </row>
    <row r="2312" spans="5:9" x14ac:dyDescent="0.2">
      <c r="E2312" s="225"/>
      <c r="I2312" s="99"/>
    </row>
    <row r="2313" spans="5:9" x14ac:dyDescent="0.2">
      <c r="E2313" s="225"/>
      <c r="I2313" s="99"/>
    </row>
    <row r="2314" spans="5:9" x14ac:dyDescent="0.2">
      <c r="E2314" s="225"/>
      <c r="I2314" s="99"/>
    </row>
    <row r="2315" spans="5:9" x14ac:dyDescent="0.2">
      <c r="E2315" s="225"/>
      <c r="I2315" s="99"/>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EAA9A-2B99-454D-ADFE-270675FAA68E}">
  <dimension ref="B1:T2315"/>
  <sheetViews>
    <sheetView topLeftCell="D1" workbookViewId="0">
      <selection activeCell="T4" sqref="T4"/>
    </sheetView>
  </sheetViews>
  <sheetFormatPr defaultColWidth="8" defaultRowHeight="14.25" x14ac:dyDescent="0.2"/>
  <cols>
    <col min="1" max="1" width="12" customWidth="1"/>
    <col min="2" max="2" width="12.375" customWidth="1"/>
    <col min="3" max="3" width="24.875" customWidth="1"/>
    <col min="4" max="4" width="18.125" customWidth="1"/>
    <col min="5" max="5" width="11.125" bestFit="1" customWidth="1"/>
    <col min="7" max="7" width="17.875" customWidth="1"/>
    <col min="9" max="9" width="12.625" customWidth="1"/>
    <col min="10" max="10" width="10.5" bestFit="1" customWidth="1"/>
    <col min="11" max="11" width="15.75" customWidth="1"/>
    <col min="12" max="12" width="11.625" customWidth="1"/>
    <col min="13" max="13" width="9.25" customWidth="1"/>
    <col min="16" max="16" width="28.875" bestFit="1" customWidth="1"/>
    <col min="17" max="17" width="14.5" bestFit="1" customWidth="1"/>
    <col min="18" max="18" width="11.75" customWidth="1"/>
    <col min="19" max="19" width="11.25" customWidth="1"/>
    <col min="20" max="20" width="23.125" customWidth="1"/>
  </cols>
  <sheetData>
    <row r="1" spans="2:20" x14ac:dyDescent="0.2">
      <c r="E1" s="225"/>
    </row>
    <row r="2" spans="2:20" x14ac:dyDescent="0.2">
      <c r="E2" s="225"/>
      <c r="Q2" s="382" t="s">
        <v>8783</v>
      </c>
      <c r="R2" s="382" t="s">
        <v>8784</v>
      </c>
      <c r="S2" s="382" t="s">
        <v>8785</v>
      </c>
      <c r="T2" s="382" t="s">
        <v>8934</v>
      </c>
    </row>
    <row r="4" spans="2:20" x14ac:dyDescent="0.2">
      <c r="B4" s="381" t="s">
        <v>8217</v>
      </c>
      <c r="C4" s="381" t="s">
        <v>8218</v>
      </c>
      <c r="D4" s="381" t="s">
        <v>8219</v>
      </c>
      <c r="E4" s="381" t="s">
        <v>2437</v>
      </c>
      <c r="F4" s="381" t="s">
        <v>8223</v>
      </c>
      <c r="G4" s="381" t="s">
        <v>8224</v>
      </c>
      <c r="H4" s="381" t="s">
        <v>2436</v>
      </c>
      <c r="I4" s="381" t="s">
        <v>8225</v>
      </c>
      <c r="J4" s="381" t="s">
        <v>8781</v>
      </c>
      <c r="K4" s="381" t="s">
        <v>8226</v>
      </c>
      <c r="L4" s="381" t="s">
        <v>8228</v>
      </c>
      <c r="M4" s="381" t="s">
        <v>8229</v>
      </c>
      <c r="P4" s="381" t="s">
        <v>8782</v>
      </c>
      <c r="Q4" s="381">
        <v>2020</v>
      </c>
      <c r="R4" s="381">
        <v>2020</v>
      </c>
      <c r="S4" s="381">
        <v>2020</v>
      </c>
      <c r="T4" s="430">
        <v>43895</v>
      </c>
    </row>
    <row r="5" spans="2:20" x14ac:dyDescent="0.2">
      <c r="B5">
        <v>10643</v>
      </c>
      <c r="C5" t="s">
        <v>8342</v>
      </c>
      <c r="D5" t="s">
        <v>8272</v>
      </c>
      <c r="E5" s="225">
        <v>283.5</v>
      </c>
      <c r="F5" t="s">
        <v>8422</v>
      </c>
      <c r="G5" t="s">
        <v>8423</v>
      </c>
      <c r="H5" t="s">
        <v>8246</v>
      </c>
      <c r="I5" s="99">
        <v>43903</v>
      </c>
      <c r="J5">
        <f>YEAR(I5)</f>
        <v>2020</v>
      </c>
      <c r="K5" s="99">
        <v>43911</v>
      </c>
      <c r="L5" t="s">
        <v>8251</v>
      </c>
      <c r="M5" t="s">
        <v>269</v>
      </c>
      <c r="P5" t="s">
        <v>8423</v>
      </c>
      <c r="Q5">
        <f t="shared" ref="Q5:Q36" si="0">SUMIFS($E$5:$E$2315,$G$5:$G$2315,P5,$J$5:$J$2315,$Q$4)</f>
        <v>3751.5</v>
      </c>
      <c r="R5">
        <f t="shared" ref="R5:R36" si="1">SUMIFS($E$5:$E$2315,$G$5:$G$2315,P5,$I$5:$I$2315,"&gt;= " &amp; DATE($R$4,1,1),$I$5:$I$2315,"&lt;= " &amp; DATE($R$4,12,31))</f>
        <v>3751.5</v>
      </c>
      <c r="S5" cm="1">
        <f t="array" ref="S5">SUMPRODUCT($E$5:$E$2315,--(YEAR($I$5:$I$2315)=$S$4),--($G$5:$G$2315=P5))</f>
        <v>3751.5</v>
      </c>
      <c r="T5">
        <f>SUMIFS($E$5:$E$1923,$G$5:$G$1923,P5,$I$5:$I$1923,"&gt;" &amp; EOMONTH($T$4,-1),$I$5:$I$1923,"&lt;=" &amp; EOMONTH($T$4,0))</f>
        <v>796.5</v>
      </c>
    </row>
    <row r="6" spans="2:20" x14ac:dyDescent="0.2">
      <c r="B6">
        <v>10643</v>
      </c>
      <c r="C6" t="s">
        <v>8316</v>
      </c>
      <c r="D6" t="s">
        <v>8247</v>
      </c>
      <c r="E6" s="225">
        <v>513</v>
      </c>
      <c r="F6" t="s">
        <v>8422</v>
      </c>
      <c r="G6" t="s">
        <v>8423</v>
      </c>
      <c r="H6" t="s">
        <v>8246</v>
      </c>
      <c r="I6" s="99">
        <v>43903</v>
      </c>
      <c r="J6">
        <f>YEAR(I6)</f>
        <v>2020</v>
      </c>
      <c r="K6" s="99">
        <v>43911</v>
      </c>
      <c r="L6" t="s">
        <v>8251</v>
      </c>
      <c r="M6" t="s">
        <v>269</v>
      </c>
      <c r="P6" t="s">
        <v>8749</v>
      </c>
      <c r="Q6">
        <f t="shared" si="0"/>
        <v>1254.1500000000001</v>
      </c>
      <c r="R6">
        <f t="shared" si="1"/>
        <v>1254.1500000000001</v>
      </c>
      <c r="S6" cm="1">
        <f t="array" ref="S6">SUMPRODUCT($E$5:$E$2315,--(YEAR($I$5:$I$2315)=$S$4),--($G$5:$G$2315=P6))</f>
        <v>1254.1500000000001</v>
      </c>
      <c r="T6">
        <f t="shared" ref="T6:T69" si="2">SUMIFS($E$5:$E$1923,$G$5:$G$1923,P6,$I$5:$I$1923,"&gt;" &amp; EOMONTH($T$4,-1),$I$5:$I$1923,"&lt;=" &amp; EOMONTH($T$4,0))</f>
        <v>0</v>
      </c>
    </row>
    <row r="7" spans="2:20" x14ac:dyDescent="0.2">
      <c r="B7">
        <v>10692</v>
      </c>
      <c r="C7" t="s">
        <v>8317</v>
      </c>
      <c r="D7" t="s">
        <v>8254</v>
      </c>
      <c r="E7" s="225">
        <v>878</v>
      </c>
      <c r="F7" t="s">
        <v>8422</v>
      </c>
      <c r="G7" t="s">
        <v>8423</v>
      </c>
      <c r="H7" t="s">
        <v>8246</v>
      </c>
      <c r="I7" s="99">
        <v>43942</v>
      </c>
      <c r="J7">
        <f>YEAR(I7)</f>
        <v>2020</v>
      </c>
      <c r="K7" s="99">
        <v>43952</v>
      </c>
      <c r="L7" t="s">
        <v>8266</v>
      </c>
      <c r="M7" t="s">
        <v>8267</v>
      </c>
      <c r="P7" t="s">
        <v>8763</v>
      </c>
      <c r="Q7">
        <f t="shared" si="0"/>
        <v>2408.86</v>
      </c>
      <c r="R7">
        <f t="shared" si="1"/>
        <v>2408.86</v>
      </c>
      <c r="S7" cm="1">
        <f t="array" ref="S7">SUMPRODUCT($E$5:$E$2315,--(YEAR($I$5:$I$2315)=$S$4),--($G$5:$G$2315=P7))</f>
        <v>2408.86</v>
      </c>
      <c r="T7">
        <f t="shared" si="2"/>
        <v>0</v>
      </c>
    </row>
    <row r="8" spans="2:20" x14ac:dyDescent="0.2">
      <c r="B8">
        <v>10702</v>
      </c>
      <c r="C8" t="s">
        <v>8303</v>
      </c>
      <c r="D8" t="s">
        <v>8272</v>
      </c>
      <c r="E8" s="225">
        <v>270</v>
      </c>
      <c r="F8" t="s">
        <v>8422</v>
      </c>
      <c r="G8" t="s">
        <v>8423</v>
      </c>
      <c r="H8" t="s">
        <v>8246</v>
      </c>
      <c r="I8" s="99">
        <v>43952</v>
      </c>
      <c r="J8">
        <f>YEAR(I8)</f>
        <v>2020</v>
      </c>
      <c r="K8" s="99">
        <v>43960</v>
      </c>
      <c r="L8" t="s">
        <v>8266</v>
      </c>
      <c r="M8" t="s">
        <v>8267</v>
      </c>
      <c r="P8" t="s">
        <v>8387</v>
      </c>
      <c r="Q8">
        <f t="shared" si="0"/>
        <v>12281.95</v>
      </c>
      <c r="R8">
        <f t="shared" si="1"/>
        <v>12281.95</v>
      </c>
      <c r="S8" cm="1">
        <f t="array" ref="S8">SUMPRODUCT($E$5:$E$2315,--(YEAR($I$5:$I$2315)=$S$4),--($G$5:$G$2315=P8))</f>
        <v>12281.95</v>
      </c>
      <c r="T8">
        <f t="shared" si="2"/>
        <v>407.7</v>
      </c>
    </row>
    <row r="9" spans="2:20" x14ac:dyDescent="0.2">
      <c r="B9">
        <v>10702</v>
      </c>
      <c r="C9" t="s">
        <v>8337</v>
      </c>
      <c r="D9" t="s">
        <v>8254</v>
      </c>
      <c r="E9" s="225">
        <v>60</v>
      </c>
      <c r="F9" t="s">
        <v>8422</v>
      </c>
      <c r="G9" t="s">
        <v>8423</v>
      </c>
      <c r="H9" t="s">
        <v>8246</v>
      </c>
      <c r="I9" s="99">
        <v>43952</v>
      </c>
      <c r="J9">
        <f>YEAR(I9)</f>
        <v>2020</v>
      </c>
      <c r="K9" s="99">
        <v>43960</v>
      </c>
      <c r="L9" t="s">
        <v>8266</v>
      </c>
      <c r="M9" t="s">
        <v>8267</v>
      </c>
      <c r="P9" t="s">
        <v>8319</v>
      </c>
      <c r="Q9">
        <f t="shared" si="0"/>
        <v>11994.470000000001</v>
      </c>
      <c r="R9">
        <f t="shared" si="1"/>
        <v>11994.470000000001</v>
      </c>
      <c r="S9" cm="1">
        <f t="array" ref="S9">SUMPRODUCT($E$5:$E$2315,--(YEAR($I$5:$I$2315)=$S$4),--($G$5:$G$2315=P9))</f>
        <v>11994.470000000001</v>
      </c>
      <c r="T9">
        <f t="shared" si="2"/>
        <v>561.6</v>
      </c>
    </row>
    <row r="10" spans="2:20" x14ac:dyDescent="0.2">
      <c r="B10">
        <v>10835</v>
      </c>
      <c r="C10" t="s">
        <v>8397</v>
      </c>
      <c r="D10" t="s">
        <v>8254</v>
      </c>
      <c r="E10" s="225">
        <v>20.8</v>
      </c>
      <c r="F10" t="s">
        <v>8422</v>
      </c>
      <c r="G10" t="s">
        <v>8423</v>
      </c>
      <c r="H10" t="s">
        <v>8246</v>
      </c>
      <c r="I10" s="99">
        <v>44046</v>
      </c>
      <c r="J10">
        <f>YEAR(I10)</f>
        <v>2020</v>
      </c>
      <c r="K10" s="99">
        <v>44052</v>
      </c>
      <c r="L10" t="s">
        <v>8285</v>
      </c>
      <c r="M10" t="s">
        <v>2317</v>
      </c>
      <c r="P10" t="s">
        <v>8417</v>
      </c>
      <c r="Q10">
        <f t="shared" si="0"/>
        <v>2329</v>
      </c>
      <c r="R10">
        <f t="shared" si="1"/>
        <v>2329</v>
      </c>
      <c r="S10" cm="1">
        <f t="array" ref="S10">SUMPRODUCT($E$5:$E$2315,--(YEAR($I$5:$I$2315)=$S$4),--($G$5:$G$2315=P10))</f>
        <v>2329</v>
      </c>
      <c r="T10">
        <f t="shared" si="2"/>
        <v>0</v>
      </c>
    </row>
    <row r="11" spans="2:20" x14ac:dyDescent="0.2">
      <c r="B11">
        <v>10835</v>
      </c>
      <c r="C11" t="s">
        <v>8281</v>
      </c>
      <c r="D11" t="s">
        <v>8237</v>
      </c>
      <c r="E11" s="225">
        <v>825</v>
      </c>
      <c r="F11" t="s">
        <v>8422</v>
      </c>
      <c r="G11" t="s">
        <v>8423</v>
      </c>
      <c r="H11" t="s">
        <v>8246</v>
      </c>
      <c r="I11" s="99">
        <v>44046</v>
      </c>
      <c r="J11">
        <f>YEAR(I11)</f>
        <v>2020</v>
      </c>
      <c r="K11" s="99">
        <v>44052</v>
      </c>
      <c r="L11" t="s">
        <v>8285</v>
      </c>
      <c r="M11" t="s">
        <v>2317</v>
      </c>
      <c r="P11" t="s">
        <v>8296</v>
      </c>
      <c r="Q11">
        <f t="shared" si="0"/>
        <v>8379.77</v>
      </c>
      <c r="R11">
        <f t="shared" si="1"/>
        <v>8379.77</v>
      </c>
      <c r="S11" cm="1">
        <f t="array" ref="S11">SUMPRODUCT($E$5:$E$2315,--(YEAR($I$5:$I$2315)=$S$4),--($G$5:$G$2315=P11))</f>
        <v>8379.77</v>
      </c>
      <c r="T11">
        <f t="shared" si="2"/>
        <v>3437.5200000000004</v>
      </c>
    </row>
    <row r="12" spans="2:20" x14ac:dyDescent="0.2">
      <c r="B12">
        <v>10952</v>
      </c>
      <c r="C12" t="s">
        <v>8351</v>
      </c>
      <c r="D12" t="s">
        <v>8254</v>
      </c>
      <c r="E12" s="225">
        <v>380</v>
      </c>
      <c r="F12" t="s">
        <v>8422</v>
      </c>
      <c r="G12" t="s">
        <v>8423</v>
      </c>
      <c r="H12" t="s">
        <v>8246</v>
      </c>
      <c r="I12" s="99">
        <v>44105</v>
      </c>
      <c r="J12">
        <f>YEAR(I12)</f>
        <v>2020</v>
      </c>
      <c r="K12" s="99">
        <v>44113</v>
      </c>
      <c r="L12" t="s">
        <v>8285</v>
      </c>
      <c r="M12" t="s">
        <v>2317</v>
      </c>
      <c r="P12" t="s">
        <v>8364</v>
      </c>
      <c r="Q12">
        <f t="shared" si="0"/>
        <v>224</v>
      </c>
      <c r="R12">
        <f t="shared" si="1"/>
        <v>224</v>
      </c>
      <c r="S12" cm="1">
        <f t="array" ref="S12">SUMPRODUCT($E$5:$E$2315,--(YEAR($I$5:$I$2315)=$S$4),--($G$5:$G$2315=P12))</f>
        <v>224</v>
      </c>
      <c r="T12">
        <f t="shared" si="2"/>
        <v>0</v>
      </c>
    </row>
    <row r="13" spans="2:20" x14ac:dyDescent="0.2">
      <c r="B13">
        <v>10952</v>
      </c>
      <c r="C13" t="s">
        <v>8316</v>
      </c>
      <c r="D13" t="s">
        <v>8247</v>
      </c>
      <c r="E13" s="225">
        <v>91.2</v>
      </c>
      <c r="F13" t="s">
        <v>8422</v>
      </c>
      <c r="G13" t="s">
        <v>8423</v>
      </c>
      <c r="H13" t="s">
        <v>8246</v>
      </c>
      <c r="I13" s="99">
        <v>44105</v>
      </c>
      <c r="J13">
        <f>YEAR(I13)</f>
        <v>2020</v>
      </c>
      <c r="K13" s="99">
        <v>44113</v>
      </c>
      <c r="L13" t="s">
        <v>8285</v>
      </c>
      <c r="M13" t="s">
        <v>2317</v>
      </c>
      <c r="P13" t="s">
        <v>8378</v>
      </c>
      <c r="Q13">
        <f t="shared" si="0"/>
        <v>17809.11</v>
      </c>
      <c r="R13">
        <f t="shared" si="1"/>
        <v>17809.11</v>
      </c>
      <c r="S13" cm="1">
        <f t="array" ref="S13">SUMPRODUCT($E$5:$E$2315,--(YEAR($I$5:$I$2315)=$S$4),--($G$5:$G$2315=P13))</f>
        <v>17809.11</v>
      </c>
      <c r="T13">
        <f t="shared" si="2"/>
        <v>1406</v>
      </c>
    </row>
    <row r="14" spans="2:20" x14ac:dyDescent="0.2">
      <c r="B14">
        <v>11011</v>
      </c>
      <c r="C14" t="s">
        <v>8310</v>
      </c>
      <c r="D14" t="s">
        <v>8237</v>
      </c>
      <c r="E14" s="225">
        <v>430</v>
      </c>
      <c r="F14" t="s">
        <v>8422</v>
      </c>
      <c r="G14" t="s">
        <v>8423</v>
      </c>
      <c r="H14" t="s">
        <v>8246</v>
      </c>
      <c r="I14" s="99">
        <v>44129</v>
      </c>
      <c r="J14">
        <f>YEAR(I14)</f>
        <v>2020</v>
      </c>
      <c r="K14" s="99">
        <v>44133</v>
      </c>
      <c r="L14" t="s">
        <v>8257</v>
      </c>
      <c r="M14" t="s">
        <v>6984</v>
      </c>
      <c r="P14" t="s">
        <v>8721</v>
      </c>
      <c r="Q14">
        <f t="shared" si="0"/>
        <v>20195.559999999998</v>
      </c>
      <c r="R14">
        <f t="shared" si="1"/>
        <v>20195.559999999998</v>
      </c>
      <c r="S14" cm="1">
        <f t="array" ref="S14">SUMPRODUCT($E$5:$E$2315,--(YEAR($I$5:$I$2315)=$S$4),--($G$5:$G$2315=P14))</f>
        <v>20195.559999999998</v>
      </c>
      <c r="T14">
        <f t="shared" si="2"/>
        <v>171</v>
      </c>
    </row>
    <row r="15" spans="2:20" x14ac:dyDescent="0.2">
      <c r="B15">
        <v>10308</v>
      </c>
      <c r="C15" t="s">
        <v>8288</v>
      </c>
      <c r="D15" t="s">
        <v>8272</v>
      </c>
      <c r="E15" s="225">
        <v>60</v>
      </c>
      <c r="F15" t="s">
        <v>8750</v>
      </c>
      <c r="G15" t="s">
        <v>8749</v>
      </c>
      <c r="H15" t="s">
        <v>8704</v>
      </c>
      <c r="I15" s="99">
        <v>43562</v>
      </c>
      <c r="J15">
        <f>YEAR(I15)</f>
        <v>2019</v>
      </c>
      <c r="K15" s="99">
        <v>43568</v>
      </c>
      <c r="L15" t="s">
        <v>8158</v>
      </c>
      <c r="M15" t="s">
        <v>861</v>
      </c>
      <c r="P15" t="s">
        <v>8339</v>
      </c>
      <c r="Q15">
        <f t="shared" si="0"/>
        <v>3131</v>
      </c>
      <c r="R15">
        <f t="shared" si="1"/>
        <v>3131</v>
      </c>
      <c r="S15" cm="1">
        <f t="array" ref="S15">SUMPRODUCT($E$5:$E$2315,--(YEAR($I$5:$I$2315)=$S$4),--($G$5:$G$2315=P15))</f>
        <v>3131</v>
      </c>
      <c r="T15">
        <f t="shared" si="2"/>
        <v>0</v>
      </c>
    </row>
    <row r="16" spans="2:20" x14ac:dyDescent="0.2">
      <c r="B16">
        <v>10308</v>
      </c>
      <c r="C16" t="s">
        <v>8353</v>
      </c>
      <c r="D16" t="s">
        <v>8237</v>
      </c>
      <c r="E16" s="225">
        <v>28.8</v>
      </c>
      <c r="F16" t="s">
        <v>8750</v>
      </c>
      <c r="G16" t="s">
        <v>8749</v>
      </c>
      <c r="H16" t="s">
        <v>8704</v>
      </c>
      <c r="I16" s="99">
        <v>43562</v>
      </c>
      <c r="J16">
        <f>YEAR(I16)</f>
        <v>2019</v>
      </c>
      <c r="K16" s="99">
        <v>43568</v>
      </c>
      <c r="L16" t="s">
        <v>8158</v>
      </c>
      <c r="M16" t="s">
        <v>861</v>
      </c>
      <c r="P16" t="s">
        <v>8718</v>
      </c>
      <c r="Q16">
        <f t="shared" si="0"/>
        <v>1439.3</v>
      </c>
      <c r="R16">
        <f t="shared" si="1"/>
        <v>1439.3</v>
      </c>
      <c r="S16" cm="1">
        <f t="array" ref="S16">SUMPRODUCT($E$5:$E$2315,--(YEAR($I$5:$I$2315)=$S$4),--($G$5:$G$2315=P16))</f>
        <v>1439.3</v>
      </c>
      <c r="T16">
        <f t="shared" si="2"/>
        <v>0</v>
      </c>
    </row>
    <row r="17" spans="2:20" x14ac:dyDescent="0.2">
      <c r="B17">
        <v>10625</v>
      </c>
      <c r="C17" t="s">
        <v>8268</v>
      </c>
      <c r="D17" t="s">
        <v>8237</v>
      </c>
      <c r="E17" s="225">
        <v>340</v>
      </c>
      <c r="F17" t="s">
        <v>8750</v>
      </c>
      <c r="G17" t="s">
        <v>8749</v>
      </c>
      <c r="H17" t="s">
        <v>8704</v>
      </c>
      <c r="I17" s="99">
        <v>43886</v>
      </c>
      <c r="J17">
        <f>YEAR(I17)</f>
        <v>2020</v>
      </c>
      <c r="K17" s="99">
        <v>43892</v>
      </c>
      <c r="L17" t="s">
        <v>8257</v>
      </c>
      <c r="M17" t="s">
        <v>6984</v>
      </c>
      <c r="P17" t="s">
        <v>8733</v>
      </c>
      <c r="Q17">
        <f t="shared" si="0"/>
        <v>0</v>
      </c>
      <c r="R17">
        <f t="shared" si="1"/>
        <v>0</v>
      </c>
      <c r="S17" cm="1">
        <f t="array" ref="S17">SUMPRODUCT($E$5:$E$2315,--(YEAR($I$5:$I$2315)=$S$4),--($G$5:$G$2315=P17))</f>
        <v>0</v>
      </c>
      <c r="T17">
        <f t="shared" si="2"/>
        <v>0</v>
      </c>
    </row>
    <row r="18" spans="2:20" x14ac:dyDescent="0.2">
      <c r="B18">
        <v>10625</v>
      </c>
      <c r="C18" t="s">
        <v>8243</v>
      </c>
      <c r="D18" t="s">
        <v>8244</v>
      </c>
      <c r="E18" s="225">
        <v>70</v>
      </c>
      <c r="F18" t="s">
        <v>8750</v>
      </c>
      <c r="G18" t="s">
        <v>8749</v>
      </c>
      <c r="H18" t="s">
        <v>8704</v>
      </c>
      <c r="I18" s="99">
        <v>43886</v>
      </c>
      <c r="J18">
        <f>YEAR(I18)</f>
        <v>2020</v>
      </c>
      <c r="K18" s="99">
        <v>43892</v>
      </c>
      <c r="L18" t="s">
        <v>8257</v>
      </c>
      <c r="M18" t="s">
        <v>6984</v>
      </c>
      <c r="P18" t="s">
        <v>8274</v>
      </c>
      <c r="Q18">
        <f t="shared" si="0"/>
        <v>8116.46</v>
      </c>
      <c r="R18">
        <f t="shared" si="1"/>
        <v>8116.46</v>
      </c>
      <c r="S18" cm="1">
        <f t="array" ref="S18">SUMPRODUCT($E$5:$E$2315,--(YEAR($I$5:$I$2315)=$S$4),--($G$5:$G$2315=P18))</f>
        <v>8116.46</v>
      </c>
      <c r="T18">
        <f t="shared" si="2"/>
        <v>0</v>
      </c>
    </row>
    <row r="19" spans="2:20" x14ac:dyDescent="0.2">
      <c r="B19">
        <v>10625</v>
      </c>
      <c r="C19" t="s">
        <v>8252</v>
      </c>
      <c r="D19" t="s">
        <v>8247</v>
      </c>
      <c r="E19" s="225">
        <v>69.75</v>
      </c>
      <c r="F19" t="s">
        <v>8750</v>
      </c>
      <c r="G19" t="s">
        <v>8749</v>
      </c>
      <c r="H19" t="s">
        <v>8704</v>
      </c>
      <c r="I19" s="99">
        <v>43886</v>
      </c>
      <c r="J19">
        <f>YEAR(I19)</f>
        <v>2020</v>
      </c>
      <c r="K19" s="99">
        <v>43892</v>
      </c>
      <c r="L19" t="s">
        <v>8257</v>
      </c>
      <c r="M19" t="s">
        <v>6984</v>
      </c>
      <c r="P19" t="s">
        <v>8747</v>
      </c>
      <c r="Q19">
        <f t="shared" si="0"/>
        <v>405.75</v>
      </c>
      <c r="R19">
        <f t="shared" si="1"/>
        <v>405.75</v>
      </c>
      <c r="S19" cm="1">
        <f t="array" ref="S19">SUMPRODUCT($E$5:$E$2315,--(YEAR($I$5:$I$2315)=$S$4),--($G$5:$G$2315=P19))</f>
        <v>405.75</v>
      </c>
      <c r="T19">
        <f t="shared" si="2"/>
        <v>0</v>
      </c>
    </row>
    <row r="20" spans="2:20" x14ac:dyDescent="0.2">
      <c r="B20">
        <v>10759</v>
      </c>
      <c r="C20" t="s">
        <v>8287</v>
      </c>
      <c r="D20" t="s">
        <v>8237</v>
      </c>
      <c r="E20" s="225">
        <v>320</v>
      </c>
      <c r="F20" t="s">
        <v>8750</v>
      </c>
      <c r="G20" t="s">
        <v>8749</v>
      </c>
      <c r="H20" t="s">
        <v>8704</v>
      </c>
      <c r="I20" s="99">
        <v>43998</v>
      </c>
      <c r="J20">
        <f>YEAR(I20)</f>
        <v>2020</v>
      </c>
      <c r="K20" s="99">
        <v>44012</v>
      </c>
      <c r="L20" t="s">
        <v>8257</v>
      </c>
      <c r="M20" t="s">
        <v>6984</v>
      </c>
      <c r="P20" t="s">
        <v>8414</v>
      </c>
      <c r="Q20">
        <f t="shared" si="0"/>
        <v>640.5</v>
      </c>
      <c r="R20">
        <f t="shared" si="1"/>
        <v>640.5</v>
      </c>
      <c r="S20" cm="1">
        <f t="array" ref="S20">SUMPRODUCT($E$5:$E$2315,--(YEAR($I$5:$I$2315)=$S$4),--($G$5:$G$2315=P20))</f>
        <v>640.5</v>
      </c>
      <c r="T20">
        <f t="shared" si="2"/>
        <v>0</v>
      </c>
    </row>
    <row r="21" spans="2:20" x14ac:dyDescent="0.2">
      <c r="B21">
        <v>10926</v>
      </c>
      <c r="C21" t="s">
        <v>8327</v>
      </c>
      <c r="D21" t="s">
        <v>8262</v>
      </c>
      <c r="E21" s="225">
        <v>64.400000000000006</v>
      </c>
      <c r="F21" t="s">
        <v>8750</v>
      </c>
      <c r="G21" t="s">
        <v>8749</v>
      </c>
      <c r="H21" t="s">
        <v>8704</v>
      </c>
      <c r="I21" s="99">
        <v>44093</v>
      </c>
      <c r="J21">
        <f>YEAR(I21)</f>
        <v>2020</v>
      </c>
      <c r="K21" s="99">
        <v>44100</v>
      </c>
      <c r="L21" t="s">
        <v>8266</v>
      </c>
      <c r="M21" t="s">
        <v>8267</v>
      </c>
      <c r="P21" t="s">
        <v>8347</v>
      </c>
      <c r="Q21">
        <f t="shared" si="0"/>
        <v>3720.2200000000003</v>
      </c>
      <c r="R21">
        <f t="shared" si="1"/>
        <v>3720.2200000000003</v>
      </c>
      <c r="S21" cm="1">
        <f t="array" ref="S21">SUMPRODUCT($E$5:$E$2315,--(YEAR($I$5:$I$2315)=$S$4),--($G$5:$G$2315=P21))</f>
        <v>3720.2200000000003</v>
      </c>
      <c r="T21">
        <f t="shared" si="2"/>
        <v>1695.55</v>
      </c>
    </row>
    <row r="22" spans="2:20" x14ac:dyDescent="0.2">
      <c r="B22">
        <v>10926</v>
      </c>
      <c r="C22" t="s">
        <v>8242</v>
      </c>
      <c r="D22" t="s">
        <v>8237</v>
      </c>
      <c r="E22" s="225">
        <v>42</v>
      </c>
      <c r="F22" t="s">
        <v>8750</v>
      </c>
      <c r="G22" t="s">
        <v>8749</v>
      </c>
      <c r="H22" t="s">
        <v>8704</v>
      </c>
      <c r="I22" s="99">
        <v>44093</v>
      </c>
      <c r="J22">
        <f>YEAR(I22)</f>
        <v>2020</v>
      </c>
      <c r="K22" s="99">
        <v>44100</v>
      </c>
      <c r="L22" t="s">
        <v>8266</v>
      </c>
      <c r="M22" t="s">
        <v>8267</v>
      </c>
      <c r="P22" t="s">
        <v>8392</v>
      </c>
      <c r="Q22">
        <f t="shared" si="0"/>
        <v>2444.7600000000002</v>
      </c>
      <c r="R22">
        <f t="shared" si="1"/>
        <v>2444.7600000000002</v>
      </c>
      <c r="S22" cm="1">
        <f t="array" ref="S22">SUMPRODUCT($E$5:$E$2315,--(YEAR($I$5:$I$2315)=$S$4),--($G$5:$G$2315=P22))</f>
        <v>2444.7600000000002</v>
      </c>
      <c r="T22">
        <f t="shared" si="2"/>
        <v>0</v>
      </c>
    </row>
    <row r="23" spans="2:20" x14ac:dyDescent="0.2">
      <c r="B23">
        <v>10926</v>
      </c>
      <c r="C23" t="s">
        <v>8235</v>
      </c>
      <c r="D23" t="s">
        <v>8237</v>
      </c>
      <c r="E23" s="225">
        <v>348</v>
      </c>
      <c r="F23" t="s">
        <v>8750</v>
      </c>
      <c r="G23" t="s">
        <v>8749</v>
      </c>
      <c r="H23" t="s">
        <v>8704</v>
      </c>
      <c r="I23" s="99">
        <v>44093</v>
      </c>
      <c r="J23">
        <f>YEAR(I23)</f>
        <v>2020</v>
      </c>
      <c r="K23" s="99">
        <v>44100</v>
      </c>
      <c r="L23" t="s">
        <v>8266</v>
      </c>
      <c r="M23" t="s">
        <v>8267</v>
      </c>
      <c r="P23" t="s">
        <v>8355</v>
      </c>
      <c r="Q23">
        <f t="shared" si="0"/>
        <v>317</v>
      </c>
      <c r="R23">
        <f t="shared" si="1"/>
        <v>317</v>
      </c>
      <c r="S23" cm="1">
        <f t="array" ref="S23">SUMPRODUCT($E$5:$E$2315,--(YEAR($I$5:$I$2315)=$S$4),--($G$5:$G$2315=P23))</f>
        <v>317</v>
      </c>
      <c r="T23">
        <f t="shared" si="2"/>
        <v>0</v>
      </c>
    </row>
    <row r="24" spans="2:20" x14ac:dyDescent="0.2">
      <c r="B24">
        <v>10365</v>
      </c>
      <c r="C24" t="s">
        <v>8242</v>
      </c>
      <c r="D24" t="s">
        <v>8237</v>
      </c>
      <c r="E24" s="225">
        <v>403.2</v>
      </c>
      <c r="F24" t="s">
        <v>8764</v>
      </c>
      <c r="G24" t="s">
        <v>8763</v>
      </c>
      <c r="H24" t="s">
        <v>8704</v>
      </c>
      <c r="I24" s="99">
        <v>43632</v>
      </c>
      <c r="J24">
        <f>YEAR(I24)</f>
        <v>2019</v>
      </c>
      <c r="K24" s="99">
        <v>43637</v>
      </c>
      <c r="L24" t="s">
        <v>8257</v>
      </c>
      <c r="M24" t="s">
        <v>6984</v>
      </c>
      <c r="P24" t="s">
        <v>8394</v>
      </c>
      <c r="Q24">
        <f t="shared" si="0"/>
        <v>9111.69</v>
      </c>
      <c r="R24">
        <f t="shared" si="1"/>
        <v>9111.69</v>
      </c>
      <c r="S24" cm="1">
        <f t="array" ref="S24">SUMPRODUCT($E$5:$E$2315,--(YEAR($I$5:$I$2315)=$S$4),--($G$5:$G$2315=P24))</f>
        <v>9111.69</v>
      </c>
      <c r="T24">
        <f t="shared" si="2"/>
        <v>0</v>
      </c>
    </row>
    <row r="25" spans="2:20" x14ac:dyDescent="0.2">
      <c r="B25">
        <v>10507</v>
      </c>
      <c r="C25" t="s">
        <v>8306</v>
      </c>
      <c r="D25" t="s">
        <v>8272</v>
      </c>
      <c r="E25" s="225">
        <v>586.5</v>
      </c>
      <c r="F25" t="s">
        <v>8764</v>
      </c>
      <c r="G25" t="s">
        <v>8763</v>
      </c>
      <c r="H25" t="s">
        <v>8704</v>
      </c>
      <c r="I25" s="99">
        <v>43771</v>
      </c>
      <c r="J25">
        <f>YEAR(I25)</f>
        <v>2019</v>
      </c>
      <c r="K25" s="99">
        <v>43778</v>
      </c>
      <c r="L25" t="s">
        <v>8158</v>
      </c>
      <c r="M25" t="s">
        <v>861</v>
      </c>
      <c r="P25" t="s">
        <v>8284</v>
      </c>
      <c r="Q25">
        <f t="shared" si="0"/>
        <v>59742.52</v>
      </c>
      <c r="R25">
        <f t="shared" si="1"/>
        <v>59742.52</v>
      </c>
      <c r="S25" cm="1">
        <f t="array" ref="S25">SUMPRODUCT($E$5:$E$2315,--(YEAR($I$5:$I$2315)=$S$4),--($G$5:$G$2315=P25))</f>
        <v>59742.52</v>
      </c>
      <c r="T25">
        <f t="shared" si="2"/>
        <v>6981.09</v>
      </c>
    </row>
    <row r="26" spans="2:20" x14ac:dyDescent="0.2">
      <c r="B26">
        <v>10507</v>
      </c>
      <c r="C26" t="s">
        <v>8406</v>
      </c>
      <c r="D26" t="s">
        <v>8262</v>
      </c>
      <c r="E26" s="225">
        <v>162.56</v>
      </c>
      <c r="F26" t="s">
        <v>8764</v>
      </c>
      <c r="G26" t="s">
        <v>8763</v>
      </c>
      <c r="H26" t="s">
        <v>8704</v>
      </c>
      <c r="I26" s="99">
        <v>43771</v>
      </c>
      <c r="J26">
        <f>YEAR(I26)</f>
        <v>2019</v>
      </c>
      <c r="K26" s="99">
        <v>43778</v>
      </c>
      <c r="L26" t="s">
        <v>8158</v>
      </c>
      <c r="M26" t="s">
        <v>861</v>
      </c>
      <c r="P26" t="s">
        <v>8761</v>
      </c>
      <c r="Q26">
        <f t="shared" si="0"/>
        <v>338</v>
      </c>
      <c r="R26">
        <f t="shared" si="1"/>
        <v>338</v>
      </c>
      <c r="S26" cm="1">
        <f t="array" ref="S26">SUMPRODUCT($E$5:$E$2315,--(YEAR($I$5:$I$2315)=$S$4),--($G$5:$G$2315=P26))</f>
        <v>338</v>
      </c>
      <c r="T26">
        <f t="shared" si="2"/>
        <v>0</v>
      </c>
    </row>
    <row r="27" spans="2:20" x14ac:dyDescent="0.2">
      <c r="B27">
        <v>10535</v>
      </c>
      <c r="C27" t="s">
        <v>8242</v>
      </c>
      <c r="D27" t="s">
        <v>8237</v>
      </c>
      <c r="E27" s="225">
        <v>945</v>
      </c>
      <c r="F27" t="s">
        <v>8764</v>
      </c>
      <c r="G27" t="s">
        <v>8763</v>
      </c>
      <c r="H27" t="s">
        <v>8704</v>
      </c>
      <c r="I27" s="99">
        <v>43799</v>
      </c>
      <c r="J27">
        <f>YEAR(I27)</f>
        <v>2019</v>
      </c>
      <c r="K27" s="99">
        <v>43807</v>
      </c>
      <c r="L27" t="s">
        <v>8266</v>
      </c>
      <c r="M27" t="s">
        <v>8267</v>
      </c>
      <c r="P27" t="s">
        <v>8408</v>
      </c>
      <c r="Q27">
        <f t="shared" si="0"/>
        <v>8284</v>
      </c>
      <c r="R27">
        <f t="shared" si="1"/>
        <v>8284</v>
      </c>
      <c r="S27" cm="1">
        <f t="array" ref="S27">SUMPRODUCT($E$5:$E$2315,--(YEAR($I$5:$I$2315)=$S$4),--($G$5:$G$2315=P27))</f>
        <v>8284</v>
      </c>
      <c r="T27">
        <f t="shared" si="2"/>
        <v>1860.5</v>
      </c>
    </row>
    <row r="28" spans="2:20" x14ac:dyDescent="0.2">
      <c r="B28">
        <v>10535</v>
      </c>
      <c r="C28" t="s">
        <v>8281</v>
      </c>
      <c r="D28" t="s">
        <v>8237</v>
      </c>
      <c r="E28" s="225">
        <v>742.5</v>
      </c>
      <c r="F28" t="s">
        <v>8764</v>
      </c>
      <c r="G28" t="s">
        <v>8763</v>
      </c>
      <c r="H28" t="s">
        <v>8704</v>
      </c>
      <c r="I28" s="99">
        <v>43799</v>
      </c>
      <c r="J28">
        <f>YEAR(I28)</f>
        <v>2019</v>
      </c>
      <c r="K28" s="99">
        <v>43807</v>
      </c>
      <c r="L28" t="s">
        <v>8266</v>
      </c>
      <c r="M28" t="s">
        <v>8267</v>
      </c>
      <c r="P28" t="s">
        <v>8294</v>
      </c>
      <c r="Q28">
        <f t="shared" si="0"/>
        <v>14802.58</v>
      </c>
      <c r="R28">
        <f t="shared" si="1"/>
        <v>14802.58</v>
      </c>
      <c r="S28" cm="1">
        <f t="array" ref="S28">SUMPRODUCT($E$5:$E$2315,--(YEAR($I$5:$I$2315)=$S$4),--($G$5:$G$2315=P28))</f>
        <v>14802.58</v>
      </c>
      <c r="T28">
        <f t="shared" si="2"/>
        <v>0</v>
      </c>
    </row>
    <row r="29" spans="2:20" x14ac:dyDescent="0.2">
      <c r="B29">
        <v>10535</v>
      </c>
      <c r="C29" t="s">
        <v>8258</v>
      </c>
      <c r="D29" t="s">
        <v>8244</v>
      </c>
      <c r="E29" s="225">
        <v>87.75</v>
      </c>
      <c r="F29" t="s">
        <v>8764</v>
      </c>
      <c r="G29" t="s">
        <v>8763</v>
      </c>
      <c r="H29" t="s">
        <v>8704</v>
      </c>
      <c r="I29" s="99">
        <v>43799</v>
      </c>
      <c r="J29">
        <f>YEAR(I29)</f>
        <v>2019</v>
      </c>
      <c r="K29" s="99">
        <v>43807</v>
      </c>
      <c r="L29" t="s">
        <v>8266</v>
      </c>
      <c r="M29" t="s">
        <v>8267</v>
      </c>
      <c r="P29" t="s">
        <v>8425</v>
      </c>
      <c r="Q29">
        <f t="shared" si="0"/>
        <v>1439.1</v>
      </c>
      <c r="R29">
        <f t="shared" si="1"/>
        <v>1439.1</v>
      </c>
      <c r="S29" cm="1">
        <f t="array" ref="S29">SUMPRODUCT($E$5:$E$2315,--(YEAR($I$5:$I$2315)=$S$4),--($G$5:$G$2315=P29))</f>
        <v>1439.1</v>
      </c>
      <c r="T29">
        <f t="shared" si="2"/>
        <v>0</v>
      </c>
    </row>
    <row r="30" spans="2:20" x14ac:dyDescent="0.2">
      <c r="B30">
        <v>10573</v>
      </c>
      <c r="C30" t="s">
        <v>8358</v>
      </c>
      <c r="D30" t="s">
        <v>8272</v>
      </c>
      <c r="E30" s="225">
        <v>560</v>
      </c>
      <c r="F30" t="s">
        <v>8764</v>
      </c>
      <c r="G30" t="s">
        <v>8763</v>
      </c>
      <c r="H30" t="s">
        <v>8704</v>
      </c>
      <c r="I30" s="99">
        <v>43836</v>
      </c>
      <c r="J30">
        <f>YEAR(I30)</f>
        <v>2020</v>
      </c>
      <c r="K30" s="99">
        <v>43837</v>
      </c>
      <c r="L30" t="s">
        <v>8158</v>
      </c>
      <c r="M30" t="s">
        <v>861</v>
      </c>
      <c r="P30" t="s">
        <v>8412</v>
      </c>
      <c r="Q30">
        <f t="shared" si="0"/>
        <v>939.5</v>
      </c>
      <c r="R30">
        <f t="shared" si="1"/>
        <v>939.5</v>
      </c>
      <c r="S30" cm="1">
        <f t="array" ref="S30">SUMPRODUCT($E$5:$E$2315,--(YEAR($I$5:$I$2315)=$S$4),--($G$5:$G$2315=P30))</f>
        <v>939.5</v>
      </c>
      <c r="T30">
        <f t="shared" si="2"/>
        <v>0</v>
      </c>
    </row>
    <row r="31" spans="2:20" x14ac:dyDescent="0.2">
      <c r="B31">
        <v>10677</v>
      </c>
      <c r="C31" t="s">
        <v>8372</v>
      </c>
      <c r="D31" t="s">
        <v>8262</v>
      </c>
      <c r="E31" s="225">
        <v>796.36</v>
      </c>
      <c r="F31" t="s">
        <v>8764</v>
      </c>
      <c r="G31" t="s">
        <v>8763</v>
      </c>
      <c r="H31" t="s">
        <v>8704</v>
      </c>
      <c r="I31" s="99">
        <v>43931</v>
      </c>
      <c r="J31">
        <f>YEAR(I31)</f>
        <v>2020</v>
      </c>
      <c r="K31" s="99">
        <v>43935</v>
      </c>
      <c r="L31" t="s">
        <v>8285</v>
      </c>
      <c r="M31" t="s">
        <v>2317</v>
      </c>
      <c r="P31" t="s">
        <v>8305</v>
      </c>
      <c r="Q31">
        <f t="shared" si="0"/>
        <v>9991.52</v>
      </c>
      <c r="R31">
        <f t="shared" si="1"/>
        <v>9991.52</v>
      </c>
      <c r="S31" cm="1">
        <f t="array" ref="S31">SUMPRODUCT($E$5:$E$2315,--(YEAR($I$5:$I$2315)=$S$4),--($G$5:$G$2315=P31))</f>
        <v>9991.52</v>
      </c>
      <c r="T31">
        <f t="shared" si="2"/>
        <v>1083.1500000000001</v>
      </c>
    </row>
    <row r="32" spans="2:20" x14ac:dyDescent="0.2">
      <c r="B32">
        <v>10677</v>
      </c>
      <c r="C32" t="s">
        <v>8269</v>
      </c>
      <c r="D32" t="s">
        <v>8237</v>
      </c>
      <c r="E32" s="225">
        <v>17</v>
      </c>
      <c r="F32" t="s">
        <v>8764</v>
      </c>
      <c r="G32" t="s">
        <v>8763</v>
      </c>
      <c r="H32" t="s">
        <v>8704</v>
      </c>
      <c r="I32" s="99">
        <v>43931</v>
      </c>
      <c r="J32">
        <f>YEAR(I32)</f>
        <v>2020</v>
      </c>
      <c r="K32" s="99">
        <v>43935</v>
      </c>
      <c r="L32" t="s">
        <v>8285</v>
      </c>
      <c r="M32" t="s">
        <v>2317</v>
      </c>
      <c r="P32" t="s">
        <v>8367</v>
      </c>
      <c r="Q32">
        <f t="shared" si="0"/>
        <v>944.64</v>
      </c>
      <c r="R32">
        <f t="shared" si="1"/>
        <v>944.64</v>
      </c>
      <c r="S32" cm="1">
        <f t="array" ref="S32">SUMPRODUCT($E$5:$E$2315,--(YEAR($I$5:$I$2315)=$S$4),--($G$5:$G$2315=P32))</f>
        <v>944.64</v>
      </c>
      <c r="T32">
        <f t="shared" si="2"/>
        <v>655.99</v>
      </c>
    </row>
    <row r="33" spans="2:20" x14ac:dyDescent="0.2">
      <c r="B33">
        <v>10682</v>
      </c>
      <c r="C33" t="s">
        <v>8328</v>
      </c>
      <c r="D33" t="s">
        <v>8272</v>
      </c>
      <c r="E33" s="225">
        <v>232.5</v>
      </c>
      <c r="F33" t="s">
        <v>8764</v>
      </c>
      <c r="G33" t="s">
        <v>8763</v>
      </c>
      <c r="H33" t="s">
        <v>8704</v>
      </c>
      <c r="I33" s="99">
        <v>43934</v>
      </c>
      <c r="J33">
        <f>YEAR(I33)</f>
        <v>2020</v>
      </c>
      <c r="K33" s="99">
        <v>43940</v>
      </c>
      <c r="L33" t="s">
        <v>8257</v>
      </c>
      <c r="M33" t="s">
        <v>6984</v>
      </c>
      <c r="P33" t="s">
        <v>8399</v>
      </c>
      <c r="Q33">
        <f t="shared" si="0"/>
        <v>207.5</v>
      </c>
      <c r="R33">
        <f t="shared" si="1"/>
        <v>207.5</v>
      </c>
      <c r="S33" cm="1">
        <f t="array" ref="S33">SUMPRODUCT($E$5:$E$2315,--(YEAR($I$5:$I$2315)=$S$4),--($G$5:$G$2315=P33))</f>
        <v>207.5</v>
      </c>
      <c r="T33">
        <f t="shared" si="2"/>
        <v>0</v>
      </c>
    </row>
    <row r="34" spans="2:20" x14ac:dyDescent="0.2">
      <c r="B34">
        <v>10682</v>
      </c>
      <c r="C34" t="s">
        <v>8348</v>
      </c>
      <c r="D34" t="s">
        <v>8254</v>
      </c>
      <c r="E34" s="225">
        <v>68</v>
      </c>
      <c r="F34" t="s">
        <v>8764</v>
      </c>
      <c r="G34" t="s">
        <v>8763</v>
      </c>
      <c r="H34" t="s">
        <v>8704</v>
      </c>
      <c r="I34" s="99">
        <v>43934</v>
      </c>
      <c r="J34">
        <f>YEAR(I34)</f>
        <v>2020</v>
      </c>
      <c r="K34" s="99">
        <v>43940</v>
      </c>
      <c r="L34" t="s">
        <v>8257</v>
      </c>
      <c r="M34" t="s">
        <v>6984</v>
      </c>
      <c r="P34" t="s">
        <v>8350</v>
      </c>
      <c r="Q34">
        <f t="shared" si="0"/>
        <v>5810.96</v>
      </c>
      <c r="R34">
        <f t="shared" si="1"/>
        <v>5810.96</v>
      </c>
      <c r="S34" cm="1">
        <f t="array" ref="S34">SUMPRODUCT($E$5:$E$2315,--(YEAR($I$5:$I$2315)=$S$4),--($G$5:$G$2315=P34))</f>
        <v>5810.96</v>
      </c>
      <c r="T34">
        <f t="shared" si="2"/>
        <v>0</v>
      </c>
    </row>
    <row r="35" spans="2:20" x14ac:dyDescent="0.2">
      <c r="B35">
        <v>10682</v>
      </c>
      <c r="C35" t="s">
        <v>8269</v>
      </c>
      <c r="D35" t="s">
        <v>8237</v>
      </c>
      <c r="E35" s="225">
        <v>75</v>
      </c>
      <c r="F35" t="s">
        <v>8764</v>
      </c>
      <c r="G35" t="s">
        <v>8763</v>
      </c>
      <c r="H35" t="s">
        <v>8704</v>
      </c>
      <c r="I35" s="99">
        <v>43934</v>
      </c>
      <c r="J35">
        <f>YEAR(I35)</f>
        <v>2020</v>
      </c>
      <c r="K35" s="99">
        <v>43940</v>
      </c>
      <c r="L35" t="s">
        <v>8257</v>
      </c>
      <c r="M35" t="s">
        <v>6984</v>
      </c>
      <c r="P35" t="s">
        <v>8769</v>
      </c>
      <c r="Q35">
        <f t="shared" si="0"/>
        <v>6308.35</v>
      </c>
      <c r="R35">
        <f t="shared" si="1"/>
        <v>6308.35</v>
      </c>
      <c r="S35" cm="1">
        <f t="array" ref="S35">SUMPRODUCT($E$5:$E$2315,--(YEAR($I$5:$I$2315)=$S$4),--($G$5:$G$2315=P35))</f>
        <v>6308.35</v>
      </c>
      <c r="T35">
        <f t="shared" si="2"/>
        <v>280</v>
      </c>
    </row>
    <row r="36" spans="2:20" x14ac:dyDescent="0.2">
      <c r="B36">
        <v>10856</v>
      </c>
      <c r="C36" t="s">
        <v>8276</v>
      </c>
      <c r="D36" t="s">
        <v>8272</v>
      </c>
      <c r="E36" s="225">
        <v>380</v>
      </c>
      <c r="F36" t="s">
        <v>8764</v>
      </c>
      <c r="G36" t="s">
        <v>8763</v>
      </c>
      <c r="H36" t="s">
        <v>8704</v>
      </c>
      <c r="I36" s="99">
        <v>44059</v>
      </c>
      <c r="J36">
        <f>YEAR(I36)</f>
        <v>2020</v>
      </c>
      <c r="K36" s="99">
        <v>44072</v>
      </c>
      <c r="L36" t="s">
        <v>8257</v>
      </c>
      <c r="M36" t="s">
        <v>6984</v>
      </c>
      <c r="P36" t="s">
        <v>8713</v>
      </c>
      <c r="Q36">
        <f t="shared" si="0"/>
        <v>26038.85</v>
      </c>
      <c r="R36">
        <f t="shared" si="1"/>
        <v>26038.85</v>
      </c>
      <c r="S36" cm="1">
        <f t="array" ref="S36">SUMPRODUCT($E$5:$E$2315,--(YEAR($I$5:$I$2315)=$S$4),--($G$5:$G$2315=P36))</f>
        <v>26038.85</v>
      </c>
      <c r="T36">
        <f t="shared" si="2"/>
        <v>604.20999999999992</v>
      </c>
    </row>
    <row r="37" spans="2:20" x14ac:dyDescent="0.2">
      <c r="B37">
        <v>10856</v>
      </c>
      <c r="C37" t="s">
        <v>8243</v>
      </c>
      <c r="D37" t="s">
        <v>8244</v>
      </c>
      <c r="E37" s="225">
        <v>280</v>
      </c>
      <c r="F37" t="s">
        <v>8764</v>
      </c>
      <c r="G37" t="s">
        <v>8763</v>
      </c>
      <c r="H37" t="s">
        <v>8704</v>
      </c>
      <c r="I37" s="99">
        <v>44059</v>
      </c>
      <c r="J37">
        <f>YEAR(I37)</f>
        <v>2020</v>
      </c>
      <c r="K37" s="99">
        <v>44072</v>
      </c>
      <c r="L37" t="s">
        <v>8257</v>
      </c>
      <c r="M37" t="s">
        <v>6984</v>
      </c>
      <c r="P37" t="s">
        <v>8737</v>
      </c>
      <c r="Q37">
        <f t="shared" ref="Q37:Q68" si="3">SUMIFS($E$5:$E$2315,$G$5:$G$2315,P37,$J$5:$J$2315,$Q$4)</f>
        <v>77.5</v>
      </c>
      <c r="R37">
        <f t="shared" ref="R37:R68" si="4">SUMIFS($E$5:$E$2315,$G$5:$G$2315,P37,$I$5:$I$2315,"&gt;= " &amp; DATE($R$4,1,1),$I$5:$I$2315,"&lt;= " &amp; DATE($R$4,12,31))</f>
        <v>77.5</v>
      </c>
      <c r="S37" cm="1">
        <f t="array" ref="S37">SUMPRODUCT($E$5:$E$2315,--(YEAR($I$5:$I$2315)=$S$4),--($G$5:$G$2315=P37))</f>
        <v>77.5</v>
      </c>
      <c r="T37">
        <f t="shared" si="2"/>
        <v>0</v>
      </c>
    </row>
    <row r="38" spans="2:20" x14ac:dyDescent="0.2">
      <c r="B38">
        <v>10355</v>
      </c>
      <c r="C38" t="s">
        <v>8270</v>
      </c>
      <c r="D38" t="s">
        <v>8272</v>
      </c>
      <c r="E38" s="225">
        <v>90</v>
      </c>
      <c r="F38" t="s">
        <v>8386</v>
      </c>
      <c r="G38" t="s">
        <v>8387</v>
      </c>
      <c r="H38" t="s">
        <v>2434</v>
      </c>
      <c r="I38" s="99">
        <v>43620</v>
      </c>
      <c r="J38">
        <f>YEAR(I38)</f>
        <v>2019</v>
      </c>
      <c r="K38" s="99">
        <v>43625</v>
      </c>
      <c r="L38" t="s">
        <v>8251</v>
      </c>
      <c r="M38" t="s">
        <v>269</v>
      </c>
      <c r="P38" t="s">
        <v>8727</v>
      </c>
      <c r="Q38">
        <f t="shared" si="3"/>
        <v>22963.7</v>
      </c>
      <c r="R38">
        <f t="shared" si="4"/>
        <v>22963.7</v>
      </c>
      <c r="S38" cm="1">
        <f t="array" ref="S38">SUMPRODUCT($E$5:$E$2315,--(YEAR($I$5:$I$2315)=$S$4),--($G$5:$G$2315=P38))</f>
        <v>22963.7</v>
      </c>
      <c r="T38">
        <f t="shared" si="2"/>
        <v>0</v>
      </c>
    </row>
    <row r="39" spans="2:20" x14ac:dyDescent="0.2">
      <c r="B39">
        <v>10355</v>
      </c>
      <c r="C39" t="s">
        <v>8258</v>
      </c>
      <c r="D39" t="s">
        <v>8244</v>
      </c>
      <c r="E39" s="225">
        <v>390</v>
      </c>
      <c r="F39" t="s">
        <v>8386</v>
      </c>
      <c r="G39" t="s">
        <v>8387</v>
      </c>
      <c r="H39" t="s">
        <v>2434</v>
      </c>
      <c r="I39" s="99">
        <v>43620</v>
      </c>
      <c r="J39">
        <f>YEAR(I39)</f>
        <v>2019</v>
      </c>
      <c r="K39" s="99">
        <v>43625</v>
      </c>
      <c r="L39" t="s">
        <v>8251</v>
      </c>
      <c r="M39" t="s">
        <v>269</v>
      </c>
      <c r="P39" t="s">
        <v>8731</v>
      </c>
      <c r="Q39">
        <f t="shared" si="3"/>
        <v>10514.61</v>
      </c>
      <c r="R39">
        <f t="shared" si="4"/>
        <v>10514.61</v>
      </c>
      <c r="S39" cm="1">
        <f t="array" ref="S39">SUMPRODUCT($E$5:$E$2315,--(YEAR($I$5:$I$2315)=$S$4),--($G$5:$G$2315=P39))</f>
        <v>10514.61</v>
      </c>
      <c r="T39">
        <f t="shared" si="2"/>
        <v>950</v>
      </c>
    </row>
    <row r="40" spans="2:20" x14ac:dyDescent="0.2">
      <c r="B40">
        <v>10383</v>
      </c>
      <c r="C40" t="s">
        <v>8381</v>
      </c>
      <c r="D40" t="s">
        <v>8262</v>
      </c>
      <c r="E40" s="225">
        <v>195</v>
      </c>
      <c r="F40" t="s">
        <v>8386</v>
      </c>
      <c r="G40" t="s">
        <v>8387</v>
      </c>
      <c r="H40" t="s">
        <v>2434</v>
      </c>
      <c r="I40" s="99">
        <v>43651</v>
      </c>
      <c r="J40">
        <f>YEAR(I40)</f>
        <v>2019</v>
      </c>
      <c r="K40" s="99">
        <v>43653</v>
      </c>
      <c r="L40" t="s">
        <v>8320</v>
      </c>
      <c r="M40" t="s">
        <v>8321</v>
      </c>
      <c r="P40" t="s">
        <v>8765</v>
      </c>
      <c r="Q40">
        <f t="shared" si="3"/>
        <v>1701</v>
      </c>
      <c r="R40">
        <f t="shared" si="4"/>
        <v>1701</v>
      </c>
      <c r="S40" cm="1">
        <f t="array" ref="S40">SUMPRODUCT($E$5:$E$2315,--(YEAR($I$5:$I$2315)=$S$4),--($G$5:$G$2315=P40))</f>
        <v>1701</v>
      </c>
      <c r="T40">
        <f t="shared" si="2"/>
        <v>1701</v>
      </c>
    </row>
    <row r="41" spans="2:20" x14ac:dyDescent="0.2">
      <c r="B41">
        <v>10383</v>
      </c>
      <c r="C41" t="s">
        <v>8341</v>
      </c>
      <c r="D41" t="s">
        <v>8244</v>
      </c>
      <c r="E41" s="225">
        <v>608</v>
      </c>
      <c r="F41" t="s">
        <v>8386</v>
      </c>
      <c r="G41" t="s">
        <v>8387</v>
      </c>
      <c r="H41" t="s">
        <v>2434</v>
      </c>
      <c r="I41" s="99">
        <v>43651</v>
      </c>
      <c r="J41">
        <f>YEAR(I41)</f>
        <v>2019</v>
      </c>
      <c r="K41" s="99">
        <v>43653</v>
      </c>
      <c r="L41" t="s">
        <v>8320</v>
      </c>
      <c r="M41" t="s">
        <v>8321</v>
      </c>
      <c r="P41" t="s">
        <v>8345</v>
      </c>
      <c r="Q41">
        <f t="shared" si="3"/>
        <v>8695.58</v>
      </c>
      <c r="R41">
        <f t="shared" si="4"/>
        <v>8695.58</v>
      </c>
      <c r="S41" cm="1">
        <f t="array" ref="S41">SUMPRODUCT($E$5:$E$2315,--(YEAR($I$5:$I$2315)=$S$4),--($G$5:$G$2315=P41))</f>
        <v>8695.58</v>
      </c>
      <c r="T41">
        <f t="shared" si="2"/>
        <v>1070.7</v>
      </c>
    </row>
    <row r="42" spans="2:20" x14ac:dyDescent="0.2">
      <c r="B42">
        <v>10453</v>
      </c>
      <c r="C42" t="s">
        <v>8288</v>
      </c>
      <c r="D42" t="s">
        <v>8272</v>
      </c>
      <c r="E42" s="225">
        <v>270</v>
      </c>
      <c r="F42" t="s">
        <v>8386</v>
      </c>
      <c r="G42" t="s">
        <v>8387</v>
      </c>
      <c r="H42" t="s">
        <v>2434</v>
      </c>
      <c r="I42" s="99">
        <v>43718</v>
      </c>
      <c r="J42">
        <f>YEAR(I42)</f>
        <v>2019</v>
      </c>
      <c r="K42" s="99">
        <v>43723</v>
      </c>
      <c r="L42" t="s">
        <v>8285</v>
      </c>
      <c r="M42" t="s">
        <v>2317</v>
      </c>
      <c r="P42" t="s">
        <v>8357</v>
      </c>
      <c r="Q42">
        <f t="shared" si="3"/>
        <v>4889.1000000000004</v>
      </c>
      <c r="R42">
        <f t="shared" si="4"/>
        <v>4889.1000000000004</v>
      </c>
      <c r="S42" cm="1">
        <f t="array" ref="S42">SUMPRODUCT($E$5:$E$2315,--(YEAR($I$5:$I$2315)=$S$4),--($G$5:$G$2315=P42))</f>
        <v>4889.1000000000004</v>
      </c>
      <c r="T42">
        <f t="shared" si="2"/>
        <v>0</v>
      </c>
    </row>
    <row r="43" spans="2:20" x14ac:dyDescent="0.2">
      <c r="B43">
        <v>10453</v>
      </c>
      <c r="C43" t="s">
        <v>8406</v>
      </c>
      <c r="D43" t="s">
        <v>8262</v>
      </c>
      <c r="E43" s="225">
        <v>137.69999999999999</v>
      </c>
      <c r="F43" t="s">
        <v>8386</v>
      </c>
      <c r="G43" t="s">
        <v>8387</v>
      </c>
      <c r="H43" t="s">
        <v>2434</v>
      </c>
      <c r="I43" s="99">
        <v>43718</v>
      </c>
      <c r="J43">
        <f>YEAR(I43)</f>
        <v>2019</v>
      </c>
      <c r="K43" s="99">
        <v>43723</v>
      </c>
      <c r="L43" t="s">
        <v>8285</v>
      </c>
      <c r="M43" t="s">
        <v>2317</v>
      </c>
      <c r="P43" t="s">
        <v>8360</v>
      </c>
      <c r="Q43">
        <f t="shared" si="3"/>
        <v>18331.759999999998</v>
      </c>
      <c r="R43">
        <f t="shared" si="4"/>
        <v>18331.759999999998</v>
      </c>
      <c r="S43" cm="1">
        <f t="array" ref="S43">SUMPRODUCT($E$5:$E$2315,--(YEAR($I$5:$I$2315)=$S$4),--($G$5:$G$2315=P43))</f>
        <v>18331.759999999998</v>
      </c>
      <c r="T43">
        <f t="shared" si="2"/>
        <v>630</v>
      </c>
    </row>
    <row r="44" spans="2:20" x14ac:dyDescent="0.2">
      <c r="B44">
        <v>10558</v>
      </c>
      <c r="C44" t="s">
        <v>8410</v>
      </c>
      <c r="D44" t="s">
        <v>8262</v>
      </c>
      <c r="E44" s="225">
        <v>237.5</v>
      </c>
      <c r="F44" t="s">
        <v>8386</v>
      </c>
      <c r="G44" t="s">
        <v>8387</v>
      </c>
      <c r="H44" t="s">
        <v>2434</v>
      </c>
      <c r="I44" s="99">
        <v>43821</v>
      </c>
      <c r="J44">
        <f>YEAR(I44)</f>
        <v>2019</v>
      </c>
      <c r="K44" s="99">
        <v>43827</v>
      </c>
      <c r="L44" t="s">
        <v>8285</v>
      </c>
      <c r="M44" t="s">
        <v>2317</v>
      </c>
      <c r="P44" t="s">
        <v>8431</v>
      </c>
      <c r="Q44">
        <f t="shared" si="3"/>
        <v>1700.15</v>
      </c>
      <c r="R44">
        <f t="shared" si="4"/>
        <v>1700.15</v>
      </c>
      <c r="S44" cm="1">
        <f t="array" ref="S44">SUMPRODUCT($E$5:$E$2315,--(YEAR($I$5:$I$2315)=$S$4),--($G$5:$G$2315=P44))</f>
        <v>1700.15</v>
      </c>
      <c r="T44">
        <f t="shared" si="2"/>
        <v>0</v>
      </c>
    </row>
    <row r="45" spans="2:20" x14ac:dyDescent="0.2">
      <c r="B45">
        <v>10558</v>
      </c>
      <c r="C45" t="s">
        <v>8369</v>
      </c>
      <c r="D45" t="s">
        <v>8244</v>
      </c>
      <c r="E45" s="225">
        <v>210</v>
      </c>
      <c r="F45" t="s">
        <v>8386</v>
      </c>
      <c r="G45" t="s">
        <v>8387</v>
      </c>
      <c r="H45" t="s">
        <v>2434</v>
      </c>
      <c r="I45" s="99">
        <v>43821</v>
      </c>
      <c r="J45">
        <f>YEAR(I45)</f>
        <v>2019</v>
      </c>
      <c r="K45" s="99">
        <v>43827</v>
      </c>
      <c r="L45" t="s">
        <v>8285</v>
      </c>
      <c r="M45" t="s">
        <v>2317</v>
      </c>
      <c r="P45" t="s">
        <v>8383</v>
      </c>
      <c r="Q45">
        <f t="shared" si="3"/>
        <v>5353.12</v>
      </c>
      <c r="R45">
        <f t="shared" si="4"/>
        <v>5353.12</v>
      </c>
      <c r="S45" cm="1">
        <f t="array" ref="S45">SUMPRODUCT($E$5:$E$2315,--(YEAR($I$5:$I$2315)=$S$4),--($G$5:$G$2315=P45))</f>
        <v>5353.12</v>
      </c>
      <c r="T45">
        <f t="shared" si="2"/>
        <v>310.2</v>
      </c>
    </row>
    <row r="46" spans="2:20" x14ac:dyDescent="0.2">
      <c r="B46">
        <v>10558</v>
      </c>
      <c r="C46" t="s">
        <v>8245</v>
      </c>
      <c r="D46" t="s">
        <v>8247</v>
      </c>
      <c r="E46" s="225">
        <v>1060</v>
      </c>
      <c r="F46" t="s">
        <v>8386</v>
      </c>
      <c r="G46" t="s">
        <v>8387</v>
      </c>
      <c r="H46" t="s">
        <v>2434</v>
      </c>
      <c r="I46" s="99">
        <v>43821</v>
      </c>
      <c r="J46">
        <f>YEAR(I46)</f>
        <v>2019</v>
      </c>
      <c r="K46" s="99">
        <v>43827</v>
      </c>
      <c r="L46" t="s">
        <v>8285</v>
      </c>
      <c r="M46" t="s">
        <v>2317</v>
      </c>
      <c r="P46" t="s">
        <v>8773</v>
      </c>
      <c r="Q46">
        <f t="shared" si="3"/>
        <v>384</v>
      </c>
      <c r="R46">
        <f t="shared" si="4"/>
        <v>384</v>
      </c>
      <c r="S46" cm="1">
        <f t="array" ref="S46">SUMPRODUCT($E$5:$E$2315,--(YEAR($I$5:$I$2315)=$S$4),--($G$5:$G$2315=P46))</f>
        <v>384</v>
      </c>
      <c r="T46">
        <f t="shared" si="2"/>
        <v>0</v>
      </c>
    </row>
    <row r="47" spans="2:20" x14ac:dyDescent="0.2">
      <c r="B47">
        <v>10707</v>
      </c>
      <c r="C47" t="s">
        <v>8288</v>
      </c>
      <c r="D47" t="s">
        <v>8272</v>
      </c>
      <c r="E47" s="225">
        <v>357</v>
      </c>
      <c r="F47" t="s">
        <v>8386</v>
      </c>
      <c r="G47" t="s">
        <v>8387</v>
      </c>
      <c r="H47" t="s">
        <v>2434</v>
      </c>
      <c r="I47" s="99">
        <v>43955</v>
      </c>
      <c r="J47">
        <f>YEAR(I47)</f>
        <v>2020</v>
      </c>
      <c r="K47" s="99">
        <v>43962</v>
      </c>
      <c r="L47" t="s">
        <v>8266</v>
      </c>
      <c r="M47" t="s">
        <v>8267</v>
      </c>
      <c r="P47" t="s">
        <v>8771</v>
      </c>
      <c r="Q47">
        <f t="shared" si="3"/>
        <v>210</v>
      </c>
      <c r="R47">
        <f t="shared" si="4"/>
        <v>210</v>
      </c>
      <c r="S47" cm="1">
        <f t="array" ref="S47">SUMPRODUCT($E$5:$E$2315,--(YEAR($I$5:$I$2315)=$S$4),--($G$5:$G$2315=P47))</f>
        <v>210</v>
      </c>
      <c r="T47">
        <f t="shared" si="2"/>
        <v>0</v>
      </c>
    </row>
    <row r="48" spans="2:20" x14ac:dyDescent="0.2">
      <c r="B48">
        <v>10707</v>
      </c>
      <c r="C48" t="s">
        <v>8258</v>
      </c>
      <c r="D48" t="s">
        <v>8244</v>
      </c>
      <c r="E48" s="225">
        <v>780</v>
      </c>
      <c r="F48" t="s">
        <v>8386</v>
      </c>
      <c r="G48" t="s">
        <v>8387</v>
      </c>
      <c r="H48" t="s">
        <v>2434</v>
      </c>
      <c r="I48" s="99">
        <v>43955</v>
      </c>
      <c r="J48">
        <f>YEAR(I48)</f>
        <v>2020</v>
      </c>
      <c r="K48" s="99">
        <v>43962</v>
      </c>
      <c r="L48" t="s">
        <v>8266</v>
      </c>
      <c r="M48" t="s">
        <v>8267</v>
      </c>
      <c r="P48" t="s">
        <v>8331</v>
      </c>
      <c r="Q48">
        <f t="shared" si="3"/>
        <v>6596.8300000000008</v>
      </c>
      <c r="R48">
        <f t="shared" si="4"/>
        <v>6596.8300000000008</v>
      </c>
      <c r="S48" cm="1">
        <f t="array" ref="S48">SUMPRODUCT($E$5:$E$2315,--(YEAR($I$5:$I$2315)=$S$4),--($G$5:$G$2315=P48))</f>
        <v>6596.8300000000008</v>
      </c>
      <c r="T48">
        <f t="shared" si="2"/>
        <v>0</v>
      </c>
    </row>
    <row r="49" spans="2:20" x14ac:dyDescent="0.2">
      <c r="B49">
        <v>10741</v>
      </c>
      <c r="C49" t="s">
        <v>8276</v>
      </c>
      <c r="D49" t="s">
        <v>8272</v>
      </c>
      <c r="E49" s="225">
        <v>228</v>
      </c>
      <c r="F49" t="s">
        <v>8386</v>
      </c>
      <c r="G49" t="s">
        <v>8387</v>
      </c>
      <c r="H49" t="s">
        <v>2434</v>
      </c>
      <c r="I49" s="99">
        <v>43984</v>
      </c>
      <c r="J49">
        <f>YEAR(I49)</f>
        <v>2020</v>
      </c>
      <c r="K49" s="99">
        <v>43988</v>
      </c>
      <c r="L49" t="s">
        <v>8266</v>
      </c>
      <c r="M49" t="s">
        <v>8267</v>
      </c>
      <c r="P49" t="s">
        <v>8777</v>
      </c>
      <c r="Q49">
        <f t="shared" si="3"/>
        <v>2232.2199999999998</v>
      </c>
      <c r="R49">
        <f t="shared" si="4"/>
        <v>2232.2199999999998</v>
      </c>
      <c r="S49" cm="1">
        <f t="array" ref="S49">SUMPRODUCT($E$5:$E$2315,--(YEAR($I$5:$I$2315)=$S$4),--($G$5:$G$2315=P49))</f>
        <v>2232.2199999999998</v>
      </c>
      <c r="T49">
        <f t="shared" si="2"/>
        <v>0</v>
      </c>
    </row>
    <row r="50" spans="2:20" x14ac:dyDescent="0.2">
      <c r="B50">
        <v>10768</v>
      </c>
      <c r="C50" t="s">
        <v>8309</v>
      </c>
      <c r="D50" t="s">
        <v>8237</v>
      </c>
      <c r="E50" s="225">
        <v>625</v>
      </c>
      <c r="F50" t="s">
        <v>8386</v>
      </c>
      <c r="G50" t="s">
        <v>8387</v>
      </c>
      <c r="H50" t="s">
        <v>2434</v>
      </c>
      <c r="I50" s="99">
        <v>44008</v>
      </c>
      <c r="J50">
        <f>YEAR(I50)</f>
        <v>2020</v>
      </c>
      <c r="K50" s="99">
        <v>44015</v>
      </c>
      <c r="L50" t="s">
        <v>8257</v>
      </c>
      <c r="M50" t="s">
        <v>6984</v>
      </c>
      <c r="P50" t="s">
        <v>8708</v>
      </c>
      <c r="Q50">
        <f t="shared" si="3"/>
        <v>5800.9</v>
      </c>
      <c r="R50">
        <f t="shared" si="4"/>
        <v>5800.9</v>
      </c>
      <c r="S50" cm="1">
        <f t="array" ref="S50">SUMPRODUCT($E$5:$E$2315,--(YEAR($I$5:$I$2315)=$S$4),--($G$5:$G$2315=P50))</f>
        <v>5800.9</v>
      </c>
      <c r="T50">
        <f t="shared" si="2"/>
        <v>0</v>
      </c>
    </row>
    <row r="51" spans="2:20" x14ac:dyDescent="0.2">
      <c r="B51">
        <v>10768</v>
      </c>
      <c r="C51" t="s">
        <v>8268</v>
      </c>
      <c r="D51" t="s">
        <v>8237</v>
      </c>
      <c r="E51" s="225">
        <v>510</v>
      </c>
      <c r="F51" t="s">
        <v>8386</v>
      </c>
      <c r="G51" t="s">
        <v>8387</v>
      </c>
      <c r="H51" t="s">
        <v>2434</v>
      </c>
      <c r="I51" s="99">
        <v>44008</v>
      </c>
      <c r="J51">
        <f>YEAR(I51)</f>
        <v>2020</v>
      </c>
      <c r="K51" s="99">
        <v>44015</v>
      </c>
      <c r="L51" t="s">
        <v>8257</v>
      </c>
      <c r="M51" t="s">
        <v>6984</v>
      </c>
      <c r="P51" t="s">
        <v>8723</v>
      </c>
      <c r="Q51">
        <f t="shared" si="3"/>
        <v>10671.880000000001</v>
      </c>
      <c r="R51">
        <f t="shared" si="4"/>
        <v>10671.880000000001</v>
      </c>
      <c r="S51" cm="1">
        <f t="array" ref="S51">SUMPRODUCT($E$5:$E$2315,--(YEAR($I$5:$I$2315)=$S$4),--($G$5:$G$2315=P51))</f>
        <v>10671.880000000001</v>
      </c>
      <c r="T51">
        <f t="shared" si="2"/>
        <v>2530.0500000000002</v>
      </c>
    </row>
    <row r="52" spans="2:20" x14ac:dyDescent="0.2">
      <c r="B52">
        <v>10768</v>
      </c>
      <c r="C52" t="s">
        <v>8310</v>
      </c>
      <c r="D52" t="s">
        <v>8237</v>
      </c>
      <c r="E52" s="225">
        <v>258</v>
      </c>
      <c r="F52" t="s">
        <v>8386</v>
      </c>
      <c r="G52" t="s">
        <v>8387</v>
      </c>
      <c r="H52" t="s">
        <v>2434</v>
      </c>
      <c r="I52" s="99">
        <v>44008</v>
      </c>
      <c r="J52">
        <f>YEAR(I52)</f>
        <v>2020</v>
      </c>
      <c r="K52" s="99">
        <v>44015</v>
      </c>
      <c r="L52" t="s">
        <v>8257</v>
      </c>
      <c r="M52" t="s">
        <v>6984</v>
      </c>
      <c r="P52" t="s">
        <v>8751</v>
      </c>
      <c r="Q52">
        <f t="shared" si="3"/>
        <v>2406</v>
      </c>
      <c r="R52">
        <f t="shared" si="4"/>
        <v>2406</v>
      </c>
      <c r="S52" cm="1">
        <f t="array" ref="S52">SUMPRODUCT($E$5:$E$2315,--(YEAR($I$5:$I$2315)=$S$4),--($G$5:$G$2315=P52))</f>
        <v>2406</v>
      </c>
      <c r="T52">
        <f t="shared" si="2"/>
        <v>1420</v>
      </c>
    </row>
    <row r="53" spans="2:20" x14ac:dyDescent="0.2">
      <c r="B53">
        <v>10768</v>
      </c>
      <c r="C53" t="s">
        <v>8259</v>
      </c>
      <c r="D53" t="s">
        <v>8244</v>
      </c>
      <c r="E53" s="225">
        <v>84</v>
      </c>
      <c r="F53" t="s">
        <v>8386</v>
      </c>
      <c r="G53" t="s">
        <v>8387</v>
      </c>
      <c r="H53" t="s">
        <v>2434</v>
      </c>
      <c r="I53" s="99">
        <v>44008</v>
      </c>
      <c r="J53">
        <f>YEAR(I53)</f>
        <v>2020</v>
      </c>
      <c r="K53" s="99">
        <v>44015</v>
      </c>
      <c r="L53" t="s">
        <v>8257</v>
      </c>
      <c r="M53" t="s">
        <v>6984</v>
      </c>
      <c r="P53" t="s">
        <v>8313</v>
      </c>
      <c r="Q53">
        <f t="shared" si="3"/>
        <v>3631.72</v>
      </c>
      <c r="R53">
        <f t="shared" si="4"/>
        <v>3631.72</v>
      </c>
      <c r="S53" cm="1">
        <f t="array" ref="S53">SUMPRODUCT($E$5:$E$2315,--(YEAR($I$5:$I$2315)=$S$4),--($G$5:$G$2315=P53))</f>
        <v>3631.72</v>
      </c>
      <c r="T53">
        <f t="shared" si="2"/>
        <v>1326.22</v>
      </c>
    </row>
    <row r="54" spans="2:20" x14ac:dyDescent="0.2">
      <c r="B54">
        <v>10793</v>
      </c>
      <c r="C54" t="s">
        <v>8369</v>
      </c>
      <c r="D54" t="s">
        <v>8244</v>
      </c>
      <c r="E54" s="225">
        <v>56</v>
      </c>
      <c r="F54" t="s">
        <v>8386</v>
      </c>
      <c r="G54" t="s">
        <v>8387</v>
      </c>
      <c r="H54" t="s">
        <v>2434</v>
      </c>
      <c r="I54" s="99">
        <v>44024</v>
      </c>
      <c r="J54">
        <f>YEAR(I54)</f>
        <v>2020</v>
      </c>
      <c r="K54" s="99">
        <v>44039</v>
      </c>
      <c r="L54" t="s">
        <v>8257</v>
      </c>
      <c r="M54" t="s">
        <v>6984</v>
      </c>
      <c r="P54" t="s">
        <v>8421</v>
      </c>
      <c r="Q54">
        <f t="shared" si="3"/>
        <v>8463.5699999999979</v>
      </c>
      <c r="R54">
        <f t="shared" si="4"/>
        <v>8463.5699999999979</v>
      </c>
      <c r="S54" cm="1">
        <f t="array" ref="S54">SUMPRODUCT($E$5:$E$2315,--(YEAR($I$5:$I$2315)=$S$4),--($G$5:$G$2315=P54))</f>
        <v>8463.5699999999979</v>
      </c>
      <c r="T54">
        <f t="shared" si="2"/>
        <v>1434</v>
      </c>
    </row>
    <row r="55" spans="2:20" x14ac:dyDescent="0.2">
      <c r="B55">
        <v>10864</v>
      </c>
      <c r="C55" t="s">
        <v>8323</v>
      </c>
      <c r="D55" t="s">
        <v>8272</v>
      </c>
      <c r="E55" s="225">
        <v>72</v>
      </c>
      <c r="F55" t="s">
        <v>8386</v>
      </c>
      <c r="G55" t="s">
        <v>8387</v>
      </c>
      <c r="H55" t="s">
        <v>2434</v>
      </c>
      <c r="I55" s="99">
        <v>44063</v>
      </c>
      <c r="J55">
        <f>YEAR(I55)</f>
        <v>2020</v>
      </c>
      <c r="K55" s="99">
        <v>44070</v>
      </c>
      <c r="L55" t="s">
        <v>8266</v>
      </c>
      <c r="M55" t="s">
        <v>8267</v>
      </c>
      <c r="P55" t="s">
        <v>8759</v>
      </c>
      <c r="Q55">
        <f t="shared" si="3"/>
        <v>11775.939999999999</v>
      </c>
      <c r="R55">
        <f t="shared" si="4"/>
        <v>11775.939999999999</v>
      </c>
      <c r="S55" cm="1">
        <f t="array" ref="S55">SUMPRODUCT($E$5:$E$2315,--(YEAR($I$5:$I$2315)=$S$4),--($G$5:$G$2315=P55))</f>
        <v>11775.939999999999</v>
      </c>
      <c r="T55">
        <f t="shared" si="2"/>
        <v>0</v>
      </c>
    </row>
    <row r="56" spans="2:20" x14ac:dyDescent="0.2">
      <c r="B56">
        <v>10864</v>
      </c>
      <c r="C56" t="s">
        <v>8329</v>
      </c>
      <c r="D56" t="s">
        <v>8272</v>
      </c>
      <c r="E56" s="225">
        <v>210</v>
      </c>
      <c r="F56" t="s">
        <v>8386</v>
      </c>
      <c r="G56" t="s">
        <v>8387</v>
      </c>
      <c r="H56" t="s">
        <v>2434</v>
      </c>
      <c r="I56" s="99">
        <v>44063</v>
      </c>
      <c r="J56">
        <f>YEAR(I56)</f>
        <v>2020</v>
      </c>
      <c r="K56" s="99">
        <v>44070</v>
      </c>
      <c r="L56" t="s">
        <v>8266</v>
      </c>
      <c r="M56" t="s">
        <v>8267</v>
      </c>
      <c r="P56" t="s">
        <v>8315</v>
      </c>
      <c r="Q56">
        <f t="shared" si="3"/>
        <v>3721.4</v>
      </c>
      <c r="R56">
        <f t="shared" si="4"/>
        <v>3721.4</v>
      </c>
      <c r="S56" cm="1">
        <f t="array" ref="S56">SUMPRODUCT($E$5:$E$2315,--(YEAR($I$5:$I$2315)=$S$4),--($G$5:$G$2315=P56))</f>
        <v>3721.4</v>
      </c>
      <c r="T56">
        <f t="shared" si="2"/>
        <v>0</v>
      </c>
    </row>
    <row r="57" spans="2:20" x14ac:dyDescent="0.2">
      <c r="B57">
        <v>10920</v>
      </c>
      <c r="C57" t="s">
        <v>8381</v>
      </c>
      <c r="D57" t="s">
        <v>8262</v>
      </c>
      <c r="E57" s="225">
        <v>390</v>
      </c>
      <c r="F57" t="s">
        <v>8386</v>
      </c>
      <c r="G57" t="s">
        <v>8387</v>
      </c>
      <c r="H57" t="s">
        <v>2434</v>
      </c>
      <c r="I57" s="99">
        <v>44092</v>
      </c>
      <c r="J57">
        <f>YEAR(I57)</f>
        <v>2020</v>
      </c>
      <c r="K57" s="99">
        <v>44098</v>
      </c>
      <c r="L57" t="s">
        <v>8266</v>
      </c>
      <c r="M57" t="s">
        <v>8267</v>
      </c>
      <c r="P57" t="s">
        <v>8419</v>
      </c>
      <c r="Q57">
        <f t="shared" si="3"/>
        <v>297</v>
      </c>
      <c r="R57">
        <f t="shared" si="4"/>
        <v>297</v>
      </c>
      <c r="S57" cm="1">
        <f t="array" ref="S57">SUMPRODUCT($E$5:$E$2315,--(YEAR($I$5:$I$2315)=$S$4),--($G$5:$G$2315=P57))</f>
        <v>297</v>
      </c>
      <c r="T57">
        <f t="shared" si="2"/>
        <v>0</v>
      </c>
    </row>
    <row r="58" spans="2:20" x14ac:dyDescent="0.2">
      <c r="B58">
        <v>10953</v>
      </c>
      <c r="C58" t="s">
        <v>8260</v>
      </c>
      <c r="D58" t="s">
        <v>8262</v>
      </c>
      <c r="E58" s="225">
        <v>3847.5</v>
      </c>
      <c r="F58" t="s">
        <v>8386</v>
      </c>
      <c r="G58" t="s">
        <v>8387</v>
      </c>
      <c r="H58" t="s">
        <v>2434</v>
      </c>
      <c r="I58" s="99">
        <v>44105</v>
      </c>
      <c r="J58">
        <f>YEAR(I58)</f>
        <v>2020</v>
      </c>
      <c r="K58" s="99">
        <v>44114</v>
      </c>
      <c r="L58" t="s">
        <v>8279</v>
      </c>
      <c r="M58" t="s">
        <v>710</v>
      </c>
      <c r="P58" t="s">
        <v>8767</v>
      </c>
      <c r="Q58">
        <f t="shared" si="3"/>
        <v>3001</v>
      </c>
      <c r="R58">
        <f t="shared" si="4"/>
        <v>3001</v>
      </c>
      <c r="S58" cm="1">
        <f t="array" ref="S58">SUMPRODUCT($E$5:$E$2315,--(YEAR($I$5:$I$2315)=$S$4),--($G$5:$G$2315=P58))</f>
        <v>3001</v>
      </c>
      <c r="T58">
        <f t="shared" si="2"/>
        <v>0</v>
      </c>
    </row>
    <row r="59" spans="2:20" x14ac:dyDescent="0.2">
      <c r="B59">
        <v>10953</v>
      </c>
      <c r="C59" t="s">
        <v>8309</v>
      </c>
      <c r="D59" t="s">
        <v>8237</v>
      </c>
      <c r="E59" s="225">
        <v>593.75</v>
      </c>
      <c r="F59" t="s">
        <v>8386</v>
      </c>
      <c r="G59" t="s">
        <v>8387</v>
      </c>
      <c r="H59" t="s">
        <v>2434</v>
      </c>
      <c r="I59" s="99">
        <v>44105</v>
      </c>
      <c r="J59">
        <f>YEAR(I59)</f>
        <v>2020</v>
      </c>
      <c r="K59" s="99">
        <v>44114</v>
      </c>
      <c r="L59" t="s">
        <v>8279</v>
      </c>
      <c r="M59" t="s">
        <v>710</v>
      </c>
      <c r="P59" t="s">
        <v>8755</v>
      </c>
      <c r="Q59">
        <f t="shared" si="3"/>
        <v>13427.05</v>
      </c>
      <c r="R59">
        <f t="shared" si="4"/>
        <v>13427.05</v>
      </c>
      <c r="S59" cm="1">
        <f t="array" ref="S59">SUMPRODUCT($E$5:$E$2315,--(YEAR($I$5:$I$2315)=$S$4),--($G$5:$G$2315=P59))</f>
        <v>13427.05</v>
      </c>
      <c r="T59">
        <f t="shared" si="2"/>
        <v>1755</v>
      </c>
    </row>
    <row r="60" spans="2:20" x14ac:dyDescent="0.2">
      <c r="B60">
        <v>11016</v>
      </c>
      <c r="C60" t="s">
        <v>8309</v>
      </c>
      <c r="D60" t="s">
        <v>8237</v>
      </c>
      <c r="E60" s="225">
        <v>187.5</v>
      </c>
      <c r="F60" t="s">
        <v>8386</v>
      </c>
      <c r="G60" t="s">
        <v>8387</v>
      </c>
      <c r="H60" t="s">
        <v>2434</v>
      </c>
      <c r="I60" s="99">
        <v>44130</v>
      </c>
      <c r="J60">
        <f>YEAR(I60)</f>
        <v>2020</v>
      </c>
      <c r="K60" s="99">
        <v>44133</v>
      </c>
      <c r="L60" t="s">
        <v>8279</v>
      </c>
      <c r="M60" t="s">
        <v>710</v>
      </c>
      <c r="P60" t="s">
        <v>8290</v>
      </c>
      <c r="Q60">
        <f t="shared" si="3"/>
        <v>6297.08</v>
      </c>
      <c r="R60">
        <f t="shared" si="4"/>
        <v>6297.08</v>
      </c>
      <c r="S60" cm="1">
        <f t="array" ref="S60">SUMPRODUCT($E$5:$E$2315,--(YEAR($I$5:$I$2315)=$S$4),--($G$5:$G$2315=P60))</f>
        <v>6297.08</v>
      </c>
      <c r="T60">
        <f t="shared" si="2"/>
        <v>0</v>
      </c>
    </row>
    <row r="61" spans="2:20" x14ac:dyDescent="0.2">
      <c r="B61">
        <v>11102</v>
      </c>
      <c r="C61" t="s">
        <v>8270</v>
      </c>
      <c r="D61" t="s">
        <v>8272</v>
      </c>
      <c r="E61" s="225">
        <v>90</v>
      </c>
      <c r="F61" t="s">
        <v>8386</v>
      </c>
      <c r="G61" t="s">
        <v>8387</v>
      </c>
      <c r="H61" t="s">
        <v>2434</v>
      </c>
      <c r="I61" s="99">
        <v>43820</v>
      </c>
      <c r="J61">
        <f>YEAR(I61)</f>
        <v>2019</v>
      </c>
      <c r="K61" s="99">
        <v>43825</v>
      </c>
      <c r="L61" t="s">
        <v>8251</v>
      </c>
      <c r="M61" t="s">
        <v>269</v>
      </c>
      <c r="P61" t="s">
        <v>8705</v>
      </c>
      <c r="Q61">
        <f t="shared" si="3"/>
        <v>1496</v>
      </c>
      <c r="R61">
        <f t="shared" si="4"/>
        <v>1496</v>
      </c>
      <c r="S61" cm="1">
        <f t="array" ref="S61">SUMPRODUCT($E$5:$E$2315,--(YEAR($I$5:$I$2315)=$S$4),--($G$5:$G$2315=P61))</f>
        <v>1496</v>
      </c>
      <c r="T61">
        <f t="shared" si="2"/>
        <v>0</v>
      </c>
    </row>
    <row r="62" spans="2:20" x14ac:dyDescent="0.2">
      <c r="B62">
        <v>11102</v>
      </c>
      <c r="C62" t="s">
        <v>8258</v>
      </c>
      <c r="D62" t="s">
        <v>8244</v>
      </c>
      <c r="E62" s="225">
        <v>390</v>
      </c>
      <c r="F62" t="s">
        <v>8386</v>
      </c>
      <c r="G62" t="s">
        <v>8387</v>
      </c>
      <c r="H62" t="s">
        <v>2434</v>
      </c>
      <c r="I62" s="99">
        <v>43820</v>
      </c>
      <c r="J62">
        <f>YEAR(I62)</f>
        <v>2019</v>
      </c>
      <c r="K62" s="99">
        <v>43825</v>
      </c>
      <c r="L62" t="s">
        <v>8251</v>
      </c>
      <c r="M62" t="s">
        <v>269</v>
      </c>
      <c r="P62" t="s">
        <v>8385</v>
      </c>
      <c r="Q62">
        <f t="shared" si="3"/>
        <v>4801.63</v>
      </c>
      <c r="R62">
        <f t="shared" si="4"/>
        <v>4801.63</v>
      </c>
      <c r="S62" cm="1">
        <f t="array" ref="S62">SUMPRODUCT($E$5:$E$2315,--(YEAR($I$5:$I$2315)=$S$4),--($G$5:$G$2315=P62))</f>
        <v>4801.63</v>
      </c>
      <c r="T62">
        <f t="shared" si="2"/>
        <v>0</v>
      </c>
    </row>
    <row r="63" spans="2:20" x14ac:dyDescent="0.2">
      <c r="B63">
        <v>11117</v>
      </c>
      <c r="C63" t="s">
        <v>8381</v>
      </c>
      <c r="D63" t="s">
        <v>8262</v>
      </c>
      <c r="E63" s="225">
        <v>195</v>
      </c>
      <c r="F63" t="s">
        <v>8386</v>
      </c>
      <c r="G63" t="s">
        <v>8387</v>
      </c>
      <c r="H63" t="s">
        <v>2434</v>
      </c>
      <c r="I63" s="99">
        <v>43851</v>
      </c>
      <c r="J63">
        <f>YEAR(I63)</f>
        <v>2020</v>
      </c>
      <c r="K63" s="99">
        <v>43853</v>
      </c>
      <c r="L63" t="s">
        <v>8320</v>
      </c>
      <c r="M63" t="s">
        <v>8321</v>
      </c>
      <c r="P63" t="s">
        <v>8371</v>
      </c>
      <c r="Q63">
        <f t="shared" si="3"/>
        <v>1396</v>
      </c>
      <c r="R63">
        <f t="shared" si="4"/>
        <v>1396</v>
      </c>
      <c r="S63" cm="1">
        <f t="array" ref="S63">SUMPRODUCT($E$5:$E$2315,--(YEAR($I$5:$I$2315)=$S$4),--($G$5:$G$2315=P63))</f>
        <v>1396</v>
      </c>
      <c r="T63">
        <f t="shared" si="2"/>
        <v>0</v>
      </c>
    </row>
    <row r="64" spans="2:20" x14ac:dyDescent="0.2">
      <c r="B64">
        <v>11117</v>
      </c>
      <c r="C64" t="s">
        <v>8341</v>
      </c>
      <c r="D64" t="s">
        <v>8244</v>
      </c>
      <c r="E64" s="225">
        <v>608</v>
      </c>
      <c r="F64" t="s">
        <v>8386</v>
      </c>
      <c r="G64" t="s">
        <v>8387</v>
      </c>
      <c r="H64" t="s">
        <v>2434</v>
      </c>
      <c r="I64" s="99">
        <v>43851</v>
      </c>
      <c r="J64">
        <f>YEAR(I64)</f>
        <v>2020</v>
      </c>
      <c r="K64" s="99">
        <v>43853</v>
      </c>
      <c r="L64" t="s">
        <v>8320</v>
      </c>
      <c r="M64" t="s">
        <v>8321</v>
      </c>
      <c r="P64" t="s">
        <v>8735</v>
      </c>
      <c r="Q64">
        <f t="shared" si="3"/>
        <v>3587.38</v>
      </c>
      <c r="R64">
        <f t="shared" si="4"/>
        <v>3587.38</v>
      </c>
      <c r="S64" cm="1">
        <f t="array" ref="S64">SUMPRODUCT($E$5:$E$2315,--(YEAR($I$5:$I$2315)=$S$4),--($G$5:$G$2315=P64))</f>
        <v>3587.38</v>
      </c>
      <c r="T64">
        <f t="shared" si="2"/>
        <v>636</v>
      </c>
    </row>
    <row r="65" spans="2:20" x14ac:dyDescent="0.2">
      <c r="B65">
        <v>11155</v>
      </c>
      <c r="C65" t="s">
        <v>8288</v>
      </c>
      <c r="D65" t="s">
        <v>8272</v>
      </c>
      <c r="E65" s="225">
        <v>270</v>
      </c>
      <c r="F65" t="s">
        <v>8386</v>
      </c>
      <c r="G65" t="s">
        <v>8387</v>
      </c>
      <c r="H65" t="s">
        <v>2434</v>
      </c>
      <c r="I65" s="99">
        <v>43918</v>
      </c>
      <c r="J65">
        <f>YEAR(I65)</f>
        <v>2020</v>
      </c>
      <c r="K65" s="99">
        <v>43923</v>
      </c>
      <c r="L65" t="s">
        <v>8285</v>
      </c>
      <c r="M65" t="s">
        <v>2317</v>
      </c>
      <c r="P65" t="s">
        <v>8711</v>
      </c>
      <c r="Q65">
        <f t="shared" si="3"/>
        <v>12070.42</v>
      </c>
      <c r="R65">
        <f t="shared" si="4"/>
        <v>12070.42</v>
      </c>
      <c r="S65" cm="1">
        <f t="array" ref="S65">SUMPRODUCT($E$5:$E$2315,--(YEAR($I$5:$I$2315)=$S$4),--($G$5:$G$2315=P65))</f>
        <v>12070.42</v>
      </c>
      <c r="T65">
        <f t="shared" si="2"/>
        <v>3569.44</v>
      </c>
    </row>
    <row r="66" spans="2:20" x14ac:dyDescent="0.2">
      <c r="B66">
        <v>11155</v>
      </c>
      <c r="C66" t="s">
        <v>8406</v>
      </c>
      <c r="D66" t="s">
        <v>8262</v>
      </c>
      <c r="E66" s="225">
        <v>137.69999999999999</v>
      </c>
      <c r="F66" t="s">
        <v>8386</v>
      </c>
      <c r="G66" t="s">
        <v>8387</v>
      </c>
      <c r="H66" t="s">
        <v>2434</v>
      </c>
      <c r="I66" s="99">
        <v>43918</v>
      </c>
      <c r="J66">
        <f>YEAR(I66)</f>
        <v>2020</v>
      </c>
      <c r="K66" s="99">
        <v>43923</v>
      </c>
      <c r="L66" t="s">
        <v>8285</v>
      </c>
      <c r="M66" t="s">
        <v>2317</v>
      </c>
      <c r="P66" t="s">
        <v>8308</v>
      </c>
      <c r="Q66">
        <f t="shared" si="3"/>
        <v>55893.789999999994</v>
      </c>
      <c r="R66">
        <f t="shared" si="4"/>
        <v>55893.789999999994</v>
      </c>
      <c r="S66" cm="1">
        <f t="array" ref="S66">SUMPRODUCT($E$5:$E$2315,--(YEAR($I$5:$I$2315)=$S$4),--($G$5:$G$2315=P66))</f>
        <v>55893.789999999994</v>
      </c>
      <c r="T66">
        <f t="shared" si="2"/>
        <v>3241</v>
      </c>
    </row>
    <row r="67" spans="2:20" x14ac:dyDescent="0.2">
      <c r="B67">
        <v>11207</v>
      </c>
      <c r="C67" t="s">
        <v>8410</v>
      </c>
      <c r="D67" t="s">
        <v>8262</v>
      </c>
      <c r="E67" s="225">
        <v>237.5</v>
      </c>
      <c r="F67" t="s">
        <v>8386</v>
      </c>
      <c r="G67" t="s">
        <v>8387</v>
      </c>
      <c r="H67" t="s">
        <v>2434</v>
      </c>
      <c r="I67" s="99">
        <v>44021</v>
      </c>
      <c r="J67">
        <f>YEAR(I67)</f>
        <v>2020</v>
      </c>
      <c r="K67" s="99">
        <v>44027</v>
      </c>
      <c r="L67" t="s">
        <v>8285</v>
      </c>
      <c r="M67" t="s">
        <v>2317</v>
      </c>
      <c r="P67" t="s">
        <v>8725</v>
      </c>
      <c r="Q67">
        <f t="shared" si="3"/>
        <v>2364.6999999999998</v>
      </c>
      <c r="R67">
        <f t="shared" si="4"/>
        <v>2364.6999999999998</v>
      </c>
      <c r="S67" cm="1">
        <f t="array" ref="S67">SUMPRODUCT($E$5:$E$2315,--(YEAR($I$5:$I$2315)=$S$4),--($G$5:$G$2315=P67))</f>
        <v>2364.6999999999998</v>
      </c>
      <c r="T67">
        <f t="shared" si="2"/>
        <v>0</v>
      </c>
    </row>
    <row r="68" spans="2:20" x14ac:dyDescent="0.2">
      <c r="B68">
        <v>11207</v>
      </c>
      <c r="C68" t="s">
        <v>8369</v>
      </c>
      <c r="D68" t="s">
        <v>8244</v>
      </c>
      <c r="E68" s="225">
        <v>210</v>
      </c>
      <c r="F68" t="s">
        <v>8386</v>
      </c>
      <c r="G68" t="s">
        <v>8387</v>
      </c>
      <c r="H68" t="s">
        <v>2434</v>
      </c>
      <c r="I68" s="99">
        <v>44021</v>
      </c>
      <c r="J68">
        <f>YEAR(I68)</f>
        <v>2020</v>
      </c>
      <c r="K68" s="99">
        <v>44027</v>
      </c>
      <c r="L68" t="s">
        <v>8285</v>
      </c>
      <c r="M68" t="s">
        <v>2317</v>
      </c>
      <c r="P68" t="s">
        <v>8702</v>
      </c>
      <c r="Q68">
        <f t="shared" si="3"/>
        <v>24592.839999999993</v>
      </c>
      <c r="R68">
        <f t="shared" si="4"/>
        <v>24592.839999999993</v>
      </c>
      <c r="S68" cm="1">
        <f t="array" ref="S68">SUMPRODUCT($E$5:$E$2315,--(YEAR($I$5:$I$2315)=$S$4),--($G$5:$G$2315=P68))</f>
        <v>24592.839999999993</v>
      </c>
      <c r="T68">
        <f t="shared" si="2"/>
        <v>0</v>
      </c>
    </row>
    <row r="69" spans="2:20" x14ac:dyDescent="0.2">
      <c r="B69">
        <v>11207</v>
      </c>
      <c r="C69" t="s">
        <v>8245</v>
      </c>
      <c r="D69" t="s">
        <v>8247</v>
      </c>
      <c r="E69" s="225">
        <v>1060</v>
      </c>
      <c r="F69" t="s">
        <v>8386</v>
      </c>
      <c r="G69" t="s">
        <v>8387</v>
      </c>
      <c r="H69" t="s">
        <v>2434</v>
      </c>
      <c r="I69" s="99">
        <v>44021</v>
      </c>
      <c r="J69">
        <f>YEAR(I69)</f>
        <v>2020</v>
      </c>
      <c r="K69" s="99">
        <v>44027</v>
      </c>
      <c r="L69" t="s">
        <v>8285</v>
      </c>
      <c r="M69" t="s">
        <v>2317</v>
      </c>
      <c r="P69" t="s">
        <v>8336</v>
      </c>
      <c r="Q69">
        <f t="shared" ref="Q69:Q93" si="5">SUMIFS($E$5:$E$2315,$G$5:$G$2315,P69,$J$5:$J$2315,$Q$4)</f>
        <v>4612.2</v>
      </c>
      <c r="R69">
        <f t="shared" ref="R69:R93" si="6">SUMIFS($E$5:$E$2315,$G$5:$G$2315,P69,$I$5:$I$2315,"&gt;= " &amp; DATE($R$4,1,1),$I$5:$I$2315,"&lt;= " &amp; DATE($R$4,12,31))</f>
        <v>4612.2</v>
      </c>
      <c r="S69" cm="1">
        <f t="array" ref="S69">SUMPRODUCT($E$5:$E$2315,--(YEAR($I$5:$I$2315)=$S$4),--($G$5:$G$2315=P69))</f>
        <v>4612.2</v>
      </c>
      <c r="T69">
        <f t="shared" si="2"/>
        <v>0</v>
      </c>
    </row>
    <row r="70" spans="2:20" x14ac:dyDescent="0.2">
      <c r="B70">
        <v>11280</v>
      </c>
      <c r="C70" t="s">
        <v>8288</v>
      </c>
      <c r="D70" t="s">
        <v>8272</v>
      </c>
      <c r="E70" s="225">
        <v>357</v>
      </c>
      <c r="F70" t="s">
        <v>8386</v>
      </c>
      <c r="G70" t="s">
        <v>8387</v>
      </c>
      <c r="H70" t="s">
        <v>2434</v>
      </c>
      <c r="I70" s="99">
        <v>44155</v>
      </c>
      <c r="J70">
        <f>YEAR(I70)</f>
        <v>2020</v>
      </c>
      <c r="K70" s="99">
        <v>44162</v>
      </c>
      <c r="L70" t="s">
        <v>8266</v>
      </c>
      <c r="M70" t="s">
        <v>8267</v>
      </c>
      <c r="P70" t="s">
        <v>8715</v>
      </c>
      <c r="Q70">
        <f t="shared" si="5"/>
        <v>5300.39</v>
      </c>
      <c r="R70">
        <f t="shared" si="6"/>
        <v>5300.39</v>
      </c>
      <c r="S70" cm="1">
        <f t="array" ref="S70">SUMPRODUCT($E$5:$E$2315,--(YEAR($I$5:$I$2315)=$S$4),--($G$5:$G$2315=P70))</f>
        <v>5300.39</v>
      </c>
      <c r="T70">
        <f t="shared" ref="T70:T93" si="7">SUMIFS($E$5:$E$1923,$G$5:$G$1923,P70,$I$5:$I$1923,"&gt;" &amp; EOMONTH($T$4,-1),$I$5:$I$1923,"&lt;=" &amp; EOMONTH($T$4,0))</f>
        <v>372.37</v>
      </c>
    </row>
    <row r="71" spans="2:20" x14ac:dyDescent="0.2">
      <c r="B71">
        <v>11280</v>
      </c>
      <c r="C71" t="s">
        <v>8258</v>
      </c>
      <c r="D71" t="s">
        <v>8244</v>
      </c>
      <c r="E71" s="225">
        <v>780</v>
      </c>
      <c r="F71" t="s">
        <v>8386</v>
      </c>
      <c r="G71" t="s">
        <v>8387</v>
      </c>
      <c r="H71" t="s">
        <v>2434</v>
      </c>
      <c r="I71" s="99">
        <v>44155</v>
      </c>
      <c r="J71">
        <f>YEAR(I71)</f>
        <v>2020</v>
      </c>
      <c r="K71" s="99">
        <v>44162</v>
      </c>
      <c r="L71" t="s">
        <v>8266</v>
      </c>
      <c r="M71" t="s">
        <v>8267</v>
      </c>
      <c r="P71" t="s">
        <v>8278</v>
      </c>
      <c r="Q71">
        <f t="shared" si="5"/>
        <v>4832.1200000000008</v>
      </c>
      <c r="R71">
        <f t="shared" si="6"/>
        <v>4832.1200000000008</v>
      </c>
      <c r="S71" cm="1">
        <f t="array" ref="S71">SUMPRODUCT($E$5:$E$2315,--(YEAR($I$5:$I$2315)=$S$4),--($G$5:$G$2315=P71))</f>
        <v>4832.1200000000008</v>
      </c>
      <c r="T71">
        <f t="shared" si="7"/>
        <v>210.5</v>
      </c>
    </row>
    <row r="72" spans="2:20" x14ac:dyDescent="0.2">
      <c r="B72">
        <v>11305</v>
      </c>
      <c r="C72" t="s">
        <v>8276</v>
      </c>
      <c r="D72" t="s">
        <v>8272</v>
      </c>
      <c r="E72" s="225">
        <v>228</v>
      </c>
      <c r="F72" t="s">
        <v>8386</v>
      </c>
      <c r="G72" t="s">
        <v>8387</v>
      </c>
      <c r="H72" t="s">
        <v>2434</v>
      </c>
      <c r="I72" s="99">
        <v>44184</v>
      </c>
      <c r="J72">
        <f>YEAR(I72)</f>
        <v>2020</v>
      </c>
      <c r="K72" s="99">
        <v>44188</v>
      </c>
      <c r="L72" t="s">
        <v>8266</v>
      </c>
      <c r="M72" t="s">
        <v>8267</v>
      </c>
      <c r="P72" t="s">
        <v>8326</v>
      </c>
      <c r="Q72">
        <f t="shared" si="5"/>
        <v>511</v>
      </c>
      <c r="R72">
        <f t="shared" si="6"/>
        <v>511</v>
      </c>
      <c r="S72" cm="1">
        <f t="array" ref="S72">SUMPRODUCT($E$5:$E$2315,--(YEAR($I$5:$I$2315)=$S$4),--($G$5:$G$2315=P72))</f>
        <v>511</v>
      </c>
      <c r="T72">
        <f t="shared" si="7"/>
        <v>0</v>
      </c>
    </row>
    <row r="73" spans="2:20" x14ac:dyDescent="0.2">
      <c r="B73">
        <v>11321</v>
      </c>
      <c r="C73" t="s">
        <v>8309</v>
      </c>
      <c r="D73" t="s">
        <v>8237</v>
      </c>
      <c r="E73" s="225">
        <v>625</v>
      </c>
      <c r="F73" t="s">
        <v>8386</v>
      </c>
      <c r="G73" t="s">
        <v>8387</v>
      </c>
      <c r="H73" t="s">
        <v>2434</v>
      </c>
      <c r="I73" s="99">
        <v>44208</v>
      </c>
      <c r="J73">
        <f>YEAR(I73)</f>
        <v>2021</v>
      </c>
      <c r="K73" s="99">
        <v>44215</v>
      </c>
      <c r="L73" t="s">
        <v>8257</v>
      </c>
      <c r="M73" t="s">
        <v>6984</v>
      </c>
      <c r="P73" t="s">
        <v>8405</v>
      </c>
      <c r="Q73">
        <f t="shared" si="5"/>
        <v>3540.15</v>
      </c>
      <c r="R73">
        <f t="shared" si="6"/>
        <v>3540.15</v>
      </c>
      <c r="S73" cm="1">
        <f t="array" ref="S73">SUMPRODUCT($E$5:$E$2315,--(YEAR($I$5:$I$2315)=$S$4),--($G$5:$G$2315=P73))</f>
        <v>3540.15</v>
      </c>
      <c r="T73">
        <f t="shared" si="7"/>
        <v>0</v>
      </c>
    </row>
    <row r="74" spans="2:20" x14ac:dyDescent="0.2">
      <c r="B74">
        <v>11321</v>
      </c>
      <c r="C74" t="s">
        <v>8268</v>
      </c>
      <c r="D74" t="s">
        <v>8237</v>
      </c>
      <c r="E74" s="225">
        <v>510</v>
      </c>
      <c r="F74" t="s">
        <v>8386</v>
      </c>
      <c r="G74" t="s">
        <v>8387</v>
      </c>
      <c r="H74" t="s">
        <v>2434</v>
      </c>
      <c r="I74" s="99">
        <v>44208</v>
      </c>
      <c r="J74">
        <f>YEAR(I74)</f>
        <v>2021</v>
      </c>
      <c r="K74" s="99">
        <v>44215</v>
      </c>
      <c r="L74" t="s">
        <v>8257</v>
      </c>
      <c r="M74" t="s">
        <v>6984</v>
      </c>
      <c r="P74" t="s">
        <v>8757</v>
      </c>
      <c r="Q74">
        <f t="shared" si="5"/>
        <v>79782.999999999985</v>
      </c>
      <c r="R74">
        <f t="shared" si="6"/>
        <v>79782.999999999985</v>
      </c>
      <c r="S74" cm="1">
        <f t="array" ref="S74">SUMPRODUCT($E$5:$E$2315,--(YEAR($I$5:$I$2315)=$S$4),--($G$5:$G$2315=P74))</f>
        <v>79782.999999999985</v>
      </c>
      <c r="T74">
        <f t="shared" si="7"/>
        <v>8523.0299999999988</v>
      </c>
    </row>
    <row r="75" spans="2:20" x14ac:dyDescent="0.2">
      <c r="B75">
        <v>11321</v>
      </c>
      <c r="C75" t="s">
        <v>8310</v>
      </c>
      <c r="D75" t="s">
        <v>8237</v>
      </c>
      <c r="E75" s="225">
        <v>258</v>
      </c>
      <c r="F75" t="s">
        <v>8386</v>
      </c>
      <c r="G75" t="s">
        <v>8387</v>
      </c>
      <c r="H75" t="s">
        <v>2434</v>
      </c>
      <c r="I75" s="99">
        <v>44208</v>
      </c>
      <c r="J75">
        <f>YEAR(I75)</f>
        <v>2021</v>
      </c>
      <c r="K75" s="99">
        <v>44215</v>
      </c>
      <c r="L75" t="s">
        <v>8257</v>
      </c>
      <c r="M75" t="s">
        <v>6984</v>
      </c>
      <c r="P75" t="s">
        <v>8389</v>
      </c>
      <c r="Q75">
        <f t="shared" si="5"/>
        <v>4214.3999999999996</v>
      </c>
      <c r="R75">
        <f t="shared" si="6"/>
        <v>4214.3999999999996</v>
      </c>
      <c r="S75" cm="1">
        <f t="array" ref="S75">SUMPRODUCT($E$5:$E$2315,--(YEAR($I$5:$I$2315)=$S$4),--($G$5:$G$2315=P75))</f>
        <v>4214.3999999999996</v>
      </c>
      <c r="T75">
        <f t="shared" si="7"/>
        <v>0</v>
      </c>
    </row>
    <row r="76" spans="2:20" x14ac:dyDescent="0.2">
      <c r="B76">
        <v>11321</v>
      </c>
      <c r="C76" t="s">
        <v>8259</v>
      </c>
      <c r="D76" t="s">
        <v>8244</v>
      </c>
      <c r="E76" s="225">
        <v>84</v>
      </c>
      <c r="F76" t="s">
        <v>8386</v>
      </c>
      <c r="G76" t="s">
        <v>8387</v>
      </c>
      <c r="H76" t="s">
        <v>2434</v>
      </c>
      <c r="I76" s="99">
        <v>44208</v>
      </c>
      <c r="J76">
        <f>YEAR(I76)</f>
        <v>2021</v>
      </c>
      <c r="K76" s="99">
        <v>44215</v>
      </c>
      <c r="L76" t="s">
        <v>8257</v>
      </c>
      <c r="M76" t="s">
        <v>6984</v>
      </c>
      <c r="P76" t="s">
        <v>8376</v>
      </c>
      <c r="Q76">
        <f t="shared" si="5"/>
        <v>2305.46</v>
      </c>
      <c r="R76">
        <f t="shared" si="6"/>
        <v>2305.46</v>
      </c>
      <c r="S76" cm="1">
        <f t="array" ref="S76">SUMPRODUCT($E$5:$E$2315,--(YEAR($I$5:$I$2315)=$S$4),--($G$5:$G$2315=P76))</f>
        <v>2305.46</v>
      </c>
      <c r="T76">
        <f t="shared" si="7"/>
        <v>696</v>
      </c>
    </row>
    <row r="77" spans="2:20" x14ac:dyDescent="0.2">
      <c r="B77">
        <v>11368</v>
      </c>
      <c r="C77" t="s">
        <v>8323</v>
      </c>
      <c r="D77" t="s">
        <v>8272</v>
      </c>
      <c r="E77" s="225">
        <v>72</v>
      </c>
      <c r="F77" t="s">
        <v>8386</v>
      </c>
      <c r="G77" t="s">
        <v>8387</v>
      </c>
      <c r="H77" t="s">
        <v>2434</v>
      </c>
      <c r="I77" s="99">
        <v>44263</v>
      </c>
      <c r="J77">
        <f>YEAR(I77)</f>
        <v>2021</v>
      </c>
      <c r="K77" s="99">
        <v>44270</v>
      </c>
      <c r="L77" t="s">
        <v>8266</v>
      </c>
      <c r="M77" t="s">
        <v>8267</v>
      </c>
      <c r="P77" t="s">
        <v>8429</v>
      </c>
      <c r="Q77">
        <f t="shared" si="5"/>
        <v>2100.6999999999998</v>
      </c>
      <c r="R77">
        <f t="shared" si="6"/>
        <v>2100.6999999999998</v>
      </c>
      <c r="S77" cm="1">
        <f t="array" ref="S77">SUMPRODUCT($E$5:$E$2315,--(YEAR($I$5:$I$2315)=$S$4),--($G$5:$G$2315=P77))</f>
        <v>2100.6999999999998</v>
      </c>
      <c r="T77">
        <f t="shared" si="7"/>
        <v>0</v>
      </c>
    </row>
    <row r="78" spans="2:20" x14ac:dyDescent="0.2">
      <c r="B78">
        <v>11368</v>
      </c>
      <c r="C78" t="s">
        <v>8329</v>
      </c>
      <c r="D78" t="s">
        <v>8272</v>
      </c>
      <c r="E78" s="225">
        <v>210</v>
      </c>
      <c r="F78" t="s">
        <v>8386</v>
      </c>
      <c r="G78" t="s">
        <v>8387</v>
      </c>
      <c r="H78" t="s">
        <v>2434</v>
      </c>
      <c r="I78" s="99">
        <v>44263</v>
      </c>
      <c r="J78">
        <f>YEAR(I78)</f>
        <v>2021</v>
      </c>
      <c r="K78" s="99">
        <v>44270</v>
      </c>
      <c r="L78" t="s">
        <v>8266</v>
      </c>
      <c r="M78" t="s">
        <v>8267</v>
      </c>
      <c r="P78" t="s">
        <v>8743</v>
      </c>
      <c r="Q78">
        <f t="shared" si="5"/>
        <v>1753</v>
      </c>
      <c r="R78">
        <f t="shared" si="6"/>
        <v>1753</v>
      </c>
      <c r="S78" cm="1">
        <f t="array" ref="S78">SUMPRODUCT($E$5:$E$2315,--(YEAR($I$5:$I$2315)=$S$4),--($G$5:$G$2315=P78))</f>
        <v>1753</v>
      </c>
      <c r="T78">
        <f t="shared" si="7"/>
        <v>0</v>
      </c>
    </row>
    <row r="79" spans="2:20" x14ac:dyDescent="0.2">
      <c r="B79">
        <v>11388</v>
      </c>
      <c r="C79" t="s">
        <v>8381</v>
      </c>
      <c r="D79" t="s">
        <v>8262</v>
      </c>
      <c r="E79" s="225">
        <v>390</v>
      </c>
      <c r="F79" t="s">
        <v>8386</v>
      </c>
      <c r="G79" t="s">
        <v>8387</v>
      </c>
      <c r="H79" t="s">
        <v>2434</v>
      </c>
      <c r="I79" s="99">
        <v>44292</v>
      </c>
      <c r="J79">
        <f>YEAR(I79)</f>
        <v>2021</v>
      </c>
      <c r="K79" s="99">
        <v>44298</v>
      </c>
      <c r="L79" t="s">
        <v>8266</v>
      </c>
      <c r="M79" t="s">
        <v>8267</v>
      </c>
      <c r="P79" t="s">
        <v>8264</v>
      </c>
      <c r="Q79">
        <f t="shared" si="5"/>
        <v>10230.5</v>
      </c>
      <c r="R79">
        <f t="shared" si="6"/>
        <v>10230.5</v>
      </c>
      <c r="S79" cm="1">
        <f t="array" ref="S79">SUMPRODUCT($E$5:$E$2315,--(YEAR($I$5:$I$2315)=$S$4),--($G$5:$G$2315=P79))</f>
        <v>10230.5</v>
      </c>
      <c r="T79">
        <f t="shared" si="7"/>
        <v>0</v>
      </c>
    </row>
    <row r="80" spans="2:20" x14ac:dyDescent="0.2">
      <c r="B80">
        <v>11415</v>
      </c>
      <c r="C80" t="s">
        <v>8260</v>
      </c>
      <c r="D80" t="s">
        <v>8262</v>
      </c>
      <c r="E80" s="225">
        <v>3847.5</v>
      </c>
      <c r="F80" t="s">
        <v>8386</v>
      </c>
      <c r="G80" t="s">
        <v>8387</v>
      </c>
      <c r="H80" t="s">
        <v>2434</v>
      </c>
      <c r="I80" s="99">
        <v>44305</v>
      </c>
      <c r="J80">
        <f>YEAR(I80)</f>
        <v>2021</v>
      </c>
      <c r="K80" s="99">
        <v>44314</v>
      </c>
      <c r="L80" t="s">
        <v>8279</v>
      </c>
      <c r="M80" t="s">
        <v>710</v>
      </c>
      <c r="P80" t="s">
        <v>8753</v>
      </c>
      <c r="Q80">
        <f t="shared" si="5"/>
        <v>2930</v>
      </c>
      <c r="R80">
        <f t="shared" si="6"/>
        <v>2930</v>
      </c>
      <c r="S80" cm="1">
        <f t="array" ref="S80">SUMPRODUCT($E$5:$E$2315,--(YEAR($I$5:$I$2315)=$S$4),--($G$5:$G$2315=P80))</f>
        <v>2930</v>
      </c>
      <c r="T80">
        <f t="shared" si="7"/>
        <v>0</v>
      </c>
    </row>
    <row r="81" spans="2:20" x14ac:dyDescent="0.2">
      <c r="B81">
        <v>11415</v>
      </c>
      <c r="C81" t="s">
        <v>8309</v>
      </c>
      <c r="D81" t="s">
        <v>8237</v>
      </c>
      <c r="E81" s="225">
        <v>593.75</v>
      </c>
      <c r="F81" t="s">
        <v>8386</v>
      </c>
      <c r="G81" t="s">
        <v>8387</v>
      </c>
      <c r="H81" t="s">
        <v>2434</v>
      </c>
      <c r="I81" s="99">
        <v>44305</v>
      </c>
      <c r="J81">
        <f>YEAR(I81)</f>
        <v>2021</v>
      </c>
      <c r="K81" s="99">
        <v>44314</v>
      </c>
      <c r="L81" t="s">
        <v>8279</v>
      </c>
      <c r="M81" t="s">
        <v>710</v>
      </c>
      <c r="P81" t="s">
        <v>8779</v>
      </c>
      <c r="Q81">
        <f t="shared" si="5"/>
        <v>834.5</v>
      </c>
      <c r="R81">
        <f t="shared" si="6"/>
        <v>834.5</v>
      </c>
      <c r="S81" cm="1">
        <f t="array" ref="S81">SUMPRODUCT($E$5:$E$2315,--(YEAR($I$5:$I$2315)=$S$4),--($G$5:$G$2315=P81))</f>
        <v>834.5</v>
      </c>
      <c r="T81">
        <f t="shared" si="7"/>
        <v>0</v>
      </c>
    </row>
    <row r="82" spans="2:20" x14ac:dyDescent="0.2">
      <c r="B82">
        <v>11427</v>
      </c>
      <c r="C82" t="s">
        <v>8309</v>
      </c>
      <c r="D82" t="s">
        <v>8237</v>
      </c>
      <c r="E82" s="225">
        <v>187.5</v>
      </c>
      <c r="F82" t="s">
        <v>8386</v>
      </c>
      <c r="G82" t="s">
        <v>8387</v>
      </c>
      <c r="H82" t="s">
        <v>2434</v>
      </c>
      <c r="I82" s="99">
        <v>44330</v>
      </c>
      <c r="J82">
        <f>YEAR(I82)</f>
        <v>2021</v>
      </c>
      <c r="K82" s="99">
        <v>44333</v>
      </c>
      <c r="L82" t="s">
        <v>8279</v>
      </c>
      <c r="M82" t="s">
        <v>710</v>
      </c>
      <c r="P82" t="s">
        <v>8249</v>
      </c>
      <c r="Q82">
        <f t="shared" si="5"/>
        <v>1974.4</v>
      </c>
      <c r="R82">
        <f t="shared" si="6"/>
        <v>1974.4</v>
      </c>
      <c r="S82" cm="1">
        <f t="array" ref="S82">SUMPRODUCT($E$5:$E$2315,--(YEAR($I$5:$I$2315)=$S$4),--($G$5:$G$2315=P82))</f>
        <v>1974.4</v>
      </c>
      <c r="T82">
        <f t="shared" si="7"/>
        <v>0</v>
      </c>
    </row>
    <row r="83" spans="2:20" x14ac:dyDescent="0.2">
      <c r="B83">
        <v>10278</v>
      </c>
      <c r="C83" t="s">
        <v>8322</v>
      </c>
      <c r="D83" t="s">
        <v>8254</v>
      </c>
      <c r="E83" s="225">
        <v>248</v>
      </c>
      <c r="F83" t="s">
        <v>8318</v>
      </c>
      <c r="G83" t="s">
        <v>8319</v>
      </c>
      <c r="H83" t="s">
        <v>8292</v>
      </c>
      <c r="I83" s="99">
        <v>43525</v>
      </c>
      <c r="J83">
        <f>YEAR(I83)</f>
        <v>2019</v>
      </c>
      <c r="K83" s="99">
        <v>43529</v>
      </c>
      <c r="L83" t="s">
        <v>8320</v>
      </c>
      <c r="M83" t="s">
        <v>8321</v>
      </c>
      <c r="P83" t="s">
        <v>8741</v>
      </c>
      <c r="Q83">
        <f t="shared" si="5"/>
        <v>2721.3</v>
      </c>
      <c r="R83">
        <f t="shared" si="6"/>
        <v>2721.3</v>
      </c>
      <c r="S83" cm="1">
        <f t="array" ref="S83">SUMPRODUCT($E$5:$E$2315,--(YEAR($I$5:$I$2315)=$S$4),--($G$5:$G$2315=P83))</f>
        <v>2721.3</v>
      </c>
      <c r="T83">
        <f t="shared" si="7"/>
        <v>0</v>
      </c>
    </row>
    <row r="84" spans="2:20" x14ac:dyDescent="0.2">
      <c r="B84">
        <v>10278</v>
      </c>
      <c r="C84" t="s">
        <v>8317</v>
      </c>
      <c r="D84" t="s">
        <v>8254</v>
      </c>
      <c r="E84" s="225">
        <v>280.8</v>
      </c>
      <c r="F84" t="s">
        <v>8318</v>
      </c>
      <c r="G84" t="s">
        <v>8319</v>
      </c>
      <c r="H84" t="s">
        <v>8292</v>
      </c>
      <c r="I84" s="99">
        <v>43525</v>
      </c>
      <c r="J84">
        <f>YEAR(I84)</f>
        <v>2019</v>
      </c>
      <c r="K84" s="99">
        <v>43529</v>
      </c>
      <c r="L84" t="s">
        <v>8320</v>
      </c>
      <c r="M84" t="s">
        <v>8321</v>
      </c>
      <c r="P84" t="s">
        <v>8745</v>
      </c>
      <c r="Q84">
        <f t="shared" si="5"/>
        <v>3190.2000000000003</v>
      </c>
      <c r="R84">
        <f t="shared" si="6"/>
        <v>3190.2000000000003</v>
      </c>
      <c r="S84" cm="1">
        <f t="array" ref="S84">SUMPRODUCT($E$5:$E$2315,--(YEAR($I$5:$I$2315)=$S$4),--($G$5:$G$2315=P84))</f>
        <v>3190.2000000000003</v>
      </c>
      <c r="T84">
        <f t="shared" si="7"/>
        <v>0</v>
      </c>
    </row>
    <row r="85" spans="2:20" x14ac:dyDescent="0.2">
      <c r="B85">
        <v>10278</v>
      </c>
      <c r="C85" t="s">
        <v>8281</v>
      </c>
      <c r="D85" t="s">
        <v>8237</v>
      </c>
      <c r="E85" s="225">
        <v>660</v>
      </c>
      <c r="F85" t="s">
        <v>8318</v>
      </c>
      <c r="G85" t="s">
        <v>8319</v>
      </c>
      <c r="H85" t="s">
        <v>8292</v>
      </c>
      <c r="I85" s="99">
        <v>43525</v>
      </c>
      <c r="J85">
        <f>YEAR(I85)</f>
        <v>2019</v>
      </c>
      <c r="K85" s="99">
        <v>43529</v>
      </c>
      <c r="L85" t="s">
        <v>8320</v>
      </c>
      <c r="M85" t="s">
        <v>8321</v>
      </c>
      <c r="P85" t="s">
        <v>8775</v>
      </c>
      <c r="Q85">
        <f t="shared" si="5"/>
        <v>1534.4</v>
      </c>
      <c r="R85">
        <f t="shared" si="6"/>
        <v>1534.4</v>
      </c>
      <c r="S85" cm="1">
        <f t="array" ref="S85">SUMPRODUCT($E$5:$E$2315,--(YEAR($I$5:$I$2315)=$S$4),--($G$5:$G$2315=P85))</f>
        <v>1534.4</v>
      </c>
      <c r="T85">
        <f t="shared" si="7"/>
        <v>0</v>
      </c>
    </row>
    <row r="86" spans="2:20" x14ac:dyDescent="0.2">
      <c r="B86">
        <v>10280</v>
      </c>
      <c r="C86" t="s">
        <v>8270</v>
      </c>
      <c r="D86" t="s">
        <v>8272</v>
      </c>
      <c r="E86" s="225">
        <v>43.2</v>
      </c>
      <c r="F86" t="s">
        <v>8318</v>
      </c>
      <c r="G86" t="s">
        <v>8319</v>
      </c>
      <c r="H86" t="s">
        <v>8292</v>
      </c>
      <c r="I86" s="99">
        <v>43527</v>
      </c>
      <c r="J86">
        <f>YEAR(I86)</f>
        <v>2019</v>
      </c>
      <c r="K86" s="99">
        <v>43556</v>
      </c>
      <c r="L86" t="s">
        <v>8297</v>
      </c>
      <c r="M86" t="s">
        <v>8298</v>
      </c>
      <c r="P86" t="s">
        <v>8396</v>
      </c>
      <c r="Q86">
        <f t="shared" si="5"/>
        <v>8065.4</v>
      </c>
      <c r="R86">
        <f t="shared" si="6"/>
        <v>8065.4</v>
      </c>
      <c r="S86" cm="1">
        <f t="array" ref="S86">SUMPRODUCT($E$5:$E$2315,--(YEAR($I$5:$I$2315)=$S$4),--($G$5:$G$2315=P86))</f>
        <v>8065.4</v>
      </c>
      <c r="T86">
        <f t="shared" si="7"/>
        <v>0</v>
      </c>
    </row>
    <row r="87" spans="2:20" x14ac:dyDescent="0.2">
      <c r="B87">
        <v>10280</v>
      </c>
      <c r="C87" t="s">
        <v>8328</v>
      </c>
      <c r="D87" t="s">
        <v>8272</v>
      </c>
      <c r="E87" s="225">
        <v>186</v>
      </c>
      <c r="F87" t="s">
        <v>8318</v>
      </c>
      <c r="G87" t="s">
        <v>8319</v>
      </c>
      <c r="H87" t="s">
        <v>8292</v>
      </c>
      <c r="I87" s="99">
        <v>43527</v>
      </c>
      <c r="J87">
        <f>YEAR(I87)</f>
        <v>2019</v>
      </c>
      <c r="K87" s="99">
        <v>43556</v>
      </c>
      <c r="L87" t="s">
        <v>8297</v>
      </c>
      <c r="M87" t="s">
        <v>8298</v>
      </c>
      <c r="P87" t="s">
        <v>8256</v>
      </c>
      <c r="Q87">
        <f t="shared" si="5"/>
        <v>7111.85</v>
      </c>
      <c r="R87">
        <f t="shared" si="6"/>
        <v>7111.85</v>
      </c>
      <c r="S87" cm="1">
        <f t="array" ref="S87">SUMPRODUCT($E$5:$E$2315,--(YEAR($I$5:$I$2315)=$S$4),--($G$5:$G$2315=P87))</f>
        <v>7111.85</v>
      </c>
      <c r="T87">
        <f t="shared" si="7"/>
        <v>0</v>
      </c>
    </row>
    <row r="88" spans="2:20" x14ac:dyDescent="0.2">
      <c r="B88">
        <v>10384</v>
      </c>
      <c r="C88" t="s">
        <v>8260</v>
      </c>
      <c r="D88" t="s">
        <v>8262</v>
      </c>
      <c r="E88" s="225">
        <v>1814.4</v>
      </c>
      <c r="F88" t="s">
        <v>8318</v>
      </c>
      <c r="G88" t="s">
        <v>8319</v>
      </c>
      <c r="H88" t="s">
        <v>8292</v>
      </c>
      <c r="I88" s="99">
        <v>43651</v>
      </c>
      <c r="J88">
        <f>YEAR(I88)</f>
        <v>2019</v>
      </c>
      <c r="K88" s="99">
        <v>43655</v>
      </c>
      <c r="L88" t="s">
        <v>8257</v>
      </c>
      <c r="M88" t="s">
        <v>6984</v>
      </c>
      <c r="P88" t="s">
        <v>8239</v>
      </c>
      <c r="Q88">
        <f t="shared" si="5"/>
        <v>126</v>
      </c>
      <c r="R88">
        <f t="shared" si="6"/>
        <v>126</v>
      </c>
      <c r="S88" cm="1">
        <f t="array" ref="S88">SUMPRODUCT($E$5:$E$2315,--(YEAR($I$5:$I$2315)=$S$4),--($G$5:$G$2315=P88))</f>
        <v>126</v>
      </c>
      <c r="T88">
        <f t="shared" si="7"/>
        <v>0</v>
      </c>
    </row>
    <row r="89" spans="2:20" x14ac:dyDescent="0.2">
      <c r="B89">
        <v>10384</v>
      </c>
      <c r="C89" t="s">
        <v>8268</v>
      </c>
      <c r="D89" t="s">
        <v>8237</v>
      </c>
      <c r="E89" s="225">
        <v>408</v>
      </c>
      <c r="F89" t="s">
        <v>8318</v>
      </c>
      <c r="G89" t="s">
        <v>8319</v>
      </c>
      <c r="H89" t="s">
        <v>8292</v>
      </c>
      <c r="I89" s="99">
        <v>43651</v>
      </c>
      <c r="J89">
        <f>YEAR(I89)</f>
        <v>2019</v>
      </c>
      <c r="K89" s="99">
        <v>43655</v>
      </c>
      <c r="L89" t="s">
        <v>8257</v>
      </c>
      <c r="M89" t="s">
        <v>6984</v>
      </c>
      <c r="P89" t="s">
        <v>8302</v>
      </c>
      <c r="Q89">
        <f t="shared" si="5"/>
        <v>3937.16</v>
      </c>
      <c r="R89">
        <f t="shared" si="6"/>
        <v>3937.16</v>
      </c>
      <c r="S89" cm="1">
        <f t="array" ref="S89">SUMPRODUCT($E$5:$E$2315,--(YEAR($I$5:$I$2315)=$S$4),--($G$5:$G$2315=P89))</f>
        <v>3937.16</v>
      </c>
      <c r="T89">
        <f t="shared" si="7"/>
        <v>550</v>
      </c>
    </row>
    <row r="90" spans="2:20" x14ac:dyDescent="0.2">
      <c r="B90">
        <v>10444</v>
      </c>
      <c r="C90" t="s">
        <v>8323</v>
      </c>
      <c r="D90" t="s">
        <v>8272</v>
      </c>
      <c r="E90" s="225">
        <v>115.2</v>
      </c>
      <c r="F90" t="s">
        <v>8318</v>
      </c>
      <c r="G90" t="s">
        <v>8319</v>
      </c>
      <c r="H90" t="s">
        <v>8292</v>
      </c>
      <c r="I90" s="99">
        <v>43709</v>
      </c>
      <c r="J90">
        <f>YEAR(I90)</f>
        <v>2019</v>
      </c>
      <c r="K90" s="99">
        <v>43718</v>
      </c>
      <c r="L90" t="s">
        <v>8257</v>
      </c>
      <c r="M90" t="s">
        <v>6984</v>
      </c>
      <c r="P90" t="s">
        <v>8729</v>
      </c>
      <c r="Q90">
        <f t="shared" si="5"/>
        <v>3203.26</v>
      </c>
      <c r="R90">
        <f t="shared" si="6"/>
        <v>3203.26</v>
      </c>
      <c r="S90" cm="1">
        <f t="array" ref="S90">SUMPRODUCT($E$5:$E$2315,--(YEAR($I$5:$I$2315)=$S$4),--($G$5:$G$2315=P90))</f>
        <v>3203.26</v>
      </c>
      <c r="T90">
        <f t="shared" si="7"/>
        <v>920</v>
      </c>
    </row>
    <row r="91" spans="2:20" x14ac:dyDescent="0.2">
      <c r="B91">
        <v>10444</v>
      </c>
      <c r="C91" t="s">
        <v>8372</v>
      </c>
      <c r="D91" t="s">
        <v>8262</v>
      </c>
      <c r="E91" s="225">
        <v>373.5</v>
      </c>
      <c r="F91" t="s">
        <v>8318</v>
      </c>
      <c r="G91" t="s">
        <v>8319</v>
      </c>
      <c r="H91" t="s">
        <v>8292</v>
      </c>
      <c r="I91" s="99">
        <v>43709</v>
      </c>
      <c r="J91">
        <f>YEAR(I91)</f>
        <v>2019</v>
      </c>
      <c r="K91" s="99">
        <v>43718</v>
      </c>
      <c r="L91" t="s">
        <v>8257</v>
      </c>
      <c r="M91" t="s">
        <v>6984</v>
      </c>
      <c r="P91" t="s">
        <v>8739</v>
      </c>
      <c r="Q91">
        <f t="shared" si="5"/>
        <v>15206.48</v>
      </c>
      <c r="R91">
        <f t="shared" si="6"/>
        <v>15206.48</v>
      </c>
      <c r="S91" cm="1">
        <f t="array" ref="S91">SUMPRODUCT($E$5:$E$2315,--(YEAR($I$5:$I$2315)=$S$4),--($G$5:$G$2315=P91))</f>
        <v>15206.48</v>
      </c>
      <c r="T91">
        <f t="shared" si="7"/>
        <v>0</v>
      </c>
    </row>
    <row r="92" spans="2:20" x14ac:dyDescent="0.2">
      <c r="B92">
        <v>10445</v>
      </c>
      <c r="C92" t="s">
        <v>8342</v>
      </c>
      <c r="D92" t="s">
        <v>8272</v>
      </c>
      <c r="E92" s="225">
        <v>86.4</v>
      </c>
      <c r="F92" t="s">
        <v>8318</v>
      </c>
      <c r="G92" t="s">
        <v>8319</v>
      </c>
      <c r="H92" t="s">
        <v>8292</v>
      </c>
      <c r="I92" s="99">
        <v>43710</v>
      </c>
      <c r="J92">
        <f>YEAR(I92)</f>
        <v>2019</v>
      </c>
      <c r="K92" s="99">
        <v>43717</v>
      </c>
      <c r="L92" t="s">
        <v>8257</v>
      </c>
      <c r="M92" t="s">
        <v>6984</v>
      </c>
      <c r="P92" t="s">
        <v>8427</v>
      </c>
      <c r="Q92">
        <f t="shared" si="5"/>
        <v>2820.55</v>
      </c>
      <c r="R92">
        <f t="shared" si="6"/>
        <v>2820.55</v>
      </c>
      <c r="S92" cm="1">
        <f t="array" ref="S92">SUMPRODUCT($E$5:$E$2315,--(YEAR($I$5:$I$2315)=$S$4),--($G$5:$G$2315=P92))</f>
        <v>2820.55</v>
      </c>
      <c r="T92">
        <f t="shared" si="7"/>
        <v>0</v>
      </c>
    </row>
    <row r="93" spans="2:20" x14ac:dyDescent="0.2">
      <c r="B93">
        <v>10524</v>
      </c>
      <c r="C93" t="s">
        <v>8306</v>
      </c>
      <c r="D93" t="s">
        <v>8272</v>
      </c>
      <c r="E93" s="225">
        <v>2760</v>
      </c>
      <c r="F93" t="s">
        <v>8318</v>
      </c>
      <c r="G93" t="s">
        <v>8319</v>
      </c>
      <c r="H93" t="s">
        <v>8292</v>
      </c>
      <c r="I93" s="99">
        <v>43787</v>
      </c>
      <c r="J93">
        <f>YEAR(I93)</f>
        <v>2019</v>
      </c>
      <c r="K93" s="99">
        <v>43793</v>
      </c>
      <c r="L93" t="s">
        <v>8285</v>
      </c>
      <c r="M93" t="s">
        <v>2317</v>
      </c>
      <c r="P93" t="s">
        <v>8402</v>
      </c>
      <c r="Q93">
        <f t="shared" si="5"/>
        <v>3050.6</v>
      </c>
      <c r="R93">
        <f t="shared" si="6"/>
        <v>3050.6</v>
      </c>
      <c r="S93" cm="1">
        <f t="array" ref="S93">SUMPRODUCT($E$5:$E$2315,--(YEAR($I$5:$I$2315)=$S$4),--($G$5:$G$2315=P93))</f>
        <v>3050.6</v>
      </c>
      <c r="T93">
        <f t="shared" si="7"/>
        <v>0</v>
      </c>
    </row>
    <row r="94" spans="2:20" x14ac:dyDescent="0.2">
      <c r="B94">
        <v>10572</v>
      </c>
      <c r="C94" t="s">
        <v>8328</v>
      </c>
      <c r="D94" t="s">
        <v>8272</v>
      </c>
      <c r="E94" s="225">
        <v>104.62</v>
      </c>
      <c r="F94" t="s">
        <v>8318</v>
      </c>
      <c r="G94" t="s">
        <v>8319</v>
      </c>
      <c r="H94" t="s">
        <v>8292</v>
      </c>
      <c r="I94" s="99">
        <v>43835</v>
      </c>
      <c r="J94">
        <f>YEAR(I94)</f>
        <v>2020</v>
      </c>
      <c r="K94" s="99">
        <v>43842</v>
      </c>
      <c r="L94" t="s">
        <v>8257</v>
      </c>
      <c r="M94" t="s">
        <v>6984</v>
      </c>
    </row>
    <row r="95" spans="2:20" x14ac:dyDescent="0.2">
      <c r="B95">
        <v>10572</v>
      </c>
      <c r="C95" t="s">
        <v>8280</v>
      </c>
      <c r="D95" t="s">
        <v>8262</v>
      </c>
      <c r="E95" s="225">
        <v>188.46</v>
      </c>
      <c r="F95" t="s">
        <v>8318</v>
      </c>
      <c r="G95" t="s">
        <v>8319</v>
      </c>
      <c r="H95" t="s">
        <v>8292</v>
      </c>
      <c r="I95" s="99">
        <v>43835</v>
      </c>
      <c r="J95">
        <f>YEAR(I95)</f>
        <v>2020</v>
      </c>
      <c r="K95" s="99">
        <v>43842</v>
      </c>
      <c r="L95" t="s">
        <v>8257</v>
      </c>
      <c r="M95" t="s">
        <v>6984</v>
      </c>
    </row>
    <row r="96" spans="2:20" x14ac:dyDescent="0.2">
      <c r="B96">
        <v>10572</v>
      </c>
      <c r="C96" t="s">
        <v>8287</v>
      </c>
      <c r="D96" t="s">
        <v>8237</v>
      </c>
      <c r="E96" s="225">
        <v>288</v>
      </c>
      <c r="F96" t="s">
        <v>8318</v>
      </c>
      <c r="G96" t="s">
        <v>8319</v>
      </c>
      <c r="H96" t="s">
        <v>8292</v>
      </c>
      <c r="I96" s="99">
        <v>43835</v>
      </c>
      <c r="J96">
        <f>YEAR(I96)</f>
        <v>2020</v>
      </c>
      <c r="K96" s="99">
        <v>43842</v>
      </c>
      <c r="L96" t="s">
        <v>8257</v>
      </c>
      <c r="M96" t="s">
        <v>6984</v>
      </c>
    </row>
    <row r="97" spans="2:13" x14ac:dyDescent="0.2">
      <c r="B97">
        <v>10626</v>
      </c>
      <c r="C97" t="s">
        <v>8268</v>
      </c>
      <c r="D97" t="s">
        <v>8237</v>
      </c>
      <c r="E97" s="225">
        <v>680</v>
      </c>
      <c r="F97" t="s">
        <v>8318</v>
      </c>
      <c r="G97" t="s">
        <v>8319</v>
      </c>
      <c r="H97" t="s">
        <v>8292</v>
      </c>
      <c r="I97" s="99">
        <v>43889</v>
      </c>
      <c r="J97">
        <f>YEAR(I97)</f>
        <v>2020</v>
      </c>
      <c r="K97" s="99">
        <v>43898</v>
      </c>
      <c r="L97" t="s">
        <v>8285</v>
      </c>
      <c r="M97" t="s">
        <v>2317</v>
      </c>
    </row>
    <row r="98" spans="2:13" x14ac:dyDescent="0.2">
      <c r="B98">
        <v>10626</v>
      </c>
      <c r="C98" t="s">
        <v>8310</v>
      </c>
      <c r="D98" t="s">
        <v>8237</v>
      </c>
      <c r="E98" s="225">
        <v>430</v>
      </c>
      <c r="F98" t="s">
        <v>8318</v>
      </c>
      <c r="G98" t="s">
        <v>8319</v>
      </c>
      <c r="H98" t="s">
        <v>8292</v>
      </c>
      <c r="I98" s="99">
        <v>43889</v>
      </c>
      <c r="J98">
        <f>YEAR(I98)</f>
        <v>2020</v>
      </c>
      <c r="K98" s="99">
        <v>43898</v>
      </c>
      <c r="L98" t="s">
        <v>8285</v>
      </c>
      <c r="M98" t="s">
        <v>2317</v>
      </c>
    </row>
    <row r="99" spans="2:13" x14ac:dyDescent="0.2">
      <c r="B99">
        <v>10654</v>
      </c>
      <c r="C99" t="s">
        <v>8342</v>
      </c>
      <c r="D99" t="s">
        <v>8272</v>
      </c>
      <c r="E99" s="225">
        <v>324</v>
      </c>
      <c r="F99" t="s">
        <v>8318</v>
      </c>
      <c r="G99" t="s">
        <v>8319</v>
      </c>
      <c r="H99" t="s">
        <v>8292</v>
      </c>
      <c r="I99" s="99">
        <v>43911</v>
      </c>
      <c r="J99">
        <f>YEAR(I99)</f>
        <v>2020</v>
      </c>
      <c r="K99" s="99">
        <v>43920</v>
      </c>
      <c r="L99" t="s">
        <v>8241</v>
      </c>
      <c r="M99" t="s">
        <v>6934</v>
      </c>
    </row>
    <row r="100" spans="2:13" x14ac:dyDescent="0.2">
      <c r="B100">
        <v>10654</v>
      </c>
      <c r="C100" t="s">
        <v>8352</v>
      </c>
      <c r="D100" t="s">
        <v>8254</v>
      </c>
      <c r="E100" s="225">
        <v>237.6</v>
      </c>
      <c r="F100" t="s">
        <v>8318</v>
      </c>
      <c r="G100" t="s">
        <v>8319</v>
      </c>
      <c r="H100" t="s">
        <v>8292</v>
      </c>
      <c r="I100" s="99">
        <v>43911</v>
      </c>
      <c r="J100">
        <f>YEAR(I100)</f>
        <v>2020</v>
      </c>
      <c r="K100" s="99">
        <v>43920</v>
      </c>
      <c r="L100" t="s">
        <v>8241</v>
      </c>
      <c r="M100" t="s">
        <v>6934</v>
      </c>
    </row>
    <row r="101" spans="2:13" x14ac:dyDescent="0.2">
      <c r="B101">
        <v>10672</v>
      </c>
      <c r="C101" t="s">
        <v>8380</v>
      </c>
      <c r="D101" t="s">
        <v>8272</v>
      </c>
      <c r="E101" s="225">
        <v>3557.25</v>
      </c>
      <c r="F101" t="s">
        <v>8318</v>
      </c>
      <c r="G101" t="s">
        <v>8319</v>
      </c>
      <c r="H101" t="s">
        <v>8292</v>
      </c>
      <c r="I101" s="99">
        <v>43926</v>
      </c>
      <c r="J101">
        <f>YEAR(I101)</f>
        <v>2020</v>
      </c>
      <c r="K101" s="99">
        <v>43935</v>
      </c>
      <c r="L101" t="s">
        <v>8279</v>
      </c>
      <c r="M101" t="s">
        <v>710</v>
      </c>
    </row>
    <row r="102" spans="2:13" x14ac:dyDescent="0.2">
      <c r="B102">
        <v>10672</v>
      </c>
      <c r="C102" t="s">
        <v>8310</v>
      </c>
      <c r="D102" t="s">
        <v>8237</v>
      </c>
      <c r="E102" s="225">
        <v>258</v>
      </c>
      <c r="F102" t="s">
        <v>8318</v>
      </c>
      <c r="G102" t="s">
        <v>8319</v>
      </c>
      <c r="H102" t="s">
        <v>8292</v>
      </c>
      <c r="I102" s="99">
        <v>43926</v>
      </c>
      <c r="J102">
        <f>YEAR(I102)</f>
        <v>2020</v>
      </c>
      <c r="K102" s="99">
        <v>43935</v>
      </c>
      <c r="L102" t="s">
        <v>8279</v>
      </c>
      <c r="M102" t="s">
        <v>710</v>
      </c>
    </row>
    <row r="103" spans="2:13" x14ac:dyDescent="0.2">
      <c r="B103">
        <v>10689</v>
      </c>
      <c r="C103" t="s">
        <v>8333</v>
      </c>
      <c r="D103" t="s">
        <v>8272</v>
      </c>
      <c r="E103" s="225">
        <v>472.5</v>
      </c>
      <c r="F103" t="s">
        <v>8318</v>
      </c>
      <c r="G103" t="s">
        <v>8319</v>
      </c>
      <c r="H103" t="s">
        <v>8292</v>
      </c>
      <c r="I103" s="99">
        <v>43940</v>
      </c>
      <c r="J103">
        <f>YEAR(I103)</f>
        <v>2020</v>
      </c>
      <c r="K103" s="99">
        <v>43946</v>
      </c>
      <c r="L103" t="s">
        <v>8285</v>
      </c>
      <c r="M103" t="s">
        <v>2317</v>
      </c>
    </row>
    <row r="104" spans="2:13" x14ac:dyDescent="0.2">
      <c r="B104">
        <v>10733</v>
      </c>
      <c r="C104" t="s">
        <v>8369</v>
      </c>
      <c r="D104" t="s">
        <v>8244</v>
      </c>
      <c r="E104" s="225">
        <v>175</v>
      </c>
      <c r="F104" t="s">
        <v>8318</v>
      </c>
      <c r="G104" t="s">
        <v>8319</v>
      </c>
      <c r="H104" t="s">
        <v>8292</v>
      </c>
      <c r="I104" s="99">
        <v>43977</v>
      </c>
      <c r="J104">
        <f>YEAR(I104)</f>
        <v>2020</v>
      </c>
      <c r="K104" s="99">
        <v>43980</v>
      </c>
      <c r="L104" t="s">
        <v>8285</v>
      </c>
      <c r="M104" t="s">
        <v>2317</v>
      </c>
    </row>
    <row r="105" spans="2:13" x14ac:dyDescent="0.2">
      <c r="B105">
        <v>10733</v>
      </c>
      <c r="C105" t="s">
        <v>8252</v>
      </c>
      <c r="D105" t="s">
        <v>8247</v>
      </c>
      <c r="E105" s="225">
        <v>372</v>
      </c>
      <c r="F105" t="s">
        <v>8318</v>
      </c>
      <c r="G105" t="s">
        <v>8319</v>
      </c>
      <c r="H105" t="s">
        <v>8292</v>
      </c>
      <c r="I105" s="99">
        <v>43977</v>
      </c>
      <c r="J105">
        <f>YEAR(I105)</f>
        <v>2020</v>
      </c>
      <c r="K105" s="99">
        <v>43980</v>
      </c>
      <c r="L105" t="s">
        <v>8285</v>
      </c>
      <c r="M105" t="s">
        <v>2317</v>
      </c>
    </row>
    <row r="106" spans="2:13" x14ac:dyDescent="0.2">
      <c r="B106">
        <v>10733</v>
      </c>
      <c r="C106" t="s">
        <v>8316</v>
      </c>
      <c r="D106" t="s">
        <v>8247</v>
      </c>
      <c r="E106" s="225">
        <v>912</v>
      </c>
      <c r="F106" t="s">
        <v>8318</v>
      </c>
      <c r="G106" t="s">
        <v>8319</v>
      </c>
      <c r="H106" t="s">
        <v>8292</v>
      </c>
      <c r="I106" s="99">
        <v>43977</v>
      </c>
      <c r="J106">
        <f>YEAR(I106)</f>
        <v>2020</v>
      </c>
      <c r="K106" s="99">
        <v>43980</v>
      </c>
      <c r="L106" t="s">
        <v>8285</v>
      </c>
      <c r="M106" t="s">
        <v>2317</v>
      </c>
    </row>
    <row r="107" spans="2:13" x14ac:dyDescent="0.2">
      <c r="B107">
        <v>10837</v>
      </c>
      <c r="C107" t="s">
        <v>8303</v>
      </c>
      <c r="D107" t="s">
        <v>8272</v>
      </c>
      <c r="E107" s="225">
        <v>283.5</v>
      </c>
      <c r="F107" t="s">
        <v>8318</v>
      </c>
      <c r="G107" t="s">
        <v>8319</v>
      </c>
      <c r="H107" t="s">
        <v>8292</v>
      </c>
      <c r="I107" s="99">
        <v>44047</v>
      </c>
      <c r="J107">
        <f>YEAR(I107)</f>
        <v>2020</v>
      </c>
      <c r="K107" s="99">
        <v>44054</v>
      </c>
      <c r="L107" t="s">
        <v>8279</v>
      </c>
      <c r="M107" t="s">
        <v>710</v>
      </c>
    </row>
    <row r="108" spans="2:13" x14ac:dyDescent="0.2">
      <c r="B108">
        <v>10837</v>
      </c>
      <c r="C108" t="s">
        <v>8410</v>
      </c>
      <c r="D108" t="s">
        <v>8262</v>
      </c>
      <c r="E108" s="225">
        <v>285</v>
      </c>
      <c r="F108" t="s">
        <v>8318</v>
      </c>
      <c r="G108" t="s">
        <v>8319</v>
      </c>
      <c r="H108" t="s">
        <v>8292</v>
      </c>
      <c r="I108" s="99">
        <v>44047</v>
      </c>
      <c r="J108">
        <f>YEAR(I108)</f>
        <v>2020</v>
      </c>
      <c r="K108" s="99">
        <v>44054</v>
      </c>
      <c r="L108" t="s">
        <v>8279</v>
      </c>
      <c r="M108" t="s">
        <v>710</v>
      </c>
    </row>
    <row r="109" spans="2:13" x14ac:dyDescent="0.2">
      <c r="B109">
        <v>10857</v>
      </c>
      <c r="C109" t="s">
        <v>8337</v>
      </c>
      <c r="D109" t="s">
        <v>8254</v>
      </c>
      <c r="E109" s="225">
        <v>300</v>
      </c>
      <c r="F109" t="s">
        <v>8318</v>
      </c>
      <c r="G109" t="s">
        <v>8319</v>
      </c>
      <c r="H109" t="s">
        <v>8292</v>
      </c>
      <c r="I109" s="99">
        <v>44059</v>
      </c>
      <c r="J109">
        <f>YEAR(I109)</f>
        <v>2020</v>
      </c>
      <c r="K109" s="99">
        <v>44067</v>
      </c>
      <c r="L109" t="s">
        <v>8320</v>
      </c>
      <c r="M109" t="s">
        <v>8321</v>
      </c>
    </row>
    <row r="110" spans="2:13" x14ac:dyDescent="0.2">
      <c r="B110">
        <v>10857</v>
      </c>
      <c r="C110" t="s">
        <v>8372</v>
      </c>
      <c r="D110" t="s">
        <v>8262</v>
      </c>
      <c r="E110" s="225">
        <v>819.79</v>
      </c>
      <c r="F110" t="s">
        <v>8318</v>
      </c>
      <c r="G110" t="s">
        <v>8319</v>
      </c>
      <c r="H110" t="s">
        <v>8292</v>
      </c>
      <c r="I110" s="99">
        <v>44059</v>
      </c>
      <c r="J110">
        <f>YEAR(I110)</f>
        <v>2020</v>
      </c>
      <c r="K110" s="99">
        <v>44067</v>
      </c>
      <c r="L110" t="s">
        <v>8320</v>
      </c>
      <c r="M110" t="s">
        <v>8321</v>
      </c>
    </row>
    <row r="111" spans="2:13" x14ac:dyDescent="0.2">
      <c r="B111">
        <v>10866</v>
      </c>
      <c r="C111" t="s">
        <v>8276</v>
      </c>
      <c r="D111" t="s">
        <v>8272</v>
      </c>
      <c r="E111" s="225">
        <v>299.25</v>
      </c>
      <c r="F111" t="s">
        <v>8318</v>
      </c>
      <c r="G111" t="s">
        <v>8319</v>
      </c>
      <c r="H111" t="s">
        <v>8292</v>
      </c>
      <c r="I111" s="99">
        <v>44064</v>
      </c>
      <c r="J111">
        <f>YEAR(I111)</f>
        <v>2020</v>
      </c>
      <c r="K111" s="99">
        <v>44073</v>
      </c>
      <c r="L111" t="s">
        <v>8241</v>
      </c>
      <c r="M111" t="s">
        <v>6934</v>
      </c>
    </row>
    <row r="112" spans="2:13" x14ac:dyDescent="0.2">
      <c r="B112">
        <v>10866</v>
      </c>
      <c r="C112" t="s">
        <v>8270</v>
      </c>
      <c r="D112" t="s">
        <v>8272</v>
      </c>
      <c r="E112" s="225">
        <v>20.25</v>
      </c>
      <c r="F112" t="s">
        <v>8318</v>
      </c>
      <c r="G112" t="s">
        <v>8319</v>
      </c>
      <c r="H112" t="s">
        <v>8292</v>
      </c>
      <c r="I112" s="99">
        <v>44064</v>
      </c>
      <c r="J112">
        <f>YEAR(I112)</f>
        <v>2020</v>
      </c>
      <c r="K112" s="99">
        <v>44073</v>
      </c>
      <c r="L112" t="s">
        <v>8241</v>
      </c>
      <c r="M112" t="s">
        <v>6934</v>
      </c>
    </row>
    <row r="113" spans="2:13" x14ac:dyDescent="0.2">
      <c r="B113">
        <v>10875</v>
      </c>
      <c r="C113" t="s">
        <v>8327</v>
      </c>
      <c r="D113" t="s">
        <v>8262</v>
      </c>
      <c r="E113" s="225">
        <v>230</v>
      </c>
      <c r="F113" t="s">
        <v>8318</v>
      </c>
      <c r="G113" t="s">
        <v>8319</v>
      </c>
      <c r="H113" t="s">
        <v>8292</v>
      </c>
      <c r="I113" s="99">
        <v>44067</v>
      </c>
      <c r="J113">
        <f>YEAR(I113)</f>
        <v>2020</v>
      </c>
      <c r="K113" s="99">
        <v>44092</v>
      </c>
      <c r="L113" t="s">
        <v>8266</v>
      </c>
      <c r="M113" t="s">
        <v>8267</v>
      </c>
    </row>
    <row r="114" spans="2:13" x14ac:dyDescent="0.2">
      <c r="B114">
        <v>10875</v>
      </c>
      <c r="C114" t="s">
        <v>8410</v>
      </c>
      <c r="D114" t="s">
        <v>8262</v>
      </c>
      <c r="E114" s="225">
        <v>179.55</v>
      </c>
      <c r="F114" t="s">
        <v>8318</v>
      </c>
      <c r="G114" t="s">
        <v>8319</v>
      </c>
      <c r="H114" t="s">
        <v>8292</v>
      </c>
      <c r="I114" s="99">
        <v>44067</v>
      </c>
      <c r="J114">
        <f>YEAR(I114)</f>
        <v>2020</v>
      </c>
      <c r="K114" s="99">
        <v>44092</v>
      </c>
      <c r="L114" t="s">
        <v>8266</v>
      </c>
      <c r="M114" t="s">
        <v>8267</v>
      </c>
    </row>
    <row r="115" spans="2:13" x14ac:dyDescent="0.2">
      <c r="B115">
        <v>10875</v>
      </c>
      <c r="C115" t="s">
        <v>8390</v>
      </c>
      <c r="D115" t="s">
        <v>8262</v>
      </c>
      <c r="E115" s="225">
        <v>300</v>
      </c>
      <c r="F115" t="s">
        <v>8318</v>
      </c>
      <c r="G115" t="s">
        <v>8319</v>
      </c>
      <c r="H115" t="s">
        <v>8292</v>
      </c>
      <c r="I115" s="99">
        <v>44067</v>
      </c>
      <c r="J115">
        <f>YEAR(I115)</f>
        <v>2020</v>
      </c>
      <c r="K115" s="99">
        <v>44092</v>
      </c>
      <c r="L115" t="s">
        <v>8266</v>
      </c>
      <c r="M115" t="s">
        <v>8267</v>
      </c>
    </row>
    <row r="116" spans="2:13" x14ac:dyDescent="0.2">
      <c r="B116">
        <v>10924</v>
      </c>
      <c r="C116" t="s">
        <v>8328</v>
      </c>
      <c r="D116" t="s">
        <v>8272</v>
      </c>
      <c r="E116" s="225">
        <v>46.5</v>
      </c>
      <c r="F116" t="s">
        <v>8318</v>
      </c>
      <c r="G116" t="s">
        <v>8319</v>
      </c>
      <c r="H116" t="s">
        <v>8292</v>
      </c>
      <c r="I116" s="99">
        <v>44093</v>
      </c>
      <c r="J116">
        <f>YEAR(I116)</f>
        <v>2020</v>
      </c>
      <c r="K116" s="99">
        <v>44128</v>
      </c>
      <c r="L116" t="s">
        <v>8257</v>
      </c>
      <c r="M116" t="s">
        <v>6984</v>
      </c>
    </row>
    <row r="117" spans="2:13" x14ac:dyDescent="0.2">
      <c r="B117">
        <v>10924</v>
      </c>
      <c r="C117" t="s">
        <v>8316</v>
      </c>
      <c r="D117" t="s">
        <v>8247</v>
      </c>
      <c r="E117" s="225">
        <v>1231.2</v>
      </c>
      <c r="F117" t="s">
        <v>8318</v>
      </c>
      <c r="G117" t="s">
        <v>8319</v>
      </c>
      <c r="H117" t="s">
        <v>8292</v>
      </c>
      <c r="I117" s="99">
        <v>44093</v>
      </c>
      <c r="J117">
        <f>YEAR(I117)</f>
        <v>2020</v>
      </c>
      <c r="K117" s="99">
        <v>44128</v>
      </c>
      <c r="L117" t="s">
        <v>8257</v>
      </c>
      <c r="M117" t="s">
        <v>6984</v>
      </c>
    </row>
    <row r="118" spans="2:13" x14ac:dyDescent="0.2">
      <c r="B118">
        <v>10509</v>
      </c>
      <c r="C118" t="s">
        <v>8316</v>
      </c>
      <c r="D118" t="s">
        <v>8247</v>
      </c>
      <c r="E118" s="225">
        <v>136.80000000000001</v>
      </c>
      <c r="F118" t="s">
        <v>8416</v>
      </c>
      <c r="G118" t="s">
        <v>8417</v>
      </c>
      <c r="H118" t="s">
        <v>8246</v>
      </c>
      <c r="I118" s="99">
        <v>43773</v>
      </c>
      <c r="J118">
        <f>YEAR(I118)</f>
        <v>2019</v>
      </c>
      <c r="K118" s="99">
        <v>43785</v>
      </c>
      <c r="L118" t="s">
        <v>8266</v>
      </c>
      <c r="M118" t="s">
        <v>8267</v>
      </c>
    </row>
    <row r="119" spans="2:13" x14ac:dyDescent="0.2">
      <c r="B119">
        <v>10582</v>
      </c>
      <c r="C119" t="s">
        <v>8303</v>
      </c>
      <c r="D119" t="s">
        <v>8272</v>
      </c>
      <c r="E119" s="225">
        <v>252</v>
      </c>
      <c r="F119" t="s">
        <v>8416</v>
      </c>
      <c r="G119" t="s">
        <v>8417</v>
      </c>
      <c r="H119" t="s">
        <v>8246</v>
      </c>
      <c r="I119" s="99">
        <v>43844</v>
      </c>
      <c r="J119">
        <f>YEAR(I119)</f>
        <v>2020</v>
      </c>
      <c r="K119" s="99">
        <v>43861</v>
      </c>
      <c r="L119" t="s">
        <v>8257</v>
      </c>
      <c r="M119" t="s">
        <v>6984</v>
      </c>
    </row>
    <row r="120" spans="2:13" x14ac:dyDescent="0.2">
      <c r="B120">
        <v>10582</v>
      </c>
      <c r="C120" t="s">
        <v>8258</v>
      </c>
      <c r="D120" t="s">
        <v>8244</v>
      </c>
      <c r="E120" s="225">
        <v>78</v>
      </c>
      <c r="F120" t="s">
        <v>8416</v>
      </c>
      <c r="G120" t="s">
        <v>8417</v>
      </c>
      <c r="H120" t="s">
        <v>8246</v>
      </c>
      <c r="I120" s="99">
        <v>43844</v>
      </c>
      <c r="J120">
        <f>YEAR(I120)</f>
        <v>2020</v>
      </c>
      <c r="K120" s="99">
        <v>43861</v>
      </c>
      <c r="L120" t="s">
        <v>8257</v>
      </c>
      <c r="M120" t="s">
        <v>6984</v>
      </c>
    </row>
    <row r="121" spans="2:13" x14ac:dyDescent="0.2">
      <c r="B121">
        <v>10614</v>
      </c>
      <c r="C121" t="s">
        <v>8342</v>
      </c>
      <c r="D121" t="s">
        <v>8272</v>
      </c>
      <c r="E121" s="225">
        <v>90</v>
      </c>
      <c r="F121" t="s">
        <v>8416</v>
      </c>
      <c r="G121" t="s">
        <v>8417</v>
      </c>
      <c r="H121" t="s">
        <v>8246</v>
      </c>
      <c r="I121" s="99">
        <v>43876</v>
      </c>
      <c r="J121">
        <f>YEAR(I121)</f>
        <v>2020</v>
      </c>
      <c r="K121" s="99">
        <v>43879</v>
      </c>
      <c r="L121" t="s">
        <v>8320</v>
      </c>
      <c r="M121" t="s">
        <v>8321</v>
      </c>
    </row>
    <row r="122" spans="2:13" x14ac:dyDescent="0.2">
      <c r="B122">
        <v>10614</v>
      </c>
      <c r="C122" t="s">
        <v>8368</v>
      </c>
      <c r="D122" t="s">
        <v>8262</v>
      </c>
      <c r="E122" s="225">
        <v>80</v>
      </c>
      <c r="F122" t="s">
        <v>8416</v>
      </c>
      <c r="G122" t="s">
        <v>8417</v>
      </c>
      <c r="H122" t="s">
        <v>8246</v>
      </c>
      <c r="I122" s="99">
        <v>43876</v>
      </c>
      <c r="J122">
        <f>YEAR(I122)</f>
        <v>2020</v>
      </c>
      <c r="K122" s="99">
        <v>43879</v>
      </c>
      <c r="L122" t="s">
        <v>8320</v>
      </c>
      <c r="M122" t="s">
        <v>8321</v>
      </c>
    </row>
    <row r="123" spans="2:13" x14ac:dyDescent="0.2">
      <c r="B123">
        <v>10614</v>
      </c>
      <c r="C123" t="s">
        <v>8242</v>
      </c>
      <c r="D123" t="s">
        <v>8237</v>
      </c>
      <c r="E123" s="225">
        <v>294</v>
      </c>
      <c r="F123" t="s">
        <v>8416</v>
      </c>
      <c r="G123" t="s">
        <v>8417</v>
      </c>
      <c r="H123" t="s">
        <v>8246</v>
      </c>
      <c r="I123" s="99">
        <v>43876</v>
      </c>
      <c r="J123">
        <f>YEAR(I123)</f>
        <v>2020</v>
      </c>
      <c r="K123" s="99">
        <v>43879</v>
      </c>
      <c r="L123" t="s">
        <v>8320</v>
      </c>
      <c r="M123" t="s">
        <v>8321</v>
      </c>
    </row>
    <row r="124" spans="2:13" x14ac:dyDescent="0.2">
      <c r="B124">
        <v>10956</v>
      </c>
      <c r="C124" t="s">
        <v>8368</v>
      </c>
      <c r="D124" t="s">
        <v>8262</v>
      </c>
      <c r="E124" s="225">
        <v>120</v>
      </c>
      <c r="F124" t="s">
        <v>8416</v>
      </c>
      <c r="G124" t="s">
        <v>8417</v>
      </c>
      <c r="H124" t="s">
        <v>8246</v>
      </c>
      <c r="I124" s="99">
        <v>44106</v>
      </c>
      <c r="J124">
        <f>YEAR(I124)</f>
        <v>2020</v>
      </c>
      <c r="K124" s="99">
        <v>44109</v>
      </c>
      <c r="L124" t="s">
        <v>8251</v>
      </c>
      <c r="M124" t="s">
        <v>269</v>
      </c>
    </row>
    <row r="125" spans="2:13" x14ac:dyDescent="0.2">
      <c r="B125">
        <v>10956</v>
      </c>
      <c r="C125" t="s">
        <v>8410</v>
      </c>
      <c r="D125" t="s">
        <v>8262</v>
      </c>
      <c r="E125" s="225">
        <v>133</v>
      </c>
      <c r="F125" t="s">
        <v>8416</v>
      </c>
      <c r="G125" t="s">
        <v>8417</v>
      </c>
      <c r="H125" t="s">
        <v>8246</v>
      </c>
      <c r="I125" s="99">
        <v>44106</v>
      </c>
      <c r="J125">
        <f>YEAR(I125)</f>
        <v>2020</v>
      </c>
      <c r="K125" s="99">
        <v>44109</v>
      </c>
      <c r="L125" t="s">
        <v>8251</v>
      </c>
      <c r="M125" t="s">
        <v>269</v>
      </c>
    </row>
    <row r="126" spans="2:13" x14ac:dyDescent="0.2">
      <c r="B126">
        <v>10956</v>
      </c>
      <c r="C126" t="s">
        <v>8245</v>
      </c>
      <c r="D126" t="s">
        <v>8247</v>
      </c>
      <c r="E126" s="225">
        <v>424</v>
      </c>
      <c r="F126" t="s">
        <v>8416</v>
      </c>
      <c r="G126" t="s">
        <v>8417</v>
      </c>
      <c r="H126" t="s">
        <v>8246</v>
      </c>
      <c r="I126" s="99">
        <v>44106</v>
      </c>
      <c r="J126">
        <f>YEAR(I126)</f>
        <v>2020</v>
      </c>
      <c r="K126" s="99">
        <v>44109</v>
      </c>
      <c r="L126" t="s">
        <v>8251</v>
      </c>
      <c r="M126" t="s">
        <v>269</v>
      </c>
    </row>
    <row r="127" spans="2:13" x14ac:dyDescent="0.2">
      <c r="B127">
        <v>11058</v>
      </c>
      <c r="C127" t="s">
        <v>8409</v>
      </c>
      <c r="D127" t="s">
        <v>8254</v>
      </c>
      <c r="E127" s="225">
        <v>114</v>
      </c>
      <c r="F127" t="s">
        <v>8416</v>
      </c>
      <c r="G127" t="s">
        <v>8417</v>
      </c>
      <c r="H127" t="s">
        <v>8246</v>
      </c>
      <c r="I127" s="99">
        <v>44149</v>
      </c>
      <c r="J127">
        <f>YEAR(I127)</f>
        <v>2020</v>
      </c>
      <c r="L127" t="s">
        <v>8279</v>
      </c>
      <c r="M127" t="s">
        <v>710</v>
      </c>
    </row>
    <row r="128" spans="2:13" x14ac:dyDescent="0.2">
      <c r="B128">
        <v>11058</v>
      </c>
      <c r="C128" t="s">
        <v>8368</v>
      </c>
      <c r="D128" t="s">
        <v>8262</v>
      </c>
      <c r="E128" s="225">
        <v>30</v>
      </c>
      <c r="F128" t="s">
        <v>8416</v>
      </c>
      <c r="G128" t="s">
        <v>8417</v>
      </c>
      <c r="H128" t="s">
        <v>8246</v>
      </c>
      <c r="I128" s="99">
        <v>44149</v>
      </c>
      <c r="J128">
        <f>YEAR(I128)</f>
        <v>2020</v>
      </c>
      <c r="L128" t="s">
        <v>8279</v>
      </c>
      <c r="M128" t="s">
        <v>710</v>
      </c>
    </row>
    <row r="129" spans="2:13" x14ac:dyDescent="0.2">
      <c r="B129">
        <v>11058</v>
      </c>
      <c r="C129" t="s">
        <v>8268</v>
      </c>
      <c r="D129" t="s">
        <v>8237</v>
      </c>
      <c r="E129" s="225">
        <v>714</v>
      </c>
      <c r="F129" t="s">
        <v>8416</v>
      </c>
      <c r="G129" t="s">
        <v>8417</v>
      </c>
      <c r="H129" t="s">
        <v>8246</v>
      </c>
      <c r="I129" s="99">
        <v>44149</v>
      </c>
      <c r="J129">
        <f>YEAR(I129)</f>
        <v>2020</v>
      </c>
      <c r="L129" t="s">
        <v>8279</v>
      </c>
      <c r="M129" t="s">
        <v>710</v>
      </c>
    </row>
    <row r="130" spans="2:13" x14ac:dyDescent="0.2">
      <c r="B130">
        <v>10265</v>
      </c>
      <c r="C130" t="s">
        <v>8288</v>
      </c>
      <c r="D130" t="s">
        <v>8272</v>
      </c>
      <c r="E130" s="225">
        <v>240</v>
      </c>
      <c r="F130" t="s">
        <v>8295</v>
      </c>
      <c r="G130" t="s">
        <v>8296</v>
      </c>
      <c r="H130" t="s">
        <v>8236</v>
      </c>
      <c r="I130" s="99">
        <v>43507</v>
      </c>
      <c r="J130">
        <f>YEAR(I130)</f>
        <v>2019</v>
      </c>
      <c r="K130" s="99">
        <v>43525</v>
      </c>
      <c r="L130" t="s">
        <v>8297</v>
      </c>
      <c r="M130" t="s">
        <v>8298</v>
      </c>
    </row>
    <row r="131" spans="2:13" x14ac:dyDescent="0.2">
      <c r="B131">
        <v>10297</v>
      </c>
      <c r="C131" t="s">
        <v>8342</v>
      </c>
      <c r="D131" t="s">
        <v>8272</v>
      </c>
      <c r="E131" s="225">
        <v>864</v>
      </c>
      <c r="F131" t="s">
        <v>8295</v>
      </c>
      <c r="G131" t="s">
        <v>8296</v>
      </c>
      <c r="H131" t="s">
        <v>8236</v>
      </c>
      <c r="I131" s="99">
        <v>43548</v>
      </c>
      <c r="J131">
        <f>YEAR(I131)</f>
        <v>2019</v>
      </c>
      <c r="K131" s="99">
        <v>43554</v>
      </c>
      <c r="L131" t="s">
        <v>8241</v>
      </c>
      <c r="M131" t="s">
        <v>6934</v>
      </c>
    </row>
    <row r="132" spans="2:13" x14ac:dyDescent="0.2">
      <c r="B132">
        <v>10297</v>
      </c>
      <c r="C132" t="s">
        <v>8235</v>
      </c>
      <c r="D132" t="s">
        <v>8237</v>
      </c>
      <c r="E132" s="225">
        <v>556</v>
      </c>
      <c r="F132" t="s">
        <v>8295</v>
      </c>
      <c r="G132" t="s">
        <v>8296</v>
      </c>
      <c r="H132" t="s">
        <v>8236</v>
      </c>
      <c r="I132" s="99">
        <v>43548</v>
      </c>
      <c r="J132">
        <f>YEAR(I132)</f>
        <v>2019</v>
      </c>
      <c r="K132" s="99">
        <v>43554</v>
      </c>
      <c r="L132" t="s">
        <v>8241</v>
      </c>
      <c r="M132" t="s">
        <v>6934</v>
      </c>
    </row>
    <row r="133" spans="2:13" x14ac:dyDescent="0.2">
      <c r="B133">
        <v>10360</v>
      </c>
      <c r="C133" t="s">
        <v>8380</v>
      </c>
      <c r="D133" t="s">
        <v>8272</v>
      </c>
      <c r="E133" s="225">
        <v>2108</v>
      </c>
      <c r="F133" t="s">
        <v>8295</v>
      </c>
      <c r="G133" t="s">
        <v>8296</v>
      </c>
      <c r="H133" t="s">
        <v>8236</v>
      </c>
      <c r="I133" s="99">
        <v>43627</v>
      </c>
      <c r="J133">
        <f>YEAR(I133)</f>
        <v>2019</v>
      </c>
      <c r="K133" s="99">
        <v>43637</v>
      </c>
      <c r="L133" t="s">
        <v>8266</v>
      </c>
      <c r="M133" t="s">
        <v>8267</v>
      </c>
    </row>
    <row r="134" spans="2:13" x14ac:dyDescent="0.2">
      <c r="B134">
        <v>10360</v>
      </c>
      <c r="C134" t="s">
        <v>8390</v>
      </c>
      <c r="D134" t="s">
        <v>8262</v>
      </c>
      <c r="E134" s="225">
        <v>560</v>
      </c>
      <c r="F134" t="s">
        <v>8295</v>
      </c>
      <c r="G134" t="s">
        <v>8296</v>
      </c>
      <c r="H134" t="s">
        <v>8236</v>
      </c>
      <c r="I134" s="99">
        <v>43627</v>
      </c>
      <c r="J134">
        <f>YEAR(I134)</f>
        <v>2019</v>
      </c>
      <c r="K134" s="99">
        <v>43637</v>
      </c>
      <c r="L134" t="s">
        <v>8266</v>
      </c>
      <c r="M134" t="s">
        <v>8267</v>
      </c>
    </row>
    <row r="135" spans="2:13" x14ac:dyDescent="0.2">
      <c r="B135">
        <v>10360</v>
      </c>
      <c r="C135" t="s">
        <v>8316</v>
      </c>
      <c r="D135" t="s">
        <v>8247</v>
      </c>
      <c r="E135" s="225">
        <v>1092</v>
      </c>
      <c r="F135" t="s">
        <v>8295</v>
      </c>
      <c r="G135" t="s">
        <v>8296</v>
      </c>
      <c r="H135" t="s">
        <v>8236</v>
      </c>
      <c r="I135" s="99">
        <v>43627</v>
      </c>
      <c r="J135">
        <f>YEAR(I135)</f>
        <v>2019</v>
      </c>
      <c r="K135" s="99">
        <v>43637</v>
      </c>
      <c r="L135" t="s">
        <v>8266</v>
      </c>
      <c r="M135" t="s">
        <v>8267</v>
      </c>
    </row>
    <row r="136" spans="2:13" x14ac:dyDescent="0.2">
      <c r="B136">
        <v>10436</v>
      </c>
      <c r="C136" t="s">
        <v>8328</v>
      </c>
      <c r="D136" t="s">
        <v>8272</v>
      </c>
      <c r="E136" s="225">
        <v>133.91999999999999</v>
      </c>
      <c r="F136" t="s">
        <v>8295</v>
      </c>
      <c r="G136" t="s">
        <v>8296</v>
      </c>
      <c r="H136" t="s">
        <v>8236</v>
      </c>
      <c r="I136" s="99">
        <v>43702</v>
      </c>
      <c r="J136">
        <f>YEAR(I136)</f>
        <v>2019</v>
      </c>
      <c r="K136" s="99">
        <v>43708</v>
      </c>
      <c r="L136" t="s">
        <v>8257</v>
      </c>
      <c r="M136" t="s">
        <v>6984</v>
      </c>
    </row>
    <row r="137" spans="2:13" x14ac:dyDescent="0.2">
      <c r="B137">
        <v>10436</v>
      </c>
      <c r="C137" t="s">
        <v>8341</v>
      </c>
      <c r="D137" t="s">
        <v>8244</v>
      </c>
      <c r="E137" s="225">
        <v>1094.4000000000001</v>
      </c>
      <c r="F137" t="s">
        <v>8295</v>
      </c>
      <c r="G137" t="s">
        <v>8296</v>
      </c>
      <c r="H137" t="s">
        <v>8236</v>
      </c>
      <c r="I137" s="99">
        <v>43702</v>
      </c>
      <c r="J137">
        <f>YEAR(I137)</f>
        <v>2019</v>
      </c>
      <c r="K137" s="99">
        <v>43708</v>
      </c>
      <c r="L137" t="s">
        <v>8257</v>
      </c>
      <c r="M137" t="s">
        <v>6984</v>
      </c>
    </row>
    <row r="138" spans="2:13" x14ac:dyDescent="0.2">
      <c r="B138">
        <v>10436</v>
      </c>
      <c r="C138" t="s">
        <v>8340</v>
      </c>
      <c r="D138" t="s">
        <v>8244</v>
      </c>
      <c r="E138" s="225">
        <v>718.2</v>
      </c>
      <c r="F138" t="s">
        <v>8295</v>
      </c>
      <c r="G138" t="s">
        <v>8296</v>
      </c>
      <c r="H138" t="s">
        <v>8236</v>
      </c>
      <c r="I138" s="99">
        <v>43702</v>
      </c>
      <c r="J138">
        <f>YEAR(I138)</f>
        <v>2019</v>
      </c>
      <c r="K138" s="99">
        <v>43708</v>
      </c>
      <c r="L138" t="s">
        <v>8257</v>
      </c>
      <c r="M138" t="s">
        <v>6984</v>
      </c>
    </row>
    <row r="139" spans="2:13" x14ac:dyDescent="0.2">
      <c r="B139">
        <v>10449</v>
      </c>
      <c r="C139" t="s">
        <v>8291</v>
      </c>
      <c r="D139" t="s">
        <v>8262</v>
      </c>
      <c r="E139" s="225">
        <v>1379</v>
      </c>
      <c r="F139" t="s">
        <v>8295</v>
      </c>
      <c r="G139" t="s">
        <v>8296</v>
      </c>
      <c r="H139" t="s">
        <v>8236</v>
      </c>
      <c r="I139" s="99">
        <v>43715</v>
      </c>
      <c r="J139">
        <f>YEAR(I139)</f>
        <v>2019</v>
      </c>
      <c r="K139" s="99">
        <v>43724</v>
      </c>
      <c r="L139" t="s">
        <v>8257</v>
      </c>
      <c r="M139" t="s">
        <v>6984</v>
      </c>
    </row>
    <row r="140" spans="2:13" x14ac:dyDescent="0.2">
      <c r="B140">
        <v>10449</v>
      </c>
      <c r="C140" t="s">
        <v>8369</v>
      </c>
      <c r="D140" t="s">
        <v>8244</v>
      </c>
      <c r="E140" s="225">
        <v>112</v>
      </c>
      <c r="F140" t="s">
        <v>8295</v>
      </c>
      <c r="G140" t="s">
        <v>8296</v>
      </c>
      <c r="H140" t="s">
        <v>8236</v>
      </c>
      <c r="I140" s="99">
        <v>43715</v>
      </c>
      <c r="J140">
        <f>YEAR(I140)</f>
        <v>2019</v>
      </c>
      <c r="K140" s="99">
        <v>43724</v>
      </c>
      <c r="L140" t="s">
        <v>8257</v>
      </c>
      <c r="M140" t="s">
        <v>6984</v>
      </c>
    </row>
    <row r="141" spans="2:13" x14ac:dyDescent="0.2">
      <c r="B141">
        <v>10566</v>
      </c>
      <c r="C141" t="s">
        <v>8303</v>
      </c>
      <c r="D141" t="s">
        <v>8272</v>
      </c>
      <c r="E141" s="225">
        <v>180</v>
      </c>
      <c r="F141" t="s">
        <v>8295</v>
      </c>
      <c r="G141" t="s">
        <v>8296</v>
      </c>
      <c r="H141" t="s">
        <v>8236</v>
      </c>
      <c r="I141" s="99">
        <v>43829</v>
      </c>
      <c r="J141">
        <f>YEAR(I141)</f>
        <v>2019</v>
      </c>
      <c r="K141" s="99">
        <v>43835</v>
      </c>
      <c r="L141" t="s">
        <v>8279</v>
      </c>
      <c r="M141" t="s">
        <v>710</v>
      </c>
    </row>
    <row r="142" spans="2:13" x14ac:dyDescent="0.2">
      <c r="B142">
        <v>10566</v>
      </c>
      <c r="C142" t="s">
        <v>8242</v>
      </c>
      <c r="D142" t="s">
        <v>8237</v>
      </c>
      <c r="E142" s="225">
        <v>624.75</v>
      </c>
      <c r="F142" t="s">
        <v>8295</v>
      </c>
      <c r="G142" t="s">
        <v>8296</v>
      </c>
      <c r="H142" t="s">
        <v>8236</v>
      </c>
      <c r="I142" s="99">
        <v>43829</v>
      </c>
      <c r="J142">
        <f>YEAR(I142)</f>
        <v>2019</v>
      </c>
      <c r="K142" s="99">
        <v>43835</v>
      </c>
      <c r="L142" t="s">
        <v>8279</v>
      </c>
      <c r="M142" t="s">
        <v>710</v>
      </c>
    </row>
    <row r="143" spans="2:13" x14ac:dyDescent="0.2">
      <c r="B143">
        <v>10584</v>
      </c>
      <c r="C143" t="s">
        <v>8309</v>
      </c>
      <c r="D143" t="s">
        <v>8237</v>
      </c>
      <c r="E143" s="225">
        <v>593.75</v>
      </c>
      <c r="F143" t="s">
        <v>8295</v>
      </c>
      <c r="G143" t="s">
        <v>8296</v>
      </c>
      <c r="H143" t="s">
        <v>8236</v>
      </c>
      <c r="I143" s="99">
        <v>43847</v>
      </c>
      <c r="J143">
        <f>YEAR(I143)</f>
        <v>2020</v>
      </c>
      <c r="K143" s="99">
        <v>43851</v>
      </c>
      <c r="L143" t="s">
        <v>8266</v>
      </c>
      <c r="M143" t="s">
        <v>8267</v>
      </c>
    </row>
    <row r="144" spans="2:13" x14ac:dyDescent="0.2">
      <c r="B144">
        <v>10628</v>
      </c>
      <c r="C144" t="s">
        <v>8333</v>
      </c>
      <c r="D144" t="s">
        <v>8272</v>
      </c>
      <c r="E144" s="225">
        <v>450</v>
      </c>
      <c r="F144" t="s">
        <v>8295</v>
      </c>
      <c r="G144" t="s">
        <v>8296</v>
      </c>
      <c r="H144" t="s">
        <v>8236</v>
      </c>
      <c r="I144" s="99">
        <v>43890</v>
      </c>
      <c r="J144">
        <f>YEAR(I144)</f>
        <v>2020</v>
      </c>
      <c r="K144" s="99">
        <v>43898</v>
      </c>
      <c r="L144" t="s">
        <v>8266</v>
      </c>
      <c r="M144" t="s">
        <v>8267</v>
      </c>
    </row>
    <row r="145" spans="2:13" x14ac:dyDescent="0.2">
      <c r="B145">
        <v>10679</v>
      </c>
      <c r="C145" t="s">
        <v>8281</v>
      </c>
      <c r="D145" t="s">
        <v>8237</v>
      </c>
      <c r="E145" s="225">
        <v>660</v>
      </c>
      <c r="F145" t="s">
        <v>8295</v>
      </c>
      <c r="G145" t="s">
        <v>8296</v>
      </c>
      <c r="H145" t="s">
        <v>8236</v>
      </c>
      <c r="I145" s="99">
        <v>43932</v>
      </c>
      <c r="J145">
        <f>YEAR(I145)</f>
        <v>2020</v>
      </c>
      <c r="K145" s="99">
        <v>43939</v>
      </c>
      <c r="L145" t="s">
        <v>8320</v>
      </c>
      <c r="M145" t="s">
        <v>8321</v>
      </c>
    </row>
    <row r="146" spans="2:13" x14ac:dyDescent="0.2">
      <c r="B146">
        <v>10826</v>
      </c>
      <c r="C146" t="s">
        <v>8309</v>
      </c>
      <c r="D146" t="s">
        <v>8237</v>
      </c>
      <c r="E146" s="225">
        <v>437.5</v>
      </c>
      <c r="F146" t="s">
        <v>8295</v>
      </c>
      <c r="G146" t="s">
        <v>8296</v>
      </c>
      <c r="H146" t="s">
        <v>8236</v>
      </c>
      <c r="I146" s="99">
        <v>44044</v>
      </c>
      <c r="J146">
        <f>YEAR(I146)</f>
        <v>2020</v>
      </c>
      <c r="K146" s="99">
        <v>44067</v>
      </c>
      <c r="L146" t="s">
        <v>8251</v>
      </c>
      <c r="M146" t="s">
        <v>269</v>
      </c>
    </row>
    <row r="147" spans="2:13" x14ac:dyDescent="0.2">
      <c r="B147">
        <v>10826</v>
      </c>
      <c r="C147" t="s">
        <v>8258</v>
      </c>
      <c r="D147" t="s">
        <v>8244</v>
      </c>
      <c r="E147" s="225">
        <v>292.5</v>
      </c>
      <c r="F147" t="s">
        <v>8295</v>
      </c>
      <c r="G147" t="s">
        <v>8296</v>
      </c>
      <c r="H147" t="s">
        <v>8236</v>
      </c>
      <c r="I147" s="99">
        <v>44044</v>
      </c>
      <c r="J147">
        <f>YEAR(I147)</f>
        <v>2020</v>
      </c>
      <c r="K147" s="99">
        <v>44067</v>
      </c>
      <c r="L147" t="s">
        <v>8251</v>
      </c>
      <c r="M147" t="s">
        <v>269</v>
      </c>
    </row>
    <row r="148" spans="2:13" x14ac:dyDescent="0.2">
      <c r="B148">
        <v>11081</v>
      </c>
      <c r="C148" t="s">
        <v>8288</v>
      </c>
      <c r="D148" t="s">
        <v>8272</v>
      </c>
      <c r="E148" s="225">
        <v>240</v>
      </c>
      <c r="F148" t="s">
        <v>8295</v>
      </c>
      <c r="G148" t="s">
        <v>8296</v>
      </c>
      <c r="H148" t="s">
        <v>8236</v>
      </c>
      <c r="I148" s="99">
        <v>43707</v>
      </c>
      <c r="J148">
        <f>YEAR(I148)</f>
        <v>2019</v>
      </c>
      <c r="K148" s="99">
        <v>43725</v>
      </c>
      <c r="L148" t="s">
        <v>8297</v>
      </c>
      <c r="M148" t="s">
        <v>8298</v>
      </c>
    </row>
    <row r="149" spans="2:13" x14ac:dyDescent="0.2">
      <c r="B149">
        <v>11084</v>
      </c>
      <c r="C149" t="s">
        <v>8342</v>
      </c>
      <c r="D149" t="s">
        <v>8272</v>
      </c>
      <c r="E149" s="225">
        <v>864</v>
      </c>
      <c r="F149" t="s">
        <v>8295</v>
      </c>
      <c r="G149" t="s">
        <v>8296</v>
      </c>
      <c r="H149" t="s">
        <v>8236</v>
      </c>
      <c r="I149" s="99">
        <v>43748</v>
      </c>
      <c r="J149">
        <f>YEAR(I149)</f>
        <v>2019</v>
      </c>
      <c r="K149" s="99">
        <v>43754</v>
      </c>
      <c r="L149" t="s">
        <v>8241</v>
      </c>
      <c r="M149" t="s">
        <v>6934</v>
      </c>
    </row>
    <row r="150" spans="2:13" x14ac:dyDescent="0.2">
      <c r="B150">
        <v>11084</v>
      </c>
      <c r="C150" t="s">
        <v>8235</v>
      </c>
      <c r="D150" t="s">
        <v>8237</v>
      </c>
      <c r="E150" s="225">
        <v>556</v>
      </c>
      <c r="F150" t="s">
        <v>8295</v>
      </c>
      <c r="G150" t="s">
        <v>8296</v>
      </c>
      <c r="H150" t="s">
        <v>8236</v>
      </c>
      <c r="I150" s="99">
        <v>43748</v>
      </c>
      <c r="J150">
        <f>YEAR(I150)</f>
        <v>2019</v>
      </c>
      <c r="K150" s="99">
        <v>43754</v>
      </c>
      <c r="L150" t="s">
        <v>8241</v>
      </c>
      <c r="M150" t="s">
        <v>6934</v>
      </c>
    </row>
    <row r="151" spans="2:13" x14ac:dyDescent="0.2">
      <c r="B151">
        <v>11110</v>
      </c>
      <c r="C151" t="s">
        <v>8380</v>
      </c>
      <c r="D151" t="s">
        <v>8272</v>
      </c>
      <c r="E151" s="225">
        <v>2108</v>
      </c>
      <c r="F151" t="s">
        <v>8295</v>
      </c>
      <c r="G151" t="s">
        <v>8296</v>
      </c>
      <c r="H151" t="s">
        <v>8236</v>
      </c>
      <c r="I151" s="99">
        <v>43827</v>
      </c>
      <c r="J151">
        <f>YEAR(I151)</f>
        <v>2019</v>
      </c>
      <c r="K151" s="99">
        <v>43837</v>
      </c>
      <c r="L151" t="s">
        <v>8266</v>
      </c>
      <c r="M151" t="s">
        <v>8267</v>
      </c>
    </row>
    <row r="152" spans="2:13" x14ac:dyDescent="0.2">
      <c r="B152">
        <v>11110</v>
      </c>
      <c r="C152" t="s">
        <v>8390</v>
      </c>
      <c r="D152" t="s">
        <v>8262</v>
      </c>
      <c r="E152" s="225">
        <v>560</v>
      </c>
      <c r="F152" t="s">
        <v>8295</v>
      </c>
      <c r="G152" t="s">
        <v>8296</v>
      </c>
      <c r="H152" t="s">
        <v>8236</v>
      </c>
      <c r="I152" s="99">
        <v>43827</v>
      </c>
      <c r="J152">
        <f>YEAR(I152)</f>
        <v>2019</v>
      </c>
      <c r="K152" s="99">
        <v>43837</v>
      </c>
      <c r="L152" t="s">
        <v>8266</v>
      </c>
      <c r="M152" t="s">
        <v>8267</v>
      </c>
    </row>
    <row r="153" spans="2:13" x14ac:dyDescent="0.2">
      <c r="B153">
        <v>11110</v>
      </c>
      <c r="C153" t="s">
        <v>8316</v>
      </c>
      <c r="D153" t="s">
        <v>8247</v>
      </c>
      <c r="E153" s="225">
        <v>1092</v>
      </c>
      <c r="F153" t="s">
        <v>8295</v>
      </c>
      <c r="G153" t="s">
        <v>8296</v>
      </c>
      <c r="H153" t="s">
        <v>8236</v>
      </c>
      <c r="I153" s="99">
        <v>43827</v>
      </c>
      <c r="J153">
        <f>YEAR(I153)</f>
        <v>2019</v>
      </c>
      <c r="K153" s="99">
        <v>43837</v>
      </c>
      <c r="L153" t="s">
        <v>8266</v>
      </c>
      <c r="M153" t="s">
        <v>8267</v>
      </c>
    </row>
    <row r="154" spans="2:13" x14ac:dyDescent="0.2">
      <c r="B154">
        <v>11146</v>
      </c>
      <c r="C154" t="s">
        <v>8328</v>
      </c>
      <c r="D154" t="s">
        <v>8272</v>
      </c>
      <c r="E154" s="225">
        <v>133.91999999999999</v>
      </c>
      <c r="F154" t="s">
        <v>8295</v>
      </c>
      <c r="G154" t="s">
        <v>8296</v>
      </c>
      <c r="H154" t="s">
        <v>8236</v>
      </c>
      <c r="I154" s="99">
        <v>43902</v>
      </c>
      <c r="J154">
        <f>YEAR(I154)</f>
        <v>2020</v>
      </c>
      <c r="K154" s="99">
        <v>43908</v>
      </c>
      <c r="L154" t="s">
        <v>8257</v>
      </c>
      <c r="M154" t="s">
        <v>6984</v>
      </c>
    </row>
    <row r="155" spans="2:13" x14ac:dyDescent="0.2">
      <c r="B155">
        <v>11146</v>
      </c>
      <c r="C155" t="s">
        <v>8341</v>
      </c>
      <c r="D155" t="s">
        <v>8244</v>
      </c>
      <c r="E155" s="225">
        <v>1094.4000000000001</v>
      </c>
      <c r="F155" t="s">
        <v>8295</v>
      </c>
      <c r="G155" t="s">
        <v>8296</v>
      </c>
      <c r="H155" t="s">
        <v>8236</v>
      </c>
      <c r="I155" s="99">
        <v>43902</v>
      </c>
      <c r="J155">
        <f>YEAR(I155)</f>
        <v>2020</v>
      </c>
      <c r="K155" s="99">
        <v>43908</v>
      </c>
      <c r="L155" t="s">
        <v>8257</v>
      </c>
      <c r="M155" t="s">
        <v>6984</v>
      </c>
    </row>
    <row r="156" spans="2:13" x14ac:dyDescent="0.2">
      <c r="B156">
        <v>11146</v>
      </c>
      <c r="C156" t="s">
        <v>8340</v>
      </c>
      <c r="D156" t="s">
        <v>8244</v>
      </c>
      <c r="E156" s="225">
        <v>718.2</v>
      </c>
      <c r="F156" t="s">
        <v>8295</v>
      </c>
      <c r="G156" t="s">
        <v>8296</v>
      </c>
      <c r="H156" t="s">
        <v>8236</v>
      </c>
      <c r="I156" s="99">
        <v>43902</v>
      </c>
      <c r="J156">
        <f>YEAR(I156)</f>
        <v>2020</v>
      </c>
      <c r="K156" s="99">
        <v>43908</v>
      </c>
      <c r="L156" t="s">
        <v>8257</v>
      </c>
      <c r="M156" t="s">
        <v>6984</v>
      </c>
    </row>
    <row r="157" spans="2:13" x14ac:dyDescent="0.2">
      <c r="B157">
        <v>11159</v>
      </c>
      <c r="C157" t="s">
        <v>8291</v>
      </c>
      <c r="D157" t="s">
        <v>8262</v>
      </c>
      <c r="E157" s="225">
        <v>1379</v>
      </c>
      <c r="F157" t="s">
        <v>8295</v>
      </c>
      <c r="G157" t="s">
        <v>8296</v>
      </c>
      <c r="H157" t="s">
        <v>8236</v>
      </c>
      <c r="I157" s="99">
        <v>43915</v>
      </c>
      <c r="J157">
        <f>YEAR(I157)</f>
        <v>2020</v>
      </c>
      <c r="K157" s="99">
        <v>43924</v>
      </c>
      <c r="L157" t="s">
        <v>8257</v>
      </c>
      <c r="M157" t="s">
        <v>6984</v>
      </c>
    </row>
    <row r="158" spans="2:13" x14ac:dyDescent="0.2">
      <c r="B158">
        <v>11159</v>
      </c>
      <c r="C158" t="s">
        <v>8369</v>
      </c>
      <c r="D158" t="s">
        <v>8244</v>
      </c>
      <c r="E158" s="225">
        <v>112</v>
      </c>
      <c r="F158" t="s">
        <v>8295</v>
      </c>
      <c r="G158" t="s">
        <v>8296</v>
      </c>
      <c r="H158" t="s">
        <v>8236</v>
      </c>
      <c r="I158" s="99">
        <v>43915</v>
      </c>
      <c r="J158">
        <f>YEAR(I158)</f>
        <v>2020</v>
      </c>
      <c r="K158" s="99">
        <v>43924</v>
      </c>
      <c r="L158" t="s">
        <v>8257</v>
      </c>
      <c r="M158" t="s">
        <v>6984</v>
      </c>
    </row>
    <row r="159" spans="2:13" x14ac:dyDescent="0.2">
      <c r="B159">
        <v>11212</v>
      </c>
      <c r="C159" t="s">
        <v>8303</v>
      </c>
      <c r="D159" t="s">
        <v>8272</v>
      </c>
      <c r="E159" s="225">
        <v>180</v>
      </c>
      <c r="F159" t="s">
        <v>8295</v>
      </c>
      <c r="G159" t="s">
        <v>8296</v>
      </c>
      <c r="H159" t="s">
        <v>8236</v>
      </c>
      <c r="I159" s="99">
        <v>44029</v>
      </c>
      <c r="J159">
        <f>YEAR(I159)</f>
        <v>2020</v>
      </c>
      <c r="K159" s="99">
        <v>44035</v>
      </c>
      <c r="L159" t="s">
        <v>8279</v>
      </c>
      <c r="M159" t="s">
        <v>710</v>
      </c>
    </row>
    <row r="160" spans="2:13" x14ac:dyDescent="0.2">
      <c r="B160">
        <v>11212</v>
      </c>
      <c r="C160" t="s">
        <v>8242</v>
      </c>
      <c r="D160" t="s">
        <v>8237</v>
      </c>
      <c r="E160" s="225">
        <v>624.75</v>
      </c>
      <c r="F160" t="s">
        <v>8295</v>
      </c>
      <c r="G160" t="s">
        <v>8296</v>
      </c>
      <c r="H160" t="s">
        <v>8236</v>
      </c>
      <c r="I160" s="99">
        <v>44029</v>
      </c>
      <c r="J160">
        <f>YEAR(I160)</f>
        <v>2020</v>
      </c>
      <c r="K160" s="99">
        <v>44035</v>
      </c>
      <c r="L160" t="s">
        <v>8279</v>
      </c>
      <c r="M160" t="s">
        <v>710</v>
      </c>
    </row>
    <row r="161" spans="2:13" x14ac:dyDescent="0.2">
      <c r="B161">
        <v>11218</v>
      </c>
      <c r="C161" t="s">
        <v>8309</v>
      </c>
      <c r="D161" t="s">
        <v>8237</v>
      </c>
      <c r="E161" s="225">
        <v>593.75</v>
      </c>
      <c r="F161" t="s">
        <v>8295</v>
      </c>
      <c r="G161" t="s">
        <v>8296</v>
      </c>
      <c r="H161" t="s">
        <v>8236</v>
      </c>
      <c r="I161" s="99">
        <v>44047</v>
      </c>
      <c r="J161">
        <f>YEAR(I161)</f>
        <v>2020</v>
      </c>
      <c r="K161" s="99">
        <v>44051</v>
      </c>
      <c r="L161" t="s">
        <v>8266</v>
      </c>
      <c r="M161" t="s">
        <v>8267</v>
      </c>
    </row>
    <row r="162" spans="2:13" x14ac:dyDescent="0.2">
      <c r="B162">
        <v>11243</v>
      </c>
      <c r="C162" t="s">
        <v>8333</v>
      </c>
      <c r="D162" t="s">
        <v>8272</v>
      </c>
      <c r="E162" s="225">
        <v>450</v>
      </c>
      <c r="F162" t="s">
        <v>8295</v>
      </c>
      <c r="G162" t="s">
        <v>8296</v>
      </c>
      <c r="H162" t="s">
        <v>8236</v>
      </c>
      <c r="I162" s="99">
        <v>44090</v>
      </c>
      <c r="J162">
        <f>YEAR(I162)</f>
        <v>2020</v>
      </c>
      <c r="K162" s="99">
        <v>44098</v>
      </c>
      <c r="L162" t="s">
        <v>8266</v>
      </c>
      <c r="M162" t="s">
        <v>8267</v>
      </c>
    </row>
    <row r="163" spans="2:13" x14ac:dyDescent="0.2">
      <c r="B163">
        <v>11262</v>
      </c>
      <c r="C163" t="s">
        <v>8281</v>
      </c>
      <c r="D163" t="s">
        <v>8237</v>
      </c>
      <c r="E163" s="225">
        <v>660</v>
      </c>
      <c r="F163" t="s">
        <v>8295</v>
      </c>
      <c r="G163" t="s">
        <v>8296</v>
      </c>
      <c r="H163" t="s">
        <v>8236</v>
      </c>
      <c r="I163" s="99">
        <v>44132</v>
      </c>
      <c r="J163">
        <f>YEAR(I163)</f>
        <v>2020</v>
      </c>
      <c r="K163" s="99">
        <v>44139</v>
      </c>
      <c r="L163" t="s">
        <v>8320</v>
      </c>
      <c r="M163" t="s">
        <v>8321</v>
      </c>
    </row>
    <row r="164" spans="2:13" x14ac:dyDescent="0.2">
      <c r="B164">
        <v>11366</v>
      </c>
      <c r="C164" t="s">
        <v>8309</v>
      </c>
      <c r="D164" t="s">
        <v>8237</v>
      </c>
      <c r="E164" s="225">
        <v>437.5</v>
      </c>
      <c r="F164" t="s">
        <v>8295</v>
      </c>
      <c r="G164" t="s">
        <v>8296</v>
      </c>
      <c r="H164" t="s">
        <v>8236</v>
      </c>
      <c r="I164" s="99">
        <v>44244</v>
      </c>
      <c r="J164">
        <f>YEAR(I164)</f>
        <v>2021</v>
      </c>
      <c r="K164" s="99">
        <v>44267</v>
      </c>
      <c r="L164" t="s">
        <v>8251</v>
      </c>
      <c r="M164" t="s">
        <v>269</v>
      </c>
    </row>
    <row r="165" spans="2:13" x14ac:dyDescent="0.2">
      <c r="B165">
        <v>11366</v>
      </c>
      <c r="C165" t="s">
        <v>8258</v>
      </c>
      <c r="D165" t="s">
        <v>8244</v>
      </c>
      <c r="E165" s="225">
        <v>292.5</v>
      </c>
      <c r="F165" t="s">
        <v>8295</v>
      </c>
      <c r="G165" t="s">
        <v>8296</v>
      </c>
      <c r="H165" t="s">
        <v>8236</v>
      </c>
      <c r="I165" s="99">
        <v>44244</v>
      </c>
      <c r="J165">
        <f>YEAR(I165)</f>
        <v>2021</v>
      </c>
      <c r="K165" s="99">
        <v>44267</v>
      </c>
      <c r="L165" t="s">
        <v>8251</v>
      </c>
      <c r="M165" t="s">
        <v>269</v>
      </c>
    </row>
    <row r="166" spans="2:13" x14ac:dyDescent="0.2">
      <c r="B166">
        <v>10326</v>
      </c>
      <c r="C166" t="s">
        <v>8328</v>
      </c>
      <c r="D166" t="s">
        <v>8272</v>
      </c>
      <c r="E166" s="225">
        <v>310</v>
      </c>
      <c r="F166" t="s">
        <v>8363</v>
      </c>
      <c r="G166" t="s">
        <v>8364</v>
      </c>
      <c r="H166" t="s">
        <v>8324</v>
      </c>
      <c r="I166" s="99">
        <v>43584</v>
      </c>
      <c r="J166">
        <f>YEAR(I166)</f>
        <v>2019</v>
      </c>
      <c r="K166" s="99">
        <v>43588</v>
      </c>
      <c r="L166" t="s">
        <v>8266</v>
      </c>
      <c r="M166" t="s">
        <v>8267</v>
      </c>
    </row>
    <row r="167" spans="2:13" x14ac:dyDescent="0.2">
      <c r="B167">
        <v>10326</v>
      </c>
      <c r="C167" t="s">
        <v>8352</v>
      </c>
      <c r="D167" t="s">
        <v>8254</v>
      </c>
      <c r="E167" s="225">
        <v>422.4</v>
      </c>
      <c r="F167" t="s">
        <v>8363</v>
      </c>
      <c r="G167" t="s">
        <v>8364</v>
      </c>
      <c r="H167" t="s">
        <v>8324</v>
      </c>
      <c r="I167" s="99">
        <v>43584</v>
      </c>
      <c r="J167">
        <f>YEAR(I167)</f>
        <v>2019</v>
      </c>
      <c r="K167" s="99">
        <v>43588</v>
      </c>
      <c r="L167" t="s">
        <v>8266</v>
      </c>
      <c r="M167" t="s">
        <v>8267</v>
      </c>
    </row>
    <row r="168" spans="2:13" x14ac:dyDescent="0.2">
      <c r="B168">
        <v>10326</v>
      </c>
      <c r="C168" t="s">
        <v>8258</v>
      </c>
      <c r="D168" t="s">
        <v>8244</v>
      </c>
      <c r="E168" s="225">
        <v>249.6</v>
      </c>
      <c r="F168" t="s">
        <v>8363</v>
      </c>
      <c r="G168" t="s">
        <v>8364</v>
      </c>
      <c r="H168" t="s">
        <v>8324</v>
      </c>
      <c r="I168" s="99">
        <v>43584</v>
      </c>
      <c r="J168">
        <f>YEAR(I168)</f>
        <v>2019</v>
      </c>
      <c r="K168" s="99">
        <v>43588</v>
      </c>
      <c r="L168" t="s">
        <v>8266</v>
      </c>
      <c r="M168" t="s">
        <v>8267</v>
      </c>
    </row>
    <row r="169" spans="2:13" x14ac:dyDescent="0.2">
      <c r="B169">
        <v>10970</v>
      </c>
      <c r="C169" t="s">
        <v>8369</v>
      </c>
      <c r="D169" t="s">
        <v>8244</v>
      </c>
      <c r="E169" s="225">
        <v>224</v>
      </c>
      <c r="F169" t="s">
        <v>8363</v>
      </c>
      <c r="G169" t="s">
        <v>8364</v>
      </c>
      <c r="H169" t="s">
        <v>8324</v>
      </c>
      <c r="I169" s="99">
        <v>44113</v>
      </c>
      <c r="J169">
        <f>YEAR(I169)</f>
        <v>2020</v>
      </c>
      <c r="K169" s="99">
        <v>44144</v>
      </c>
      <c r="L169" t="s">
        <v>8279</v>
      </c>
      <c r="M169" t="s">
        <v>710</v>
      </c>
    </row>
    <row r="170" spans="2:13" x14ac:dyDescent="0.2">
      <c r="B170">
        <v>10340</v>
      </c>
      <c r="C170" t="s">
        <v>8306</v>
      </c>
      <c r="D170" t="s">
        <v>8272</v>
      </c>
      <c r="E170" s="225">
        <v>1398.4</v>
      </c>
      <c r="F170" t="s">
        <v>8377</v>
      </c>
      <c r="G170" t="s">
        <v>8378</v>
      </c>
      <c r="H170" t="s">
        <v>8236</v>
      </c>
      <c r="I170" s="99">
        <v>43603</v>
      </c>
      <c r="J170">
        <f>YEAR(I170)</f>
        <v>2019</v>
      </c>
      <c r="K170" s="99">
        <v>43613</v>
      </c>
      <c r="L170" t="s">
        <v>8285</v>
      </c>
      <c r="M170" t="s">
        <v>2317</v>
      </c>
    </row>
    <row r="171" spans="2:13" x14ac:dyDescent="0.2">
      <c r="B171">
        <v>10362</v>
      </c>
      <c r="C171" t="s">
        <v>8362</v>
      </c>
      <c r="D171" t="s">
        <v>8262</v>
      </c>
      <c r="E171" s="225">
        <v>560</v>
      </c>
      <c r="F171" t="s">
        <v>8377</v>
      </c>
      <c r="G171" t="s">
        <v>8378</v>
      </c>
      <c r="H171" t="s">
        <v>8236</v>
      </c>
      <c r="I171" s="99">
        <v>43630</v>
      </c>
      <c r="J171">
        <f>YEAR(I171)</f>
        <v>2019</v>
      </c>
      <c r="K171" s="99">
        <v>43633</v>
      </c>
      <c r="L171" t="s">
        <v>8257</v>
      </c>
      <c r="M171" t="s">
        <v>6984</v>
      </c>
    </row>
    <row r="172" spans="2:13" x14ac:dyDescent="0.2">
      <c r="B172">
        <v>10362</v>
      </c>
      <c r="C172" t="s">
        <v>8245</v>
      </c>
      <c r="D172" t="s">
        <v>8247</v>
      </c>
      <c r="E172" s="225">
        <v>848</v>
      </c>
      <c r="F172" t="s">
        <v>8377</v>
      </c>
      <c r="G172" t="s">
        <v>8378</v>
      </c>
      <c r="H172" t="s">
        <v>8236</v>
      </c>
      <c r="I172" s="99">
        <v>43630</v>
      </c>
      <c r="J172">
        <f>YEAR(I172)</f>
        <v>2019</v>
      </c>
      <c r="K172" s="99">
        <v>43633</v>
      </c>
      <c r="L172" t="s">
        <v>8257</v>
      </c>
      <c r="M172" t="s">
        <v>6984</v>
      </c>
    </row>
    <row r="173" spans="2:13" x14ac:dyDescent="0.2">
      <c r="B173">
        <v>10470</v>
      </c>
      <c r="C173" t="s">
        <v>8373</v>
      </c>
      <c r="D173" t="s">
        <v>8244</v>
      </c>
      <c r="E173" s="225">
        <v>108</v>
      </c>
      <c r="F173" t="s">
        <v>8377</v>
      </c>
      <c r="G173" t="s">
        <v>8378</v>
      </c>
      <c r="H173" t="s">
        <v>8236</v>
      </c>
      <c r="I173" s="99">
        <v>43736</v>
      </c>
      <c r="J173">
        <f>YEAR(I173)</f>
        <v>2019</v>
      </c>
      <c r="K173" s="99">
        <v>43739</v>
      </c>
      <c r="L173" t="s">
        <v>8266</v>
      </c>
      <c r="M173" t="s">
        <v>8267</v>
      </c>
    </row>
    <row r="174" spans="2:13" x14ac:dyDescent="0.2">
      <c r="B174">
        <v>10470</v>
      </c>
      <c r="C174" t="s">
        <v>8340</v>
      </c>
      <c r="D174" t="s">
        <v>8244</v>
      </c>
      <c r="E174" s="225">
        <v>212.8</v>
      </c>
      <c r="F174" t="s">
        <v>8377</v>
      </c>
      <c r="G174" t="s">
        <v>8378</v>
      </c>
      <c r="H174" t="s">
        <v>8236</v>
      </c>
      <c r="I174" s="99">
        <v>43736</v>
      </c>
      <c r="J174">
        <f>YEAR(I174)</f>
        <v>2019</v>
      </c>
      <c r="K174" s="99">
        <v>43739</v>
      </c>
      <c r="L174" t="s">
        <v>8266</v>
      </c>
      <c r="M174" t="s">
        <v>8267</v>
      </c>
    </row>
    <row r="175" spans="2:13" x14ac:dyDescent="0.2">
      <c r="B175">
        <v>10511</v>
      </c>
      <c r="C175" t="s">
        <v>8352</v>
      </c>
      <c r="D175" t="s">
        <v>8254</v>
      </c>
      <c r="E175" s="225">
        <v>935</v>
      </c>
      <c r="F175" t="s">
        <v>8377</v>
      </c>
      <c r="G175" t="s">
        <v>8378</v>
      </c>
      <c r="H175" t="s">
        <v>8236</v>
      </c>
      <c r="I175" s="99">
        <v>43774</v>
      </c>
      <c r="J175">
        <f>YEAR(I175)</f>
        <v>2019</v>
      </c>
      <c r="K175" s="99">
        <v>43777</v>
      </c>
      <c r="L175" t="s">
        <v>8266</v>
      </c>
      <c r="M175" t="s">
        <v>8267</v>
      </c>
    </row>
    <row r="176" spans="2:13" x14ac:dyDescent="0.2">
      <c r="B176">
        <v>10511</v>
      </c>
      <c r="C176" t="s">
        <v>8379</v>
      </c>
      <c r="D176" t="s">
        <v>8254</v>
      </c>
      <c r="E176" s="225">
        <v>340</v>
      </c>
      <c r="F176" t="s">
        <v>8377</v>
      </c>
      <c r="G176" t="s">
        <v>8378</v>
      </c>
      <c r="H176" t="s">
        <v>8236</v>
      </c>
      <c r="I176" s="99">
        <v>43774</v>
      </c>
      <c r="J176">
        <f>YEAR(I176)</f>
        <v>2019</v>
      </c>
      <c r="K176" s="99">
        <v>43777</v>
      </c>
      <c r="L176" t="s">
        <v>8266</v>
      </c>
      <c r="M176" t="s">
        <v>8267</v>
      </c>
    </row>
    <row r="177" spans="2:13" x14ac:dyDescent="0.2">
      <c r="B177">
        <v>10511</v>
      </c>
      <c r="C177" t="s">
        <v>8415</v>
      </c>
      <c r="D177" t="s">
        <v>8247</v>
      </c>
      <c r="E177" s="225">
        <v>1275</v>
      </c>
      <c r="F177" t="s">
        <v>8377</v>
      </c>
      <c r="G177" t="s">
        <v>8378</v>
      </c>
      <c r="H177" t="s">
        <v>8236</v>
      </c>
      <c r="I177" s="99">
        <v>43774</v>
      </c>
      <c r="J177">
        <f>YEAR(I177)</f>
        <v>2019</v>
      </c>
      <c r="K177" s="99">
        <v>43777</v>
      </c>
      <c r="L177" t="s">
        <v>8266</v>
      </c>
      <c r="M177" t="s">
        <v>8267</v>
      </c>
    </row>
    <row r="178" spans="2:13" x14ac:dyDescent="0.2">
      <c r="B178">
        <v>10663</v>
      </c>
      <c r="C178" t="s">
        <v>8243</v>
      </c>
      <c r="D178" t="s">
        <v>8244</v>
      </c>
      <c r="E178" s="225">
        <v>399</v>
      </c>
      <c r="F178" t="s">
        <v>8377</v>
      </c>
      <c r="G178" t="s">
        <v>8378</v>
      </c>
      <c r="H178" t="s">
        <v>8236</v>
      </c>
      <c r="I178" s="99">
        <v>43919</v>
      </c>
      <c r="J178">
        <f>YEAR(I178)</f>
        <v>2020</v>
      </c>
      <c r="K178" s="99">
        <v>43942</v>
      </c>
      <c r="L178" t="s">
        <v>8297</v>
      </c>
      <c r="M178" t="s">
        <v>8298</v>
      </c>
    </row>
    <row r="179" spans="2:13" x14ac:dyDescent="0.2">
      <c r="B179">
        <v>10663</v>
      </c>
      <c r="C179" t="s">
        <v>8245</v>
      </c>
      <c r="D179" t="s">
        <v>8247</v>
      </c>
      <c r="E179" s="225">
        <v>1007</v>
      </c>
      <c r="F179" t="s">
        <v>8377</v>
      </c>
      <c r="G179" t="s">
        <v>8378</v>
      </c>
      <c r="H179" t="s">
        <v>8236</v>
      </c>
      <c r="I179" s="99">
        <v>43919</v>
      </c>
      <c r="J179">
        <f>YEAR(I179)</f>
        <v>2020</v>
      </c>
      <c r="K179" s="99">
        <v>43942</v>
      </c>
      <c r="L179" t="s">
        <v>8297</v>
      </c>
      <c r="M179" t="s">
        <v>8298</v>
      </c>
    </row>
    <row r="180" spans="2:13" x14ac:dyDescent="0.2">
      <c r="B180">
        <v>10715</v>
      </c>
      <c r="C180" t="s">
        <v>8310</v>
      </c>
      <c r="D180" t="s">
        <v>8237</v>
      </c>
      <c r="E180" s="225">
        <v>645</v>
      </c>
      <c r="F180" t="s">
        <v>8377</v>
      </c>
      <c r="G180" t="s">
        <v>8378</v>
      </c>
      <c r="H180" t="s">
        <v>8236</v>
      </c>
      <c r="I180" s="99">
        <v>43962</v>
      </c>
      <c r="J180">
        <f>YEAR(I180)</f>
        <v>2020</v>
      </c>
      <c r="K180" s="99">
        <v>43968</v>
      </c>
      <c r="L180" t="s">
        <v>8257</v>
      </c>
      <c r="M180" t="s">
        <v>6984</v>
      </c>
    </row>
    <row r="181" spans="2:13" x14ac:dyDescent="0.2">
      <c r="B181">
        <v>10730</v>
      </c>
      <c r="C181" t="s">
        <v>8253</v>
      </c>
      <c r="D181" t="s">
        <v>8254</v>
      </c>
      <c r="E181" s="225">
        <v>199.97</v>
      </c>
      <c r="F181" t="s">
        <v>8377</v>
      </c>
      <c r="G181" t="s">
        <v>8378</v>
      </c>
      <c r="H181" t="s">
        <v>8236</v>
      </c>
      <c r="I181" s="99">
        <v>43975</v>
      </c>
      <c r="J181">
        <f>YEAR(I181)</f>
        <v>2020</v>
      </c>
      <c r="K181" s="99">
        <v>43984</v>
      </c>
      <c r="L181" t="s">
        <v>8241</v>
      </c>
      <c r="M181" t="s">
        <v>6934</v>
      </c>
    </row>
    <row r="182" spans="2:13" x14ac:dyDescent="0.2">
      <c r="B182">
        <v>10730</v>
      </c>
      <c r="C182" t="s">
        <v>8280</v>
      </c>
      <c r="D182" t="s">
        <v>8262</v>
      </c>
      <c r="E182" s="225">
        <v>248.66</v>
      </c>
      <c r="F182" t="s">
        <v>8377</v>
      </c>
      <c r="G182" t="s">
        <v>8378</v>
      </c>
      <c r="H182" t="s">
        <v>8236</v>
      </c>
      <c r="I182" s="99">
        <v>43975</v>
      </c>
      <c r="J182">
        <f>YEAR(I182)</f>
        <v>2020</v>
      </c>
      <c r="K182" s="99">
        <v>43984</v>
      </c>
      <c r="L182" t="s">
        <v>8241</v>
      </c>
      <c r="M182" t="s">
        <v>6934</v>
      </c>
    </row>
    <row r="183" spans="2:13" x14ac:dyDescent="0.2">
      <c r="B183">
        <v>10730</v>
      </c>
      <c r="C183" t="s">
        <v>8309</v>
      </c>
      <c r="D183" t="s">
        <v>8237</v>
      </c>
      <c r="E183" s="225">
        <v>35.619999999999997</v>
      </c>
      <c r="F183" t="s">
        <v>8377</v>
      </c>
      <c r="G183" t="s">
        <v>8378</v>
      </c>
      <c r="H183" t="s">
        <v>8236</v>
      </c>
      <c r="I183" s="99">
        <v>43975</v>
      </c>
      <c r="J183">
        <f>YEAR(I183)</f>
        <v>2020</v>
      </c>
      <c r="K183" s="99">
        <v>43984</v>
      </c>
      <c r="L183" t="s">
        <v>8241</v>
      </c>
      <c r="M183" t="s">
        <v>6934</v>
      </c>
    </row>
    <row r="184" spans="2:13" x14ac:dyDescent="0.2">
      <c r="B184">
        <v>10732</v>
      </c>
      <c r="C184" t="s">
        <v>8303</v>
      </c>
      <c r="D184" t="s">
        <v>8272</v>
      </c>
      <c r="E184" s="225">
        <v>360</v>
      </c>
      <c r="F184" t="s">
        <v>8377</v>
      </c>
      <c r="G184" t="s">
        <v>8378</v>
      </c>
      <c r="H184" t="s">
        <v>8236</v>
      </c>
      <c r="I184" s="99">
        <v>43976</v>
      </c>
      <c r="J184">
        <f>YEAR(I184)</f>
        <v>2020</v>
      </c>
      <c r="K184" s="99">
        <v>43977</v>
      </c>
      <c r="L184" t="s">
        <v>8257</v>
      </c>
      <c r="M184" t="s">
        <v>6984</v>
      </c>
    </row>
    <row r="185" spans="2:13" x14ac:dyDescent="0.2">
      <c r="B185">
        <v>10755</v>
      </c>
      <c r="C185" t="s">
        <v>8410</v>
      </c>
      <c r="D185" t="s">
        <v>8262</v>
      </c>
      <c r="E185" s="225">
        <v>213.75</v>
      </c>
      <c r="F185" t="s">
        <v>8377</v>
      </c>
      <c r="G185" t="s">
        <v>8378</v>
      </c>
      <c r="H185" t="s">
        <v>8236</v>
      </c>
      <c r="I185" s="99">
        <v>43996</v>
      </c>
      <c r="J185">
        <f>YEAR(I185)</f>
        <v>2020</v>
      </c>
      <c r="K185" s="99">
        <v>43998</v>
      </c>
      <c r="L185" t="s">
        <v>8266</v>
      </c>
      <c r="M185" t="s">
        <v>8267</v>
      </c>
    </row>
    <row r="186" spans="2:13" x14ac:dyDescent="0.2">
      <c r="B186">
        <v>10755</v>
      </c>
      <c r="C186" t="s">
        <v>8353</v>
      </c>
      <c r="D186" t="s">
        <v>8237</v>
      </c>
      <c r="E186" s="225">
        <v>675</v>
      </c>
      <c r="F186" t="s">
        <v>8377</v>
      </c>
      <c r="G186" t="s">
        <v>8378</v>
      </c>
      <c r="H186" t="s">
        <v>8236</v>
      </c>
      <c r="I186" s="99">
        <v>43996</v>
      </c>
      <c r="J186">
        <f>YEAR(I186)</f>
        <v>2020</v>
      </c>
      <c r="K186" s="99">
        <v>43998</v>
      </c>
      <c r="L186" t="s">
        <v>8266</v>
      </c>
      <c r="M186" t="s">
        <v>8267</v>
      </c>
    </row>
    <row r="187" spans="2:13" x14ac:dyDescent="0.2">
      <c r="B187">
        <v>10755</v>
      </c>
      <c r="C187" t="s">
        <v>8341</v>
      </c>
      <c r="D187" t="s">
        <v>8244</v>
      </c>
      <c r="E187" s="225">
        <v>855</v>
      </c>
      <c r="F187" t="s">
        <v>8377</v>
      </c>
      <c r="G187" t="s">
        <v>8378</v>
      </c>
      <c r="H187" t="s">
        <v>8236</v>
      </c>
      <c r="I187" s="99">
        <v>43996</v>
      </c>
      <c r="J187">
        <f>YEAR(I187)</f>
        <v>2020</v>
      </c>
      <c r="K187" s="99">
        <v>43998</v>
      </c>
      <c r="L187" t="s">
        <v>8266</v>
      </c>
      <c r="M187" t="s">
        <v>8267</v>
      </c>
    </row>
    <row r="188" spans="2:13" x14ac:dyDescent="0.2">
      <c r="B188">
        <v>10755</v>
      </c>
      <c r="C188" t="s">
        <v>8258</v>
      </c>
      <c r="D188" t="s">
        <v>8244</v>
      </c>
      <c r="E188" s="225">
        <v>204.75</v>
      </c>
      <c r="F188" t="s">
        <v>8377</v>
      </c>
      <c r="G188" t="s">
        <v>8378</v>
      </c>
      <c r="H188" t="s">
        <v>8236</v>
      </c>
      <c r="I188" s="99">
        <v>43996</v>
      </c>
      <c r="J188">
        <f>YEAR(I188)</f>
        <v>2020</v>
      </c>
      <c r="K188" s="99">
        <v>43998</v>
      </c>
      <c r="L188" t="s">
        <v>8266</v>
      </c>
      <c r="M188" t="s">
        <v>8267</v>
      </c>
    </row>
    <row r="189" spans="2:13" x14ac:dyDescent="0.2">
      <c r="B189">
        <v>10827</v>
      </c>
      <c r="C189" t="s">
        <v>8342</v>
      </c>
      <c r="D189" t="s">
        <v>8272</v>
      </c>
      <c r="E189" s="225">
        <v>378</v>
      </c>
      <c r="F189" t="s">
        <v>8377</v>
      </c>
      <c r="G189" t="s">
        <v>8378</v>
      </c>
      <c r="H189" t="s">
        <v>8236</v>
      </c>
      <c r="I189" s="99">
        <v>44044</v>
      </c>
      <c r="J189">
        <f>YEAR(I189)</f>
        <v>2020</v>
      </c>
      <c r="K189" s="99">
        <v>44067</v>
      </c>
      <c r="L189" t="s">
        <v>8285</v>
      </c>
      <c r="M189" t="s">
        <v>2317</v>
      </c>
    </row>
    <row r="190" spans="2:13" x14ac:dyDescent="0.2">
      <c r="B190">
        <v>10871</v>
      </c>
      <c r="C190" t="s">
        <v>8351</v>
      </c>
      <c r="D190" t="s">
        <v>8254</v>
      </c>
      <c r="E190" s="225">
        <v>1187.5</v>
      </c>
      <c r="F190" t="s">
        <v>8377</v>
      </c>
      <c r="G190" t="s">
        <v>8378</v>
      </c>
      <c r="H190" t="s">
        <v>8236</v>
      </c>
      <c r="I190" s="99">
        <v>44066</v>
      </c>
      <c r="J190">
        <f>YEAR(I190)</f>
        <v>2020</v>
      </c>
      <c r="K190" s="99">
        <v>44072</v>
      </c>
      <c r="L190" t="s">
        <v>8279</v>
      </c>
      <c r="M190" t="s">
        <v>710</v>
      </c>
    </row>
    <row r="191" spans="2:13" x14ac:dyDescent="0.2">
      <c r="B191">
        <v>10871</v>
      </c>
      <c r="C191" t="s">
        <v>8280</v>
      </c>
      <c r="D191" t="s">
        <v>8262</v>
      </c>
      <c r="E191" s="225">
        <v>198.93</v>
      </c>
      <c r="F191" t="s">
        <v>8377</v>
      </c>
      <c r="G191" t="s">
        <v>8378</v>
      </c>
      <c r="H191" t="s">
        <v>8236</v>
      </c>
      <c r="I191" s="99">
        <v>44066</v>
      </c>
      <c r="J191">
        <f>YEAR(I191)</f>
        <v>2020</v>
      </c>
      <c r="K191" s="99">
        <v>44072</v>
      </c>
      <c r="L191" t="s">
        <v>8279</v>
      </c>
      <c r="M191" t="s">
        <v>710</v>
      </c>
    </row>
    <row r="192" spans="2:13" x14ac:dyDescent="0.2">
      <c r="B192">
        <v>10876</v>
      </c>
      <c r="C192" t="s">
        <v>8340</v>
      </c>
      <c r="D192" t="s">
        <v>8244</v>
      </c>
      <c r="E192" s="225">
        <v>665</v>
      </c>
      <c r="F192" t="s">
        <v>8377</v>
      </c>
      <c r="G192" t="s">
        <v>8378</v>
      </c>
      <c r="H192" t="s">
        <v>8236</v>
      </c>
      <c r="I192" s="99">
        <v>44070</v>
      </c>
      <c r="J192">
        <f>YEAR(I192)</f>
        <v>2020</v>
      </c>
      <c r="K192" s="99">
        <v>44073</v>
      </c>
      <c r="L192" t="s">
        <v>8158</v>
      </c>
      <c r="M192" t="s">
        <v>861</v>
      </c>
    </row>
    <row r="193" spans="2:13" x14ac:dyDescent="0.2">
      <c r="B193">
        <v>10932</v>
      </c>
      <c r="C193" t="s">
        <v>8328</v>
      </c>
      <c r="D193" t="s">
        <v>8272</v>
      </c>
      <c r="E193" s="225">
        <v>139.5</v>
      </c>
      <c r="F193" t="s">
        <v>8377</v>
      </c>
      <c r="G193" t="s">
        <v>8378</v>
      </c>
      <c r="H193" t="s">
        <v>8236</v>
      </c>
      <c r="I193" s="99">
        <v>44095</v>
      </c>
      <c r="J193">
        <f>YEAR(I193)</f>
        <v>2020</v>
      </c>
      <c r="K193" s="99">
        <v>44113</v>
      </c>
      <c r="L193" t="s">
        <v>8320</v>
      </c>
      <c r="M193" t="s">
        <v>8321</v>
      </c>
    </row>
    <row r="194" spans="2:13" x14ac:dyDescent="0.2">
      <c r="B194">
        <v>10932</v>
      </c>
      <c r="C194" t="s">
        <v>8280</v>
      </c>
      <c r="D194" t="s">
        <v>8262</v>
      </c>
      <c r="E194" s="225">
        <v>471.15</v>
      </c>
      <c r="F194" t="s">
        <v>8377</v>
      </c>
      <c r="G194" t="s">
        <v>8378</v>
      </c>
      <c r="H194" t="s">
        <v>8236</v>
      </c>
      <c r="I194" s="99">
        <v>44095</v>
      </c>
      <c r="J194">
        <f>YEAR(I194)</f>
        <v>2020</v>
      </c>
      <c r="K194" s="99">
        <v>44113</v>
      </c>
      <c r="L194" t="s">
        <v>8320</v>
      </c>
      <c r="M194" t="s">
        <v>8321</v>
      </c>
    </row>
    <row r="195" spans="2:13" x14ac:dyDescent="0.2">
      <c r="B195">
        <v>10932</v>
      </c>
      <c r="C195" t="s">
        <v>8291</v>
      </c>
      <c r="D195" t="s">
        <v>8262</v>
      </c>
      <c r="E195" s="225">
        <v>621.17999999999995</v>
      </c>
      <c r="F195" t="s">
        <v>8377</v>
      </c>
      <c r="G195" t="s">
        <v>8378</v>
      </c>
      <c r="H195" t="s">
        <v>8236</v>
      </c>
      <c r="I195" s="99">
        <v>44095</v>
      </c>
      <c r="J195">
        <f>YEAR(I195)</f>
        <v>2020</v>
      </c>
      <c r="K195" s="99">
        <v>44113</v>
      </c>
      <c r="L195" t="s">
        <v>8320</v>
      </c>
      <c r="M195" t="s">
        <v>8321</v>
      </c>
    </row>
    <row r="196" spans="2:13" x14ac:dyDescent="0.2">
      <c r="B196">
        <v>10932</v>
      </c>
      <c r="C196" t="s">
        <v>8235</v>
      </c>
      <c r="D196" t="s">
        <v>8237</v>
      </c>
      <c r="E196" s="225">
        <v>556.79999999999995</v>
      </c>
      <c r="F196" t="s">
        <v>8377</v>
      </c>
      <c r="G196" t="s">
        <v>8378</v>
      </c>
      <c r="H196" t="s">
        <v>8236</v>
      </c>
      <c r="I196" s="99">
        <v>44095</v>
      </c>
      <c r="J196">
        <f>YEAR(I196)</f>
        <v>2020</v>
      </c>
      <c r="K196" s="99">
        <v>44113</v>
      </c>
      <c r="L196" t="s">
        <v>8320</v>
      </c>
      <c r="M196" t="s">
        <v>8321</v>
      </c>
    </row>
    <row r="197" spans="2:13" x14ac:dyDescent="0.2">
      <c r="B197">
        <v>10940</v>
      </c>
      <c r="C197" t="s">
        <v>8415</v>
      </c>
      <c r="D197" t="s">
        <v>8247</v>
      </c>
      <c r="E197" s="225">
        <v>240</v>
      </c>
      <c r="F197" t="s">
        <v>8377</v>
      </c>
      <c r="G197" t="s">
        <v>8378</v>
      </c>
      <c r="H197" t="s">
        <v>8236</v>
      </c>
      <c r="I197" s="99">
        <v>44100</v>
      </c>
      <c r="J197">
        <f>YEAR(I197)</f>
        <v>2020</v>
      </c>
      <c r="K197" s="99">
        <v>44112</v>
      </c>
      <c r="L197" t="s">
        <v>8320</v>
      </c>
      <c r="M197" t="s">
        <v>8321</v>
      </c>
    </row>
    <row r="198" spans="2:13" x14ac:dyDescent="0.2">
      <c r="B198">
        <v>11076</v>
      </c>
      <c r="C198" t="s">
        <v>8351</v>
      </c>
      <c r="D198" t="s">
        <v>8254</v>
      </c>
      <c r="E198" s="225">
        <v>375</v>
      </c>
      <c r="F198" t="s">
        <v>8377</v>
      </c>
      <c r="G198" t="s">
        <v>8378</v>
      </c>
      <c r="H198" t="s">
        <v>8236</v>
      </c>
      <c r="I198" s="99">
        <v>44156</v>
      </c>
      <c r="J198">
        <f>YEAR(I198)</f>
        <v>2020</v>
      </c>
      <c r="L198" t="s">
        <v>8266</v>
      </c>
      <c r="M198" t="s">
        <v>8267</v>
      </c>
    </row>
    <row r="199" spans="2:13" x14ac:dyDescent="0.2">
      <c r="B199">
        <v>11076</v>
      </c>
      <c r="C199" t="s">
        <v>8327</v>
      </c>
      <c r="D199" t="s">
        <v>8262</v>
      </c>
      <c r="E199" s="225">
        <v>69</v>
      </c>
      <c r="F199" t="s">
        <v>8377</v>
      </c>
      <c r="G199" t="s">
        <v>8378</v>
      </c>
      <c r="H199" t="s">
        <v>8236</v>
      </c>
      <c r="I199" s="99">
        <v>44156</v>
      </c>
      <c r="J199">
        <f>YEAR(I199)</f>
        <v>2020</v>
      </c>
      <c r="L199" t="s">
        <v>8266</v>
      </c>
      <c r="M199" t="s">
        <v>8267</v>
      </c>
    </row>
    <row r="200" spans="2:13" x14ac:dyDescent="0.2">
      <c r="B200">
        <v>11076</v>
      </c>
      <c r="C200" t="s">
        <v>8252</v>
      </c>
      <c r="D200" t="s">
        <v>8247</v>
      </c>
      <c r="E200" s="225">
        <v>348.75</v>
      </c>
      <c r="F200" t="s">
        <v>8377</v>
      </c>
      <c r="G200" t="s">
        <v>8378</v>
      </c>
      <c r="H200" t="s">
        <v>8236</v>
      </c>
      <c r="I200" s="99">
        <v>44156</v>
      </c>
      <c r="J200">
        <f>YEAR(I200)</f>
        <v>2020</v>
      </c>
      <c r="L200" t="s">
        <v>8266</v>
      </c>
      <c r="M200" t="s">
        <v>8267</v>
      </c>
    </row>
    <row r="201" spans="2:13" x14ac:dyDescent="0.2">
      <c r="B201">
        <v>11099</v>
      </c>
      <c r="C201" t="s">
        <v>8306</v>
      </c>
      <c r="D201" t="s">
        <v>8272</v>
      </c>
      <c r="E201" s="225">
        <v>1398.4</v>
      </c>
      <c r="F201" t="s">
        <v>8377</v>
      </c>
      <c r="G201" t="s">
        <v>8378</v>
      </c>
      <c r="H201" t="s">
        <v>8236</v>
      </c>
      <c r="I201" s="99">
        <v>43803</v>
      </c>
      <c r="J201">
        <f>YEAR(I201)</f>
        <v>2019</v>
      </c>
      <c r="K201" s="99">
        <v>43813</v>
      </c>
      <c r="L201" t="s">
        <v>8285</v>
      </c>
      <c r="M201" t="s">
        <v>2317</v>
      </c>
    </row>
    <row r="202" spans="2:13" x14ac:dyDescent="0.2">
      <c r="B202">
        <v>11107</v>
      </c>
      <c r="C202" t="s">
        <v>8362</v>
      </c>
      <c r="D202" t="s">
        <v>8262</v>
      </c>
      <c r="E202" s="225">
        <v>560</v>
      </c>
      <c r="F202" t="s">
        <v>8377</v>
      </c>
      <c r="G202" t="s">
        <v>8378</v>
      </c>
      <c r="H202" t="s">
        <v>8236</v>
      </c>
      <c r="I202" s="99">
        <v>43830</v>
      </c>
      <c r="J202">
        <f>YEAR(I202)</f>
        <v>2019</v>
      </c>
      <c r="K202" s="99">
        <v>43833</v>
      </c>
      <c r="L202" t="s">
        <v>8257</v>
      </c>
      <c r="M202" t="s">
        <v>6984</v>
      </c>
    </row>
    <row r="203" spans="2:13" x14ac:dyDescent="0.2">
      <c r="B203">
        <v>11107</v>
      </c>
      <c r="C203" t="s">
        <v>8245</v>
      </c>
      <c r="D203" t="s">
        <v>8247</v>
      </c>
      <c r="E203" s="225">
        <v>848</v>
      </c>
      <c r="F203" t="s">
        <v>8377</v>
      </c>
      <c r="G203" t="s">
        <v>8378</v>
      </c>
      <c r="H203" t="s">
        <v>8236</v>
      </c>
      <c r="I203" s="99">
        <v>43830</v>
      </c>
      <c r="J203">
        <f>YEAR(I203)</f>
        <v>2019</v>
      </c>
      <c r="K203" s="99">
        <v>43833</v>
      </c>
      <c r="L203" t="s">
        <v>8257</v>
      </c>
      <c r="M203" t="s">
        <v>6984</v>
      </c>
    </row>
    <row r="204" spans="2:13" x14ac:dyDescent="0.2">
      <c r="B204">
        <v>11171</v>
      </c>
      <c r="C204" t="s">
        <v>8373</v>
      </c>
      <c r="D204" t="s">
        <v>8244</v>
      </c>
      <c r="E204" s="225">
        <v>108</v>
      </c>
      <c r="F204" t="s">
        <v>8377</v>
      </c>
      <c r="G204" t="s">
        <v>8378</v>
      </c>
      <c r="H204" t="s">
        <v>8236</v>
      </c>
      <c r="I204" s="99">
        <v>43936</v>
      </c>
      <c r="J204">
        <f>YEAR(I204)</f>
        <v>2020</v>
      </c>
      <c r="K204" s="99">
        <v>43939</v>
      </c>
      <c r="L204" t="s">
        <v>8266</v>
      </c>
      <c r="M204" t="s">
        <v>8267</v>
      </c>
    </row>
    <row r="205" spans="2:13" x14ac:dyDescent="0.2">
      <c r="B205">
        <v>11171</v>
      </c>
      <c r="C205" t="s">
        <v>8340</v>
      </c>
      <c r="D205" t="s">
        <v>8244</v>
      </c>
      <c r="E205" s="225">
        <v>212.8</v>
      </c>
      <c r="F205" t="s">
        <v>8377</v>
      </c>
      <c r="G205" t="s">
        <v>8378</v>
      </c>
      <c r="H205" t="s">
        <v>8236</v>
      </c>
      <c r="I205" s="99">
        <v>43936</v>
      </c>
      <c r="J205">
        <f>YEAR(I205)</f>
        <v>2020</v>
      </c>
      <c r="K205" s="99">
        <v>43939</v>
      </c>
      <c r="L205" t="s">
        <v>8266</v>
      </c>
      <c r="M205" t="s">
        <v>8267</v>
      </c>
    </row>
    <row r="206" spans="2:13" x14ac:dyDescent="0.2">
      <c r="B206">
        <v>11189</v>
      </c>
      <c r="C206" t="s">
        <v>8352</v>
      </c>
      <c r="D206" t="s">
        <v>8254</v>
      </c>
      <c r="E206" s="225">
        <v>935</v>
      </c>
      <c r="F206" t="s">
        <v>8377</v>
      </c>
      <c r="G206" t="s">
        <v>8378</v>
      </c>
      <c r="H206" t="s">
        <v>8236</v>
      </c>
      <c r="I206" s="99">
        <v>43974</v>
      </c>
      <c r="J206">
        <f>YEAR(I206)</f>
        <v>2020</v>
      </c>
      <c r="K206" s="99">
        <v>43977</v>
      </c>
      <c r="L206" t="s">
        <v>8266</v>
      </c>
      <c r="M206" t="s">
        <v>8267</v>
      </c>
    </row>
    <row r="207" spans="2:13" x14ac:dyDescent="0.2">
      <c r="B207">
        <v>11189</v>
      </c>
      <c r="C207" t="s">
        <v>8379</v>
      </c>
      <c r="D207" t="s">
        <v>8254</v>
      </c>
      <c r="E207" s="225">
        <v>340</v>
      </c>
      <c r="F207" t="s">
        <v>8377</v>
      </c>
      <c r="G207" t="s">
        <v>8378</v>
      </c>
      <c r="H207" t="s">
        <v>8236</v>
      </c>
      <c r="I207" s="99">
        <v>43974</v>
      </c>
      <c r="J207">
        <f>YEAR(I207)</f>
        <v>2020</v>
      </c>
      <c r="K207" s="99">
        <v>43977</v>
      </c>
      <c r="L207" t="s">
        <v>8266</v>
      </c>
      <c r="M207" t="s">
        <v>8267</v>
      </c>
    </row>
    <row r="208" spans="2:13" x14ac:dyDescent="0.2">
      <c r="B208">
        <v>11189</v>
      </c>
      <c r="C208" t="s">
        <v>8415</v>
      </c>
      <c r="D208" t="s">
        <v>8247</v>
      </c>
      <c r="E208" s="225">
        <v>1275</v>
      </c>
      <c r="F208" t="s">
        <v>8377</v>
      </c>
      <c r="G208" t="s">
        <v>8378</v>
      </c>
      <c r="H208" t="s">
        <v>8236</v>
      </c>
      <c r="I208" s="99">
        <v>43974</v>
      </c>
      <c r="J208">
        <f>YEAR(I208)</f>
        <v>2020</v>
      </c>
      <c r="K208" s="99">
        <v>43977</v>
      </c>
      <c r="L208" t="s">
        <v>8266</v>
      </c>
      <c r="M208" t="s">
        <v>8267</v>
      </c>
    </row>
    <row r="209" spans="2:13" x14ac:dyDescent="0.2">
      <c r="B209">
        <v>11266</v>
      </c>
      <c r="C209" t="s">
        <v>8243</v>
      </c>
      <c r="D209" t="s">
        <v>8244</v>
      </c>
      <c r="E209" s="225">
        <v>399</v>
      </c>
      <c r="F209" t="s">
        <v>8377</v>
      </c>
      <c r="G209" t="s">
        <v>8378</v>
      </c>
      <c r="H209" t="s">
        <v>8236</v>
      </c>
      <c r="I209" s="99">
        <v>44119</v>
      </c>
      <c r="J209">
        <f>YEAR(I209)</f>
        <v>2020</v>
      </c>
      <c r="K209" s="99">
        <v>44142</v>
      </c>
      <c r="L209" t="s">
        <v>8297</v>
      </c>
      <c r="M209" t="s">
        <v>8298</v>
      </c>
    </row>
    <row r="210" spans="2:13" x14ac:dyDescent="0.2">
      <c r="B210">
        <v>11266</v>
      </c>
      <c r="C210" t="s">
        <v>8245</v>
      </c>
      <c r="D210" t="s">
        <v>8247</v>
      </c>
      <c r="E210" s="225">
        <v>1007</v>
      </c>
      <c r="F210" t="s">
        <v>8377</v>
      </c>
      <c r="G210" t="s">
        <v>8378</v>
      </c>
      <c r="H210" t="s">
        <v>8236</v>
      </c>
      <c r="I210" s="99">
        <v>44119</v>
      </c>
      <c r="J210">
        <f>YEAR(I210)</f>
        <v>2020</v>
      </c>
      <c r="K210" s="99">
        <v>44142</v>
      </c>
      <c r="L210" t="s">
        <v>8297</v>
      </c>
      <c r="M210" t="s">
        <v>8298</v>
      </c>
    </row>
    <row r="211" spans="2:13" x14ac:dyDescent="0.2">
      <c r="B211">
        <v>11292</v>
      </c>
      <c r="C211" t="s">
        <v>8310</v>
      </c>
      <c r="D211" t="s">
        <v>8237</v>
      </c>
      <c r="E211" s="225">
        <v>645</v>
      </c>
      <c r="F211" t="s">
        <v>8377</v>
      </c>
      <c r="G211" t="s">
        <v>8378</v>
      </c>
      <c r="H211" t="s">
        <v>8236</v>
      </c>
      <c r="I211" s="99">
        <v>44162</v>
      </c>
      <c r="J211">
        <f>YEAR(I211)</f>
        <v>2020</v>
      </c>
      <c r="K211" s="99">
        <v>44168</v>
      </c>
      <c r="L211" t="s">
        <v>8257</v>
      </c>
      <c r="M211" t="s">
        <v>6984</v>
      </c>
    </row>
    <row r="212" spans="2:13" x14ac:dyDescent="0.2">
      <c r="B212">
        <v>11301</v>
      </c>
      <c r="C212" t="s">
        <v>8303</v>
      </c>
      <c r="D212" t="s">
        <v>8272</v>
      </c>
      <c r="E212" s="225">
        <v>360</v>
      </c>
      <c r="F212" t="s">
        <v>8377</v>
      </c>
      <c r="G212" t="s">
        <v>8378</v>
      </c>
      <c r="H212" t="s">
        <v>8236</v>
      </c>
      <c r="I212" s="99">
        <v>44176</v>
      </c>
      <c r="J212">
        <f>YEAR(I212)</f>
        <v>2020</v>
      </c>
      <c r="K212" s="99">
        <v>44177</v>
      </c>
      <c r="L212" t="s">
        <v>8257</v>
      </c>
      <c r="M212" t="s">
        <v>6984</v>
      </c>
    </row>
    <row r="213" spans="2:13" x14ac:dyDescent="0.2">
      <c r="B213">
        <v>11301</v>
      </c>
      <c r="C213" t="s">
        <v>8253</v>
      </c>
      <c r="D213" t="s">
        <v>8254</v>
      </c>
      <c r="E213" s="225">
        <v>199.97</v>
      </c>
      <c r="F213" t="s">
        <v>8377</v>
      </c>
      <c r="G213" t="s">
        <v>8378</v>
      </c>
      <c r="H213" t="s">
        <v>8236</v>
      </c>
      <c r="I213" s="99">
        <v>44175</v>
      </c>
      <c r="J213">
        <f>YEAR(I213)</f>
        <v>2020</v>
      </c>
      <c r="K213" s="99">
        <v>44184</v>
      </c>
      <c r="L213" t="s">
        <v>8241</v>
      </c>
      <c r="M213" t="s">
        <v>6934</v>
      </c>
    </row>
    <row r="214" spans="2:13" x14ac:dyDescent="0.2">
      <c r="B214">
        <v>11301</v>
      </c>
      <c r="C214" t="s">
        <v>8280</v>
      </c>
      <c r="D214" t="s">
        <v>8262</v>
      </c>
      <c r="E214" s="225">
        <v>248.66</v>
      </c>
      <c r="F214" t="s">
        <v>8377</v>
      </c>
      <c r="G214" t="s">
        <v>8378</v>
      </c>
      <c r="H214" t="s">
        <v>8236</v>
      </c>
      <c r="I214" s="99">
        <v>44175</v>
      </c>
      <c r="J214">
        <f>YEAR(I214)</f>
        <v>2020</v>
      </c>
      <c r="K214" s="99">
        <v>44184</v>
      </c>
      <c r="L214" t="s">
        <v>8241</v>
      </c>
      <c r="M214" t="s">
        <v>6934</v>
      </c>
    </row>
    <row r="215" spans="2:13" x14ac:dyDescent="0.2">
      <c r="B215">
        <v>11301</v>
      </c>
      <c r="C215" t="s">
        <v>8309</v>
      </c>
      <c r="D215" t="s">
        <v>8237</v>
      </c>
      <c r="E215" s="225">
        <v>35.619999999999997</v>
      </c>
      <c r="F215" t="s">
        <v>8377</v>
      </c>
      <c r="G215" t="s">
        <v>8378</v>
      </c>
      <c r="H215" t="s">
        <v>8236</v>
      </c>
      <c r="I215" s="99">
        <v>44175</v>
      </c>
      <c r="J215">
        <f>YEAR(I215)</f>
        <v>2020</v>
      </c>
      <c r="K215" s="99">
        <v>44184</v>
      </c>
      <c r="L215" t="s">
        <v>8241</v>
      </c>
      <c r="M215" t="s">
        <v>6934</v>
      </c>
    </row>
    <row r="216" spans="2:13" x14ac:dyDescent="0.2">
      <c r="B216">
        <v>11311</v>
      </c>
      <c r="C216" t="s">
        <v>8410</v>
      </c>
      <c r="D216" t="s">
        <v>8262</v>
      </c>
      <c r="E216" s="225">
        <v>213.75</v>
      </c>
      <c r="F216" t="s">
        <v>8377</v>
      </c>
      <c r="G216" t="s">
        <v>8378</v>
      </c>
      <c r="H216" t="s">
        <v>8236</v>
      </c>
      <c r="I216" s="99">
        <v>44196</v>
      </c>
      <c r="J216">
        <f>YEAR(I216)</f>
        <v>2020</v>
      </c>
      <c r="K216" s="99">
        <v>44198</v>
      </c>
      <c r="L216" t="s">
        <v>8266</v>
      </c>
      <c r="M216" t="s">
        <v>8267</v>
      </c>
    </row>
    <row r="217" spans="2:13" x14ac:dyDescent="0.2">
      <c r="B217">
        <v>11311</v>
      </c>
      <c r="C217" t="s">
        <v>8353</v>
      </c>
      <c r="D217" t="s">
        <v>8237</v>
      </c>
      <c r="E217" s="225">
        <v>675</v>
      </c>
      <c r="F217" t="s">
        <v>8377</v>
      </c>
      <c r="G217" t="s">
        <v>8378</v>
      </c>
      <c r="H217" t="s">
        <v>8236</v>
      </c>
      <c r="I217" s="99">
        <v>44196</v>
      </c>
      <c r="J217">
        <f>YEAR(I217)</f>
        <v>2020</v>
      </c>
      <c r="K217" s="99">
        <v>44198</v>
      </c>
      <c r="L217" t="s">
        <v>8266</v>
      </c>
      <c r="M217" t="s">
        <v>8267</v>
      </c>
    </row>
    <row r="218" spans="2:13" x14ac:dyDescent="0.2">
      <c r="B218">
        <v>11311</v>
      </c>
      <c r="C218" t="s">
        <v>8341</v>
      </c>
      <c r="D218" t="s">
        <v>8244</v>
      </c>
      <c r="E218" s="225">
        <v>855</v>
      </c>
      <c r="F218" t="s">
        <v>8377</v>
      </c>
      <c r="G218" t="s">
        <v>8378</v>
      </c>
      <c r="H218" t="s">
        <v>8236</v>
      </c>
      <c r="I218" s="99">
        <v>44196</v>
      </c>
      <c r="J218">
        <f>YEAR(I218)</f>
        <v>2020</v>
      </c>
      <c r="K218" s="99">
        <v>44198</v>
      </c>
      <c r="L218" t="s">
        <v>8266</v>
      </c>
      <c r="M218" t="s">
        <v>8267</v>
      </c>
    </row>
    <row r="219" spans="2:13" x14ac:dyDescent="0.2">
      <c r="B219">
        <v>11311</v>
      </c>
      <c r="C219" t="s">
        <v>8258</v>
      </c>
      <c r="D219" t="s">
        <v>8244</v>
      </c>
      <c r="E219" s="225">
        <v>204.75</v>
      </c>
      <c r="F219" t="s">
        <v>8377</v>
      </c>
      <c r="G219" t="s">
        <v>8378</v>
      </c>
      <c r="H219" t="s">
        <v>8236</v>
      </c>
      <c r="I219" s="99">
        <v>44196</v>
      </c>
      <c r="J219">
        <f>YEAR(I219)</f>
        <v>2020</v>
      </c>
      <c r="K219" s="99">
        <v>44198</v>
      </c>
      <c r="L219" t="s">
        <v>8266</v>
      </c>
      <c r="M219" t="s">
        <v>8267</v>
      </c>
    </row>
    <row r="220" spans="2:13" x14ac:dyDescent="0.2">
      <c r="B220">
        <v>11364</v>
      </c>
      <c r="C220" t="s">
        <v>8342</v>
      </c>
      <c r="D220" t="s">
        <v>8272</v>
      </c>
      <c r="E220" s="225">
        <v>378</v>
      </c>
      <c r="F220" t="s">
        <v>8377</v>
      </c>
      <c r="G220" t="s">
        <v>8378</v>
      </c>
      <c r="H220" t="s">
        <v>8236</v>
      </c>
      <c r="I220" s="99">
        <v>44244</v>
      </c>
      <c r="J220">
        <f>YEAR(I220)</f>
        <v>2021</v>
      </c>
      <c r="K220" s="99">
        <v>44267</v>
      </c>
      <c r="L220" t="s">
        <v>8285</v>
      </c>
      <c r="M220" t="s">
        <v>2317</v>
      </c>
    </row>
    <row r="221" spans="2:13" x14ac:dyDescent="0.2">
      <c r="B221">
        <v>11370</v>
      </c>
      <c r="C221" t="s">
        <v>8351</v>
      </c>
      <c r="D221" t="s">
        <v>8254</v>
      </c>
      <c r="E221" s="225">
        <v>1187.5</v>
      </c>
      <c r="F221" t="s">
        <v>8377</v>
      </c>
      <c r="G221" t="s">
        <v>8378</v>
      </c>
      <c r="H221" t="s">
        <v>8236</v>
      </c>
      <c r="I221" s="99">
        <v>44266</v>
      </c>
      <c r="J221">
        <f>YEAR(I221)</f>
        <v>2021</v>
      </c>
      <c r="K221" s="99">
        <v>44272</v>
      </c>
      <c r="L221" t="s">
        <v>8279</v>
      </c>
      <c r="M221" t="s">
        <v>710</v>
      </c>
    </row>
    <row r="222" spans="2:13" x14ac:dyDescent="0.2">
      <c r="B222">
        <v>11370</v>
      </c>
      <c r="C222" t="s">
        <v>8280</v>
      </c>
      <c r="D222" t="s">
        <v>8262</v>
      </c>
      <c r="E222" s="225">
        <v>198.93</v>
      </c>
      <c r="F222" t="s">
        <v>8377</v>
      </c>
      <c r="G222" t="s">
        <v>8378</v>
      </c>
      <c r="H222" t="s">
        <v>8236</v>
      </c>
      <c r="I222" s="99">
        <v>44266</v>
      </c>
      <c r="J222">
        <f>YEAR(I222)</f>
        <v>2021</v>
      </c>
      <c r="K222" s="99">
        <v>44272</v>
      </c>
      <c r="L222" t="s">
        <v>8279</v>
      </c>
      <c r="M222" t="s">
        <v>710</v>
      </c>
    </row>
    <row r="223" spans="2:13" x14ac:dyDescent="0.2">
      <c r="B223">
        <v>11379</v>
      </c>
      <c r="C223" t="s">
        <v>8340</v>
      </c>
      <c r="D223" t="s">
        <v>8244</v>
      </c>
      <c r="E223" s="225">
        <v>665</v>
      </c>
      <c r="F223" t="s">
        <v>8377</v>
      </c>
      <c r="G223" t="s">
        <v>8378</v>
      </c>
      <c r="H223" t="s">
        <v>8236</v>
      </c>
      <c r="I223" s="99">
        <v>44270</v>
      </c>
      <c r="J223">
        <f>YEAR(I223)</f>
        <v>2021</v>
      </c>
      <c r="K223" s="99">
        <v>44273</v>
      </c>
      <c r="L223" t="s">
        <v>8158</v>
      </c>
      <c r="M223" t="s">
        <v>861</v>
      </c>
    </row>
    <row r="224" spans="2:13" x14ac:dyDescent="0.2">
      <c r="B224">
        <v>11406</v>
      </c>
      <c r="C224" t="s">
        <v>8328</v>
      </c>
      <c r="D224" t="s">
        <v>8272</v>
      </c>
      <c r="E224" s="225">
        <v>139.5</v>
      </c>
      <c r="F224" t="s">
        <v>8377</v>
      </c>
      <c r="G224" t="s">
        <v>8378</v>
      </c>
      <c r="H224" t="s">
        <v>8236</v>
      </c>
      <c r="I224" s="99">
        <v>44295</v>
      </c>
      <c r="J224">
        <f>YEAR(I224)</f>
        <v>2021</v>
      </c>
      <c r="K224" s="99">
        <v>44313</v>
      </c>
      <c r="L224" t="s">
        <v>8320</v>
      </c>
      <c r="M224" t="s">
        <v>8321</v>
      </c>
    </row>
    <row r="225" spans="2:13" x14ac:dyDescent="0.2">
      <c r="B225">
        <v>11406</v>
      </c>
      <c r="C225" t="s">
        <v>8280</v>
      </c>
      <c r="D225" t="s">
        <v>8262</v>
      </c>
      <c r="E225" s="225">
        <v>471.15</v>
      </c>
      <c r="F225" t="s">
        <v>8377</v>
      </c>
      <c r="G225" t="s">
        <v>8378</v>
      </c>
      <c r="H225" t="s">
        <v>8236</v>
      </c>
      <c r="I225" s="99">
        <v>44295</v>
      </c>
      <c r="J225">
        <f>YEAR(I225)</f>
        <v>2021</v>
      </c>
      <c r="K225" s="99">
        <v>44313</v>
      </c>
      <c r="L225" t="s">
        <v>8320</v>
      </c>
      <c r="M225" t="s">
        <v>8321</v>
      </c>
    </row>
    <row r="226" spans="2:13" x14ac:dyDescent="0.2">
      <c r="B226">
        <v>11406</v>
      </c>
      <c r="C226" t="s">
        <v>8291</v>
      </c>
      <c r="D226" t="s">
        <v>8262</v>
      </c>
      <c r="E226" s="225">
        <v>621.17999999999995</v>
      </c>
      <c r="F226" t="s">
        <v>8377</v>
      </c>
      <c r="G226" t="s">
        <v>8378</v>
      </c>
      <c r="H226" t="s">
        <v>8236</v>
      </c>
      <c r="I226" s="99">
        <v>44295</v>
      </c>
      <c r="J226">
        <f>YEAR(I226)</f>
        <v>2021</v>
      </c>
      <c r="K226" s="99">
        <v>44313</v>
      </c>
      <c r="L226" t="s">
        <v>8320</v>
      </c>
      <c r="M226" t="s">
        <v>8321</v>
      </c>
    </row>
    <row r="227" spans="2:13" x14ac:dyDescent="0.2">
      <c r="B227">
        <v>11406</v>
      </c>
      <c r="C227" t="s">
        <v>8235</v>
      </c>
      <c r="D227" t="s">
        <v>8237</v>
      </c>
      <c r="E227" s="225">
        <v>556.79999999999995</v>
      </c>
      <c r="F227" t="s">
        <v>8377</v>
      </c>
      <c r="G227" t="s">
        <v>8378</v>
      </c>
      <c r="H227" t="s">
        <v>8236</v>
      </c>
      <c r="I227" s="99">
        <v>44295</v>
      </c>
      <c r="J227">
        <f>YEAR(I227)</f>
        <v>2021</v>
      </c>
      <c r="K227" s="99">
        <v>44313</v>
      </c>
      <c r="L227" t="s">
        <v>8320</v>
      </c>
      <c r="M227" t="s">
        <v>8321</v>
      </c>
    </row>
    <row r="228" spans="2:13" x14ac:dyDescent="0.2">
      <c r="B228">
        <v>11406</v>
      </c>
      <c r="C228" t="s">
        <v>8415</v>
      </c>
      <c r="D228" t="s">
        <v>8247</v>
      </c>
      <c r="E228" s="225">
        <v>240</v>
      </c>
      <c r="F228" t="s">
        <v>8377</v>
      </c>
      <c r="G228" t="s">
        <v>8378</v>
      </c>
      <c r="H228" t="s">
        <v>8236</v>
      </c>
      <c r="I228" s="99">
        <v>44300</v>
      </c>
      <c r="J228">
        <f>YEAR(I228)</f>
        <v>2021</v>
      </c>
      <c r="K228" s="99">
        <v>44312</v>
      </c>
      <c r="L228" t="s">
        <v>8320</v>
      </c>
      <c r="M228" t="s">
        <v>8321</v>
      </c>
    </row>
    <row r="229" spans="2:13" x14ac:dyDescent="0.2">
      <c r="B229">
        <v>10389</v>
      </c>
      <c r="C229" t="s">
        <v>8288</v>
      </c>
      <c r="D229" t="s">
        <v>8272</v>
      </c>
      <c r="E229" s="225">
        <v>360</v>
      </c>
      <c r="F229" t="s">
        <v>8722</v>
      </c>
      <c r="G229" t="s">
        <v>8721</v>
      </c>
      <c r="H229" t="s">
        <v>8720</v>
      </c>
      <c r="I229" s="99">
        <v>43655</v>
      </c>
      <c r="J229">
        <f>YEAR(I229)</f>
        <v>2019</v>
      </c>
      <c r="K229" s="99">
        <v>43659</v>
      </c>
      <c r="L229" t="s">
        <v>8266</v>
      </c>
      <c r="M229" t="s">
        <v>8267</v>
      </c>
    </row>
    <row r="230" spans="2:13" x14ac:dyDescent="0.2">
      <c r="B230">
        <v>10389</v>
      </c>
      <c r="C230" t="s">
        <v>8291</v>
      </c>
      <c r="D230" t="s">
        <v>8262</v>
      </c>
      <c r="E230" s="225">
        <v>788</v>
      </c>
      <c r="F230" t="s">
        <v>8722</v>
      </c>
      <c r="G230" t="s">
        <v>8721</v>
      </c>
      <c r="H230" t="s">
        <v>8720</v>
      </c>
      <c r="I230" s="99">
        <v>43655</v>
      </c>
      <c r="J230">
        <f>YEAR(I230)</f>
        <v>2019</v>
      </c>
      <c r="K230" s="99">
        <v>43659</v>
      </c>
      <c r="L230" t="s">
        <v>8266</v>
      </c>
      <c r="M230" t="s">
        <v>8267</v>
      </c>
    </row>
    <row r="231" spans="2:13" x14ac:dyDescent="0.2">
      <c r="B231">
        <v>10410</v>
      </c>
      <c r="C231" t="s">
        <v>8269</v>
      </c>
      <c r="D231" t="s">
        <v>8237</v>
      </c>
      <c r="E231" s="225">
        <v>98</v>
      </c>
      <c r="F231" t="s">
        <v>8722</v>
      </c>
      <c r="G231" t="s">
        <v>8721</v>
      </c>
      <c r="H231" t="s">
        <v>8720</v>
      </c>
      <c r="I231" s="99">
        <v>43676</v>
      </c>
      <c r="J231">
        <f>YEAR(I231)</f>
        <v>2019</v>
      </c>
      <c r="K231" s="99">
        <v>43681</v>
      </c>
      <c r="L231" t="s">
        <v>8257</v>
      </c>
      <c r="M231" t="s">
        <v>6984</v>
      </c>
    </row>
    <row r="232" spans="2:13" x14ac:dyDescent="0.2">
      <c r="B232">
        <v>10410</v>
      </c>
      <c r="C232" t="s">
        <v>8281</v>
      </c>
      <c r="D232" t="s">
        <v>8237</v>
      </c>
      <c r="E232" s="225">
        <v>704</v>
      </c>
      <c r="F232" t="s">
        <v>8722</v>
      </c>
      <c r="G232" t="s">
        <v>8721</v>
      </c>
      <c r="H232" t="s">
        <v>8720</v>
      </c>
      <c r="I232" s="99">
        <v>43676</v>
      </c>
      <c r="J232">
        <f>YEAR(I232)</f>
        <v>2019</v>
      </c>
      <c r="K232" s="99">
        <v>43681</v>
      </c>
      <c r="L232" t="s">
        <v>8257</v>
      </c>
      <c r="M232" t="s">
        <v>6984</v>
      </c>
    </row>
    <row r="233" spans="2:13" x14ac:dyDescent="0.2">
      <c r="B233">
        <v>10411</v>
      </c>
      <c r="C233" t="s">
        <v>8322</v>
      </c>
      <c r="D233" t="s">
        <v>8254</v>
      </c>
      <c r="E233" s="225">
        <v>496</v>
      </c>
      <c r="F233" t="s">
        <v>8722</v>
      </c>
      <c r="G233" t="s">
        <v>8721</v>
      </c>
      <c r="H233" t="s">
        <v>8720</v>
      </c>
      <c r="I233" s="99">
        <v>43676</v>
      </c>
      <c r="J233">
        <f>YEAR(I233)</f>
        <v>2019</v>
      </c>
      <c r="K233" s="99">
        <v>43687</v>
      </c>
      <c r="L233" t="s">
        <v>8279</v>
      </c>
      <c r="M233" t="s">
        <v>710</v>
      </c>
    </row>
    <row r="234" spans="2:13" x14ac:dyDescent="0.2">
      <c r="B234">
        <v>10411</v>
      </c>
      <c r="C234" t="s">
        <v>8281</v>
      </c>
      <c r="D234" t="s">
        <v>8237</v>
      </c>
      <c r="E234" s="225">
        <v>316.8</v>
      </c>
      <c r="F234" t="s">
        <v>8722</v>
      </c>
      <c r="G234" t="s">
        <v>8721</v>
      </c>
      <c r="H234" t="s">
        <v>8720</v>
      </c>
      <c r="I234" s="99">
        <v>43676</v>
      </c>
      <c r="J234">
        <f>YEAR(I234)</f>
        <v>2019</v>
      </c>
      <c r="K234" s="99">
        <v>43687</v>
      </c>
      <c r="L234" t="s">
        <v>8279</v>
      </c>
      <c r="M234" t="s">
        <v>710</v>
      </c>
    </row>
    <row r="235" spans="2:13" x14ac:dyDescent="0.2">
      <c r="B235">
        <v>10431</v>
      </c>
      <c r="C235" t="s">
        <v>8410</v>
      </c>
      <c r="D235" t="s">
        <v>8262</v>
      </c>
      <c r="E235" s="225">
        <v>171</v>
      </c>
      <c r="F235" t="s">
        <v>8722</v>
      </c>
      <c r="G235" t="s">
        <v>8721</v>
      </c>
      <c r="H235" t="s">
        <v>8720</v>
      </c>
      <c r="I235" s="99">
        <v>43696</v>
      </c>
      <c r="J235">
        <f>YEAR(I235)</f>
        <v>2019</v>
      </c>
      <c r="K235" s="99">
        <v>43704</v>
      </c>
      <c r="L235" t="s">
        <v>8266</v>
      </c>
      <c r="M235" t="s">
        <v>8267</v>
      </c>
    </row>
    <row r="236" spans="2:13" x14ac:dyDescent="0.2">
      <c r="B236">
        <v>10492</v>
      </c>
      <c r="C236" t="s">
        <v>8362</v>
      </c>
      <c r="D236" t="s">
        <v>8262</v>
      </c>
      <c r="E236" s="225">
        <v>638.4</v>
      </c>
      <c r="F236" t="s">
        <v>8722</v>
      </c>
      <c r="G236" t="s">
        <v>8721</v>
      </c>
      <c r="H236" t="s">
        <v>8720</v>
      </c>
      <c r="I236" s="99">
        <v>43757</v>
      </c>
      <c r="J236">
        <f>YEAR(I236)</f>
        <v>2019</v>
      </c>
      <c r="K236" s="99">
        <v>43767</v>
      </c>
      <c r="L236" t="s">
        <v>8257</v>
      </c>
      <c r="M236" t="s">
        <v>6984</v>
      </c>
    </row>
    <row r="237" spans="2:13" x14ac:dyDescent="0.2">
      <c r="B237">
        <v>10492</v>
      </c>
      <c r="C237" t="s">
        <v>8243</v>
      </c>
      <c r="D237" t="s">
        <v>8244</v>
      </c>
      <c r="E237" s="225">
        <v>212.8</v>
      </c>
      <c r="F237" t="s">
        <v>8722</v>
      </c>
      <c r="G237" t="s">
        <v>8721</v>
      </c>
      <c r="H237" t="s">
        <v>8720</v>
      </c>
      <c r="I237" s="99">
        <v>43757</v>
      </c>
      <c r="J237">
        <f>YEAR(I237)</f>
        <v>2019</v>
      </c>
      <c r="K237" s="99">
        <v>43767</v>
      </c>
      <c r="L237" t="s">
        <v>8257</v>
      </c>
      <c r="M237" t="s">
        <v>6984</v>
      </c>
    </row>
    <row r="238" spans="2:13" x14ac:dyDescent="0.2">
      <c r="B238">
        <v>10742</v>
      </c>
      <c r="C238" t="s">
        <v>8337</v>
      </c>
      <c r="D238" t="s">
        <v>8254</v>
      </c>
      <c r="E238" s="225">
        <v>200</v>
      </c>
      <c r="F238" t="s">
        <v>8722</v>
      </c>
      <c r="G238" t="s">
        <v>8721</v>
      </c>
      <c r="H238" t="s">
        <v>8720</v>
      </c>
      <c r="I238" s="99">
        <v>43984</v>
      </c>
      <c r="J238">
        <f>YEAR(I238)</f>
        <v>2020</v>
      </c>
      <c r="K238" s="99">
        <v>43988</v>
      </c>
      <c r="L238" t="s">
        <v>8257</v>
      </c>
      <c r="M238" t="s">
        <v>6984</v>
      </c>
    </row>
    <row r="239" spans="2:13" x14ac:dyDescent="0.2">
      <c r="B239">
        <v>10742</v>
      </c>
      <c r="C239" t="s">
        <v>8268</v>
      </c>
      <c r="D239" t="s">
        <v>8237</v>
      </c>
      <c r="E239" s="225">
        <v>1700</v>
      </c>
      <c r="F239" t="s">
        <v>8722</v>
      </c>
      <c r="G239" t="s">
        <v>8721</v>
      </c>
      <c r="H239" t="s">
        <v>8720</v>
      </c>
      <c r="I239" s="99">
        <v>43984</v>
      </c>
      <c r="J239">
        <f>YEAR(I239)</f>
        <v>2020</v>
      </c>
      <c r="K239" s="99">
        <v>43988</v>
      </c>
      <c r="L239" t="s">
        <v>8257</v>
      </c>
      <c r="M239" t="s">
        <v>6984</v>
      </c>
    </row>
    <row r="240" spans="2:13" x14ac:dyDescent="0.2">
      <c r="B240">
        <v>10742</v>
      </c>
      <c r="C240" t="s">
        <v>8235</v>
      </c>
      <c r="D240" t="s">
        <v>8237</v>
      </c>
      <c r="E240" s="225">
        <v>1218</v>
      </c>
      <c r="F240" t="s">
        <v>8722</v>
      </c>
      <c r="G240" t="s">
        <v>8721</v>
      </c>
      <c r="H240" t="s">
        <v>8720</v>
      </c>
      <c r="I240" s="99">
        <v>43984</v>
      </c>
      <c r="J240">
        <f>YEAR(I240)</f>
        <v>2020</v>
      </c>
      <c r="K240" s="99">
        <v>43988</v>
      </c>
      <c r="L240" t="s">
        <v>8257</v>
      </c>
      <c r="M240" t="s">
        <v>6984</v>
      </c>
    </row>
    <row r="241" spans="2:13" x14ac:dyDescent="0.2">
      <c r="B241">
        <v>10918</v>
      </c>
      <c r="C241" t="s">
        <v>8333</v>
      </c>
      <c r="D241" t="s">
        <v>8272</v>
      </c>
      <c r="E241" s="225">
        <v>810</v>
      </c>
      <c r="F241" t="s">
        <v>8722</v>
      </c>
      <c r="G241" t="s">
        <v>8721</v>
      </c>
      <c r="H241" t="s">
        <v>8720</v>
      </c>
      <c r="I241" s="99">
        <v>44091</v>
      </c>
      <c r="J241">
        <f>YEAR(I241)</f>
        <v>2020</v>
      </c>
      <c r="K241" s="99">
        <v>44100</v>
      </c>
      <c r="L241" t="s">
        <v>8257</v>
      </c>
      <c r="M241" t="s">
        <v>6984</v>
      </c>
    </row>
    <row r="242" spans="2:13" x14ac:dyDescent="0.2">
      <c r="B242">
        <v>10918</v>
      </c>
      <c r="C242" t="s">
        <v>8268</v>
      </c>
      <c r="D242" t="s">
        <v>8237</v>
      </c>
      <c r="E242" s="225">
        <v>637.5</v>
      </c>
      <c r="F242" t="s">
        <v>8722</v>
      </c>
      <c r="G242" t="s">
        <v>8721</v>
      </c>
      <c r="H242" t="s">
        <v>8720</v>
      </c>
      <c r="I242" s="99">
        <v>44091</v>
      </c>
      <c r="J242">
        <f>YEAR(I242)</f>
        <v>2020</v>
      </c>
      <c r="K242" s="99">
        <v>44100</v>
      </c>
      <c r="L242" t="s">
        <v>8257</v>
      </c>
      <c r="M242" t="s">
        <v>6984</v>
      </c>
    </row>
    <row r="243" spans="2:13" x14ac:dyDescent="0.2">
      <c r="B243">
        <v>10944</v>
      </c>
      <c r="C243" t="s">
        <v>8322</v>
      </c>
      <c r="D243" t="s">
        <v>8254</v>
      </c>
      <c r="E243" s="225">
        <v>262.58</v>
      </c>
      <c r="F243" t="s">
        <v>8722</v>
      </c>
      <c r="G243" t="s">
        <v>8721</v>
      </c>
      <c r="H243" t="s">
        <v>8720</v>
      </c>
      <c r="I243" s="99">
        <v>44101</v>
      </c>
      <c r="J243">
        <f>YEAR(I243)</f>
        <v>2020</v>
      </c>
      <c r="K243" s="99">
        <v>44103</v>
      </c>
      <c r="L243" t="s">
        <v>8251</v>
      </c>
      <c r="M243" t="s">
        <v>269</v>
      </c>
    </row>
    <row r="244" spans="2:13" x14ac:dyDescent="0.2">
      <c r="B244">
        <v>10944</v>
      </c>
      <c r="C244" t="s">
        <v>8242</v>
      </c>
      <c r="D244" t="s">
        <v>8237</v>
      </c>
      <c r="E244" s="225">
        <v>78.75</v>
      </c>
      <c r="F244" t="s">
        <v>8722</v>
      </c>
      <c r="G244" t="s">
        <v>8721</v>
      </c>
      <c r="H244" t="s">
        <v>8720</v>
      </c>
      <c r="I244" s="99">
        <v>44101</v>
      </c>
      <c r="J244">
        <f>YEAR(I244)</f>
        <v>2020</v>
      </c>
      <c r="K244" s="99">
        <v>44103</v>
      </c>
      <c r="L244" t="s">
        <v>8251</v>
      </c>
      <c r="M244" t="s">
        <v>269</v>
      </c>
    </row>
    <row r="245" spans="2:13" x14ac:dyDescent="0.2">
      <c r="B245">
        <v>10944</v>
      </c>
      <c r="C245" t="s">
        <v>8341</v>
      </c>
      <c r="D245" t="s">
        <v>8244</v>
      </c>
      <c r="E245" s="225">
        <v>684</v>
      </c>
      <c r="F245" t="s">
        <v>8722</v>
      </c>
      <c r="G245" t="s">
        <v>8721</v>
      </c>
      <c r="H245" t="s">
        <v>8720</v>
      </c>
      <c r="I245" s="99">
        <v>44101</v>
      </c>
      <c r="J245">
        <f>YEAR(I245)</f>
        <v>2020</v>
      </c>
      <c r="K245" s="99">
        <v>44103</v>
      </c>
      <c r="L245" t="s">
        <v>8251</v>
      </c>
      <c r="M245" t="s">
        <v>269</v>
      </c>
    </row>
    <row r="246" spans="2:13" x14ac:dyDescent="0.2">
      <c r="B246">
        <v>10949</v>
      </c>
      <c r="C246" t="s">
        <v>8351</v>
      </c>
      <c r="D246" t="s">
        <v>8254</v>
      </c>
      <c r="E246" s="225">
        <v>300</v>
      </c>
      <c r="F246" t="s">
        <v>8722</v>
      </c>
      <c r="G246" t="s">
        <v>8721</v>
      </c>
      <c r="H246" t="s">
        <v>8720</v>
      </c>
      <c r="I246" s="99">
        <v>44103</v>
      </c>
      <c r="J246">
        <f>YEAR(I246)</f>
        <v>2020</v>
      </c>
      <c r="K246" s="99">
        <v>44106</v>
      </c>
      <c r="L246" t="s">
        <v>8297</v>
      </c>
      <c r="M246" t="s">
        <v>8298</v>
      </c>
    </row>
    <row r="247" spans="2:13" x14ac:dyDescent="0.2">
      <c r="B247">
        <v>10949</v>
      </c>
      <c r="C247" t="s">
        <v>8291</v>
      </c>
      <c r="D247" t="s">
        <v>8262</v>
      </c>
      <c r="E247" s="225">
        <v>2958</v>
      </c>
      <c r="F247" t="s">
        <v>8722</v>
      </c>
      <c r="G247" t="s">
        <v>8721</v>
      </c>
      <c r="H247" t="s">
        <v>8720</v>
      </c>
      <c r="I247" s="99">
        <v>44103</v>
      </c>
      <c r="J247">
        <f>YEAR(I247)</f>
        <v>2020</v>
      </c>
      <c r="K247" s="99">
        <v>44106</v>
      </c>
      <c r="L247" t="s">
        <v>8297</v>
      </c>
      <c r="M247" t="s">
        <v>8298</v>
      </c>
    </row>
    <row r="248" spans="2:13" x14ac:dyDescent="0.2">
      <c r="B248">
        <v>10975</v>
      </c>
      <c r="C248" t="s">
        <v>8328</v>
      </c>
      <c r="D248" t="s">
        <v>8272</v>
      </c>
      <c r="E248" s="225">
        <v>77.5</v>
      </c>
      <c r="F248" t="s">
        <v>8722</v>
      </c>
      <c r="G248" t="s">
        <v>8721</v>
      </c>
      <c r="H248" t="s">
        <v>8720</v>
      </c>
      <c r="I248" s="99">
        <v>44114</v>
      </c>
      <c r="J248">
        <f>YEAR(I248)</f>
        <v>2020</v>
      </c>
      <c r="K248" s="99">
        <v>44116</v>
      </c>
      <c r="L248" t="s">
        <v>8285</v>
      </c>
      <c r="M248" t="s">
        <v>2317</v>
      </c>
    </row>
    <row r="249" spans="2:13" x14ac:dyDescent="0.2">
      <c r="B249">
        <v>10975</v>
      </c>
      <c r="C249" t="s">
        <v>8379</v>
      </c>
      <c r="D249" t="s">
        <v>8254</v>
      </c>
      <c r="E249" s="225">
        <v>640</v>
      </c>
      <c r="F249" t="s">
        <v>8722</v>
      </c>
      <c r="G249" t="s">
        <v>8721</v>
      </c>
      <c r="H249" t="s">
        <v>8720</v>
      </c>
      <c r="I249" s="99">
        <v>44114</v>
      </c>
      <c r="J249">
        <f>YEAR(I249)</f>
        <v>2020</v>
      </c>
      <c r="K249" s="99">
        <v>44116</v>
      </c>
      <c r="L249" t="s">
        <v>8285</v>
      </c>
      <c r="M249" t="s">
        <v>2317</v>
      </c>
    </row>
    <row r="250" spans="2:13" x14ac:dyDescent="0.2">
      <c r="B250">
        <v>10982</v>
      </c>
      <c r="C250" t="s">
        <v>8306</v>
      </c>
      <c r="D250" t="s">
        <v>8272</v>
      </c>
      <c r="E250" s="225">
        <v>414</v>
      </c>
      <c r="F250" t="s">
        <v>8722</v>
      </c>
      <c r="G250" t="s">
        <v>8721</v>
      </c>
      <c r="H250" t="s">
        <v>8720</v>
      </c>
      <c r="I250" s="99">
        <v>44116</v>
      </c>
      <c r="J250">
        <f>YEAR(I250)</f>
        <v>2020</v>
      </c>
      <c r="K250" s="99">
        <v>44128</v>
      </c>
      <c r="L250" t="s">
        <v>8297</v>
      </c>
      <c r="M250" t="s">
        <v>8298</v>
      </c>
    </row>
    <row r="251" spans="2:13" x14ac:dyDescent="0.2">
      <c r="B251">
        <v>10982</v>
      </c>
      <c r="C251" t="s">
        <v>8415</v>
      </c>
      <c r="D251" t="s">
        <v>8247</v>
      </c>
      <c r="E251" s="225">
        <v>600</v>
      </c>
      <c r="F251" t="s">
        <v>8722</v>
      </c>
      <c r="G251" t="s">
        <v>8721</v>
      </c>
      <c r="H251" t="s">
        <v>8720</v>
      </c>
      <c r="I251" s="99">
        <v>44116</v>
      </c>
      <c r="J251">
        <f>YEAR(I251)</f>
        <v>2020</v>
      </c>
      <c r="K251" s="99">
        <v>44128</v>
      </c>
      <c r="L251" t="s">
        <v>8297</v>
      </c>
      <c r="M251" t="s">
        <v>8298</v>
      </c>
    </row>
    <row r="252" spans="2:13" x14ac:dyDescent="0.2">
      <c r="B252">
        <v>11027</v>
      </c>
      <c r="C252" t="s">
        <v>8270</v>
      </c>
      <c r="D252" t="s">
        <v>8272</v>
      </c>
      <c r="E252" s="225">
        <v>101.25</v>
      </c>
      <c r="F252" t="s">
        <v>8722</v>
      </c>
      <c r="G252" t="s">
        <v>8721</v>
      </c>
      <c r="H252" t="s">
        <v>8720</v>
      </c>
      <c r="I252" s="99">
        <v>44136</v>
      </c>
      <c r="J252">
        <f>YEAR(I252)</f>
        <v>2020</v>
      </c>
      <c r="K252" s="99">
        <v>44140</v>
      </c>
      <c r="L252" t="s">
        <v>8285</v>
      </c>
      <c r="M252" t="s">
        <v>2317</v>
      </c>
    </row>
    <row r="253" spans="2:13" x14ac:dyDescent="0.2">
      <c r="B253">
        <v>11027</v>
      </c>
      <c r="C253" t="s">
        <v>8291</v>
      </c>
      <c r="D253" t="s">
        <v>8262</v>
      </c>
      <c r="E253" s="225">
        <v>776.48</v>
      </c>
      <c r="F253" t="s">
        <v>8722</v>
      </c>
      <c r="G253" t="s">
        <v>8721</v>
      </c>
      <c r="H253" t="s">
        <v>8720</v>
      </c>
      <c r="I253" s="99">
        <v>44136</v>
      </c>
      <c r="J253">
        <f>YEAR(I253)</f>
        <v>2020</v>
      </c>
      <c r="K253" s="99">
        <v>44140</v>
      </c>
      <c r="L253" t="s">
        <v>8285</v>
      </c>
      <c r="M253" t="s">
        <v>2317</v>
      </c>
    </row>
    <row r="254" spans="2:13" x14ac:dyDescent="0.2">
      <c r="B254">
        <v>11045</v>
      </c>
      <c r="C254" t="s">
        <v>8269</v>
      </c>
      <c r="D254" t="s">
        <v>8237</v>
      </c>
      <c r="E254" s="225">
        <v>37.5</v>
      </c>
      <c r="F254" t="s">
        <v>8722</v>
      </c>
      <c r="G254" t="s">
        <v>8721</v>
      </c>
      <c r="H254" t="s">
        <v>8720</v>
      </c>
      <c r="I254" s="99">
        <v>44143</v>
      </c>
      <c r="J254">
        <f>YEAR(I254)</f>
        <v>2020</v>
      </c>
      <c r="L254" t="s">
        <v>8251</v>
      </c>
      <c r="M254" t="s">
        <v>269</v>
      </c>
    </row>
    <row r="255" spans="2:13" x14ac:dyDescent="0.2">
      <c r="B255">
        <v>11045</v>
      </c>
      <c r="C255" t="s">
        <v>8245</v>
      </c>
      <c r="D255" t="s">
        <v>8247</v>
      </c>
      <c r="E255" s="225">
        <v>1272</v>
      </c>
      <c r="F255" t="s">
        <v>8722</v>
      </c>
      <c r="G255" t="s">
        <v>8721</v>
      </c>
      <c r="H255" t="s">
        <v>8720</v>
      </c>
      <c r="I255" s="99">
        <v>44143</v>
      </c>
      <c r="J255">
        <f>YEAR(I255)</f>
        <v>2020</v>
      </c>
      <c r="L255" t="s">
        <v>8251</v>
      </c>
      <c r="M255" t="s">
        <v>269</v>
      </c>
    </row>
    <row r="256" spans="2:13" x14ac:dyDescent="0.2">
      <c r="B256">
        <v>11048</v>
      </c>
      <c r="C256" t="s">
        <v>8334</v>
      </c>
      <c r="D256" t="s">
        <v>8262</v>
      </c>
      <c r="E256" s="225">
        <v>525</v>
      </c>
      <c r="F256" t="s">
        <v>8722</v>
      </c>
      <c r="G256" t="s">
        <v>8721</v>
      </c>
      <c r="H256" t="s">
        <v>8720</v>
      </c>
      <c r="I256" s="99">
        <v>44144</v>
      </c>
      <c r="J256">
        <f>YEAR(I256)</f>
        <v>2020</v>
      </c>
      <c r="K256" s="99">
        <v>44150</v>
      </c>
      <c r="L256" t="s">
        <v>8158</v>
      </c>
      <c r="M256" t="s">
        <v>861</v>
      </c>
    </row>
    <row r="257" spans="2:13" x14ac:dyDescent="0.2">
      <c r="B257">
        <v>11121</v>
      </c>
      <c r="C257" t="s">
        <v>8288</v>
      </c>
      <c r="D257" t="s">
        <v>8272</v>
      </c>
      <c r="E257" s="225">
        <v>360</v>
      </c>
      <c r="F257" t="s">
        <v>8722</v>
      </c>
      <c r="G257" t="s">
        <v>8721</v>
      </c>
      <c r="H257" t="s">
        <v>8720</v>
      </c>
      <c r="I257" s="99">
        <v>43855</v>
      </c>
      <c r="J257">
        <f>YEAR(I257)</f>
        <v>2020</v>
      </c>
      <c r="K257" s="99">
        <v>43859</v>
      </c>
      <c r="L257" t="s">
        <v>8266</v>
      </c>
      <c r="M257" t="s">
        <v>8267</v>
      </c>
    </row>
    <row r="258" spans="2:13" x14ac:dyDescent="0.2">
      <c r="B258">
        <v>11121</v>
      </c>
      <c r="C258" t="s">
        <v>8291</v>
      </c>
      <c r="D258" t="s">
        <v>8262</v>
      </c>
      <c r="E258" s="225">
        <v>788</v>
      </c>
      <c r="F258" t="s">
        <v>8722</v>
      </c>
      <c r="G258" t="s">
        <v>8721</v>
      </c>
      <c r="H258" t="s">
        <v>8720</v>
      </c>
      <c r="I258" s="99">
        <v>43855</v>
      </c>
      <c r="J258">
        <f>YEAR(I258)</f>
        <v>2020</v>
      </c>
      <c r="K258" s="99">
        <v>43859</v>
      </c>
      <c r="L258" t="s">
        <v>8266</v>
      </c>
      <c r="M258" t="s">
        <v>8267</v>
      </c>
    </row>
    <row r="259" spans="2:13" x14ac:dyDescent="0.2">
      <c r="B259">
        <v>11135</v>
      </c>
      <c r="C259" t="s">
        <v>8269</v>
      </c>
      <c r="D259" t="s">
        <v>8237</v>
      </c>
      <c r="E259" s="225">
        <v>98</v>
      </c>
      <c r="F259" t="s">
        <v>8722</v>
      </c>
      <c r="G259" t="s">
        <v>8721</v>
      </c>
      <c r="H259" t="s">
        <v>8720</v>
      </c>
      <c r="I259" s="99">
        <v>43876</v>
      </c>
      <c r="J259">
        <f>YEAR(I259)</f>
        <v>2020</v>
      </c>
      <c r="K259" s="99">
        <v>43881</v>
      </c>
      <c r="L259" t="s">
        <v>8257</v>
      </c>
      <c r="M259" t="s">
        <v>6984</v>
      </c>
    </row>
    <row r="260" spans="2:13" x14ac:dyDescent="0.2">
      <c r="B260">
        <v>11135</v>
      </c>
      <c r="C260" t="s">
        <v>8281</v>
      </c>
      <c r="D260" t="s">
        <v>8237</v>
      </c>
      <c r="E260" s="225">
        <v>704</v>
      </c>
      <c r="F260" t="s">
        <v>8722</v>
      </c>
      <c r="G260" t="s">
        <v>8721</v>
      </c>
      <c r="H260" t="s">
        <v>8720</v>
      </c>
      <c r="I260" s="99">
        <v>43876</v>
      </c>
      <c r="J260">
        <f>YEAR(I260)</f>
        <v>2020</v>
      </c>
      <c r="K260" s="99">
        <v>43881</v>
      </c>
      <c r="L260" t="s">
        <v>8257</v>
      </c>
      <c r="M260" t="s">
        <v>6984</v>
      </c>
    </row>
    <row r="261" spans="2:13" x14ac:dyDescent="0.2">
      <c r="B261">
        <v>11140</v>
      </c>
      <c r="C261" t="s">
        <v>8322</v>
      </c>
      <c r="D261" t="s">
        <v>8254</v>
      </c>
      <c r="E261" s="225">
        <v>496</v>
      </c>
      <c r="F261" t="s">
        <v>8722</v>
      </c>
      <c r="G261" t="s">
        <v>8721</v>
      </c>
      <c r="H261" t="s">
        <v>8720</v>
      </c>
      <c r="I261" s="99">
        <v>43876</v>
      </c>
      <c r="J261">
        <f>YEAR(I261)</f>
        <v>2020</v>
      </c>
      <c r="K261" s="99">
        <v>43887</v>
      </c>
      <c r="L261" t="s">
        <v>8279</v>
      </c>
      <c r="M261" t="s">
        <v>710</v>
      </c>
    </row>
    <row r="262" spans="2:13" x14ac:dyDescent="0.2">
      <c r="B262">
        <v>11140</v>
      </c>
      <c r="C262" t="s">
        <v>8410</v>
      </c>
      <c r="D262" t="s">
        <v>8262</v>
      </c>
      <c r="E262" s="225">
        <v>171</v>
      </c>
      <c r="F262" t="s">
        <v>8722</v>
      </c>
      <c r="G262" t="s">
        <v>8721</v>
      </c>
      <c r="H262" t="s">
        <v>8720</v>
      </c>
      <c r="I262" s="99">
        <v>43896</v>
      </c>
      <c r="J262">
        <f>YEAR(I262)</f>
        <v>2020</v>
      </c>
      <c r="K262" s="99">
        <v>43904</v>
      </c>
      <c r="L262" t="s">
        <v>8266</v>
      </c>
      <c r="M262" t="s">
        <v>8267</v>
      </c>
    </row>
    <row r="263" spans="2:13" x14ac:dyDescent="0.2">
      <c r="B263">
        <v>11140</v>
      </c>
      <c r="C263" t="s">
        <v>8281</v>
      </c>
      <c r="D263" t="s">
        <v>8237</v>
      </c>
      <c r="E263" s="225">
        <v>316.8</v>
      </c>
      <c r="F263" t="s">
        <v>8722</v>
      </c>
      <c r="G263" t="s">
        <v>8721</v>
      </c>
      <c r="H263" t="s">
        <v>8720</v>
      </c>
      <c r="I263" s="99">
        <v>43876</v>
      </c>
      <c r="J263">
        <f>YEAR(I263)</f>
        <v>2020</v>
      </c>
      <c r="K263" s="99">
        <v>43887</v>
      </c>
      <c r="L263" t="s">
        <v>8279</v>
      </c>
      <c r="M263" t="s">
        <v>710</v>
      </c>
    </row>
    <row r="264" spans="2:13" x14ac:dyDescent="0.2">
      <c r="B264">
        <v>11185</v>
      </c>
      <c r="C264" t="s">
        <v>8362</v>
      </c>
      <c r="D264" t="s">
        <v>8262</v>
      </c>
      <c r="E264" s="225">
        <v>638.4</v>
      </c>
      <c r="F264" t="s">
        <v>8722</v>
      </c>
      <c r="G264" t="s">
        <v>8721</v>
      </c>
      <c r="H264" t="s">
        <v>8720</v>
      </c>
      <c r="I264" s="99">
        <v>43957</v>
      </c>
      <c r="J264">
        <f>YEAR(I264)</f>
        <v>2020</v>
      </c>
      <c r="K264" s="99">
        <v>43967</v>
      </c>
      <c r="L264" t="s">
        <v>8257</v>
      </c>
      <c r="M264" t="s">
        <v>6984</v>
      </c>
    </row>
    <row r="265" spans="2:13" x14ac:dyDescent="0.2">
      <c r="B265">
        <v>11185</v>
      </c>
      <c r="C265" t="s">
        <v>8243</v>
      </c>
      <c r="D265" t="s">
        <v>8244</v>
      </c>
      <c r="E265" s="225">
        <v>212.8</v>
      </c>
      <c r="F265" t="s">
        <v>8722</v>
      </c>
      <c r="G265" t="s">
        <v>8721</v>
      </c>
      <c r="H265" t="s">
        <v>8720</v>
      </c>
      <c r="I265" s="99">
        <v>43957</v>
      </c>
      <c r="J265">
        <f>YEAR(I265)</f>
        <v>2020</v>
      </c>
      <c r="K265" s="99">
        <v>43967</v>
      </c>
      <c r="L265" t="s">
        <v>8257</v>
      </c>
      <c r="M265" t="s">
        <v>6984</v>
      </c>
    </row>
    <row r="266" spans="2:13" x14ac:dyDescent="0.2">
      <c r="B266">
        <v>11306</v>
      </c>
      <c r="C266" t="s">
        <v>8337</v>
      </c>
      <c r="D266" t="s">
        <v>8254</v>
      </c>
      <c r="E266" s="225">
        <v>200</v>
      </c>
      <c r="F266" t="s">
        <v>8722</v>
      </c>
      <c r="G266" t="s">
        <v>8721</v>
      </c>
      <c r="H266" t="s">
        <v>8720</v>
      </c>
      <c r="I266" s="99">
        <v>44184</v>
      </c>
      <c r="J266">
        <f>YEAR(I266)</f>
        <v>2020</v>
      </c>
      <c r="K266" s="99">
        <v>44188</v>
      </c>
      <c r="L266" t="s">
        <v>8257</v>
      </c>
      <c r="M266" t="s">
        <v>6984</v>
      </c>
    </row>
    <row r="267" spans="2:13" x14ac:dyDescent="0.2">
      <c r="B267">
        <v>11306</v>
      </c>
      <c r="C267" t="s">
        <v>8268</v>
      </c>
      <c r="D267" t="s">
        <v>8237</v>
      </c>
      <c r="E267" s="225">
        <v>1700</v>
      </c>
      <c r="F267" t="s">
        <v>8722</v>
      </c>
      <c r="G267" t="s">
        <v>8721</v>
      </c>
      <c r="H267" t="s">
        <v>8720</v>
      </c>
      <c r="I267" s="99">
        <v>44184</v>
      </c>
      <c r="J267">
        <f>YEAR(I267)</f>
        <v>2020</v>
      </c>
      <c r="K267" s="99">
        <v>44188</v>
      </c>
      <c r="L267" t="s">
        <v>8257</v>
      </c>
      <c r="M267" t="s">
        <v>6984</v>
      </c>
    </row>
    <row r="268" spans="2:13" x14ac:dyDescent="0.2">
      <c r="B268">
        <v>11306</v>
      </c>
      <c r="C268" t="s">
        <v>8235</v>
      </c>
      <c r="D268" t="s">
        <v>8237</v>
      </c>
      <c r="E268" s="225">
        <v>1218</v>
      </c>
      <c r="F268" t="s">
        <v>8722</v>
      </c>
      <c r="G268" t="s">
        <v>8721</v>
      </c>
      <c r="H268" t="s">
        <v>8720</v>
      </c>
      <c r="I268" s="99">
        <v>44184</v>
      </c>
      <c r="J268">
        <f>YEAR(I268)</f>
        <v>2020</v>
      </c>
      <c r="K268" s="99">
        <v>44188</v>
      </c>
      <c r="L268" t="s">
        <v>8257</v>
      </c>
      <c r="M268" t="s">
        <v>6984</v>
      </c>
    </row>
    <row r="269" spans="2:13" x14ac:dyDescent="0.2">
      <c r="B269">
        <v>11389</v>
      </c>
      <c r="C269" t="s">
        <v>8333</v>
      </c>
      <c r="D269" t="s">
        <v>8272</v>
      </c>
      <c r="E269" s="225">
        <v>810</v>
      </c>
      <c r="F269" t="s">
        <v>8722</v>
      </c>
      <c r="G269" t="s">
        <v>8721</v>
      </c>
      <c r="H269" t="s">
        <v>8720</v>
      </c>
      <c r="I269" s="99">
        <v>44291</v>
      </c>
      <c r="J269">
        <f>YEAR(I269)</f>
        <v>2021</v>
      </c>
      <c r="K269" s="99">
        <v>44300</v>
      </c>
      <c r="L269" t="s">
        <v>8257</v>
      </c>
      <c r="M269" t="s">
        <v>6984</v>
      </c>
    </row>
    <row r="270" spans="2:13" x14ac:dyDescent="0.2">
      <c r="B270">
        <v>11389</v>
      </c>
      <c r="C270" t="s">
        <v>8268</v>
      </c>
      <c r="D270" t="s">
        <v>8237</v>
      </c>
      <c r="E270" s="225">
        <v>637.5</v>
      </c>
      <c r="F270" t="s">
        <v>8722</v>
      </c>
      <c r="G270" t="s">
        <v>8721</v>
      </c>
      <c r="H270" t="s">
        <v>8720</v>
      </c>
      <c r="I270" s="99">
        <v>44291</v>
      </c>
      <c r="J270">
        <f>YEAR(I270)</f>
        <v>2021</v>
      </c>
      <c r="K270" s="99">
        <v>44300</v>
      </c>
      <c r="L270" t="s">
        <v>8257</v>
      </c>
      <c r="M270" t="s">
        <v>6984</v>
      </c>
    </row>
    <row r="271" spans="2:13" x14ac:dyDescent="0.2">
      <c r="B271">
        <v>11394</v>
      </c>
      <c r="C271" t="s">
        <v>8351</v>
      </c>
      <c r="D271" t="s">
        <v>8254</v>
      </c>
      <c r="E271" s="225">
        <v>300</v>
      </c>
      <c r="F271" t="s">
        <v>8722</v>
      </c>
      <c r="G271" t="s">
        <v>8721</v>
      </c>
      <c r="H271" t="s">
        <v>8720</v>
      </c>
      <c r="I271" s="99">
        <v>44303</v>
      </c>
      <c r="J271">
        <f>YEAR(I271)</f>
        <v>2021</v>
      </c>
      <c r="K271" s="99">
        <v>44306</v>
      </c>
      <c r="L271" t="s">
        <v>8297</v>
      </c>
      <c r="M271" t="s">
        <v>8298</v>
      </c>
    </row>
    <row r="272" spans="2:13" x14ac:dyDescent="0.2">
      <c r="B272">
        <v>11394</v>
      </c>
      <c r="C272" t="s">
        <v>8322</v>
      </c>
      <c r="D272" t="s">
        <v>8254</v>
      </c>
      <c r="E272" s="225">
        <v>262.58</v>
      </c>
      <c r="F272" t="s">
        <v>8722</v>
      </c>
      <c r="G272" t="s">
        <v>8721</v>
      </c>
      <c r="H272" t="s">
        <v>8720</v>
      </c>
      <c r="I272" s="99">
        <v>44301</v>
      </c>
      <c r="J272">
        <f>YEAR(I272)</f>
        <v>2021</v>
      </c>
      <c r="K272" s="99">
        <v>44303</v>
      </c>
      <c r="L272" t="s">
        <v>8251</v>
      </c>
      <c r="M272" t="s">
        <v>269</v>
      </c>
    </row>
    <row r="273" spans="2:13" x14ac:dyDescent="0.2">
      <c r="B273">
        <v>11394</v>
      </c>
      <c r="C273" t="s">
        <v>8291</v>
      </c>
      <c r="D273" t="s">
        <v>8262</v>
      </c>
      <c r="E273" s="225">
        <v>2958</v>
      </c>
      <c r="F273" t="s">
        <v>8722</v>
      </c>
      <c r="G273" t="s">
        <v>8721</v>
      </c>
      <c r="H273" t="s">
        <v>8720</v>
      </c>
      <c r="I273" s="99">
        <v>44303</v>
      </c>
      <c r="J273">
        <f>YEAR(I273)</f>
        <v>2021</v>
      </c>
      <c r="K273" s="99">
        <v>44306</v>
      </c>
      <c r="L273" t="s">
        <v>8297</v>
      </c>
      <c r="M273" t="s">
        <v>8298</v>
      </c>
    </row>
    <row r="274" spans="2:13" x14ac:dyDescent="0.2">
      <c r="B274">
        <v>11394</v>
      </c>
      <c r="C274" t="s">
        <v>8242</v>
      </c>
      <c r="D274" t="s">
        <v>8237</v>
      </c>
      <c r="E274" s="225">
        <v>78.75</v>
      </c>
      <c r="F274" t="s">
        <v>8722</v>
      </c>
      <c r="G274" t="s">
        <v>8721</v>
      </c>
      <c r="H274" t="s">
        <v>8720</v>
      </c>
      <c r="I274" s="99">
        <v>44301</v>
      </c>
      <c r="J274">
        <f>YEAR(I274)</f>
        <v>2021</v>
      </c>
      <c r="K274" s="99">
        <v>44303</v>
      </c>
      <c r="L274" t="s">
        <v>8251</v>
      </c>
      <c r="M274" t="s">
        <v>269</v>
      </c>
    </row>
    <row r="275" spans="2:13" x14ac:dyDescent="0.2">
      <c r="B275">
        <v>11394</v>
      </c>
      <c r="C275" t="s">
        <v>8341</v>
      </c>
      <c r="D275" t="s">
        <v>8244</v>
      </c>
      <c r="E275" s="225">
        <v>684</v>
      </c>
      <c r="F275" t="s">
        <v>8722</v>
      </c>
      <c r="G275" t="s">
        <v>8721</v>
      </c>
      <c r="H275" t="s">
        <v>8720</v>
      </c>
      <c r="I275" s="99">
        <v>44301</v>
      </c>
      <c r="J275">
        <f>YEAR(I275)</f>
        <v>2021</v>
      </c>
      <c r="K275" s="99">
        <v>44303</v>
      </c>
      <c r="L275" t="s">
        <v>8251</v>
      </c>
      <c r="M275" t="s">
        <v>269</v>
      </c>
    </row>
    <row r="276" spans="2:13" x14ac:dyDescent="0.2">
      <c r="B276">
        <v>11417</v>
      </c>
      <c r="C276" t="s">
        <v>8328</v>
      </c>
      <c r="D276" t="s">
        <v>8272</v>
      </c>
      <c r="E276" s="225">
        <v>77.5</v>
      </c>
      <c r="F276" t="s">
        <v>8722</v>
      </c>
      <c r="G276" t="s">
        <v>8721</v>
      </c>
      <c r="H276" t="s">
        <v>8720</v>
      </c>
      <c r="I276" s="99">
        <v>44314</v>
      </c>
      <c r="J276">
        <f>YEAR(I276)</f>
        <v>2021</v>
      </c>
      <c r="K276" s="99">
        <v>44316</v>
      </c>
      <c r="L276" t="s">
        <v>8285</v>
      </c>
      <c r="M276" t="s">
        <v>2317</v>
      </c>
    </row>
    <row r="277" spans="2:13" x14ac:dyDescent="0.2">
      <c r="B277">
        <v>11417</v>
      </c>
      <c r="C277" t="s">
        <v>8379</v>
      </c>
      <c r="D277" t="s">
        <v>8254</v>
      </c>
      <c r="E277" s="225">
        <v>640</v>
      </c>
      <c r="F277" t="s">
        <v>8722</v>
      </c>
      <c r="G277" t="s">
        <v>8721</v>
      </c>
      <c r="H277" t="s">
        <v>8720</v>
      </c>
      <c r="I277" s="99">
        <v>44314</v>
      </c>
      <c r="J277">
        <f>YEAR(I277)</f>
        <v>2021</v>
      </c>
      <c r="K277" s="99">
        <v>44316</v>
      </c>
      <c r="L277" t="s">
        <v>8285</v>
      </c>
      <c r="M277" t="s">
        <v>2317</v>
      </c>
    </row>
    <row r="278" spans="2:13" x14ac:dyDescent="0.2">
      <c r="B278">
        <v>11425</v>
      </c>
      <c r="C278" t="s">
        <v>8306</v>
      </c>
      <c r="D278" t="s">
        <v>8272</v>
      </c>
      <c r="E278" s="225">
        <v>414</v>
      </c>
      <c r="F278" t="s">
        <v>8722</v>
      </c>
      <c r="G278" t="s">
        <v>8721</v>
      </c>
      <c r="H278" t="s">
        <v>8720</v>
      </c>
      <c r="I278" s="99">
        <v>44316</v>
      </c>
      <c r="J278">
        <f>YEAR(I278)</f>
        <v>2021</v>
      </c>
      <c r="K278" s="99">
        <v>44328</v>
      </c>
      <c r="L278" t="s">
        <v>8297</v>
      </c>
      <c r="M278" t="s">
        <v>8298</v>
      </c>
    </row>
    <row r="279" spans="2:13" x14ac:dyDescent="0.2">
      <c r="B279">
        <v>11425</v>
      </c>
      <c r="C279" t="s">
        <v>8415</v>
      </c>
      <c r="D279" t="s">
        <v>8247</v>
      </c>
      <c r="E279" s="225">
        <v>600</v>
      </c>
      <c r="F279" t="s">
        <v>8722</v>
      </c>
      <c r="G279" t="s">
        <v>8721</v>
      </c>
      <c r="H279" t="s">
        <v>8720</v>
      </c>
      <c r="I279" s="99">
        <v>44316</v>
      </c>
      <c r="J279">
        <f>YEAR(I279)</f>
        <v>2021</v>
      </c>
      <c r="K279" s="99">
        <v>44328</v>
      </c>
      <c r="L279" t="s">
        <v>8297</v>
      </c>
      <c r="M279" t="s">
        <v>8298</v>
      </c>
    </row>
    <row r="280" spans="2:13" x14ac:dyDescent="0.2">
      <c r="B280">
        <v>11435</v>
      </c>
      <c r="C280" t="s">
        <v>8270</v>
      </c>
      <c r="D280" t="s">
        <v>8272</v>
      </c>
      <c r="E280" s="225">
        <v>101.25</v>
      </c>
      <c r="F280" t="s">
        <v>8722</v>
      </c>
      <c r="G280" t="s">
        <v>8721</v>
      </c>
      <c r="H280" t="s">
        <v>8720</v>
      </c>
      <c r="I280" s="99">
        <v>44336</v>
      </c>
      <c r="J280">
        <f>YEAR(I280)</f>
        <v>2021</v>
      </c>
      <c r="K280" s="99">
        <v>44340</v>
      </c>
      <c r="L280" t="s">
        <v>8285</v>
      </c>
      <c r="M280" t="s">
        <v>2317</v>
      </c>
    </row>
    <row r="281" spans="2:13" x14ac:dyDescent="0.2">
      <c r="B281">
        <v>11435</v>
      </c>
      <c r="C281" t="s">
        <v>8291</v>
      </c>
      <c r="D281" t="s">
        <v>8262</v>
      </c>
      <c r="E281" s="225">
        <v>776.48</v>
      </c>
      <c r="F281" t="s">
        <v>8722</v>
      </c>
      <c r="G281" t="s">
        <v>8721</v>
      </c>
      <c r="H281" t="s">
        <v>8720</v>
      </c>
      <c r="I281" s="99">
        <v>44336</v>
      </c>
      <c r="J281">
        <f>YEAR(I281)</f>
        <v>2021</v>
      </c>
      <c r="K281" s="99">
        <v>44340</v>
      </c>
      <c r="L281" t="s">
        <v>8285</v>
      </c>
      <c r="M281" t="s">
        <v>2317</v>
      </c>
    </row>
    <row r="282" spans="2:13" x14ac:dyDescent="0.2">
      <c r="B282">
        <v>11450</v>
      </c>
      <c r="C282" t="s">
        <v>8334</v>
      </c>
      <c r="D282" t="s">
        <v>8262</v>
      </c>
      <c r="E282" s="225">
        <v>525</v>
      </c>
      <c r="F282" t="s">
        <v>8722</v>
      </c>
      <c r="G282" t="s">
        <v>8721</v>
      </c>
      <c r="H282" t="s">
        <v>8720</v>
      </c>
      <c r="I282" s="99">
        <v>44344</v>
      </c>
      <c r="J282">
        <f>YEAR(I282)</f>
        <v>2021</v>
      </c>
      <c r="K282" s="99">
        <v>44350</v>
      </c>
      <c r="L282" t="s">
        <v>8158</v>
      </c>
      <c r="M282" t="s">
        <v>861</v>
      </c>
    </row>
    <row r="283" spans="2:13" x14ac:dyDescent="0.2">
      <c r="B283">
        <v>10289</v>
      </c>
      <c r="C283" t="s">
        <v>8337</v>
      </c>
      <c r="D283" t="s">
        <v>8254</v>
      </c>
      <c r="E283" s="225">
        <v>240</v>
      </c>
      <c r="F283" t="s">
        <v>8338</v>
      </c>
      <c r="G283" t="s">
        <v>8339</v>
      </c>
      <c r="H283" t="s">
        <v>2434</v>
      </c>
      <c r="I283" s="99">
        <v>43539</v>
      </c>
      <c r="J283">
        <f>YEAR(I283)</f>
        <v>2019</v>
      </c>
      <c r="K283" s="99">
        <v>43541</v>
      </c>
      <c r="L283" t="s">
        <v>8158</v>
      </c>
      <c r="M283" t="s">
        <v>861</v>
      </c>
    </row>
    <row r="284" spans="2:13" x14ac:dyDescent="0.2">
      <c r="B284">
        <v>10289</v>
      </c>
      <c r="C284" t="s">
        <v>8340</v>
      </c>
      <c r="D284" t="s">
        <v>8244</v>
      </c>
      <c r="E284" s="225">
        <v>239.4</v>
      </c>
      <c r="F284" t="s">
        <v>8338</v>
      </c>
      <c r="G284" t="s">
        <v>8339</v>
      </c>
      <c r="H284" t="s">
        <v>2434</v>
      </c>
      <c r="I284" s="99">
        <v>43539</v>
      </c>
      <c r="J284">
        <f>YEAR(I284)</f>
        <v>2019</v>
      </c>
      <c r="K284" s="99">
        <v>43541</v>
      </c>
      <c r="L284" t="s">
        <v>8158</v>
      </c>
      <c r="M284" t="s">
        <v>861</v>
      </c>
    </row>
    <row r="285" spans="2:13" x14ac:dyDescent="0.2">
      <c r="B285">
        <v>10471</v>
      </c>
      <c r="C285" t="s">
        <v>8341</v>
      </c>
      <c r="D285" t="s">
        <v>8244</v>
      </c>
      <c r="E285" s="225">
        <v>608</v>
      </c>
      <c r="F285" t="s">
        <v>8338</v>
      </c>
      <c r="G285" t="s">
        <v>8339</v>
      </c>
      <c r="H285" t="s">
        <v>2434</v>
      </c>
      <c r="I285" s="99">
        <v>43736</v>
      </c>
      <c r="J285">
        <f>YEAR(I285)</f>
        <v>2019</v>
      </c>
      <c r="K285" s="99">
        <v>43743</v>
      </c>
      <c r="L285" t="s">
        <v>8297</v>
      </c>
      <c r="M285" t="s">
        <v>8298</v>
      </c>
    </row>
    <row r="286" spans="2:13" x14ac:dyDescent="0.2">
      <c r="B286">
        <v>10471</v>
      </c>
      <c r="C286" t="s">
        <v>8415</v>
      </c>
      <c r="D286" t="s">
        <v>8247</v>
      </c>
      <c r="E286" s="225">
        <v>720</v>
      </c>
      <c r="F286" t="s">
        <v>8338</v>
      </c>
      <c r="G286" t="s">
        <v>8339</v>
      </c>
      <c r="H286" t="s">
        <v>2434</v>
      </c>
      <c r="I286" s="99">
        <v>43736</v>
      </c>
      <c r="J286">
        <f>YEAR(I286)</f>
        <v>2019</v>
      </c>
      <c r="K286" s="99">
        <v>43743</v>
      </c>
      <c r="L286" t="s">
        <v>8297</v>
      </c>
      <c r="M286" t="s">
        <v>8298</v>
      </c>
    </row>
    <row r="287" spans="2:13" x14ac:dyDescent="0.2">
      <c r="B287">
        <v>10484</v>
      </c>
      <c r="C287" t="s">
        <v>8368</v>
      </c>
      <c r="D287" t="s">
        <v>8262</v>
      </c>
      <c r="E287" s="225">
        <v>112</v>
      </c>
      <c r="F287" t="s">
        <v>8338</v>
      </c>
      <c r="G287" t="s">
        <v>8339</v>
      </c>
      <c r="H287" t="s">
        <v>2434</v>
      </c>
      <c r="I287" s="99">
        <v>43749</v>
      </c>
      <c r="J287">
        <f>YEAR(I287)</f>
        <v>2019</v>
      </c>
      <c r="K287" s="99">
        <v>43757</v>
      </c>
      <c r="L287" t="s">
        <v>8257</v>
      </c>
      <c r="M287" t="s">
        <v>6984</v>
      </c>
    </row>
    <row r="288" spans="2:13" x14ac:dyDescent="0.2">
      <c r="B288">
        <v>10484</v>
      </c>
      <c r="C288" t="s">
        <v>8245</v>
      </c>
      <c r="D288" t="s">
        <v>8247</v>
      </c>
      <c r="E288" s="225">
        <v>127.2</v>
      </c>
      <c r="F288" t="s">
        <v>8338</v>
      </c>
      <c r="G288" t="s">
        <v>8339</v>
      </c>
      <c r="H288" t="s">
        <v>2434</v>
      </c>
      <c r="I288" s="99">
        <v>43749</v>
      </c>
      <c r="J288">
        <f>YEAR(I288)</f>
        <v>2019</v>
      </c>
      <c r="K288" s="99">
        <v>43757</v>
      </c>
      <c r="L288" t="s">
        <v>8257</v>
      </c>
      <c r="M288" t="s">
        <v>6984</v>
      </c>
    </row>
    <row r="289" spans="2:13" x14ac:dyDescent="0.2">
      <c r="B289">
        <v>10538</v>
      </c>
      <c r="C289" t="s">
        <v>8288</v>
      </c>
      <c r="D289" t="s">
        <v>8272</v>
      </c>
      <c r="E289" s="225">
        <v>105</v>
      </c>
      <c r="F289" t="s">
        <v>8338</v>
      </c>
      <c r="G289" t="s">
        <v>8339</v>
      </c>
      <c r="H289" t="s">
        <v>2434</v>
      </c>
      <c r="I289" s="99">
        <v>43801</v>
      </c>
      <c r="J289">
        <f>YEAR(I289)</f>
        <v>2019</v>
      </c>
      <c r="K289" s="99">
        <v>43802</v>
      </c>
      <c r="L289" t="s">
        <v>8279</v>
      </c>
      <c r="M289" t="s">
        <v>710</v>
      </c>
    </row>
    <row r="290" spans="2:13" x14ac:dyDescent="0.2">
      <c r="B290">
        <v>10538</v>
      </c>
      <c r="C290" t="s">
        <v>8235</v>
      </c>
      <c r="D290" t="s">
        <v>8237</v>
      </c>
      <c r="E290" s="225">
        <v>34.799999999999997</v>
      </c>
      <c r="F290" t="s">
        <v>8338</v>
      </c>
      <c r="G290" t="s">
        <v>8339</v>
      </c>
      <c r="H290" t="s">
        <v>2434</v>
      </c>
      <c r="I290" s="99">
        <v>43801</v>
      </c>
      <c r="J290">
        <f>YEAR(I290)</f>
        <v>2019</v>
      </c>
      <c r="K290" s="99">
        <v>43802</v>
      </c>
      <c r="L290" t="s">
        <v>8279</v>
      </c>
      <c r="M290" t="s">
        <v>710</v>
      </c>
    </row>
    <row r="291" spans="2:13" x14ac:dyDescent="0.2">
      <c r="B291">
        <v>10539</v>
      </c>
      <c r="C291" t="s">
        <v>8368</v>
      </c>
      <c r="D291" t="s">
        <v>8262</v>
      </c>
      <c r="E291" s="225">
        <v>150</v>
      </c>
      <c r="F291" t="s">
        <v>8338</v>
      </c>
      <c r="G291" t="s">
        <v>8339</v>
      </c>
      <c r="H291" t="s">
        <v>2434</v>
      </c>
      <c r="I291" s="99">
        <v>43802</v>
      </c>
      <c r="J291">
        <f>YEAR(I291)</f>
        <v>2019</v>
      </c>
      <c r="K291" s="99">
        <v>43809</v>
      </c>
      <c r="L291" t="s">
        <v>8251</v>
      </c>
      <c r="M291" t="s">
        <v>269</v>
      </c>
    </row>
    <row r="292" spans="2:13" x14ac:dyDescent="0.2">
      <c r="B292">
        <v>10539</v>
      </c>
      <c r="C292" t="s">
        <v>8390</v>
      </c>
      <c r="D292" t="s">
        <v>8262</v>
      </c>
      <c r="E292" s="225">
        <v>120</v>
      </c>
      <c r="F292" t="s">
        <v>8338</v>
      </c>
      <c r="G292" t="s">
        <v>8339</v>
      </c>
      <c r="H292" t="s">
        <v>2434</v>
      </c>
      <c r="I292" s="99">
        <v>43802</v>
      </c>
      <c r="J292">
        <f>YEAR(I292)</f>
        <v>2019</v>
      </c>
      <c r="K292" s="99">
        <v>43809</v>
      </c>
      <c r="L292" t="s">
        <v>8251</v>
      </c>
      <c r="M292" t="s">
        <v>269</v>
      </c>
    </row>
    <row r="293" spans="2:13" x14ac:dyDescent="0.2">
      <c r="B293">
        <v>10539</v>
      </c>
      <c r="C293" t="s">
        <v>8269</v>
      </c>
      <c r="D293" t="s">
        <v>8237</v>
      </c>
      <c r="E293" s="225">
        <v>37.5</v>
      </c>
      <c r="F293" t="s">
        <v>8338</v>
      </c>
      <c r="G293" t="s">
        <v>8339</v>
      </c>
      <c r="H293" t="s">
        <v>2434</v>
      </c>
      <c r="I293" s="99">
        <v>43802</v>
      </c>
      <c r="J293">
        <f>YEAR(I293)</f>
        <v>2019</v>
      </c>
      <c r="K293" s="99">
        <v>43809</v>
      </c>
      <c r="L293" t="s">
        <v>8251</v>
      </c>
      <c r="M293" t="s">
        <v>269</v>
      </c>
    </row>
    <row r="294" spans="2:13" x14ac:dyDescent="0.2">
      <c r="B294">
        <v>10578</v>
      </c>
      <c r="C294" t="s">
        <v>8323</v>
      </c>
      <c r="D294" t="s">
        <v>8272</v>
      </c>
      <c r="E294" s="225">
        <v>360</v>
      </c>
      <c r="F294" t="s">
        <v>8338</v>
      </c>
      <c r="G294" t="s">
        <v>8339</v>
      </c>
      <c r="H294" t="s">
        <v>2434</v>
      </c>
      <c r="I294" s="99">
        <v>43841</v>
      </c>
      <c r="J294">
        <f>YEAR(I294)</f>
        <v>2020</v>
      </c>
      <c r="K294" s="99">
        <v>43872</v>
      </c>
      <c r="L294" t="s">
        <v>8266</v>
      </c>
      <c r="M294" t="s">
        <v>8267</v>
      </c>
    </row>
    <row r="295" spans="2:13" x14ac:dyDescent="0.2">
      <c r="B295">
        <v>10578</v>
      </c>
      <c r="C295" t="s">
        <v>8258</v>
      </c>
      <c r="D295" t="s">
        <v>8244</v>
      </c>
      <c r="E295" s="225">
        <v>117</v>
      </c>
      <c r="F295" t="s">
        <v>8338</v>
      </c>
      <c r="G295" t="s">
        <v>8339</v>
      </c>
      <c r="H295" t="s">
        <v>2434</v>
      </c>
      <c r="I295" s="99">
        <v>43841</v>
      </c>
      <c r="J295">
        <f>YEAR(I295)</f>
        <v>2020</v>
      </c>
      <c r="K295" s="99">
        <v>43872</v>
      </c>
      <c r="L295" t="s">
        <v>8266</v>
      </c>
      <c r="M295" t="s">
        <v>8267</v>
      </c>
    </row>
    <row r="296" spans="2:13" x14ac:dyDescent="0.2">
      <c r="B296">
        <v>10599</v>
      </c>
      <c r="C296" t="s">
        <v>8291</v>
      </c>
      <c r="D296" t="s">
        <v>8262</v>
      </c>
      <c r="E296" s="225">
        <v>493</v>
      </c>
      <c r="F296" t="s">
        <v>8338</v>
      </c>
      <c r="G296" t="s">
        <v>8339</v>
      </c>
      <c r="H296" t="s">
        <v>2434</v>
      </c>
      <c r="I296" s="99">
        <v>43862</v>
      </c>
      <c r="J296">
        <f>YEAR(I296)</f>
        <v>2020</v>
      </c>
      <c r="K296" s="99">
        <v>43868</v>
      </c>
      <c r="L296" t="s">
        <v>8251</v>
      </c>
      <c r="M296" t="s">
        <v>269</v>
      </c>
    </row>
    <row r="297" spans="2:13" x14ac:dyDescent="0.2">
      <c r="B297">
        <v>10943</v>
      </c>
      <c r="C297" t="s">
        <v>8259</v>
      </c>
      <c r="D297" t="s">
        <v>8244</v>
      </c>
      <c r="E297" s="225">
        <v>441</v>
      </c>
      <c r="F297" t="s">
        <v>8338</v>
      </c>
      <c r="G297" t="s">
        <v>8339</v>
      </c>
      <c r="H297" t="s">
        <v>2434</v>
      </c>
      <c r="I297" s="99">
        <v>44100</v>
      </c>
      <c r="J297">
        <f>YEAR(I297)</f>
        <v>2020</v>
      </c>
      <c r="K297" s="99">
        <v>44108</v>
      </c>
      <c r="L297" t="s">
        <v>8266</v>
      </c>
      <c r="M297" t="s">
        <v>8267</v>
      </c>
    </row>
    <row r="298" spans="2:13" x14ac:dyDescent="0.2">
      <c r="B298">
        <v>10947</v>
      </c>
      <c r="C298" t="s">
        <v>8281</v>
      </c>
      <c r="D298" t="s">
        <v>8237</v>
      </c>
      <c r="E298" s="225">
        <v>220</v>
      </c>
      <c r="F298" t="s">
        <v>8338</v>
      </c>
      <c r="G298" t="s">
        <v>8339</v>
      </c>
      <c r="H298" t="s">
        <v>2434</v>
      </c>
      <c r="I298" s="99">
        <v>44103</v>
      </c>
      <c r="J298">
        <f>YEAR(I298)</f>
        <v>2020</v>
      </c>
      <c r="K298" s="99">
        <v>44105</v>
      </c>
      <c r="L298" t="s">
        <v>8257</v>
      </c>
      <c r="M298" t="s">
        <v>6984</v>
      </c>
    </row>
    <row r="299" spans="2:13" x14ac:dyDescent="0.2">
      <c r="B299">
        <v>11023</v>
      </c>
      <c r="C299" t="s">
        <v>8306</v>
      </c>
      <c r="D299" t="s">
        <v>8272</v>
      </c>
      <c r="E299" s="225">
        <v>1380</v>
      </c>
      <c r="F299" t="s">
        <v>8338</v>
      </c>
      <c r="G299" t="s">
        <v>8339</v>
      </c>
      <c r="H299" t="s">
        <v>2434</v>
      </c>
      <c r="I299" s="99">
        <v>44134</v>
      </c>
      <c r="J299">
        <f>YEAR(I299)</f>
        <v>2020</v>
      </c>
      <c r="K299" s="99">
        <v>44144</v>
      </c>
      <c r="L299" t="s">
        <v>8285</v>
      </c>
      <c r="M299" t="s">
        <v>2317</v>
      </c>
    </row>
    <row r="300" spans="2:13" x14ac:dyDescent="0.2">
      <c r="B300">
        <v>11023</v>
      </c>
      <c r="C300" t="s">
        <v>8415</v>
      </c>
      <c r="D300" t="s">
        <v>8247</v>
      </c>
      <c r="E300" s="225">
        <v>120</v>
      </c>
      <c r="F300" t="s">
        <v>8338</v>
      </c>
      <c r="G300" t="s">
        <v>8339</v>
      </c>
      <c r="H300" t="s">
        <v>2434</v>
      </c>
      <c r="I300" s="99">
        <v>44134</v>
      </c>
      <c r="J300">
        <f>YEAR(I300)</f>
        <v>2020</v>
      </c>
      <c r="K300" s="99">
        <v>44144</v>
      </c>
      <c r="L300" t="s">
        <v>8285</v>
      </c>
      <c r="M300" t="s">
        <v>2317</v>
      </c>
    </row>
    <row r="301" spans="2:13" x14ac:dyDescent="0.2">
      <c r="B301">
        <v>10521</v>
      </c>
      <c r="C301" t="s">
        <v>8323</v>
      </c>
      <c r="D301" t="s">
        <v>8272</v>
      </c>
      <c r="E301" s="225">
        <v>54</v>
      </c>
      <c r="F301" t="s">
        <v>8719</v>
      </c>
      <c r="G301" t="s">
        <v>8718</v>
      </c>
      <c r="H301" t="s">
        <v>8717</v>
      </c>
      <c r="I301" s="99">
        <v>43785</v>
      </c>
      <c r="J301">
        <f>YEAR(I301)</f>
        <v>2019</v>
      </c>
      <c r="K301" s="99">
        <v>43788</v>
      </c>
      <c r="L301" t="s">
        <v>8320</v>
      </c>
      <c r="M301" t="s">
        <v>8321</v>
      </c>
    </row>
    <row r="302" spans="2:13" x14ac:dyDescent="0.2">
      <c r="B302">
        <v>10521</v>
      </c>
      <c r="C302" t="s">
        <v>8334</v>
      </c>
      <c r="D302" t="s">
        <v>8262</v>
      </c>
      <c r="E302" s="225">
        <v>75</v>
      </c>
      <c r="F302" t="s">
        <v>8719</v>
      </c>
      <c r="G302" t="s">
        <v>8718</v>
      </c>
      <c r="H302" t="s">
        <v>8717</v>
      </c>
      <c r="I302" s="99">
        <v>43785</v>
      </c>
      <c r="J302">
        <f>YEAR(I302)</f>
        <v>2019</v>
      </c>
      <c r="K302" s="99">
        <v>43788</v>
      </c>
      <c r="L302" t="s">
        <v>8320</v>
      </c>
      <c r="M302" t="s">
        <v>8321</v>
      </c>
    </row>
    <row r="303" spans="2:13" x14ac:dyDescent="0.2">
      <c r="B303">
        <v>10782</v>
      </c>
      <c r="C303" t="s">
        <v>8309</v>
      </c>
      <c r="D303" t="s">
        <v>8237</v>
      </c>
      <c r="E303" s="225">
        <v>12.5</v>
      </c>
      <c r="F303" t="s">
        <v>8719</v>
      </c>
      <c r="G303" t="s">
        <v>8718</v>
      </c>
      <c r="H303" t="s">
        <v>8717</v>
      </c>
      <c r="I303" s="99">
        <v>44017</v>
      </c>
      <c r="J303">
        <f>YEAR(I303)</f>
        <v>2020</v>
      </c>
      <c r="K303" s="99">
        <v>44022</v>
      </c>
      <c r="L303" t="s">
        <v>8279</v>
      </c>
      <c r="M303" t="s">
        <v>710</v>
      </c>
    </row>
    <row r="304" spans="2:13" x14ac:dyDescent="0.2">
      <c r="B304">
        <v>10819</v>
      </c>
      <c r="C304" t="s">
        <v>8306</v>
      </c>
      <c r="D304" t="s">
        <v>8272</v>
      </c>
      <c r="E304" s="225">
        <v>322</v>
      </c>
      <c r="F304" t="s">
        <v>8719</v>
      </c>
      <c r="G304" t="s">
        <v>8718</v>
      </c>
      <c r="H304" t="s">
        <v>8717</v>
      </c>
      <c r="I304" s="99">
        <v>44038</v>
      </c>
      <c r="J304">
        <f>YEAR(I304)</f>
        <v>2020</v>
      </c>
      <c r="K304" s="99">
        <v>44047</v>
      </c>
      <c r="L304" t="s">
        <v>8297</v>
      </c>
      <c r="M304" t="s">
        <v>8298</v>
      </c>
    </row>
    <row r="305" spans="2:13" x14ac:dyDescent="0.2">
      <c r="B305">
        <v>10819</v>
      </c>
      <c r="C305" t="s">
        <v>8328</v>
      </c>
      <c r="D305" t="s">
        <v>8272</v>
      </c>
      <c r="E305" s="225">
        <v>155</v>
      </c>
      <c r="F305" t="s">
        <v>8719</v>
      </c>
      <c r="G305" t="s">
        <v>8718</v>
      </c>
      <c r="H305" t="s">
        <v>8717</v>
      </c>
      <c r="I305" s="99">
        <v>44038</v>
      </c>
      <c r="J305">
        <f>YEAR(I305)</f>
        <v>2020</v>
      </c>
      <c r="K305" s="99">
        <v>44047</v>
      </c>
      <c r="L305" t="s">
        <v>8297</v>
      </c>
      <c r="M305" t="s">
        <v>8298</v>
      </c>
    </row>
    <row r="306" spans="2:13" x14ac:dyDescent="0.2">
      <c r="B306">
        <v>10937</v>
      </c>
      <c r="C306" t="s">
        <v>8358</v>
      </c>
      <c r="D306" t="s">
        <v>8272</v>
      </c>
      <c r="E306" s="225">
        <v>280</v>
      </c>
      <c r="F306" t="s">
        <v>8719</v>
      </c>
      <c r="G306" t="s">
        <v>8718</v>
      </c>
      <c r="H306" t="s">
        <v>8717</v>
      </c>
      <c r="I306" s="99">
        <v>44099</v>
      </c>
      <c r="J306">
        <f>YEAR(I306)</f>
        <v>2020</v>
      </c>
      <c r="K306" s="99">
        <v>44103</v>
      </c>
      <c r="L306" t="s">
        <v>8158</v>
      </c>
      <c r="M306" t="s">
        <v>861</v>
      </c>
    </row>
    <row r="307" spans="2:13" x14ac:dyDescent="0.2">
      <c r="B307">
        <v>10937</v>
      </c>
      <c r="C307" t="s">
        <v>8316</v>
      </c>
      <c r="D307" t="s">
        <v>8247</v>
      </c>
      <c r="E307" s="225">
        <v>364.8</v>
      </c>
      <c r="F307" t="s">
        <v>8719</v>
      </c>
      <c r="G307" t="s">
        <v>8718</v>
      </c>
      <c r="H307" t="s">
        <v>8717</v>
      </c>
      <c r="I307" s="99">
        <v>44099</v>
      </c>
      <c r="J307">
        <f>YEAR(I307)</f>
        <v>2020</v>
      </c>
      <c r="K307" s="99">
        <v>44103</v>
      </c>
      <c r="L307" t="s">
        <v>8158</v>
      </c>
      <c r="M307" t="s">
        <v>861</v>
      </c>
    </row>
    <row r="308" spans="2:13" x14ac:dyDescent="0.2">
      <c r="B308">
        <v>11054</v>
      </c>
      <c r="C308" t="s">
        <v>8329</v>
      </c>
      <c r="D308" t="s">
        <v>8272</v>
      </c>
      <c r="E308" s="225">
        <v>280</v>
      </c>
      <c r="F308" t="s">
        <v>8719</v>
      </c>
      <c r="G308" t="s">
        <v>8718</v>
      </c>
      <c r="H308" t="s">
        <v>8717</v>
      </c>
      <c r="I308" s="99">
        <v>44148</v>
      </c>
      <c r="J308">
        <f>YEAR(I308)</f>
        <v>2020</v>
      </c>
      <c r="L308" t="s">
        <v>8320</v>
      </c>
      <c r="M308" t="s">
        <v>8321</v>
      </c>
    </row>
    <row r="309" spans="2:13" x14ac:dyDescent="0.2">
      <c r="B309">
        <v>11054</v>
      </c>
      <c r="C309" t="s">
        <v>8269</v>
      </c>
      <c r="D309" t="s">
        <v>8237</v>
      </c>
      <c r="E309" s="225">
        <v>25</v>
      </c>
      <c r="F309" t="s">
        <v>8719</v>
      </c>
      <c r="G309" t="s">
        <v>8718</v>
      </c>
      <c r="H309" t="s">
        <v>8717</v>
      </c>
      <c r="I309" s="99">
        <v>44148</v>
      </c>
      <c r="J309">
        <f>YEAR(I309)</f>
        <v>2020</v>
      </c>
      <c r="L309" t="s">
        <v>8320</v>
      </c>
      <c r="M309" t="s">
        <v>8321</v>
      </c>
    </row>
    <row r="310" spans="2:13" x14ac:dyDescent="0.2">
      <c r="B310">
        <v>10259</v>
      </c>
      <c r="C310" t="s">
        <v>8368</v>
      </c>
      <c r="D310" t="s">
        <v>8262</v>
      </c>
      <c r="E310" s="225">
        <v>80</v>
      </c>
      <c r="F310" t="s">
        <v>8734</v>
      </c>
      <c r="G310" t="s">
        <v>8733</v>
      </c>
      <c r="H310" t="s">
        <v>8704</v>
      </c>
      <c r="I310" s="99">
        <v>43500</v>
      </c>
      <c r="J310">
        <f>YEAR(I310)</f>
        <v>2019</v>
      </c>
      <c r="K310" s="99">
        <v>43507</v>
      </c>
      <c r="L310" t="s">
        <v>8266</v>
      </c>
      <c r="M310" t="s">
        <v>8267</v>
      </c>
    </row>
    <row r="311" spans="2:13" x14ac:dyDescent="0.2">
      <c r="B311">
        <v>10254</v>
      </c>
      <c r="C311" t="s">
        <v>8270</v>
      </c>
      <c r="D311" t="s">
        <v>8272</v>
      </c>
      <c r="E311" s="225">
        <v>45.9</v>
      </c>
      <c r="F311" t="s">
        <v>8273</v>
      </c>
      <c r="G311" t="s">
        <v>8274</v>
      </c>
      <c r="H311" t="s">
        <v>8271</v>
      </c>
      <c r="I311" s="99">
        <v>43493</v>
      </c>
      <c r="J311">
        <f>YEAR(I311)</f>
        <v>2019</v>
      </c>
      <c r="K311" s="99">
        <v>43505</v>
      </c>
      <c r="L311" t="s">
        <v>8241</v>
      </c>
      <c r="M311" t="s">
        <v>6934</v>
      </c>
    </row>
    <row r="312" spans="2:13" x14ac:dyDescent="0.2">
      <c r="B312">
        <v>10254</v>
      </c>
      <c r="C312" t="s">
        <v>8275</v>
      </c>
      <c r="D312" t="s">
        <v>8247</v>
      </c>
      <c r="E312" s="225">
        <v>168</v>
      </c>
      <c r="F312" t="s">
        <v>8273</v>
      </c>
      <c r="G312" t="s">
        <v>8274</v>
      </c>
      <c r="H312" t="s">
        <v>8271</v>
      </c>
      <c r="I312" s="99">
        <v>43493</v>
      </c>
      <c r="J312">
        <f>YEAR(I312)</f>
        <v>2019</v>
      </c>
      <c r="K312" s="99">
        <v>43505</v>
      </c>
      <c r="L312" t="s">
        <v>8241</v>
      </c>
      <c r="M312" t="s">
        <v>6934</v>
      </c>
    </row>
    <row r="313" spans="2:13" x14ac:dyDescent="0.2">
      <c r="B313">
        <v>10370</v>
      </c>
      <c r="C313" t="s">
        <v>8333</v>
      </c>
      <c r="D313" t="s">
        <v>8272</v>
      </c>
      <c r="E313" s="225">
        <v>183.6</v>
      </c>
      <c r="F313" t="s">
        <v>8273</v>
      </c>
      <c r="G313" t="s">
        <v>8274</v>
      </c>
      <c r="H313" t="s">
        <v>8271</v>
      </c>
      <c r="I313" s="99">
        <v>43638</v>
      </c>
      <c r="J313">
        <f>YEAR(I313)</f>
        <v>2019</v>
      </c>
      <c r="K313" s="99">
        <v>43662</v>
      </c>
      <c r="L313" t="s">
        <v>8251</v>
      </c>
      <c r="M313" t="s">
        <v>269</v>
      </c>
    </row>
    <row r="314" spans="2:13" x14ac:dyDescent="0.2">
      <c r="B314">
        <v>10370</v>
      </c>
      <c r="C314" t="s">
        <v>8340</v>
      </c>
      <c r="D314" t="s">
        <v>8244</v>
      </c>
      <c r="E314" s="225">
        <v>798</v>
      </c>
      <c r="F314" t="s">
        <v>8273</v>
      </c>
      <c r="G314" t="s">
        <v>8274</v>
      </c>
      <c r="H314" t="s">
        <v>8271</v>
      </c>
      <c r="I314" s="99">
        <v>43638</v>
      </c>
      <c r="J314">
        <f>YEAR(I314)</f>
        <v>2019</v>
      </c>
      <c r="K314" s="99">
        <v>43662</v>
      </c>
      <c r="L314" t="s">
        <v>8251</v>
      </c>
      <c r="M314" t="s">
        <v>269</v>
      </c>
    </row>
    <row r="315" spans="2:13" x14ac:dyDescent="0.2">
      <c r="B315">
        <v>10370</v>
      </c>
      <c r="C315" t="s">
        <v>8275</v>
      </c>
      <c r="D315" t="s">
        <v>8247</v>
      </c>
      <c r="E315" s="225">
        <v>136</v>
      </c>
      <c r="F315" t="s">
        <v>8273</v>
      </c>
      <c r="G315" t="s">
        <v>8274</v>
      </c>
      <c r="H315" t="s">
        <v>8271</v>
      </c>
      <c r="I315" s="99">
        <v>43638</v>
      </c>
      <c r="J315">
        <f>YEAR(I315)</f>
        <v>2019</v>
      </c>
      <c r="K315" s="99">
        <v>43662</v>
      </c>
      <c r="L315" t="s">
        <v>8251</v>
      </c>
      <c r="M315" t="s">
        <v>269</v>
      </c>
    </row>
    <row r="316" spans="2:13" x14ac:dyDescent="0.2">
      <c r="B316">
        <v>10519</v>
      </c>
      <c r="C316" t="s">
        <v>8268</v>
      </c>
      <c r="D316" t="s">
        <v>8237</v>
      </c>
      <c r="E316" s="225">
        <v>323</v>
      </c>
      <c r="F316" t="s">
        <v>8273</v>
      </c>
      <c r="G316" t="s">
        <v>8274</v>
      </c>
      <c r="H316" t="s">
        <v>8271</v>
      </c>
      <c r="I316" s="99">
        <v>43784</v>
      </c>
      <c r="J316">
        <f>YEAR(I316)</f>
        <v>2019</v>
      </c>
      <c r="K316" s="99">
        <v>43787</v>
      </c>
      <c r="L316" t="s">
        <v>8251</v>
      </c>
      <c r="M316" t="s">
        <v>269</v>
      </c>
    </row>
    <row r="317" spans="2:13" x14ac:dyDescent="0.2">
      <c r="B317">
        <v>10519</v>
      </c>
      <c r="C317" t="s">
        <v>8341</v>
      </c>
      <c r="D317" t="s">
        <v>8244</v>
      </c>
      <c r="E317" s="225">
        <v>1520</v>
      </c>
      <c r="F317" t="s">
        <v>8273</v>
      </c>
      <c r="G317" t="s">
        <v>8274</v>
      </c>
      <c r="H317" t="s">
        <v>8271</v>
      </c>
      <c r="I317" s="99">
        <v>43784</v>
      </c>
      <c r="J317">
        <f>YEAR(I317)</f>
        <v>2019</v>
      </c>
      <c r="K317" s="99">
        <v>43787</v>
      </c>
      <c r="L317" t="s">
        <v>8251</v>
      </c>
      <c r="M317" t="s">
        <v>269</v>
      </c>
    </row>
    <row r="318" spans="2:13" x14ac:dyDescent="0.2">
      <c r="B318">
        <v>10731</v>
      </c>
      <c r="C318" t="s">
        <v>8368</v>
      </c>
      <c r="D318" t="s">
        <v>8262</v>
      </c>
      <c r="E318" s="225">
        <v>380</v>
      </c>
      <c r="F318" t="s">
        <v>8273</v>
      </c>
      <c r="G318" t="s">
        <v>8274</v>
      </c>
      <c r="H318" t="s">
        <v>8271</v>
      </c>
      <c r="I318" s="99">
        <v>43976</v>
      </c>
      <c r="J318">
        <f>YEAR(I318)</f>
        <v>2020</v>
      </c>
      <c r="K318" s="99">
        <v>43984</v>
      </c>
      <c r="L318" t="s">
        <v>8158</v>
      </c>
      <c r="M318" t="s">
        <v>861</v>
      </c>
    </row>
    <row r="319" spans="2:13" x14ac:dyDescent="0.2">
      <c r="B319">
        <v>10731</v>
      </c>
      <c r="C319" t="s">
        <v>8245</v>
      </c>
      <c r="D319" t="s">
        <v>8247</v>
      </c>
      <c r="E319" s="225">
        <v>1510.5</v>
      </c>
      <c r="F319" t="s">
        <v>8273</v>
      </c>
      <c r="G319" t="s">
        <v>8274</v>
      </c>
      <c r="H319" t="s">
        <v>8271</v>
      </c>
      <c r="I319" s="99">
        <v>43976</v>
      </c>
      <c r="J319">
        <f>YEAR(I319)</f>
        <v>2020</v>
      </c>
      <c r="K319" s="99">
        <v>43984</v>
      </c>
      <c r="L319" t="s">
        <v>8158</v>
      </c>
      <c r="M319" t="s">
        <v>861</v>
      </c>
    </row>
    <row r="320" spans="2:13" x14ac:dyDescent="0.2">
      <c r="B320">
        <v>10746</v>
      </c>
      <c r="C320" t="s">
        <v>8291</v>
      </c>
      <c r="D320" t="s">
        <v>8262</v>
      </c>
      <c r="E320" s="225">
        <v>443.7</v>
      </c>
      <c r="F320" t="s">
        <v>8273</v>
      </c>
      <c r="G320" t="s">
        <v>8274</v>
      </c>
      <c r="H320" t="s">
        <v>8271</v>
      </c>
      <c r="I320" s="99">
        <v>43989</v>
      </c>
      <c r="J320">
        <f>YEAR(I320)</f>
        <v>2020</v>
      </c>
      <c r="K320" s="99">
        <v>43991</v>
      </c>
      <c r="L320" t="s">
        <v>8285</v>
      </c>
      <c r="M320" t="s">
        <v>2317</v>
      </c>
    </row>
    <row r="321" spans="2:13" x14ac:dyDescent="0.2">
      <c r="B321">
        <v>10746</v>
      </c>
      <c r="C321" t="s">
        <v>8353</v>
      </c>
      <c r="D321" t="s">
        <v>8237</v>
      </c>
      <c r="E321" s="225">
        <v>1440</v>
      </c>
      <c r="F321" t="s">
        <v>8273</v>
      </c>
      <c r="G321" t="s">
        <v>8274</v>
      </c>
      <c r="H321" t="s">
        <v>8271</v>
      </c>
      <c r="I321" s="99">
        <v>43989</v>
      </c>
      <c r="J321">
        <f>YEAR(I321)</f>
        <v>2020</v>
      </c>
      <c r="K321" s="99">
        <v>43991</v>
      </c>
      <c r="L321" t="s">
        <v>8285</v>
      </c>
      <c r="M321" t="s">
        <v>2317</v>
      </c>
    </row>
    <row r="322" spans="2:13" x14ac:dyDescent="0.2">
      <c r="B322">
        <v>10746</v>
      </c>
      <c r="C322" t="s">
        <v>8243</v>
      </c>
      <c r="D322" t="s">
        <v>8244</v>
      </c>
      <c r="E322" s="225">
        <v>392</v>
      </c>
      <c r="F322" t="s">
        <v>8273</v>
      </c>
      <c r="G322" t="s">
        <v>8274</v>
      </c>
      <c r="H322" t="s">
        <v>8271</v>
      </c>
      <c r="I322" s="99">
        <v>43989</v>
      </c>
      <c r="J322">
        <f>YEAR(I322)</f>
        <v>2020</v>
      </c>
      <c r="K322" s="99">
        <v>43991</v>
      </c>
      <c r="L322" t="s">
        <v>8285</v>
      </c>
      <c r="M322" t="s">
        <v>2317</v>
      </c>
    </row>
    <row r="323" spans="2:13" x14ac:dyDescent="0.2">
      <c r="B323">
        <v>10966</v>
      </c>
      <c r="C323" t="s">
        <v>8291</v>
      </c>
      <c r="D323" t="s">
        <v>8262</v>
      </c>
      <c r="E323" s="225">
        <v>502.86</v>
      </c>
      <c r="F323" t="s">
        <v>8273</v>
      </c>
      <c r="G323" t="s">
        <v>8274</v>
      </c>
      <c r="H323" t="s">
        <v>8271</v>
      </c>
      <c r="I323" s="99">
        <v>44109</v>
      </c>
      <c r="J323">
        <f>YEAR(I323)</f>
        <v>2020</v>
      </c>
      <c r="K323" s="99">
        <v>44128</v>
      </c>
      <c r="L323" t="s">
        <v>8266</v>
      </c>
      <c r="M323" t="s">
        <v>8267</v>
      </c>
    </row>
    <row r="324" spans="2:13" x14ac:dyDescent="0.2">
      <c r="B324">
        <v>10966</v>
      </c>
      <c r="C324" t="s">
        <v>8341</v>
      </c>
      <c r="D324" t="s">
        <v>8244</v>
      </c>
      <c r="E324" s="225">
        <v>387.6</v>
      </c>
      <c r="F324" t="s">
        <v>8273</v>
      </c>
      <c r="G324" t="s">
        <v>8274</v>
      </c>
      <c r="H324" t="s">
        <v>8271</v>
      </c>
      <c r="I324" s="99">
        <v>44109</v>
      </c>
      <c r="J324">
        <f>YEAR(I324)</f>
        <v>2020</v>
      </c>
      <c r="K324" s="99">
        <v>44128</v>
      </c>
      <c r="L324" t="s">
        <v>8266</v>
      </c>
      <c r="M324" t="s">
        <v>8267</v>
      </c>
    </row>
    <row r="325" spans="2:13" x14ac:dyDescent="0.2">
      <c r="B325">
        <v>11029</v>
      </c>
      <c r="C325" t="s">
        <v>8317</v>
      </c>
      <c r="D325" t="s">
        <v>8254</v>
      </c>
      <c r="E325" s="225">
        <v>526.79999999999995</v>
      </c>
      <c r="F325" t="s">
        <v>8273</v>
      </c>
      <c r="G325" t="s">
        <v>8274</v>
      </c>
      <c r="H325" t="s">
        <v>8271</v>
      </c>
      <c r="I325" s="99">
        <v>44136</v>
      </c>
      <c r="J325">
        <f>YEAR(I325)</f>
        <v>2020</v>
      </c>
      <c r="K325" s="99">
        <v>44147</v>
      </c>
      <c r="L325" t="s">
        <v>8266</v>
      </c>
      <c r="M325" t="s">
        <v>8267</v>
      </c>
    </row>
    <row r="326" spans="2:13" x14ac:dyDescent="0.2">
      <c r="B326">
        <v>11029</v>
      </c>
      <c r="C326" t="s">
        <v>8341</v>
      </c>
      <c r="D326" t="s">
        <v>8244</v>
      </c>
      <c r="E326" s="225">
        <v>760</v>
      </c>
      <c r="F326" t="s">
        <v>8273</v>
      </c>
      <c r="G326" t="s">
        <v>8274</v>
      </c>
      <c r="H326" t="s">
        <v>8271</v>
      </c>
      <c r="I326" s="99">
        <v>44136</v>
      </c>
      <c r="J326">
        <f>YEAR(I326)</f>
        <v>2020</v>
      </c>
      <c r="K326" s="99">
        <v>44147</v>
      </c>
      <c r="L326" t="s">
        <v>8266</v>
      </c>
      <c r="M326" t="s">
        <v>8267</v>
      </c>
    </row>
    <row r="327" spans="2:13" x14ac:dyDescent="0.2">
      <c r="B327">
        <v>11041</v>
      </c>
      <c r="C327" t="s">
        <v>8276</v>
      </c>
      <c r="D327" t="s">
        <v>8272</v>
      </c>
      <c r="E327" s="225">
        <v>456</v>
      </c>
      <c r="F327" t="s">
        <v>8273</v>
      </c>
      <c r="G327" t="s">
        <v>8274</v>
      </c>
      <c r="H327" t="s">
        <v>8271</v>
      </c>
      <c r="I327" s="99">
        <v>44142</v>
      </c>
      <c r="J327">
        <f>YEAR(I327)</f>
        <v>2020</v>
      </c>
      <c r="K327" s="99">
        <v>44148</v>
      </c>
      <c r="L327" t="s">
        <v>8257</v>
      </c>
      <c r="M327" t="s">
        <v>6984</v>
      </c>
    </row>
    <row r="328" spans="2:13" x14ac:dyDescent="0.2">
      <c r="B328">
        <v>11041</v>
      </c>
      <c r="C328" t="s">
        <v>8317</v>
      </c>
      <c r="D328" t="s">
        <v>8254</v>
      </c>
      <c r="E328" s="225">
        <v>1317</v>
      </c>
      <c r="F328" t="s">
        <v>8273</v>
      </c>
      <c r="G328" t="s">
        <v>8274</v>
      </c>
      <c r="H328" t="s">
        <v>8271</v>
      </c>
      <c r="I328" s="99">
        <v>44142</v>
      </c>
      <c r="J328">
        <f>YEAR(I328)</f>
        <v>2020</v>
      </c>
      <c r="K328" s="99">
        <v>44148</v>
      </c>
      <c r="L328" t="s">
        <v>8257</v>
      </c>
      <c r="M328" t="s">
        <v>6984</v>
      </c>
    </row>
    <row r="329" spans="2:13" x14ac:dyDescent="0.2">
      <c r="B329">
        <v>10290</v>
      </c>
      <c r="C329" t="s">
        <v>8286</v>
      </c>
      <c r="D329" t="s">
        <v>8254</v>
      </c>
      <c r="E329" s="225">
        <v>340</v>
      </c>
      <c r="F329" t="s">
        <v>8748</v>
      </c>
      <c r="G329" t="s">
        <v>8747</v>
      </c>
      <c r="H329" t="s">
        <v>8710</v>
      </c>
      <c r="I329" s="99">
        <v>43540</v>
      </c>
      <c r="J329">
        <f>YEAR(I329)</f>
        <v>2019</v>
      </c>
      <c r="K329" s="99">
        <v>43547</v>
      </c>
      <c r="L329" t="s">
        <v>8320</v>
      </c>
      <c r="M329" t="s">
        <v>8321</v>
      </c>
    </row>
    <row r="330" spans="2:13" x14ac:dyDescent="0.2">
      <c r="B330">
        <v>10290</v>
      </c>
      <c r="C330" t="s">
        <v>8397</v>
      </c>
      <c r="D330" t="s">
        <v>8254</v>
      </c>
      <c r="E330" s="225">
        <v>104</v>
      </c>
      <c r="F330" t="s">
        <v>8748</v>
      </c>
      <c r="G330" t="s">
        <v>8747</v>
      </c>
      <c r="H330" t="s">
        <v>8710</v>
      </c>
      <c r="I330" s="99">
        <v>43540</v>
      </c>
      <c r="J330">
        <f>YEAR(I330)</f>
        <v>2019</v>
      </c>
      <c r="K330" s="99">
        <v>43547</v>
      </c>
      <c r="L330" t="s">
        <v>8320</v>
      </c>
      <c r="M330" t="s">
        <v>8321</v>
      </c>
    </row>
    <row r="331" spans="2:13" x14ac:dyDescent="0.2">
      <c r="B331">
        <v>10290</v>
      </c>
      <c r="C331" t="s">
        <v>8390</v>
      </c>
      <c r="D331" t="s">
        <v>8262</v>
      </c>
      <c r="E331" s="225">
        <v>240</v>
      </c>
      <c r="F331" t="s">
        <v>8748</v>
      </c>
      <c r="G331" t="s">
        <v>8747</v>
      </c>
      <c r="H331" t="s">
        <v>8710</v>
      </c>
      <c r="I331" s="99">
        <v>43540</v>
      </c>
      <c r="J331">
        <f>YEAR(I331)</f>
        <v>2019</v>
      </c>
      <c r="K331" s="99">
        <v>43547</v>
      </c>
      <c r="L331" t="s">
        <v>8320</v>
      </c>
      <c r="M331" t="s">
        <v>8321</v>
      </c>
    </row>
    <row r="332" spans="2:13" x14ac:dyDescent="0.2">
      <c r="B332">
        <v>10466</v>
      </c>
      <c r="C332" t="s">
        <v>8242</v>
      </c>
      <c r="D332" t="s">
        <v>8237</v>
      </c>
      <c r="E332" s="225">
        <v>168</v>
      </c>
      <c r="F332" t="s">
        <v>8748</v>
      </c>
      <c r="G332" t="s">
        <v>8747</v>
      </c>
      <c r="H332" t="s">
        <v>8710</v>
      </c>
      <c r="I332" s="99">
        <v>43731</v>
      </c>
      <c r="J332">
        <f>YEAR(I332)</f>
        <v>2019</v>
      </c>
      <c r="K332" s="99">
        <v>43738</v>
      </c>
      <c r="L332" t="s">
        <v>8266</v>
      </c>
      <c r="M332" t="s">
        <v>8267</v>
      </c>
    </row>
    <row r="333" spans="2:13" x14ac:dyDescent="0.2">
      <c r="B333">
        <v>10494</v>
      </c>
      <c r="C333" t="s">
        <v>8341</v>
      </c>
      <c r="D333" t="s">
        <v>8244</v>
      </c>
      <c r="E333" s="225">
        <v>912</v>
      </c>
      <c r="F333" t="s">
        <v>8748</v>
      </c>
      <c r="G333" t="s">
        <v>8747</v>
      </c>
      <c r="H333" t="s">
        <v>8710</v>
      </c>
      <c r="I333" s="99">
        <v>43758</v>
      </c>
      <c r="J333">
        <f>YEAR(I333)</f>
        <v>2019</v>
      </c>
      <c r="K333" s="99">
        <v>43765</v>
      </c>
      <c r="L333" t="s">
        <v>8266</v>
      </c>
      <c r="M333" t="s">
        <v>8267</v>
      </c>
    </row>
    <row r="334" spans="2:13" x14ac:dyDescent="0.2">
      <c r="B334">
        <v>11042</v>
      </c>
      <c r="C334" t="s">
        <v>8322</v>
      </c>
      <c r="D334" t="s">
        <v>8254</v>
      </c>
      <c r="E334" s="225">
        <v>291.75</v>
      </c>
      <c r="F334" t="s">
        <v>8748</v>
      </c>
      <c r="G334" t="s">
        <v>8747</v>
      </c>
      <c r="H334" t="s">
        <v>8710</v>
      </c>
      <c r="I334" s="99">
        <v>44142</v>
      </c>
      <c r="J334">
        <f>YEAR(I334)</f>
        <v>2020</v>
      </c>
      <c r="K334" s="99">
        <v>44151</v>
      </c>
      <c r="L334" t="s">
        <v>8297</v>
      </c>
      <c r="M334" t="s">
        <v>8298</v>
      </c>
    </row>
    <row r="335" spans="2:13" x14ac:dyDescent="0.2">
      <c r="B335">
        <v>11042</v>
      </c>
      <c r="C335" t="s">
        <v>8409</v>
      </c>
      <c r="D335" t="s">
        <v>8254</v>
      </c>
      <c r="E335" s="225">
        <v>114</v>
      </c>
      <c r="F335" t="s">
        <v>8748</v>
      </c>
      <c r="G335" t="s">
        <v>8747</v>
      </c>
      <c r="H335" t="s">
        <v>8710</v>
      </c>
      <c r="I335" s="99">
        <v>44142</v>
      </c>
      <c r="J335">
        <f>YEAR(I335)</f>
        <v>2020</v>
      </c>
      <c r="K335" s="99">
        <v>44151</v>
      </c>
      <c r="L335" t="s">
        <v>8297</v>
      </c>
      <c r="M335" t="s">
        <v>8298</v>
      </c>
    </row>
    <row r="336" spans="2:13" x14ac:dyDescent="0.2">
      <c r="B336">
        <v>10435</v>
      </c>
      <c r="C336" t="s">
        <v>8276</v>
      </c>
      <c r="D336" t="s">
        <v>8272</v>
      </c>
      <c r="E336" s="225">
        <v>152</v>
      </c>
      <c r="F336" t="s">
        <v>8413</v>
      </c>
      <c r="G336" t="s">
        <v>8414</v>
      </c>
      <c r="H336" t="s">
        <v>2434</v>
      </c>
      <c r="I336" s="99">
        <v>43701</v>
      </c>
      <c r="J336">
        <f>YEAR(I336)</f>
        <v>2019</v>
      </c>
      <c r="K336" s="99">
        <v>43704</v>
      </c>
      <c r="L336" t="s">
        <v>8320</v>
      </c>
      <c r="M336" t="s">
        <v>8321</v>
      </c>
    </row>
    <row r="337" spans="2:13" x14ac:dyDescent="0.2">
      <c r="B337">
        <v>10435</v>
      </c>
      <c r="C337" t="s">
        <v>8235</v>
      </c>
      <c r="D337" t="s">
        <v>8237</v>
      </c>
      <c r="E337" s="225">
        <v>278</v>
      </c>
      <c r="F337" t="s">
        <v>8413</v>
      </c>
      <c r="G337" t="s">
        <v>8414</v>
      </c>
      <c r="H337" t="s">
        <v>2434</v>
      </c>
      <c r="I337" s="99">
        <v>43701</v>
      </c>
      <c r="J337">
        <f>YEAR(I337)</f>
        <v>2019</v>
      </c>
      <c r="K337" s="99">
        <v>43704</v>
      </c>
      <c r="L337" t="s">
        <v>8320</v>
      </c>
      <c r="M337" t="s">
        <v>8321</v>
      </c>
    </row>
    <row r="338" spans="2:13" x14ac:dyDescent="0.2">
      <c r="B338">
        <v>10435</v>
      </c>
      <c r="C338" t="s">
        <v>8259</v>
      </c>
      <c r="D338" t="s">
        <v>8244</v>
      </c>
      <c r="E338" s="225">
        <v>201.6</v>
      </c>
      <c r="F338" t="s">
        <v>8413</v>
      </c>
      <c r="G338" t="s">
        <v>8414</v>
      </c>
      <c r="H338" t="s">
        <v>2434</v>
      </c>
      <c r="I338" s="99">
        <v>43701</v>
      </c>
      <c r="J338">
        <f>YEAR(I338)</f>
        <v>2019</v>
      </c>
      <c r="K338" s="99">
        <v>43704</v>
      </c>
      <c r="L338" t="s">
        <v>8320</v>
      </c>
      <c r="M338" t="s">
        <v>8321</v>
      </c>
    </row>
    <row r="339" spans="2:13" x14ac:dyDescent="0.2">
      <c r="B339">
        <v>10462</v>
      </c>
      <c r="C339" t="s">
        <v>8373</v>
      </c>
      <c r="D339" t="s">
        <v>8244</v>
      </c>
      <c r="E339" s="225">
        <v>151.19999999999999</v>
      </c>
      <c r="F339" t="s">
        <v>8413</v>
      </c>
      <c r="G339" t="s">
        <v>8414</v>
      </c>
      <c r="H339" t="s">
        <v>2434</v>
      </c>
      <c r="I339" s="99">
        <v>43728</v>
      </c>
      <c r="J339">
        <f>YEAR(I339)</f>
        <v>2019</v>
      </c>
      <c r="K339" s="99">
        <v>43743</v>
      </c>
      <c r="L339" t="s">
        <v>8297</v>
      </c>
      <c r="M339" t="s">
        <v>8298</v>
      </c>
    </row>
    <row r="340" spans="2:13" x14ac:dyDescent="0.2">
      <c r="B340">
        <v>10848</v>
      </c>
      <c r="C340" t="s">
        <v>8286</v>
      </c>
      <c r="D340" t="s">
        <v>8254</v>
      </c>
      <c r="E340" s="225">
        <v>640.5</v>
      </c>
      <c r="F340" t="s">
        <v>8413</v>
      </c>
      <c r="G340" t="s">
        <v>8414</v>
      </c>
      <c r="H340" t="s">
        <v>2434</v>
      </c>
      <c r="I340" s="99">
        <v>44054</v>
      </c>
      <c r="J340">
        <f>YEAR(I340)</f>
        <v>2020</v>
      </c>
      <c r="K340" s="99">
        <v>44059</v>
      </c>
      <c r="L340" t="s">
        <v>8158</v>
      </c>
      <c r="M340" t="s">
        <v>861</v>
      </c>
    </row>
    <row r="341" spans="2:13" x14ac:dyDescent="0.2">
      <c r="B341">
        <v>10301</v>
      </c>
      <c r="C341" t="s">
        <v>8341</v>
      </c>
      <c r="D341" t="s">
        <v>8244</v>
      </c>
      <c r="E341" s="225">
        <v>608</v>
      </c>
      <c r="F341" t="s">
        <v>8346</v>
      </c>
      <c r="G341" t="s">
        <v>8347</v>
      </c>
      <c r="H341" t="s">
        <v>8246</v>
      </c>
      <c r="I341" s="99">
        <v>43553</v>
      </c>
      <c r="J341">
        <f>YEAR(I341)</f>
        <v>2019</v>
      </c>
      <c r="K341" s="99">
        <v>43561</v>
      </c>
      <c r="L341" t="s">
        <v>8320</v>
      </c>
      <c r="M341" t="s">
        <v>8321</v>
      </c>
    </row>
    <row r="342" spans="2:13" x14ac:dyDescent="0.2">
      <c r="B342">
        <v>10312</v>
      </c>
      <c r="C342" t="s">
        <v>8306</v>
      </c>
      <c r="D342" t="s">
        <v>8272</v>
      </c>
      <c r="E342" s="225">
        <v>883.2</v>
      </c>
      <c r="F342" t="s">
        <v>8346</v>
      </c>
      <c r="G342" t="s">
        <v>8347</v>
      </c>
      <c r="H342" t="s">
        <v>8246</v>
      </c>
      <c r="I342" s="99">
        <v>43567</v>
      </c>
      <c r="J342">
        <f>YEAR(I342)</f>
        <v>2019</v>
      </c>
      <c r="K342" s="99">
        <v>43577</v>
      </c>
      <c r="L342" t="s">
        <v>8297</v>
      </c>
      <c r="M342" t="s">
        <v>8298</v>
      </c>
    </row>
    <row r="343" spans="2:13" x14ac:dyDescent="0.2">
      <c r="B343">
        <v>10312</v>
      </c>
      <c r="C343" t="s">
        <v>8328</v>
      </c>
      <c r="D343" t="s">
        <v>8272</v>
      </c>
      <c r="E343" s="225">
        <v>62</v>
      </c>
      <c r="F343" t="s">
        <v>8346</v>
      </c>
      <c r="G343" t="s">
        <v>8347</v>
      </c>
      <c r="H343" t="s">
        <v>8246</v>
      </c>
      <c r="I343" s="99">
        <v>43567</v>
      </c>
      <c r="J343">
        <f>YEAR(I343)</f>
        <v>2019</v>
      </c>
      <c r="K343" s="99">
        <v>43577</v>
      </c>
      <c r="L343" t="s">
        <v>8297</v>
      </c>
      <c r="M343" t="s">
        <v>8298</v>
      </c>
    </row>
    <row r="344" spans="2:13" x14ac:dyDescent="0.2">
      <c r="B344">
        <v>10312</v>
      </c>
      <c r="C344" t="s">
        <v>8316</v>
      </c>
      <c r="D344" t="s">
        <v>8247</v>
      </c>
      <c r="E344" s="225">
        <v>145.6</v>
      </c>
      <c r="F344" t="s">
        <v>8346</v>
      </c>
      <c r="G344" t="s">
        <v>8347</v>
      </c>
      <c r="H344" t="s">
        <v>8246</v>
      </c>
      <c r="I344" s="99">
        <v>43567</v>
      </c>
      <c r="J344">
        <f>YEAR(I344)</f>
        <v>2019</v>
      </c>
      <c r="K344" s="99">
        <v>43577</v>
      </c>
      <c r="L344" t="s">
        <v>8297</v>
      </c>
      <c r="M344" t="s">
        <v>8298</v>
      </c>
    </row>
    <row r="345" spans="2:13" x14ac:dyDescent="0.2">
      <c r="B345">
        <v>10348</v>
      </c>
      <c r="C345" t="s">
        <v>8333</v>
      </c>
      <c r="D345" t="s">
        <v>8272</v>
      </c>
      <c r="E345" s="225">
        <v>183.6</v>
      </c>
      <c r="F345" t="s">
        <v>8346</v>
      </c>
      <c r="G345" t="s">
        <v>8347</v>
      </c>
      <c r="H345" t="s">
        <v>8246</v>
      </c>
      <c r="I345" s="99">
        <v>43612</v>
      </c>
      <c r="J345">
        <f>YEAR(I345)</f>
        <v>2019</v>
      </c>
      <c r="K345" s="99">
        <v>43620</v>
      </c>
      <c r="L345" t="s">
        <v>8266</v>
      </c>
      <c r="M345" t="s">
        <v>8267</v>
      </c>
    </row>
    <row r="346" spans="2:13" x14ac:dyDescent="0.2">
      <c r="B346">
        <v>10348</v>
      </c>
      <c r="C346" t="s">
        <v>8373</v>
      </c>
      <c r="D346" t="s">
        <v>8244</v>
      </c>
      <c r="E346" s="225">
        <v>180</v>
      </c>
      <c r="F346" t="s">
        <v>8346</v>
      </c>
      <c r="G346" t="s">
        <v>8347</v>
      </c>
      <c r="H346" t="s">
        <v>8246</v>
      </c>
      <c r="I346" s="99">
        <v>43612</v>
      </c>
      <c r="J346">
        <f>YEAR(I346)</f>
        <v>2019</v>
      </c>
      <c r="K346" s="99">
        <v>43620</v>
      </c>
      <c r="L346" t="s">
        <v>8266</v>
      </c>
      <c r="M346" t="s">
        <v>8267</v>
      </c>
    </row>
    <row r="347" spans="2:13" x14ac:dyDescent="0.2">
      <c r="B347">
        <v>10356</v>
      </c>
      <c r="C347" t="s">
        <v>8309</v>
      </c>
      <c r="D347" t="s">
        <v>8237</v>
      </c>
      <c r="E347" s="225">
        <v>300</v>
      </c>
      <c r="F347" t="s">
        <v>8346</v>
      </c>
      <c r="G347" t="s">
        <v>8347</v>
      </c>
      <c r="H347" t="s">
        <v>8246</v>
      </c>
      <c r="I347" s="99">
        <v>43623</v>
      </c>
      <c r="J347">
        <f>YEAR(I347)</f>
        <v>2019</v>
      </c>
      <c r="K347" s="99">
        <v>43632</v>
      </c>
      <c r="L347" t="s">
        <v>8251</v>
      </c>
      <c r="M347" t="s">
        <v>269</v>
      </c>
    </row>
    <row r="348" spans="2:13" x14ac:dyDescent="0.2">
      <c r="B348">
        <v>10356</v>
      </c>
      <c r="C348" t="s">
        <v>8353</v>
      </c>
      <c r="D348" t="s">
        <v>8237</v>
      </c>
      <c r="E348" s="225">
        <v>576</v>
      </c>
      <c r="F348" t="s">
        <v>8346</v>
      </c>
      <c r="G348" t="s">
        <v>8347</v>
      </c>
      <c r="H348" t="s">
        <v>8246</v>
      </c>
      <c r="I348" s="99">
        <v>43623</v>
      </c>
      <c r="J348">
        <f>YEAR(I348)</f>
        <v>2019</v>
      </c>
      <c r="K348" s="99">
        <v>43632</v>
      </c>
      <c r="L348" t="s">
        <v>8251</v>
      </c>
      <c r="M348" t="s">
        <v>269</v>
      </c>
    </row>
    <row r="349" spans="2:13" x14ac:dyDescent="0.2">
      <c r="B349">
        <v>10513</v>
      </c>
      <c r="C349" t="s">
        <v>8409</v>
      </c>
      <c r="D349" t="s">
        <v>8254</v>
      </c>
      <c r="E349" s="225">
        <v>342</v>
      </c>
      <c r="F349" t="s">
        <v>8346</v>
      </c>
      <c r="G349" t="s">
        <v>8347</v>
      </c>
      <c r="H349" t="s">
        <v>8246</v>
      </c>
      <c r="I349" s="99">
        <v>43778</v>
      </c>
      <c r="J349">
        <f>YEAR(I349)</f>
        <v>2019</v>
      </c>
      <c r="K349" s="99">
        <v>43784</v>
      </c>
      <c r="L349" t="s">
        <v>8158</v>
      </c>
      <c r="M349" t="s">
        <v>861</v>
      </c>
    </row>
    <row r="350" spans="2:13" x14ac:dyDescent="0.2">
      <c r="B350">
        <v>10513</v>
      </c>
      <c r="C350" t="s">
        <v>8368</v>
      </c>
      <c r="D350" t="s">
        <v>8262</v>
      </c>
      <c r="E350" s="225">
        <v>320</v>
      </c>
      <c r="F350" t="s">
        <v>8346</v>
      </c>
      <c r="G350" t="s">
        <v>8347</v>
      </c>
      <c r="H350" t="s">
        <v>8246</v>
      </c>
      <c r="I350" s="99">
        <v>43778</v>
      </c>
      <c r="J350">
        <f>YEAR(I350)</f>
        <v>2019</v>
      </c>
      <c r="K350" s="99">
        <v>43784</v>
      </c>
      <c r="L350" t="s">
        <v>8158</v>
      </c>
      <c r="M350" t="s">
        <v>861</v>
      </c>
    </row>
    <row r="351" spans="2:13" x14ac:dyDescent="0.2">
      <c r="B351">
        <v>10513</v>
      </c>
      <c r="C351" t="s">
        <v>8287</v>
      </c>
      <c r="D351" t="s">
        <v>8237</v>
      </c>
      <c r="E351" s="225">
        <v>1280</v>
      </c>
      <c r="F351" t="s">
        <v>8346</v>
      </c>
      <c r="G351" t="s">
        <v>8347</v>
      </c>
      <c r="H351" t="s">
        <v>8246</v>
      </c>
      <c r="I351" s="99">
        <v>43778</v>
      </c>
      <c r="J351">
        <f>YEAR(I351)</f>
        <v>2019</v>
      </c>
      <c r="K351" s="99">
        <v>43784</v>
      </c>
      <c r="L351" t="s">
        <v>8158</v>
      </c>
      <c r="M351" t="s">
        <v>861</v>
      </c>
    </row>
    <row r="352" spans="2:13" x14ac:dyDescent="0.2">
      <c r="B352">
        <v>10632</v>
      </c>
      <c r="C352" t="s">
        <v>8276</v>
      </c>
      <c r="D352" t="s">
        <v>8272</v>
      </c>
      <c r="E352" s="225">
        <v>541.5</v>
      </c>
      <c r="F352" t="s">
        <v>8346</v>
      </c>
      <c r="G352" t="s">
        <v>8347</v>
      </c>
      <c r="H352" t="s">
        <v>8246</v>
      </c>
      <c r="I352" s="99">
        <v>43892</v>
      </c>
      <c r="J352">
        <f>YEAR(I352)</f>
        <v>2020</v>
      </c>
      <c r="K352" s="99">
        <v>43897</v>
      </c>
      <c r="L352" t="s">
        <v>8320</v>
      </c>
      <c r="M352" t="s">
        <v>8321</v>
      </c>
    </row>
    <row r="353" spans="2:13" x14ac:dyDescent="0.2">
      <c r="B353">
        <v>10632</v>
      </c>
      <c r="C353" t="s">
        <v>8269</v>
      </c>
      <c r="D353" t="s">
        <v>8237</v>
      </c>
      <c r="E353" s="225">
        <v>47.5</v>
      </c>
      <c r="F353" t="s">
        <v>8346</v>
      </c>
      <c r="G353" t="s">
        <v>8347</v>
      </c>
      <c r="H353" t="s">
        <v>8246</v>
      </c>
      <c r="I353" s="99">
        <v>43892</v>
      </c>
      <c r="J353">
        <f>YEAR(I353)</f>
        <v>2020</v>
      </c>
      <c r="K353" s="99">
        <v>43897</v>
      </c>
      <c r="L353" t="s">
        <v>8320</v>
      </c>
      <c r="M353" t="s">
        <v>8321</v>
      </c>
    </row>
    <row r="354" spans="2:13" x14ac:dyDescent="0.2">
      <c r="B354">
        <v>10640</v>
      </c>
      <c r="C354" t="s">
        <v>8288</v>
      </c>
      <c r="D354" t="s">
        <v>8272</v>
      </c>
      <c r="E354" s="225">
        <v>168.75</v>
      </c>
      <c r="F354" t="s">
        <v>8346</v>
      </c>
      <c r="G354" t="s">
        <v>8347</v>
      </c>
      <c r="H354" t="s">
        <v>8246</v>
      </c>
      <c r="I354" s="99">
        <v>43899</v>
      </c>
      <c r="J354">
        <f>YEAR(I354)</f>
        <v>2020</v>
      </c>
      <c r="K354" s="99">
        <v>43906</v>
      </c>
      <c r="L354" t="s">
        <v>8266</v>
      </c>
      <c r="M354" t="s">
        <v>8267</v>
      </c>
    </row>
    <row r="355" spans="2:13" x14ac:dyDescent="0.2">
      <c r="B355">
        <v>10640</v>
      </c>
      <c r="C355" t="s">
        <v>8353</v>
      </c>
      <c r="D355" t="s">
        <v>8237</v>
      </c>
      <c r="E355" s="225">
        <v>540</v>
      </c>
      <c r="F355" t="s">
        <v>8346</v>
      </c>
      <c r="G355" t="s">
        <v>8347</v>
      </c>
      <c r="H355" t="s">
        <v>8246</v>
      </c>
      <c r="I355" s="99">
        <v>43899</v>
      </c>
      <c r="J355">
        <f>YEAR(I355)</f>
        <v>2020</v>
      </c>
      <c r="K355" s="99">
        <v>43906</v>
      </c>
      <c r="L355" t="s">
        <v>8266</v>
      </c>
      <c r="M355" t="s">
        <v>8267</v>
      </c>
    </row>
    <row r="356" spans="2:13" x14ac:dyDescent="0.2">
      <c r="B356">
        <v>10651</v>
      </c>
      <c r="C356" t="s">
        <v>8327</v>
      </c>
      <c r="D356" t="s">
        <v>8262</v>
      </c>
      <c r="E356" s="225">
        <v>82.8</v>
      </c>
      <c r="F356" t="s">
        <v>8346</v>
      </c>
      <c r="G356" t="s">
        <v>8347</v>
      </c>
      <c r="H356" t="s">
        <v>8246</v>
      </c>
      <c r="I356" s="99">
        <v>43910</v>
      </c>
      <c r="J356">
        <f>YEAR(I356)</f>
        <v>2020</v>
      </c>
      <c r="K356" s="99">
        <v>43920</v>
      </c>
      <c r="L356" t="s">
        <v>8320</v>
      </c>
      <c r="M356" t="s">
        <v>8321</v>
      </c>
    </row>
    <row r="357" spans="2:13" x14ac:dyDescent="0.2">
      <c r="B357">
        <v>10651</v>
      </c>
      <c r="C357" t="s">
        <v>8259</v>
      </c>
      <c r="D357" t="s">
        <v>8244</v>
      </c>
      <c r="E357" s="225">
        <v>315</v>
      </c>
      <c r="F357" t="s">
        <v>8346</v>
      </c>
      <c r="G357" t="s">
        <v>8347</v>
      </c>
      <c r="H357" t="s">
        <v>8246</v>
      </c>
      <c r="I357" s="99">
        <v>43910</v>
      </c>
      <c r="J357">
        <f>YEAR(I357)</f>
        <v>2020</v>
      </c>
      <c r="K357" s="99">
        <v>43920</v>
      </c>
      <c r="L357" t="s">
        <v>8320</v>
      </c>
      <c r="M357" t="s">
        <v>8321</v>
      </c>
    </row>
    <row r="358" spans="2:13" x14ac:dyDescent="0.2">
      <c r="B358">
        <v>10668</v>
      </c>
      <c r="C358" t="s">
        <v>8309</v>
      </c>
      <c r="D358" t="s">
        <v>8237</v>
      </c>
      <c r="E358" s="225">
        <v>90</v>
      </c>
      <c r="F358" t="s">
        <v>8346</v>
      </c>
      <c r="G358" t="s">
        <v>8347</v>
      </c>
      <c r="H358" t="s">
        <v>8246</v>
      </c>
      <c r="I358" s="99">
        <v>43924</v>
      </c>
      <c r="J358">
        <f>YEAR(I358)</f>
        <v>2020</v>
      </c>
      <c r="K358" s="99">
        <v>43932</v>
      </c>
      <c r="L358" t="s">
        <v>8285</v>
      </c>
      <c r="M358" t="s">
        <v>2317</v>
      </c>
    </row>
    <row r="359" spans="2:13" x14ac:dyDescent="0.2">
      <c r="B359">
        <v>10668</v>
      </c>
      <c r="C359" t="s">
        <v>8340</v>
      </c>
      <c r="D359" t="s">
        <v>8244</v>
      </c>
      <c r="E359" s="225">
        <v>448.87</v>
      </c>
      <c r="F359" t="s">
        <v>8346</v>
      </c>
      <c r="G359" t="s">
        <v>8347</v>
      </c>
      <c r="H359" t="s">
        <v>8246</v>
      </c>
      <c r="I359" s="99">
        <v>43924</v>
      </c>
      <c r="J359">
        <f>YEAR(I359)</f>
        <v>2020</v>
      </c>
      <c r="K359" s="99">
        <v>43932</v>
      </c>
      <c r="L359" t="s">
        <v>8285</v>
      </c>
      <c r="M359" t="s">
        <v>2317</v>
      </c>
    </row>
    <row r="360" spans="2:13" x14ac:dyDescent="0.2">
      <c r="B360">
        <v>11046</v>
      </c>
      <c r="C360" t="s">
        <v>8323</v>
      </c>
      <c r="D360" t="s">
        <v>8272</v>
      </c>
      <c r="E360" s="225">
        <v>307.8</v>
      </c>
      <c r="F360" t="s">
        <v>8346</v>
      </c>
      <c r="G360" t="s">
        <v>8347</v>
      </c>
      <c r="H360" t="s">
        <v>8246</v>
      </c>
      <c r="I360" s="99">
        <v>44143</v>
      </c>
      <c r="J360">
        <f>YEAR(I360)</f>
        <v>2020</v>
      </c>
      <c r="K360" s="99">
        <v>44144</v>
      </c>
      <c r="L360" t="s">
        <v>8320</v>
      </c>
      <c r="M360" t="s">
        <v>8321</v>
      </c>
    </row>
    <row r="361" spans="2:13" x14ac:dyDescent="0.2">
      <c r="B361">
        <v>11046</v>
      </c>
      <c r="C361" t="s">
        <v>8299</v>
      </c>
      <c r="D361" t="s">
        <v>8237</v>
      </c>
      <c r="E361" s="225">
        <v>722</v>
      </c>
      <c r="F361" t="s">
        <v>8346</v>
      </c>
      <c r="G361" t="s">
        <v>8347</v>
      </c>
      <c r="H361" t="s">
        <v>8246</v>
      </c>
      <c r="I361" s="99">
        <v>44143</v>
      </c>
      <c r="J361">
        <f>YEAR(I361)</f>
        <v>2020</v>
      </c>
      <c r="K361" s="99">
        <v>44144</v>
      </c>
      <c r="L361" t="s">
        <v>8320</v>
      </c>
      <c r="M361" t="s">
        <v>8321</v>
      </c>
    </row>
    <row r="362" spans="2:13" x14ac:dyDescent="0.2">
      <c r="B362">
        <v>11046</v>
      </c>
      <c r="C362" t="s">
        <v>8287</v>
      </c>
      <c r="D362" t="s">
        <v>8237</v>
      </c>
      <c r="E362" s="225">
        <v>456</v>
      </c>
      <c r="F362" t="s">
        <v>8346</v>
      </c>
      <c r="G362" t="s">
        <v>8347</v>
      </c>
      <c r="H362" t="s">
        <v>8246</v>
      </c>
      <c r="I362" s="99">
        <v>44143</v>
      </c>
      <c r="J362">
        <f>YEAR(I362)</f>
        <v>2020</v>
      </c>
      <c r="K362" s="99">
        <v>44144</v>
      </c>
      <c r="L362" t="s">
        <v>8320</v>
      </c>
      <c r="M362" t="s">
        <v>8321</v>
      </c>
    </row>
    <row r="363" spans="2:13" x14ac:dyDescent="0.2">
      <c r="B363">
        <v>10363</v>
      </c>
      <c r="C363" t="s">
        <v>8328</v>
      </c>
      <c r="D363" t="s">
        <v>8272</v>
      </c>
      <c r="E363" s="225">
        <v>74.400000000000006</v>
      </c>
      <c r="F363" t="s">
        <v>8391</v>
      </c>
      <c r="G363" t="s">
        <v>8392</v>
      </c>
      <c r="H363" t="s">
        <v>8246</v>
      </c>
      <c r="I363" s="99">
        <v>43631</v>
      </c>
      <c r="J363">
        <f>YEAR(I363)</f>
        <v>2019</v>
      </c>
      <c r="K363" s="99">
        <v>43639</v>
      </c>
      <c r="L363" t="s">
        <v>8266</v>
      </c>
      <c r="M363" t="s">
        <v>8267</v>
      </c>
    </row>
    <row r="364" spans="2:13" x14ac:dyDescent="0.2">
      <c r="B364">
        <v>10363</v>
      </c>
      <c r="C364" t="s">
        <v>8303</v>
      </c>
      <c r="D364" t="s">
        <v>8272</v>
      </c>
      <c r="E364" s="225">
        <v>172.8</v>
      </c>
      <c r="F364" t="s">
        <v>8391</v>
      </c>
      <c r="G364" t="s">
        <v>8392</v>
      </c>
      <c r="H364" t="s">
        <v>8246</v>
      </c>
      <c r="I364" s="99">
        <v>43631</v>
      </c>
      <c r="J364">
        <f>YEAR(I364)</f>
        <v>2019</v>
      </c>
      <c r="K364" s="99">
        <v>43639</v>
      </c>
      <c r="L364" t="s">
        <v>8266</v>
      </c>
      <c r="M364" t="s">
        <v>8267</v>
      </c>
    </row>
    <row r="365" spans="2:13" x14ac:dyDescent="0.2">
      <c r="B365">
        <v>10363</v>
      </c>
      <c r="C365" t="s">
        <v>8309</v>
      </c>
      <c r="D365" t="s">
        <v>8237</v>
      </c>
      <c r="E365" s="225">
        <v>200</v>
      </c>
      <c r="F365" t="s">
        <v>8391</v>
      </c>
      <c r="G365" t="s">
        <v>8392</v>
      </c>
      <c r="H365" t="s">
        <v>8246</v>
      </c>
      <c r="I365" s="99">
        <v>43631</v>
      </c>
      <c r="J365">
        <f>YEAR(I365)</f>
        <v>2019</v>
      </c>
      <c r="K365" s="99">
        <v>43639</v>
      </c>
      <c r="L365" t="s">
        <v>8266</v>
      </c>
      <c r="M365" t="s">
        <v>8267</v>
      </c>
    </row>
    <row r="366" spans="2:13" x14ac:dyDescent="0.2">
      <c r="B366">
        <v>10797</v>
      </c>
      <c r="C366" t="s">
        <v>8242</v>
      </c>
      <c r="D366" t="s">
        <v>8237</v>
      </c>
      <c r="E366" s="225">
        <v>420</v>
      </c>
      <c r="F366" t="s">
        <v>8391</v>
      </c>
      <c r="G366" t="s">
        <v>8392</v>
      </c>
      <c r="H366" t="s">
        <v>8246</v>
      </c>
      <c r="I366" s="99">
        <v>44025</v>
      </c>
      <c r="J366">
        <f>YEAR(I366)</f>
        <v>2020</v>
      </c>
      <c r="K366" s="99">
        <v>44036</v>
      </c>
      <c r="L366" t="s">
        <v>8158</v>
      </c>
      <c r="M366" t="s">
        <v>861</v>
      </c>
    </row>
    <row r="367" spans="2:13" x14ac:dyDescent="0.2">
      <c r="B367">
        <v>10825</v>
      </c>
      <c r="C367" t="s">
        <v>8372</v>
      </c>
      <c r="D367" t="s">
        <v>8262</v>
      </c>
      <c r="E367" s="225">
        <v>374.76</v>
      </c>
      <c r="F367" t="s">
        <v>8391</v>
      </c>
      <c r="G367" t="s">
        <v>8392</v>
      </c>
      <c r="H367" t="s">
        <v>8246</v>
      </c>
      <c r="I367" s="99">
        <v>44040</v>
      </c>
      <c r="J367">
        <f>YEAR(I367)</f>
        <v>2020</v>
      </c>
      <c r="K367" s="99">
        <v>44045</v>
      </c>
      <c r="L367" t="s">
        <v>8285</v>
      </c>
      <c r="M367" t="s">
        <v>2317</v>
      </c>
    </row>
    <row r="368" spans="2:13" x14ac:dyDescent="0.2">
      <c r="B368">
        <v>11036</v>
      </c>
      <c r="C368" t="s">
        <v>8281</v>
      </c>
      <c r="D368" t="s">
        <v>8237</v>
      </c>
      <c r="E368" s="225">
        <v>1650</v>
      </c>
      <c r="F368" t="s">
        <v>8391</v>
      </c>
      <c r="G368" t="s">
        <v>8392</v>
      </c>
      <c r="H368" t="s">
        <v>8246</v>
      </c>
      <c r="I368" s="99">
        <v>44140</v>
      </c>
      <c r="J368">
        <f>YEAR(I368)</f>
        <v>2020</v>
      </c>
      <c r="K368" s="99">
        <v>44142</v>
      </c>
      <c r="L368" t="s">
        <v>8320</v>
      </c>
      <c r="M368" t="s">
        <v>8321</v>
      </c>
    </row>
    <row r="369" spans="2:13" x14ac:dyDescent="0.2">
      <c r="B369">
        <v>10311</v>
      </c>
      <c r="C369" t="s">
        <v>8353</v>
      </c>
      <c r="D369" t="s">
        <v>8237</v>
      </c>
      <c r="E369" s="225">
        <v>201.6</v>
      </c>
      <c r="F369" t="s">
        <v>8354</v>
      </c>
      <c r="G369" t="s">
        <v>8355</v>
      </c>
      <c r="H369" t="s">
        <v>8236</v>
      </c>
      <c r="I369" s="99">
        <v>43564</v>
      </c>
      <c r="J369">
        <f>YEAR(I369)</f>
        <v>2019</v>
      </c>
      <c r="K369" s="99">
        <v>43570</v>
      </c>
      <c r="L369" t="s">
        <v>8285</v>
      </c>
      <c r="M369" t="s">
        <v>2317</v>
      </c>
    </row>
    <row r="370" spans="2:13" x14ac:dyDescent="0.2">
      <c r="B370">
        <v>10311</v>
      </c>
      <c r="C370" t="s">
        <v>8243</v>
      </c>
      <c r="D370" t="s">
        <v>8244</v>
      </c>
      <c r="E370" s="225">
        <v>67.2</v>
      </c>
      <c r="F370" t="s">
        <v>8354</v>
      </c>
      <c r="G370" t="s">
        <v>8355</v>
      </c>
      <c r="H370" t="s">
        <v>8236</v>
      </c>
      <c r="I370" s="99">
        <v>43564</v>
      </c>
      <c r="J370">
        <f>YEAR(I370)</f>
        <v>2019</v>
      </c>
      <c r="K370" s="99">
        <v>43570</v>
      </c>
      <c r="L370" t="s">
        <v>8285</v>
      </c>
      <c r="M370" t="s">
        <v>2317</v>
      </c>
    </row>
    <row r="371" spans="2:13" x14ac:dyDescent="0.2">
      <c r="B371">
        <v>10609</v>
      </c>
      <c r="C371" t="s">
        <v>8333</v>
      </c>
      <c r="D371" t="s">
        <v>8272</v>
      </c>
      <c r="E371" s="225">
        <v>54</v>
      </c>
      <c r="F371" t="s">
        <v>8354</v>
      </c>
      <c r="G371" t="s">
        <v>8355</v>
      </c>
      <c r="H371" t="s">
        <v>8236</v>
      </c>
      <c r="I371" s="99">
        <v>43871</v>
      </c>
      <c r="J371">
        <f>YEAR(I371)</f>
        <v>2020</v>
      </c>
      <c r="K371" s="99">
        <v>43877</v>
      </c>
      <c r="L371" t="s">
        <v>8158</v>
      </c>
      <c r="M371" t="s">
        <v>861</v>
      </c>
    </row>
    <row r="372" spans="2:13" x14ac:dyDescent="0.2">
      <c r="B372">
        <v>10609</v>
      </c>
      <c r="C372" t="s">
        <v>8368</v>
      </c>
      <c r="D372" t="s">
        <v>8262</v>
      </c>
      <c r="E372" s="225">
        <v>60</v>
      </c>
      <c r="F372" t="s">
        <v>8354</v>
      </c>
      <c r="G372" t="s">
        <v>8355</v>
      </c>
      <c r="H372" t="s">
        <v>8236</v>
      </c>
      <c r="I372" s="99">
        <v>43871</v>
      </c>
      <c r="J372">
        <f>YEAR(I372)</f>
        <v>2020</v>
      </c>
      <c r="K372" s="99">
        <v>43877</v>
      </c>
      <c r="L372" t="s">
        <v>8158</v>
      </c>
      <c r="M372" t="s">
        <v>861</v>
      </c>
    </row>
    <row r="373" spans="2:13" x14ac:dyDescent="0.2">
      <c r="B373">
        <v>10683</v>
      </c>
      <c r="C373" t="s">
        <v>8369</v>
      </c>
      <c r="D373" t="s">
        <v>8244</v>
      </c>
      <c r="E373" s="225">
        <v>63</v>
      </c>
      <c r="F373" t="s">
        <v>8354</v>
      </c>
      <c r="G373" t="s">
        <v>8355</v>
      </c>
      <c r="H373" t="s">
        <v>8236</v>
      </c>
      <c r="I373" s="99">
        <v>43935</v>
      </c>
      <c r="J373">
        <f>YEAR(I373)</f>
        <v>2020</v>
      </c>
      <c r="K373" s="99">
        <v>43940</v>
      </c>
      <c r="L373" t="s">
        <v>8297</v>
      </c>
      <c r="M373" t="s">
        <v>8298</v>
      </c>
    </row>
    <row r="374" spans="2:13" x14ac:dyDescent="0.2">
      <c r="B374">
        <v>10890</v>
      </c>
      <c r="C374" t="s">
        <v>8358</v>
      </c>
      <c r="D374" t="s">
        <v>8272</v>
      </c>
      <c r="E374" s="225">
        <v>140</v>
      </c>
      <c r="F374" t="s">
        <v>8354</v>
      </c>
      <c r="G374" t="s">
        <v>8355</v>
      </c>
      <c r="H374" t="s">
        <v>8236</v>
      </c>
      <c r="I374" s="99">
        <v>44077</v>
      </c>
      <c r="J374">
        <f>YEAR(I374)</f>
        <v>2020</v>
      </c>
      <c r="K374" s="99">
        <v>44079</v>
      </c>
      <c r="L374" t="s">
        <v>8158</v>
      </c>
      <c r="M374" t="s">
        <v>861</v>
      </c>
    </row>
    <row r="375" spans="2:13" x14ac:dyDescent="0.2">
      <c r="B375">
        <v>10364</v>
      </c>
      <c r="C375" t="s">
        <v>8353</v>
      </c>
      <c r="D375" t="s">
        <v>8237</v>
      </c>
      <c r="E375" s="225">
        <v>864</v>
      </c>
      <c r="F375" t="s">
        <v>8393</v>
      </c>
      <c r="G375" t="s">
        <v>8394</v>
      </c>
      <c r="H375" t="s">
        <v>2434</v>
      </c>
      <c r="I375" s="99">
        <v>43631</v>
      </c>
      <c r="J375">
        <f>YEAR(I375)</f>
        <v>2019</v>
      </c>
      <c r="K375" s="99">
        <v>43639</v>
      </c>
      <c r="L375" t="s">
        <v>8285</v>
      </c>
      <c r="M375" t="s">
        <v>2317</v>
      </c>
    </row>
    <row r="376" spans="2:13" x14ac:dyDescent="0.2">
      <c r="B376">
        <v>10364</v>
      </c>
      <c r="C376" t="s">
        <v>8310</v>
      </c>
      <c r="D376" t="s">
        <v>8237</v>
      </c>
      <c r="E376" s="225">
        <v>86</v>
      </c>
      <c r="F376" t="s">
        <v>8393</v>
      </c>
      <c r="G376" t="s">
        <v>8394</v>
      </c>
      <c r="H376" t="s">
        <v>2434</v>
      </c>
      <c r="I376" s="99">
        <v>43631</v>
      </c>
      <c r="J376">
        <f>YEAR(I376)</f>
        <v>2019</v>
      </c>
      <c r="K376" s="99">
        <v>43639</v>
      </c>
      <c r="L376" t="s">
        <v>8285</v>
      </c>
      <c r="M376" t="s">
        <v>2317</v>
      </c>
    </row>
    <row r="377" spans="2:13" x14ac:dyDescent="0.2">
      <c r="B377">
        <v>10400</v>
      </c>
      <c r="C377" t="s">
        <v>8323</v>
      </c>
      <c r="D377" t="s">
        <v>8272</v>
      </c>
      <c r="E377" s="225">
        <v>504</v>
      </c>
      <c r="F377" t="s">
        <v>8393</v>
      </c>
      <c r="G377" t="s">
        <v>8394</v>
      </c>
      <c r="H377" t="s">
        <v>2434</v>
      </c>
      <c r="I377" s="99">
        <v>43667</v>
      </c>
      <c r="J377">
        <f>YEAR(I377)</f>
        <v>2019</v>
      </c>
      <c r="K377" s="99">
        <v>43682</v>
      </c>
      <c r="L377" t="s">
        <v>8285</v>
      </c>
      <c r="M377" t="s">
        <v>2317</v>
      </c>
    </row>
    <row r="378" spans="2:13" x14ac:dyDescent="0.2">
      <c r="B378">
        <v>10400</v>
      </c>
      <c r="C378" t="s">
        <v>8390</v>
      </c>
      <c r="D378" t="s">
        <v>8262</v>
      </c>
      <c r="E378" s="225">
        <v>480</v>
      </c>
      <c r="F378" t="s">
        <v>8393</v>
      </c>
      <c r="G378" t="s">
        <v>8394</v>
      </c>
      <c r="H378" t="s">
        <v>2434</v>
      </c>
      <c r="I378" s="99">
        <v>43667</v>
      </c>
      <c r="J378">
        <f>YEAR(I378)</f>
        <v>2019</v>
      </c>
      <c r="K378" s="99">
        <v>43682</v>
      </c>
      <c r="L378" t="s">
        <v>8285</v>
      </c>
      <c r="M378" t="s">
        <v>2317</v>
      </c>
    </row>
    <row r="379" spans="2:13" x14ac:dyDescent="0.2">
      <c r="B379">
        <v>10532</v>
      </c>
      <c r="C379" t="s">
        <v>8348</v>
      </c>
      <c r="D379" t="s">
        <v>8254</v>
      </c>
      <c r="E379" s="225">
        <v>408</v>
      </c>
      <c r="F379" t="s">
        <v>8393</v>
      </c>
      <c r="G379" t="s">
        <v>8394</v>
      </c>
      <c r="H379" t="s">
        <v>2434</v>
      </c>
      <c r="I379" s="99">
        <v>43795</v>
      </c>
      <c r="J379">
        <f>YEAR(I379)</f>
        <v>2019</v>
      </c>
      <c r="K379" s="99">
        <v>43798</v>
      </c>
      <c r="L379" t="s">
        <v>8158</v>
      </c>
      <c r="M379" t="s">
        <v>861</v>
      </c>
    </row>
    <row r="380" spans="2:13" x14ac:dyDescent="0.2">
      <c r="B380">
        <v>10726</v>
      </c>
      <c r="C380" t="s">
        <v>8352</v>
      </c>
      <c r="D380" t="s">
        <v>8254</v>
      </c>
      <c r="E380" s="225">
        <v>550</v>
      </c>
      <c r="F380" t="s">
        <v>8393</v>
      </c>
      <c r="G380" t="s">
        <v>8394</v>
      </c>
      <c r="H380" t="s">
        <v>2434</v>
      </c>
      <c r="I380" s="99">
        <v>43973</v>
      </c>
      <c r="J380">
        <f>YEAR(I380)</f>
        <v>2020</v>
      </c>
      <c r="K380" s="99">
        <v>44005</v>
      </c>
      <c r="L380" t="s">
        <v>8266</v>
      </c>
      <c r="M380" t="s">
        <v>8267</v>
      </c>
    </row>
    <row r="381" spans="2:13" x14ac:dyDescent="0.2">
      <c r="B381">
        <v>10726</v>
      </c>
      <c r="C381" t="s">
        <v>8242</v>
      </c>
      <c r="D381" t="s">
        <v>8237</v>
      </c>
      <c r="E381" s="225">
        <v>105</v>
      </c>
      <c r="F381" t="s">
        <v>8393</v>
      </c>
      <c r="G381" t="s">
        <v>8394</v>
      </c>
      <c r="H381" t="s">
        <v>2434</v>
      </c>
      <c r="I381" s="99">
        <v>43973</v>
      </c>
      <c r="J381">
        <f>YEAR(I381)</f>
        <v>2020</v>
      </c>
      <c r="K381" s="99">
        <v>44005</v>
      </c>
      <c r="L381" t="s">
        <v>8266</v>
      </c>
      <c r="M381" t="s">
        <v>8267</v>
      </c>
    </row>
    <row r="382" spans="2:13" x14ac:dyDescent="0.2">
      <c r="B382">
        <v>10987</v>
      </c>
      <c r="C382" t="s">
        <v>8306</v>
      </c>
      <c r="D382" t="s">
        <v>8272</v>
      </c>
      <c r="E382" s="225">
        <v>276</v>
      </c>
      <c r="F382" t="s">
        <v>8393</v>
      </c>
      <c r="G382" t="s">
        <v>8394</v>
      </c>
      <c r="H382" t="s">
        <v>2434</v>
      </c>
      <c r="I382" s="99">
        <v>44120</v>
      </c>
      <c r="J382">
        <f>YEAR(I382)</f>
        <v>2020</v>
      </c>
      <c r="K382" s="99">
        <v>44126</v>
      </c>
      <c r="L382" t="s">
        <v>8320</v>
      </c>
      <c r="M382" t="s">
        <v>8321</v>
      </c>
    </row>
    <row r="383" spans="2:13" x14ac:dyDescent="0.2">
      <c r="B383">
        <v>10987</v>
      </c>
      <c r="C383" t="s">
        <v>8235</v>
      </c>
      <c r="D383" t="s">
        <v>8237</v>
      </c>
      <c r="E383" s="225">
        <v>696</v>
      </c>
      <c r="F383" t="s">
        <v>8393</v>
      </c>
      <c r="G383" t="s">
        <v>8394</v>
      </c>
      <c r="H383" t="s">
        <v>2434</v>
      </c>
      <c r="I383" s="99">
        <v>44120</v>
      </c>
      <c r="J383">
        <f>YEAR(I383)</f>
        <v>2020</v>
      </c>
      <c r="K383" s="99">
        <v>44126</v>
      </c>
      <c r="L383" t="s">
        <v>8320</v>
      </c>
      <c r="M383" t="s">
        <v>8321</v>
      </c>
    </row>
    <row r="384" spans="2:13" x14ac:dyDescent="0.2">
      <c r="B384">
        <v>10987</v>
      </c>
      <c r="C384" t="s">
        <v>8415</v>
      </c>
      <c r="D384" t="s">
        <v>8247</v>
      </c>
      <c r="E384" s="225">
        <v>1800</v>
      </c>
      <c r="F384" t="s">
        <v>8393</v>
      </c>
      <c r="G384" t="s">
        <v>8394</v>
      </c>
      <c r="H384" t="s">
        <v>2434</v>
      </c>
      <c r="I384" s="99">
        <v>44120</v>
      </c>
      <c r="J384">
        <f>YEAR(I384)</f>
        <v>2020</v>
      </c>
      <c r="K384" s="99">
        <v>44126</v>
      </c>
      <c r="L384" t="s">
        <v>8320</v>
      </c>
      <c r="M384" t="s">
        <v>8321</v>
      </c>
    </row>
    <row r="385" spans="2:13" x14ac:dyDescent="0.2">
      <c r="B385">
        <v>11024</v>
      </c>
      <c r="C385" t="s">
        <v>8253</v>
      </c>
      <c r="D385" t="s">
        <v>8254</v>
      </c>
      <c r="E385" s="225">
        <v>442.05</v>
      </c>
      <c r="F385" t="s">
        <v>8393</v>
      </c>
      <c r="G385" t="s">
        <v>8394</v>
      </c>
      <c r="H385" t="s">
        <v>2434</v>
      </c>
      <c r="I385" s="99">
        <v>44135</v>
      </c>
      <c r="J385">
        <f>YEAR(I385)</f>
        <v>2020</v>
      </c>
      <c r="K385" s="99">
        <v>44140</v>
      </c>
      <c r="L385" t="s">
        <v>8266</v>
      </c>
      <c r="M385" t="s">
        <v>8267</v>
      </c>
    </row>
    <row r="386" spans="2:13" x14ac:dyDescent="0.2">
      <c r="B386">
        <v>11024</v>
      </c>
      <c r="C386" t="s">
        <v>8372</v>
      </c>
      <c r="D386" t="s">
        <v>8262</v>
      </c>
      <c r="E386" s="225">
        <v>374.76</v>
      </c>
      <c r="F386" t="s">
        <v>8393</v>
      </c>
      <c r="G386" t="s">
        <v>8394</v>
      </c>
      <c r="H386" t="s">
        <v>2434</v>
      </c>
      <c r="I386" s="99">
        <v>44135</v>
      </c>
      <c r="J386">
        <f>YEAR(I386)</f>
        <v>2020</v>
      </c>
      <c r="K386" s="99">
        <v>44140</v>
      </c>
      <c r="L386" t="s">
        <v>8266</v>
      </c>
      <c r="M386" t="s">
        <v>8267</v>
      </c>
    </row>
    <row r="387" spans="2:13" x14ac:dyDescent="0.2">
      <c r="B387">
        <v>11024</v>
      </c>
      <c r="C387" t="s">
        <v>8269</v>
      </c>
      <c r="D387" t="s">
        <v>8237</v>
      </c>
      <c r="E387" s="225">
        <v>75</v>
      </c>
      <c r="F387" t="s">
        <v>8393</v>
      </c>
      <c r="G387" t="s">
        <v>8394</v>
      </c>
      <c r="H387" t="s">
        <v>2434</v>
      </c>
      <c r="I387" s="99">
        <v>44135</v>
      </c>
      <c r="J387">
        <f>YEAR(I387)</f>
        <v>2020</v>
      </c>
      <c r="K387" s="99">
        <v>44140</v>
      </c>
      <c r="L387" t="s">
        <v>8266</v>
      </c>
      <c r="M387" t="s">
        <v>8267</v>
      </c>
    </row>
    <row r="388" spans="2:13" x14ac:dyDescent="0.2">
      <c r="B388">
        <v>11024</v>
      </c>
      <c r="C388" t="s">
        <v>8310</v>
      </c>
      <c r="D388" t="s">
        <v>8237</v>
      </c>
      <c r="E388" s="225">
        <v>1075</v>
      </c>
      <c r="F388" t="s">
        <v>8393</v>
      </c>
      <c r="G388" t="s">
        <v>8394</v>
      </c>
      <c r="H388" t="s">
        <v>2434</v>
      </c>
      <c r="I388" s="99">
        <v>44135</v>
      </c>
      <c r="J388">
        <f>YEAR(I388)</f>
        <v>2020</v>
      </c>
      <c r="K388" s="99">
        <v>44140</v>
      </c>
      <c r="L388" t="s">
        <v>8266</v>
      </c>
      <c r="M388" t="s">
        <v>8267</v>
      </c>
    </row>
    <row r="389" spans="2:13" x14ac:dyDescent="0.2">
      <c r="B389">
        <v>11047</v>
      </c>
      <c r="C389" t="s">
        <v>8333</v>
      </c>
      <c r="D389" t="s">
        <v>8272</v>
      </c>
      <c r="E389" s="225">
        <v>337.5</v>
      </c>
      <c r="F389" t="s">
        <v>8393</v>
      </c>
      <c r="G389" t="s">
        <v>8394</v>
      </c>
      <c r="H389" t="s">
        <v>2434</v>
      </c>
      <c r="I389" s="99">
        <v>44144</v>
      </c>
      <c r="J389">
        <f>YEAR(I389)</f>
        <v>2020</v>
      </c>
      <c r="K389" s="99">
        <v>44151</v>
      </c>
      <c r="L389" t="s">
        <v>8158</v>
      </c>
      <c r="M389" t="s">
        <v>861</v>
      </c>
    </row>
    <row r="390" spans="2:13" x14ac:dyDescent="0.2">
      <c r="B390">
        <v>11047</v>
      </c>
      <c r="C390" t="s">
        <v>8286</v>
      </c>
      <c r="D390" t="s">
        <v>8254</v>
      </c>
      <c r="E390" s="225">
        <v>480.38</v>
      </c>
      <c r="F390" t="s">
        <v>8393</v>
      </c>
      <c r="G390" t="s">
        <v>8394</v>
      </c>
      <c r="H390" t="s">
        <v>2434</v>
      </c>
      <c r="I390" s="99">
        <v>44144</v>
      </c>
      <c r="J390">
        <f>YEAR(I390)</f>
        <v>2020</v>
      </c>
      <c r="K390" s="99">
        <v>44151</v>
      </c>
      <c r="L390" t="s">
        <v>8158</v>
      </c>
      <c r="M390" t="s">
        <v>861</v>
      </c>
    </row>
    <row r="391" spans="2:13" x14ac:dyDescent="0.2">
      <c r="B391">
        <v>11056</v>
      </c>
      <c r="C391" t="s">
        <v>8268</v>
      </c>
      <c r="D391" t="s">
        <v>8237</v>
      </c>
      <c r="E391" s="225">
        <v>1700</v>
      </c>
      <c r="F391" t="s">
        <v>8393</v>
      </c>
      <c r="G391" t="s">
        <v>8394</v>
      </c>
      <c r="H391" t="s">
        <v>2434</v>
      </c>
      <c r="I391" s="99">
        <v>44148</v>
      </c>
      <c r="J391">
        <f>YEAR(I391)</f>
        <v>2020</v>
      </c>
      <c r="K391" s="99">
        <v>44151</v>
      </c>
      <c r="L391" t="s">
        <v>8320</v>
      </c>
      <c r="M391" t="s">
        <v>8321</v>
      </c>
    </row>
    <row r="392" spans="2:13" x14ac:dyDescent="0.2">
      <c r="B392">
        <v>11056</v>
      </c>
      <c r="C392" t="s">
        <v>8415</v>
      </c>
      <c r="D392" t="s">
        <v>8247</v>
      </c>
      <c r="E392" s="225">
        <v>1200</v>
      </c>
      <c r="F392" t="s">
        <v>8393</v>
      </c>
      <c r="G392" t="s">
        <v>8394</v>
      </c>
      <c r="H392" t="s">
        <v>2434</v>
      </c>
      <c r="I392" s="99">
        <v>44148</v>
      </c>
      <c r="J392">
        <f>YEAR(I392)</f>
        <v>2020</v>
      </c>
      <c r="K392" s="99">
        <v>44151</v>
      </c>
      <c r="L392" t="s">
        <v>8320</v>
      </c>
      <c r="M392" t="s">
        <v>8321</v>
      </c>
    </row>
    <row r="393" spans="2:13" x14ac:dyDescent="0.2">
      <c r="B393">
        <v>10258</v>
      </c>
      <c r="C393" t="s">
        <v>8276</v>
      </c>
      <c r="D393" t="s">
        <v>8272</v>
      </c>
      <c r="E393" s="225">
        <v>608</v>
      </c>
      <c r="F393" t="s">
        <v>8283</v>
      </c>
      <c r="G393" t="s">
        <v>8284</v>
      </c>
      <c r="H393" t="s">
        <v>8282</v>
      </c>
      <c r="I393" s="99">
        <v>43499</v>
      </c>
      <c r="J393">
        <f>YEAR(I393)</f>
        <v>2019</v>
      </c>
      <c r="K393" s="99">
        <v>43505</v>
      </c>
      <c r="L393" t="s">
        <v>8285</v>
      </c>
      <c r="M393" t="s">
        <v>2317</v>
      </c>
    </row>
    <row r="394" spans="2:13" x14ac:dyDescent="0.2">
      <c r="B394">
        <v>10258</v>
      </c>
      <c r="C394" t="s">
        <v>8286</v>
      </c>
      <c r="D394" t="s">
        <v>8254</v>
      </c>
      <c r="E394" s="225">
        <v>884</v>
      </c>
      <c r="F394" t="s">
        <v>8283</v>
      </c>
      <c r="G394" t="s">
        <v>8284</v>
      </c>
      <c r="H394" t="s">
        <v>8282</v>
      </c>
      <c r="I394" s="99">
        <v>43499</v>
      </c>
      <c r="J394">
        <f>YEAR(I394)</f>
        <v>2019</v>
      </c>
      <c r="K394" s="99">
        <v>43505</v>
      </c>
      <c r="L394" t="s">
        <v>8285</v>
      </c>
      <c r="M394" t="s">
        <v>2317</v>
      </c>
    </row>
    <row r="395" spans="2:13" x14ac:dyDescent="0.2">
      <c r="B395">
        <v>10258</v>
      </c>
      <c r="C395" t="s">
        <v>8287</v>
      </c>
      <c r="D395" t="s">
        <v>8237</v>
      </c>
      <c r="E395" s="225">
        <v>122.88</v>
      </c>
      <c r="F395" t="s">
        <v>8283</v>
      </c>
      <c r="G395" t="s">
        <v>8284</v>
      </c>
      <c r="H395" t="s">
        <v>8282</v>
      </c>
      <c r="I395" s="99">
        <v>43499</v>
      </c>
      <c r="J395">
        <f>YEAR(I395)</f>
        <v>2019</v>
      </c>
      <c r="K395" s="99">
        <v>43505</v>
      </c>
      <c r="L395" t="s">
        <v>8285</v>
      </c>
      <c r="M395" t="s">
        <v>2317</v>
      </c>
    </row>
    <row r="396" spans="2:13" x14ac:dyDescent="0.2">
      <c r="B396">
        <v>10263</v>
      </c>
      <c r="C396" t="s">
        <v>8270</v>
      </c>
      <c r="D396" t="s">
        <v>8272</v>
      </c>
      <c r="E396" s="225">
        <v>100.8</v>
      </c>
      <c r="F396" t="s">
        <v>8283</v>
      </c>
      <c r="G396" t="s">
        <v>8284</v>
      </c>
      <c r="H396" t="s">
        <v>8282</v>
      </c>
      <c r="I396" s="99">
        <v>43505</v>
      </c>
      <c r="J396">
        <f>YEAR(I396)</f>
        <v>2019</v>
      </c>
      <c r="K396" s="99">
        <v>43513</v>
      </c>
      <c r="L396" t="s">
        <v>8279</v>
      </c>
      <c r="M396" t="s">
        <v>710</v>
      </c>
    </row>
    <row r="397" spans="2:13" x14ac:dyDescent="0.2">
      <c r="B397">
        <v>10263</v>
      </c>
      <c r="C397" t="s">
        <v>8280</v>
      </c>
      <c r="D397" t="s">
        <v>8262</v>
      </c>
      <c r="E397" s="225">
        <v>625.5</v>
      </c>
      <c r="F397" t="s">
        <v>8283</v>
      </c>
      <c r="G397" t="s">
        <v>8284</v>
      </c>
      <c r="H397" t="s">
        <v>8282</v>
      </c>
      <c r="I397" s="99">
        <v>43505</v>
      </c>
      <c r="J397">
        <f>YEAR(I397)</f>
        <v>2019</v>
      </c>
      <c r="K397" s="99">
        <v>43513</v>
      </c>
      <c r="L397" t="s">
        <v>8279</v>
      </c>
      <c r="M397" t="s">
        <v>710</v>
      </c>
    </row>
    <row r="398" spans="2:13" x14ac:dyDescent="0.2">
      <c r="B398">
        <v>10263</v>
      </c>
      <c r="C398" t="s">
        <v>8275</v>
      </c>
      <c r="D398" t="s">
        <v>8247</v>
      </c>
      <c r="E398" s="225">
        <v>216</v>
      </c>
      <c r="F398" t="s">
        <v>8283</v>
      </c>
      <c r="G398" t="s">
        <v>8284</v>
      </c>
      <c r="H398" t="s">
        <v>8282</v>
      </c>
      <c r="I398" s="99">
        <v>43505</v>
      </c>
      <c r="J398">
        <f>YEAR(I398)</f>
        <v>2019</v>
      </c>
      <c r="K398" s="99">
        <v>43513</v>
      </c>
      <c r="L398" t="s">
        <v>8279</v>
      </c>
      <c r="M398" t="s">
        <v>710</v>
      </c>
    </row>
    <row r="399" spans="2:13" x14ac:dyDescent="0.2">
      <c r="B399">
        <v>10351</v>
      </c>
      <c r="C399" t="s">
        <v>8380</v>
      </c>
      <c r="D399" t="s">
        <v>8272</v>
      </c>
      <c r="E399" s="225">
        <v>4005.2</v>
      </c>
      <c r="F399" t="s">
        <v>8283</v>
      </c>
      <c r="G399" t="s">
        <v>8284</v>
      </c>
      <c r="H399" t="s">
        <v>8282</v>
      </c>
      <c r="I399" s="99">
        <v>43616</v>
      </c>
      <c r="J399">
        <f>YEAR(I399)</f>
        <v>2019</v>
      </c>
      <c r="K399" s="99">
        <v>43625</v>
      </c>
      <c r="L399" t="s">
        <v>8285</v>
      </c>
      <c r="M399" t="s">
        <v>2317</v>
      </c>
    </row>
    <row r="400" spans="2:13" x14ac:dyDescent="0.2">
      <c r="B400">
        <v>10351</v>
      </c>
      <c r="C400" t="s">
        <v>8322</v>
      </c>
      <c r="D400" t="s">
        <v>8254</v>
      </c>
      <c r="E400" s="225">
        <v>1133.82</v>
      </c>
      <c r="F400" t="s">
        <v>8283</v>
      </c>
      <c r="G400" t="s">
        <v>8284</v>
      </c>
      <c r="H400" t="s">
        <v>8282</v>
      </c>
      <c r="I400" s="99">
        <v>43616</v>
      </c>
      <c r="J400">
        <f>YEAR(I400)</f>
        <v>2019</v>
      </c>
      <c r="K400" s="99">
        <v>43625</v>
      </c>
      <c r="L400" t="s">
        <v>8285</v>
      </c>
      <c r="M400" t="s">
        <v>2317</v>
      </c>
    </row>
    <row r="401" spans="2:13" x14ac:dyDescent="0.2">
      <c r="B401">
        <v>10351</v>
      </c>
      <c r="C401" t="s">
        <v>8253</v>
      </c>
      <c r="D401" t="s">
        <v>8254</v>
      </c>
      <c r="E401" s="225">
        <v>159.6</v>
      </c>
      <c r="F401" t="s">
        <v>8283</v>
      </c>
      <c r="G401" t="s">
        <v>8284</v>
      </c>
      <c r="H401" t="s">
        <v>8282</v>
      </c>
      <c r="I401" s="99">
        <v>43616</v>
      </c>
      <c r="J401">
        <f>YEAR(I401)</f>
        <v>2019</v>
      </c>
      <c r="K401" s="99">
        <v>43625</v>
      </c>
      <c r="L401" t="s">
        <v>8285</v>
      </c>
      <c r="M401" t="s">
        <v>2317</v>
      </c>
    </row>
    <row r="402" spans="2:13" x14ac:dyDescent="0.2">
      <c r="B402">
        <v>10368</v>
      </c>
      <c r="C402" t="s">
        <v>8368</v>
      </c>
      <c r="D402" t="s">
        <v>8262</v>
      </c>
      <c r="E402" s="225">
        <v>36</v>
      </c>
      <c r="F402" t="s">
        <v>8283</v>
      </c>
      <c r="G402" t="s">
        <v>8284</v>
      </c>
      <c r="H402" t="s">
        <v>8282</v>
      </c>
      <c r="I402" s="99">
        <v>43634</v>
      </c>
      <c r="J402">
        <f>YEAR(I402)</f>
        <v>2019</v>
      </c>
      <c r="K402" s="99">
        <v>43637</v>
      </c>
      <c r="L402" t="s">
        <v>8297</v>
      </c>
      <c r="M402" t="s">
        <v>8298</v>
      </c>
    </row>
    <row r="403" spans="2:13" x14ac:dyDescent="0.2">
      <c r="B403">
        <v>10368</v>
      </c>
      <c r="C403" t="s">
        <v>8258</v>
      </c>
      <c r="D403" t="s">
        <v>8244</v>
      </c>
      <c r="E403" s="225">
        <v>390</v>
      </c>
      <c r="F403" t="s">
        <v>8283</v>
      </c>
      <c r="G403" t="s">
        <v>8284</v>
      </c>
      <c r="H403" t="s">
        <v>8282</v>
      </c>
      <c r="I403" s="99">
        <v>43634</v>
      </c>
      <c r="J403">
        <f>YEAR(I403)</f>
        <v>2019</v>
      </c>
      <c r="K403" s="99">
        <v>43637</v>
      </c>
      <c r="L403" t="s">
        <v>8297</v>
      </c>
      <c r="M403" t="s">
        <v>8298</v>
      </c>
    </row>
    <row r="404" spans="2:13" x14ac:dyDescent="0.2">
      <c r="B404">
        <v>10368</v>
      </c>
      <c r="C404" t="s">
        <v>8340</v>
      </c>
      <c r="D404" t="s">
        <v>8244</v>
      </c>
      <c r="E404" s="225">
        <v>837.9</v>
      </c>
      <c r="F404" t="s">
        <v>8283</v>
      </c>
      <c r="G404" t="s">
        <v>8284</v>
      </c>
      <c r="H404" t="s">
        <v>8282</v>
      </c>
      <c r="I404" s="99">
        <v>43634</v>
      </c>
      <c r="J404">
        <f>YEAR(I404)</f>
        <v>2019</v>
      </c>
      <c r="K404" s="99">
        <v>43637</v>
      </c>
      <c r="L404" t="s">
        <v>8297</v>
      </c>
      <c r="M404" t="s">
        <v>8298</v>
      </c>
    </row>
    <row r="405" spans="2:13" x14ac:dyDescent="0.2">
      <c r="B405">
        <v>10368</v>
      </c>
      <c r="C405" t="s">
        <v>8316</v>
      </c>
      <c r="D405" t="s">
        <v>8247</v>
      </c>
      <c r="E405" s="225">
        <v>425.88</v>
      </c>
      <c r="F405" t="s">
        <v>8283</v>
      </c>
      <c r="G405" t="s">
        <v>8284</v>
      </c>
      <c r="H405" t="s">
        <v>8282</v>
      </c>
      <c r="I405" s="99">
        <v>43634</v>
      </c>
      <c r="J405">
        <f>YEAR(I405)</f>
        <v>2019</v>
      </c>
      <c r="K405" s="99">
        <v>43637</v>
      </c>
      <c r="L405" t="s">
        <v>8297</v>
      </c>
      <c r="M405" t="s">
        <v>8298</v>
      </c>
    </row>
    <row r="406" spans="2:13" x14ac:dyDescent="0.2">
      <c r="B406">
        <v>10382</v>
      </c>
      <c r="C406" t="s">
        <v>8286</v>
      </c>
      <c r="D406" t="s">
        <v>8254</v>
      </c>
      <c r="E406" s="225">
        <v>544</v>
      </c>
      <c r="F406" t="s">
        <v>8283</v>
      </c>
      <c r="G406" t="s">
        <v>8284</v>
      </c>
      <c r="H406" t="s">
        <v>8282</v>
      </c>
      <c r="I406" s="99">
        <v>43648</v>
      </c>
      <c r="J406">
        <f>YEAR(I406)</f>
        <v>2019</v>
      </c>
      <c r="K406" s="99">
        <v>43651</v>
      </c>
      <c r="L406" t="s">
        <v>8266</v>
      </c>
      <c r="M406" t="s">
        <v>8267</v>
      </c>
    </row>
    <row r="407" spans="2:13" x14ac:dyDescent="0.2">
      <c r="B407">
        <v>10382</v>
      </c>
      <c r="C407" t="s">
        <v>8269</v>
      </c>
      <c r="D407" t="s">
        <v>8237</v>
      </c>
      <c r="E407" s="225">
        <v>120</v>
      </c>
      <c r="F407" t="s">
        <v>8283</v>
      </c>
      <c r="G407" t="s">
        <v>8284</v>
      </c>
      <c r="H407" t="s">
        <v>8282</v>
      </c>
      <c r="I407" s="99">
        <v>43648</v>
      </c>
      <c r="J407">
        <f>YEAR(I407)</f>
        <v>2019</v>
      </c>
      <c r="K407" s="99">
        <v>43651</v>
      </c>
      <c r="L407" t="s">
        <v>8266</v>
      </c>
      <c r="M407" t="s">
        <v>8267</v>
      </c>
    </row>
    <row r="408" spans="2:13" x14ac:dyDescent="0.2">
      <c r="B408">
        <v>10382</v>
      </c>
      <c r="C408" t="s">
        <v>8275</v>
      </c>
      <c r="D408" t="s">
        <v>8247</v>
      </c>
      <c r="E408" s="225">
        <v>400</v>
      </c>
      <c r="F408" t="s">
        <v>8283</v>
      </c>
      <c r="G408" t="s">
        <v>8284</v>
      </c>
      <c r="H408" t="s">
        <v>8282</v>
      </c>
      <c r="I408" s="99">
        <v>43648</v>
      </c>
      <c r="J408">
        <f>YEAR(I408)</f>
        <v>2019</v>
      </c>
      <c r="K408" s="99">
        <v>43651</v>
      </c>
      <c r="L408" t="s">
        <v>8266</v>
      </c>
      <c r="M408" t="s">
        <v>8267</v>
      </c>
    </row>
    <row r="409" spans="2:13" x14ac:dyDescent="0.2">
      <c r="B409">
        <v>10390</v>
      </c>
      <c r="C409" t="s">
        <v>8323</v>
      </c>
      <c r="D409" t="s">
        <v>8272</v>
      </c>
      <c r="E409" s="225">
        <v>518.4</v>
      </c>
      <c r="F409" t="s">
        <v>8283</v>
      </c>
      <c r="G409" t="s">
        <v>8284</v>
      </c>
      <c r="H409" t="s">
        <v>8282</v>
      </c>
      <c r="I409" s="99">
        <v>43658</v>
      </c>
      <c r="J409">
        <f>YEAR(I409)</f>
        <v>2019</v>
      </c>
      <c r="K409" s="99">
        <v>43661</v>
      </c>
      <c r="L409" t="s">
        <v>8251</v>
      </c>
      <c r="M409" t="s">
        <v>269</v>
      </c>
    </row>
    <row r="410" spans="2:13" x14ac:dyDescent="0.2">
      <c r="B410">
        <v>10390</v>
      </c>
      <c r="C410" t="s">
        <v>8309</v>
      </c>
      <c r="D410" t="s">
        <v>8237</v>
      </c>
      <c r="E410" s="225">
        <v>540</v>
      </c>
      <c r="F410" t="s">
        <v>8283</v>
      </c>
      <c r="G410" t="s">
        <v>8284</v>
      </c>
      <c r="H410" t="s">
        <v>8282</v>
      </c>
      <c r="I410" s="99">
        <v>43658</v>
      </c>
      <c r="J410">
        <f>YEAR(I410)</f>
        <v>2019</v>
      </c>
      <c r="K410" s="99">
        <v>43661</v>
      </c>
      <c r="L410" t="s">
        <v>8251</v>
      </c>
      <c r="M410" t="s">
        <v>269</v>
      </c>
    </row>
    <row r="411" spans="2:13" x14ac:dyDescent="0.2">
      <c r="B411">
        <v>10390</v>
      </c>
      <c r="C411" t="s">
        <v>8235</v>
      </c>
      <c r="D411" t="s">
        <v>8237</v>
      </c>
      <c r="E411" s="225">
        <v>600.48</v>
      </c>
      <c r="F411" t="s">
        <v>8283</v>
      </c>
      <c r="G411" t="s">
        <v>8284</v>
      </c>
      <c r="H411" t="s">
        <v>8282</v>
      </c>
      <c r="I411" s="99">
        <v>43658</v>
      </c>
      <c r="J411">
        <f>YEAR(I411)</f>
        <v>2019</v>
      </c>
      <c r="K411" s="99">
        <v>43661</v>
      </c>
      <c r="L411" t="s">
        <v>8251</v>
      </c>
      <c r="M411" t="s">
        <v>269</v>
      </c>
    </row>
    <row r="412" spans="2:13" x14ac:dyDescent="0.2">
      <c r="B412">
        <v>10402</v>
      </c>
      <c r="C412" t="s">
        <v>8317</v>
      </c>
      <c r="D412" t="s">
        <v>8254</v>
      </c>
      <c r="E412" s="225">
        <v>2281.5</v>
      </c>
      <c r="F412" t="s">
        <v>8283</v>
      </c>
      <c r="G412" t="s">
        <v>8284</v>
      </c>
      <c r="H412" t="s">
        <v>8282</v>
      </c>
      <c r="I412" s="99">
        <v>43668</v>
      </c>
      <c r="J412">
        <f>YEAR(I412)</f>
        <v>2019</v>
      </c>
      <c r="K412" s="99">
        <v>43676</v>
      </c>
      <c r="L412" t="s">
        <v>8320</v>
      </c>
      <c r="M412" t="s">
        <v>8321</v>
      </c>
    </row>
    <row r="413" spans="2:13" x14ac:dyDescent="0.2">
      <c r="B413">
        <v>10402</v>
      </c>
      <c r="C413" t="s">
        <v>8373</v>
      </c>
      <c r="D413" t="s">
        <v>8244</v>
      </c>
      <c r="E413" s="225">
        <v>432</v>
      </c>
      <c r="F413" t="s">
        <v>8283</v>
      </c>
      <c r="G413" t="s">
        <v>8284</v>
      </c>
      <c r="H413" t="s">
        <v>8282</v>
      </c>
      <c r="I413" s="99">
        <v>43668</v>
      </c>
      <c r="J413">
        <f>YEAR(I413)</f>
        <v>2019</v>
      </c>
      <c r="K413" s="99">
        <v>43676</v>
      </c>
      <c r="L413" t="s">
        <v>8320</v>
      </c>
      <c r="M413" t="s">
        <v>8321</v>
      </c>
    </row>
    <row r="414" spans="2:13" x14ac:dyDescent="0.2">
      <c r="B414">
        <v>10403</v>
      </c>
      <c r="C414" t="s">
        <v>8280</v>
      </c>
      <c r="D414" t="s">
        <v>8262</v>
      </c>
      <c r="E414" s="225">
        <v>248.11</v>
      </c>
      <c r="F414" t="s">
        <v>8283</v>
      </c>
      <c r="G414" t="s">
        <v>8284</v>
      </c>
      <c r="H414" t="s">
        <v>8282</v>
      </c>
      <c r="I414" s="99">
        <v>43669</v>
      </c>
      <c r="J414">
        <f>YEAR(I414)</f>
        <v>2019</v>
      </c>
      <c r="K414" s="99">
        <v>43675</v>
      </c>
      <c r="L414" t="s">
        <v>8266</v>
      </c>
      <c r="M414" t="s">
        <v>8267</v>
      </c>
    </row>
    <row r="415" spans="2:13" x14ac:dyDescent="0.2">
      <c r="B415">
        <v>10403</v>
      </c>
      <c r="C415" t="s">
        <v>8406</v>
      </c>
      <c r="D415" t="s">
        <v>8262</v>
      </c>
      <c r="E415" s="225">
        <v>606.9</v>
      </c>
      <c r="F415" t="s">
        <v>8283</v>
      </c>
      <c r="G415" t="s">
        <v>8284</v>
      </c>
      <c r="H415" t="s">
        <v>8282</v>
      </c>
      <c r="I415" s="99">
        <v>43669</v>
      </c>
      <c r="J415">
        <f>YEAR(I415)</f>
        <v>2019</v>
      </c>
      <c r="K415" s="99">
        <v>43675</v>
      </c>
      <c r="L415" t="s">
        <v>8266</v>
      </c>
      <c r="M415" t="s">
        <v>8267</v>
      </c>
    </row>
    <row r="416" spans="2:13" x14ac:dyDescent="0.2">
      <c r="B416">
        <v>10430</v>
      </c>
      <c r="C416" t="s">
        <v>8368</v>
      </c>
      <c r="D416" t="s">
        <v>8262</v>
      </c>
      <c r="E416" s="225">
        <v>400</v>
      </c>
      <c r="F416" t="s">
        <v>8283</v>
      </c>
      <c r="G416" t="s">
        <v>8284</v>
      </c>
      <c r="H416" t="s">
        <v>8282</v>
      </c>
      <c r="I416" s="99">
        <v>43696</v>
      </c>
      <c r="J416">
        <f>YEAR(I416)</f>
        <v>2019</v>
      </c>
      <c r="K416" s="99">
        <v>43700</v>
      </c>
      <c r="L416" t="s">
        <v>8266</v>
      </c>
      <c r="M416" t="s">
        <v>8267</v>
      </c>
    </row>
    <row r="417" spans="2:13" x14ac:dyDescent="0.2">
      <c r="B417">
        <v>10430</v>
      </c>
      <c r="C417" t="s">
        <v>8281</v>
      </c>
      <c r="D417" t="s">
        <v>8237</v>
      </c>
      <c r="E417" s="225">
        <v>2464</v>
      </c>
      <c r="F417" t="s">
        <v>8283</v>
      </c>
      <c r="G417" t="s">
        <v>8284</v>
      </c>
      <c r="H417" t="s">
        <v>8282</v>
      </c>
      <c r="I417" s="99">
        <v>43696</v>
      </c>
      <c r="J417">
        <f>YEAR(I417)</f>
        <v>2019</v>
      </c>
      <c r="K417" s="99">
        <v>43700</v>
      </c>
      <c r="L417" t="s">
        <v>8266</v>
      </c>
      <c r="M417" t="s">
        <v>8267</v>
      </c>
    </row>
    <row r="418" spans="2:13" x14ac:dyDescent="0.2">
      <c r="B418">
        <v>10430</v>
      </c>
      <c r="C418" t="s">
        <v>8341</v>
      </c>
      <c r="D418" t="s">
        <v>8244</v>
      </c>
      <c r="E418" s="225">
        <v>912</v>
      </c>
      <c r="F418" t="s">
        <v>8283</v>
      </c>
      <c r="G418" t="s">
        <v>8284</v>
      </c>
      <c r="H418" t="s">
        <v>8282</v>
      </c>
      <c r="I418" s="99">
        <v>43696</v>
      </c>
      <c r="J418">
        <f>YEAR(I418)</f>
        <v>2019</v>
      </c>
      <c r="K418" s="99">
        <v>43700</v>
      </c>
      <c r="L418" t="s">
        <v>8266</v>
      </c>
      <c r="M418" t="s">
        <v>8267</v>
      </c>
    </row>
    <row r="419" spans="2:13" x14ac:dyDescent="0.2">
      <c r="B419">
        <v>10442</v>
      </c>
      <c r="C419" t="s">
        <v>8348</v>
      </c>
      <c r="D419" t="s">
        <v>8254</v>
      </c>
      <c r="E419" s="225">
        <v>816</v>
      </c>
      <c r="F419" t="s">
        <v>8283</v>
      </c>
      <c r="G419" t="s">
        <v>8284</v>
      </c>
      <c r="H419" t="s">
        <v>8282</v>
      </c>
      <c r="I419" s="99">
        <v>43708</v>
      </c>
      <c r="J419">
        <f>YEAR(I419)</f>
        <v>2019</v>
      </c>
      <c r="K419" s="99">
        <v>43715</v>
      </c>
      <c r="L419" t="s">
        <v>8257</v>
      </c>
      <c r="M419" t="s">
        <v>6984</v>
      </c>
    </row>
    <row r="420" spans="2:13" x14ac:dyDescent="0.2">
      <c r="B420">
        <v>10442</v>
      </c>
      <c r="C420" t="s">
        <v>8242</v>
      </c>
      <c r="D420" t="s">
        <v>8237</v>
      </c>
      <c r="E420" s="225">
        <v>504</v>
      </c>
      <c r="F420" t="s">
        <v>8283</v>
      </c>
      <c r="G420" t="s">
        <v>8284</v>
      </c>
      <c r="H420" t="s">
        <v>8282</v>
      </c>
      <c r="I420" s="99">
        <v>43708</v>
      </c>
      <c r="J420">
        <f>YEAR(I420)</f>
        <v>2019</v>
      </c>
      <c r="K420" s="99">
        <v>43715</v>
      </c>
      <c r="L420" t="s">
        <v>8257</v>
      </c>
      <c r="M420" t="s">
        <v>6984</v>
      </c>
    </row>
    <row r="421" spans="2:13" x14ac:dyDescent="0.2">
      <c r="B421">
        <v>10514</v>
      </c>
      <c r="C421" t="s">
        <v>8328</v>
      </c>
      <c r="D421" t="s">
        <v>8272</v>
      </c>
      <c r="E421" s="225">
        <v>387.5</v>
      </c>
      <c r="F421" t="s">
        <v>8283</v>
      </c>
      <c r="G421" t="s">
        <v>8284</v>
      </c>
      <c r="H421" t="s">
        <v>8282</v>
      </c>
      <c r="I421" s="99">
        <v>43778</v>
      </c>
      <c r="J421">
        <f>YEAR(I421)</f>
        <v>2019</v>
      </c>
      <c r="K421" s="99">
        <v>43802</v>
      </c>
      <c r="L421" t="s">
        <v>8257</v>
      </c>
      <c r="M421" t="s">
        <v>6984</v>
      </c>
    </row>
    <row r="422" spans="2:13" x14ac:dyDescent="0.2">
      <c r="B422">
        <v>10514</v>
      </c>
      <c r="C422" t="s">
        <v>8253</v>
      </c>
      <c r="D422" t="s">
        <v>8254</v>
      </c>
      <c r="E422" s="225">
        <v>820.95</v>
      </c>
      <c r="F422" t="s">
        <v>8283</v>
      </c>
      <c r="G422" t="s">
        <v>8284</v>
      </c>
      <c r="H422" t="s">
        <v>8282</v>
      </c>
      <c r="I422" s="99">
        <v>43778</v>
      </c>
      <c r="J422">
        <f>YEAR(I422)</f>
        <v>2019</v>
      </c>
      <c r="K422" s="99">
        <v>43802</v>
      </c>
      <c r="L422" t="s">
        <v>8257</v>
      </c>
      <c r="M422" t="s">
        <v>6984</v>
      </c>
    </row>
    <row r="423" spans="2:13" x14ac:dyDescent="0.2">
      <c r="B423">
        <v>10514</v>
      </c>
      <c r="C423" t="s">
        <v>8260</v>
      </c>
      <c r="D423" t="s">
        <v>8262</v>
      </c>
      <c r="E423" s="225">
        <v>3159</v>
      </c>
      <c r="F423" t="s">
        <v>8283</v>
      </c>
      <c r="G423" t="s">
        <v>8284</v>
      </c>
      <c r="H423" t="s">
        <v>8282</v>
      </c>
      <c r="I423" s="99">
        <v>43778</v>
      </c>
      <c r="J423">
        <f>YEAR(I423)</f>
        <v>2019</v>
      </c>
      <c r="K423" s="99">
        <v>43802</v>
      </c>
      <c r="L423" t="s">
        <v>8257</v>
      </c>
      <c r="M423" t="s">
        <v>6984</v>
      </c>
    </row>
    <row r="424" spans="2:13" x14ac:dyDescent="0.2">
      <c r="B424">
        <v>10514</v>
      </c>
      <c r="C424" t="s">
        <v>8341</v>
      </c>
      <c r="D424" t="s">
        <v>8244</v>
      </c>
      <c r="E424" s="225">
        <v>2660</v>
      </c>
      <c r="F424" t="s">
        <v>8283</v>
      </c>
      <c r="G424" t="s">
        <v>8284</v>
      </c>
      <c r="H424" t="s">
        <v>8282</v>
      </c>
      <c r="I424" s="99">
        <v>43778</v>
      </c>
      <c r="J424">
        <f>YEAR(I424)</f>
        <v>2019</v>
      </c>
      <c r="K424" s="99">
        <v>43802</v>
      </c>
      <c r="L424" t="s">
        <v>8257</v>
      </c>
      <c r="M424" t="s">
        <v>6984</v>
      </c>
    </row>
    <row r="425" spans="2:13" x14ac:dyDescent="0.2">
      <c r="B425">
        <v>10514</v>
      </c>
      <c r="C425" t="s">
        <v>8316</v>
      </c>
      <c r="D425" t="s">
        <v>8247</v>
      </c>
      <c r="E425" s="225">
        <v>1596</v>
      </c>
      <c r="F425" t="s">
        <v>8283</v>
      </c>
      <c r="G425" t="s">
        <v>8284</v>
      </c>
      <c r="H425" t="s">
        <v>8282</v>
      </c>
      <c r="I425" s="99">
        <v>43778</v>
      </c>
      <c r="J425">
        <f>YEAR(I425)</f>
        <v>2019</v>
      </c>
      <c r="K425" s="99">
        <v>43802</v>
      </c>
      <c r="L425" t="s">
        <v>8257</v>
      </c>
      <c r="M425" t="s">
        <v>6984</v>
      </c>
    </row>
    <row r="426" spans="2:13" x14ac:dyDescent="0.2">
      <c r="B426">
        <v>10571</v>
      </c>
      <c r="C426" t="s">
        <v>8243</v>
      </c>
      <c r="D426" t="s">
        <v>8244</v>
      </c>
      <c r="E426" s="225">
        <v>333.2</v>
      </c>
      <c r="F426" t="s">
        <v>8283</v>
      </c>
      <c r="G426" t="s">
        <v>8284</v>
      </c>
      <c r="H426" t="s">
        <v>8282</v>
      </c>
      <c r="I426" s="99">
        <v>43834</v>
      </c>
      <c r="J426">
        <f>YEAR(I426)</f>
        <v>2020</v>
      </c>
      <c r="K426" s="99">
        <v>43851</v>
      </c>
      <c r="L426" t="s">
        <v>8320</v>
      </c>
      <c r="M426" t="s">
        <v>8321</v>
      </c>
    </row>
    <row r="427" spans="2:13" x14ac:dyDescent="0.2">
      <c r="B427">
        <v>10571</v>
      </c>
      <c r="C427" t="s">
        <v>8252</v>
      </c>
      <c r="D427" t="s">
        <v>8247</v>
      </c>
      <c r="E427" s="225">
        <v>217.39</v>
      </c>
      <c r="F427" t="s">
        <v>8283</v>
      </c>
      <c r="G427" t="s">
        <v>8284</v>
      </c>
      <c r="H427" t="s">
        <v>8282</v>
      </c>
      <c r="I427" s="99">
        <v>43834</v>
      </c>
      <c r="J427">
        <f>YEAR(I427)</f>
        <v>2020</v>
      </c>
      <c r="K427" s="99">
        <v>43851</v>
      </c>
      <c r="L427" t="s">
        <v>8320</v>
      </c>
      <c r="M427" t="s">
        <v>8321</v>
      </c>
    </row>
    <row r="428" spans="2:13" x14ac:dyDescent="0.2">
      <c r="B428">
        <v>10595</v>
      </c>
      <c r="C428" t="s">
        <v>8323</v>
      </c>
      <c r="D428" t="s">
        <v>8272</v>
      </c>
      <c r="E428" s="225">
        <v>405</v>
      </c>
      <c r="F428" t="s">
        <v>8283</v>
      </c>
      <c r="G428" t="s">
        <v>8284</v>
      </c>
      <c r="H428" t="s">
        <v>8282</v>
      </c>
      <c r="I428" s="99">
        <v>43857</v>
      </c>
      <c r="J428">
        <f>YEAR(I428)</f>
        <v>2020</v>
      </c>
      <c r="K428" s="99">
        <v>43861</v>
      </c>
      <c r="L428" t="s">
        <v>8297</v>
      </c>
      <c r="M428" t="s">
        <v>8298</v>
      </c>
    </row>
    <row r="429" spans="2:13" x14ac:dyDescent="0.2">
      <c r="B429">
        <v>10595</v>
      </c>
      <c r="C429" t="s">
        <v>8409</v>
      </c>
      <c r="D429" t="s">
        <v>8254</v>
      </c>
      <c r="E429" s="225">
        <v>2565</v>
      </c>
      <c r="F429" t="s">
        <v>8283</v>
      </c>
      <c r="G429" t="s">
        <v>8284</v>
      </c>
      <c r="H429" t="s">
        <v>8282</v>
      </c>
      <c r="I429" s="99">
        <v>43857</v>
      </c>
      <c r="J429">
        <f>YEAR(I429)</f>
        <v>2020</v>
      </c>
      <c r="K429" s="99">
        <v>43861</v>
      </c>
      <c r="L429" t="s">
        <v>8297</v>
      </c>
      <c r="M429" t="s">
        <v>8298</v>
      </c>
    </row>
    <row r="430" spans="2:13" x14ac:dyDescent="0.2">
      <c r="B430">
        <v>10595</v>
      </c>
      <c r="C430" t="s">
        <v>8353</v>
      </c>
      <c r="D430" t="s">
        <v>8237</v>
      </c>
      <c r="E430" s="225">
        <v>1755</v>
      </c>
      <c r="F430" t="s">
        <v>8283</v>
      </c>
      <c r="G430" t="s">
        <v>8284</v>
      </c>
      <c r="H430" t="s">
        <v>8282</v>
      </c>
      <c r="I430" s="99">
        <v>43857</v>
      </c>
      <c r="J430">
        <f>YEAR(I430)</f>
        <v>2020</v>
      </c>
      <c r="K430" s="99">
        <v>43861</v>
      </c>
      <c r="L430" t="s">
        <v>8297</v>
      </c>
      <c r="M430" t="s">
        <v>8298</v>
      </c>
    </row>
    <row r="431" spans="2:13" x14ac:dyDescent="0.2">
      <c r="B431">
        <v>10633</v>
      </c>
      <c r="C431" t="s">
        <v>8372</v>
      </c>
      <c r="D431" t="s">
        <v>8262</v>
      </c>
      <c r="E431" s="225">
        <v>929.09</v>
      </c>
      <c r="F431" t="s">
        <v>8283</v>
      </c>
      <c r="G431" t="s">
        <v>8284</v>
      </c>
      <c r="H431" t="s">
        <v>8282</v>
      </c>
      <c r="I431" s="99">
        <v>43893</v>
      </c>
      <c r="J431">
        <f>YEAR(I431)</f>
        <v>2020</v>
      </c>
      <c r="K431" s="99">
        <v>43896</v>
      </c>
      <c r="L431" t="s">
        <v>8158</v>
      </c>
      <c r="M431" t="s">
        <v>861</v>
      </c>
    </row>
    <row r="432" spans="2:13" x14ac:dyDescent="0.2">
      <c r="B432">
        <v>10633</v>
      </c>
      <c r="C432" t="s">
        <v>8291</v>
      </c>
      <c r="D432" t="s">
        <v>8262</v>
      </c>
      <c r="E432" s="225">
        <v>3352.4</v>
      </c>
      <c r="F432" t="s">
        <v>8283</v>
      </c>
      <c r="G432" t="s">
        <v>8284</v>
      </c>
      <c r="H432" t="s">
        <v>8282</v>
      </c>
      <c r="I432" s="99">
        <v>43893</v>
      </c>
      <c r="J432">
        <f>YEAR(I432)</f>
        <v>2020</v>
      </c>
      <c r="K432" s="99">
        <v>43896</v>
      </c>
      <c r="L432" t="s">
        <v>8158</v>
      </c>
      <c r="M432" t="s">
        <v>861</v>
      </c>
    </row>
    <row r="433" spans="2:13" x14ac:dyDescent="0.2">
      <c r="B433">
        <v>10633</v>
      </c>
      <c r="C433" t="s">
        <v>8299</v>
      </c>
      <c r="D433" t="s">
        <v>8237</v>
      </c>
      <c r="E433" s="225">
        <v>1162.8</v>
      </c>
      <c r="F433" t="s">
        <v>8283</v>
      </c>
      <c r="G433" t="s">
        <v>8284</v>
      </c>
      <c r="H433" t="s">
        <v>8282</v>
      </c>
      <c r="I433" s="99">
        <v>43893</v>
      </c>
      <c r="J433">
        <f>YEAR(I433)</f>
        <v>2020</v>
      </c>
      <c r="K433" s="99">
        <v>43896</v>
      </c>
      <c r="L433" t="s">
        <v>8158</v>
      </c>
      <c r="M433" t="s">
        <v>861</v>
      </c>
    </row>
    <row r="434" spans="2:13" x14ac:dyDescent="0.2">
      <c r="B434">
        <v>10667</v>
      </c>
      <c r="C434" t="s">
        <v>8353</v>
      </c>
      <c r="D434" t="s">
        <v>8237</v>
      </c>
      <c r="E434" s="225">
        <v>1296</v>
      </c>
      <c r="F434" t="s">
        <v>8283</v>
      </c>
      <c r="G434" t="s">
        <v>8284</v>
      </c>
      <c r="H434" t="s">
        <v>8282</v>
      </c>
      <c r="I434" s="99">
        <v>43921</v>
      </c>
      <c r="J434">
        <f>YEAR(I434)</f>
        <v>2020</v>
      </c>
      <c r="K434" s="99">
        <v>43928</v>
      </c>
      <c r="L434" t="s">
        <v>8158</v>
      </c>
      <c r="M434" t="s">
        <v>861</v>
      </c>
    </row>
    <row r="435" spans="2:13" x14ac:dyDescent="0.2">
      <c r="B435">
        <v>10667</v>
      </c>
      <c r="C435" t="s">
        <v>8310</v>
      </c>
      <c r="D435" t="s">
        <v>8237</v>
      </c>
      <c r="E435" s="225">
        <v>240.8</v>
      </c>
      <c r="F435" t="s">
        <v>8283</v>
      </c>
      <c r="G435" t="s">
        <v>8284</v>
      </c>
      <c r="H435" t="s">
        <v>8282</v>
      </c>
      <c r="I435" s="99">
        <v>43921</v>
      </c>
      <c r="J435">
        <f>YEAR(I435)</f>
        <v>2020</v>
      </c>
      <c r="K435" s="99">
        <v>43928</v>
      </c>
      <c r="L435" t="s">
        <v>8158</v>
      </c>
      <c r="M435" t="s">
        <v>861</v>
      </c>
    </row>
    <row r="436" spans="2:13" x14ac:dyDescent="0.2">
      <c r="B436">
        <v>10698</v>
      </c>
      <c r="C436" t="s">
        <v>8288</v>
      </c>
      <c r="D436" t="s">
        <v>8272</v>
      </c>
      <c r="E436" s="225">
        <v>114</v>
      </c>
      <c r="F436" t="s">
        <v>8283</v>
      </c>
      <c r="G436" t="s">
        <v>8284</v>
      </c>
      <c r="H436" t="s">
        <v>8282</v>
      </c>
      <c r="I436" s="99">
        <v>43948</v>
      </c>
      <c r="J436">
        <f>YEAR(I436)</f>
        <v>2020</v>
      </c>
      <c r="K436" s="99">
        <v>43956</v>
      </c>
      <c r="L436" t="s">
        <v>8266</v>
      </c>
      <c r="M436" t="s">
        <v>8267</v>
      </c>
    </row>
    <row r="437" spans="2:13" x14ac:dyDescent="0.2">
      <c r="B437">
        <v>10698</v>
      </c>
      <c r="C437" t="s">
        <v>8253</v>
      </c>
      <c r="D437" t="s">
        <v>8254</v>
      </c>
      <c r="E437" s="225">
        <v>1299.8399999999999</v>
      </c>
      <c r="F437" t="s">
        <v>8283</v>
      </c>
      <c r="G437" t="s">
        <v>8284</v>
      </c>
      <c r="H437" t="s">
        <v>8282</v>
      </c>
      <c r="I437" s="99">
        <v>43948</v>
      </c>
      <c r="J437">
        <f>YEAR(I437)</f>
        <v>2020</v>
      </c>
      <c r="K437" s="99">
        <v>43956</v>
      </c>
      <c r="L437" t="s">
        <v>8266</v>
      </c>
      <c r="M437" t="s">
        <v>8267</v>
      </c>
    </row>
    <row r="438" spans="2:13" x14ac:dyDescent="0.2">
      <c r="B438">
        <v>10698</v>
      </c>
      <c r="C438" t="s">
        <v>8242</v>
      </c>
      <c r="D438" t="s">
        <v>8237</v>
      </c>
      <c r="E438" s="225">
        <v>315</v>
      </c>
      <c r="F438" t="s">
        <v>8283</v>
      </c>
      <c r="G438" t="s">
        <v>8284</v>
      </c>
      <c r="H438" t="s">
        <v>8282</v>
      </c>
      <c r="I438" s="99">
        <v>43948</v>
      </c>
      <c r="J438">
        <f>YEAR(I438)</f>
        <v>2020</v>
      </c>
      <c r="K438" s="99">
        <v>43956</v>
      </c>
      <c r="L438" t="s">
        <v>8266</v>
      </c>
      <c r="M438" t="s">
        <v>8267</v>
      </c>
    </row>
    <row r="439" spans="2:13" x14ac:dyDescent="0.2">
      <c r="B439">
        <v>10764</v>
      </c>
      <c r="C439" t="s">
        <v>8342</v>
      </c>
      <c r="D439" t="s">
        <v>8272</v>
      </c>
      <c r="E439" s="225">
        <v>2106</v>
      </c>
      <c r="F439" t="s">
        <v>8283</v>
      </c>
      <c r="G439" t="s">
        <v>8284</v>
      </c>
      <c r="H439" t="s">
        <v>8282</v>
      </c>
      <c r="I439" s="99">
        <v>44003</v>
      </c>
      <c r="J439">
        <f>YEAR(I439)</f>
        <v>2020</v>
      </c>
      <c r="K439" s="99">
        <v>44008</v>
      </c>
      <c r="L439" t="s">
        <v>8251</v>
      </c>
      <c r="M439" t="s">
        <v>269</v>
      </c>
    </row>
    <row r="440" spans="2:13" x14ac:dyDescent="0.2">
      <c r="B440">
        <v>10764</v>
      </c>
      <c r="C440" t="s">
        <v>8337</v>
      </c>
      <c r="D440" t="s">
        <v>8254</v>
      </c>
      <c r="E440" s="225">
        <v>180</v>
      </c>
      <c r="F440" t="s">
        <v>8283</v>
      </c>
      <c r="G440" t="s">
        <v>8284</v>
      </c>
      <c r="H440" t="s">
        <v>8282</v>
      </c>
      <c r="I440" s="99">
        <v>44003</v>
      </c>
      <c r="J440">
        <f>YEAR(I440)</f>
        <v>2020</v>
      </c>
      <c r="K440" s="99">
        <v>44008</v>
      </c>
      <c r="L440" t="s">
        <v>8251</v>
      </c>
      <c r="M440" t="s">
        <v>269</v>
      </c>
    </row>
    <row r="441" spans="2:13" x14ac:dyDescent="0.2">
      <c r="B441">
        <v>10771</v>
      </c>
      <c r="C441" t="s">
        <v>8310</v>
      </c>
      <c r="D441" t="s">
        <v>8237</v>
      </c>
      <c r="E441" s="225">
        <v>344</v>
      </c>
      <c r="F441" t="s">
        <v>8283</v>
      </c>
      <c r="G441" t="s">
        <v>8284</v>
      </c>
      <c r="H441" t="s">
        <v>8282</v>
      </c>
      <c r="I441" s="99">
        <v>44010</v>
      </c>
      <c r="J441">
        <f>YEAR(I441)</f>
        <v>2020</v>
      </c>
      <c r="K441" s="99">
        <v>44033</v>
      </c>
      <c r="L441" t="s">
        <v>8279</v>
      </c>
      <c r="M441" t="s">
        <v>710</v>
      </c>
    </row>
    <row r="442" spans="2:13" x14ac:dyDescent="0.2">
      <c r="B442">
        <v>10773</v>
      </c>
      <c r="C442" t="s">
        <v>8328</v>
      </c>
      <c r="D442" t="s">
        <v>8272</v>
      </c>
      <c r="E442" s="225">
        <v>43.4</v>
      </c>
      <c r="F442" t="s">
        <v>8283</v>
      </c>
      <c r="G442" t="s">
        <v>8284</v>
      </c>
      <c r="H442" t="s">
        <v>8282</v>
      </c>
      <c r="I442" s="99">
        <v>44011</v>
      </c>
      <c r="J442">
        <f>YEAR(I442)</f>
        <v>2020</v>
      </c>
      <c r="K442" s="99">
        <v>44016</v>
      </c>
      <c r="L442" t="s">
        <v>8285</v>
      </c>
      <c r="M442" t="s">
        <v>2317</v>
      </c>
    </row>
    <row r="443" spans="2:13" x14ac:dyDescent="0.2">
      <c r="B443">
        <v>10773</v>
      </c>
      <c r="C443" t="s">
        <v>8309</v>
      </c>
      <c r="D443" t="s">
        <v>8237</v>
      </c>
      <c r="E443" s="225">
        <v>700</v>
      </c>
      <c r="F443" t="s">
        <v>8283</v>
      </c>
      <c r="G443" t="s">
        <v>8284</v>
      </c>
      <c r="H443" t="s">
        <v>8282</v>
      </c>
      <c r="I443" s="99">
        <v>44011</v>
      </c>
      <c r="J443">
        <f>YEAR(I443)</f>
        <v>2020</v>
      </c>
      <c r="K443" s="99">
        <v>44016</v>
      </c>
      <c r="L443" t="s">
        <v>8285</v>
      </c>
      <c r="M443" t="s">
        <v>2317</v>
      </c>
    </row>
    <row r="444" spans="2:13" x14ac:dyDescent="0.2">
      <c r="B444">
        <v>10776</v>
      </c>
      <c r="C444" t="s">
        <v>8309</v>
      </c>
      <c r="D444" t="s">
        <v>8237</v>
      </c>
      <c r="E444" s="225">
        <v>190</v>
      </c>
      <c r="F444" t="s">
        <v>8283</v>
      </c>
      <c r="G444" t="s">
        <v>8284</v>
      </c>
      <c r="H444" t="s">
        <v>8282</v>
      </c>
      <c r="I444" s="99">
        <v>44015</v>
      </c>
      <c r="J444">
        <f>YEAR(I444)</f>
        <v>2020</v>
      </c>
      <c r="K444" s="99">
        <v>44018</v>
      </c>
      <c r="L444" t="s">
        <v>8285</v>
      </c>
      <c r="M444" t="s">
        <v>2317</v>
      </c>
    </row>
    <row r="445" spans="2:13" x14ac:dyDescent="0.2">
      <c r="B445">
        <v>10776</v>
      </c>
      <c r="C445" t="s">
        <v>8243</v>
      </c>
      <c r="D445" t="s">
        <v>8244</v>
      </c>
      <c r="E445" s="225">
        <v>159.6</v>
      </c>
      <c r="F445" t="s">
        <v>8283</v>
      </c>
      <c r="G445" t="s">
        <v>8284</v>
      </c>
      <c r="H445" t="s">
        <v>8282</v>
      </c>
      <c r="I445" s="99">
        <v>44015</v>
      </c>
      <c r="J445">
        <f>YEAR(I445)</f>
        <v>2020</v>
      </c>
      <c r="K445" s="99">
        <v>44018</v>
      </c>
      <c r="L445" t="s">
        <v>8285</v>
      </c>
      <c r="M445" t="s">
        <v>2317</v>
      </c>
    </row>
    <row r="446" spans="2:13" x14ac:dyDescent="0.2">
      <c r="B446">
        <v>10776</v>
      </c>
      <c r="C446" t="s">
        <v>8245</v>
      </c>
      <c r="D446" t="s">
        <v>8247</v>
      </c>
      <c r="E446" s="225">
        <v>6042</v>
      </c>
      <c r="F446" t="s">
        <v>8283</v>
      </c>
      <c r="G446" t="s">
        <v>8284</v>
      </c>
      <c r="H446" t="s">
        <v>8282</v>
      </c>
      <c r="I446" s="99">
        <v>44015</v>
      </c>
      <c r="J446">
        <f>YEAR(I446)</f>
        <v>2020</v>
      </c>
      <c r="K446" s="99">
        <v>44018</v>
      </c>
      <c r="L446" t="s">
        <v>8285</v>
      </c>
      <c r="M446" t="s">
        <v>2317</v>
      </c>
    </row>
    <row r="447" spans="2:13" x14ac:dyDescent="0.2">
      <c r="B447">
        <v>10795</v>
      </c>
      <c r="C447" t="s">
        <v>8280</v>
      </c>
      <c r="D447" t="s">
        <v>8262</v>
      </c>
      <c r="E447" s="225">
        <v>1134.25</v>
      </c>
      <c r="F447" t="s">
        <v>8283</v>
      </c>
      <c r="G447" t="s">
        <v>8284</v>
      </c>
      <c r="H447" t="s">
        <v>8282</v>
      </c>
      <c r="I447" s="99">
        <v>44024</v>
      </c>
      <c r="J447">
        <f>YEAR(I447)</f>
        <v>2020</v>
      </c>
      <c r="K447" s="99">
        <v>44051</v>
      </c>
      <c r="L447" t="s">
        <v>8320</v>
      </c>
      <c r="M447" t="s">
        <v>8321</v>
      </c>
    </row>
    <row r="448" spans="2:13" x14ac:dyDescent="0.2">
      <c r="B448">
        <v>10836</v>
      </c>
      <c r="C448" t="s">
        <v>8323</v>
      </c>
      <c r="D448" t="s">
        <v>8272</v>
      </c>
      <c r="E448" s="225">
        <v>108</v>
      </c>
      <c r="F448" t="s">
        <v>8283</v>
      </c>
      <c r="G448" t="s">
        <v>8284</v>
      </c>
      <c r="H448" t="s">
        <v>8282</v>
      </c>
      <c r="I448" s="99">
        <v>44047</v>
      </c>
      <c r="J448">
        <f>YEAR(I448)</f>
        <v>2020</v>
      </c>
      <c r="K448" s="99">
        <v>44052</v>
      </c>
      <c r="L448" t="s">
        <v>8158</v>
      </c>
      <c r="M448" t="s">
        <v>861</v>
      </c>
    </row>
    <row r="449" spans="2:13" x14ac:dyDescent="0.2">
      <c r="B449">
        <v>10836</v>
      </c>
      <c r="C449" t="s">
        <v>8268</v>
      </c>
      <c r="D449" t="s">
        <v>8237</v>
      </c>
      <c r="E449" s="225">
        <v>2040</v>
      </c>
      <c r="F449" t="s">
        <v>8283</v>
      </c>
      <c r="G449" t="s">
        <v>8284</v>
      </c>
      <c r="H449" t="s">
        <v>8282</v>
      </c>
      <c r="I449" s="99">
        <v>44047</v>
      </c>
      <c r="J449">
        <f>YEAR(I449)</f>
        <v>2020</v>
      </c>
      <c r="K449" s="99">
        <v>44052</v>
      </c>
      <c r="L449" t="s">
        <v>8158</v>
      </c>
      <c r="M449" t="s">
        <v>861</v>
      </c>
    </row>
    <row r="450" spans="2:13" x14ac:dyDescent="0.2">
      <c r="B450">
        <v>10836</v>
      </c>
      <c r="C450" t="s">
        <v>8259</v>
      </c>
      <c r="D450" t="s">
        <v>8244</v>
      </c>
      <c r="E450" s="225">
        <v>1092</v>
      </c>
      <c r="F450" t="s">
        <v>8283</v>
      </c>
      <c r="G450" t="s">
        <v>8284</v>
      </c>
      <c r="H450" t="s">
        <v>8282</v>
      </c>
      <c r="I450" s="99">
        <v>44047</v>
      </c>
      <c r="J450">
        <f>YEAR(I450)</f>
        <v>2020</v>
      </c>
      <c r="K450" s="99">
        <v>44052</v>
      </c>
      <c r="L450" t="s">
        <v>8158</v>
      </c>
      <c r="M450" t="s">
        <v>861</v>
      </c>
    </row>
    <row r="451" spans="2:13" x14ac:dyDescent="0.2">
      <c r="B451">
        <v>10836</v>
      </c>
      <c r="C451" t="s">
        <v>8258</v>
      </c>
      <c r="D451" t="s">
        <v>8244</v>
      </c>
      <c r="E451" s="225">
        <v>468</v>
      </c>
      <c r="F451" t="s">
        <v>8283</v>
      </c>
      <c r="G451" t="s">
        <v>8284</v>
      </c>
      <c r="H451" t="s">
        <v>8282</v>
      </c>
      <c r="I451" s="99">
        <v>44047</v>
      </c>
      <c r="J451">
        <f>YEAR(I451)</f>
        <v>2020</v>
      </c>
      <c r="K451" s="99">
        <v>44052</v>
      </c>
      <c r="L451" t="s">
        <v>8158</v>
      </c>
      <c r="M451" t="s">
        <v>861</v>
      </c>
    </row>
    <row r="452" spans="2:13" x14ac:dyDescent="0.2">
      <c r="B452">
        <v>10836</v>
      </c>
      <c r="C452" t="s">
        <v>8340</v>
      </c>
      <c r="D452" t="s">
        <v>8244</v>
      </c>
      <c r="E452" s="225">
        <v>997.5</v>
      </c>
      <c r="F452" t="s">
        <v>8283</v>
      </c>
      <c r="G452" t="s">
        <v>8284</v>
      </c>
      <c r="H452" t="s">
        <v>8282</v>
      </c>
      <c r="I452" s="99">
        <v>44047</v>
      </c>
      <c r="J452">
        <f>YEAR(I452)</f>
        <v>2020</v>
      </c>
      <c r="K452" s="99">
        <v>44052</v>
      </c>
      <c r="L452" t="s">
        <v>8158</v>
      </c>
      <c r="M452" t="s">
        <v>861</v>
      </c>
    </row>
    <row r="453" spans="2:13" x14ac:dyDescent="0.2">
      <c r="B453">
        <v>10895</v>
      </c>
      <c r="C453" t="s">
        <v>8270</v>
      </c>
      <c r="D453" t="s">
        <v>8272</v>
      </c>
      <c r="E453" s="225">
        <v>495</v>
      </c>
      <c r="F453" t="s">
        <v>8283</v>
      </c>
      <c r="G453" t="s">
        <v>8284</v>
      </c>
      <c r="H453" t="s">
        <v>8282</v>
      </c>
      <c r="I453" s="99">
        <v>44079</v>
      </c>
      <c r="J453">
        <f>YEAR(I453)</f>
        <v>2020</v>
      </c>
      <c r="K453" s="99">
        <v>44084</v>
      </c>
      <c r="L453" t="s">
        <v>8257</v>
      </c>
      <c r="M453" t="s">
        <v>6984</v>
      </c>
    </row>
    <row r="454" spans="2:13" x14ac:dyDescent="0.2">
      <c r="B454">
        <v>10895</v>
      </c>
      <c r="C454" t="s">
        <v>8342</v>
      </c>
      <c r="D454" t="s">
        <v>8272</v>
      </c>
      <c r="E454" s="225">
        <v>810</v>
      </c>
      <c r="F454" t="s">
        <v>8283</v>
      </c>
      <c r="G454" t="s">
        <v>8284</v>
      </c>
      <c r="H454" t="s">
        <v>8282</v>
      </c>
      <c r="I454" s="99">
        <v>44079</v>
      </c>
      <c r="J454">
        <f>YEAR(I454)</f>
        <v>2020</v>
      </c>
      <c r="K454" s="99">
        <v>44084</v>
      </c>
      <c r="L454" t="s">
        <v>8257</v>
      </c>
      <c r="M454" t="s">
        <v>6984</v>
      </c>
    </row>
    <row r="455" spans="2:13" x14ac:dyDescent="0.2">
      <c r="B455">
        <v>10895</v>
      </c>
      <c r="C455" t="s">
        <v>8268</v>
      </c>
      <c r="D455" t="s">
        <v>8237</v>
      </c>
      <c r="E455" s="225">
        <v>3400</v>
      </c>
      <c r="F455" t="s">
        <v>8283</v>
      </c>
      <c r="G455" t="s">
        <v>8284</v>
      </c>
      <c r="H455" t="s">
        <v>8282</v>
      </c>
      <c r="I455" s="99">
        <v>44079</v>
      </c>
      <c r="J455">
        <f>YEAR(I455)</f>
        <v>2020</v>
      </c>
      <c r="K455" s="99">
        <v>44084</v>
      </c>
      <c r="L455" t="s">
        <v>8257</v>
      </c>
      <c r="M455" t="s">
        <v>6984</v>
      </c>
    </row>
    <row r="456" spans="2:13" x14ac:dyDescent="0.2">
      <c r="B456">
        <v>10968</v>
      </c>
      <c r="C456" t="s">
        <v>8270</v>
      </c>
      <c r="D456" t="s">
        <v>8272</v>
      </c>
      <c r="E456" s="225">
        <v>135</v>
      </c>
      <c r="F456" t="s">
        <v>8283</v>
      </c>
      <c r="G456" t="s">
        <v>8284</v>
      </c>
      <c r="H456" t="s">
        <v>8282</v>
      </c>
      <c r="I456" s="99">
        <v>44112</v>
      </c>
      <c r="J456">
        <f>YEAR(I456)</f>
        <v>2020</v>
      </c>
      <c r="K456" s="99">
        <v>44121</v>
      </c>
      <c r="L456" t="s">
        <v>8285</v>
      </c>
      <c r="M456" t="s">
        <v>2317</v>
      </c>
    </row>
    <row r="457" spans="2:13" x14ac:dyDescent="0.2">
      <c r="B457">
        <v>10968</v>
      </c>
      <c r="C457" t="s">
        <v>8299</v>
      </c>
      <c r="D457" t="s">
        <v>8237</v>
      </c>
      <c r="E457" s="225">
        <v>1140</v>
      </c>
      <c r="F457" t="s">
        <v>8283</v>
      </c>
      <c r="G457" t="s">
        <v>8284</v>
      </c>
      <c r="H457" t="s">
        <v>8282</v>
      </c>
      <c r="I457" s="99">
        <v>44112</v>
      </c>
      <c r="J457">
        <f>YEAR(I457)</f>
        <v>2020</v>
      </c>
      <c r="K457" s="99">
        <v>44121</v>
      </c>
      <c r="L457" t="s">
        <v>8285</v>
      </c>
      <c r="M457" t="s">
        <v>2317</v>
      </c>
    </row>
    <row r="458" spans="2:13" x14ac:dyDescent="0.2">
      <c r="B458">
        <v>10968</v>
      </c>
      <c r="C458" t="s">
        <v>8340</v>
      </c>
      <c r="D458" t="s">
        <v>8244</v>
      </c>
      <c r="E458" s="225">
        <v>133</v>
      </c>
      <c r="F458" t="s">
        <v>8283</v>
      </c>
      <c r="G458" t="s">
        <v>8284</v>
      </c>
      <c r="H458" t="s">
        <v>8282</v>
      </c>
      <c r="I458" s="99">
        <v>44112</v>
      </c>
      <c r="J458">
        <f>YEAR(I458)</f>
        <v>2020</v>
      </c>
      <c r="K458" s="99">
        <v>44121</v>
      </c>
      <c r="L458" t="s">
        <v>8285</v>
      </c>
      <c r="M458" t="s">
        <v>2317</v>
      </c>
    </row>
    <row r="459" spans="2:13" x14ac:dyDescent="0.2">
      <c r="B459">
        <v>10979</v>
      </c>
      <c r="C459" t="s">
        <v>8270</v>
      </c>
      <c r="D459" t="s">
        <v>8272</v>
      </c>
      <c r="E459" s="225">
        <v>360</v>
      </c>
      <c r="F459" t="s">
        <v>8283</v>
      </c>
      <c r="G459" t="s">
        <v>8284</v>
      </c>
      <c r="H459" t="s">
        <v>8282</v>
      </c>
      <c r="I459" s="99">
        <v>44115</v>
      </c>
      <c r="J459">
        <f>YEAR(I459)</f>
        <v>2020</v>
      </c>
      <c r="K459" s="99">
        <v>44120</v>
      </c>
      <c r="L459" t="s">
        <v>8320</v>
      </c>
      <c r="M459" t="s">
        <v>8321</v>
      </c>
    </row>
    <row r="460" spans="2:13" x14ac:dyDescent="0.2">
      <c r="B460">
        <v>10979</v>
      </c>
      <c r="C460" t="s">
        <v>8317</v>
      </c>
      <c r="D460" t="s">
        <v>8254</v>
      </c>
      <c r="E460" s="225">
        <v>1536.5</v>
      </c>
      <c r="F460" t="s">
        <v>8283</v>
      </c>
      <c r="G460" t="s">
        <v>8284</v>
      </c>
      <c r="H460" t="s">
        <v>8282</v>
      </c>
      <c r="I460" s="99">
        <v>44115</v>
      </c>
      <c r="J460">
        <f>YEAR(I460)</f>
        <v>2020</v>
      </c>
      <c r="K460" s="99">
        <v>44120</v>
      </c>
      <c r="L460" t="s">
        <v>8320</v>
      </c>
      <c r="M460" t="s">
        <v>8321</v>
      </c>
    </row>
    <row r="461" spans="2:13" x14ac:dyDescent="0.2">
      <c r="B461">
        <v>10979</v>
      </c>
      <c r="C461" t="s">
        <v>8332</v>
      </c>
      <c r="D461" t="s">
        <v>8262</v>
      </c>
      <c r="E461" s="225">
        <v>1317</v>
      </c>
      <c r="F461" t="s">
        <v>8283</v>
      </c>
      <c r="G461" t="s">
        <v>8284</v>
      </c>
      <c r="H461" t="s">
        <v>8282</v>
      </c>
      <c r="I461" s="99">
        <v>44115</v>
      </c>
      <c r="J461">
        <f>YEAR(I461)</f>
        <v>2020</v>
      </c>
      <c r="K461" s="99">
        <v>44120</v>
      </c>
      <c r="L461" t="s">
        <v>8320</v>
      </c>
      <c r="M461" t="s">
        <v>8321</v>
      </c>
    </row>
    <row r="462" spans="2:13" x14ac:dyDescent="0.2">
      <c r="B462">
        <v>10979</v>
      </c>
      <c r="C462" t="s">
        <v>8299</v>
      </c>
      <c r="D462" t="s">
        <v>8237</v>
      </c>
      <c r="E462" s="225">
        <v>760</v>
      </c>
      <c r="F462" t="s">
        <v>8283</v>
      </c>
      <c r="G462" t="s">
        <v>8284</v>
      </c>
      <c r="H462" t="s">
        <v>8282</v>
      </c>
      <c r="I462" s="99">
        <v>44115</v>
      </c>
      <c r="J462">
        <f>YEAR(I462)</f>
        <v>2020</v>
      </c>
      <c r="K462" s="99">
        <v>44120</v>
      </c>
      <c r="L462" t="s">
        <v>8320</v>
      </c>
      <c r="M462" t="s">
        <v>8321</v>
      </c>
    </row>
    <row r="463" spans="2:13" x14ac:dyDescent="0.2">
      <c r="B463">
        <v>10979</v>
      </c>
      <c r="C463" t="s">
        <v>8309</v>
      </c>
      <c r="D463" t="s">
        <v>8237</v>
      </c>
      <c r="E463" s="225">
        <v>300</v>
      </c>
      <c r="F463" t="s">
        <v>8283</v>
      </c>
      <c r="G463" t="s">
        <v>8284</v>
      </c>
      <c r="H463" t="s">
        <v>8282</v>
      </c>
      <c r="I463" s="99">
        <v>44115</v>
      </c>
      <c r="J463">
        <f>YEAR(I463)</f>
        <v>2020</v>
      </c>
      <c r="K463" s="99">
        <v>44120</v>
      </c>
      <c r="L463" t="s">
        <v>8320</v>
      </c>
      <c r="M463" t="s">
        <v>8321</v>
      </c>
    </row>
    <row r="464" spans="2:13" x14ac:dyDescent="0.2">
      <c r="B464">
        <v>10979</v>
      </c>
      <c r="C464" t="s">
        <v>8415</v>
      </c>
      <c r="D464" t="s">
        <v>8247</v>
      </c>
      <c r="E464" s="225">
        <v>540</v>
      </c>
      <c r="F464" t="s">
        <v>8283</v>
      </c>
      <c r="G464" t="s">
        <v>8284</v>
      </c>
      <c r="H464" t="s">
        <v>8282</v>
      </c>
      <c r="I464" s="99">
        <v>44115</v>
      </c>
      <c r="J464">
        <f>YEAR(I464)</f>
        <v>2020</v>
      </c>
      <c r="K464" s="99">
        <v>44120</v>
      </c>
      <c r="L464" t="s">
        <v>8320</v>
      </c>
      <c r="M464" t="s">
        <v>8321</v>
      </c>
    </row>
    <row r="465" spans="2:13" x14ac:dyDescent="0.2">
      <c r="B465">
        <v>10990</v>
      </c>
      <c r="C465" t="s">
        <v>8358</v>
      </c>
      <c r="D465" t="s">
        <v>8272</v>
      </c>
      <c r="E465" s="225">
        <v>714</v>
      </c>
      <c r="F465" t="s">
        <v>8283</v>
      </c>
      <c r="G465" t="s">
        <v>8284</v>
      </c>
      <c r="H465" t="s">
        <v>8282</v>
      </c>
      <c r="I465" s="99">
        <v>44121</v>
      </c>
      <c r="J465">
        <f>YEAR(I465)</f>
        <v>2020</v>
      </c>
      <c r="K465" s="99">
        <v>44127</v>
      </c>
      <c r="L465" t="s">
        <v>8297</v>
      </c>
      <c r="M465" t="s">
        <v>8298</v>
      </c>
    </row>
    <row r="466" spans="2:13" x14ac:dyDescent="0.2">
      <c r="B466">
        <v>10990</v>
      </c>
      <c r="C466" t="s">
        <v>8409</v>
      </c>
      <c r="D466" t="s">
        <v>8254</v>
      </c>
      <c r="E466" s="225">
        <v>1598.85</v>
      </c>
      <c r="F466" t="s">
        <v>8283</v>
      </c>
      <c r="G466" t="s">
        <v>8284</v>
      </c>
      <c r="H466" t="s">
        <v>8282</v>
      </c>
      <c r="I466" s="99">
        <v>44121</v>
      </c>
      <c r="J466">
        <f>YEAR(I466)</f>
        <v>2020</v>
      </c>
      <c r="K466" s="99">
        <v>44127</v>
      </c>
      <c r="L466" t="s">
        <v>8297</v>
      </c>
      <c r="M466" t="s">
        <v>8298</v>
      </c>
    </row>
    <row r="467" spans="2:13" x14ac:dyDescent="0.2">
      <c r="B467">
        <v>10990</v>
      </c>
      <c r="C467" t="s">
        <v>8368</v>
      </c>
      <c r="D467" t="s">
        <v>8262</v>
      </c>
      <c r="E467" s="225">
        <v>650</v>
      </c>
      <c r="F467" t="s">
        <v>8283</v>
      </c>
      <c r="G467" t="s">
        <v>8284</v>
      </c>
      <c r="H467" t="s">
        <v>8282</v>
      </c>
      <c r="I467" s="99">
        <v>44121</v>
      </c>
      <c r="J467">
        <f>YEAR(I467)</f>
        <v>2020</v>
      </c>
      <c r="K467" s="99">
        <v>44127</v>
      </c>
      <c r="L467" t="s">
        <v>8297</v>
      </c>
      <c r="M467" t="s">
        <v>8298</v>
      </c>
    </row>
    <row r="468" spans="2:13" x14ac:dyDescent="0.2">
      <c r="B468">
        <v>11008</v>
      </c>
      <c r="C468" t="s">
        <v>8358</v>
      </c>
      <c r="D468" t="s">
        <v>8272</v>
      </c>
      <c r="E468" s="225">
        <v>1197</v>
      </c>
      <c r="F468" t="s">
        <v>8283</v>
      </c>
      <c r="G468" t="s">
        <v>8284</v>
      </c>
      <c r="H468" t="s">
        <v>8282</v>
      </c>
      <c r="I468" s="99">
        <v>44128</v>
      </c>
      <c r="J468">
        <f>YEAR(I468)</f>
        <v>2020</v>
      </c>
      <c r="L468" t="s">
        <v>8158</v>
      </c>
      <c r="M468" t="s">
        <v>861</v>
      </c>
    </row>
    <row r="469" spans="2:13" x14ac:dyDescent="0.2">
      <c r="B469">
        <v>11008</v>
      </c>
      <c r="C469" t="s">
        <v>8310</v>
      </c>
      <c r="D469" t="s">
        <v>8237</v>
      </c>
      <c r="E469" s="225">
        <v>451.5</v>
      </c>
      <c r="F469" t="s">
        <v>8283</v>
      </c>
      <c r="G469" t="s">
        <v>8284</v>
      </c>
      <c r="H469" t="s">
        <v>8282</v>
      </c>
      <c r="I469" s="99">
        <v>44128</v>
      </c>
      <c r="J469">
        <f>YEAR(I469)</f>
        <v>2020</v>
      </c>
      <c r="L469" t="s">
        <v>8158</v>
      </c>
      <c r="M469" t="s">
        <v>861</v>
      </c>
    </row>
    <row r="470" spans="2:13" x14ac:dyDescent="0.2">
      <c r="B470">
        <v>11008</v>
      </c>
      <c r="C470" t="s">
        <v>8316</v>
      </c>
      <c r="D470" t="s">
        <v>8247</v>
      </c>
      <c r="E470" s="225">
        <v>3032.4</v>
      </c>
      <c r="F470" t="s">
        <v>8283</v>
      </c>
      <c r="G470" t="s">
        <v>8284</v>
      </c>
      <c r="H470" t="s">
        <v>8282</v>
      </c>
      <c r="I470" s="99">
        <v>44128</v>
      </c>
      <c r="J470">
        <f>YEAR(I470)</f>
        <v>2020</v>
      </c>
      <c r="L470" t="s">
        <v>8158</v>
      </c>
      <c r="M470" t="s">
        <v>861</v>
      </c>
    </row>
    <row r="471" spans="2:13" x14ac:dyDescent="0.2">
      <c r="B471">
        <v>11017</v>
      </c>
      <c r="C471" t="s">
        <v>8288</v>
      </c>
      <c r="D471" t="s">
        <v>8272</v>
      </c>
      <c r="E471" s="225">
        <v>450</v>
      </c>
      <c r="F471" t="s">
        <v>8283</v>
      </c>
      <c r="G471" t="s">
        <v>8284</v>
      </c>
      <c r="H471" t="s">
        <v>8282</v>
      </c>
      <c r="I471" s="99">
        <v>44133</v>
      </c>
      <c r="J471">
        <f>YEAR(I471)</f>
        <v>2020</v>
      </c>
      <c r="K471" s="99">
        <v>44140</v>
      </c>
      <c r="L471" t="s">
        <v>8279</v>
      </c>
      <c r="M471" t="s">
        <v>710</v>
      </c>
    </row>
    <row r="472" spans="2:13" x14ac:dyDescent="0.2">
      <c r="B472">
        <v>11017</v>
      </c>
      <c r="C472" t="s">
        <v>8337</v>
      </c>
      <c r="D472" t="s">
        <v>8254</v>
      </c>
      <c r="E472" s="225">
        <v>250</v>
      </c>
      <c r="F472" t="s">
        <v>8283</v>
      </c>
      <c r="G472" t="s">
        <v>8284</v>
      </c>
      <c r="H472" t="s">
        <v>8282</v>
      </c>
      <c r="I472" s="99">
        <v>44133</v>
      </c>
      <c r="J472">
        <f>YEAR(I472)</f>
        <v>2020</v>
      </c>
      <c r="K472" s="99">
        <v>44140</v>
      </c>
      <c r="L472" t="s">
        <v>8279</v>
      </c>
      <c r="M472" t="s">
        <v>710</v>
      </c>
    </row>
    <row r="473" spans="2:13" x14ac:dyDescent="0.2">
      <c r="B473">
        <v>11017</v>
      </c>
      <c r="C473" t="s">
        <v>8281</v>
      </c>
      <c r="D473" t="s">
        <v>8237</v>
      </c>
      <c r="E473" s="225">
        <v>6050</v>
      </c>
      <c r="F473" t="s">
        <v>8283</v>
      </c>
      <c r="G473" t="s">
        <v>8284</v>
      </c>
      <c r="H473" t="s">
        <v>8282</v>
      </c>
      <c r="I473" s="99">
        <v>44133</v>
      </c>
      <c r="J473">
        <f>YEAR(I473)</f>
        <v>2020</v>
      </c>
      <c r="K473" s="99">
        <v>44140</v>
      </c>
      <c r="L473" t="s">
        <v>8279</v>
      </c>
      <c r="M473" t="s">
        <v>710</v>
      </c>
    </row>
    <row r="474" spans="2:13" x14ac:dyDescent="0.2">
      <c r="B474">
        <v>11072</v>
      </c>
      <c r="C474" t="s">
        <v>8276</v>
      </c>
      <c r="D474" t="s">
        <v>8272</v>
      </c>
      <c r="E474" s="225">
        <v>152</v>
      </c>
      <c r="F474" t="s">
        <v>8283</v>
      </c>
      <c r="G474" t="s">
        <v>8284</v>
      </c>
      <c r="H474" t="s">
        <v>8282</v>
      </c>
      <c r="I474" s="99">
        <v>44155</v>
      </c>
      <c r="J474">
        <f>YEAR(I474)</f>
        <v>2020</v>
      </c>
      <c r="L474" t="s">
        <v>8266</v>
      </c>
      <c r="M474" t="s">
        <v>8267</v>
      </c>
    </row>
    <row r="475" spans="2:13" x14ac:dyDescent="0.2">
      <c r="B475">
        <v>11072</v>
      </c>
      <c r="C475" t="s">
        <v>8381</v>
      </c>
      <c r="D475" t="s">
        <v>8262</v>
      </c>
      <c r="E475" s="225">
        <v>357.5</v>
      </c>
      <c r="F475" t="s">
        <v>8283</v>
      </c>
      <c r="G475" t="s">
        <v>8284</v>
      </c>
      <c r="H475" t="s">
        <v>8282</v>
      </c>
      <c r="I475" s="99">
        <v>44155</v>
      </c>
      <c r="J475">
        <f>YEAR(I475)</f>
        <v>2020</v>
      </c>
      <c r="L475" t="s">
        <v>8266</v>
      </c>
      <c r="M475" t="s">
        <v>8267</v>
      </c>
    </row>
    <row r="476" spans="2:13" x14ac:dyDescent="0.2">
      <c r="B476">
        <v>11072</v>
      </c>
      <c r="C476" t="s">
        <v>8340</v>
      </c>
      <c r="D476" t="s">
        <v>8244</v>
      </c>
      <c r="E476" s="225">
        <v>4322.5</v>
      </c>
      <c r="F476" t="s">
        <v>8283</v>
      </c>
      <c r="G476" t="s">
        <v>8284</v>
      </c>
      <c r="H476" t="s">
        <v>8282</v>
      </c>
      <c r="I476" s="99">
        <v>44155</v>
      </c>
      <c r="J476">
        <f>YEAR(I476)</f>
        <v>2020</v>
      </c>
      <c r="L476" t="s">
        <v>8266</v>
      </c>
      <c r="M476" t="s">
        <v>8267</v>
      </c>
    </row>
    <row r="477" spans="2:13" x14ac:dyDescent="0.2">
      <c r="B477">
        <v>10347</v>
      </c>
      <c r="C477" t="s">
        <v>8342</v>
      </c>
      <c r="D477" t="s">
        <v>8272</v>
      </c>
      <c r="E477" s="225">
        <v>612</v>
      </c>
      <c r="F477" t="s">
        <v>8762</v>
      </c>
      <c r="G477" t="s">
        <v>8761</v>
      </c>
      <c r="H477" t="s">
        <v>8710</v>
      </c>
      <c r="I477" s="99">
        <v>43611</v>
      </c>
      <c r="J477">
        <f>YEAR(I477)</f>
        <v>2019</v>
      </c>
      <c r="K477" s="99">
        <v>43613</v>
      </c>
      <c r="L477" t="s">
        <v>8266</v>
      </c>
      <c r="M477" t="s">
        <v>8267</v>
      </c>
    </row>
    <row r="478" spans="2:13" x14ac:dyDescent="0.2">
      <c r="B478">
        <v>10347</v>
      </c>
      <c r="C478" t="s">
        <v>8328</v>
      </c>
      <c r="D478" t="s">
        <v>8272</v>
      </c>
      <c r="E478" s="225">
        <v>31.62</v>
      </c>
      <c r="F478" t="s">
        <v>8762</v>
      </c>
      <c r="G478" t="s">
        <v>8761</v>
      </c>
      <c r="H478" t="s">
        <v>8710</v>
      </c>
      <c r="I478" s="99">
        <v>43611</v>
      </c>
      <c r="J478">
        <f>YEAR(I478)</f>
        <v>2019</v>
      </c>
      <c r="K478" s="99">
        <v>43613</v>
      </c>
      <c r="L478" t="s">
        <v>8266</v>
      </c>
      <c r="M478" t="s">
        <v>8267</v>
      </c>
    </row>
    <row r="479" spans="2:13" x14ac:dyDescent="0.2">
      <c r="B479">
        <v>10347</v>
      </c>
      <c r="C479" t="s">
        <v>8362</v>
      </c>
      <c r="D479" t="s">
        <v>8262</v>
      </c>
      <c r="E479" s="225">
        <v>112</v>
      </c>
      <c r="F479" t="s">
        <v>8762</v>
      </c>
      <c r="G479" t="s">
        <v>8761</v>
      </c>
      <c r="H479" t="s">
        <v>8710</v>
      </c>
      <c r="I479" s="99">
        <v>43611</v>
      </c>
      <c r="J479">
        <f>YEAR(I479)</f>
        <v>2019</v>
      </c>
      <c r="K479" s="99">
        <v>43613</v>
      </c>
      <c r="L479" t="s">
        <v>8266</v>
      </c>
      <c r="M479" t="s">
        <v>8267</v>
      </c>
    </row>
    <row r="480" spans="2:13" x14ac:dyDescent="0.2">
      <c r="B480">
        <v>10386</v>
      </c>
      <c r="C480" t="s">
        <v>8270</v>
      </c>
      <c r="D480" t="s">
        <v>8272</v>
      </c>
      <c r="E480" s="225">
        <v>54</v>
      </c>
      <c r="F480" t="s">
        <v>8762</v>
      </c>
      <c r="G480" t="s">
        <v>8761</v>
      </c>
      <c r="H480" t="s">
        <v>8710</v>
      </c>
      <c r="I480" s="99">
        <v>43653</v>
      </c>
      <c r="J480">
        <f>YEAR(I480)</f>
        <v>2019</v>
      </c>
      <c r="K480" s="99">
        <v>43660</v>
      </c>
      <c r="L480" t="s">
        <v>8279</v>
      </c>
      <c r="M480" t="s">
        <v>710</v>
      </c>
    </row>
    <row r="481" spans="2:13" x14ac:dyDescent="0.2">
      <c r="B481">
        <v>10386</v>
      </c>
      <c r="C481" t="s">
        <v>8358</v>
      </c>
      <c r="D481" t="s">
        <v>8272</v>
      </c>
      <c r="E481" s="225">
        <v>112</v>
      </c>
      <c r="F481" t="s">
        <v>8762</v>
      </c>
      <c r="G481" t="s">
        <v>8761</v>
      </c>
      <c r="H481" t="s">
        <v>8710</v>
      </c>
      <c r="I481" s="99">
        <v>43653</v>
      </c>
      <c r="J481">
        <f>YEAR(I481)</f>
        <v>2019</v>
      </c>
      <c r="K481" s="99">
        <v>43660</v>
      </c>
      <c r="L481" t="s">
        <v>8279</v>
      </c>
      <c r="M481" t="s">
        <v>710</v>
      </c>
    </row>
    <row r="482" spans="2:13" x14ac:dyDescent="0.2">
      <c r="B482">
        <v>10414</v>
      </c>
      <c r="C482" t="s">
        <v>8327</v>
      </c>
      <c r="D482" t="s">
        <v>8262</v>
      </c>
      <c r="E482" s="225">
        <v>124.83</v>
      </c>
      <c r="F482" t="s">
        <v>8762</v>
      </c>
      <c r="G482" t="s">
        <v>8761</v>
      </c>
      <c r="H482" t="s">
        <v>8710</v>
      </c>
      <c r="I482" s="99">
        <v>43680</v>
      </c>
      <c r="J482">
        <f>YEAR(I482)</f>
        <v>2019</v>
      </c>
      <c r="K482" s="99">
        <v>43683</v>
      </c>
      <c r="L482" t="s">
        <v>8297</v>
      </c>
      <c r="M482" t="s">
        <v>8298</v>
      </c>
    </row>
    <row r="483" spans="2:13" x14ac:dyDescent="0.2">
      <c r="B483">
        <v>10414</v>
      </c>
      <c r="C483" t="s">
        <v>8269</v>
      </c>
      <c r="D483" t="s">
        <v>8237</v>
      </c>
      <c r="E483" s="225">
        <v>100</v>
      </c>
      <c r="F483" t="s">
        <v>8762</v>
      </c>
      <c r="G483" t="s">
        <v>8761</v>
      </c>
      <c r="H483" t="s">
        <v>8710</v>
      </c>
      <c r="I483" s="99">
        <v>43680</v>
      </c>
      <c r="J483">
        <f>YEAR(I483)</f>
        <v>2019</v>
      </c>
      <c r="K483" s="99">
        <v>43683</v>
      </c>
      <c r="L483" t="s">
        <v>8297</v>
      </c>
      <c r="M483" t="s">
        <v>8298</v>
      </c>
    </row>
    <row r="484" spans="2:13" x14ac:dyDescent="0.2">
      <c r="B484">
        <v>10512</v>
      </c>
      <c r="C484" t="s">
        <v>8270</v>
      </c>
      <c r="D484" t="s">
        <v>8272</v>
      </c>
      <c r="E484" s="225">
        <v>38.25</v>
      </c>
      <c r="F484" t="s">
        <v>8762</v>
      </c>
      <c r="G484" t="s">
        <v>8761</v>
      </c>
      <c r="H484" t="s">
        <v>8710</v>
      </c>
      <c r="I484" s="99">
        <v>43777</v>
      </c>
      <c r="J484">
        <f>YEAR(I484)</f>
        <v>2019</v>
      </c>
      <c r="K484" s="99">
        <v>43780</v>
      </c>
      <c r="L484" t="s">
        <v>8158</v>
      </c>
      <c r="M484" t="s">
        <v>861</v>
      </c>
    </row>
    <row r="485" spans="2:13" x14ac:dyDescent="0.2">
      <c r="B485">
        <v>10512</v>
      </c>
      <c r="C485" t="s">
        <v>8410</v>
      </c>
      <c r="D485" t="s">
        <v>8262</v>
      </c>
      <c r="E485" s="225">
        <v>48.45</v>
      </c>
      <c r="F485" t="s">
        <v>8762</v>
      </c>
      <c r="G485" t="s">
        <v>8761</v>
      </c>
      <c r="H485" t="s">
        <v>8710</v>
      </c>
      <c r="I485" s="99">
        <v>43777</v>
      </c>
      <c r="J485">
        <f>YEAR(I485)</f>
        <v>2019</v>
      </c>
      <c r="K485" s="99">
        <v>43780</v>
      </c>
      <c r="L485" t="s">
        <v>8158</v>
      </c>
      <c r="M485" t="s">
        <v>861</v>
      </c>
    </row>
    <row r="486" spans="2:13" x14ac:dyDescent="0.2">
      <c r="B486">
        <v>10512</v>
      </c>
      <c r="C486" t="s">
        <v>8268</v>
      </c>
      <c r="D486" t="s">
        <v>8237</v>
      </c>
      <c r="E486" s="225">
        <v>346.8</v>
      </c>
      <c r="F486" t="s">
        <v>8762</v>
      </c>
      <c r="G486" t="s">
        <v>8761</v>
      </c>
      <c r="H486" t="s">
        <v>8710</v>
      </c>
      <c r="I486" s="99">
        <v>43777</v>
      </c>
      <c r="J486">
        <f>YEAR(I486)</f>
        <v>2019</v>
      </c>
      <c r="K486" s="99">
        <v>43780</v>
      </c>
      <c r="L486" t="s">
        <v>8158</v>
      </c>
      <c r="M486" t="s">
        <v>861</v>
      </c>
    </row>
    <row r="487" spans="2:13" x14ac:dyDescent="0.2">
      <c r="B487">
        <v>10581</v>
      </c>
      <c r="C487" t="s">
        <v>8328</v>
      </c>
      <c r="D487" t="s">
        <v>8272</v>
      </c>
      <c r="E487" s="225">
        <v>310</v>
      </c>
      <c r="F487" t="s">
        <v>8762</v>
      </c>
      <c r="G487" t="s">
        <v>8761</v>
      </c>
      <c r="H487" t="s">
        <v>8710</v>
      </c>
      <c r="I487" s="99">
        <v>43843</v>
      </c>
      <c r="J487">
        <f>YEAR(I487)</f>
        <v>2020</v>
      </c>
      <c r="K487" s="99">
        <v>43849</v>
      </c>
      <c r="L487" t="s">
        <v>8257</v>
      </c>
      <c r="M487" t="s">
        <v>6984</v>
      </c>
    </row>
    <row r="488" spans="2:13" x14ac:dyDescent="0.2">
      <c r="B488">
        <v>10725</v>
      </c>
      <c r="C488" t="s">
        <v>8369</v>
      </c>
      <c r="D488" t="s">
        <v>8244</v>
      </c>
      <c r="E488" s="225">
        <v>28</v>
      </c>
      <c r="F488" t="s">
        <v>8762</v>
      </c>
      <c r="G488" t="s">
        <v>8761</v>
      </c>
      <c r="H488" t="s">
        <v>8710</v>
      </c>
      <c r="I488" s="99">
        <v>43970</v>
      </c>
      <c r="J488">
        <f>YEAR(I488)</f>
        <v>2020</v>
      </c>
      <c r="K488" s="99">
        <v>43975</v>
      </c>
      <c r="L488" t="s">
        <v>8266</v>
      </c>
      <c r="M488" t="s">
        <v>8267</v>
      </c>
    </row>
    <row r="489" spans="2:13" x14ac:dyDescent="0.2">
      <c r="B489">
        <v>10408</v>
      </c>
      <c r="C489" t="s">
        <v>8291</v>
      </c>
      <c r="D489" t="s">
        <v>8262</v>
      </c>
      <c r="E489" s="225">
        <v>1379</v>
      </c>
      <c r="F489" t="s">
        <v>8407</v>
      </c>
      <c r="G489" t="s">
        <v>8408</v>
      </c>
      <c r="H489" t="s">
        <v>8236</v>
      </c>
      <c r="I489" s="99">
        <v>43674</v>
      </c>
      <c r="J489">
        <f>YEAR(I489)</f>
        <v>2019</v>
      </c>
      <c r="K489" s="99">
        <v>43680</v>
      </c>
      <c r="L489" t="s">
        <v>8320</v>
      </c>
      <c r="M489" t="s">
        <v>8321</v>
      </c>
    </row>
    <row r="490" spans="2:13" x14ac:dyDescent="0.2">
      <c r="B490">
        <v>10480</v>
      </c>
      <c r="C490" t="s">
        <v>8410</v>
      </c>
      <c r="D490" t="s">
        <v>8262</v>
      </c>
      <c r="E490" s="225">
        <v>228</v>
      </c>
      <c r="F490" t="s">
        <v>8407</v>
      </c>
      <c r="G490" t="s">
        <v>8408</v>
      </c>
      <c r="H490" t="s">
        <v>8236</v>
      </c>
      <c r="I490" s="99">
        <v>43745</v>
      </c>
      <c r="J490">
        <f>YEAR(I490)</f>
        <v>2019</v>
      </c>
      <c r="K490" s="99">
        <v>43749</v>
      </c>
      <c r="L490" t="s">
        <v>8251</v>
      </c>
      <c r="M490" t="s">
        <v>269</v>
      </c>
    </row>
    <row r="491" spans="2:13" x14ac:dyDescent="0.2">
      <c r="B491">
        <v>10480</v>
      </c>
      <c r="C491" t="s">
        <v>8281</v>
      </c>
      <c r="D491" t="s">
        <v>8237</v>
      </c>
      <c r="E491" s="225">
        <v>528</v>
      </c>
      <c r="F491" t="s">
        <v>8407</v>
      </c>
      <c r="G491" t="s">
        <v>8408</v>
      </c>
      <c r="H491" t="s">
        <v>8236</v>
      </c>
      <c r="I491" s="99">
        <v>43745</v>
      </c>
      <c r="J491">
        <f>YEAR(I491)</f>
        <v>2019</v>
      </c>
      <c r="K491" s="99">
        <v>43749</v>
      </c>
      <c r="L491" t="s">
        <v>8251</v>
      </c>
      <c r="M491" t="s">
        <v>269</v>
      </c>
    </row>
    <row r="492" spans="2:13" x14ac:dyDescent="0.2">
      <c r="B492">
        <v>10634</v>
      </c>
      <c r="C492" t="s">
        <v>8328</v>
      </c>
      <c r="D492" t="s">
        <v>8272</v>
      </c>
      <c r="E492" s="225">
        <v>15.5</v>
      </c>
      <c r="F492" t="s">
        <v>8407</v>
      </c>
      <c r="G492" t="s">
        <v>8408</v>
      </c>
      <c r="H492" t="s">
        <v>8236</v>
      </c>
      <c r="I492" s="99">
        <v>43893</v>
      </c>
      <c r="J492">
        <f>YEAR(I492)</f>
        <v>2020</v>
      </c>
      <c r="K492" s="99">
        <v>43899</v>
      </c>
      <c r="L492" t="s">
        <v>8266</v>
      </c>
      <c r="M492" t="s">
        <v>8267</v>
      </c>
    </row>
    <row r="493" spans="2:13" x14ac:dyDescent="0.2">
      <c r="B493">
        <v>10634</v>
      </c>
      <c r="C493" t="s">
        <v>8415</v>
      </c>
      <c r="D493" t="s">
        <v>8247</v>
      </c>
      <c r="E493" s="225">
        <v>1050</v>
      </c>
      <c r="F493" t="s">
        <v>8407</v>
      </c>
      <c r="G493" t="s">
        <v>8408</v>
      </c>
      <c r="H493" t="s">
        <v>8236</v>
      </c>
      <c r="I493" s="99">
        <v>43893</v>
      </c>
      <c r="J493">
        <f>YEAR(I493)</f>
        <v>2020</v>
      </c>
      <c r="K493" s="99">
        <v>43899</v>
      </c>
      <c r="L493" t="s">
        <v>8266</v>
      </c>
      <c r="M493" t="s">
        <v>8267</v>
      </c>
    </row>
    <row r="494" spans="2:13" x14ac:dyDescent="0.2">
      <c r="B494">
        <v>10634</v>
      </c>
      <c r="C494" t="s">
        <v>8245</v>
      </c>
      <c r="D494" t="s">
        <v>8247</v>
      </c>
      <c r="E494" s="225">
        <v>795</v>
      </c>
      <c r="F494" t="s">
        <v>8407</v>
      </c>
      <c r="G494" t="s">
        <v>8408</v>
      </c>
      <c r="H494" t="s">
        <v>8236</v>
      </c>
      <c r="I494" s="99">
        <v>43893</v>
      </c>
      <c r="J494">
        <f>YEAR(I494)</f>
        <v>2020</v>
      </c>
      <c r="K494" s="99">
        <v>43899</v>
      </c>
      <c r="L494" t="s">
        <v>8266</v>
      </c>
      <c r="M494" t="s">
        <v>8267</v>
      </c>
    </row>
    <row r="495" spans="2:13" x14ac:dyDescent="0.2">
      <c r="B495">
        <v>10763</v>
      </c>
      <c r="C495" t="s">
        <v>8270</v>
      </c>
      <c r="D495" t="s">
        <v>8272</v>
      </c>
      <c r="E495" s="225">
        <v>90</v>
      </c>
      <c r="F495" t="s">
        <v>8407</v>
      </c>
      <c r="G495" t="s">
        <v>8408</v>
      </c>
      <c r="H495" t="s">
        <v>8236</v>
      </c>
      <c r="I495" s="99">
        <v>44003</v>
      </c>
      <c r="J495">
        <f>YEAR(I495)</f>
        <v>2020</v>
      </c>
      <c r="K495" s="99">
        <v>44008</v>
      </c>
      <c r="L495" t="s">
        <v>8257</v>
      </c>
      <c r="M495" t="s">
        <v>6984</v>
      </c>
    </row>
    <row r="496" spans="2:13" x14ac:dyDescent="0.2">
      <c r="B496">
        <v>10763</v>
      </c>
      <c r="C496" t="s">
        <v>8368</v>
      </c>
      <c r="D496" t="s">
        <v>8262</v>
      </c>
      <c r="E496" s="225">
        <v>400</v>
      </c>
      <c r="F496" t="s">
        <v>8407</v>
      </c>
      <c r="G496" t="s">
        <v>8408</v>
      </c>
      <c r="H496" t="s">
        <v>8236</v>
      </c>
      <c r="I496" s="99">
        <v>44003</v>
      </c>
      <c r="J496">
        <f>YEAR(I496)</f>
        <v>2020</v>
      </c>
      <c r="K496" s="99">
        <v>44008</v>
      </c>
      <c r="L496" t="s">
        <v>8257</v>
      </c>
      <c r="M496" t="s">
        <v>6984</v>
      </c>
    </row>
    <row r="497" spans="2:13" x14ac:dyDescent="0.2">
      <c r="B497">
        <v>10763</v>
      </c>
      <c r="C497" t="s">
        <v>8259</v>
      </c>
      <c r="D497" t="s">
        <v>8244</v>
      </c>
      <c r="E497" s="225">
        <v>126</v>
      </c>
      <c r="F497" t="s">
        <v>8407</v>
      </c>
      <c r="G497" t="s">
        <v>8408</v>
      </c>
      <c r="H497" t="s">
        <v>8236</v>
      </c>
      <c r="I497" s="99">
        <v>44003</v>
      </c>
      <c r="J497">
        <f>YEAR(I497)</f>
        <v>2020</v>
      </c>
      <c r="K497" s="99">
        <v>44008</v>
      </c>
      <c r="L497" t="s">
        <v>8257</v>
      </c>
      <c r="M497" t="s">
        <v>6984</v>
      </c>
    </row>
    <row r="498" spans="2:13" x14ac:dyDescent="0.2">
      <c r="B498">
        <v>10789</v>
      </c>
      <c r="C498" t="s">
        <v>8323</v>
      </c>
      <c r="D498" t="s">
        <v>8272</v>
      </c>
      <c r="E498" s="225">
        <v>270</v>
      </c>
      <c r="F498" t="s">
        <v>8407</v>
      </c>
      <c r="G498" t="s">
        <v>8408</v>
      </c>
      <c r="H498" t="s">
        <v>8236</v>
      </c>
      <c r="I498" s="99">
        <v>44022</v>
      </c>
      <c r="J498">
        <f>YEAR(I498)</f>
        <v>2020</v>
      </c>
      <c r="K498" s="99">
        <v>44031</v>
      </c>
      <c r="L498" t="s">
        <v>8285</v>
      </c>
      <c r="M498" t="s">
        <v>2317</v>
      </c>
    </row>
    <row r="499" spans="2:13" x14ac:dyDescent="0.2">
      <c r="B499">
        <v>10789</v>
      </c>
      <c r="C499" t="s">
        <v>8317</v>
      </c>
      <c r="D499" t="s">
        <v>8254</v>
      </c>
      <c r="E499" s="225">
        <v>1317</v>
      </c>
      <c r="F499" t="s">
        <v>8407</v>
      </c>
      <c r="G499" t="s">
        <v>8408</v>
      </c>
      <c r="H499" t="s">
        <v>8236</v>
      </c>
      <c r="I499" s="99">
        <v>44022</v>
      </c>
      <c r="J499">
        <f>YEAR(I499)</f>
        <v>2020</v>
      </c>
      <c r="K499" s="99">
        <v>44031</v>
      </c>
      <c r="L499" t="s">
        <v>8285</v>
      </c>
      <c r="M499" t="s">
        <v>2317</v>
      </c>
    </row>
    <row r="500" spans="2:13" x14ac:dyDescent="0.2">
      <c r="B500">
        <v>10789</v>
      </c>
      <c r="C500" t="s">
        <v>8334</v>
      </c>
      <c r="D500" t="s">
        <v>8262</v>
      </c>
      <c r="E500" s="225">
        <v>225</v>
      </c>
      <c r="F500" t="s">
        <v>8407</v>
      </c>
      <c r="G500" t="s">
        <v>8408</v>
      </c>
      <c r="H500" t="s">
        <v>8236</v>
      </c>
      <c r="I500" s="99">
        <v>44022</v>
      </c>
      <c r="J500">
        <f>YEAR(I500)</f>
        <v>2020</v>
      </c>
      <c r="K500" s="99">
        <v>44031</v>
      </c>
      <c r="L500" t="s">
        <v>8285</v>
      </c>
      <c r="M500" t="s">
        <v>2317</v>
      </c>
    </row>
    <row r="501" spans="2:13" x14ac:dyDescent="0.2">
      <c r="B501">
        <v>11132</v>
      </c>
      <c r="C501" t="s">
        <v>8291</v>
      </c>
      <c r="D501" t="s">
        <v>8262</v>
      </c>
      <c r="E501" s="225">
        <v>1379</v>
      </c>
      <c r="F501" t="s">
        <v>8407</v>
      </c>
      <c r="G501" t="s">
        <v>8408</v>
      </c>
      <c r="H501" t="s">
        <v>8236</v>
      </c>
      <c r="I501" s="99">
        <v>43874</v>
      </c>
      <c r="J501">
        <f>YEAR(I501)</f>
        <v>2020</v>
      </c>
      <c r="K501" s="99">
        <v>43880</v>
      </c>
      <c r="L501" t="s">
        <v>8320</v>
      </c>
      <c r="M501" t="s">
        <v>8321</v>
      </c>
    </row>
    <row r="502" spans="2:13" x14ac:dyDescent="0.2">
      <c r="B502">
        <v>11175</v>
      </c>
      <c r="C502" t="s">
        <v>8410</v>
      </c>
      <c r="D502" t="s">
        <v>8262</v>
      </c>
      <c r="E502" s="225">
        <v>228</v>
      </c>
      <c r="F502" t="s">
        <v>8407</v>
      </c>
      <c r="G502" t="s">
        <v>8408</v>
      </c>
      <c r="H502" t="s">
        <v>8236</v>
      </c>
      <c r="I502" s="99">
        <v>43945</v>
      </c>
      <c r="J502">
        <f>YEAR(I502)</f>
        <v>2020</v>
      </c>
      <c r="K502" s="99">
        <v>43949</v>
      </c>
      <c r="L502" t="s">
        <v>8251</v>
      </c>
      <c r="M502" t="s">
        <v>269</v>
      </c>
    </row>
    <row r="503" spans="2:13" x14ac:dyDescent="0.2">
      <c r="B503">
        <v>11175</v>
      </c>
      <c r="C503" t="s">
        <v>8281</v>
      </c>
      <c r="D503" t="s">
        <v>8237</v>
      </c>
      <c r="E503" s="225">
        <v>528</v>
      </c>
      <c r="F503" t="s">
        <v>8407</v>
      </c>
      <c r="G503" t="s">
        <v>8408</v>
      </c>
      <c r="H503" t="s">
        <v>8236</v>
      </c>
      <c r="I503" s="99">
        <v>43945</v>
      </c>
      <c r="J503">
        <f>YEAR(I503)</f>
        <v>2020</v>
      </c>
      <c r="K503" s="99">
        <v>43949</v>
      </c>
      <c r="L503" t="s">
        <v>8251</v>
      </c>
      <c r="M503" t="s">
        <v>269</v>
      </c>
    </row>
    <row r="504" spans="2:13" x14ac:dyDescent="0.2">
      <c r="B504">
        <v>11244</v>
      </c>
      <c r="C504" t="s">
        <v>8328</v>
      </c>
      <c r="D504" t="s">
        <v>8272</v>
      </c>
      <c r="E504" s="225">
        <v>15.5</v>
      </c>
      <c r="F504" t="s">
        <v>8407</v>
      </c>
      <c r="G504" t="s">
        <v>8408</v>
      </c>
      <c r="H504" t="s">
        <v>8236</v>
      </c>
      <c r="I504" s="99">
        <v>44093</v>
      </c>
      <c r="J504">
        <f>YEAR(I504)</f>
        <v>2020</v>
      </c>
      <c r="K504" s="99">
        <v>44099</v>
      </c>
      <c r="L504" t="s">
        <v>8266</v>
      </c>
      <c r="M504" t="s">
        <v>8267</v>
      </c>
    </row>
    <row r="505" spans="2:13" x14ac:dyDescent="0.2">
      <c r="B505">
        <v>11244</v>
      </c>
      <c r="C505" t="s">
        <v>8415</v>
      </c>
      <c r="D505" t="s">
        <v>8247</v>
      </c>
      <c r="E505" s="225">
        <v>1050</v>
      </c>
      <c r="F505" t="s">
        <v>8407</v>
      </c>
      <c r="G505" t="s">
        <v>8408</v>
      </c>
      <c r="H505" t="s">
        <v>8236</v>
      </c>
      <c r="I505" s="99">
        <v>44093</v>
      </c>
      <c r="J505">
        <f>YEAR(I505)</f>
        <v>2020</v>
      </c>
      <c r="K505" s="99">
        <v>44099</v>
      </c>
      <c r="L505" t="s">
        <v>8266</v>
      </c>
      <c r="M505" t="s">
        <v>8267</v>
      </c>
    </row>
    <row r="506" spans="2:13" x14ac:dyDescent="0.2">
      <c r="B506">
        <v>11244</v>
      </c>
      <c r="C506" t="s">
        <v>8245</v>
      </c>
      <c r="D506" t="s">
        <v>8247</v>
      </c>
      <c r="E506" s="225">
        <v>795</v>
      </c>
      <c r="F506" t="s">
        <v>8407</v>
      </c>
      <c r="G506" t="s">
        <v>8408</v>
      </c>
      <c r="H506" t="s">
        <v>8236</v>
      </c>
      <c r="I506" s="99">
        <v>44093</v>
      </c>
      <c r="J506">
        <f>YEAR(I506)</f>
        <v>2020</v>
      </c>
      <c r="K506" s="99">
        <v>44099</v>
      </c>
      <c r="L506" t="s">
        <v>8266</v>
      </c>
      <c r="M506" t="s">
        <v>8267</v>
      </c>
    </row>
    <row r="507" spans="2:13" x14ac:dyDescent="0.2">
      <c r="B507">
        <v>11318</v>
      </c>
      <c r="C507" t="s">
        <v>8270</v>
      </c>
      <c r="D507" t="s">
        <v>8272</v>
      </c>
      <c r="E507" s="225">
        <v>90</v>
      </c>
      <c r="F507" t="s">
        <v>8407</v>
      </c>
      <c r="G507" t="s">
        <v>8408</v>
      </c>
      <c r="H507" t="s">
        <v>8236</v>
      </c>
      <c r="I507" s="99">
        <v>44203</v>
      </c>
      <c r="J507">
        <f>YEAR(I507)</f>
        <v>2021</v>
      </c>
      <c r="K507" s="99">
        <v>44208</v>
      </c>
      <c r="L507" t="s">
        <v>8257</v>
      </c>
      <c r="M507" t="s">
        <v>6984</v>
      </c>
    </row>
    <row r="508" spans="2:13" x14ac:dyDescent="0.2">
      <c r="B508">
        <v>11318</v>
      </c>
      <c r="C508" t="s">
        <v>8368</v>
      </c>
      <c r="D508" t="s">
        <v>8262</v>
      </c>
      <c r="E508" s="225">
        <v>400</v>
      </c>
      <c r="F508" t="s">
        <v>8407</v>
      </c>
      <c r="G508" t="s">
        <v>8408</v>
      </c>
      <c r="H508" t="s">
        <v>8236</v>
      </c>
      <c r="I508" s="99">
        <v>44203</v>
      </c>
      <c r="J508">
        <f>YEAR(I508)</f>
        <v>2021</v>
      </c>
      <c r="K508" s="99">
        <v>44208</v>
      </c>
      <c r="L508" t="s">
        <v>8257</v>
      </c>
      <c r="M508" t="s">
        <v>6984</v>
      </c>
    </row>
    <row r="509" spans="2:13" x14ac:dyDescent="0.2">
      <c r="B509">
        <v>11318</v>
      </c>
      <c r="C509" t="s">
        <v>8259</v>
      </c>
      <c r="D509" t="s">
        <v>8244</v>
      </c>
      <c r="E509" s="225">
        <v>126</v>
      </c>
      <c r="F509" t="s">
        <v>8407</v>
      </c>
      <c r="G509" t="s">
        <v>8408</v>
      </c>
      <c r="H509" t="s">
        <v>8236</v>
      </c>
      <c r="I509" s="99">
        <v>44203</v>
      </c>
      <c r="J509">
        <f>YEAR(I509)</f>
        <v>2021</v>
      </c>
      <c r="K509" s="99">
        <v>44208</v>
      </c>
      <c r="L509" t="s">
        <v>8257</v>
      </c>
      <c r="M509" t="s">
        <v>6984</v>
      </c>
    </row>
    <row r="510" spans="2:13" x14ac:dyDescent="0.2">
      <c r="B510">
        <v>10264</v>
      </c>
      <c r="C510" t="s">
        <v>8276</v>
      </c>
      <c r="D510" t="s">
        <v>8272</v>
      </c>
      <c r="E510" s="225">
        <v>532</v>
      </c>
      <c r="F510" t="s">
        <v>8293</v>
      </c>
      <c r="G510" t="s">
        <v>8294</v>
      </c>
      <c r="H510" t="s">
        <v>8292</v>
      </c>
      <c r="I510" s="99">
        <v>43506</v>
      </c>
      <c r="J510">
        <f>YEAR(I510)</f>
        <v>2019</v>
      </c>
      <c r="K510" s="99">
        <v>43536</v>
      </c>
      <c r="L510" t="s">
        <v>8251</v>
      </c>
      <c r="M510" t="s">
        <v>269</v>
      </c>
    </row>
    <row r="511" spans="2:13" x14ac:dyDescent="0.2">
      <c r="B511">
        <v>10327</v>
      </c>
      <c r="C511" t="s">
        <v>8276</v>
      </c>
      <c r="D511" t="s">
        <v>8272</v>
      </c>
      <c r="E511" s="225">
        <v>304</v>
      </c>
      <c r="F511" t="s">
        <v>8293</v>
      </c>
      <c r="G511" t="s">
        <v>8294</v>
      </c>
      <c r="H511" t="s">
        <v>8292</v>
      </c>
      <c r="I511" s="99">
        <v>43585</v>
      </c>
      <c r="J511">
        <f>YEAR(I511)</f>
        <v>2019</v>
      </c>
      <c r="K511" s="99">
        <v>43588</v>
      </c>
      <c r="L511" t="s">
        <v>8297</v>
      </c>
      <c r="M511" t="s">
        <v>8298</v>
      </c>
    </row>
    <row r="512" spans="2:13" x14ac:dyDescent="0.2">
      <c r="B512">
        <v>10327</v>
      </c>
      <c r="C512" t="s">
        <v>8242</v>
      </c>
      <c r="D512" t="s">
        <v>8237</v>
      </c>
      <c r="E512" s="225">
        <v>672</v>
      </c>
      <c r="F512" t="s">
        <v>8293</v>
      </c>
      <c r="G512" t="s">
        <v>8294</v>
      </c>
      <c r="H512" t="s">
        <v>8292</v>
      </c>
      <c r="I512" s="99">
        <v>43585</v>
      </c>
      <c r="J512">
        <f>YEAR(I512)</f>
        <v>2019</v>
      </c>
      <c r="K512" s="99">
        <v>43588</v>
      </c>
      <c r="L512" t="s">
        <v>8297</v>
      </c>
      <c r="M512" t="s">
        <v>8298</v>
      </c>
    </row>
    <row r="513" spans="2:13" x14ac:dyDescent="0.2">
      <c r="B513">
        <v>10378</v>
      </c>
      <c r="C513" t="s">
        <v>8310</v>
      </c>
      <c r="D513" t="s">
        <v>8237</v>
      </c>
      <c r="E513" s="225">
        <v>103.2</v>
      </c>
      <c r="F513" t="s">
        <v>8293</v>
      </c>
      <c r="G513" t="s">
        <v>8294</v>
      </c>
      <c r="H513" t="s">
        <v>8292</v>
      </c>
      <c r="I513" s="99">
        <v>43645</v>
      </c>
      <c r="J513">
        <f>YEAR(I513)</f>
        <v>2019</v>
      </c>
      <c r="K513" s="99">
        <v>43654</v>
      </c>
      <c r="L513" t="s">
        <v>8241</v>
      </c>
      <c r="M513" t="s">
        <v>6934</v>
      </c>
    </row>
    <row r="514" spans="2:13" x14ac:dyDescent="0.2">
      <c r="B514">
        <v>10434</v>
      </c>
      <c r="C514" t="s">
        <v>8303</v>
      </c>
      <c r="D514" t="s">
        <v>8272</v>
      </c>
      <c r="E514" s="225">
        <v>220.32</v>
      </c>
      <c r="F514" t="s">
        <v>8293</v>
      </c>
      <c r="G514" t="s">
        <v>8294</v>
      </c>
      <c r="H514" t="s">
        <v>8292</v>
      </c>
      <c r="I514" s="99">
        <v>43700</v>
      </c>
      <c r="J514">
        <f>YEAR(I514)</f>
        <v>2019</v>
      </c>
      <c r="K514" s="99">
        <v>43710</v>
      </c>
      <c r="L514" t="s">
        <v>8257</v>
      </c>
      <c r="M514" t="s">
        <v>6984</v>
      </c>
    </row>
    <row r="515" spans="2:13" x14ac:dyDescent="0.2">
      <c r="B515">
        <v>10434</v>
      </c>
      <c r="C515" t="s">
        <v>8242</v>
      </c>
      <c r="D515" t="s">
        <v>8237</v>
      </c>
      <c r="E515" s="225">
        <v>100.8</v>
      </c>
      <c r="F515" t="s">
        <v>8293</v>
      </c>
      <c r="G515" t="s">
        <v>8294</v>
      </c>
      <c r="H515" t="s">
        <v>8292</v>
      </c>
      <c r="I515" s="99">
        <v>43700</v>
      </c>
      <c r="J515">
        <f>YEAR(I515)</f>
        <v>2019</v>
      </c>
      <c r="K515" s="99">
        <v>43710</v>
      </c>
      <c r="L515" t="s">
        <v>8257</v>
      </c>
      <c r="M515" t="s">
        <v>6984</v>
      </c>
    </row>
    <row r="516" spans="2:13" x14ac:dyDescent="0.2">
      <c r="B516">
        <v>10460</v>
      </c>
      <c r="C516" t="s">
        <v>8328</v>
      </c>
      <c r="D516" t="s">
        <v>8272</v>
      </c>
      <c r="E516" s="225">
        <v>18.600000000000001</v>
      </c>
      <c r="F516" t="s">
        <v>8293</v>
      </c>
      <c r="G516" t="s">
        <v>8294</v>
      </c>
      <c r="H516" t="s">
        <v>8292</v>
      </c>
      <c r="I516" s="99">
        <v>43725</v>
      </c>
      <c r="J516">
        <f>YEAR(I516)</f>
        <v>2019</v>
      </c>
      <c r="K516" s="99">
        <v>43728</v>
      </c>
      <c r="L516" t="s">
        <v>8320</v>
      </c>
      <c r="M516" t="s">
        <v>8321</v>
      </c>
    </row>
    <row r="517" spans="2:13" x14ac:dyDescent="0.2">
      <c r="B517">
        <v>10460</v>
      </c>
      <c r="C517" t="s">
        <v>8334</v>
      </c>
      <c r="D517" t="s">
        <v>8262</v>
      </c>
      <c r="E517" s="225">
        <v>157.5</v>
      </c>
      <c r="F517" t="s">
        <v>8293</v>
      </c>
      <c r="G517" t="s">
        <v>8294</v>
      </c>
      <c r="H517" t="s">
        <v>8292</v>
      </c>
      <c r="I517" s="99">
        <v>43725</v>
      </c>
      <c r="J517">
        <f>YEAR(I517)</f>
        <v>2019</v>
      </c>
      <c r="K517" s="99">
        <v>43728</v>
      </c>
      <c r="L517" t="s">
        <v>8320</v>
      </c>
      <c r="M517" t="s">
        <v>8321</v>
      </c>
    </row>
    <row r="518" spans="2:13" x14ac:dyDescent="0.2">
      <c r="B518">
        <v>10533</v>
      </c>
      <c r="C518" t="s">
        <v>8352</v>
      </c>
      <c r="D518" t="s">
        <v>8254</v>
      </c>
      <c r="E518" s="225">
        <v>1045</v>
      </c>
      <c r="F518" t="s">
        <v>8293</v>
      </c>
      <c r="G518" t="s">
        <v>8294</v>
      </c>
      <c r="H518" t="s">
        <v>8292</v>
      </c>
      <c r="I518" s="99">
        <v>43798</v>
      </c>
      <c r="J518">
        <f>YEAR(I518)</f>
        <v>2019</v>
      </c>
      <c r="K518" s="99">
        <v>43808</v>
      </c>
      <c r="L518" t="s">
        <v>8320</v>
      </c>
      <c r="M518" t="s">
        <v>8321</v>
      </c>
    </row>
    <row r="519" spans="2:13" x14ac:dyDescent="0.2">
      <c r="B519">
        <v>10533</v>
      </c>
      <c r="C519" t="s">
        <v>8235</v>
      </c>
      <c r="D519" t="s">
        <v>8237</v>
      </c>
      <c r="E519" s="225">
        <v>835.2</v>
      </c>
      <c r="F519" t="s">
        <v>8293</v>
      </c>
      <c r="G519" t="s">
        <v>8294</v>
      </c>
      <c r="H519" t="s">
        <v>8292</v>
      </c>
      <c r="I519" s="99">
        <v>43798</v>
      </c>
      <c r="J519">
        <f>YEAR(I519)</f>
        <v>2019</v>
      </c>
      <c r="K519" s="99">
        <v>43808</v>
      </c>
      <c r="L519" t="s">
        <v>8320</v>
      </c>
      <c r="M519" t="s">
        <v>8321</v>
      </c>
    </row>
    <row r="520" spans="2:13" x14ac:dyDescent="0.2">
      <c r="B520">
        <v>10561</v>
      </c>
      <c r="C520" t="s">
        <v>8322</v>
      </c>
      <c r="D520" t="s">
        <v>8254</v>
      </c>
      <c r="E520" s="225">
        <v>194.5</v>
      </c>
      <c r="F520" t="s">
        <v>8293</v>
      </c>
      <c r="G520" t="s">
        <v>8294</v>
      </c>
      <c r="H520" t="s">
        <v>8292</v>
      </c>
      <c r="I520" s="99">
        <v>43823</v>
      </c>
      <c r="J520">
        <f>YEAR(I520)</f>
        <v>2019</v>
      </c>
      <c r="K520" s="99">
        <v>43826</v>
      </c>
      <c r="L520" t="s">
        <v>8297</v>
      </c>
      <c r="M520" t="s">
        <v>8298</v>
      </c>
    </row>
    <row r="521" spans="2:13" x14ac:dyDescent="0.2">
      <c r="B521">
        <v>10561</v>
      </c>
      <c r="C521" t="s">
        <v>8245</v>
      </c>
      <c r="D521" t="s">
        <v>8247</v>
      </c>
      <c r="E521" s="225">
        <v>2650</v>
      </c>
      <c r="F521" t="s">
        <v>8293</v>
      </c>
      <c r="G521" t="s">
        <v>8294</v>
      </c>
      <c r="H521" t="s">
        <v>8292</v>
      </c>
      <c r="I521" s="99">
        <v>43823</v>
      </c>
      <c r="J521">
        <f>YEAR(I521)</f>
        <v>2019</v>
      </c>
      <c r="K521" s="99">
        <v>43826</v>
      </c>
      <c r="L521" t="s">
        <v>8297</v>
      </c>
      <c r="M521" t="s">
        <v>8298</v>
      </c>
    </row>
    <row r="522" spans="2:13" x14ac:dyDescent="0.2">
      <c r="B522">
        <v>10703</v>
      </c>
      <c r="C522" t="s">
        <v>8276</v>
      </c>
      <c r="D522" t="s">
        <v>8272</v>
      </c>
      <c r="E522" s="225">
        <v>95</v>
      </c>
      <c r="F522" t="s">
        <v>8293</v>
      </c>
      <c r="G522" t="s">
        <v>8294</v>
      </c>
      <c r="H522" t="s">
        <v>8292</v>
      </c>
      <c r="I522" s="99">
        <v>43953</v>
      </c>
      <c r="J522">
        <f>YEAR(I522)</f>
        <v>2020</v>
      </c>
      <c r="K522" s="99">
        <v>43959</v>
      </c>
      <c r="L522" t="s">
        <v>8251</v>
      </c>
      <c r="M522" t="s">
        <v>269</v>
      </c>
    </row>
    <row r="523" spans="2:13" x14ac:dyDescent="0.2">
      <c r="B523">
        <v>10703</v>
      </c>
      <c r="C523" t="s">
        <v>8281</v>
      </c>
      <c r="D523" t="s">
        <v>8237</v>
      </c>
      <c r="E523" s="225">
        <v>1925</v>
      </c>
      <c r="F523" t="s">
        <v>8293</v>
      </c>
      <c r="G523" t="s">
        <v>8294</v>
      </c>
      <c r="H523" t="s">
        <v>8292</v>
      </c>
      <c r="I523" s="99">
        <v>43953</v>
      </c>
      <c r="J523">
        <f>YEAR(I523)</f>
        <v>2020</v>
      </c>
      <c r="K523" s="99">
        <v>43959</v>
      </c>
      <c r="L523" t="s">
        <v>8251</v>
      </c>
      <c r="M523" t="s">
        <v>269</v>
      </c>
    </row>
    <row r="524" spans="2:13" x14ac:dyDescent="0.2">
      <c r="B524">
        <v>10762</v>
      </c>
      <c r="C524" t="s">
        <v>8342</v>
      </c>
      <c r="D524" t="s">
        <v>8272</v>
      </c>
      <c r="E524" s="225">
        <v>288</v>
      </c>
      <c r="F524" t="s">
        <v>8293</v>
      </c>
      <c r="G524" t="s">
        <v>8294</v>
      </c>
      <c r="H524" t="s">
        <v>8292</v>
      </c>
      <c r="I524" s="99">
        <v>44002</v>
      </c>
      <c r="J524">
        <f>YEAR(I524)</f>
        <v>2020</v>
      </c>
      <c r="K524" s="99">
        <v>44009</v>
      </c>
      <c r="L524" t="s">
        <v>8257</v>
      </c>
      <c r="M524" t="s">
        <v>6984</v>
      </c>
    </row>
    <row r="525" spans="2:13" x14ac:dyDescent="0.2">
      <c r="B525">
        <v>10762</v>
      </c>
      <c r="C525" t="s">
        <v>8410</v>
      </c>
      <c r="D525" t="s">
        <v>8262</v>
      </c>
      <c r="E525" s="225">
        <v>285</v>
      </c>
      <c r="F525" t="s">
        <v>8293</v>
      </c>
      <c r="G525" t="s">
        <v>8294</v>
      </c>
      <c r="H525" t="s">
        <v>8292</v>
      </c>
      <c r="I525" s="99">
        <v>44002</v>
      </c>
      <c r="J525">
        <f>YEAR(I525)</f>
        <v>2020</v>
      </c>
      <c r="K525" s="99">
        <v>44009</v>
      </c>
      <c r="L525" t="s">
        <v>8257</v>
      </c>
      <c r="M525" t="s">
        <v>6984</v>
      </c>
    </row>
    <row r="526" spans="2:13" x14ac:dyDescent="0.2">
      <c r="B526">
        <v>10762</v>
      </c>
      <c r="C526" t="s">
        <v>8341</v>
      </c>
      <c r="D526" t="s">
        <v>8244</v>
      </c>
      <c r="E526" s="225">
        <v>2280</v>
      </c>
      <c r="F526" t="s">
        <v>8293</v>
      </c>
      <c r="G526" t="s">
        <v>8294</v>
      </c>
      <c r="H526" t="s">
        <v>8292</v>
      </c>
      <c r="I526" s="99">
        <v>44002</v>
      </c>
      <c r="J526">
        <f>YEAR(I526)</f>
        <v>2020</v>
      </c>
      <c r="K526" s="99">
        <v>44009</v>
      </c>
      <c r="L526" t="s">
        <v>8257</v>
      </c>
      <c r="M526" t="s">
        <v>6984</v>
      </c>
    </row>
    <row r="527" spans="2:13" x14ac:dyDescent="0.2">
      <c r="B527">
        <v>10762</v>
      </c>
      <c r="C527" t="s">
        <v>8245</v>
      </c>
      <c r="D527" t="s">
        <v>8247</v>
      </c>
      <c r="E527" s="225">
        <v>1484</v>
      </c>
      <c r="F527" t="s">
        <v>8293</v>
      </c>
      <c r="G527" t="s">
        <v>8294</v>
      </c>
      <c r="H527" t="s">
        <v>8292</v>
      </c>
      <c r="I527" s="99">
        <v>44002</v>
      </c>
      <c r="J527">
        <f>YEAR(I527)</f>
        <v>2020</v>
      </c>
      <c r="K527" s="99">
        <v>44009</v>
      </c>
      <c r="L527" t="s">
        <v>8257</v>
      </c>
      <c r="M527" t="s">
        <v>6984</v>
      </c>
    </row>
    <row r="528" spans="2:13" x14ac:dyDescent="0.2">
      <c r="B528">
        <v>10774</v>
      </c>
      <c r="C528" t="s">
        <v>8348</v>
      </c>
      <c r="D528" t="s">
        <v>8254</v>
      </c>
      <c r="E528" s="225">
        <v>850</v>
      </c>
      <c r="F528" t="s">
        <v>8293</v>
      </c>
      <c r="G528" t="s">
        <v>8294</v>
      </c>
      <c r="H528" t="s">
        <v>8292</v>
      </c>
      <c r="I528" s="99">
        <v>44011</v>
      </c>
      <c r="J528">
        <f>YEAR(I528)</f>
        <v>2020</v>
      </c>
      <c r="K528" s="99">
        <v>44013</v>
      </c>
      <c r="L528" t="s">
        <v>8266</v>
      </c>
      <c r="M528" t="s">
        <v>8267</v>
      </c>
    </row>
    <row r="529" spans="2:13" x14ac:dyDescent="0.2">
      <c r="B529">
        <v>10774</v>
      </c>
      <c r="C529" t="s">
        <v>8309</v>
      </c>
      <c r="D529" t="s">
        <v>8237</v>
      </c>
      <c r="E529" s="225">
        <v>18.75</v>
      </c>
      <c r="F529" t="s">
        <v>8293</v>
      </c>
      <c r="G529" t="s">
        <v>8294</v>
      </c>
      <c r="H529" t="s">
        <v>8292</v>
      </c>
      <c r="I529" s="99">
        <v>44011</v>
      </c>
      <c r="J529">
        <f>YEAR(I529)</f>
        <v>2020</v>
      </c>
      <c r="K529" s="99">
        <v>44013</v>
      </c>
      <c r="L529" t="s">
        <v>8266</v>
      </c>
      <c r="M529" t="s">
        <v>8267</v>
      </c>
    </row>
    <row r="530" spans="2:13" x14ac:dyDescent="0.2">
      <c r="B530">
        <v>10824</v>
      </c>
      <c r="C530" t="s">
        <v>8288</v>
      </c>
      <c r="D530" t="s">
        <v>8272</v>
      </c>
      <c r="E530" s="225">
        <v>135</v>
      </c>
      <c r="F530" t="s">
        <v>8293</v>
      </c>
      <c r="G530" t="s">
        <v>8294</v>
      </c>
      <c r="H530" t="s">
        <v>8292</v>
      </c>
      <c r="I530" s="99">
        <v>44040</v>
      </c>
      <c r="J530">
        <f>YEAR(I530)</f>
        <v>2020</v>
      </c>
      <c r="K530" s="99">
        <v>44060</v>
      </c>
      <c r="L530" t="s">
        <v>8320</v>
      </c>
      <c r="M530" t="s">
        <v>8321</v>
      </c>
    </row>
    <row r="531" spans="2:13" x14ac:dyDescent="0.2">
      <c r="B531">
        <v>10880</v>
      </c>
      <c r="C531" t="s">
        <v>8288</v>
      </c>
      <c r="D531" t="s">
        <v>8272</v>
      </c>
      <c r="E531" s="225">
        <v>600</v>
      </c>
      <c r="F531" t="s">
        <v>8293</v>
      </c>
      <c r="G531" t="s">
        <v>8294</v>
      </c>
      <c r="H531" t="s">
        <v>8292</v>
      </c>
      <c r="I531" s="99">
        <v>44072</v>
      </c>
      <c r="J531">
        <f>YEAR(I531)</f>
        <v>2020</v>
      </c>
      <c r="K531" s="99">
        <v>44079</v>
      </c>
      <c r="L531" t="s">
        <v>8158</v>
      </c>
      <c r="M531" t="s">
        <v>861</v>
      </c>
    </row>
    <row r="532" spans="2:13" x14ac:dyDescent="0.2">
      <c r="B532">
        <v>10880</v>
      </c>
      <c r="C532" t="s">
        <v>8409</v>
      </c>
      <c r="D532" t="s">
        <v>8254</v>
      </c>
      <c r="E532" s="225">
        <v>684</v>
      </c>
      <c r="F532" t="s">
        <v>8293</v>
      </c>
      <c r="G532" t="s">
        <v>8294</v>
      </c>
      <c r="H532" t="s">
        <v>8292</v>
      </c>
      <c r="I532" s="99">
        <v>44072</v>
      </c>
      <c r="J532">
        <f>YEAR(I532)</f>
        <v>2020</v>
      </c>
      <c r="K532" s="99">
        <v>44079</v>
      </c>
      <c r="L532" t="s">
        <v>8158</v>
      </c>
      <c r="M532" t="s">
        <v>861</v>
      </c>
    </row>
    <row r="533" spans="2:13" x14ac:dyDescent="0.2">
      <c r="B533">
        <v>10880</v>
      </c>
      <c r="C533" t="s">
        <v>8373</v>
      </c>
      <c r="D533" t="s">
        <v>8244</v>
      </c>
      <c r="E533" s="225">
        <v>216</v>
      </c>
      <c r="F533" t="s">
        <v>8293</v>
      </c>
      <c r="G533" t="s">
        <v>8294</v>
      </c>
      <c r="H533" t="s">
        <v>8292</v>
      </c>
      <c r="I533" s="99">
        <v>44072</v>
      </c>
      <c r="J533">
        <f>YEAR(I533)</f>
        <v>2020</v>
      </c>
      <c r="K533" s="99">
        <v>44079</v>
      </c>
      <c r="L533" t="s">
        <v>8158</v>
      </c>
      <c r="M533" t="s">
        <v>861</v>
      </c>
    </row>
    <row r="534" spans="2:13" x14ac:dyDescent="0.2">
      <c r="B534">
        <v>10902</v>
      </c>
      <c r="C534" t="s">
        <v>8291</v>
      </c>
      <c r="D534" t="s">
        <v>8262</v>
      </c>
      <c r="E534" s="225">
        <v>251.43</v>
      </c>
      <c r="F534" t="s">
        <v>8293</v>
      </c>
      <c r="G534" t="s">
        <v>8294</v>
      </c>
      <c r="H534" t="s">
        <v>8292</v>
      </c>
      <c r="I534" s="99">
        <v>44084</v>
      </c>
      <c r="J534">
        <f>YEAR(I534)</f>
        <v>2020</v>
      </c>
      <c r="K534" s="99">
        <v>44092</v>
      </c>
      <c r="L534" t="s">
        <v>8285</v>
      </c>
      <c r="M534" t="s">
        <v>2317</v>
      </c>
    </row>
    <row r="535" spans="2:13" x14ac:dyDescent="0.2">
      <c r="B535">
        <v>10955</v>
      </c>
      <c r="C535" t="s">
        <v>8328</v>
      </c>
      <c r="D535" t="s">
        <v>8272</v>
      </c>
      <c r="E535" s="225">
        <v>74.400000000000006</v>
      </c>
      <c r="F535" t="s">
        <v>8293</v>
      </c>
      <c r="G535" t="s">
        <v>8294</v>
      </c>
      <c r="H535" t="s">
        <v>8292</v>
      </c>
      <c r="I535" s="99">
        <v>44106</v>
      </c>
      <c r="J535">
        <f>YEAR(I535)</f>
        <v>2020</v>
      </c>
      <c r="K535" s="99">
        <v>44109</v>
      </c>
      <c r="L535" t="s">
        <v>8320</v>
      </c>
      <c r="M535" t="s">
        <v>8321</v>
      </c>
    </row>
    <row r="536" spans="2:13" x14ac:dyDescent="0.2">
      <c r="B536">
        <v>10977</v>
      </c>
      <c r="C536" t="s">
        <v>8342</v>
      </c>
      <c r="D536" t="s">
        <v>8272</v>
      </c>
      <c r="E536" s="225">
        <v>540</v>
      </c>
      <c r="F536" t="s">
        <v>8293</v>
      </c>
      <c r="G536" t="s">
        <v>8294</v>
      </c>
      <c r="H536" t="s">
        <v>8292</v>
      </c>
      <c r="I536" s="99">
        <v>44115</v>
      </c>
      <c r="J536">
        <f>YEAR(I536)</f>
        <v>2020</v>
      </c>
      <c r="K536" s="99">
        <v>44130</v>
      </c>
      <c r="L536" t="s">
        <v>8320</v>
      </c>
      <c r="M536" t="s">
        <v>8321</v>
      </c>
    </row>
    <row r="537" spans="2:13" x14ac:dyDescent="0.2">
      <c r="B537">
        <v>10977</v>
      </c>
      <c r="C537" t="s">
        <v>8317</v>
      </c>
      <c r="D537" t="s">
        <v>8254</v>
      </c>
      <c r="E537" s="225">
        <v>878</v>
      </c>
      <c r="F537" t="s">
        <v>8293</v>
      </c>
      <c r="G537" t="s">
        <v>8294</v>
      </c>
      <c r="H537" t="s">
        <v>8292</v>
      </c>
      <c r="I537" s="99">
        <v>44115</v>
      </c>
      <c r="J537">
        <f>YEAR(I537)</f>
        <v>2020</v>
      </c>
      <c r="K537" s="99">
        <v>44130</v>
      </c>
      <c r="L537" t="s">
        <v>8320</v>
      </c>
      <c r="M537" t="s">
        <v>8321</v>
      </c>
    </row>
    <row r="538" spans="2:13" x14ac:dyDescent="0.2">
      <c r="B538">
        <v>10977</v>
      </c>
      <c r="C538" t="s">
        <v>8410</v>
      </c>
      <c r="D538" t="s">
        <v>8262</v>
      </c>
      <c r="E538" s="225">
        <v>285</v>
      </c>
      <c r="F538" t="s">
        <v>8293</v>
      </c>
      <c r="G538" t="s">
        <v>8294</v>
      </c>
      <c r="H538" t="s">
        <v>8292</v>
      </c>
      <c r="I538" s="99">
        <v>44115</v>
      </c>
      <c r="J538">
        <f>YEAR(I538)</f>
        <v>2020</v>
      </c>
      <c r="K538" s="99">
        <v>44130</v>
      </c>
      <c r="L538" t="s">
        <v>8320</v>
      </c>
      <c r="M538" t="s">
        <v>8321</v>
      </c>
    </row>
    <row r="539" spans="2:13" x14ac:dyDescent="0.2">
      <c r="B539">
        <v>10977</v>
      </c>
      <c r="C539" t="s">
        <v>8245</v>
      </c>
      <c r="D539" t="s">
        <v>8247</v>
      </c>
      <c r="E539" s="225">
        <v>530</v>
      </c>
      <c r="F539" t="s">
        <v>8293</v>
      </c>
      <c r="G539" t="s">
        <v>8294</v>
      </c>
      <c r="H539" t="s">
        <v>8292</v>
      </c>
      <c r="I539" s="99">
        <v>44115</v>
      </c>
      <c r="J539">
        <f>YEAR(I539)</f>
        <v>2020</v>
      </c>
      <c r="K539" s="99">
        <v>44130</v>
      </c>
      <c r="L539" t="s">
        <v>8320</v>
      </c>
      <c r="M539" t="s">
        <v>8321</v>
      </c>
    </row>
    <row r="540" spans="2:13" x14ac:dyDescent="0.2">
      <c r="B540">
        <v>10980</v>
      </c>
      <c r="C540" t="s">
        <v>8328</v>
      </c>
      <c r="D540" t="s">
        <v>8272</v>
      </c>
      <c r="E540" s="225">
        <v>248</v>
      </c>
      <c r="F540" t="s">
        <v>8293</v>
      </c>
      <c r="G540" t="s">
        <v>8294</v>
      </c>
      <c r="H540" t="s">
        <v>8292</v>
      </c>
      <c r="I540" s="99">
        <v>44116</v>
      </c>
      <c r="J540">
        <f>YEAR(I540)</f>
        <v>2020</v>
      </c>
      <c r="K540" s="99">
        <v>44137</v>
      </c>
      <c r="L540" t="s">
        <v>8266</v>
      </c>
      <c r="M540" t="s">
        <v>8267</v>
      </c>
    </row>
    <row r="541" spans="2:13" x14ac:dyDescent="0.2">
      <c r="B541">
        <v>11001</v>
      </c>
      <c r="C541" t="s">
        <v>8259</v>
      </c>
      <c r="D541" t="s">
        <v>8244</v>
      </c>
      <c r="E541" s="225">
        <v>525</v>
      </c>
      <c r="F541" t="s">
        <v>8293</v>
      </c>
      <c r="G541" t="s">
        <v>8294</v>
      </c>
      <c r="H541" t="s">
        <v>8292</v>
      </c>
      <c r="I541" s="99">
        <v>44126</v>
      </c>
      <c r="J541">
        <f>YEAR(I541)</f>
        <v>2020</v>
      </c>
      <c r="K541" s="99">
        <v>44134</v>
      </c>
      <c r="L541" t="s">
        <v>8297</v>
      </c>
      <c r="M541" t="s">
        <v>8298</v>
      </c>
    </row>
    <row r="542" spans="2:13" x14ac:dyDescent="0.2">
      <c r="B542">
        <v>11001</v>
      </c>
      <c r="C542" t="s">
        <v>8415</v>
      </c>
      <c r="D542" t="s">
        <v>8247</v>
      </c>
      <c r="E542" s="225">
        <v>1800</v>
      </c>
      <c r="F542" t="s">
        <v>8293</v>
      </c>
      <c r="G542" t="s">
        <v>8294</v>
      </c>
      <c r="H542" t="s">
        <v>8292</v>
      </c>
      <c r="I542" s="99">
        <v>44126</v>
      </c>
      <c r="J542">
        <f>YEAR(I542)</f>
        <v>2020</v>
      </c>
      <c r="K542" s="99">
        <v>44134</v>
      </c>
      <c r="L542" t="s">
        <v>8297</v>
      </c>
      <c r="M542" t="s">
        <v>8298</v>
      </c>
    </row>
    <row r="543" spans="2:13" x14ac:dyDescent="0.2">
      <c r="B543">
        <v>11050</v>
      </c>
      <c r="C543" t="s">
        <v>8303</v>
      </c>
      <c r="D543" t="s">
        <v>8272</v>
      </c>
      <c r="E543" s="225">
        <v>810</v>
      </c>
      <c r="F543" t="s">
        <v>8293</v>
      </c>
      <c r="G543" t="s">
        <v>8294</v>
      </c>
      <c r="H543" t="s">
        <v>8292</v>
      </c>
      <c r="I543" s="99">
        <v>44147</v>
      </c>
      <c r="J543">
        <f>YEAR(I543)</f>
        <v>2020</v>
      </c>
      <c r="K543" s="99">
        <v>44155</v>
      </c>
      <c r="L543" t="s">
        <v>8320</v>
      </c>
      <c r="M543" t="s">
        <v>8321</v>
      </c>
    </row>
    <row r="544" spans="2:13" x14ac:dyDescent="0.2">
      <c r="B544">
        <v>10671</v>
      </c>
      <c r="C544" t="s">
        <v>8253</v>
      </c>
      <c r="D544" t="s">
        <v>8254</v>
      </c>
      <c r="E544" s="225">
        <v>252.6</v>
      </c>
      <c r="F544" t="s">
        <v>8424</v>
      </c>
      <c r="G544" t="s">
        <v>8425</v>
      </c>
      <c r="H544" t="s">
        <v>8236</v>
      </c>
      <c r="I544" s="99">
        <v>43926</v>
      </c>
      <c r="J544">
        <f>YEAR(I544)</f>
        <v>2020</v>
      </c>
      <c r="K544" s="99">
        <v>43933</v>
      </c>
      <c r="L544" t="s">
        <v>8285</v>
      </c>
      <c r="M544" t="s">
        <v>2317</v>
      </c>
    </row>
    <row r="545" spans="2:13" x14ac:dyDescent="0.2">
      <c r="B545">
        <v>10671</v>
      </c>
      <c r="C545" t="s">
        <v>8280</v>
      </c>
      <c r="D545" t="s">
        <v>8262</v>
      </c>
      <c r="E545" s="225">
        <v>174.5</v>
      </c>
      <c r="F545" t="s">
        <v>8424</v>
      </c>
      <c r="G545" t="s">
        <v>8425</v>
      </c>
      <c r="H545" t="s">
        <v>8236</v>
      </c>
      <c r="I545" s="99">
        <v>43926</v>
      </c>
      <c r="J545">
        <f>YEAR(I545)</f>
        <v>2020</v>
      </c>
      <c r="K545" s="99">
        <v>43933</v>
      </c>
      <c r="L545" t="s">
        <v>8285</v>
      </c>
      <c r="M545" t="s">
        <v>2317</v>
      </c>
    </row>
    <row r="546" spans="2:13" x14ac:dyDescent="0.2">
      <c r="B546">
        <v>10671</v>
      </c>
      <c r="C546" t="s">
        <v>8291</v>
      </c>
      <c r="D546" t="s">
        <v>8262</v>
      </c>
      <c r="E546" s="225">
        <v>493</v>
      </c>
      <c r="F546" t="s">
        <v>8424</v>
      </c>
      <c r="G546" t="s">
        <v>8425</v>
      </c>
      <c r="H546" t="s">
        <v>8236</v>
      </c>
      <c r="I546" s="99">
        <v>43926</v>
      </c>
      <c r="J546">
        <f>YEAR(I546)</f>
        <v>2020</v>
      </c>
      <c r="K546" s="99">
        <v>43933</v>
      </c>
      <c r="L546" t="s">
        <v>8285</v>
      </c>
      <c r="M546" t="s">
        <v>2317</v>
      </c>
    </row>
    <row r="547" spans="2:13" x14ac:dyDescent="0.2">
      <c r="B547">
        <v>10860</v>
      </c>
      <c r="C547" t="s">
        <v>8303</v>
      </c>
      <c r="D547" t="s">
        <v>8272</v>
      </c>
      <c r="E547" s="225">
        <v>360</v>
      </c>
      <c r="F547" t="s">
        <v>8424</v>
      </c>
      <c r="G547" t="s">
        <v>8425</v>
      </c>
      <c r="H547" t="s">
        <v>8236</v>
      </c>
      <c r="I547" s="99">
        <v>44044</v>
      </c>
      <c r="J547">
        <f>YEAR(I547)</f>
        <v>2020</v>
      </c>
      <c r="K547" s="99">
        <v>44065</v>
      </c>
      <c r="L547" t="s">
        <v>8257</v>
      </c>
      <c r="M547" t="s">
        <v>6984</v>
      </c>
    </row>
    <row r="548" spans="2:13" x14ac:dyDescent="0.2">
      <c r="B548">
        <v>10860</v>
      </c>
      <c r="C548" t="s">
        <v>8245</v>
      </c>
      <c r="D548" t="s">
        <v>8247</v>
      </c>
      <c r="E548" s="225">
        <v>159</v>
      </c>
      <c r="F548" t="s">
        <v>8424</v>
      </c>
      <c r="G548" t="s">
        <v>8425</v>
      </c>
      <c r="H548" t="s">
        <v>8236</v>
      </c>
      <c r="I548" s="99">
        <v>44044</v>
      </c>
      <c r="J548">
        <f>YEAR(I548)</f>
        <v>2020</v>
      </c>
      <c r="K548" s="99">
        <v>44065</v>
      </c>
      <c r="L548" t="s">
        <v>8257</v>
      </c>
      <c r="M548" t="s">
        <v>6984</v>
      </c>
    </row>
    <row r="549" spans="2:13" x14ac:dyDescent="0.2">
      <c r="B549">
        <v>10422</v>
      </c>
      <c r="C549" t="s">
        <v>8372</v>
      </c>
      <c r="D549" t="s">
        <v>8262</v>
      </c>
      <c r="E549" s="225">
        <v>49.8</v>
      </c>
      <c r="F549" t="s">
        <v>8411</v>
      </c>
      <c r="G549" t="s">
        <v>8412</v>
      </c>
      <c r="H549" t="s">
        <v>8311</v>
      </c>
      <c r="I549" s="99">
        <v>43688</v>
      </c>
      <c r="J549">
        <f>YEAR(I549)</f>
        <v>2019</v>
      </c>
      <c r="K549" s="99">
        <v>43697</v>
      </c>
      <c r="L549" t="s">
        <v>8297</v>
      </c>
      <c r="M549" t="s">
        <v>8298</v>
      </c>
    </row>
    <row r="550" spans="2:13" x14ac:dyDescent="0.2">
      <c r="B550">
        <v>10710</v>
      </c>
      <c r="C550" t="s">
        <v>8327</v>
      </c>
      <c r="D550" t="s">
        <v>8262</v>
      </c>
      <c r="E550" s="225">
        <v>46</v>
      </c>
      <c r="F550" t="s">
        <v>8411</v>
      </c>
      <c r="G550" t="s">
        <v>8412</v>
      </c>
      <c r="H550" t="s">
        <v>8311</v>
      </c>
      <c r="I550" s="99">
        <v>43959</v>
      </c>
      <c r="J550">
        <f>YEAR(I550)</f>
        <v>2020</v>
      </c>
      <c r="K550" s="99">
        <v>43962</v>
      </c>
      <c r="L550" t="s">
        <v>8285</v>
      </c>
      <c r="M550" t="s">
        <v>2317</v>
      </c>
    </row>
    <row r="551" spans="2:13" x14ac:dyDescent="0.2">
      <c r="B551">
        <v>10710</v>
      </c>
      <c r="C551" t="s">
        <v>8410</v>
      </c>
      <c r="D551" t="s">
        <v>8262</v>
      </c>
      <c r="E551" s="225">
        <v>47.5</v>
      </c>
      <c r="F551" t="s">
        <v>8411</v>
      </c>
      <c r="G551" t="s">
        <v>8412</v>
      </c>
      <c r="H551" t="s">
        <v>8311</v>
      </c>
      <c r="I551" s="99">
        <v>43959</v>
      </c>
      <c r="J551">
        <f>YEAR(I551)</f>
        <v>2020</v>
      </c>
      <c r="K551" s="99">
        <v>43962</v>
      </c>
      <c r="L551" t="s">
        <v>8285</v>
      </c>
      <c r="M551" t="s">
        <v>2317</v>
      </c>
    </row>
    <row r="552" spans="2:13" x14ac:dyDescent="0.2">
      <c r="B552">
        <v>10753</v>
      </c>
      <c r="C552" t="s">
        <v>8275</v>
      </c>
      <c r="D552" t="s">
        <v>8247</v>
      </c>
      <c r="E552" s="225">
        <v>50</v>
      </c>
      <c r="F552" t="s">
        <v>8411</v>
      </c>
      <c r="G552" t="s">
        <v>8412</v>
      </c>
      <c r="H552" t="s">
        <v>8311</v>
      </c>
      <c r="I552" s="99">
        <v>43995</v>
      </c>
      <c r="J552">
        <f>YEAR(I552)</f>
        <v>2020</v>
      </c>
      <c r="K552" s="99">
        <v>43997</v>
      </c>
      <c r="L552" t="s">
        <v>8257</v>
      </c>
      <c r="M552" t="s">
        <v>6984</v>
      </c>
    </row>
    <row r="553" spans="2:13" x14ac:dyDescent="0.2">
      <c r="B553">
        <v>11026</v>
      </c>
      <c r="C553" t="s">
        <v>8245</v>
      </c>
      <c r="D553" t="s">
        <v>8247</v>
      </c>
      <c r="E553" s="225">
        <v>530</v>
      </c>
      <c r="F553" t="s">
        <v>8411</v>
      </c>
      <c r="G553" t="s">
        <v>8412</v>
      </c>
      <c r="H553" t="s">
        <v>8311</v>
      </c>
      <c r="I553" s="99">
        <v>44135</v>
      </c>
      <c r="J553">
        <f>YEAR(I553)</f>
        <v>2020</v>
      </c>
      <c r="K553" s="99">
        <v>44148</v>
      </c>
      <c r="L553" t="s">
        <v>8266</v>
      </c>
      <c r="M553" t="s">
        <v>8267</v>
      </c>
    </row>
    <row r="554" spans="2:13" x14ac:dyDescent="0.2">
      <c r="B554">
        <v>11060</v>
      </c>
      <c r="C554" t="s">
        <v>8397</v>
      </c>
      <c r="D554" t="s">
        <v>8254</v>
      </c>
      <c r="E554" s="225">
        <v>130</v>
      </c>
      <c r="F554" t="s">
        <v>8411</v>
      </c>
      <c r="G554" t="s">
        <v>8412</v>
      </c>
      <c r="H554" t="s">
        <v>8311</v>
      </c>
      <c r="I554" s="99">
        <v>44150</v>
      </c>
      <c r="J554">
        <f>YEAR(I554)</f>
        <v>2020</v>
      </c>
      <c r="K554" s="99">
        <v>44154</v>
      </c>
      <c r="L554" t="s">
        <v>8297</v>
      </c>
      <c r="M554" t="s">
        <v>8298</v>
      </c>
    </row>
    <row r="555" spans="2:13" x14ac:dyDescent="0.2">
      <c r="B555">
        <v>11060</v>
      </c>
      <c r="C555" t="s">
        <v>8268</v>
      </c>
      <c r="D555" t="s">
        <v>8237</v>
      </c>
      <c r="E555" s="225">
        <v>136</v>
      </c>
      <c r="F555" t="s">
        <v>8411</v>
      </c>
      <c r="G555" t="s">
        <v>8412</v>
      </c>
      <c r="H555" t="s">
        <v>8311</v>
      </c>
      <c r="I555" s="99">
        <v>44150</v>
      </c>
      <c r="J555">
        <f>YEAR(I555)</f>
        <v>2020</v>
      </c>
      <c r="K555" s="99">
        <v>44154</v>
      </c>
      <c r="L555" t="s">
        <v>8297</v>
      </c>
      <c r="M555" t="s">
        <v>8298</v>
      </c>
    </row>
    <row r="556" spans="2:13" x14ac:dyDescent="0.2">
      <c r="B556">
        <v>10267</v>
      </c>
      <c r="C556" t="s">
        <v>8303</v>
      </c>
      <c r="D556" t="s">
        <v>8272</v>
      </c>
      <c r="E556" s="225">
        <v>183.6</v>
      </c>
      <c r="F556" t="s">
        <v>8304</v>
      </c>
      <c r="G556" t="s">
        <v>8305</v>
      </c>
      <c r="H556" t="s">
        <v>8246</v>
      </c>
      <c r="I556" s="99">
        <v>43511</v>
      </c>
      <c r="J556">
        <f>YEAR(I556)</f>
        <v>2019</v>
      </c>
      <c r="K556" s="99">
        <v>43519</v>
      </c>
      <c r="L556" t="s">
        <v>8266</v>
      </c>
      <c r="M556" t="s">
        <v>8267</v>
      </c>
    </row>
    <row r="557" spans="2:13" x14ac:dyDescent="0.2">
      <c r="B557">
        <v>10267</v>
      </c>
      <c r="C557" t="s">
        <v>8281</v>
      </c>
      <c r="D557" t="s">
        <v>8237</v>
      </c>
      <c r="E557" s="225">
        <v>2618</v>
      </c>
      <c r="F557" t="s">
        <v>8304</v>
      </c>
      <c r="G557" t="s">
        <v>8305</v>
      </c>
      <c r="H557" t="s">
        <v>8246</v>
      </c>
      <c r="I557" s="99">
        <v>43511</v>
      </c>
      <c r="J557">
        <f>YEAR(I557)</f>
        <v>2019</v>
      </c>
      <c r="K557" s="99">
        <v>43519</v>
      </c>
      <c r="L557" t="s">
        <v>8266</v>
      </c>
      <c r="M557" t="s">
        <v>8267</v>
      </c>
    </row>
    <row r="558" spans="2:13" x14ac:dyDescent="0.2">
      <c r="B558">
        <v>10337</v>
      </c>
      <c r="C558" t="s">
        <v>8372</v>
      </c>
      <c r="D558" t="s">
        <v>8262</v>
      </c>
      <c r="E558" s="225">
        <v>597.6</v>
      </c>
      <c r="F558" t="s">
        <v>8304</v>
      </c>
      <c r="G558" t="s">
        <v>8305</v>
      </c>
      <c r="H558" t="s">
        <v>8246</v>
      </c>
      <c r="I558" s="99">
        <v>43598</v>
      </c>
      <c r="J558">
        <f>YEAR(I558)</f>
        <v>2019</v>
      </c>
      <c r="K558" s="99">
        <v>43603</v>
      </c>
      <c r="L558" t="s">
        <v>8266</v>
      </c>
      <c r="M558" t="s">
        <v>8267</v>
      </c>
    </row>
    <row r="559" spans="2:13" x14ac:dyDescent="0.2">
      <c r="B559">
        <v>10337</v>
      </c>
      <c r="C559" t="s">
        <v>8235</v>
      </c>
      <c r="D559" t="s">
        <v>8237</v>
      </c>
      <c r="E559" s="225">
        <v>695</v>
      </c>
      <c r="F559" t="s">
        <v>8304</v>
      </c>
      <c r="G559" t="s">
        <v>8305</v>
      </c>
      <c r="H559" t="s">
        <v>8246</v>
      </c>
      <c r="I559" s="99">
        <v>43598</v>
      </c>
      <c r="J559">
        <f>YEAR(I559)</f>
        <v>2019</v>
      </c>
      <c r="K559" s="99">
        <v>43603</v>
      </c>
      <c r="L559" t="s">
        <v>8266</v>
      </c>
      <c r="M559" t="s">
        <v>8267</v>
      </c>
    </row>
    <row r="560" spans="2:13" x14ac:dyDescent="0.2">
      <c r="B560">
        <v>10337</v>
      </c>
      <c r="C560" t="s">
        <v>8373</v>
      </c>
      <c r="D560" t="s">
        <v>8244</v>
      </c>
      <c r="E560" s="225">
        <v>288</v>
      </c>
      <c r="F560" t="s">
        <v>8304</v>
      </c>
      <c r="G560" t="s">
        <v>8305</v>
      </c>
      <c r="H560" t="s">
        <v>8246</v>
      </c>
      <c r="I560" s="99">
        <v>43598</v>
      </c>
      <c r="J560">
        <f>YEAR(I560)</f>
        <v>2019</v>
      </c>
      <c r="K560" s="99">
        <v>43603</v>
      </c>
      <c r="L560" t="s">
        <v>8266</v>
      </c>
      <c r="M560" t="s">
        <v>8267</v>
      </c>
    </row>
    <row r="561" spans="2:13" x14ac:dyDescent="0.2">
      <c r="B561">
        <v>10342</v>
      </c>
      <c r="C561" t="s">
        <v>8276</v>
      </c>
      <c r="D561" t="s">
        <v>8272</v>
      </c>
      <c r="E561" s="225">
        <v>291.83999999999997</v>
      </c>
      <c r="F561" t="s">
        <v>8304</v>
      </c>
      <c r="G561" t="s">
        <v>8305</v>
      </c>
      <c r="H561" t="s">
        <v>8246</v>
      </c>
      <c r="I561" s="99">
        <v>43604</v>
      </c>
      <c r="J561">
        <f>YEAR(I561)</f>
        <v>2019</v>
      </c>
      <c r="K561" s="99">
        <v>43609</v>
      </c>
      <c r="L561" t="s">
        <v>8266</v>
      </c>
      <c r="M561" t="s">
        <v>8267</v>
      </c>
    </row>
    <row r="562" spans="2:13" x14ac:dyDescent="0.2">
      <c r="B562">
        <v>10342</v>
      </c>
      <c r="C562" t="s">
        <v>8309</v>
      </c>
      <c r="D562" t="s">
        <v>8237</v>
      </c>
      <c r="E562" s="225">
        <v>448</v>
      </c>
      <c r="F562" t="s">
        <v>8304</v>
      </c>
      <c r="G562" t="s">
        <v>8305</v>
      </c>
      <c r="H562" t="s">
        <v>8246</v>
      </c>
      <c r="I562" s="99">
        <v>43604</v>
      </c>
      <c r="J562">
        <f>YEAR(I562)</f>
        <v>2019</v>
      </c>
      <c r="K562" s="99">
        <v>43609</v>
      </c>
      <c r="L562" t="s">
        <v>8266</v>
      </c>
      <c r="M562" t="s">
        <v>8267</v>
      </c>
    </row>
    <row r="563" spans="2:13" x14ac:dyDescent="0.2">
      <c r="B563">
        <v>10396</v>
      </c>
      <c r="C563" t="s">
        <v>8310</v>
      </c>
      <c r="D563" t="s">
        <v>8237</v>
      </c>
      <c r="E563" s="225">
        <v>1032</v>
      </c>
      <c r="F563" t="s">
        <v>8304</v>
      </c>
      <c r="G563" t="s">
        <v>8305</v>
      </c>
      <c r="H563" t="s">
        <v>8246</v>
      </c>
      <c r="I563" s="99">
        <v>43662</v>
      </c>
      <c r="J563">
        <f>YEAR(I563)</f>
        <v>2019</v>
      </c>
      <c r="K563" s="99">
        <v>43672</v>
      </c>
      <c r="L563" t="s">
        <v>8285</v>
      </c>
      <c r="M563" t="s">
        <v>2317</v>
      </c>
    </row>
    <row r="564" spans="2:13" x14ac:dyDescent="0.2">
      <c r="B564">
        <v>10396</v>
      </c>
      <c r="C564" t="s">
        <v>8235</v>
      </c>
      <c r="D564" t="s">
        <v>8237</v>
      </c>
      <c r="E564" s="225">
        <v>583.79999999999995</v>
      </c>
      <c r="F564" t="s">
        <v>8304</v>
      </c>
      <c r="G564" t="s">
        <v>8305</v>
      </c>
      <c r="H564" t="s">
        <v>8246</v>
      </c>
      <c r="I564" s="99">
        <v>43662</v>
      </c>
      <c r="J564">
        <f>YEAR(I564)</f>
        <v>2019</v>
      </c>
      <c r="K564" s="99">
        <v>43672</v>
      </c>
      <c r="L564" t="s">
        <v>8285</v>
      </c>
      <c r="M564" t="s">
        <v>2317</v>
      </c>
    </row>
    <row r="565" spans="2:13" x14ac:dyDescent="0.2">
      <c r="B565">
        <v>10396</v>
      </c>
      <c r="C565" t="s">
        <v>8373</v>
      </c>
      <c r="D565" t="s">
        <v>8244</v>
      </c>
      <c r="E565" s="225">
        <v>288</v>
      </c>
      <c r="F565" t="s">
        <v>8304</v>
      </c>
      <c r="G565" t="s">
        <v>8305</v>
      </c>
      <c r="H565" t="s">
        <v>8246</v>
      </c>
      <c r="I565" s="99">
        <v>43662</v>
      </c>
      <c r="J565">
        <f>YEAR(I565)</f>
        <v>2019</v>
      </c>
      <c r="K565" s="99">
        <v>43672</v>
      </c>
      <c r="L565" t="s">
        <v>8285</v>
      </c>
      <c r="M565" t="s">
        <v>2317</v>
      </c>
    </row>
    <row r="566" spans="2:13" x14ac:dyDescent="0.2">
      <c r="B566">
        <v>10488</v>
      </c>
      <c r="C566" t="s">
        <v>8281</v>
      </c>
      <c r="D566" t="s">
        <v>8237</v>
      </c>
      <c r="E566" s="225">
        <v>1320</v>
      </c>
      <c r="F566" t="s">
        <v>8304</v>
      </c>
      <c r="G566" t="s">
        <v>8305</v>
      </c>
      <c r="H566" t="s">
        <v>8246</v>
      </c>
      <c r="I566" s="99">
        <v>43752</v>
      </c>
      <c r="J566">
        <f>YEAR(I566)</f>
        <v>2019</v>
      </c>
      <c r="K566" s="99">
        <v>43758</v>
      </c>
      <c r="L566" t="s">
        <v>8320</v>
      </c>
      <c r="M566" t="s">
        <v>8321</v>
      </c>
    </row>
    <row r="567" spans="2:13" x14ac:dyDescent="0.2">
      <c r="B567">
        <v>10560</v>
      </c>
      <c r="C567" t="s">
        <v>8291</v>
      </c>
      <c r="D567" t="s">
        <v>8262</v>
      </c>
      <c r="E567" s="225">
        <v>554.62</v>
      </c>
      <c r="F567" t="s">
        <v>8304</v>
      </c>
      <c r="G567" t="s">
        <v>8305</v>
      </c>
      <c r="H567" t="s">
        <v>8246</v>
      </c>
      <c r="I567" s="99">
        <v>43823</v>
      </c>
      <c r="J567">
        <f>YEAR(I567)</f>
        <v>2019</v>
      </c>
      <c r="K567" s="99">
        <v>43826</v>
      </c>
      <c r="L567" t="s">
        <v>8320</v>
      </c>
      <c r="M567" t="s">
        <v>8321</v>
      </c>
    </row>
    <row r="568" spans="2:13" x14ac:dyDescent="0.2">
      <c r="B568">
        <v>10623</v>
      </c>
      <c r="C568" t="s">
        <v>8270</v>
      </c>
      <c r="D568" t="s">
        <v>8272</v>
      </c>
      <c r="E568" s="225">
        <v>13.5</v>
      </c>
      <c r="F568" t="s">
        <v>8304</v>
      </c>
      <c r="G568" t="s">
        <v>8305</v>
      </c>
      <c r="H568" t="s">
        <v>8246</v>
      </c>
      <c r="I568" s="99">
        <v>43885</v>
      </c>
      <c r="J568">
        <f>YEAR(I568)</f>
        <v>2020</v>
      </c>
      <c r="K568" s="99">
        <v>43890</v>
      </c>
      <c r="L568" t="s">
        <v>8320</v>
      </c>
      <c r="M568" t="s">
        <v>8321</v>
      </c>
    </row>
    <row r="569" spans="2:13" x14ac:dyDescent="0.2">
      <c r="B569">
        <v>10623</v>
      </c>
      <c r="C569" t="s">
        <v>8323</v>
      </c>
      <c r="D569" t="s">
        <v>8272</v>
      </c>
      <c r="E569" s="225">
        <v>486</v>
      </c>
      <c r="F569" t="s">
        <v>8304</v>
      </c>
      <c r="G569" t="s">
        <v>8305</v>
      </c>
      <c r="H569" t="s">
        <v>8246</v>
      </c>
      <c r="I569" s="99">
        <v>43885</v>
      </c>
      <c r="J569">
        <f>YEAR(I569)</f>
        <v>2020</v>
      </c>
      <c r="K569" s="99">
        <v>43890</v>
      </c>
      <c r="L569" t="s">
        <v>8320</v>
      </c>
      <c r="M569" t="s">
        <v>8321</v>
      </c>
    </row>
    <row r="570" spans="2:13" x14ac:dyDescent="0.2">
      <c r="B570">
        <v>10623</v>
      </c>
      <c r="C570" t="s">
        <v>8327</v>
      </c>
      <c r="D570" t="s">
        <v>8262</v>
      </c>
      <c r="E570" s="225">
        <v>124.2</v>
      </c>
      <c r="F570" t="s">
        <v>8304</v>
      </c>
      <c r="G570" t="s">
        <v>8305</v>
      </c>
      <c r="H570" t="s">
        <v>8246</v>
      </c>
      <c r="I570" s="99">
        <v>43885</v>
      </c>
      <c r="J570">
        <f>YEAR(I570)</f>
        <v>2020</v>
      </c>
      <c r="K570" s="99">
        <v>43890</v>
      </c>
      <c r="L570" t="s">
        <v>8320</v>
      </c>
      <c r="M570" t="s">
        <v>8321</v>
      </c>
    </row>
    <row r="571" spans="2:13" x14ac:dyDescent="0.2">
      <c r="B571">
        <v>10623</v>
      </c>
      <c r="C571" t="s">
        <v>8368</v>
      </c>
      <c r="D571" t="s">
        <v>8262</v>
      </c>
      <c r="E571" s="225">
        <v>225</v>
      </c>
      <c r="F571" t="s">
        <v>8304</v>
      </c>
      <c r="G571" t="s">
        <v>8305</v>
      </c>
      <c r="H571" t="s">
        <v>8246</v>
      </c>
      <c r="I571" s="99">
        <v>43885</v>
      </c>
      <c r="J571">
        <f>YEAR(I571)</f>
        <v>2020</v>
      </c>
      <c r="K571" s="99">
        <v>43890</v>
      </c>
      <c r="L571" t="s">
        <v>8320</v>
      </c>
      <c r="M571" t="s">
        <v>8321</v>
      </c>
    </row>
    <row r="572" spans="2:13" x14ac:dyDescent="0.2">
      <c r="B572">
        <v>10623</v>
      </c>
      <c r="C572" t="s">
        <v>8252</v>
      </c>
      <c r="D572" t="s">
        <v>8247</v>
      </c>
      <c r="E572" s="225">
        <v>488.25</v>
      </c>
      <c r="F572" t="s">
        <v>8304</v>
      </c>
      <c r="G572" t="s">
        <v>8305</v>
      </c>
      <c r="H572" t="s">
        <v>8246</v>
      </c>
      <c r="I572" s="99">
        <v>43885</v>
      </c>
      <c r="J572">
        <f>YEAR(I572)</f>
        <v>2020</v>
      </c>
      <c r="K572" s="99">
        <v>43890</v>
      </c>
      <c r="L572" t="s">
        <v>8320</v>
      </c>
      <c r="M572" t="s">
        <v>8321</v>
      </c>
    </row>
    <row r="573" spans="2:13" x14ac:dyDescent="0.2">
      <c r="B573">
        <v>10653</v>
      </c>
      <c r="C573" t="s">
        <v>8280</v>
      </c>
      <c r="D573" t="s">
        <v>8262</v>
      </c>
      <c r="E573" s="225">
        <v>471.15</v>
      </c>
      <c r="F573" t="s">
        <v>8304</v>
      </c>
      <c r="G573" t="s">
        <v>8305</v>
      </c>
      <c r="H573" t="s">
        <v>8246</v>
      </c>
      <c r="I573" s="99">
        <v>43911</v>
      </c>
      <c r="J573">
        <f>YEAR(I573)</f>
        <v>2020</v>
      </c>
      <c r="K573" s="99">
        <v>43928</v>
      </c>
      <c r="L573" t="s">
        <v>8285</v>
      </c>
      <c r="M573" t="s">
        <v>2317</v>
      </c>
    </row>
    <row r="574" spans="2:13" x14ac:dyDescent="0.2">
      <c r="B574">
        <v>10653</v>
      </c>
      <c r="C574" t="s">
        <v>8268</v>
      </c>
      <c r="D574" t="s">
        <v>8237</v>
      </c>
      <c r="E574" s="225">
        <v>612</v>
      </c>
      <c r="F574" t="s">
        <v>8304</v>
      </c>
      <c r="G574" t="s">
        <v>8305</v>
      </c>
      <c r="H574" t="s">
        <v>8246</v>
      </c>
      <c r="I574" s="99">
        <v>43911</v>
      </c>
      <c r="J574">
        <f>YEAR(I574)</f>
        <v>2020</v>
      </c>
      <c r="K574" s="99">
        <v>43928</v>
      </c>
      <c r="L574" t="s">
        <v>8285</v>
      </c>
      <c r="M574" t="s">
        <v>2317</v>
      </c>
    </row>
    <row r="575" spans="2:13" x14ac:dyDescent="0.2">
      <c r="B575">
        <v>10670</v>
      </c>
      <c r="C575" t="s">
        <v>8329</v>
      </c>
      <c r="D575" t="s">
        <v>8272</v>
      </c>
      <c r="E575" s="225">
        <v>350</v>
      </c>
      <c r="F575" t="s">
        <v>8304</v>
      </c>
      <c r="G575" t="s">
        <v>8305</v>
      </c>
      <c r="H575" t="s">
        <v>8246</v>
      </c>
      <c r="I575" s="99">
        <v>43925</v>
      </c>
      <c r="J575">
        <f>YEAR(I575)</f>
        <v>2020</v>
      </c>
      <c r="K575" s="99">
        <v>43927</v>
      </c>
      <c r="L575" t="s">
        <v>8266</v>
      </c>
      <c r="M575" t="s">
        <v>8267</v>
      </c>
    </row>
    <row r="576" spans="2:13" x14ac:dyDescent="0.2">
      <c r="B576">
        <v>10670</v>
      </c>
      <c r="C576" t="s">
        <v>8328</v>
      </c>
      <c r="D576" t="s">
        <v>8272</v>
      </c>
      <c r="E576" s="225">
        <v>193.75</v>
      </c>
      <c r="F576" t="s">
        <v>8304</v>
      </c>
      <c r="G576" t="s">
        <v>8305</v>
      </c>
      <c r="H576" t="s">
        <v>8246</v>
      </c>
      <c r="I576" s="99">
        <v>43925</v>
      </c>
      <c r="J576">
        <f>YEAR(I576)</f>
        <v>2020</v>
      </c>
      <c r="K576" s="99">
        <v>43927</v>
      </c>
      <c r="L576" t="s">
        <v>8266</v>
      </c>
      <c r="M576" t="s">
        <v>8267</v>
      </c>
    </row>
    <row r="577" spans="2:13" x14ac:dyDescent="0.2">
      <c r="B577">
        <v>10670</v>
      </c>
      <c r="C577" t="s">
        <v>8373</v>
      </c>
      <c r="D577" t="s">
        <v>8244</v>
      </c>
      <c r="E577" s="225">
        <v>288</v>
      </c>
      <c r="F577" t="s">
        <v>8304</v>
      </c>
      <c r="G577" t="s">
        <v>8305</v>
      </c>
      <c r="H577" t="s">
        <v>8246</v>
      </c>
      <c r="I577" s="99">
        <v>43925</v>
      </c>
      <c r="J577">
        <f>YEAR(I577)</f>
        <v>2020</v>
      </c>
      <c r="K577" s="99">
        <v>43927</v>
      </c>
      <c r="L577" t="s">
        <v>8266</v>
      </c>
      <c r="M577" t="s">
        <v>8267</v>
      </c>
    </row>
    <row r="578" spans="2:13" x14ac:dyDescent="0.2">
      <c r="B578">
        <v>10675</v>
      </c>
      <c r="C578" t="s">
        <v>8252</v>
      </c>
      <c r="D578" t="s">
        <v>8247</v>
      </c>
      <c r="E578" s="225">
        <v>697.5</v>
      </c>
      <c r="F578" t="s">
        <v>8304</v>
      </c>
      <c r="G578" t="s">
        <v>8305</v>
      </c>
      <c r="H578" t="s">
        <v>8246</v>
      </c>
      <c r="I578" s="99">
        <v>43928</v>
      </c>
      <c r="J578">
        <f>YEAR(I578)</f>
        <v>2020</v>
      </c>
      <c r="K578" s="99">
        <v>43932</v>
      </c>
      <c r="L578" t="s">
        <v>8241</v>
      </c>
      <c r="M578" t="s">
        <v>6934</v>
      </c>
    </row>
    <row r="579" spans="2:13" x14ac:dyDescent="0.2">
      <c r="B579">
        <v>10717</v>
      </c>
      <c r="C579" t="s">
        <v>8368</v>
      </c>
      <c r="D579" t="s">
        <v>8262</v>
      </c>
      <c r="E579" s="225">
        <v>304</v>
      </c>
      <c r="F579" t="s">
        <v>8304</v>
      </c>
      <c r="G579" t="s">
        <v>8305</v>
      </c>
      <c r="H579" t="s">
        <v>8246</v>
      </c>
      <c r="I579" s="99">
        <v>43963</v>
      </c>
      <c r="J579">
        <f>YEAR(I579)</f>
        <v>2020</v>
      </c>
      <c r="K579" s="99">
        <v>43968</v>
      </c>
      <c r="L579" t="s">
        <v>8285</v>
      </c>
      <c r="M579" t="s">
        <v>2317</v>
      </c>
    </row>
    <row r="580" spans="2:13" x14ac:dyDescent="0.2">
      <c r="B580">
        <v>10717</v>
      </c>
      <c r="C580" t="s">
        <v>8353</v>
      </c>
      <c r="D580" t="s">
        <v>8237</v>
      </c>
      <c r="E580" s="225">
        <v>855</v>
      </c>
      <c r="F580" t="s">
        <v>8304</v>
      </c>
      <c r="G580" t="s">
        <v>8305</v>
      </c>
      <c r="H580" t="s">
        <v>8246</v>
      </c>
      <c r="I580" s="99">
        <v>43963</v>
      </c>
      <c r="J580">
        <f>YEAR(I580)</f>
        <v>2020</v>
      </c>
      <c r="K580" s="99">
        <v>43968</v>
      </c>
      <c r="L580" t="s">
        <v>8285</v>
      </c>
      <c r="M580" t="s">
        <v>2317</v>
      </c>
    </row>
    <row r="581" spans="2:13" x14ac:dyDescent="0.2">
      <c r="B581">
        <v>10859</v>
      </c>
      <c r="C581" t="s">
        <v>8270</v>
      </c>
      <c r="D581" t="s">
        <v>8272</v>
      </c>
      <c r="E581" s="225">
        <v>135</v>
      </c>
      <c r="F581" t="s">
        <v>8304</v>
      </c>
      <c r="G581" t="s">
        <v>8305</v>
      </c>
      <c r="H581" t="s">
        <v>8246</v>
      </c>
      <c r="I581" s="99">
        <v>44044</v>
      </c>
      <c r="J581">
        <f>YEAR(I581)</f>
        <v>2020</v>
      </c>
      <c r="K581" s="99">
        <v>44063</v>
      </c>
      <c r="L581" t="s">
        <v>8285</v>
      </c>
      <c r="M581" t="s">
        <v>2317</v>
      </c>
    </row>
    <row r="582" spans="2:13" x14ac:dyDescent="0.2">
      <c r="B582">
        <v>10859</v>
      </c>
      <c r="C582" t="s">
        <v>8340</v>
      </c>
      <c r="D582" t="s">
        <v>8244</v>
      </c>
      <c r="E582" s="225">
        <v>748.12</v>
      </c>
      <c r="F582" t="s">
        <v>8304</v>
      </c>
      <c r="G582" t="s">
        <v>8305</v>
      </c>
      <c r="H582" t="s">
        <v>8246</v>
      </c>
      <c r="I582" s="99">
        <v>44044</v>
      </c>
      <c r="J582">
        <f>YEAR(I582)</f>
        <v>2020</v>
      </c>
      <c r="K582" s="99">
        <v>44063</v>
      </c>
      <c r="L582" t="s">
        <v>8285</v>
      </c>
      <c r="M582" t="s">
        <v>2317</v>
      </c>
    </row>
    <row r="583" spans="2:13" x14ac:dyDescent="0.2">
      <c r="B583">
        <v>10929</v>
      </c>
      <c r="C583" t="s">
        <v>8328</v>
      </c>
      <c r="D583" t="s">
        <v>8272</v>
      </c>
      <c r="E583" s="225">
        <v>379.75</v>
      </c>
      <c r="F583" t="s">
        <v>8304</v>
      </c>
      <c r="G583" t="s">
        <v>8305</v>
      </c>
      <c r="H583" t="s">
        <v>8246</v>
      </c>
      <c r="I583" s="99">
        <v>44094</v>
      </c>
      <c r="J583">
        <f>YEAR(I583)</f>
        <v>2020</v>
      </c>
      <c r="K583" s="99">
        <v>44101</v>
      </c>
      <c r="L583" t="s">
        <v>8251</v>
      </c>
      <c r="M583" t="s">
        <v>269</v>
      </c>
    </row>
    <row r="584" spans="2:13" x14ac:dyDescent="0.2">
      <c r="B584">
        <v>10929</v>
      </c>
      <c r="C584" t="s">
        <v>8397</v>
      </c>
      <c r="D584" t="s">
        <v>8254</v>
      </c>
      <c r="E584" s="225">
        <v>195</v>
      </c>
      <c r="F584" t="s">
        <v>8304</v>
      </c>
      <c r="G584" t="s">
        <v>8305</v>
      </c>
      <c r="H584" t="s">
        <v>8246</v>
      </c>
      <c r="I584" s="99">
        <v>44094</v>
      </c>
      <c r="J584">
        <f>YEAR(I584)</f>
        <v>2020</v>
      </c>
      <c r="K584" s="99">
        <v>44101</v>
      </c>
      <c r="L584" t="s">
        <v>8251</v>
      </c>
      <c r="M584" t="s">
        <v>269</v>
      </c>
    </row>
    <row r="585" spans="2:13" x14ac:dyDescent="0.2">
      <c r="B585">
        <v>10929</v>
      </c>
      <c r="C585" t="s">
        <v>8368</v>
      </c>
      <c r="D585" t="s">
        <v>8262</v>
      </c>
      <c r="E585" s="225">
        <v>600</v>
      </c>
      <c r="F585" t="s">
        <v>8304</v>
      </c>
      <c r="G585" t="s">
        <v>8305</v>
      </c>
      <c r="H585" t="s">
        <v>8246</v>
      </c>
      <c r="I585" s="99">
        <v>44094</v>
      </c>
      <c r="J585">
        <f>YEAR(I585)</f>
        <v>2020</v>
      </c>
      <c r="K585" s="99">
        <v>44101</v>
      </c>
      <c r="L585" t="s">
        <v>8251</v>
      </c>
      <c r="M585" t="s">
        <v>269</v>
      </c>
    </row>
    <row r="586" spans="2:13" x14ac:dyDescent="0.2">
      <c r="B586">
        <v>11012</v>
      </c>
      <c r="C586" t="s">
        <v>8327</v>
      </c>
      <c r="D586" t="s">
        <v>8262</v>
      </c>
      <c r="E586" s="225">
        <v>437</v>
      </c>
      <c r="F586" t="s">
        <v>8304</v>
      </c>
      <c r="G586" t="s">
        <v>8305</v>
      </c>
      <c r="H586" t="s">
        <v>8246</v>
      </c>
      <c r="I586" s="99">
        <v>44129</v>
      </c>
      <c r="J586">
        <f>YEAR(I586)</f>
        <v>2020</v>
      </c>
      <c r="K586" s="99">
        <v>44137</v>
      </c>
      <c r="L586" t="s">
        <v>8285</v>
      </c>
      <c r="M586" t="s">
        <v>2317</v>
      </c>
    </row>
    <row r="587" spans="2:13" x14ac:dyDescent="0.2">
      <c r="B587">
        <v>11012</v>
      </c>
      <c r="C587" t="s">
        <v>8268</v>
      </c>
      <c r="D587" t="s">
        <v>8237</v>
      </c>
      <c r="E587" s="225">
        <v>1162.8</v>
      </c>
      <c r="F587" t="s">
        <v>8304</v>
      </c>
      <c r="G587" t="s">
        <v>8305</v>
      </c>
      <c r="H587" t="s">
        <v>8246</v>
      </c>
      <c r="I587" s="99">
        <v>44129</v>
      </c>
      <c r="J587">
        <f>YEAR(I587)</f>
        <v>2020</v>
      </c>
      <c r="K587" s="99">
        <v>44137</v>
      </c>
      <c r="L587" t="s">
        <v>8285</v>
      </c>
      <c r="M587" t="s">
        <v>2317</v>
      </c>
    </row>
    <row r="588" spans="2:13" x14ac:dyDescent="0.2">
      <c r="B588">
        <v>11012</v>
      </c>
      <c r="C588" t="s">
        <v>8310</v>
      </c>
      <c r="D588" t="s">
        <v>8237</v>
      </c>
      <c r="E588" s="225">
        <v>1225.5</v>
      </c>
      <c r="F588" t="s">
        <v>8304</v>
      </c>
      <c r="G588" t="s">
        <v>8305</v>
      </c>
      <c r="H588" t="s">
        <v>8246</v>
      </c>
      <c r="I588" s="99">
        <v>44129</v>
      </c>
      <c r="J588">
        <f>YEAR(I588)</f>
        <v>2020</v>
      </c>
      <c r="K588" s="99">
        <v>44137</v>
      </c>
      <c r="L588" t="s">
        <v>8285</v>
      </c>
      <c r="M588" t="s">
        <v>2317</v>
      </c>
    </row>
    <row r="589" spans="2:13" x14ac:dyDescent="0.2">
      <c r="B589">
        <v>10328</v>
      </c>
      <c r="C589" t="s">
        <v>8253</v>
      </c>
      <c r="D589" t="s">
        <v>8254</v>
      </c>
      <c r="E589" s="225">
        <v>672</v>
      </c>
      <c r="F589" t="s">
        <v>8366</v>
      </c>
      <c r="G589" t="s">
        <v>8367</v>
      </c>
      <c r="H589" t="s">
        <v>8365</v>
      </c>
      <c r="I589" s="99">
        <v>43588</v>
      </c>
      <c r="J589">
        <f>YEAR(I589)</f>
        <v>2019</v>
      </c>
      <c r="K589" s="99">
        <v>43591</v>
      </c>
      <c r="L589" t="s">
        <v>8266</v>
      </c>
      <c r="M589" t="s">
        <v>8267</v>
      </c>
    </row>
    <row r="590" spans="2:13" x14ac:dyDescent="0.2">
      <c r="B590">
        <v>10328</v>
      </c>
      <c r="C590" t="s">
        <v>8334</v>
      </c>
      <c r="D590" t="s">
        <v>8262</v>
      </c>
      <c r="E590" s="225">
        <v>100</v>
      </c>
      <c r="F590" t="s">
        <v>8366</v>
      </c>
      <c r="G590" t="s">
        <v>8367</v>
      </c>
      <c r="H590" t="s">
        <v>8365</v>
      </c>
      <c r="I590" s="99">
        <v>43588</v>
      </c>
      <c r="J590">
        <f>YEAR(I590)</f>
        <v>2019</v>
      </c>
      <c r="K590" s="99">
        <v>43591</v>
      </c>
      <c r="L590" t="s">
        <v>8266</v>
      </c>
      <c r="M590" t="s">
        <v>8267</v>
      </c>
    </row>
    <row r="591" spans="2:13" x14ac:dyDescent="0.2">
      <c r="B591">
        <v>10328</v>
      </c>
      <c r="C591" t="s">
        <v>8281</v>
      </c>
      <c r="D591" t="s">
        <v>8237</v>
      </c>
      <c r="E591" s="225">
        <v>396</v>
      </c>
      <c r="F591" t="s">
        <v>8366</v>
      </c>
      <c r="G591" t="s">
        <v>8367</v>
      </c>
      <c r="H591" t="s">
        <v>8365</v>
      </c>
      <c r="I591" s="99">
        <v>43588</v>
      </c>
      <c r="J591">
        <f>YEAR(I591)</f>
        <v>2019</v>
      </c>
      <c r="K591" s="99">
        <v>43591</v>
      </c>
      <c r="L591" t="s">
        <v>8266</v>
      </c>
      <c r="M591" t="s">
        <v>8267</v>
      </c>
    </row>
    <row r="592" spans="2:13" x14ac:dyDescent="0.2">
      <c r="B592">
        <v>10352</v>
      </c>
      <c r="C592" t="s">
        <v>8270</v>
      </c>
      <c r="D592" t="s">
        <v>8272</v>
      </c>
      <c r="E592" s="225">
        <v>36</v>
      </c>
      <c r="F592" t="s">
        <v>8366</v>
      </c>
      <c r="G592" t="s">
        <v>8367</v>
      </c>
      <c r="H592" t="s">
        <v>8365</v>
      </c>
      <c r="I592" s="99">
        <v>43617</v>
      </c>
      <c r="J592">
        <f>YEAR(I592)</f>
        <v>2019</v>
      </c>
      <c r="K592" s="99">
        <v>43623</v>
      </c>
      <c r="L592" t="s">
        <v>8257</v>
      </c>
      <c r="M592" t="s">
        <v>6984</v>
      </c>
    </row>
    <row r="593" spans="2:13" x14ac:dyDescent="0.2">
      <c r="B593">
        <v>10464</v>
      </c>
      <c r="C593" t="s">
        <v>8306</v>
      </c>
      <c r="D593" t="s">
        <v>8272</v>
      </c>
      <c r="E593" s="225">
        <v>110.4</v>
      </c>
      <c r="F593" t="s">
        <v>8366</v>
      </c>
      <c r="G593" t="s">
        <v>8367</v>
      </c>
      <c r="H593" t="s">
        <v>8365</v>
      </c>
      <c r="I593" s="99">
        <v>43729</v>
      </c>
      <c r="J593">
        <f>YEAR(I593)</f>
        <v>2019</v>
      </c>
      <c r="K593" s="99">
        <v>43739</v>
      </c>
      <c r="L593" t="s">
        <v>8266</v>
      </c>
      <c r="M593" t="s">
        <v>8267</v>
      </c>
    </row>
    <row r="594" spans="2:13" x14ac:dyDescent="0.2">
      <c r="B594">
        <v>10464</v>
      </c>
      <c r="C594" t="s">
        <v>8352</v>
      </c>
      <c r="D594" t="s">
        <v>8254</v>
      </c>
      <c r="E594" s="225">
        <v>225.28</v>
      </c>
      <c r="F594" t="s">
        <v>8366</v>
      </c>
      <c r="G594" t="s">
        <v>8367</v>
      </c>
      <c r="H594" t="s">
        <v>8365</v>
      </c>
      <c r="I594" s="99">
        <v>43729</v>
      </c>
      <c r="J594">
        <f>YEAR(I594)</f>
        <v>2019</v>
      </c>
      <c r="K594" s="99">
        <v>43739</v>
      </c>
      <c r="L594" t="s">
        <v>8266</v>
      </c>
      <c r="M594" t="s">
        <v>8267</v>
      </c>
    </row>
    <row r="595" spans="2:13" x14ac:dyDescent="0.2">
      <c r="B595">
        <v>10464</v>
      </c>
      <c r="C595" t="s">
        <v>8268</v>
      </c>
      <c r="D595" t="s">
        <v>8237</v>
      </c>
      <c r="E595" s="225">
        <v>544</v>
      </c>
      <c r="F595" t="s">
        <v>8366</v>
      </c>
      <c r="G595" t="s">
        <v>8367</v>
      </c>
      <c r="H595" t="s">
        <v>8365</v>
      </c>
      <c r="I595" s="99">
        <v>43729</v>
      </c>
      <c r="J595">
        <f>YEAR(I595)</f>
        <v>2019</v>
      </c>
      <c r="K595" s="99">
        <v>43739</v>
      </c>
      <c r="L595" t="s">
        <v>8266</v>
      </c>
      <c r="M595" t="s">
        <v>8267</v>
      </c>
    </row>
    <row r="596" spans="2:13" x14ac:dyDescent="0.2">
      <c r="B596">
        <v>10464</v>
      </c>
      <c r="C596" t="s">
        <v>8341</v>
      </c>
      <c r="D596" t="s">
        <v>8244</v>
      </c>
      <c r="E596" s="225">
        <v>729.6</v>
      </c>
      <c r="F596" t="s">
        <v>8366</v>
      </c>
      <c r="G596" t="s">
        <v>8367</v>
      </c>
      <c r="H596" t="s">
        <v>8365</v>
      </c>
      <c r="I596" s="99">
        <v>43729</v>
      </c>
      <c r="J596">
        <f>YEAR(I596)</f>
        <v>2019</v>
      </c>
      <c r="K596" s="99">
        <v>43739</v>
      </c>
      <c r="L596" t="s">
        <v>8266</v>
      </c>
      <c r="M596" t="s">
        <v>8267</v>
      </c>
    </row>
    <row r="597" spans="2:13" x14ac:dyDescent="0.2">
      <c r="B597">
        <v>10491</v>
      </c>
      <c r="C597" t="s">
        <v>8322</v>
      </c>
      <c r="D597" t="s">
        <v>8254</v>
      </c>
      <c r="E597" s="225">
        <v>197.62</v>
      </c>
      <c r="F597" t="s">
        <v>8366</v>
      </c>
      <c r="G597" t="s">
        <v>8367</v>
      </c>
      <c r="H597" t="s">
        <v>8365</v>
      </c>
      <c r="I597" s="99">
        <v>43756</v>
      </c>
      <c r="J597">
        <f>YEAR(I597)</f>
        <v>2019</v>
      </c>
      <c r="K597" s="99">
        <v>43764</v>
      </c>
      <c r="L597" t="s">
        <v>8320</v>
      </c>
      <c r="M597" t="s">
        <v>8321</v>
      </c>
    </row>
    <row r="598" spans="2:13" x14ac:dyDescent="0.2">
      <c r="B598">
        <v>10491</v>
      </c>
      <c r="C598" t="s">
        <v>8397</v>
      </c>
      <c r="D598" t="s">
        <v>8254</v>
      </c>
      <c r="E598" s="225">
        <v>61.88</v>
      </c>
      <c r="F598" t="s">
        <v>8366</v>
      </c>
      <c r="G598" t="s">
        <v>8367</v>
      </c>
      <c r="H598" t="s">
        <v>8365</v>
      </c>
      <c r="I598" s="99">
        <v>43756</v>
      </c>
      <c r="J598">
        <f>YEAR(I598)</f>
        <v>2019</v>
      </c>
      <c r="K598" s="99">
        <v>43764</v>
      </c>
      <c r="L598" t="s">
        <v>8320</v>
      </c>
      <c r="M598" t="s">
        <v>8321</v>
      </c>
    </row>
    <row r="599" spans="2:13" x14ac:dyDescent="0.2">
      <c r="B599">
        <v>10551</v>
      </c>
      <c r="C599" t="s">
        <v>8323</v>
      </c>
      <c r="D599" t="s">
        <v>8272</v>
      </c>
      <c r="E599" s="225">
        <v>306</v>
      </c>
      <c r="F599" t="s">
        <v>8366</v>
      </c>
      <c r="G599" t="s">
        <v>8367</v>
      </c>
      <c r="H599" t="s">
        <v>8365</v>
      </c>
      <c r="I599" s="99">
        <v>43814</v>
      </c>
      <c r="J599">
        <f>YEAR(I599)</f>
        <v>2019</v>
      </c>
      <c r="K599" s="99">
        <v>43823</v>
      </c>
      <c r="L599" t="s">
        <v>8266</v>
      </c>
      <c r="M599" t="s">
        <v>8267</v>
      </c>
    </row>
    <row r="600" spans="2:13" x14ac:dyDescent="0.2">
      <c r="B600">
        <v>10551</v>
      </c>
      <c r="C600" t="s">
        <v>8322</v>
      </c>
      <c r="D600" t="s">
        <v>8254</v>
      </c>
      <c r="E600" s="225">
        <v>778</v>
      </c>
      <c r="F600" t="s">
        <v>8366</v>
      </c>
      <c r="G600" t="s">
        <v>8367</v>
      </c>
      <c r="H600" t="s">
        <v>8365</v>
      </c>
      <c r="I600" s="99">
        <v>43814</v>
      </c>
      <c r="J600">
        <f>YEAR(I600)</f>
        <v>2019</v>
      </c>
      <c r="K600" s="99">
        <v>43823</v>
      </c>
      <c r="L600" t="s">
        <v>8266</v>
      </c>
      <c r="M600" t="s">
        <v>8267</v>
      </c>
    </row>
    <row r="601" spans="2:13" x14ac:dyDescent="0.2">
      <c r="B601">
        <v>10551</v>
      </c>
      <c r="C601" t="s">
        <v>8280</v>
      </c>
      <c r="D601" t="s">
        <v>8262</v>
      </c>
      <c r="E601" s="225">
        <v>593.29999999999995</v>
      </c>
      <c r="F601" t="s">
        <v>8366</v>
      </c>
      <c r="G601" t="s">
        <v>8367</v>
      </c>
      <c r="H601" t="s">
        <v>8365</v>
      </c>
      <c r="I601" s="99">
        <v>43814</v>
      </c>
      <c r="J601">
        <f>YEAR(I601)</f>
        <v>2019</v>
      </c>
      <c r="K601" s="99">
        <v>43823</v>
      </c>
      <c r="L601" t="s">
        <v>8266</v>
      </c>
      <c r="M601" t="s">
        <v>8267</v>
      </c>
    </row>
    <row r="602" spans="2:13" x14ac:dyDescent="0.2">
      <c r="B602">
        <v>10604</v>
      </c>
      <c r="C602" t="s">
        <v>8303</v>
      </c>
      <c r="D602" t="s">
        <v>8272</v>
      </c>
      <c r="E602" s="225">
        <v>162</v>
      </c>
      <c r="F602" t="s">
        <v>8366</v>
      </c>
      <c r="G602" t="s">
        <v>8367</v>
      </c>
      <c r="H602" t="s">
        <v>8365</v>
      </c>
      <c r="I602" s="99">
        <v>43865</v>
      </c>
      <c r="J602">
        <f>YEAR(I602)</f>
        <v>2020</v>
      </c>
      <c r="K602" s="99">
        <v>43876</v>
      </c>
      <c r="L602" t="s">
        <v>8285</v>
      </c>
      <c r="M602" t="s">
        <v>2317</v>
      </c>
    </row>
    <row r="603" spans="2:13" x14ac:dyDescent="0.2">
      <c r="B603">
        <v>10604</v>
      </c>
      <c r="C603" t="s">
        <v>8406</v>
      </c>
      <c r="D603" t="s">
        <v>8262</v>
      </c>
      <c r="E603" s="225">
        <v>68.849999999999994</v>
      </c>
      <c r="F603" t="s">
        <v>8366</v>
      </c>
      <c r="G603" t="s">
        <v>8367</v>
      </c>
      <c r="H603" t="s">
        <v>8365</v>
      </c>
      <c r="I603" s="99">
        <v>43865</v>
      </c>
      <c r="J603">
        <f>YEAR(I603)</f>
        <v>2020</v>
      </c>
      <c r="K603" s="99">
        <v>43876</v>
      </c>
      <c r="L603" t="s">
        <v>8285</v>
      </c>
      <c r="M603" t="s">
        <v>2317</v>
      </c>
    </row>
    <row r="604" spans="2:13" x14ac:dyDescent="0.2">
      <c r="B604">
        <v>10664</v>
      </c>
      <c r="C604" t="s">
        <v>8253</v>
      </c>
      <c r="D604" t="s">
        <v>8254</v>
      </c>
      <c r="E604" s="225">
        <v>268.39</v>
      </c>
      <c r="F604" t="s">
        <v>8366</v>
      </c>
      <c r="G604" t="s">
        <v>8367</v>
      </c>
      <c r="H604" t="s">
        <v>8365</v>
      </c>
      <c r="I604" s="99">
        <v>43919</v>
      </c>
      <c r="J604">
        <f>YEAR(I604)</f>
        <v>2020</v>
      </c>
      <c r="K604" s="99">
        <v>43928</v>
      </c>
      <c r="L604" t="s">
        <v>8285</v>
      </c>
      <c r="M604" t="s">
        <v>2317</v>
      </c>
    </row>
    <row r="605" spans="2:13" x14ac:dyDescent="0.2">
      <c r="B605">
        <v>10664</v>
      </c>
      <c r="C605" t="s">
        <v>8341</v>
      </c>
      <c r="D605" t="s">
        <v>8244</v>
      </c>
      <c r="E605" s="225">
        <v>387.6</v>
      </c>
      <c r="F605" t="s">
        <v>8366</v>
      </c>
      <c r="G605" t="s">
        <v>8367</v>
      </c>
      <c r="H605" t="s">
        <v>8365</v>
      </c>
      <c r="I605" s="99">
        <v>43919</v>
      </c>
      <c r="J605">
        <f>YEAR(I605)</f>
        <v>2020</v>
      </c>
      <c r="K605" s="99">
        <v>43928</v>
      </c>
      <c r="L605" t="s">
        <v>8285</v>
      </c>
      <c r="M605" t="s">
        <v>2317</v>
      </c>
    </row>
    <row r="606" spans="2:13" x14ac:dyDescent="0.2">
      <c r="B606">
        <v>10963</v>
      </c>
      <c r="C606" t="s">
        <v>8268</v>
      </c>
      <c r="D606" t="s">
        <v>8237</v>
      </c>
      <c r="E606" s="225">
        <v>57.8</v>
      </c>
      <c r="F606" t="s">
        <v>8366</v>
      </c>
      <c r="G606" t="s">
        <v>8367</v>
      </c>
      <c r="H606" t="s">
        <v>8365</v>
      </c>
      <c r="I606" s="99">
        <v>44108</v>
      </c>
      <c r="J606">
        <f>YEAR(I606)</f>
        <v>2020</v>
      </c>
      <c r="K606" s="99">
        <v>44115</v>
      </c>
      <c r="L606" t="s">
        <v>8279</v>
      </c>
      <c r="M606" t="s">
        <v>710</v>
      </c>
    </row>
    <row r="607" spans="2:13" x14ac:dyDescent="0.2">
      <c r="B607">
        <v>10366</v>
      </c>
      <c r="C607" t="s">
        <v>8253</v>
      </c>
      <c r="D607" t="s">
        <v>8254</v>
      </c>
      <c r="E607" s="225">
        <v>84</v>
      </c>
      <c r="F607" t="s">
        <v>8398</v>
      </c>
      <c r="G607" t="s">
        <v>8399</v>
      </c>
      <c r="H607" t="s">
        <v>8324</v>
      </c>
      <c r="I607" s="99">
        <v>43633</v>
      </c>
      <c r="J607">
        <f>YEAR(I607)</f>
        <v>2019</v>
      </c>
      <c r="K607" s="99">
        <v>43665</v>
      </c>
      <c r="L607" t="s">
        <v>8320</v>
      </c>
      <c r="M607" t="s">
        <v>8321</v>
      </c>
    </row>
    <row r="608" spans="2:13" x14ac:dyDescent="0.2">
      <c r="B608">
        <v>10366</v>
      </c>
      <c r="C608" t="s">
        <v>8397</v>
      </c>
      <c r="D608" t="s">
        <v>8254</v>
      </c>
      <c r="E608" s="225">
        <v>52</v>
      </c>
      <c r="F608" t="s">
        <v>8398</v>
      </c>
      <c r="G608" t="s">
        <v>8399</v>
      </c>
      <c r="H608" t="s">
        <v>8324</v>
      </c>
      <c r="I608" s="99">
        <v>43633</v>
      </c>
      <c r="J608">
        <f>YEAR(I608)</f>
        <v>2019</v>
      </c>
      <c r="K608" s="99">
        <v>43665</v>
      </c>
      <c r="L608" t="s">
        <v>8320</v>
      </c>
      <c r="M608" t="s">
        <v>8321</v>
      </c>
    </row>
    <row r="609" spans="2:13" x14ac:dyDescent="0.2">
      <c r="B609">
        <v>10426</v>
      </c>
      <c r="C609" t="s">
        <v>8341</v>
      </c>
      <c r="D609" t="s">
        <v>8244</v>
      </c>
      <c r="E609" s="225">
        <v>152</v>
      </c>
      <c r="F609" t="s">
        <v>8398</v>
      </c>
      <c r="G609" t="s">
        <v>8399</v>
      </c>
      <c r="H609" t="s">
        <v>8324</v>
      </c>
      <c r="I609" s="99">
        <v>43693</v>
      </c>
      <c r="J609">
        <f>YEAR(I609)</f>
        <v>2019</v>
      </c>
      <c r="K609" s="99">
        <v>43703</v>
      </c>
      <c r="L609" t="s">
        <v>8266</v>
      </c>
      <c r="M609" t="s">
        <v>8267</v>
      </c>
    </row>
    <row r="610" spans="2:13" x14ac:dyDescent="0.2">
      <c r="B610">
        <v>10426</v>
      </c>
      <c r="C610" t="s">
        <v>8340</v>
      </c>
      <c r="D610" t="s">
        <v>8244</v>
      </c>
      <c r="E610" s="225">
        <v>186.2</v>
      </c>
      <c r="F610" t="s">
        <v>8398</v>
      </c>
      <c r="G610" t="s">
        <v>8399</v>
      </c>
      <c r="H610" t="s">
        <v>8324</v>
      </c>
      <c r="I610" s="99">
        <v>43693</v>
      </c>
      <c r="J610">
        <f>YEAR(I610)</f>
        <v>2019</v>
      </c>
      <c r="K610" s="99">
        <v>43703</v>
      </c>
      <c r="L610" t="s">
        <v>8266</v>
      </c>
      <c r="M610" t="s">
        <v>8267</v>
      </c>
    </row>
    <row r="611" spans="2:13" x14ac:dyDescent="0.2">
      <c r="B611">
        <v>10887</v>
      </c>
      <c r="C611" t="s">
        <v>8362</v>
      </c>
      <c r="D611" t="s">
        <v>8262</v>
      </c>
      <c r="E611" s="225">
        <v>70</v>
      </c>
      <c r="F611" t="s">
        <v>8398</v>
      </c>
      <c r="G611" t="s">
        <v>8399</v>
      </c>
      <c r="H611" t="s">
        <v>8324</v>
      </c>
      <c r="I611" s="99">
        <v>44074</v>
      </c>
      <c r="J611">
        <f>YEAR(I611)</f>
        <v>2020</v>
      </c>
      <c r="K611" s="99">
        <v>44077</v>
      </c>
      <c r="L611" t="s">
        <v>8320</v>
      </c>
      <c r="M611" t="s">
        <v>8321</v>
      </c>
    </row>
    <row r="612" spans="2:13" x14ac:dyDescent="0.2">
      <c r="B612">
        <v>10928</v>
      </c>
      <c r="C612" t="s">
        <v>8303</v>
      </c>
      <c r="D612" t="s">
        <v>8272</v>
      </c>
      <c r="E612" s="225">
        <v>90</v>
      </c>
      <c r="F612" t="s">
        <v>8398</v>
      </c>
      <c r="G612" t="s">
        <v>8399</v>
      </c>
      <c r="H612" t="s">
        <v>8324</v>
      </c>
      <c r="I612" s="99">
        <v>44094</v>
      </c>
      <c r="J612">
        <f>YEAR(I612)</f>
        <v>2020</v>
      </c>
      <c r="K612" s="99">
        <v>44107</v>
      </c>
      <c r="L612" t="s">
        <v>8285</v>
      </c>
      <c r="M612" t="s">
        <v>2317</v>
      </c>
    </row>
    <row r="613" spans="2:13" x14ac:dyDescent="0.2">
      <c r="B613">
        <v>10928</v>
      </c>
      <c r="C613" t="s">
        <v>8410</v>
      </c>
      <c r="D613" t="s">
        <v>8262</v>
      </c>
      <c r="E613" s="225">
        <v>47.5</v>
      </c>
      <c r="F613" t="s">
        <v>8398</v>
      </c>
      <c r="G613" t="s">
        <v>8399</v>
      </c>
      <c r="H613" t="s">
        <v>8324</v>
      </c>
      <c r="I613" s="99">
        <v>44094</v>
      </c>
      <c r="J613">
        <f>YEAR(I613)</f>
        <v>2020</v>
      </c>
      <c r="K613" s="99">
        <v>44107</v>
      </c>
      <c r="L613" t="s">
        <v>8285</v>
      </c>
      <c r="M613" t="s">
        <v>2317</v>
      </c>
    </row>
    <row r="614" spans="2:13" x14ac:dyDescent="0.2">
      <c r="B614">
        <v>10303</v>
      </c>
      <c r="C614" t="s">
        <v>8253</v>
      </c>
      <c r="D614" t="s">
        <v>8254</v>
      </c>
      <c r="E614" s="225">
        <v>453.6</v>
      </c>
      <c r="F614" t="s">
        <v>8349</v>
      </c>
      <c r="G614" t="s">
        <v>8350</v>
      </c>
      <c r="H614" t="s">
        <v>8324</v>
      </c>
      <c r="I614" s="99">
        <v>43555</v>
      </c>
      <c r="J614">
        <f>YEAR(I614)</f>
        <v>2019</v>
      </c>
      <c r="K614" s="99">
        <v>43562</v>
      </c>
      <c r="L614" t="s">
        <v>8158</v>
      </c>
      <c r="M614" t="s">
        <v>861</v>
      </c>
    </row>
    <row r="615" spans="2:13" x14ac:dyDescent="0.2">
      <c r="B615">
        <v>10303</v>
      </c>
      <c r="C615" t="s">
        <v>8334</v>
      </c>
      <c r="D615" t="s">
        <v>8262</v>
      </c>
      <c r="E615" s="225">
        <v>135</v>
      </c>
      <c r="F615" t="s">
        <v>8349</v>
      </c>
      <c r="G615" t="s">
        <v>8350</v>
      </c>
      <c r="H615" t="s">
        <v>8324</v>
      </c>
      <c r="I615" s="99">
        <v>43555</v>
      </c>
      <c r="J615">
        <f>YEAR(I615)</f>
        <v>2019</v>
      </c>
      <c r="K615" s="99">
        <v>43562</v>
      </c>
      <c r="L615" t="s">
        <v>8158</v>
      </c>
      <c r="M615" t="s">
        <v>861</v>
      </c>
    </row>
    <row r="616" spans="2:13" x14ac:dyDescent="0.2">
      <c r="B616">
        <v>10550</v>
      </c>
      <c r="C616" t="s">
        <v>8409</v>
      </c>
      <c r="D616" t="s">
        <v>8254</v>
      </c>
      <c r="E616" s="225">
        <v>256.5</v>
      </c>
      <c r="F616" t="s">
        <v>8349</v>
      </c>
      <c r="G616" t="s">
        <v>8350</v>
      </c>
      <c r="H616" t="s">
        <v>8324</v>
      </c>
      <c r="I616" s="99">
        <v>43814</v>
      </c>
      <c r="J616">
        <f>YEAR(I616)</f>
        <v>2019</v>
      </c>
      <c r="K616" s="99">
        <v>43823</v>
      </c>
      <c r="L616" t="s">
        <v>8158</v>
      </c>
      <c r="M616" t="s">
        <v>861</v>
      </c>
    </row>
    <row r="617" spans="2:13" x14ac:dyDescent="0.2">
      <c r="B617">
        <v>10550</v>
      </c>
      <c r="C617" t="s">
        <v>8327</v>
      </c>
      <c r="D617" t="s">
        <v>8262</v>
      </c>
      <c r="E617" s="225">
        <v>92</v>
      </c>
      <c r="F617" t="s">
        <v>8349</v>
      </c>
      <c r="G617" t="s">
        <v>8350</v>
      </c>
      <c r="H617" t="s">
        <v>8324</v>
      </c>
      <c r="I617" s="99">
        <v>43814</v>
      </c>
      <c r="J617">
        <f>YEAR(I617)</f>
        <v>2019</v>
      </c>
      <c r="K617" s="99">
        <v>43823</v>
      </c>
      <c r="L617" t="s">
        <v>8158</v>
      </c>
      <c r="M617" t="s">
        <v>861</v>
      </c>
    </row>
    <row r="618" spans="2:13" x14ac:dyDescent="0.2">
      <c r="B618">
        <v>10550</v>
      </c>
      <c r="C618" t="s">
        <v>8368</v>
      </c>
      <c r="D618" t="s">
        <v>8262</v>
      </c>
      <c r="E618" s="225">
        <v>54</v>
      </c>
      <c r="F618" t="s">
        <v>8349</v>
      </c>
      <c r="G618" t="s">
        <v>8350</v>
      </c>
      <c r="H618" t="s">
        <v>8324</v>
      </c>
      <c r="I618" s="99">
        <v>43814</v>
      </c>
      <c r="J618">
        <f>YEAR(I618)</f>
        <v>2019</v>
      </c>
      <c r="K618" s="99">
        <v>43823</v>
      </c>
      <c r="L618" t="s">
        <v>8158</v>
      </c>
      <c r="M618" t="s">
        <v>861</v>
      </c>
    </row>
    <row r="619" spans="2:13" x14ac:dyDescent="0.2">
      <c r="B619">
        <v>10629</v>
      </c>
      <c r="C619" t="s">
        <v>8340</v>
      </c>
      <c r="D619" t="s">
        <v>8244</v>
      </c>
      <c r="E619" s="225">
        <v>299.25</v>
      </c>
      <c r="F619" t="s">
        <v>8349</v>
      </c>
      <c r="G619" t="s">
        <v>8350</v>
      </c>
      <c r="H619" t="s">
        <v>8324</v>
      </c>
      <c r="I619" s="99">
        <v>43890</v>
      </c>
      <c r="J619">
        <f>YEAR(I619)</f>
        <v>2020</v>
      </c>
      <c r="K619" s="99">
        <v>43898</v>
      </c>
      <c r="L619" t="s">
        <v>8266</v>
      </c>
      <c r="M619" t="s">
        <v>8267</v>
      </c>
    </row>
    <row r="620" spans="2:13" x14ac:dyDescent="0.2">
      <c r="B620">
        <v>10872</v>
      </c>
      <c r="C620" t="s">
        <v>8253</v>
      </c>
      <c r="D620" t="s">
        <v>8254</v>
      </c>
      <c r="E620" s="225">
        <v>419.95</v>
      </c>
      <c r="F620" t="s">
        <v>8349</v>
      </c>
      <c r="G620" t="s">
        <v>8350</v>
      </c>
      <c r="H620" t="s">
        <v>8324</v>
      </c>
      <c r="I620" s="99">
        <v>44066</v>
      </c>
      <c r="J620">
        <f>YEAR(I620)</f>
        <v>2020</v>
      </c>
      <c r="K620" s="99">
        <v>44070</v>
      </c>
      <c r="L620" t="s">
        <v>8241</v>
      </c>
      <c r="M620" t="s">
        <v>6934</v>
      </c>
    </row>
    <row r="621" spans="2:13" x14ac:dyDescent="0.2">
      <c r="B621">
        <v>10872</v>
      </c>
      <c r="C621" t="s">
        <v>8291</v>
      </c>
      <c r="D621" t="s">
        <v>8262</v>
      </c>
      <c r="E621" s="225">
        <v>936.7</v>
      </c>
      <c r="F621" t="s">
        <v>8349</v>
      </c>
      <c r="G621" t="s">
        <v>8350</v>
      </c>
      <c r="H621" t="s">
        <v>8324</v>
      </c>
      <c r="I621" s="99">
        <v>44066</v>
      </c>
      <c r="J621">
        <f>YEAR(I621)</f>
        <v>2020</v>
      </c>
      <c r="K621" s="99">
        <v>44070</v>
      </c>
      <c r="L621" t="s">
        <v>8241</v>
      </c>
      <c r="M621" t="s">
        <v>6934</v>
      </c>
    </row>
    <row r="622" spans="2:13" x14ac:dyDescent="0.2">
      <c r="B622">
        <v>10872</v>
      </c>
      <c r="C622" t="s">
        <v>8340</v>
      </c>
      <c r="D622" t="s">
        <v>8244</v>
      </c>
      <c r="E622" s="225">
        <v>473.81</v>
      </c>
      <c r="F622" t="s">
        <v>8349</v>
      </c>
      <c r="G622" t="s">
        <v>8350</v>
      </c>
      <c r="H622" t="s">
        <v>8324</v>
      </c>
      <c r="I622" s="99">
        <v>44066</v>
      </c>
      <c r="J622">
        <f>YEAR(I622)</f>
        <v>2020</v>
      </c>
      <c r="K622" s="99">
        <v>44070</v>
      </c>
      <c r="L622" t="s">
        <v>8241</v>
      </c>
      <c r="M622" t="s">
        <v>6934</v>
      </c>
    </row>
    <row r="623" spans="2:13" x14ac:dyDescent="0.2">
      <c r="B623">
        <v>10888</v>
      </c>
      <c r="C623" t="s">
        <v>8276</v>
      </c>
      <c r="D623" t="s">
        <v>8272</v>
      </c>
      <c r="E623" s="225">
        <v>380</v>
      </c>
      <c r="F623" t="s">
        <v>8349</v>
      </c>
      <c r="G623" t="s">
        <v>8350</v>
      </c>
      <c r="H623" t="s">
        <v>8324</v>
      </c>
      <c r="I623" s="99">
        <v>44077</v>
      </c>
      <c r="J623">
        <f>YEAR(I623)</f>
        <v>2020</v>
      </c>
      <c r="K623" s="99">
        <v>44084</v>
      </c>
      <c r="L623" t="s">
        <v>8285</v>
      </c>
      <c r="M623" t="s">
        <v>2317</v>
      </c>
    </row>
    <row r="624" spans="2:13" x14ac:dyDescent="0.2">
      <c r="B624">
        <v>10888</v>
      </c>
      <c r="C624" t="s">
        <v>8334</v>
      </c>
      <c r="D624" t="s">
        <v>8262</v>
      </c>
      <c r="E624" s="225">
        <v>225</v>
      </c>
      <c r="F624" t="s">
        <v>8349</v>
      </c>
      <c r="G624" t="s">
        <v>8350</v>
      </c>
      <c r="H624" t="s">
        <v>8324</v>
      </c>
      <c r="I624" s="99">
        <v>44077</v>
      </c>
      <c r="J624">
        <f>YEAR(I624)</f>
        <v>2020</v>
      </c>
      <c r="K624" s="99">
        <v>44084</v>
      </c>
      <c r="L624" t="s">
        <v>8285</v>
      </c>
      <c r="M624" t="s">
        <v>2317</v>
      </c>
    </row>
    <row r="625" spans="2:13" x14ac:dyDescent="0.2">
      <c r="B625">
        <v>10911</v>
      </c>
      <c r="C625" t="s">
        <v>8333</v>
      </c>
      <c r="D625" t="s">
        <v>8272</v>
      </c>
      <c r="E625" s="225">
        <v>180</v>
      </c>
      <c r="F625" t="s">
        <v>8349</v>
      </c>
      <c r="G625" t="s">
        <v>8350</v>
      </c>
      <c r="H625" t="s">
        <v>8324</v>
      </c>
      <c r="I625" s="99">
        <v>44087</v>
      </c>
      <c r="J625">
        <f>YEAR(I625)</f>
        <v>2020</v>
      </c>
      <c r="K625" s="99">
        <v>44094</v>
      </c>
      <c r="L625" t="s">
        <v>8257</v>
      </c>
      <c r="M625" t="s">
        <v>6984</v>
      </c>
    </row>
    <row r="626" spans="2:13" x14ac:dyDescent="0.2">
      <c r="B626">
        <v>10911</v>
      </c>
      <c r="C626" t="s">
        <v>8329</v>
      </c>
      <c r="D626" t="s">
        <v>8272</v>
      </c>
      <c r="E626" s="225">
        <v>210</v>
      </c>
      <c r="F626" t="s">
        <v>8349</v>
      </c>
      <c r="G626" t="s">
        <v>8350</v>
      </c>
      <c r="H626" t="s">
        <v>8324</v>
      </c>
      <c r="I626" s="99">
        <v>44087</v>
      </c>
      <c r="J626">
        <f>YEAR(I626)</f>
        <v>2020</v>
      </c>
      <c r="K626" s="99">
        <v>44094</v>
      </c>
      <c r="L626" t="s">
        <v>8257</v>
      </c>
      <c r="M626" t="s">
        <v>6984</v>
      </c>
    </row>
    <row r="627" spans="2:13" x14ac:dyDescent="0.2">
      <c r="B627">
        <v>10948</v>
      </c>
      <c r="C627" t="s">
        <v>8381</v>
      </c>
      <c r="D627" t="s">
        <v>8262</v>
      </c>
      <c r="E627" s="225">
        <v>146.25</v>
      </c>
      <c r="F627" t="s">
        <v>8349</v>
      </c>
      <c r="G627" t="s">
        <v>8350</v>
      </c>
      <c r="H627" t="s">
        <v>8324</v>
      </c>
      <c r="I627" s="99">
        <v>44103</v>
      </c>
      <c r="J627">
        <f>YEAR(I627)</f>
        <v>2020</v>
      </c>
      <c r="K627" s="99">
        <v>44108</v>
      </c>
      <c r="L627" t="s">
        <v>8257</v>
      </c>
      <c r="M627" t="s">
        <v>6984</v>
      </c>
    </row>
    <row r="628" spans="2:13" x14ac:dyDescent="0.2">
      <c r="B628">
        <v>10948</v>
      </c>
      <c r="C628" t="s">
        <v>8245</v>
      </c>
      <c r="D628" t="s">
        <v>8247</v>
      </c>
      <c r="E628" s="225">
        <v>2120</v>
      </c>
      <c r="F628" t="s">
        <v>8349</v>
      </c>
      <c r="G628" t="s">
        <v>8350</v>
      </c>
      <c r="H628" t="s">
        <v>8324</v>
      </c>
      <c r="I628" s="99">
        <v>44103</v>
      </c>
      <c r="J628">
        <f>YEAR(I628)</f>
        <v>2020</v>
      </c>
      <c r="K628" s="99">
        <v>44108</v>
      </c>
      <c r="L628" t="s">
        <v>8257</v>
      </c>
      <c r="M628" t="s">
        <v>6984</v>
      </c>
    </row>
    <row r="629" spans="2:13" x14ac:dyDescent="0.2">
      <c r="B629">
        <v>11009</v>
      </c>
      <c r="C629" t="s">
        <v>8270</v>
      </c>
      <c r="D629" t="s">
        <v>8272</v>
      </c>
      <c r="E629" s="225">
        <v>54</v>
      </c>
      <c r="F629" t="s">
        <v>8349</v>
      </c>
      <c r="G629" t="s">
        <v>8350</v>
      </c>
      <c r="H629" t="s">
        <v>8324</v>
      </c>
      <c r="I629" s="99">
        <v>44128</v>
      </c>
      <c r="J629">
        <f>YEAR(I629)</f>
        <v>2020</v>
      </c>
      <c r="K629" s="99">
        <v>44130</v>
      </c>
      <c r="L629" t="s">
        <v>8297</v>
      </c>
      <c r="M629" t="s">
        <v>8298</v>
      </c>
    </row>
    <row r="630" spans="2:13" x14ac:dyDescent="0.2">
      <c r="B630">
        <v>11009</v>
      </c>
      <c r="C630" t="s">
        <v>8268</v>
      </c>
      <c r="D630" t="s">
        <v>8237</v>
      </c>
      <c r="E630" s="225">
        <v>306</v>
      </c>
      <c r="F630" t="s">
        <v>8349</v>
      </c>
      <c r="G630" t="s">
        <v>8350</v>
      </c>
      <c r="H630" t="s">
        <v>8324</v>
      </c>
      <c r="I630" s="99">
        <v>44128</v>
      </c>
      <c r="J630">
        <f>YEAR(I630)</f>
        <v>2020</v>
      </c>
      <c r="K630" s="99">
        <v>44130</v>
      </c>
      <c r="L630" t="s">
        <v>8297</v>
      </c>
      <c r="M630" t="s">
        <v>8298</v>
      </c>
    </row>
    <row r="631" spans="2:13" x14ac:dyDescent="0.2">
      <c r="B631">
        <v>11037</v>
      </c>
      <c r="C631" t="s">
        <v>8288</v>
      </c>
      <c r="D631" t="s">
        <v>8272</v>
      </c>
      <c r="E631" s="225">
        <v>60</v>
      </c>
      <c r="F631" t="s">
        <v>8349</v>
      </c>
      <c r="G631" t="s">
        <v>8350</v>
      </c>
      <c r="H631" t="s">
        <v>8324</v>
      </c>
      <c r="I631" s="99">
        <v>44141</v>
      </c>
      <c r="J631">
        <f>YEAR(I631)</f>
        <v>2020</v>
      </c>
      <c r="K631" s="99">
        <v>44147</v>
      </c>
      <c r="L631" t="s">
        <v>8158</v>
      </c>
      <c r="M631" t="s">
        <v>861</v>
      </c>
    </row>
    <row r="632" spans="2:13" x14ac:dyDescent="0.2">
      <c r="B632">
        <v>10423</v>
      </c>
      <c r="C632" t="s">
        <v>8309</v>
      </c>
      <c r="D632" t="s">
        <v>8237</v>
      </c>
      <c r="E632" s="225">
        <v>140</v>
      </c>
      <c r="F632" t="s">
        <v>8770</v>
      </c>
      <c r="G632" t="s">
        <v>8769</v>
      </c>
      <c r="H632" t="s">
        <v>8710</v>
      </c>
      <c r="I632" s="99">
        <v>43689</v>
      </c>
      <c r="J632">
        <f>YEAR(I632)</f>
        <v>2019</v>
      </c>
      <c r="K632" s="99">
        <v>43721</v>
      </c>
      <c r="L632" t="s">
        <v>8251</v>
      </c>
      <c r="M632" t="s">
        <v>269</v>
      </c>
    </row>
    <row r="633" spans="2:13" x14ac:dyDescent="0.2">
      <c r="B633">
        <v>10423</v>
      </c>
      <c r="C633" t="s">
        <v>8281</v>
      </c>
      <c r="D633" t="s">
        <v>8237</v>
      </c>
      <c r="E633" s="225">
        <v>880</v>
      </c>
      <c r="F633" t="s">
        <v>8770</v>
      </c>
      <c r="G633" t="s">
        <v>8769</v>
      </c>
      <c r="H633" t="s">
        <v>8710</v>
      </c>
      <c r="I633" s="99">
        <v>43689</v>
      </c>
      <c r="J633">
        <f>YEAR(I633)</f>
        <v>2019</v>
      </c>
      <c r="K633" s="99">
        <v>43721</v>
      </c>
      <c r="L633" t="s">
        <v>8251</v>
      </c>
      <c r="M633" t="s">
        <v>269</v>
      </c>
    </row>
    <row r="634" spans="2:13" x14ac:dyDescent="0.2">
      <c r="B634">
        <v>10652</v>
      </c>
      <c r="C634" t="s">
        <v>8243</v>
      </c>
      <c r="D634" t="s">
        <v>8244</v>
      </c>
      <c r="E634" s="225">
        <v>280</v>
      </c>
      <c r="F634" t="s">
        <v>8770</v>
      </c>
      <c r="G634" t="s">
        <v>8769</v>
      </c>
      <c r="H634" t="s">
        <v>8710</v>
      </c>
      <c r="I634" s="99">
        <v>43910</v>
      </c>
      <c r="J634">
        <f>YEAR(I634)</f>
        <v>2020</v>
      </c>
      <c r="K634" s="99">
        <v>43917</v>
      </c>
      <c r="L634" t="s">
        <v>8266</v>
      </c>
      <c r="M634" t="s">
        <v>8267</v>
      </c>
    </row>
    <row r="635" spans="2:13" x14ac:dyDescent="0.2">
      <c r="B635">
        <v>10685</v>
      </c>
      <c r="C635" t="s">
        <v>8410</v>
      </c>
      <c r="D635" t="s">
        <v>8262</v>
      </c>
      <c r="E635" s="225">
        <v>142.5</v>
      </c>
      <c r="F635" t="s">
        <v>8770</v>
      </c>
      <c r="G635" t="s">
        <v>8769</v>
      </c>
      <c r="H635" t="s">
        <v>8710</v>
      </c>
      <c r="I635" s="99">
        <v>43938</v>
      </c>
      <c r="J635">
        <f>YEAR(I635)</f>
        <v>2020</v>
      </c>
      <c r="K635" s="99">
        <v>43942</v>
      </c>
      <c r="L635" t="s">
        <v>8266</v>
      </c>
      <c r="M635" t="s">
        <v>8267</v>
      </c>
    </row>
    <row r="636" spans="2:13" x14ac:dyDescent="0.2">
      <c r="B636">
        <v>10709</v>
      </c>
      <c r="C636" t="s">
        <v>8379</v>
      </c>
      <c r="D636" t="s">
        <v>8254</v>
      </c>
      <c r="E636" s="225">
        <v>1600</v>
      </c>
      <c r="F636" t="s">
        <v>8770</v>
      </c>
      <c r="G636" t="s">
        <v>8769</v>
      </c>
      <c r="H636" t="s">
        <v>8710</v>
      </c>
      <c r="I636" s="99">
        <v>43956</v>
      </c>
      <c r="J636">
        <f>YEAR(I636)</f>
        <v>2020</v>
      </c>
      <c r="K636" s="99">
        <v>43990</v>
      </c>
      <c r="L636" t="s">
        <v>8285</v>
      </c>
      <c r="M636" t="s">
        <v>2317</v>
      </c>
    </row>
    <row r="637" spans="2:13" x14ac:dyDescent="0.2">
      <c r="B637">
        <v>10709</v>
      </c>
      <c r="C637" t="s">
        <v>8268</v>
      </c>
      <c r="D637" t="s">
        <v>8237</v>
      </c>
      <c r="E637" s="225">
        <v>340</v>
      </c>
      <c r="F637" t="s">
        <v>8770</v>
      </c>
      <c r="G637" t="s">
        <v>8769</v>
      </c>
      <c r="H637" t="s">
        <v>8710</v>
      </c>
      <c r="I637" s="99">
        <v>43956</v>
      </c>
      <c r="J637">
        <f>YEAR(I637)</f>
        <v>2020</v>
      </c>
      <c r="K637" s="99">
        <v>43990</v>
      </c>
      <c r="L637" t="s">
        <v>8285</v>
      </c>
      <c r="M637" t="s">
        <v>2317</v>
      </c>
    </row>
    <row r="638" spans="2:13" x14ac:dyDescent="0.2">
      <c r="B638">
        <v>10709</v>
      </c>
      <c r="C638" t="s">
        <v>8245</v>
      </c>
      <c r="D638" t="s">
        <v>8247</v>
      </c>
      <c r="E638" s="225">
        <v>1484</v>
      </c>
      <c r="F638" t="s">
        <v>8770</v>
      </c>
      <c r="G638" t="s">
        <v>8769</v>
      </c>
      <c r="H638" t="s">
        <v>8710</v>
      </c>
      <c r="I638" s="99">
        <v>43956</v>
      </c>
      <c r="J638">
        <f>YEAR(I638)</f>
        <v>2020</v>
      </c>
      <c r="K638" s="99">
        <v>43990</v>
      </c>
      <c r="L638" t="s">
        <v>8285</v>
      </c>
      <c r="M638" t="s">
        <v>2317</v>
      </c>
    </row>
    <row r="639" spans="2:13" x14ac:dyDescent="0.2">
      <c r="B639">
        <v>10734</v>
      </c>
      <c r="C639" t="s">
        <v>8303</v>
      </c>
      <c r="D639" t="s">
        <v>8272</v>
      </c>
      <c r="E639" s="225">
        <v>360</v>
      </c>
      <c r="F639" t="s">
        <v>8770</v>
      </c>
      <c r="G639" t="s">
        <v>8769</v>
      </c>
      <c r="H639" t="s">
        <v>8710</v>
      </c>
      <c r="I639" s="99">
        <v>43977</v>
      </c>
      <c r="J639">
        <f>YEAR(I639)</f>
        <v>2020</v>
      </c>
      <c r="K639" s="99">
        <v>43982</v>
      </c>
      <c r="L639" t="s">
        <v>8297</v>
      </c>
      <c r="M639" t="s">
        <v>8298</v>
      </c>
    </row>
    <row r="640" spans="2:13" x14ac:dyDescent="0.2">
      <c r="B640">
        <v>10734</v>
      </c>
      <c r="C640" t="s">
        <v>8351</v>
      </c>
      <c r="D640" t="s">
        <v>8254</v>
      </c>
      <c r="E640" s="225">
        <v>750</v>
      </c>
      <c r="F640" t="s">
        <v>8770</v>
      </c>
      <c r="G640" t="s">
        <v>8769</v>
      </c>
      <c r="H640" t="s">
        <v>8710</v>
      </c>
      <c r="I640" s="99">
        <v>43977</v>
      </c>
      <c r="J640">
        <f>YEAR(I640)</f>
        <v>2020</v>
      </c>
      <c r="K640" s="99">
        <v>43982</v>
      </c>
      <c r="L640" t="s">
        <v>8297</v>
      </c>
      <c r="M640" t="s">
        <v>8298</v>
      </c>
    </row>
    <row r="641" spans="2:13" x14ac:dyDescent="0.2">
      <c r="B641">
        <v>10777</v>
      </c>
      <c r="C641" t="s">
        <v>8243</v>
      </c>
      <c r="D641" t="s">
        <v>8244</v>
      </c>
      <c r="E641" s="225">
        <v>224</v>
      </c>
      <c r="F641" t="s">
        <v>8770</v>
      </c>
      <c r="G641" t="s">
        <v>8769</v>
      </c>
      <c r="H641" t="s">
        <v>8710</v>
      </c>
      <c r="I641" s="99">
        <v>44015</v>
      </c>
      <c r="J641">
        <f>YEAR(I641)</f>
        <v>2020</v>
      </c>
      <c r="K641" s="99">
        <v>44052</v>
      </c>
      <c r="L641" t="s">
        <v>8158</v>
      </c>
      <c r="M641" t="s">
        <v>861</v>
      </c>
    </row>
    <row r="642" spans="2:13" x14ac:dyDescent="0.2">
      <c r="B642">
        <v>10790</v>
      </c>
      <c r="C642" t="s">
        <v>8341</v>
      </c>
      <c r="D642" t="s">
        <v>8244</v>
      </c>
      <c r="E642" s="225">
        <v>646</v>
      </c>
      <c r="F642" t="s">
        <v>8770</v>
      </c>
      <c r="G642" t="s">
        <v>8769</v>
      </c>
      <c r="H642" t="s">
        <v>8710</v>
      </c>
      <c r="I642" s="99">
        <v>44022</v>
      </c>
      <c r="J642">
        <f>YEAR(I642)</f>
        <v>2020</v>
      </c>
      <c r="K642" s="99">
        <v>44026</v>
      </c>
      <c r="L642" t="s">
        <v>8251</v>
      </c>
      <c r="M642" t="s">
        <v>269</v>
      </c>
    </row>
    <row r="643" spans="2:13" x14ac:dyDescent="0.2">
      <c r="B643">
        <v>10790</v>
      </c>
      <c r="C643" t="s">
        <v>8415</v>
      </c>
      <c r="D643" t="s">
        <v>8247</v>
      </c>
      <c r="E643" s="225">
        <v>76.5</v>
      </c>
      <c r="F643" t="s">
        <v>8770</v>
      </c>
      <c r="G643" t="s">
        <v>8769</v>
      </c>
      <c r="H643" t="s">
        <v>8710</v>
      </c>
      <c r="I643" s="99">
        <v>44022</v>
      </c>
      <c r="J643">
        <f>YEAR(I643)</f>
        <v>2020</v>
      </c>
      <c r="K643" s="99">
        <v>44026</v>
      </c>
      <c r="L643" t="s">
        <v>8251</v>
      </c>
      <c r="M643" t="s">
        <v>269</v>
      </c>
    </row>
    <row r="644" spans="2:13" x14ac:dyDescent="0.2">
      <c r="B644">
        <v>10959</v>
      </c>
      <c r="C644" t="s">
        <v>8328</v>
      </c>
      <c r="D644" t="s">
        <v>8272</v>
      </c>
      <c r="E644" s="225">
        <v>131.75</v>
      </c>
      <c r="F644" t="s">
        <v>8770</v>
      </c>
      <c r="G644" t="s">
        <v>8769</v>
      </c>
      <c r="H644" t="s">
        <v>8710</v>
      </c>
      <c r="I644" s="99">
        <v>44107</v>
      </c>
      <c r="J644">
        <f>YEAR(I644)</f>
        <v>2020</v>
      </c>
      <c r="K644" s="99">
        <v>44112</v>
      </c>
      <c r="L644" t="s">
        <v>8251</v>
      </c>
      <c r="M644" t="s">
        <v>269</v>
      </c>
    </row>
    <row r="645" spans="2:13" x14ac:dyDescent="0.2">
      <c r="B645">
        <v>11049</v>
      </c>
      <c r="C645" t="s">
        <v>8276</v>
      </c>
      <c r="D645" t="s">
        <v>8272</v>
      </c>
      <c r="E645" s="225">
        <v>152</v>
      </c>
      <c r="F645" t="s">
        <v>8770</v>
      </c>
      <c r="G645" t="s">
        <v>8769</v>
      </c>
      <c r="H645" t="s">
        <v>8710</v>
      </c>
      <c r="I645" s="99">
        <v>44144</v>
      </c>
      <c r="J645">
        <f>YEAR(I645)</f>
        <v>2020</v>
      </c>
      <c r="K645" s="99">
        <v>44154</v>
      </c>
      <c r="L645" t="s">
        <v>8257</v>
      </c>
      <c r="M645" t="s">
        <v>6984</v>
      </c>
    </row>
    <row r="646" spans="2:13" x14ac:dyDescent="0.2">
      <c r="B646">
        <v>11049</v>
      </c>
      <c r="C646" t="s">
        <v>8299</v>
      </c>
      <c r="D646" t="s">
        <v>8237</v>
      </c>
      <c r="E646" s="225">
        <v>121.6</v>
      </c>
      <c r="F646" t="s">
        <v>8770</v>
      </c>
      <c r="G646" t="s">
        <v>8769</v>
      </c>
      <c r="H646" t="s">
        <v>8710</v>
      </c>
      <c r="I646" s="99">
        <v>44144</v>
      </c>
      <c r="J646">
        <f>YEAR(I646)</f>
        <v>2020</v>
      </c>
      <c r="K646" s="99">
        <v>44154</v>
      </c>
      <c r="L646" t="s">
        <v>8257</v>
      </c>
      <c r="M646" t="s">
        <v>6984</v>
      </c>
    </row>
    <row r="647" spans="2:13" x14ac:dyDescent="0.2">
      <c r="B647">
        <v>10528</v>
      </c>
      <c r="C647" t="s">
        <v>8242</v>
      </c>
      <c r="D647" t="s">
        <v>8237</v>
      </c>
      <c r="E647" s="225">
        <v>63</v>
      </c>
      <c r="F647" t="s">
        <v>8714</v>
      </c>
      <c r="G647" t="s">
        <v>8713</v>
      </c>
      <c r="H647" t="s">
        <v>8701</v>
      </c>
      <c r="I647" s="99">
        <v>43792</v>
      </c>
      <c r="J647">
        <f>YEAR(I647)</f>
        <v>2019</v>
      </c>
      <c r="K647" s="99">
        <v>43795</v>
      </c>
      <c r="L647" t="s">
        <v>8251</v>
      </c>
      <c r="M647" t="s">
        <v>269</v>
      </c>
    </row>
    <row r="648" spans="2:13" x14ac:dyDescent="0.2">
      <c r="B648">
        <v>10528</v>
      </c>
      <c r="C648" t="s">
        <v>8269</v>
      </c>
      <c r="D648" t="s">
        <v>8237</v>
      </c>
      <c r="E648" s="225">
        <v>16</v>
      </c>
      <c r="F648" t="s">
        <v>8714</v>
      </c>
      <c r="G648" t="s">
        <v>8713</v>
      </c>
      <c r="H648" t="s">
        <v>8701</v>
      </c>
      <c r="I648" s="99">
        <v>43792</v>
      </c>
      <c r="J648">
        <f>YEAR(I648)</f>
        <v>2019</v>
      </c>
      <c r="K648" s="99">
        <v>43795</v>
      </c>
      <c r="L648" t="s">
        <v>8251</v>
      </c>
      <c r="M648" t="s">
        <v>269</v>
      </c>
    </row>
    <row r="649" spans="2:13" x14ac:dyDescent="0.2">
      <c r="B649">
        <v>10528</v>
      </c>
      <c r="C649" t="s">
        <v>8235</v>
      </c>
      <c r="D649" t="s">
        <v>8237</v>
      </c>
      <c r="E649" s="225">
        <v>313.2</v>
      </c>
      <c r="F649" t="s">
        <v>8714</v>
      </c>
      <c r="G649" t="s">
        <v>8713</v>
      </c>
      <c r="H649" t="s">
        <v>8701</v>
      </c>
      <c r="I649" s="99">
        <v>43792</v>
      </c>
      <c r="J649">
        <f>YEAR(I649)</f>
        <v>2019</v>
      </c>
      <c r="K649" s="99">
        <v>43795</v>
      </c>
      <c r="L649" t="s">
        <v>8251</v>
      </c>
      <c r="M649" t="s">
        <v>269</v>
      </c>
    </row>
    <row r="650" spans="2:13" x14ac:dyDescent="0.2">
      <c r="B650">
        <v>10589</v>
      </c>
      <c r="C650" t="s">
        <v>8323</v>
      </c>
      <c r="D650" t="s">
        <v>8272</v>
      </c>
      <c r="E650" s="225">
        <v>72</v>
      </c>
      <c r="F650" t="s">
        <v>8714</v>
      </c>
      <c r="G650" t="s">
        <v>8713</v>
      </c>
      <c r="H650" t="s">
        <v>8701</v>
      </c>
      <c r="I650" s="99">
        <v>43851</v>
      </c>
      <c r="J650">
        <f>YEAR(I650)</f>
        <v>2020</v>
      </c>
      <c r="K650" s="99">
        <v>43861</v>
      </c>
      <c r="L650" t="s">
        <v>8320</v>
      </c>
      <c r="M650" t="s">
        <v>8321</v>
      </c>
    </row>
    <row r="651" spans="2:13" x14ac:dyDescent="0.2">
      <c r="B651">
        <v>10616</v>
      </c>
      <c r="C651" t="s">
        <v>8380</v>
      </c>
      <c r="D651" t="s">
        <v>8272</v>
      </c>
      <c r="E651" s="225">
        <v>3754.87</v>
      </c>
      <c r="F651" t="s">
        <v>8714</v>
      </c>
      <c r="G651" t="s">
        <v>8713</v>
      </c>
      <c r="H651" t="s">
        <v>8701</v>
      </c>
      <c r="I651" s="99">
        <v>43878</v>
      </c>
      <c r="J651">
        <f>YEAR(I651)</f>
        <v>2020</v>
      </c>
      <c r="K651" s="99">
        <v>43883</v>
      </c>
      <c r="L651" t="s">
        <v>8285</v>
      </c>
      <c r="M651" t="s">
        <v>2317</v>
      </c>
    </row>
    <row r="652" spans="2:13" x14ac:dyDescent="0.2">
      <c r="B652">
        <v>10616</v>
      </c>
      <c r="C652" t="s">
        <v>8288</v>
      </c>
      <c r="D652" t="s">
        <v>8272</v>
      </c>
      <c r="E652" s="225">
        <v>213.75</v>
      </c>
      <c r="F652" t="s">
        <v>8714</v>
      </c>
      <c r="G652" t="s">
        <v>8713</v>
      </c>
      <c r="H652" t="s">
        <v>8701</v>
      </c>
      <c r="I652" s="99">
        <v>43878</v>
      </c>
      <c r="J652">
        <f>YEAR(I652)</f>
        <v>2020</v>
      </c>
      <c r="K652" s="99">
        <v>43883</v>
      </c>
      <c r="L652" t="s">
        <v>8285</v>
      </c>
      <c r="M652" t="s">
        <v>2317</v>
      </c>
    </row>
    <row r="653" spans="2:13" x14ac:dyDescent="0.2">
      <c r="B653">
        <v>10616</v>
      </c>
      <c r="C653" t="s">
        <v>8310</v>
      </c>
      <c r="D653" t="s">
        <v>8237</v>
      </c>
      <c r="E653" s="225">
        <v>306.37</v>
      </c>
      <c r="F653" t="s">
        <v>8714</v>
      </c>
      <c r="G653" t="s">
        <v>8713</v>
      </c>
      <c r="H653" t="s">
        <v>8701</v>
      </c>
      <c r="I653" s="99">
        <v>43878</v>
      </c>
      <c r="J653">
        <f>YEAR(I653)</f>
        <v>2020</v>
      </c>
      <c r="K653" s="99">
        <v>43883</v>
      </c>
      <c r="L653" t="s">
        <v>8285</v>
      </c>
      <c r="M653" t="s">
        <v>2317</v>
      </c>
    </row>
    <row r="654" spans="2:13" x14ac:dyDescent="0.2">
      <c r="B654">
        <v>10616</v>
      </c>
      <c r="C654" t="s">
        <v>8341</v>
      </c>
      <c r="D654" t="s">
        <v>8244</v>
      </c>
      <c r="E654" s="225">
        <v>532</v>
      </c>
      <c r="F654" t="s">
        <v>8714</v>
      </c>
      <c r="G654" t="s">
        <v>8713</v>
      </c>
      <c r="H654" t="s">
        <v>8701</v>
      </c>
      <c r="I654" s="99">
        <v>43878</v>
      </c>
      <c r="J654">
        <f>YEAR(I654)</f>
        <v>2020</v>
      </c>
      <c r="K654" s="99">
        <v>43883</v>
      </c>
      <c r="L654" t="s">
        <v>8285</v>
      </c>
      <c r="M654" t="s">
        <v>2317</v>
      </c>
    </row>
    <row r="655" spans="2:13" x14ac:dyDescent="0.2">
      <c r="B655">
        <v>10617</v>
      </c>
      <c r="C655" t="s">
        <v>8281</v>
      </c>
      <c r="D655" t="s">
        <v>8237</v>
      </c>
      <c r="E655" s="225">
        <v>1402.5</v>
      </c>
      <c r="F655" t="s">
        <v>8714</v>
      </c>
      <c r="G655" t="s">
        <v>8713</v>
      </c>
      <c r="H655" t="s">
        <v>8701</v>
      </c>
      <c r="I655" s="99">
        <v>43878</v>
      </c>
      <c r="J655">
        <f>YEAR(I655)</f>
        <v>2020</v>
      </c>
      <c r="K655" s="99">
        <v>43882</v>
      </c>
      <c r="L655" t="s">
        <v>8266</v>
      </c>
      <c r="M655" t="s">
        <v>8267</v>
      </c>
    </row>
    <row r="656" spans="2:13" x14ac:dyDescent="0.2">
      <c r="B656">
        <v>10656</v>
      </c>
      <c r="C656" t="s">
        <v>8322</v>
      </c>
      <c r="D656" t="s">
        <v>8254</v>
      </c>
      <c r="E656" s="225">
        <v>490.14</v>
      </c>
      <c r="F656" t="s">
        <v>8714</v>
      </c>
      <c r="G656" t="s">
        <v>8713</v>
      </c>
      <c r="H656" t="s">
        <v>8701</v>
      </c>
      <c r="I656" s="99">
        <v>43913</v>
      </c>
      <c r="J656">
        <f>YEAR(I656)</f>
        <v>2020</v>
      </c>
      <c r="K656" s="99">
        <v>43919</v>
      </c>
      <c r="L656" t="s">
        <v>8251</v>
      </c>
      <c r="M656" t="s">
        <v>269</v>
      </c>
    </row>
    <row r="657" spans="2:13" x14ac:dyDescent="0.2">
      <c r="B657">
        <v>10656</v>
      </c>
      <c r="C657" t="s">
        <v>8410</v>
      </c>
      <c r="D657" t="s">
        <v>8262</v>
      </c>
      <c r="E657" s="225">
        <v>51.3</v>
      </c>
      <c r="F657" t="s">
        <v>8714</v>
      </c>
      <c r="G657" t="s">
        <v>8713</v>
      </c>
      <c r="H657" t="s">
        <v>8701</v>
      </c>
      <c r="I657" s="99">
        <v>43913</v>
      </c>
      <c r="J657">
        <f>YEAR(I657)</f>
        <v>2020</v>
      </c>
      <c r="K657" s="99">
        <v>43919</v>
      </c>
      <c r="L657" t="s">
        <v>8251</v>
      </c>
      <c r="M657" t="s">
        <v>269</v>
      </c>
    </row>
    <row r="658" spans="2:13" x14ac:dyDescent="0.2">
      <c r="B658">
        <v>10656</v>
      </c>
      <c r="C658" t="s">
        <v>8252</v>
      </c>
      <c r="D658" t="s">
        <v>8247</v>
      </c>
      <c r="E658" s="225">
        <v>62.77</v>
      </c>
      <c r="F658" t="s">
        <v>8714</v>
      </c>
      <c r="G658" t="s">
        <v>8713</v>
      </c>
      <c r="H658" t="s">
        <v>8701</v>
      </c>
      <c r="I658" s="99">
        <v>43913</v>
      </c>
      <c r="J658">
        <f>YEAR(I658)</f>
        <v>2020</v>
      </c>
      <c r="K658" s="99">
        <v>43919</v>
      </c>
      <c r="L658" t="s">
        <v>8251</v>
      </c>
      <c r="M658" t="s">
        <v>269</v>
      </c>
    </row>
    <row r="659" spans="2:13" x14ac:dyDescent="0.2">
      <c r="B659">
        <v>10681</v>
      </c>
      <c r="C659" t="s">
        <v>8327</v>
      </c>
      <c r="D659" t="s">
        <v>8262</v>
      </c>
      <c r="E659" s="225">
        <v>248.4</v>
      </c>
      <c r="F659" t="s">
        <v>8714</v>
      </c>
      <c r="G659" t="s">
        <v>8713</v>
      </c>
      <c r="H659" t="s">
        <v>8701</v>
      </c>
      <c r="I659" s="99">
        <v>43934</v>
      </c>
      <c r="J659">
        <f>YEAR(I659)</f>
        <v>2020</v>
      </c>
      <c r="K659" s="99">
        <v>43939</v>
      </c>
      <c r="L659" t="s">
        <v>8257</v>
      </c>
      <c r="M659" t="s">
        <v>6984</v>
      </c>
    </row>
    <row r="660" spans="2:13" x14ac:dyDescent="0.2">
      <c r="B660">
        <v>10681</v>
      </c>
      <c r="C660" t="s">
        <v>8368</v>
      </c>
      <c r="D660" t="s">
        <v>8262</v>
      </c>
      <c r="E660" s="225">
        <v>108</v>
      </c>
      <c r="F660" t="s">
        <v>8714</v>
      </c>
      <c r="G660" t="s">
        <v>8713</v>
      </c>
      <c r="H660" t="s">
        <v>8701</v>
      </c>
      <c r="I660" s="99">
        <v>43934</v>
      </c>
      <c r="J660">
        <f>YEAR(I660)</f>
        <v>2020</v>
      </c>
      <c r="K660" s="99">
        <v>43939</v>
      </c>
      <c r="L660" t="s">
        <v>8257</v>
      </c>
      <c r="M660" t="s">
        <v>6984</v>
      </c>
    </row>
    <row r="661" spans="2:13" x14ac:dyDescent="0.2">
      <c r="B661">
        <v>10681</v>
      </c>
      <c r="C661" t="s">
        <v>8340</v>
      </c>
      <c r="D661" t="s">
        <v>8244</v>
      </c>
      <c r="E661" s="225">
        <v>931</v>
      </c>
      <c r="F661" t="s">
        <v>8714</v>
      </c>
      <c r="G661" t="s">
        <v>8713</v>
      </c>
      <c r="H661" t="s">
        <v>8701</v>
      </c>
      <c r="I661" s="99">
        <v>43934</v>
      </c>
      <c r="J661">
        <f>YEAR(I661)</f>
        <v>2020</v>
      </c>
      <c r="K661" s="99">
        <v>43939</v>
      </c>
      <c r="L661" t="s">
        <v>8257</v>
      </c>
      <c r="M661" t="s">
        <v>6984</v>
      </c>
    </row>
    <row r="662" spans="2:13" x14ac:dyDescent="0.2">
      <c r="B662">
        <v>10816</v>
      </c>
      <c r="C662" t="s">
        <v>8380</v>
      </c>
      <c r="D662" t="s">
        <v>8272</v>
      </c>
      <c r="E662" s="225">
        <v>7509.75</v>
      </c>
      <c r="F662" t="s">
        <v>8714</v>
      </c>
      <c r="G662" t="s">
        <v>8713</v>
      </c>
      <c r="H662" t="s">
        <v>8701</v>
      </c>
      <c r="I662" s="99">
        <v>44037</v>
      </c>
      <c r="J662">
        <f>YEAR(I662)</f>
        <v>2020</v>
      </c>
      <c r="K662" s="99">
        <v>44065</v>
      </c>
      <c r="L662" t="s">
        <v>8266</v>
      </c>
      <c r="M662" t="s">
        <v>8267</v>
      </c>
    </row>
    <row r="663" spans="2:13" x14ac:dyDescent="0.2">
      <c r="B663">
        <v>10816</v>
      </c>
      <c r="C663" t="s">
        <v>8291</v>
      </c>
      <c r="D663" t="s">
        <v>8262</v>
      </c>
      <c r="E663" s="225">
        <v>936.7</v>
      </c>
      <c r="F663" t="s">
        <v>8714</v>
      </c>
      <c r="G663" t="s">
        <v>8713</v>
      </c>
      <c r="H663" t="s">
        <v>8701</v>
      </c>
      <c r="I663" s="99">
        <v>44037</v>
      </c>
      <c r="J663">
        <f>YEAR(I663)</f>
        <v>2020</v>
      </c>
      <c r="K663" s="99">
        <v>44065</v>
      </c>
      <c r="L663" t="s">
        <v>8266</v>
      </c>
      <c r="M663" t="s">
        <v>8267</v>
      </c>
    </row>
    <row r="664" spans="2:13" x14ac:dyDescent="0.2">
      <c r="B664">
        <v>11006</v>
      </c>
      <c r="C664" t="s">
        <v>8333</v>
      </c>
      <c r="D664" t="s">
        <v>8272</v>
      </c>
      <c r="E664" s="225">
        <v>144</v>
      </c>
      <c r="F664" t="s">
        <v>8714</v>
      </c>
      <c r="G664" t="s">
        <v>8713</v>
      </c>
      <c r="H664" t="s">
        <v>8701</v>
      </c>
      <c r="I664" s="99">
        <v>44127</v>
      </c>
      <c r="J664">
        <f>YEAR(I664)</f>
        <v>2020</v>
      </c>
      <c r="K664" s="99">
        <v>44135</v>
      </c>
      <c r="L664" t="s">
        <v>8257</v>
      </c>
      <c r="M664" t="s">
        <v>6984</v>
      </c>
    </row>
    <row r="665" spans="2:13" x14ac:dyDescent="0.2">
      <c r="B665">
        <v>11040</v>
      </c>
      <c r="C665" t="s">
        <v>8368</v>
      </c>
      <c r="D665" t="s">
        <v>8262</v>
      </c>
      <c r="E665" s="225">
        <v>200</v>
      </c>
      <c r="F665" t="s">
        <v>8714</v>
      </c>
      <c r="G665" t="s">
        <v>8713</v>
      </c>
      <c r="H665" t="s">
        <v>8701</v>
      </c>
      <c r="I665" s="99">
        <v>44142</v>
      </c>
      <c r="J665">
        <f>YEAR(I665)</f>
        <v>2020</v>
      </c>
      <c r="L665" t="s">
        <v>8266</v>
      </c>
      <c r="M665" t="s">
        <v>8267</v>
      </c>
    </row>
    <row r="666" spans="2:13" x14ac:dyDescent="0.2">
      <c r="B666">
        <v>11061</v>
      </c>
      <c r="C666" t="s">
        <v>8268</v>
      </c>
      <c r="D666" t="s">
        <v>8237</v>
      </c>
      <c r="E666" s="225">
        <v>510</v>
      </c>
      <c r="F666" t="s">
        <v>8714</v>
      </c>
      <c r="G666" t="s">
        <v>8713</v>
      </c>
      <c r="H666" t="s">
        <v>8701</v>
      </c>
      <c r="I666" s="99">
        <v>44150</v>
      </c>
      <c r="J666">
        <f>YEAR(I666)</f>
        <v>2020</v>
      </c>
      <c r="L666" t="s">
        <v>8266</v>
      </c>
      <c r="M666" t="s">
        <v>8267</v>
      </c>
    </row>
    <row r="667" spans="2:13" x14ac:dyDescent="0.2">
      <c r="B667">
        <v>11194</v>
      </c>
      <c r="C667" t="s">
        <v>8242</v>
      </c>
      <c r="D667" t="s">
        <v>8237</v>
      </c>
      <c r="E667" s="225">
        <v>63</v>
      </c>
      <c r="F667" t="s">
        <v>8714</v>
      </c>
      <c r="G667" t="s">
        <v>8713</v>
      </c>
      <c r="H667" t="s">
        <v>8701</v>
      </c>
      <c r="I667" s="99">
        <v>43992</v>
      </c>
      <c r="J667">
        <f>YEAR(I667)</f>
        <v>2020</v>
      </c>
      <c r="K667" s="99">
        <v>43995</v>
      </c>
      <c r="L667" t="s">
        <v>8251</v>
      </c>
      <c r="M667" t="s">
        <v>269</v>
      </c>
    </row>
    <row r="668" spans="2:13" x14ac:dyDescent="0.2">
      <c r="B668">
        <v>11194</v>
      </c>
      <c r="C668" t="s">
        <v>8269</v>
      </c>
      <c r="D668" t="s">
        <v>8237</v>
      </c>
      <c r="E668" s="225">
        <v>16</v>
      </c>
      <c r="F668" t="s">
        <v>8714</v>
      </c>
      <c r="G668" t="s">
        <v>8713</v>
      </c>
      <c r="H668" t="s">
        <v>8701</v>
      </c>
      <c r="I668" s="99">
        <v>43992</v>
      </c>
      <c r="J668">
        <f>YEAR(I668)</f>
        <v>2020</v>
      </c>
      <c r="K668" s="99">
        <v>43995</v>
      </c>
      <c r="L668" t="s">
        <v>8251</v>
      </c>
      <c r="M668" t="s">
        <v>269</v>
      </c>
    </row>
    <row r="669" spans="2:13" x14ac:dyDescent="0.2">
      <c r="B669">
        <v>11194</v>
      </c>
      <c r="C669" t="s">
        <v>8235</v>
      </c>
      <c r="D669" t="s">
        <v>8237</v>
      </c>
      <c r="E669" s="225">
        <v>313.2</v>
      </c>
      <c r="F669" t="s">
        <v>8714</v>
      </c>
      <c r="G669" t="s">
        <v>8713</v>
      </c>
      <c r="H669" t="s">
        <v>8701</v>
      </c>
      <c r="I669" s="99">
        <v>43992</v>
      </c>
      <c r="J669">
        <f>YEAR(I669)</f>
        <v>2020</v>
      </c>
      <c r="K669" s="99">
        <v>43995</v>
      </c>
      <c r="L669" t="s">
        <v>8251</v>
      </c>
      <c r="M669" t="s">
        <v>269</v>
      </c>
    </row>
    <row r="670" spans="2:13" x14ac:dyDescent="0.2">
      <c r="B670">
        <v>11219</v>
      </c>
      <c r="C670" t="s">
        <v>8323</v>
      </c>
      <c r="D670" t="s">
        <v>8272</v>
      </c>
      <c r="E670" s="225">
        <v>72</v>
      </c>
      <c r="F670" t="s">
        <v>8714</v>
      </c>
      <c r="G670" t="s">
        <v>8713</v>
      </c>
      <c r="H670" t="s">
        <v>8701</v>
      </c>
      <c r="I670" s="99">
        <v>44051</v>
      </c>
      <c r="J670">
        <f>YEAR(I670)</f>
        <v>2020</v>
      </c>
      <c r="K670" s="99">
        <v>44061</v>
      </c>
      <c r="L670" t="s">
        <v>8320</v>
      </c>
      <c r="M670" t="s">
        <v>8321</v>
      </c>
    </row>
    <row r="671" spans="2:13" x14ac:dyDescent="0.2">
      <c r="B671">
        <v>11232</v>
      </c>
      <c r="C671" t="s">
        <v>8380</v>
      </c>
      <c r="D671" t="s">
        <v>8272</v>
      </c>
      <c r="E671" s="225">
        <v>3754.87</v>
      </c>
      <c r="F671" t="s">
        <v>8714</v>
      </c>
      <c r="G671" t="s">
        <v>8713</v>
      </c>
      <c r="H671" t="s">
        <v>8701</v>
      </c>
      <c r="I671" s="99">
        <v>44078</v>
      </c>
      <c r="J671">
        <f>YEAR(I671)</f>
        <v>2020</v>
      </c>
      <c r="K671" s="99">
        <v>44083</v>
      </c>
      <c r="L671" t="s">
        <v>8285</v>
      </c>
      <c r="M671" t="s">
        <v>2317</v>
      </c>
    </row>
    <row r="672" spans="2:13" x14ac:dyDescent="0.2">
      <c r="B672">
        <v>11232</v>
      </c>
      <c r="C672" t="s">
        <v>8288</v>
      </c>
      <c r="D672" t="s">
        <v>8272</v>
      </c>
      <c r="E672" s="225">
        <v>213.75</v>
      </c>
      <c r="F672" t="s">
        <v>8714</v>
      </c>
      <c r="G672" t="s">
        <v>8713</v>
      </c>
      <c r="H672" t="s">
        <v>8701</v>
      </c>
      <c r="I672" s="99">
        <v>44078</v>
      </c>
      <c r="J672">
        <f>YEAR(I672)</f>
        <v>2020</v>
      </c>
      <c r="K672" s="99">
        <v>44083</v>
      </c>
      <c r="L672" t="s">
        <v>8285</v>
      </c>
      <c r="M672" t="s">
        <v>2317</v>
      </c>
    </row>
    <row r="673" spans="2:13" x14ac:dyDescent="0.2">
      <c r="B673">
        <v>11232</v>
      </c>
      <c r="C673" t="s">
        <v>8310</v>
      </c>
      <c r="D673" t="s">
        <v>8237</v>
      </c>
      <c r="E673" s="225">
        <v>306.37</v>
      </c>
      <c r="F673" t="s">
        <v>8714</v>
      </c>
      <c r="G673" t="s">
        <v>8713</v>
      </c>
      <c r="H673" t="s">
        <v>8701</v>
      </c>
      <c r="I673" s="99">
        <v>44078</v>
      </c>
      <c r="J673">
        <f>YEAR(I673)</f>
        <v>2020</v>
      </c>
      <c r="K673" s="99">
        <v>44083</v>
      </c>
      <c r="L673" t="s">
        <v>8285</v>
      </c>
      <c r="M673" t="s">
        <v>2317</v>
      </c>
    </row>
    <row r="674" spans="2:13" x14ac:dyDescent="0.2">
      <c r="B674">
        <v>11232</v>
      </c>
      <c r="C674" t="s">
        <v>8281</v>
      </c>
      <c r="D674" t="s">
        <v>8237</v>
      </c>
      <c r="E674" s="225">
        <v>1402.5</v>
      </c>
      <c r="F674" t="s">
        <v>8714</v>
      </c>
      <c r="G674" t="s">
        <v>8713</v>
      </c>
      <c r="H674" t="s">
        <v>8701</v>
      </c>
      <c r="I674" s="99">
        <v>44078</v>
      </c>
      <c r="J674">
        <f>YEAR(I674)</f>
        <v>2020</v>
      </c>
      <c r="K674" s="99">
        <v>44082</v>
      </c>
      <c r="L674" t="s">
        <v>8266</v>
      </c>
      <c r="M674" t="s">
        <v>8267</v>
      </c>
    </row>
    <row r="675" spans="2:13" x14ac:dyDescent="0.2">
      <c r="B675">
        <v>11232</v>
      </c>
      <c r="C675" t="s">
        <v>8341</v>
      </c>
      <c r="D675" t="s">
        <v>8244</v>
      </c>
      <c r="E675" s="225">
        <v>532</v>
      </c>
      <c r="F675" t="s">
        <v>8714</v>
      </c>
      <c r="G675" t="s">
        <v>8713</v>
      </c>
      <c r="H675" t="s">
        <v>8701</v>
      </c>
      <c r="I675" s="99">
        <v>44078</v>
      </c>
      <c r="J675">
        <f>YEAR(I675)</f>
        <v>2020</v>
      </c>
      <c r="K675" s="99">
        <v>44083</v>
      </c>
      <c r="L675" t="s">
        <v>8285</v>
      </c>
      <c r="M675" t="s">
        <v>2317</v>
      </c>
    </row>
    <row r="676" spans="2:13" x14ac:dyDescent="0.2">
      <c r="B676">
        <v>11250</v>
      </c>
      <c r="C676" t="s">
        <v>8322</v>
      </c>
      <c r="D676" t="s">
        <v>8254</v>
      </c>
      <c r="E676" s="225">
        <v>490.14</v>
      </c>
      <c r="F676" t="s">
        <v>8714</v>
      </c>
      <c r="G676" t="s">
        <v>8713</v>
      </c>
      <c r="H676" t="s">
        <v>8701</v>
      </c>
      <c r="I676" s="99">
        <v>44113</v>
      </c>
      <c r="J676">
        <f>YEAR(I676)</f>
        <v>2020</v>
      </c>
      <c r="K676" s="99">
        <v>44119</v>
      </c>
      <c r="L676" t="s">
        <v>8251</v>
      </c>
      <c r="M676" t="s">
        <v>269</v>
      </c>
    </row>
    <row r="677" spans="2:13" x14ac:dyDescent="0.2">
      <c r="B677">
        <v>11250</v>
      </c>
      <c r="C677" t="s">
        <v>8410</v>
      </c>
      <c r="D677" t="s">
        <v>8262</v>
      </c>
      <c r="E677" s="225">
        <v>51.3</v>
      </c>
      <c r="F677" t="s">
        <v>8714</v>
      </c>
      <c r="G677" t="s">
        <v>8713</v>
      </c>
      <c r="H677" t="s">
        <v>8701</v>
      </c>
      <c r="I677" s="99">
        <v>44113</v>
      </c>
      <c r="J677">
        <f>YEAR(I677)</f>
        <v>2020</v>
      </c>
      <c r="K677" s="99">
        <v>44119</v>
      </c>
      <c r="L677" t="s">
        <v>8251</v>
      </c>
      <c r="M677" t="s">
        <v>269</v>
      </c>
    </row>
    <row r="678" spans="2:13" x14ac:dyDescent="0.2">
      <c r="B678">
        <v>11250</v>
      </c>
      <c r="C678" t="s">
        <v>8252</v>
      </c>
      <c r="D678" t="s">
        <v>8247</v>
      </c>
      <c r="E678" s="225">
        <v>62.77</v>
      </c>
      <c r="F678" t="s">
        <v>8714</v>
      </c>
      <c r="G678" t="s">
        <v>8713</v>
      </c>
      <c r="H678" t="s">
        <v>8701</v>
      </c>
      <c r="I678" s="99">
        <v>44113</v>
      </c>
      <c r="J678">
        <f>YEAR(I678)</f>
        <v>2020</v>
      </c>
      <c r="K678" s="99">
        <v>44119</v>
      </c>
      <c r="L678" t="s">
        <v>8251</v>
      </c>
      <c r="M678" t="s">
        <v>269</v>
      </c>
    </row>
    <row r="679" spans="2:13" x14ac:dyDescent="0.2">
      <c r="B679">
        <v>11263</v>
      </c>
      <c r="C679" t="s">
        <v>8327</v>
      </c>
      <c r="D679" t="s">
        <v>8262</v>
      </c>
      <c r="E679" s="225">
        <v>248.4</v>
      </c>
      <c r="F679" t="s">
        <v>8714</v>
      </c>
      <c r="G679" t="s">
        <v>8713</v>
      </c>
      <c r="H679" t="s">
        <v>8701</v>
      </c>
      <c r="I679" s="99">
        <v>44134</v>
      </c>
      <c r="J679">
        <f>YEAR(I679)</f>
        <v>2020</v>
      </c>
      <c r="K679" s="99">
        <v>44139</v>
      </c>
      <c r="L679" t="s">
        <v>8257</v>
      </c>
      <c r="M679" t="s">
        <v>6984</v>
      </c>
    </row>
    <row r="680" spans="2:13" x14ac:dyDescent="0.2">
      <c r="B680">
        <v>11263</v>
      </c>
      <c r="C680" t="s">
        <v>8368</v>
      </c>
      <c r="D680" t="s">
        <v>8262</v>
      </c>
      <c r="E680" s="225">
        <v>108</v>
      </c>
      <c r="F680" t="s">
        <v>8714</v>
      </c>
      <c r="G680" t="s">
        <v>8713</v>
      </c>
      <c r="H680" t="s">
        <v>8701</v>
      </c>
      <c r="I680" s="99">
        <v>44134</v>
      </c>
      <c r="J680">
        <f>YEAR(I680)</f>
        <v>2020</v>
      </c>
      <c r="K680" s="99">
        <v>44139</v>
      </c>
      <c r="L680" t="s">
        <v>8257</v>
      </c>
      <c r="M680" t="s">
        <v>6984</v>
      </c>
    </row>
    <row r="681" spans="2:13" x14ac:dyDescent="0.2">
      <c r="B681">
        <v>11263</v>
      </c>
      <c r="C681" t="s">
        <v>8340</v>
      </c>
      <c r="D681" t="s">
        <v>8244</v>
      </c>
      <c r="E681" s="225">
        <v>931</v>
      </c>
      <c r="F681" t="s">
        <v>8714</v>
      </c>
      <c r="G681" t="s">
        <v>8713</v>
      </c>
      <c r="H681" t="s">
        <v>8701</v>
      </c>
      <c r="I681" s="99">
        <v>44134</v>
      </c>
      <c r="J681">
        <f>YEAR(I681)</f>
        <v>2020</v>
      </c>
      <c r="K681" s="99">
        <v>44139</v>
      </c>
      <c r="L681" t="s">
        <v>8257</v>
      </c>
      <c r="M681" t="s">
        <v>6984</v>
      </c>
    </row>
    <row r="682" spans="2:13" x14ac:dyDescent="0.2">
      <c r="B682">
        <v>11358</v>
      </c>
      <c r="C682" t="s">
        <v>8380</v>
      </c>
      <c r="D682" t="s">
        <v>8272</v>
      </c>
      <c r="E682" s="225">
        <v>7509.75</v>
      </c>
      <c r="F682" t="s">
        <v>8714</v>
      </c>
      <c r="G682" t="s">
        <v>8713</v>
      </c>
      <c r="H682" t="s">
        <v>8701</v>
      </c>
      <c r="I682" s="99">
        <v>44237</v>
      </c>
      <c r="J682">
        <f>YEAR(I682)</f>
        <v>2021</v>
      </c>
      <c r="K682" s="99">
        <v>44265</v>
      </c>
      <c r="L682" t="s">
        <v>8266</v>
      </c>
      <c r="M682" t="s">
        <v>8267</v>
      </c>
    </row>
    <row r="683" spans="2:13" x14ac:dyDescent="0.2">
      <c r="B683">
        <v>11358</v>
      </c>
      <c r="C683" t="s">
        <v>8291</v>
      </c>
      <c r="D683" t="s">
        <v>8262</v>
      </c>
      <c r="E683" s="225">
        <v>936.7</v>
      </c>
      <c r="F683" t="s">
        <v>8714</v>
      </c>
      <c r="G683" t="s">
        <v>8713</v>
      </c>
      <c r="H683" t="s">
        <v>8701</v>
      </c>
      <c r="I683" s="99">
        <v>44237</v>
      </c>
      <c r="J683">
        <f>YEAR(I683)</f>
        <v>2021</v>
      </c>
      <c r="K683" s="99">
        <v>44265</v>
      </c>
      <c r="L683" t="s">
        <v>8266</v>
      </c>
      <c r="M683" t="s">
        <v>8267</v>
      </c>
    </row>
    <row r="684" spans="2:13" x14ac:dyDescent="0.2">
      <c r="B684">
        <v>11429</v>
      </c>
      <c r="C684" t="s">
        <v>8333</v>
      </c>
      <c r="D684" t="s">
        <v>8272</v>
      </c>
      <c r="E684" s="225">
        <v>144</v>
      </c>
      <c r="F684" t="s">
        <v>8714</v>
      </c>
      <c r="G684" t="s">
        <v>8713</v>
      </c>
      <c r="H684" t="s">
        <v>8701</v>
      </c>
      <c r="I684" s="99">
        <v>44327</v>
      </c>
      <c r="J684">
        <f>YEAR(I684)</f>
        <v>2021</v>
      </c>
      <c r="K684" s="99">
        <v>44335</v>
      </c>
      <c r="L684" t="s">
        <v>8257</v>
      </c>
      <c r="M684" t="s">
        <v>6984</v>
      </c>
    </row>
    <row r="685" spans="2:13" x14ac:dyDescent="0.2">
      <c r="B685">
        <v>10268</v>
      </c>
      <c r="C685" t="s">
        <v>8235</v>
      </c>
      <c r="D685" t="s">
        <v>8237</v>
      </c>
      <c r="E685" s="225">
        <v>111.2</v>
      </c>
      <c r="F685" t="s">
        <v>8738</v>
      </c>
      <c r="G685" t="s">
        <v>8737</v>
      </c>
      <c r="H685" t="s">
        <v>8707</v>
      </c>
      <c r="I685" s="99">
        <v>43512</v>
      </c>
      <c r="J685">
        <f>YEAR(I685)</f>
        <v>2019</v>
      </c>
      <c r="K685" s="99">
        <v>43515</v>
      </c>
      <c r="L685" t="s">
        <v>8320</v>
      </c>
      <c r="M685" t="s">
        <v>8321</v>
      </c>
    </row>
    <row r="686" spans="2:13" x14ac:dyDescent="0.2">
      <c r="B686">
        <v>10785</v>
      </c>
      <c r="C686" t="s">
        <v>8328</v>
      </c>
      <c r="D686" t="s">
        <v>8272</v>
      </c>
      <c r="E686" s="225">
        <v>77.5</v>
      </c>
      <c r="F686" t="s">
        <v>8738</v>
      </c>
      <c r="G686" t="s">
        <v>8737</v>
      </c>
      <c r="H686" t="s">
        <v>8707</v>
      </c>
      <c r="I686" s="99">
        <v>44018</v>
      </c>
      <c r="J686">
        <f>YEAR(I686)</f>
        <v>2020</v>
      </c>
      <c r="K686" s="99">
        <v>44024</v>
      </c>
      <c r="L686" t="s">
        <v>8285</v>
      </c>
      <c r="M686" t="s">
        <v>2317</v>
      </c>
    </row>
    <row r="687" spans="2:13" x14ac:dyDescent="0.2">
      <c r="B687">
        <v>10250</v>
      </c>
      <c r="C687" t="s">
        <v>8253</v>
      </c>
      <c r="D687" t="s">
        <v>8254</v>
      </c>
      <c r="E687" s="225">
        <v>214.2</v>
      </c>
      <c r="F687" t="s">
        <v>8728</v>
      </c>
      <c r="G687" t="s">
        <v>8727</v>
      </c>
      <c r="H687" t="s">
        <v>8710</v>
      </c>
      <c r="I687" s="99">
        <v>43490</v>
      </c>
      <c r="J687">
        <f>YEAR(I687)</f>
        <v>2019</v>
      </c>
      <c r="K687" s="99">
        <v>43494</v>
      </c>
      <c r="L687" t="s">
        <v>8266</v>
      </c>
      <c r="M687" t="s">
        <v>8267</v>
      </c>
    </row>
    <row r="688" spans="2:13" x14ac:dyDescent="0.2">
      <c r="B688">
        <v>10250</v>
      </c>
      <c r="C688" t="s">
        <v>8245</v>
      </c>
      <c r="D688" t="s">
        <v>8247</v>
      </c>
      <c r="E688" s="225">
        <v>1261.4000000000001</v>
      </c>
      <c r="F688" t="s">
        <v>8728</v>
      </c>
      <c r="G688" t="s">
        <v>8727</v>
      </c>
      <c r="H688" t="s">
        <v>8710</v>
      </c>
      <c r="I688" s="99">
        <v>43490</v>
      </c>
      <c r="J688">
        <f>YEAR(I688)</f>
        <v>2019</v>
      </c>
      <c r="K688" s="99">
        <v>43494</v>
      </c>
      <c r="L688" t="s">
        <v>8266</v>
      </c>
      <c r="M688" t="s">
        <v>8267</v>
      </c>
    </row>
    <row r="689" spans="2:13" x14ac:dyDescent="0.2">
      <c r="B689">
        <v>10253</v>
      </c>
      <c r="C689" t="s">
        <v>8342</v>
      </c>
      <c r="D689" t="s">
        <v>8272</v>
      </c>
      <c r="E689" s="225">
        <v>604.79999999999995</v>
      </c>
      <c r="F689" t="s">
        <v>8728</v>
      </c>
      <c r="G689" t="s">
        <v>8727</v>
      </c>
      <c r="H689" t="s">
        <v>8710</v>
      </c>
      <c r="I689" s="99">
        <v>43492</v>
      </c>
      <c r="J689">
        <f>YEAR(I689)</f>
        <v>2019</v>
      </c>
      <c r="K689" s="99">
        <v>43498</v>
      </c>
      <c r="L689" t="s">
        <v>8257</v>
      </c>
      <c r="M689" t="s">
        <v>6984</v>
      </c>
    </row>
    <row r="690" spans="2:13" x14ac:dyDescent="0.2">
      <c r="B690">
        <v>10253</v>
      </c>
      <c r="C690" t="s">
        <v>8390</v>
      </c>
      <c r="D690" t="s">
        <v>8262</v>
      </c>
      <c r="E690" s="225">
        <v>640</v>
      </c>
      <c r="F690" t="s">
        <v>8728</v>
      </c>
      <c r="G690" t="s">
        <v>8727</v>
      </c>
      <c r="H690" t="s">
        <v>8710</v>
      </c>
      <c r="I690" s="99">
        <v>43492</v>
      </c>
      <c r="J690">
        <f>YEAR(I690)</f>
        <v>2019</v>
      </c>
      <c r="K690" s="99">
        <v>43498</v>
      </c>
      <c r="L690" t="s">
        <v>8257</v>
      </c>
      <c r="M690" t="s">
        <v>6984</v>
      </c>
    </row>
    <row r="691" spans="2:13" x14ac:dyDescent="0.2">
      <c r="B691">
        <v>10253</v>
      </c>
      <c r="C691" t="s">
        <v>8309</v>
      </c>
      <c r="D691" t="s">
        <v>8237</v>
      </c>
      <c r="E691" s="225">
        <v>200</v>
      </c>
      <c r="F691" t="s">
        <v>8728</v>
      </c>
      <c r="G691" t="s">
        <v>8727</v>
      </c>
      <c r="H691" t="s">
        <v>8710</v>
      </c>
      <c r="I691" s="99">
        <v>43492</v>
      </c>
      <c r="J691">
        <f>YEAR(I691)</f>
        <v>2019</v>
      </c>
      <c r="K691" s="99">
        <v>43498</v>
      </c>
      <c r="L691" t="s">
        <v>8257</v>
      </c>
      <c r="M691" t="s">
        <v>6984</v>
      </c>
    </row>
    <row r="692" spans="2:13" x14ac:dyDescent="0.2">
      <c r="B692">
        <v>10541</v>
      </c>
      <c r="C692" t="s">
        <v>8270</v>
      </c>
      <c r="D692" t="s">
        <v>8272</v>
      </c>
      <c r="E692" s="225">
        <v>141.75</v>
      </c>
      <c r="F692" t="s">
        <v>8728</v>
      </c>
      <c r="G692" t="s">
        <v>8727</v>
      </c>
      <c r="H692" t="s">
        <v>8710</v>
      </c>
      <c r="I692" s="99">
        <v>43805</v>
      </c>
      <c r="J692">
        <f>YEAR(I692)</f>
        <v>2019</v>
      </c>
      <c r="K692" s="99">
        <v>43815</v>
      </c>
      <c r="L692" t="s">
        <v>8297</v>
      </c>
      <c r="M692" t="s">
        <v>8298</v>
      </c>
    </row>
    <row r="693" spans="2:13" x14ac:dyDescent="0.2">
      <c r="B693">
        <v>10541</v>
      </c>
      <c r="C693" t="s">
        <v>8380</v>
      </c>
      <c r="D693" t="s">
        <v>8272</v>
      </c>
      <c r="E693" s="225">
        <v>948.6</v>
      </c>
      <c r="F693" t="s">
        <v>8728</v>
      </c>
      <c r="G693" t="s">
        <v>8727</v>
      </c>
      <c r="H693" t="s">
        <v>8710</v>
      </c>
      <c r="I693" s="99">
        <v>43805</v>
      </c>
      <c r="J693">
        <f>YEAR(I693)</f>
        <v>2019</v>
      </c>
      <c r="K693" s="99">
        <v>43815</v>
      </c>
      <c r="L693" t="s">
        <v>8297</v>
      </c>
      <c r="M693" t="s">
        <v>8298</v>
      </c>
    </row>
    <row r="694" spans="2:13" x14ac:dyDescent="0.2">
      <c r="B694">
        <v>10541</v>
      </c>
      <c r="C694" t="s">
        <v>8253</v>
      </c>
      <c r="D694" t="s">
        <v>8254</v>
      </c>
      <c r="E694" s="225">
        <v>682.02</v>
      </c>
      <c r="F694" t="s">
        <v>8728</v>
      </c>
      <c r="G694" t="s">
        <v>8727</v>
      </c>
      <c r="H694" t="s">
        <v>8710</v>
      </c>
      <c r="I694" s="99">
        <v>43805</v>
      </c>
      <c r="J694">
        <f>YEAR(I694)</f>
        <v>2019</v>
      </c>
      <c r="K694" s="99">
        <v>43815</v>
      </c>
      <c r="L694" t="s">
        <v>8297</v>
      </c>
      <c r="M694" t="s">
        <v>8298</v>
      </c>
    </row>
    <row r="695" spans="2:13" x14ac:dyDescent="0.2">
      <c r="B695">
        <v>10541</v>
      </c>
      <c r="C695" t="s">
        <v>8310</v>
      </c>
      <c r="D695" t="s">
        <v>8237</v>
      </c>
      <c r="E695" s="225">
        <v>174.15</v>
      </c>
      <c r="F695" t="s">
        <v>8728</v>
      </c>
      <c r="G695" t="s">
        <v>8727</v>
      </c>
      <c r="H695" t="s">
        <v>8710</v>
      </c>
      <c r="I695" s="99">
        <v>43805</v>
      </c>
      <c r="J695">
        <f>YEAR(I695)</f>
        <v>2019</v>
      </c>
      <c r="K695" s="99">
        <v>43815</v>
      </c>
      <c r="L695" t="s">
        <v>8297</v>
      </c>
      <c r="M695" t="s">
        <v>8298</v>
      </c>
    </row>
    <row r="696" spans="2:13" x14ac:dyDescent="0.2">
      <c r="B696">
        <v>10690</v>
      </c>
      <c r="C696" t="s">
        <v>8397</v>
      </c>
      <c r="D696" t="s">
        <v>8254</v>
      </c>
      <c r="E696" s="225">
        <v>292.5</v>
      </c>
      <c r="F696" t="s">
        <v>8728</v>
      </c>
      <c r="G696" t="s">
        <v>8727</v>
      </c>
      <c r="H696" t="s">
        <v>8710</v>
      </c>
      <c r="I696" s="99">
        <v>43941</v>
      </c>
      <c r="J696">
        <f>YEAR(I696)</f>
        <v>2020</v>
      </c>
      <c r="K696" s="99">
        <v>43942</v>
      </c>
      <c r="L696" t="s">
        <v>8285</v>
      </c>
      <c r="M696" t="s">
        <v>2317</v>
      </c>
    </row>
    <row r="697" spans="2:13" x14ac:dyDescent="0.2">
      <c r="B697">
        <v>10690</v>
      </c>
      <c r="C697" t="s">
        <v>8341</v>
      </c>
      <c r="D697" t="s">
        <v>8244</v>
      </c>
      <c r="E697" s="225">
        <v>570</v>
      </c>
      <c r="F697" t="s">
        <v>8728</v>
      </c>
      <c r="G697" t="s">
        <v>8727</v>
      </c>
      <c r="H697" t="s">
        <v>8710</v>
      </c>
      <c r="I697" s="99">
        <v>43941</v>
      </c>
      <c r="J697">
        <f>YEAR(I697)</f>
        <v>2020</v>
      </c>
      <c r="K697" s="99">
        <v>43942</v>
      </c>
      <c r="L697" t="s">
        <v>8285</v>
      </c>
      <c r="M697" t="s">
        <v>2317</v>
      </c>
    </row>
    <row r="698" spans="2:13" x14ac:dyDescent="0.2">
      <c r="B698">
        <v>10770</v>
      </c>
      <c r="C698" t="s">
        <v>8242</v>
      </c>
      <c r="D698" t="s">
        <v>8237</v>
      </c>
      <c r="E698" s="225">
        <v>236.25</v>
      </c>
      <c r="F698" t="s">
        <v>8728</v>
      </c>
      <c r="G698" t="s">
        <v>8727</v>
      </c>
      <c r="H698" t="s">
        <v>8710</v>
      </c>
      <c r="I698" s="99">
        <v>44009</v>
      </c>
      <c r="J698">
        <f>YEAR(I698)</f>
        <v>2020</v>
      </c>
      <c r="K698" s="99">
        <v>44017</v>
      </c>
      <c r="L698" t="s">
        <v>8320</v>
      </c>
      <c r="M698" t="s">
        <v>8321</v>
      </c>
    </row>
    <row r="699" spans="2:13" x14ac:dyDescent="0.2">
      <c r="B699">
        <v>10783</v>
      </c>
      <c r="C699" t="s">
        <v>8380</v>
      </c>
      <c r="D699" t="s">
        <v>8272</v>
      </c>
      <c r="E699" s="225">
        <v>1317.5</v>
      </c>
      <c r="F699" t="s">
        <v>8728</v>
      </c>
      <c r="G699" t="s">
        <v>8727</v>
      </c>
      <c r="H699" t="s">
        <v>8710</v>
      </c>
      <c r="I699" s="99">
        <v>44018</v>
      </c>
      <c r="J699">
        <f>YEAR(I699)</f>
        <v>2020</v>
      </c>
      <c r="K699" s="99">
        <v>44019</v>
      </c>
      <c r="L699" t="s">
        <v>8266</v>
      </c>
      <c r="M699" t="s">
        <v>8267</v>
      </c>
    </row>
    <row r="700" spans="2:13" x14ac:dyDescent="0.2">
      <c r="B700">
        <v>10783</v>
      </c>
      <c r="C700" t="s">
        <v>8309</v>
      </c>
      <c r="D700" t="s">
        <v>8237</v>
      </c>
      <c r="E700" s="225">
        <v>125</v>
      </c>
      <c r="F700" t="s">
        <v>8728</v>
      </c>
      <c r="G700" t="s">
        <v>8727</v>
      </c>
      <c r="H700" t="s">
        <v>8710</v>
      </c>
      <c r="I700" s="99">
        <v>44018</v>
      </c>
      <c r="J700">
        <f>YEAR(I700)</f>
        <v>2020</v>
      </c>
      <c r="K700" s="99">
        <v>44019</v>
      </c>
      <c r="L700" t="s">
        <v>8266</v>
      </c>
      <c r="M700" t="s">
        <v>8267</v>
      </c>
    </row>
    <row r="701" spans="2:13" x14ac:dyDescent="0.2">
      <c r="B701">
        <v>10886</v>
      </c>
      <c r="C701" t="s">
        <v>8397</v>
      </c>
      <c r="D701" t="s">
        <v>8254</v>
      </c>
      <c r="E701" s="225">
        <v>520</v>
      </c>
      <c r="F701" t="s">
        <v>8728</v>
      </c>
      <c r="G701" t="s">
        <v>8727</v>
      </c>
      <c r="H701" t="s">
        <v>8710</v>
      </c>
      <c r="I701" s="99">
        <v>44074</v>
      </c>
      <c r="J701">
        <f>YEAR(I701)</f>
        <v>2020</v>
      </c>
      <c r="K701" s="99">
        <v>44091</v>
      </c>
      <c r="L701" t="s">
        <v>8285</v>
      </c>
      <c r="M701" t="s">
        <v>2317</v>
      </c>
    </row>
    <row r="702" spans="2:13" x14ac:dyDescent="0.2">
      <c r="B702">
        <v>10886</v>
      </c>
      <c r="C702" t="s">
        <v>8309</v>
      </c>
      <c r="D702" t="s">
        <v>8237</v>
      </c>
      <c r="E702" s="225">
        <v>437.5</v>
      </c>
      <c r="F702" t="s">
        <v>8728</v>
      </c>
      <c r="G702" t="s">
        <v>8727</v>
      </c>
      <c r="H702" t="s">
        <v>8710</v>
      </c>
      <c r="I702" s="99">
        <v>44074</v>
      </c>
      <c r="J702">
        <f>YEAR(I702)</f>
        <v>2020</v>
      </c>
      <c r="K702" s="99">
        <v>44091</v>
      </c>
      <c r="L702" t="s">
        <v>8285</v>
      </c>
      <c r="M702" t="s">
        <v>2317</v>
      </c>
    </row>
    <row r="703" spans="2:13" x14ac:dyDescent="0.2">
      <c r="B703">
        <v>10903</v>
      </c>
      <c r="C703" t="s">
        <v>8253</v>
      </c>
      <c r="D703" t="s">
        <v>8254</v>
      </c>
      <c r="E703" s="225">
        <v>442.05</v>
      </c>
      <c r="F703" t="s">
        <v>8728</v>
      </c>
      <c r="G703" t="s">
        <v>8727</v>
      </c>
      <c r="H703" t="s">
        <v>8710</v>
      </c>
      <c r="I703" s="99">
        <v>44085</v>
      </c>
      <c r="J703">
        <f>YEAR(I703)</f>
        <v>2020</v>
      </c>
      <c r="K703" s="99">
        <v>44093</v>
      </c>
      <c r="L703" t="s">
        <v>8257</v>
      </c>
      <c r="M703" t="s">
        <v>6984</v>
      </c>
    </row>
    <row r="704" spans="2:13" x14ac:dyDescent="0.2">
      <c r="B704">
        <v>10903</v>
      </c>
      <c r="C704" t="s">
        <v>8334</v>
      </c>
      <c r="D704" t="s">
        <v>8262</v>
      </c>
      <c r="E704" s="225">
        <v>250</v>
      </c>
      <c r="F704" t="s">
        <v>8728</v>
      </c>
      <c r="G704" t="s">
        <v>8727</v>
      </c>
      <c r="H704" t="s">
        <v>8710</v>
      </c>
      <c r="I704" s="99">
        <v>44085</v>
      </c>
      <c r="J704">
        <f>YEAR(I704)</f>
        <v>2020</v>
      </c>
      <c r="K704" s="99">
        <v>44093</v>
      </c>
      <c r="L704" t="s">
        <v>8257</v>
      </c>
      <c r="M704" t="s">
        <v>6984</v>
      </c>
    </row>
    <row r="705" spans="2:13" x14ac:dyDescent="0.2">
      <c r="B705">
        <v>10922</v>
      </c>
      <c r="C705" t="s">
        <v>8270</v>
      </c>
      <c r="D705" t="s">
        <v>8272</v>
      </c>
      <c r="E705" s="225">
        <v>157.5</v>
      </c>
      <c r="F705" t="s">
        <v>8728</v>
      </c>
      <c r="G705" t="s">
        <v>8727</v>
      </c>
      <c r="H705" t="s">
        <v>8710</v>
      </c>
      <c r="I705" s="99">
        <v>44092</v>
      </c>
      <c r="J705">
        <f>YEAR(I705)</f>
        <v>2020</v>
      </c>
      <c r="K705" s="99">
        <v>44094</v>
      </c>
      <c r="L705" t="s">
        <v>8241</v>
      </c>
      <c r="M705" t="s">
        <v>6934</v>
      </c>
    </row>
    <row r="706" spans="2:13" x14ac:dyDescent="0.2">
      <c r="B706">
        <v>10925</v>
      </c>
      <c r="C706" t="s">
        <v>8369</v>
      </c>
      <c r="D706" t="s">
        <v>8244</v>
      </c>
      <c r="E706" s="225">
        <v>71.400000000000006</v>
      </c>
      <c r="F706" t="s">
        <v>8728</v>
      </c>
      <c r="G706" t="s">
        <v>8727</v>
      </c>
      <c r="H706" t="s">
        <v>8710</v>
      </c>
      <c r="I706" s="99">
        <v>44093</v>
      </c>
      <c r="J706">
        <f>YEAR(I706)</f>
        <v>2020</v>
      </c>
      <c r="K706" s="99">
        <v>44103</v>
      </c>
      <c r="L706" t="s">
        <v>8257</v>
      </c>
      <c r="M706" t="s">
        <v>6984</v>
      </c>
    </row>
    <row r="707" spans="2:13" x14ac:dyDescent="0.2">
      <c r="B707">
        <v>10981</v>
      </c>
      <c r="C707" t="s">
        <v>8380</v>
      </c>
      <c r="D707" t="s">
        <v>8272</v>
      </c>
      <c r="E707" s="225">
        <v>15810</v>
      </c>
      <c r="F707" t="s">
        <v>8728</v>
      </c>
      <c r="G707" t="s">
        <v>8727</v>
      </c>
      <c r="H707" t="s">
        <v>8710</v>
      </c>
      <c r="I707" s="99">
        <v>44116</v>
      </c>
      <c r="J707">
        <f>YEAR(I707)</f>
        <v>2020</v>
      </c>
      <c r="K707" s="99">
        <v>44122</v>
      </c>
      <c r="L707" t="s">
        <v>8285</v>
      </c>
      <c r="M707" t="s">
        <v>2317</v>
      </c>
    </row>
    <row r="708" spans="2:13" x14ac:dyDescent="0.2">
      <c r="B708">
        <v>11022</v>
      </c>
      <c r="C708" t="s">
        <v>8327</v>
      </c>
      <c r="D708" t="s">
        <v>8262</v>
      </c>
      <c r="E708" s="225">
        <v>322</v>
      </c>
      <c r="F708" t="s">
        <v>8728</v>
      </c>
      <c r="G708" t="s">
        <v>8727</v>
      </c>
      <c r="H708" t="s">
        <v>8710</v>
      </c>
      <c r="I708" s="99">
        <v>44134</v>
      </c>
      <c r="J708">
        <f>YEAR(I708)</f>
        <v>2020</v>
      </c>
      <c r="K708" s="99">
        <v>44154</v>
      </c>
      <c r="L708" t="s">
        <v>8279</v>
      </c>
      <c r="M708" t="s">
        <v>710</v>
      </c>
    </row>
    <row r="709" spans="2:13" x14ac:dyDescent="0.2">
      <c r="B709">
        <v>11022</v>
      </c>
      <c r="C709" t="s">
        <v>8353</v>
      </c>
      <c r="D709" t="s">
        <v>8237</v>
      </c>
      <c r="E709" s="225">
        <v>1080</v>
      </c>
      <c r="F709" t="s">
        <v>8728</v>
      </c>
      <c r="G709" t="s">
        <v>8727</v>
      </c>
      <c r="H709" t="s">
        <v>8710</v>
      </c>
      <c r="I709" s="99">
        <v>44134</v>
      </c>
      <c r="J709">
        <f>YEAR(I709)</f>
        <v>2020</v>
      </c>
      <c r="K709" s="99">
        <v>44154</v>
      </c>
      <c r="L709" t="s">
        <v>8279</v>
      </c>
      <c r="M709" t="s">
        <v>710</v>
      </c>
    </row>
    <row r="710" spans="2:13" x14ac:dyDescent="0.2">
      <c r="B710">
        <v>11052</v>
      </c>
      <c r="C710" t="s">
        <v>8306</v>
      </c>
      <c r="D710" t="s">
        <v>8272</v>
      </c>
      <c r="E710" s="225">
        <v>1104</v>
      </c>
      <c r="F710" t="s">
        <v>8728</v>
      </c>
      <c r="G710" t="s">
        <v>8727</v>
      </c>
      <c r="H710" t="s">
        <v>8710</v>
      </c>
      <c r="I710" s="99">
        <v>44147</v>
      </c>
      <c r="J710">
        <f>YEAR(I710)</f>
        <v>2020</v>
      </c>
      <c r="K710" s="99">
        <v>44151</v>
      </c>
      <c r="L710" t="s">
        <v>8257</v>
      </c>
      <c r="M710" t="s">
        <v>6984</v>
      </c>
    </row>
    <row r="711" spans="2:13" x14ac:dyDescent="0.2">
      <c r="B711">
        <v>11052</v>
      </c>
      <c r="C711" t="s">
        <v>8409</v>
      </c>
      <c r="D711" t="s">
        <v>8254</v>
      </c>
      <c r="E711" s="225">
        <v>228</v>
      </c>
      <c r="F711" t="s">
        <v>8728</v>
      </c>
      <c r="G711" t="s">
        <v>8727</v>
      </c>
      <c r="H711" t="s">
        <v>8710</v>
      </c>
      <c r="I711" s="99">
        <v>44147</v>
      </c>
      <c r="J711">
        <f>YEAR(I711)</f>
        <v>2020</v>
      </c>
      <c r="K711" s="99">
        <v>44151</v>
      </c>
      <c r="L711" t="s">
        <v>8257</v>
      </c>
      <c r="M711" t="s">
        <v>6984</v>
      </c>
    </row>
    <row r="712" spans="2:13" x14ac:dyDescent="0.2">
      <c r="B712">
        <v>10257</v>
      </c>
      <c r="C712" t="s">
        <v>8342</v>
      </c>
      <c r="D712" t="s">
        <v>8272</v>
      </c>
      <c r="E712" s="225">
        <v>86.4</v>
      </c>
      <c r="F712" t="s">
        <v>8732</v>
      </c>
      <c r="G712" t="s">
        <v>8731</v>
      </c>
      <c r="H712" t="s">
        <v>8707</v>
      </c>
      <c r="I712" s="99">
        <v>43498</v>
      </c>
      <c r="J712">
        <f>YEAR(I712)</f>
        <v>2019</v>
      </c>
      <c r="K712" s="99">
        <v>43504</v>
      </c>
      <c r="L712" t="s">
        <v>8266</v>
      </c>
      <c r="M712" t="s">
        <v>8267</v>
      </c>
    </row>
    <row r="713" spans="2:13" x14ac:dyDescent="0.2">
      <c r="B713">
        <v>10257</v>
      </c>
      <c r="C713" t="s">
        <v>8397</v>
      </c>
      <c r="D713" t="s">
        <v>8254</v>
      </c>
      <c r="E713" s="225">
        <v>156</v>
      </c>
      <c r="F713" t="s">
        <v>8732</v>
      </c>
      <c r="G713" t="s">
        <v>8731</v>
      </c>
      <c r="H713" t="s">
        <v>8707</v>
      </c>
      <c r="I713" s="99">
        <v>43498</v>
      </c>
      <c r="J713">
        <f>YEAR(I713)</f>
        <v>2019</v>
      </c>
      <c r="K713" s="99">
        <v>43504</v>
      </c>
      <c r="L713" t="s">
        <v>8266</v>
      </c>
      <c r="M713" t="s">
        <v>8267</v>
      </c>
    </row>
    <row r="714" spans="2:13" x14ac:dyDescent="0.2">
      <c r="B714">
        <v>10257</v>
      </c>
      <c r="C714" t="s">
        <v>8332</v>
      </c>
      <c r="D714" t="s">
        <v>8262</v>
      </c>
      <c r="E714" s="225">
        <v>877.5</v>
      </c>
      <c r="F714" t="s">
        <v>8732</v>
      </c>
      <c r="G714" t="s">
        <v>8731</v>
      </c>
      <c r="H714" t="s">
        <v>8707</v>
      </c>
      <c r="I714" s="99">
        <v>43498</v>
      </c>
      <c r="J714">
        <f>YEAR(I714)</f>
        <v>2019</v>
      </c>
      <c r="K714" s="99">
        <v>43504</v>
      </c>
      <c r="L714" t="s">
        <v>8266</v>
      </c>
      <c r="M714" t="s">
        <v>8267</v>
      </c>
    </row>
    <row r="715" spans="2:13" x14ac:dyDescent="0.2">
      <c r="B715">
        <v>10395</v>
      </c>
      <c r="C715" t="s">
        <v>8353</v>
      </c>
      <c r="D715" t="s">
        <v>8237</v>
      </c>
      <c r="E715" s="225">
        <v>230.4</v>
      </c>
      <c r="F715" t="s">
        <v>8732</v>
      </c>
      <c r="G715" t="s">
        <v>8731</v>
      </c>
      <c r="H715" t="s">
        <v>8707</v>
      </c>
      <c r="I715" s="99">
        <v>43661</v>
      </c>
      <c r="J715">
        <f>YEAR(I715)</f>
        <v>2019</v>
      </c>
      <c r="K715" s="99">
        <v>43669</v>
      </c>
      <c r="L715" t="s">
        <v>8251</v>
      </c>
      <c r="M715" t="s">
        <v>269</v>
      </c>
    </row>
    <row r="716" spans="2:13" x14ac:dyDescent="0.2">
      <c r="B716">
        <v>10476</v>
      </c>
      <c r="C716" t="s">
        <v>8288</v>
      </c>
      <c r="D716" t="s">
        <v>8272</v>
      </c>
      <c r="E716" s="225">
        <v>144</v>
      </c>
      <c r="F716" t="s">
        <v>8732</v>
      </c>
      <c r="G716" t="s">
        <v>8731</v>
      </c>
      <c r="H716" t="s">
        <v>8707</v>
      </c>
      <c r="I716" s="99">
        <v>43742</v>
      </c>
      <c r="J716">
        <f>YEAR(I716)</f>
        <v>2019</v>
      </c>
      <c r="K716" s="99">
        <v>43749</v>
      </c>
      <c r="L716" t="s">
        <v>8320</v>
      </c>
      <c r="M716" t="s">
        <v>8321</v>
      </c>
    </row>
    <row r="717" spans="2:13" x14ac:dyDescent="0.2">
      <c r="B717">
        <v>10486</v>
      </c>
      <c r="C717" t="s">
        <v>8242</v>
      </c>
      <c r="D717" t="s">
        <v>8237</v>
      </c>
      <c r="E717" s="225">
        <v>84</v>
      </c>
      <c r="F717" t="s">
        <v>8732</v>
      </c>
      <c r="G717" t="s">
        <v>8731</v>
      </c>
      <c r="H717" t="s">
        <v>8707</v>
      </c>
      <c r="I717" s="99">
        <v>43751</v>
      </c>
      <c r="J717">
        <f>YEAR(I717)</f>
        <v>2019</v>
      </c>
      <c r="K717" s="99">
        <v>43758</v>
      </c>
      <c r="L717" t="s">
        <v>8285</v>
      </c>
      <c r="M717" t="s">
        <v>2317</v>
      </c>
    </row>
    <row r="718" spans="2:13" x14ac:dyDescent="0.2">
      <c r="B718">
        <v>10486</v>
      </c>
      <c r="C718" t="s">
        <v>8245</v>
      </c>
      <c r="D718" t="s">
        <v>8247</v>
      </c>
      <c r="E718" s="225">
        <v>1060</v>
      </c>
      <c r="F718" t="s">
        <v>8732</v>
      </c>
      <c r="G718" t="s">
        <v>8731</v>
      </c>
      <c r="H718" t="s">
        <v>8707</v>
      </c>
      <c r="I718" s="99">
        <v>43751</v>
      </c>
      <c r="J718">
        <f>YEAR(I718)</f>
        <v>2019</v>
      </c>
      <c r="K718" s="99">
        <v>43758</v>
      </c>
      <c r="L718" t="s">
        <v>8285</v>
      </c>
      <c r="M718" t="s">
        <v>2317</v>
      </c>
    </row>
    <row r="719" spans="2:13" x14ac:dyDescent="0.2">
      <c r="B719">
        <v>10486</v>
      </c>
      <c r="C719" t="s">
        <v>8275</v>
      </c>
      <c r="D719" t="s">
        <v>8247</v>
      </c>
      <c r="E719" s="225">
        <v>128</v>
      </c>
      <c r="F719" t="s">
        <v>8732</v>
      </c>
      <c r="G719" t="s">
        <v>8731</v>
      </c>
      <c r="H719" t="s">
        <v>8707</v>
      </c>
      <c r="I719" s="99">
        <v>43751</v>
      </c>
      <c r="J719">
        <f>YEAR(I719)</f>
        <v>2019</v>
      </c>
      <c r="K719" s="99">
        <v>43758</v>
      </c>
      <c r="L719" t="s">
        <v>8285</v>
      </c>
      <c r="M719" t="s">
        <v>2317</v>
      </c>
    </row>
    <row r="720" spans="2:13" x14ac:dyDescent="0.2">
      <c r="B720">
        <v>10490</v>
      </c>
      <c r="C720" t="s">
        <v>8328</v>
      </c>
      <c r="D720" t="s">
        <v>8272</v>
      </c>
      <c r="E720" s="225">
        <v>223.2</v>
      </c>
      <c r="F720" t="s">
        <v>8732</v>
      </c>
      <c r="G720" t="s">
        <v>8731</v>
      </c>
      <c r="H720" t="s">
        <v>8707</v>
      </c>
      <c r="I720" s="99">
        <v>43756</v>
      </c>
      <c r="J720">
        <f>YEAR(I720)</f>
        <v>2019</v>
      </c>
      <c r="K720" s="99">
        <v>43759</v>
      </c>
      <c r="L720" t="s">
        <v>8158</v>
      </c>
      <c r="M720" t="s">
        <v>861</v>
      </c>
    </row>
    <row r="721" spans="2:13" x14ac:dyDescent="0.2">
      <c r="B721">
        <v>10490</v>
      </c>
      <c r="C721" t="s">
        <v>8334</v>
      </c>
      <c r="D721" t="s">
        <v>8262</v>
      </c>
      <c r="E721" s="225">
        <v>300</v>
      </c>
      <c r="F721" t="s">
        <v>8732</v>
      </c>
      <c r="G721" t="s">
        <v>8731</v>
      </c>
      <c r="H721" t="s">
        <v>8707</v>
      </c>
      <c r="I721" s="99">
        <v>43756</v>
      </c>
      <c r="J721">
        <f>YEAR(I721)</f>
        <v>2019</v>
      </c>
      <c r="K721" s="99">
        <v>43759</v>
      </c>
      <c r="L721" t="s">
        <v>8158</v>
      </c>
      <c r="M721" t="s">
        <v>861</v>
      </c>
    </row>
    <row r="722" spans="2:13" x14ac:dyDescent="0.2">
      <c r="B722">
        <v>10490</v>
      </c>
      <c r="C722" t="s">
        <v>8281</v>
      </c>
      <c r="D722" t="s">
        <v>8237</v>
      </c>
      <c r="E722" s="225">
        <v>2640</v>
      </c>
      <c r="F722" t="s">
        <v>8732</v>
      </c>
      <c r="G722" t="s">
        <v>8731</v>
      </c>
      <c r="H722" t="s">
        <v>8707</v>
      </c>
      <c r="I722" s="99">
        <v>43756</v>
      </c>
      <c r="J722">
        <f>YEAR(I722)</f>
        <v>2019</v>
      </c>
      <c r="K722" s="99">
        <v>43759</v>
      </c>
      <c r="L722" t="s">
        <v>8158</v>
      </c>
      <c r="M722" t="s">
        <v>861</v>
      </c>
    </row>
    <row r="723" spans="2:13" x14ac:dyDescent="0.2">
      <c r="B723">
        <v>10498</v>
      </c>
      <c r="C723" t="s">
        <v>8270</v>
      </c>
      <c r="D723" t="s">
        <v>8272</v>
      </c>
      <c r="E723" s="225">
        <v>63</v>
      </c>
      <c r="F723" t="s">
        <v>8732</v>
      </c>
      <c r="G723" t="s">
        <v>8731</v>
      </c>
      <c r="H723" t="s">
        <v>8707</v>
      </c>
      <c r="I723" s="99">
        <v>43763</v>
      </c>
      <c r="J723">
        <f>YEAR(I723)</f>
        <v>2019</v>
      </c>
      <c r="K723" s="99">
        <v>43767</v>
      </c>
      <c r="L723" t="s">
        <v>8320</v>
      </c>
      <c r="M723" t="s">
        <v>8321</v>
      </c>
    </row>
    <row r="724" spans="2:13" x14ac:dyDescent="0.2">
      <c r="B724">
        <v>10498</v>
      </c>
      <c r="C724" t="s">
        <v>8243</v>
      </c>
      <c r="D724" t="s">
        <v>8244</v>
      </c>
      <c r="E724" s="225">
        <v>420</v>
      </c>
      <c r="F724" t="s">
        <v>8732</v>
      </c>
      <c r="G724" t="s">
        <v>8731</v>
      </c>
      <c r="H724" t="s">
        <v>8707</v>
      </c>
      <c r="I724" s="99">
        <v>43763</v>
      </c>
      <c r="J724">
        <f>YEAR(I724)</f>
        <v>2019</v>
      </c>
      <c r="K724" s="99">
        <v>43767</v>
      </c>
      <c r="L724" t="s">
        <v>8320</v>
      </c>
      <c r="M724" t="s">
        <v>8321</v>
      </c>
    </row>
    <row r="725" spans="2:13" x14ac:dyDescent="0.2">
      <c r="B725">
        <v>10552</v>
      </c>
      <c r="C725" t="s">
        <v>8328</v>
      </c>
      <c r="D725" t="s">
        <v>8272</v>
      </c>
      <c r="E725" s="225">
        <v>232.5</v>
      </c>
      <c r="F725" t="s">
        <v>8732</v>
      </c>
      <c r="G725" t="s">
        <v>8731</v>
      </c>
      <c r="H725" t="s">
        <v>8707</v>
      </c>
      <c r="I725" s="99">
        <v>43815</v>
      </c>
      <c r="J725">
        <f>YEAR(I725)</f>
        <v>2019</v>
      </c>
      <c r="K725" s="99">
        <v>43822</v>
      </c>
      <c r="L725" t="s">
        <v>8297</v>
      </c>
      <c r="M725" t="s">
        <v>8298</v>
      </c>
    </row>
    <row r="726" spans="2:13" x14ac:dyDescent="0.2">
      <c r="B726">
        <v>10552</v>
      </c>
      <c r="C726" t="s">
        <v>8353</v>
      </c>
      <c r="D726" t="s">
        <v>8237</v>
      </c>
      <c r="E726" s="225">
        <v>648</v>
      </c>
      <c r="F726" t="s">
        <v>8732</v>
      </c>
      <c r="G726" t="s">
        <v>8731</v>
      </c>
      <c r="H726" t="s">
        <v>8707</v>
      </c>
      <c r="I726" s="99">
        <v>43815</v>
      </c>
      <c r="J726">
        <f>YEAR(I726)</f>
        <v>2019</v>
      </c>
      <c r="K726" s="99">
        <v>43822</v>
      </c>
      <c r="L726" t="s">
        <v>8297</v>
      </c>
      <c r="M726" t="s">
        <v>8298</v>
      </c>
    </row>
    <row r="727" spans="2:13" x14ac:dyDescent="0.2">
      <c r="B727">
        <v>10601</v>
      </c>
      <c r="C727" t="s">
        <v>8281</v>
      </c>
      <c r="D727" t="s">
        <v>8237</v>
      </c>
      <c r="E727" s="225">
        <v>1925</v>
      </c>
      <c r="F727" t="s">
        <v>8732</v>
      </c>
      <c r="G727" t="s">
        <v>8731</v>
      </c>
      <c r="H727" t="s">
        <v>8707</v>
      </c>
      <c r="I727" s="99">
        <v>43863</v>
      </c>
      <c r="J727">
        <f>YEAR(I727)</f>
        <v>2020</v>
      </c>
      <c r="K727" s="99">
        <v>43869</v>
      </c>
      <c r="L727" t="s">
        <v>8158</v>
      </c>
      <c r="M727" t="s">
        <v>861</v>
      </c>
    </row>
    <row r="728" spans="2:13" x14ac:dyDescent="0.2">
      <c r="B728">
        <v>10613</v>
      </c>
      <c r="C728" t="s">
        <v>8328</v>
      </c>
      <c r="D728" t="s">
        <v>8272</v>
      </c>
      <c r="E728" s="225">
        <v>310</v>
      </c>
      <c r="F728" t="s">
        <v>8732</v>
      </c>
      <c r="G728" t="s">
        <v>8731</v>
      </c>
      <c r="H728" t="s">
        <v>8707</v>
      </c>
      <c r="I728" s="99">
        <v>43876</v>
      </c>
      <c r="J728">
        <f>YEAR(I728)</f>
        <v>2020</v>
      </c>
      <c r="K728" s="99">
        <v>43879</v>
      </c>
      <c r="L728" t="s">
        <v>8266</v>
      </c>
      <c r="M728" t="s">
        <v>8267</v>
      </c>
    </row>
    <row r="729" spans="2:13" x14ac:dyDescent="0.2">
      <c r="B729">
        <v>10641</v>
      </c>
      <c r="C729" t="s">
        <v>8276</v>
      </c>
      <c r="D729" t="s">
        <v>8272</v>
      </c>
      <c r="E729" s="225">
        <v>950</v>
      </c>
      <c r="F729" t="s">
        <v>8732</v>
      </c>
      <c r="G729" t="s">
        <v>8731</v>
      </c>
      <c r="H729" t="s">
        <v>8707</v>
      </c>
      <c r="I729" s="99">
        <v>43900</v>
      </c>
      <c r="J729">
        <f>YEAR(I729)</f>
        <v>2020</v>
      </c>
      <c r="K729" s="99">
        <v>43904</v>
      </c>
      <c r="L729" t="s">
        <v>8266</v>
      </c>
      <c r="M729" t="s">
        <v>8267</v>
      </c>
    </row>
    <row r="730" spans="2:13" x14ac:dyDescent="0.2">
      <c r="B730">
        <v>10705</v>
      </c>
      <c r="C730" t="s">
        <v>8309</v>
      </c>
      <c r="D730" t="s">
        <v>8237</v>
      </c>
      <c r="E730" s="225">
        <v>250</v>
      </c>
      <c r="F730" t="s">
        <v>8732</v>
      </c>
      <c r="G730" t="s">
        <v>8731</v>
      </c>
      <c r="H730" t="s">
        <v>8707</v>
      </c>
      <c r="I730" s="99">
        <v>43954</v>
      </c>
      <c r="J730">
        <f>YEAR(I730)</f>
        <v>2020</v>
      </c>
      <c r="K730" s="99">
        <v>43988</v>
      </c>
      <c r="L730" t="s">
        <v>8279</v>
      </c>
      <c r="M730" t="s">
        <v>710</v>
      </c>
    </row>
    <row r="731" spans="2:13" x14ac:dyDescent="0.2">
      <c r="B731">
        <v>10705</v>
      </c>
      <c r="C731" t="s">
        <v>8287</v>
      </c>
      <c r="D731" t="s">
        <v>8237</v>
      </c>
      <c r="E731" s="225">
        <v>128</v>
      </c>
      <c r="F731" t="s">
        <v>8732</v>
      </c>
      <c r="G731" t="s">
        <v>8731</v>
      </c>
      <c r="H731" t="s">
        <v>8707</v>
      </c>
      <c r="I731" s="99">
        <v>43954</v>
      </c>
      <c r="J731">
        <f>YEAR(I731)</f>
        <v>2020</v>
      </c>
      <c r="K731" s="99">
        <v>43988</v>
      </c>
      <c r="L731" t="s">
        <v>8279</v>
      </c>
      <c r="M731" t="s">
        <v>710</v>
      </c>
    </row>
    <row r="732" spans="2:13" x14ac:dyDescent="0.2">
      <c r="B732">
        <v>10796</v>
      </c>
      <c r="C732" t="s">
        <v>8322</v>
      </c>
      <c r="D732" t="s">
        <v>8254</v>
      </c>
      <c r="E732" s="225">
        <v>194.5</v>
      </c>
      <c r="F732" t="s">
        <v>8732</v>
      </c>
      <c r="G732" t="s">
        <v>8731</v>
      </c>
      <c r="H732" t="s">
        <v>8707</v>
      </c>
      <c r="I732" s="99">
        <v>44025</v>
      </c>
      <c r="J732">
        <f>YEAR(I732)</f>
        <v>2020</v>
      </c>
      <c r="K732" s="99">
        <v>44045</v>
      </c>
      <c r="L732" t="s">
        <v>8257</v>
      </c>
      <c r="M732" t="s">
        <v>6984</v>
      </c>
    </row>
    <row r="733" spans="2:13" x14ac:dyDescent="0.2">
      <c r="B733">
        <v>10796</v>
      </c>
      <c r="C733" t="s">
        <v>8372</v>
      </c>
      <c r="D733" t="s">
        <v>8262</v>
      </c>
      <c r="E733" s="225">
        <v>524.66</v>
      </c>
      <c r="F733" t="s">
        <v>8732</v>
      </c>
      <c r="G733" t="s">
        <v>8731</v>
      </c>
      <c r="H733" t="s">
        <v>8707</v>
      </c>
      <c r="I733" s="99">
        <v>44025</v>
      </c>
      <c r="J733">
        <f>YEAR(I733)</f>
        <v>2020</v>
      </c>
      <c r="K733" s="99">
        <v>44045</v>
      </c>
      <c r="L733" t="s">
        <v>8257</v>
      </c>
      <c r="M733" t="s">
        <v>6984</v>
      </c>
    </row>
    <row r="734" spans="2:13" x14ac:dyDescent="0.2">
      <c r="B734">
        <v>10796</v>
      </c>
      <c r="C734" t="s">
        <v>8353</v>
      </c>
      <c r="D734" t="s">
        <v>8237</v>
      </c>
      <c r="E734" s="225">
        <v>691.2</v>
      </c>
      <c r="F734" t="s">
        <v>8732</v>
      </c>
      <c r="G734" t="s">
        <v>8731</v>
      </c>
      <c r="H734" t="s">
        <v>8707</v>
      </c>
      <c r="I734" s="99">
        <v>44025</v>
      </c>
      <c r="J734">
        <f>YEAR(I734)</f>
        <v>2020</v>
      </c>
      <c r="K734" s="99">
        <v>44045</v>
      </c>
      <c r="L734" t="s">
        <v>8257</v>
      </c>
      <c r="M734" t="s">
        <v>6984</v>
      </c>
    </row>
    <row r="735" spans="2:13" x14ac:dyDescent="0.2">
      <c r="B735">
        <v>10796</v>
      </c>
      <c r="C735" t="s">
        <v>8340</v>
      </c>
      <c r="D735" t="s">
        <v>8244</v>
      </c>
      <c r="E735" s="225">
        <v>931</v>
      </c>
      <c r="F735" t="s">
        <v>8732</v>
      </c>
      <c r="G735" t="s">
        <v>8731</v>
      </c>
      <c r="H735" t="s">
        <v>8707</v>
      </c>
      <c r="I735" s="99">
        <v>44025</v>
      </c>
      <c r="J735">
        <f>YEAR(I735)</f>
        <v>2020</v>
      </c>
      <c r="K735" s="99">
        <v>44045</v>
      </c>
      <c r="L735" t="s">
        <v>8257</v>
      </c>
      <c r="M735" t="s">
        <v>6984</v>
      </c>
    </row>
    <row r="736" spans="2:13" x14ac:dyDescent="0.2">
      <c r="B736">
        <v>10863</v>
      </c>
      <c r="C736" t="s">
        <v>8333</v>
      </c>
      <c r="D736" t="s">
        <v>8272</v>
      </c>
      <c r="E736" s="225">
        <v>306</v>
      </c>
      <c r="F736" t="s">
        <v>8732</v>
      </c>
      <c r="G736" t="s">
        <v>8731</v>
      </c>
      <c r="H736" t="s">
        <v>8707</v>
      </c>
      <c r="I736" s="99">
        <v>44063</v>
      </c>
      <c r="J736">
        <f>YEAR(I736)</f>
        <v>2020</v>
      </c>
      <c r="K736" s="99">
        <v>44078</v>
      </c>
      <c r="L736" t="s">
        <v>8266</v>
      </c>
      <c r="M736" t="s">
        <v>8267</v>
      </c>
    </row>
    <row r="737" spans="2:13" x14ac:dyDescent="0.2">
      <c r="B737">
        <v>10901</v>
      </c>
      <c r="C737" t="s">
        <v>8310</v>
      </c>
      <c r="D737" t="s">
        <v>8237</v>
      </c>
      <c r="E737" s="225">
        <v>645</v>
      </c>
      <c r="F737" t="s">
        <v>8732</v>
      </c>
      <c r="G737" t="s">
        <v>8731</v>
      </c>
      <c r="H737" t="s">
        <v>8707</v>
      </c>
      <c r="I737" s="99">
        <v>44084</v>
      </c>
      <c r="J737">
        <f>YEAR(I737)</f>
        <v>2020</v>
      </c>
      <c r="K737" s="99">
        <v>44087</v>
      </c>
      <c r="L737" t="s">
        <v>8266</v>
      </c>
      <c r="M737" t="s">
        <v>8267</v>
      </c>
    </row>
    <row r="738" spans="2:13" x14ac:dyDescent="0.2">
      <c r="B738">
        <v>10957</v>
      </c>
      <c r="C738" t="s">
        <v>8323</v>
      </c>
      <c r="D738" t="s">
        <v>8272</v>
      </c>
      <c r="E738" s="225">
        <v>720</v>
      </c>
      <c r="F738" t="s">
        <v>8732</v>
      </c>
      <c r="G738" t="s">
        <v>8731</v>
      </c>
      <c r="H738" t="s">
        <v>8707</v>
      </c>
      <c r="I738" s="99">
        <v>44107</v>
      </c>
      <c r="J738">
        <f>YEAR(I738)</f>
        <v>2020</v>
      </c>
      <c r="K738" s="99">
        <v>44116</v>
      </c>
      <c r="L738" t="s">
        <v>8320</v>
      </c>
      <c r="M738" t="s">
        <v>8321</v>
      </c>
    </row>
    <row r="739" spans="2:13" x14ac:dyDescent="0.2">
      <c r="B739">
        <v>10957</v>
      </c>
      <c r="C739" t="s">
        <v>8340</v>
      </c>
      <c r="D739" t="s">
        <v>8244</v>
      </c>
      <c r="E739" s="225">
        <v>266</v>
      </c>
      <c r="F739" t="s">
        <v>8732</v>
      </c>
      <c r="G739" t="s">
        <v>8731</v>
      </c>
      <c r="H739" t="s">
        <v>8707</v>
      </c>
      <c r="I739" s="99">
        <v>44107</v>
      </c>
      <c r="J739">
        <f>YEAR(I739)</f>
        <v>2020</v>
      </c>
      <c r="K739" s="99">
        <v>44116</v>
      </c>
      <c r="L739" t="s">
        <v>8320</v>
      </c>
      <c r="M739" t="s">
        <v>8321</v>
      </c>
    </row>
    <row r="740" spans="2:13" x14ac:dyDescent="0.2">
      <c r="B740">
        <v>10960</v>
      </c>
      <c r="C740" t="s">
        <v>8270</v>
      </c>
      <c r="D740" t="s">
        <v>8272</v>
      </c>
      <c r="E740" s="225">
        <v>33.75</v>
      </c>
      <c r="F740" t="s">
        <v>8732</v>
      </c>
      <c r="G740" t="s">
        <v>8731</v>
      </c>
      <c r="H740" t="s">
        <v>8707</v>
      </c>
      <c r="I740" s="99">
        <v>44108</v>
      </c>
      <c r="J740">
        <f>YEAR(I740)</f>
        <v>2020</v>
      </c>
      <c r="K740" s="99">
        <v>44128</v>
      </c>
      <c r="L740" t="s">
        <v>8257</v>
      </c>
      <c r="M740" t="s">
        <v>6984</v>
      </c>
    </row>
    <row r="741" spans="2:13" x14ac:dyDescent="0.2">
      <c r="B741">
        <v>10976</v>
      </c>
      <c r="C741" t="s">
        <v>8316</v>
      </c>
      <c r="D741" t="s">
        <v>8247</v>
      </c>
      <c r="E741" s="225">
        <v>912</v>
      </c>
      <c r="F741" t="s">
        <v>8732</v>
      </c>
      <c r="G741" t="s">
        <v>8731</v>
      </c>
      <c r="H741" t="s">
        <v>8707</v>
      </c>
      <c r="I741" s="99">
        <v>44114</v>
      </c>
      <c r="J741">
        <f>YEAR(I741)</f>
        <v>2020</v>
      </c>
      <c r="K741" s="99">
        <v>44123</v>
      </c>
      <c r="L741" t="s">
        <v>8285</v>
      </c>
      <c r="M741" t="s">
        <v>2317</v>
      </c>
    </row>
    <row r="742" spans="2:13" x14ac:dyDescent="0.2">
      <c r="B742">
        <v>11055</v>
      </c>
      <c r="C742" t="s">
        <v>8270</v>
      </c>
      <c r="D742" t="s">
        <v>8272</v>
      </c>
      <c r="E742" s="225">
        <v>67.5</v>
      </c>
      <c r="F742" t="s">
        <v>8732</v>
      </c>
      <c r="G742" t="s">
        <v>8731</v>
      </c>
      <c r="H742" t="s">
        <v>8707</v>
      </c>
      <c r="I742" s="99">
        <v>44148</v>
      </c>
      <c r="J742">
        <f>YEAR(I742)</f>
        <v>2020</v>
      </c>
      <c r="K742" s="99">
        <v>44155</v>
      </c>
      <c r="L742" t="s">
        <v>8158</v>
      </c>
      <c r="M742" t="s">
        <v>861</v>
      </c>
    </row>
    <row r="743" spans="2:13" x14ac:dyDescent="0.2">
      <c r="B743">
        <v>11055</v>
      </c>
      <c r="C743" t="s">
        <v>8362</v>
      </c>
      <c r="D743" t="s">
        <v>8262</v>
      </c>
      <c r="E743" s="225">
        <v>210</v>
      </c>
      <c r="F743" t="s">
        <v>8732</v>
      </c>
      <c r="G743" t="s">
        <v>8731</v>
      </c>
      <c r="H743" t="s">
        <v>8707</v>
      </c>
      <c r="I743" s="99">
        <v>44148</v>
      </c>
      <c r="J743">
        <f>YEAR(I743)</f>
        <v>2020</v>
      </c>
      <c r="K743" s="99">
        <v>44155</v>
      </c>
      <c r="L743" t="s">
        <v>8158</v>
      </c>
      <c r="M743" t="s">
        <v>861</v>
      </c>
    </row>
    <row r="744" spans="2:13" x14ac:dyDescent="0.2">
      <c r="B744">
        <v>11055</v>
      </c>
      <c r="C744" t="s">
        <v>8258</v>
      </c>
      <c r="D744" t="s">
        <v>8244</v>
      </c>
      <c r="E744" s="225">
        <v>390</v>
      </c>
      <c r="F744" t="s">
        <v>8732</v>
      </c>
      <c r="G744" t="s">
        <v>8731</v>
      </c>
      <c r="H744" t="s">
        <v>8707</v>
      </c>
      <c r="I744" s="99">
        <v>44148</v>
      </c>
      <c r="J744">
        <f>YEAR(I744)</f>
        <v>2020</v>
      </c>
      <c r="K744" s="99">
        <v>44155</v>
      </c>
      <c r="L744" t="s">
        <v>8158</v>
      </c>
      <c r="M744" t="s">
        <v>861</v>
      </c>
    </row>
    <row r="745" spans="2:13" x14ac:dyDescent="0.2">
      <c r="B745">
        <v>11055</v>
      </c>
      <c r="C745" t="s">
        <v>8245</v>
      </c>
      <c r="D745" t="s">
        <v>8247</v>
      </c>
      <c r="E745" s="225">
        <v>1060</v>
      </c>
      <c r="F745" t="s">
        <v>8732</v>
      </c>
      <c r="G745" t="s">
        <v>8731</v>
      </c>
      <c r="H745" t="s">
        <v>8707</v>
      </c>
      <c r="I745" s="99">
        <v>44148</v>
      </c>
      <c r="J745">
        <f>YEAR(I745)</f>
        <v>2020</v>
      </c>
      <c r="K745" s="99">
        <v>44155</v>
      </c>
      <c r="L745" t="s">
        <v>8158</v>
      </c>
      <c r="M745" t="s">
        <v>861</v>
      </c>
    </row>
    <row r="746" spans="2:13" x14ac:dyDescent="0.2">
      <c r="B746">
        <v>10375</v>
      </c>
      <c r="C746" t="s">
        <v>8252</v>
      </c>
      <c r="D746" t="s">
        <v>8247</v>
      </c>
      <c r="E746" s="225">
        <v>279</v>
      </c>
      <c r="F746" t="s">
        <v>8766</v>
      </c>
      <c r="G746" t="s">
        <v>8765</v>
      </c>
      <c r="H746" t="s">
        <v>8701</v>
      </c>
      <c r="I746" s="99">
        <v>43641</v>
      </c>
      <c r="J746">
        <f>YEAR(I746)</f>
        <v>2019</v>
      </c>
      <c r="K746" s="99">
        <v>43644</v>
      </c>
      <c r="L746" t="s">
        <v>8257</v>
      </c>
      <c r="M746" t="s">
        <v>6984</v>
      </c>
    </row>
    <row r="747" spans="2:13" x14ac:dyDescent="0.2">
      <c r="B747">
        <v>10394</v>
      </c>
      <c r="C747" t="s">
        <v>8291</v>
      </c>
      <c r="D747" t="s">
        <v>8262</v>
      </c>
      <c r="E747" s="225">
        <v>394</v>
      </c>
      <c r="F747" t="s">
        <v>8766</v>
      </c>
      <c r="G747" t="s">
        <v>8765</v>
      </c>
      <c r="H747" t="s">
        <v>8701</v>
      </c>
      <c r="I747" s="99">
        <v>43660</v>
      </c>
      <c r="J747">
        <f>YEAR(I747)</f>
        <v>2019</v>
      </c>
      <c r="K747" s="99">
        <v>43669</v>
      </c>
      <c r="L747" t="s">
        <v>8285</v>
      </c>
      <c r="M747" t="s">
        <v>2317</v>
      </c>
    </row>
    <row r="748" spans="2:13" x14ac:dyDescent="0.2">
      <c r="B748">
        <v>10415</v>
      </c>
      <c r="C748" t="s">
        <v>8269</v>
      </c>
      <c r="D748" t="s">
        <v>8237</v>
      </c>
      <c r="E748" s="225">
        <v>40</v>
      </c>
      <c r="F748" t="s">
        <v>8766</v>
      </c>
      <c r="G748" t="s">
        <v>8765</v>
      </c>
      <c r="H748" t="s">
        <v>8701</v>
      </c>
      <c r="I748" s="99">
        <v>43681</v>
      </c>
      <c r="J748">
        <f>YEAR(I748)</f>
        <v>2019</v>
      </c>
      <c r="K748" s="99">
        <v>43690</v>
      </c>
      <c r="L748" t="s">
        <v>8257</v>
      </c>
      <c r="M748" t="s">
        <v>6984</v>
      </c>
    </row>
    <row r="749" spans="2:13" x14ac:dyDescent="0.2">
      <c r="B749">
        <v>10660</v>
      </c>
      <c r="C749" t="s">
        <v>8260</v>
      </c>
      <c r="D749" t="s">
        <v>8262</v>
      </c>
      <c r="E749" s="225">
        <v>1701</v>
      </c>
      <c r="F749" t="s">
        <v>8766</v>
      </c>
      <c r="G749" t="s">
        <v>8765</v>
      </c>
      <c r="H749" t="s">
        <v>8701</v>
      </c>
      <c r="I749" s="99">
        <v>43917</v>
      </c>
      <c r="J749">
        <f>YEAR(I749)</f>
        <v>2020</v>
      </c>
      <c r="K749" s="99">
        <v>43954</v>
      </c>
      <c r="L749" t="s">
        <v>8320</v>
      </c>
      <c r="M749" t="s">
        <v>8321</v>
      </c>
    </row>
    <row r="750" spans="2:13" x14ac:dyDescent="0.2">
      <c r="B750">
        <v>10298</v>
      </c>
      <c r="C750" t="s">
        <v>8276</v>
      </c>
      <c r="D750" t="s">
        <v>8272</v>
      </c>
      <c r="E750" s="225">
        <v>608</v>
      </c>
      <c r="F750" t="s">
        <v>8344</v>
      </c>
      <c r="G750" t="s">
        <v>8345</v>
      </c>
      <c r="H750" t="s">
        <v>8343</v>
      </c>
      <c r="I750" s="99">
        <v>43549</v>
      </c>
      <c r="J750">
        <f>YEAR(I750)</f>
        <v>2019</v>
      </c>
      <c r="K750" s="99">
        <v>43555</v>
      </c>
      <c r="L750" t="s">
        <v>8251</v>
      </c>
      <c r="M750" t="s">
        <v>269</v>
      </c>
    </row>
    <row r="751" spans="2:13" x14ac:dyDescent="0.2">
      <c r="B751">
        <v>10298</v>
      </c>
      <c r="C751" t="s">
        <v>8291</v>
      </c>
      <c r="D751" t="s">
        <v>8262</v>
      </c>
      <c r="E751" s="225">
        <v>591</v>
      </c>
      <c r="F751" t="s">
        <v>8344</v>
      </c>
      <c r="G751" t="s">
        <v>8345</v>
      </c>
      <c r="H751" t="s">
        <v>8343</v>
      </c>
      <c r="I751" s="99">
        <v>43549</v>
      </c>
      <c r="J751">
        <f>YEAR(I751)</f>
        <v>2019</v>
      </c>
      <c r="K751" s="99">
        <v>43555</v>
      </c>
      <c r="L751" t="s">
        <v>8251</v>
      </c>
      <c r="M751" t="s">
        <v>269</v>
      </c>
    </row>
    <row r="752" spans="2:13" x14ac:dyDescent="0.2">
      <c r="B752">
        <v>10298</v>
      </c>
      <c r="C752" t="s">
        <v>8281</v>
      </c>
      <c r="D752" t="s">
        <v>8237</v>
      </c>
      <c r="E752" s="225">
        <v>990</v>
      </c>
      <c r="F752" t="s">
        <v>8344</v>
      </c>
      <c r="G752" t="s">
        <v>8345</v>
      </c>
      <c r="H752" t="s">
        <v>8343</v>
      </c>
      <c r="I752" s="99">
        <v>43549</v>
      </c>
      <c r="J752">
        <f>YEAR(I752)</f>
        <v>2019</v>
      </c>
      <c r="K752" s="99">
        <v>43555</v>
      </c>
      <c r="L752" t="s">
        <v>8251</v>
      </c>
      <c r="M752" t="s">
        <v>269</v>
      </c>
    </row>
    <row r="753" spans="2:13" x14ac:dyDescent="0.2">
      <c r="B753">
        <v>10309</v>
      </c>
      <c r="C753" t="s">
        <v>8306</v>
      </c>
      <c r="D753" t="s">
        <v>8272</v>
      </c>
      <c r="E753" s="225">
        <v>736</v>
      </c>
      <c r="F753" t="s">
        <v>8344</v>
      </c>
      <c r="G753" t="s">
        <v>8345</v>
      </c>
      <c r="H753" t="s">
        <v>8343</v>
      </c>
      <c r="I753" s="99">
        <v>43563</v>
      </c>
      <c r="J753">
        <f>YEAR(I753)</f>
        <v>2019</v>
      </c>
      <c r="K753" s="99">
        <v>43597</v>
      </c>
      <c r="L753" t="s">
        <v>8257</v>
      </c>
      <c r="M753" t="s">
        <v>6984</v>
      </c>
    </row>
    <row r="754" spans="2:13" x14ac:dyDescent="0.2">
      <c r="B754">
        <v>10309</v>
      </c>
      <c r="C754" t="s">
        <v>8352</v>
      </c>
      <c r="D754" t="s">
        <v>8254</v>
      </c>
      <c r="E754" s="225">
        <v>352</v>
      </c>
      <c r="F754" t="s">
        <v>8344</v>
      </c>
      <c r="G754" t="s">
        <v>8345</v>
      </c>
      <c r="H754" t="s">
        <v>8343</v>
      </c>
      <c r="I754" s="99">
        <v>43563</v>
      </c>
      <c r="J754">
        <f>YEAR(I754)</f>
        <v>2019</v>
      </c>
      <c r="K754" s="99">
        <v>43597</v>
      </c>
      <c r="L754" t="s">
        <v>8257</v>
      </c>
      <c r="M754" t="s">
        <v>6984</v>
      </c>
    </row>
    <row r="755" spans="2:13" x14ac:dyDescent="0.2">
      <c r="B755">
        <v>10309</v>
      </c>
      <c r="C755" t="s">
        <v>8351</v>
      </c>
      <c r="D755" t="s">
        <v>8254</v>
      </c>
      <c r="E755" s="225">
        <v>600</v>
      </c>
      <c r="F755" t="s">
        <v>8344</v>
      </c>
      <c r="G755" t="s">
        <v>8345</v>
      </c>
      <c r="H755" t="s">
        <v>8343</v>
      </c>
      <c r="I755" s="99">
        <v>43563</v>
      </c>
      <c r="J755">
        <f>YEAR(I755)</f>
        <v>2019</v>
      </c>
      <c r="K755" s="99">
        <v>43597</v>
      </c>
      <c r="L755" t="s">
        <v>8257</v>
      </c>
      <c r="M755" t="s">
        <v>6984</v>
      </c>
    </row>
    <row r="756" spans="2:13" x14ac:dyDescent="0.2">
      <c r="B756">
        <v>10309</v>
      </c>
      <c r="C756" t="s">
        <v>8310</v>
      </c>
      <c r="D756" t="s">
        <v>8237</v>
      </c>
      <c r="E756" s="225">
        <v>51.6</v>
      </c>
      <c r="F756" t="s">
        <v>8344</v>
      </c>
      <c r="G756" t="s">
        <v>8345</v>
      </c>
      <c r="H756" t="s">
        <v>8343</v>
      </c>
      <c r="I756" s="99">
        <v>43563</v>
      </c>
      <c r="J756">
        <f>YEAR(I756)</f>
        <v>2019</v>
      </c>
      <c r="K756" s="99">
        <v>43597</v>
      </c>
      <c r="L756" t="s">
        <v>8257</v>
      </c>
      <c r="M756" t="s">
        <v>6984</v>
      </c>
    </row>
    <row r="757" spans="2:13" x14ac:dyDescent="0.2">
      <c r="B757">
        <v>10309</v>
      </c>
      <c r="C757" t="s">
        <v>8243</v>
      </c>
      <c r="D757" t="s">
        <v>8244</v>
      </c>
      <c r="E757" s="225">
        <v>22.4</v>
      </c>
      <c r="F757" t="s">
        <v>8344</v>
      </c>
      <c r="G757" t="s">
        <v>8345</v>
      </c>
      <c r="H757" t="s">
        <v>8343</v>
      </c>
      <c r="I757" s="99">
        <v>43563</v>
      </c>
      <c r="J757">
        <f>YEAR(I757)</f>
        <v>2019</v>
      </c>
      <c r="K757" s="99">
        <v>43597</v>
      </c>
      <c r="L757" t="s">
        <v>8257</v>
      </c>
      <c r="M757" t="s">
        <v>6984</v>
      </c>
    </row>
    <row r="758" spans="2:13" x14ac:dyDescent="0.2">
      <c r="B758">
        <v>10335</v>
      </c>
      <c r="C758" t="s">
        <v>8276</v>
      </c>
      <c r="D758" t="s">
        <v>8272</v>
      </c>
      <c r="E758" s="225">
        <v>85.12</v>
      </c>
      <c r="F758" t="s">
        <v>8344</v>
      </c>
      <c r="G758" t="s">
        <v>8345</v>
      </c>
      <c r="H758" t="s">
        <v>8343</v>
      </c>
      <c r="I758" s="99">
        <v>43596</v>
      </c>
      <c r="J758">
        <f>YEAR(I758)</f>
        <v>2019</v>
      </c>
      <c r="K758" s="99">
        <v>43598</v>
      </c>
      <c r="L758" t="s">
        <v>8158</v>
      </c>
      <c r="M758" t="s">
        <v>861</v>
      </c>
    </row>
    <row r="759" spans="2:13" x14ac:dyDescent="0.2">
      <c r="B759">
        <v>10335</v>
      </c>
      <c r="C759" t="s">
        <v>8309</v>
      </c>
      <c r="D759" t="s">
        <v>8237</v>
      </c>
      <c r="E759" s="225">
        <v>200</v>
      </c>
      <c r="F759" t="s">
        <v>8344</v>
      </c>
      <c r="G759" t="s">
        <v>8345</v>
      </c>
      <c r="H759" t="s">
        <v>8343</v>
      </c>
      <c r="I759" s="99">
        <v>43596</v>
      </c>
      <c r="J759">
        <f>YEAR(I759)</f>
        <v>2019</v>
      </c>
      <c r="K759" s="99">
        <v>43598</v>
      </c>
      <c r="L759" t="s">
        <v>8158</v>
      </c>
      <c r="M759" t="s">
        <v>861</v>
      </c>
    </row>
    <row r="760" spans="2:13" x14ac:dyDescent="0.2">
      <c r="B760">
        <v>10335</v>
      </c>
      <c r="C760" t="s">
        <v>8287</v>
      </c>
      <c r="D760" t="s">
        <v>8237</v>
      </c>
      <c r="E760" s="225">
        <v>122.88</v>
      </c>
      <c r="F760" t="s">
        <v>8344</v>
      </c>
      <c r="G760" t="s">
        <v>8345</v>
      </c>
      <c r="H760" t="s">
        <v>8343</v>
      </c>
      <c r="I760" s="99">
        <v>43596</v>
      </c>
      <c r="J760">
        <f>YEAR(I760)</f>
        <v>2019</v>
      </c>
      <c r="K760" s="99">
        <v>43598</v>
      </c>
      <c r="L760" t="s">
        <v>8158</v>
      </c>
      <c r="M760" t="s">
        <v>861</v>
      </c>
    </row>
    <row r="761" spans="2:13" x14ac:dyDescent="0.2">
      <c r="B761">
        <v>10335</v>
      </c>
      <c r="C761" t="s">
        <v>8245</v>
      </c>
      <c r="D761" t="s">
        <v>8247</v>
      </c>
      <c r="E761" s="225">
        <v>1628.16</v>
      </c>
      <c r="F761" t="s">
        <v>8344</v>
      </c>
      <c r="G761" t="s">
        <v>8345</v>
      </c>
      <c r="H761" t="s">
        <v>8343</v>
      </c>
      <c r="I761" s="99">
        <v>43596</v>
      </c>
      <c r="J761">
        <f>YEAR(I761)</f>
        <v>2019</v>
      </c>
      <c r="K761" s="99">
        <v>43598</v>
      </c>
      <c r="L761" t="s">
        <v>8158</v>
      </c>
      <c r="M761" t="s">
        <v>861</v>
      </c>
    </row>
    <row r="762" spans="2:13" x14ac:dyDescent="0.2">
      <c r="B762">
        <v>10373</v>
      </c>
      <c r="C762" t="s">
        <v>8310</v>
      </c>
      <c r="D762" t="s">
        <v>8237</v>
      </c>
      <c r="E762" s="225">
        <v>688</v>
      </c>
      <c r="F762" t="s">
        <v>8344</v>
      </c>
      <c r="G762" t="s">
        <v>8345</v>
      </c>
      <c r="H762" t="s">
        <v>8343</v>
      </c>
      <c r="I762" s="99">
        <v>43640</v>
      </c>
      <c r="J762">
        <f>YEAR(I762)</f>
        <v>2019</v>
      </c>
      <c r="K762" s="99">
        <v>43646</v>
      </c>
      <c r="L762" t="s">
        <v>8266</v>
      </c>
      <c r="M762" t="s">
        <v>8267</v>
      </c>
    </row>
    <row r="763" spans="2:13" x14ac:dyDescent="0.2">
      <c r="B763">
        <v>10380</v>
      </c>
      <c r="C763" t="s">
        <v>8288</v>
      </c>
      <c r="D763" t="s">
        <v>8272</v>
      </c>
      <c r="E763" s="225">
        <v>360</v>
      </c>
      <c r="F763" t="s">
        <v>8344</v>
      </c>
      <c r="G763" t="s">
        <v>8345</v>
      </c>
      <c r="H763" t="s">
        <v>8343</v>
      </c>
      <c r="I763" s="99">
        <v>43647</v>
      </c>
      <c r="J763">
        <f>YEAR(I763)</f>
        <v>2019</v>
      </c>
      <c r="K763" s="99">
        <v>43682</v>
      </c>
      <c r="L763" t="s">
        <v>8320</v>
      </c>
      <c r="M763" t="s">
        <v>8321</v>
      </c>
    </row>
    <row r="764" spans="2:13" x14ac:dyDescent="0.2">
      <c r="B764">
        <v>10380</v>
      </c>
      <c r="C764" t="s">
        <v>8268</v>
      </c>
      <c r="D764" t="s">
        <v>8237</v>
      </c>
      <c r="E764" s="225">
        <v>146.88</v>
      </c>
      <c r="F764" t="s">
        <v>8344</v>
      </c>
      <c r="G764" t="s">
        <v>8345</v>
      </c>
      <c r="H764" t="s">
        <v>8343</v>
      </c>
      <c r="I764" s="99">
        <v>43647</v>
      </c>
      <c r="J764">
        <f>YEAR(I764)</f>
        <v>2019</v>
      </c>
      <c r="K764" s="99">
        <v>43682</v>
      </c>
      <c r="L764" t="s">
        <v>8320</v>
      </c>
      <c r="M764" t="s">
        <v>8321</v>
      </c>
    </row>
    <row r="765" spans="2:13" x14ac:dyDescent="0.2">
      <c r="B765">
        <v>10429</v>
      </c>
      <c r="C765" t="s">
        <v>8317</v>
      </c>
      <c r="D765" t="s">
        <v>8254</v>
      </c>
      <c r="E765" s="225">
        <v>921.38</v>
      </c>
      <c r="F765" t="s">
        <v>8344</v>
      </c>
      <c r="G765" t="s">
        <v>8345</v>
      </c>
      <c r="H765" t="s">
        <v>8343</v>
      </c>
      <c r="I765" s="99">
        <v>43695</v>
      </c>
      <c r="J765">
        <f>YEAR(I765)</f>
        <v>2019</v>
      </c>
      <c r="K765" s="99">
        <v>43704</v>
      </c>
      <c r="L765" t="s">
        <v>8257</v>
      </c>
      <c r="M765" t="s">
        <v>6984</v>
      </c>
    </row>
    <row r="766" spans="2:13" x14ac:dyDescent="0.2">
      <c r="B766">
        <v>10429</v>
      </c>
      <c r="C766" t="s">
        <v>8381</v>
      </c>
      <c r="D766" t="s">
        <v>8262</v>
      </c>
      <c r="E766" s="225">
        <v>520</v>
      </c>
      <c r="F766" t="s">
        <v>8344</v>
      </c>
      <c r="G766" t="s">
        <v>8345</v>
      </c>
      <c r="H766" t="s">
        <v>8343</v>
      </c>
      <c r="I766" s="99">
        <v>43695</v>
      </c>
      <c r="J766">
        <f>YEAR(I766)</f>
        <v>2019</v>
      </c>
      <c r="K766" s="99">
        <v>43704</v>
      </c>
      <c r="L766" t="s">
        <v>8257</v>
      </c>
      <c r="M766" t="s">
        <v>6984</v>
      </c>
    </row>
    <row r="767" spans="2:13" x14ac:dyDescent="0.2">
      <c r="B767">
        <v>10503</v>
      </c>
      <c r="C767" t="s">
        <v>8253</v>
      </c>
      <c r="D767" t="s">
        <v>8254</v>
      </c>
      <c r="E767" s="225">
        <v>421</v>
      </c>
      <c r="F767" t="s">
        <v>8344</v>
      </c>
      <c r="G767" t="s">
        <v>8345</v>
      </c>
      <c r="H767" t="s">
        <v>8343</v>
      </c>
      <c r="I767" s="99">
        <v>43767</v>
      </c>
      <c r="J767">
        <f>YEAR(I767)</f>
        <v>2019</v>
      </c>
      <c r="K767" s="99">
        <v>43772</v>
      </c>
      <c r="L767" t="s">
        <v>8251</v>
      </c>
      <c r="M767" t="s">
        <v>269</v>
      </c>
    </row>
    <row r="768" spans="2:13" x14ac:dyDescent="0.2">
      <c r="B768">
        <v>10503</v>
      </c>
      <c r="C768" t="s">
        <v>8252</v>
      </c>
      <c r="D768" t="s">
        <v>8247</v>
      </c>
      <c r="E768" s="225">
        <v>1627.5</v>
      </c>
      <c r="F768" t="s">
        <v>8344</v>
      </c>
      <c r="G768" t="s">
        <v>8345</v>
      </c>
      <c r="H768" t="s">
        <v>8343</v>
      </c>
      <c r="I768" s="99">
        <v>43767</v>
      </c>
      <c r="J768">
        <f>YEAR(I768)</f>
        <v>2019</v>
      </c>
      <c r="K768" s="99">
        <v>43772</v>
      </c>
      <c r="L768" t="s">
        <v>8251</v>
      </c>
      <c r="M768" t="s">
        <v>269</v>
      </c>
    </row>
    <row r="769" spans="2:13" x14ac:dyDescent="0.2">
      <c r="B769">
        <v>10516</v>
      </c>
      <c r="C769" t="s">
        <v>8243</v>
      </c>
      <c r="D769" t="s">
        <v>8244</v>
      </c>
      <c r="E769" s="225">
        <v>280</v>
      </c>
      <c r="F769" t="s">
        <v>8344</v>
      </c>
      <c r="G769" t="s">
        <v>8345</v>
      </c>
      <c r="H769" t="s">
        <v>8343</v>
      </c>
      <c r="I769" s="99">
        <v>43780</v>
      </c>
      <c r="J769">
        <f>YEAR(I769)</f>
        <v>2019</v>
      </c>
      <c r="K769" s="99">
        <v>43787</v>
      </c>
      <c r="L769" t="s">
        <v>8297</v>
      </c>
      <c r="M769" t="s">
        <v>8298</v>
      </c>
    </row>
    <row r="770" spans="2:13" x14ac:dyDescent="0.2">
      <c r="B770">
        <v>10567</v>
      </c>
      <c r="C770" t="s">
        <v>8309</v>
      </c>
      <c r="D770" t="s">
        <v>8237</v>
      </c>
      <c r="E770" s="225">
        <v>600</v>
      </c>
      <c r="F770" t="s">
        <v>8344</v>
      </c>
      <c r="G770" t="s">
        <v>8345</v>
      </c>
      <c r="H770" t="s">
        <v>8343</v>
      </c>
      <c r="I770" s="99">
        <v>43829</v>
      </c>
      <c r="J770">
        <f>YEAR(I770)</f>
        <v>2019</v>
      </c>
      <c r="K770" s="99">
        <v>43834</v>
      </c>
      <c r="L770" t="s">
        <v>8285</v>
      </c>
      <c r="M770" t="s">
        <v>2317</v>
      </c>
    </row>
    <row r="771" spans="2:13" x14ac:dyDescent="0.2">
      <c r="B771">
        <v>10567</v>
      </c>
      <c r="C771" t="s">
        <v>8281</v>
      </c>
      <c r="D771" t="s">
        <v>8237</v>
      </c>
      <c r="E771" s="225">
        <v>1760</v>
      </c>
      <c r="F771" t="s">
        <v>8344</v>
      </c>
      <c r="G771" t="s">
        <v>8345</v>
      </c>
      <c r="H771" t="s">
        <v>8343</v>
      </c>
      <c r="I771" s="99">
        <v>43829</v>
      </c>
      <c r="J771">
        <f>YEAR(I771)</f>
        <v>2019</v>
      </c>
      <c r="K771" s="99">
        <v>43834</v>
      </c>
      <c r="L771" t="s">
        <v>8285</v>
      </c>
      <c r="M771" t="s">
        <v>2317</v>
      </c>
    </row>
    <row r="772" spans="2:13" x14ac:dyDescent="0.2">
      <c r="B772">
        <v>10567</v>
      </c>
      <c r="C772" t="s">
        <v>8245</v>
      </c>
      <c r="D772" t="s">
        <v>8247</v>
      </c>
      <c r="E772" s="225">
        <v>159</v>
      </c>
      <c r="F772" t="s">
        <v>8344</v>
      </c>
      <c r="G772" t="s">
        <v>8345</v>
      </c>
      <c r="H772" t="s">
        <v>8343</v>
      </c>
      <c r="I772" s="99">
        <v>43829</v>
      </c>
      <c r="J772">
        <f>YEAR(I772)</f>
        <v>2019</v>
      </c>
      <c r="K772" s="99">
        <v>43834</v>
      </c>
      <c r="L772" t="s">
        <v>8285</v>
      </c>
      <c r="M772" t="s">
        <v>2317</v>
      </c>
    </row>
    <row r="773" spans="2:13" x14ac:dyDescent="0.2">
      <c r="B773">
        <v>10646</v>
      </c>
      <c r="C773" t="s">
        <v>8333</v>
      </c>
      <c r="D773" t="s">
        <v>8272</v>
      </c>
      <c r="E773" s="225">
        <v>202.5</v>
      </c>
      <c r="F773" t="s">
        <v>8344</v>
      </c>
      <c r="G773" t="s">
        <v>8345</v>
      </c>
      <c r="H773" t="s">
        <v>8343</v>
      </c>
      <c r="I773" s="99">
        <v>43905</v>
      </c>
      <c r="J773">
        <f>YEAR(I773)</f>
        <v>2020</v>
      </c>
      <c r="K773" s="99">
        <v>43912</v>
      </c>
      <c r="L773" t="s">
        <v>8279</v>
      </c>
      <c r="M773" t="s">
        <v>710</v>
      </c>
    </row>
    <row r="774" spans="2:13" x14ac:dyDescent="0.2">
      <c r="B774">
        <v>10646</v>
      </c>
      <c r="C774" t="s">
        <v>8397</v>
      </c>
      <c r="D774" t="s">
        <v>8254</v>
      </c>
      <c r="E774" s="225">
        <v>341.25</v>
      </c>
      <c r="F774" t="s">
        <v>8344</v>
      </c>
      <c r="G774" t="s">
        <v>8345</v>
      </c>
      <c r="H774" t="s">
        <v>8343</v>
      </c>
      <c r="I774" s="99">
        <v>43905</v>
      </c>
      <c r="J774">
        <f>YEAR(I774)</f>
        <v>2020</v>
      </c>
      <c r="K774" s="99">
        <v>43912</v>
      </c>
      <c r="L774" t="s">
        <v>8279</v>
      </c>
      <c r="M774" t="s">
        <v>710</v>
      </c>
    </row>
    <row r="775" spans="2:13" x14ac:dyDescent="0.2">
      <c r="B775">
        <v>10646</v>
      </c>
      <c r="C775" t="s">
        <v>8310</v>
      </c>
      <c r="D775" t="s">
        <v>8237</v>
      </c>
      <c r="E775" s="225">
        <v>483.75</v>
      </c>
      <c r="F775" t="s">
        <v>8344</v>
      </c>
      <c r="G775" t="s">
        <v>8345</v>
      </c>
      <c r="H775" t="s">
        <v>8343</v>
      </c>
      <c r="I775" s="99">
        <v>43905</v>
      </c>
      <c r="J775">
        <f>YEAR(I775)</f>
        <v>2020</v>
      </c>
      <c r="K775" s="99">
        <v>43912</v>
      </c>
      <c r="L775" t="s">
        <v>8279</v>
      </c>
      <c r="M775" t="s">
        <v>710</v>
      </c>
    </row>
    <row r="776" spans="2:13" x14ac:dyDescent="0.2">
      <c r="B776">
        <v>10661</v>
      </c>
      <c r="C776" t="s">
        <v>8342</v>
      </c>
      <c r="D776" t="s">
        <v>8272</v>
      </c>
      <c r="E776" s="225">
        <v>43.2</v>
      </c>
      <c r="F776" t="s">
        <v>8344</v>
      </c>
      <c r="G776" t="s">
        <v>8345</v>
      </c>
      <c r="H776" t="s">
        <v>8343</v>
      </c>
      <c r="I776" s="99">
        <v>43918</v>
      </c>
      <c r="J776">
        <f>YEAR(I776)</f>
        <v>2020</v>
      </c>
      <c r="K776" s="99">
        <v>43924</v>
      </c>
      <c r="L776" t="s">
        <v>8158</v>
      </c>
      <c r="M776" t="s">
        <v>861</v>
      </c>
    </row>
    <row r="777" spans="2:13" x14ac:dyDescent="0.2">
      <c r="B777">
        <v>10701</v>
      </c>
      <c r="C777" t="s">
        <v>8303</v>
      </c>
      <c r="D777" t="s">
        <v>8272</v>
      </c>
      <c r="E777" s="225">
        <v>535.5</v>
      </c>
      <c r="F777" t="s">
        <v>8344</v>
      </c>
      <c r="G777" t="s">
        <v>8345</v>
      </c>
      <c r="H777" t="s">
        <v>8343</v>
      </c>
      <c r="I777" s="99">
        <v>43952</v>
      </c>
      <c r="J777">
        <f>YEAR(I777)</f>
        <v>2020</v>
      </c>
      <c r="K777" s="99">
        <v>43954</v>
      </c>
      <c r="L777" t="s">
        <v>8251</v>
      </c>
      <c r="M777" t="s">
        <v>269</v>
      </c>
    </row>
    <row r="778" spans="2:13" x14ac:dyDescent="0.2">
      <c r="B778">
        <v>10701</v>
      </c>
      <c r="C778" t="s">
        <v>8281</v>
      </c>
      <c r="D778" t="s">
        <v>8237</v>
      </c>
      <c r="E778" s="225">
        <v>1963.5</v>
      </c>
      <c r="F778" t="s">
        <v>8344</v>
      </c>
      <c r="G778" t="s">
        <v>8345</v>
      </c>
      <c r="H778" t="s">
        <v>8343</v>
      </c>
      <c r="I778" s="99">
        <v>43952</v>
      </c>
      <c r="J778">
        <f>YEAR(I778)</f>
        <v>2020</v>
      </c>
      <c r="K778" s="99">
        <v>43954</v>
      </c>
      <c r="L778" t="s">
        <v>8251</v>
      </c>
      <c r="M778" t="s">
        <v>269</v>
      </c>
    </row>
    <row r="779" spans="2:13" x14ac:dyDescent="0.2">
      <c r="B779">
        <v>10701</v>
      </c>
      <c r="C779" t="s">
        <v>8310</v>
      </c>
      <c r="D779" t="s">
        <v>8237</v>
      </c>
      <c r="E779" s="225">
        <v>365.5</v>
      </c>
      <c r="F779" t="s">
        <v>8344</v>
      </c>
      <c r="G779" t="s">
        <v>8345</v>
      </c>
      <c r="H779" t="s">
        <v>8343</v>
      </c>
      <c r="I779" s="99">
        <v>43952</v>
      </c>
      <c r="J779">
        <f>YEAR(I779)</f>
        <v>2020</v>
      </c>
      <c r="K779" s="99">
        <v>43954</v>
      </c>
      <c r="L779" t="s">
        <v>8251</v>
      </c>
      <c r="M779" t="s">
        <v>269</v>
      </c>
    </row>
    <row r="780" spans="2:13" x14ac:dyDescent="0.2">
      <c r="B780">
        <v>10712</v>
      </c>
      <c r="C780" t="s">
        <v>8341</v>
      </c>
      <c r="D780" t="s">
        <v>8244</v>
      </c>
      <c r="E780" s="225">
        <v>1140</v>
      </c>
      <c r="F780" t="s">
        <v>8344</v>
      </c>
      <c r="G780" t="s">
        <v>8345</v>
      </c>
      <c r="H780" t="s">
        <v>8343</v>
      </c>
      <c r="I780" s="99">
        <v>43960</v>
      </c>
      <c r="J780">
        <f>YEAR(I780)</f>
        <v>2020</v>
      </c>
      <c r="K780" s="99">
        <v>43970</v>
      </c>
      <c r="L780" t="s">
        <v>8257</v>
      </c>
      <c r="M780" t="s">
        <v>6984</v>
      </c>
    </row>
    <row r="781" spans="2:13" x14ac:dyDescent="0.2">
      <c r="B781">
        <v>10736</v>
      </c>
      <c r="C781" t="s">
        <v>8328</v>
      </c>
      <c r="D781" t="s">
        <v>8272</v>
      </c>
      <c r="E781" s="225">
        <v>155</v>
      </c>
      <c r="F781" t="s">
        <v>8344</v>
      </c>
      <c r="G781" t="s">
        <v>8345</v>
      </c>
      <c r="H781" t="s">
        <v>8343</v>
      </c>
      <c r="I781" s="99">
        <v>43981</v>
      </c>
      <c r="J781">
        <f>YEAR(I781)</f>
        <v>2020</v>
      </c>
      <c r="K781" s="99">
        <v>43991</v>
      </c>
      <c r="L781" t="s">
        <v>8279</v>
      </c>
      <c r="M781" t="s">
        <v>710</v>
      </c>
    </row>
    <row r="782" spans="2:13" x14ac:dyDescent="0.2">
      <c r="B782">
        <v>10736</v>
      </c>
      <c r="C782" t="s">
        <v>8253</v>
      </c>
      <c r="D782" t="s">
        <v>8254</v>
      </c>
      <c r="E782" s="225">
        <v>842</v>
      </c>
      <c r="F782" t="s">
        <v>8344</v>
      </c>
      <c r="G782" t="s">
        <v>8345</v>
      </c>
      <c r="H782" t="s">
        <v>8343</v>
      </c>
      <c r="I782" s="99">
        <v>43981</v>
      </c>
      <c r="J782">
        <f>YEAR(I782)</f>
        <v>2020</v>
      </c>
      <c r="K782" s="99">
        <v>43991</v>
      </c>
      <c r="L782" t="s">
        <v>8279</v>
      </c>
      <c r="M782" t="s">
        <v>710</v>
      </c>
    </row>
    <row r="783" spans="2:13" x14ac:dyDescent="0.2">
      <c r="B783">
        <v>10912</v>
      </c>
      <c r="C783" t="s">
        <v>8242</v>
      </c>
      <c r="D783" t="s">
        <v>8237</v>
      </c>
      <c r="E783" s="225">
        <v>630</v>
      </c>
      <c r="F783" t="s">
        <v>8344</v>
      </c>
      <c r="G783" t="s">
        <v>8345</v>
      </c>
      <c r="H783" t="s">
        <v>8343</v>
      </c>
      <c r="I783" s="99">
        <v>44087</v>
      </c>
      <c r="J783">
        <f>YEAR(I783)</f>
        <v>2020</v>
      </c>
      <c r="K783" s="99">
        <v>44107</v>
      </c>
      <c r="L783" t="s">
        <v>8297</v>
      </c>
      <c r="M783" t="s">
        <v>8298</v>
      </c>
    </row>
    <row r="784" spans="2:13" x14ac:dyDescent="0.2">
      <c r="B784">
        <v>10985</v>
      </c>
      <c r="C784" t="s">
        <v>8280</v>
      </c>
      <c r="D784" t="s">
        <v>8262</v>
      </c>
      <c r="E784" s="225">
        <v>565.38</v>
      </c>
      <c r="F784" t="s">
        <v>8344</v>
      </c>
      <c r="G784" t="s">
        <v>8345</v>
      </c>
      <c r="H784" t="s">
        <v>8343</v>
      </c>
      <c r="I784" s="99">
        <v>44119</v>
      </c>
      <c r="J784">
        <f>YEAR(I784)</f>
        <v>2020</v>
      </c>
      <c r="K784" s="99">
        <v>44122</v>
      </c>
      <c r="L784" t="s">
        <v>8297</v>
      </c>
      <c r="M784" t="s">
        <v>8298</v>
      </c>
    </row>
    <row r="785" spans="2:13" x14ac:dyDescent="0.2">
      <c r="B785">
        <v>10985</v>
      </c>
      <c r="C785" t="s">
        <v>8287</v>
      </c>
      <c r="D785" t="s">
        <v>8237</v>
      </c>
      <c r="E785" s="225">
        <v>1008</v>
      </c>
      <c r="F785" t="s">
        <v>8344</v>
      </c>
      <c r="G785" t="s">
        <v>8345</v>
      </c>
      <c r="H785" t="s">
        <v>8343</v>
      </c>
      <c r="I785" s="99">
        <v>44119</v>
      </c>
      <c r="J785">
        <f>YEAR(I785)</f>
        <v>2020</v>
      </c>
      <c r="K785" s="99">
        <v>44122</v>
      </c>
      <c r="L785" t="s">
        <v>8297</v>
      </c>
      <c r="M785" t="s">
        <v>8298</v>
      </c>
    </row>
    <row r="786" spans="2:13" x14ac:dyDescent="0.2">
      <c r="B786">
        <v>11063</v>
      </c>
      <c r="C786" t="s">
        <v>8358</v>
      </c>
      <c r="D786" t="s">
        <v>8272</v>
      </c>
      <c r="E786" s="225">
        <v>420</v>
      </c>
      <c r="F786" t="s">
        <v>8344</v>
      </c>
      <c r="G786" t="s">
        <v>8345</v>
      </c>
      <c r="H786" t="s">
        <v>8343</v>
      </c>
      <c r="I786" s="99">
        <v>44150</v>
      </c>
      <c r="J786">
        <f>YEAR(I786)</f>
        <v>2020</v>
      </c>
      <c r="K786" s="99">
        <v>44156</v>
      </c>
      <c r="L786" t="s">
        <v>8257</v>
      </c>
      <c r="M786" t="s">
        <v>6984</v>
      </c>
    </row>
    <row r="787" spans="2:13" x14ac:dyDescent="0.2">
      <c r="B787">
        <v>10315</v>
      </c>
      <c r="C787" t="s">
        <v>8358</v>
      </c>
      <c r="D787" t="s">
        <v>8272</v>
      </c>
      <c r="E787" s="225">
        <v>156.80000000000001</v>
      </c>
      <c r="F787" t="s">
        <v>8356</v>
      </c>
      <c r="G787" t="s">
        <v>8357</v>
      </c>
      <c r="H787" t="s">
        <v>2434</v>
      </c>
      <c r="I787" s="99">
        <v>43570</v>
      </c>
      <c r="J787">
        <f>YEAR(I787)</f>
        <v>2019</v>
      </c>
      <c r="K787" s="99">
        <v>43577</v>
      </c>
      <c r="L787" t="s">
        <v>8266</v>
      </c>
      <c r="M787" t="s">
        <v>8267</v>
      </c>
    </row>
    <row r="788" spans="2:13" x14ac:dyDescent="0.2">
      <c r="B788">
        <v>10315</v>
      </c>
      <c r="C788" t="s">
        <v>8288</v>
      </c>
      <c r="D788" t="s">
        <v>8272</v>
      </c>
      <c r="E788" s="225">
        <v>360</v>
      </c>
      <c r="F788" t="s">
        <v>8356</v>
      </c>
      <c r="G788" t="s">
        <v>8357</v>
      </c>
      <c r="H788" t="s">
        <v>2434</v>
      </c>
      <c r="I788" s="99">
        <v>43570</v>
      </c>
      <c r="J788">
        <f>YEAR(I788)</f>
        <v>2019</v>
      </c>
      <c r="K788" s="99">
        <v>43577</v>
      </c>
      <c r="L788" t="s">
        <v>8266</v>
      </c>
      <c r="M788" t="s">
        <v>8267</v>
      </c>
    </row>
    <row r="789" spans="2:13" x14ac:dyDescent="0.2">
      <c r="B789">
        <v>10318</v>
      </c>
      <c r="C789" t="s">
        <v>8303</v>
      </c>
      <c r="D789" t="s">
        <v>8272</v>
      </c>
      <c r="E789" s="225">
        <v>86.4</v>
      </c>
      <c r="F789" t="s">
        <v>8356</v>
      </c>
      <c r="G789" t="s">
        <v>8357</v>
      </c>
      <c r="H789" t="s">
        <v>2434</v>
      </c>
      <c r="I789" s="99">
        <v>43575</v>
      </c>
      <c r="J789">
        <f>YEAR(I789)</f>
        <v>2019</v>
      </c>
      <c r="K789" s="99">
        <v>43578</v>
      </c>
      <c r="L789" t="s">
        <v>8320</v>
      </c>
      <c r="M789" t="s">
        <v>8321</v>
      </c>
    </row>
    <row r="790" spans="2:13" x14ac:dyDescent="0.2">
      <c r="B790">
        <v>10321</v>
      </c>
      <c r="C790" t="s">
        <v>8323</v>
      </c>
      <c r="D790" t="s">
        <v>8272</v>
      </c>
      <c r="E790" s="225">
        <v>144</v>
      </c>
      <c r="F790" t="s">
        <v>8356</v>
      </c>
      <c r="G790" t="s">
        <v>8357</v>
      </c>
      <c r="H790" t="s">
        <v>2434</v>
      </c>
      <c r="I790" s="99">
        <v>43577</v>
      </c>
      <c r="J790">
        <f>YEAR(I790)</f>
        <v>2019</v>
      </c>
      <c r="K790" s="99">
        <v>43585</v>
      </c>
      <c r="L790" t="s">
        <v>8257</v>
      </c>
      <c r="M790" t="s">
        <v>6984</v>
      </c>
    </row>
    <row r="791" spans="2:13" x14ac:dyDescent="0.2">
      <c r="B791">
        <v>10473</v>
      </c>
      <c r="C791" t="s">
        <v>8269</v>
      </c>
      <c r="D791" t="s">
        <v>8237</v>
      </c>
      <c r="E791" s="225">
        <v>24</v>
      </c>
      <c r="F791" t="s">
        <v>8356</v>
      </c>
      <c r="G791" t="s">
        <v>8357</v>
      </c>
      <c r="H791" t="s">
        <v>2434</v>
      </c>
      <c r="I791" s="99">
        <v>43738</v>
      </c>
      <c r="J791">
        <f>YEAR(I791)</f>
        <v>2019</v>
      </c>
      <c r="K791" s="99">
        <v>43746</v>
      </c>
      <c r="L791" t="s">
        <v>8285</v>
      </c>
      <c r="M791" t="s">
        <v>2317</v>
      </c>
    </row>
    <row r="792" spans="2:13" x14ac:dyDescent="0.2">
      <c r="B792">
        <v>10473</v>
      </c>
      <c r="C792" t="s">
        <v>8310</v>
      </c>
      <c r="D792" t="s">
        <v>8237</v>
      </c>
      <c r="E792" s="225">
        <v>206.4</v>
      </c>
      <c r="F792" t="s">
        <v>8356</v>
      </c>
      <c r="G792" t="s">
        <v>8357</v>
      </c>
      <c r="H792" t="s">
        <v>2434</v>
      </c>
      <c r="I792" s="99">
        <v>43738</v>
      </c>
      <c r="J792">
        <f>YEAR(I792)</f>
        <v>2019</v>
      </c>
      <c r="K792" s="99">
        <v>43746</v>
      </c>
      <c r="L792" t="s">
        <v>8285</v>
      </c>
      <c r="M792" t="s">
        <v>2317</v>
      </c>
    </row>
    <row r="793" spans="2:13" x14ac:dyDescent="0.2">
      <c r="B793">
        <v>10621</v>
      </c>
      <c r="C793" t="s">
        <v>8288</v>
      </c>
      <c r="D793" t="s">
        <v>8272</v>
      </c>
      <c r="E793" s="225">
        <v>300</v>
      </c>
      <c r="F793" t="s">
        <v>8356</v>
      </c>
      <c r="G793" t="s">
        <v>8357</v>
      </c>
      <c r="H793" t="s">
        <v>2434</v>
      </c>
      <c r="I793" s="99">
        <v>43883</v>
      </c>
      <c r="J793">
        <f>YEAR(I793)</f>
        <v>2020</v>
      </c>
      <c r="K793" s="99">
        <v>43889</v>
      </c>
      <c r="L793" t="s">
        <v>8266</v>
      </c>
      <c r="M793" t="s">
        <v>8267</v>
      </c>
    </row>
    <row r="794" spans="2:13" x14ac:dyDescent="0.2">
      <c r="B794">
        <v>10621</v>
      </c>
      <c r="C794" t="s">
        <v>8327</v>
      </c>
      <c r="D794" t="s">
        <v>8262</v>
      </c>
      <c r="E794" s="225">
        <v>46</v>
      </c>
      <c r="F794" t="s">
        <v>8356</v>
      </c>
      <c r="G794" t="s">
        <v>8357</v>
      </c>
      <c r="H794" t="s">
        <v>2434</v>
      </c>
      <c r="I794" s="99">
        <v>43883</v>
      </c>
      <c r="J794">
        <f>YEAR(I794)</f>
        <v>2020</v>
      </c>
      <c r="K794" s="99">
        <v>43889</v>
      </c>
      <c r="L794" t="s">
        <v>8266</v>
      </c>
      <c r="M794" t="s">
        <v>8267</v>
      </c>
    </row>
    <row r="795" spans="2:13" x14ac:dyDescent="0.2">
      <c r="B795">
        <v>10621</v>
      </c>
      <c r="C795" t="s">
        <v>8310</v>
      </c>
      <c r="D795" t="s">
        <v>8237</v>
      </c>
      <c r="E795" s="225">
        <v>322.5</v>
      </c>
      <c r="F795" t="s">
        <v>8356</v>
      </c>
      <c r="G795" t="s">
        <v>8357</v>
      </c>
      <c r="H795" t="s">
        <v>2434</v>
      </c>
      <c r="I795" s="99">
        <v>43883</v>
      </c>
      <c r="J795">
        <f>YEAR(I795)</f>
        <v>2020</v>
      </c>
      <c r="K795" s="99">
        <v>43889</v>
      </c>
      <c r="L795" t="s">
        <v>8266</v>
      </c>
      <c r="M795" t="s">
        <v>8267</v>
      </c>
    </row>
    <row r="796" spans="2:13" x14ac:dyDescent="0.2">
      <c r="B796">
        <v>10621</v>
      </c>
      <c r="C796" t="s">
        <v>8373</v>
      </c>
      <c r="D796" t="s">
        <v>8244</v>
      </c>
      <c r="E796" s="225">
        <v>90</v>
      </c>
      <c r="F796" t="s">
        <v>8356</v>
      </c>
      <c r="G796" t="s">
        <v>8357</v>
      </c>
      <c r="H796" t="s">
        <v>2434</v>
      </c>
      <c r="I796" s="99">
        <v>43883</v>
      </c>
      <c r="J796">
        <f>YEAR(I796)</f>
        <v>2020</v>
      </c>
      <c r="K796" s="99">
        <v>43889</v>
      </c>
      <c r="L796" t="s">
        <v>8266</v>
      </c>
      <c r="M796" t="s">
        <v>8267</v>
      </c>
    </row>
    <row r="797" spans="2:13" x14ac:dyDescent="0.2">
      <c r="B797">
        <v>10674</v>
      </c>
      <c r="C797" t="s">
        <v>8373</v>
      </c>
      <c r="D797" t="s">
        <v>8244</v>
      </c>
      <c r="E797" s="225">
        <v>45</v>
      </c>
      <c r="F797" t="s">
        <v>8356</v>
      </c>
      <c r="G797" t="s">
        <v>8357</v>
      </c>
      <c r="H797" t="s">
        <v>2434</v>
      </c>
      <c r="I797" s="99">
        <v>43927</v>
      </c>
      <c r="J797">
        <f>YEAR(I797)</f>
        <v>2020</v>
      </c>
      <c r="K797" s="99">
        <v>43939</v>
      </c>
      <c r="L797" t="s">
        <v>8266</v>
      </c>
      <c r="M797" t="s">
        <v>8267</v>
      </c>
    </row>
    <row r="798" spans="2:13" x14ac:dyDescent="0.2">
      <c r="B798">
        <v>10749</v>
      </c>
      <c r="C798" t="s">
        <v>8303</v>
      </c>
      <c r="D798" t="s">
        <v>8272</v>
      </c>
      <c r="E798" s="225">
        <v>180</v>
      </c>
      <c r="F798" t="s">
        <v>8356</v>
      </c>
      <c r="G798" t="s">
        <v>8357</v>
      </c>
      <c r="H798" t="s">
        <v>2434</v>
      </c>
      <c r="I798" s="99">
        <v>43990</v>
      </c>
      <c r="J798">
        <f>YEAR(I798)</f>
        <v>2020</v>
      </c>
      <c r="K798" s="99">
        <v>44019</v>
      </c>
      <c r="L798" t="s">
        <v>8266</v>
      </c>
      <c r="M798" t="s">
        <v>8267</v>
      </c>
    </row>
    <row r="799" spans="2:13" x14ac:dyDescent="0.2">
      <c r="B799">
        <v>10749</v>
      </c>
      <c r="C799" t="s">
        <v>8281</v>
      </c>
      <c r="D799" t="s">
        <v>8237</v>
      </c>
      <c r="E799" s="225">
        <v>330</v>
      </c>
      <c r="F799" t="s">
        <v>8356</v>
      </c>
      <c r="G799" t="s">
        <v>8357</v>
      </c>
      <c r="H799" t="s">
        <v>2434</v>
      </c>
      <c r="I799" s="99">
        <v>43990</v>
      </c>
      <c r="J799">
        <f>YEAR(I799)</f>
        <v>2020</v>
      </c>
      <c r="K799" s="99">
        <v>44019</v>
      </c>
      <c r="L799" t="s">
        <v>8266</v>
      </c>
      <c r="M799" t="s">
        <v>8267</v>
      </c>
    </row>
    <row r="800" spans="2:13" x14ac:dyDescent="0.2">
      <c r="B800">
        <v>10749</v>
      </c>
      <c r="C800" t="s">
        <v>8341</v>
      </c>
      <c r="D800" t="s">
        <v>8244</v>
      </c>
      <c r="E800" s="225">
        <v>570</v>
      </c>
      <c r="F800" t="s">
        <v>8356</v>
      </c>
      <c r="G800" t="s">
        <v>8357</v>
      </c>
      <c r="H800" t="s">
        <v>2434</v>
      </c>
      <c r="I800" s="99">
        <v>43990</v>
      </c>
      <c r="J800">
        <f>YEAR(I800)</f>
        <v>2020</v>
      </c>
      <c r="K800" s="99">
        <v>44019</v>
      </c>
      <c r="L800" t="s">
        <v>8266</v>
      </c>
      <c r="M800" t="s">
        <v>8267</v>
      </c>
    </row>
    <row r="801" spans="2:13" x14ac:dyDescent="0.2">
      <c r="B801">
        <v>10798</v>
      </c>
      <c r="C801" t="s">
        <v>8291</v>
      </c>
      <c r="D801" t="s">
        <v>8262</v>
      </c>
      <c r="E801" s="225">
        <v>98.6</v>
      </c>
      <c r="F801" t="s">
        <v>8356</v>
      </c>
      <c r="G801" t="s">
        <v>8357</v>
      </c>
      <c r="H801" t="s">
        <v>2434</v>
      </c>
      <c r="I801" s="99">
        <v>44026</v>
      </c>
      <c r="J801">
        <f>YEAR(I801)</f>
        <v>2020</v>
      </c>
      <c r="K801" s="99">
        <v>44036</v>
      </c>
      <c r="L801" t="s">
        <v>8297</v>
      </c>
      <c r="M801" t="s">
        <v>8298</v>
      </c>
    </row>
    <row r="802" spans="2:13" x14ac:dyDescent="0.2">
      <c r="B802">
        <v>10798</v>
      </c>
      <c r="C802" t="s">
        <v>8235</v>
      </c>
      <c r="D802" t="s">
        <v>8237</v>
      </c>
      <c r="E802" s="225">
        <v>348</v>
      </c>
      <c r="F802" t="s">
        <v>8356</v>
      </c>
      <c r="G802" t="s">
        <v>8357</v>
      </c>
      <c r="H802" t="s">
        <v>2434</v>
      </c>
      <c r="I802" s="99">
        <v>44026</v>
      </c>
      <c r="J802">
        <f>YEAR(I802)</f>
        <v>2020</v>
      </c>
      <c r="K802" s="99">
        <v>44036</v>
      </c>
      <c r="L802" t="s">
        <v>8297</v>
      </c>
      <c r="M802" t="s">
        <v>8298</v>
      </c>
    </row>
    <row r="803" spans="2:13" x14ac:dyDescent="0.2">
      <c r="B803">
        <v>10829</v>
      </c>
      <c r="C803" t="s">
        <v>8276</v>
      </c>
      <c r="D803" t="s">
        <v>8272</v>
      </c>
      <c r="E803" s="225">
        <v>190</v>
      </c>
      <c r="F803" t="s">
        <v>8356</v>
      </c>
      <c r="G803" t="s">
        <v>8357</v>
      </c>
      <c r="H803" t="s">
        <v>2434</v>
      </c>
      <c r="I803" s="99">
        <v>44044</v>
      </c>
      <c r="J803">
        <f>YEAR(I803)</f>
        <v>2020</v>
      </c>
      <c r="K803" s="99">
        <v>44054</v>
      </c>
      <c r="L803" t="s">
        <v>8279</v>
      </c>
      <c r="M803" t="s">
        <v>710</v>
      </c>
    </row>
    <row r="804" spans="2:13" x14ac:dyDescent="0.2">
      <c r="B804">
        <v>10829</v>
      </c>
      <c r="C804" t="s">
        <v>8379</v>
      </c>
      <c r="D804" t="s">
        <v>8254</v>
      </c>
      <c r="E804" s="225">
        <v>800</v>
      </c>
      <c r="F804" t="s">
        <v>8356</v>
      </c>
      <c r="G804" t="s">
        <v>8357</v>
      </c>
      <c r="H804" t="s">
        <v>2434</v>
      </c>
      <c r="I804" s="99">
        <v>44044</v>
      </c>
      <c r="J804">
        <f>YEAR(I804)</f>
        <v>2020</v>
      </c>
      <c r="K804" s="99">
        <v>44054</v>
      </c>
      <c r="L804" t="s">
        <v>8279</v>
      </c>
      <c r="M804" t="s">
        <v>710</v>
      </c>
    </row>
    <row r="805" spans="2:13" x14ac:dyDescent="0.2">
      <c r="B805">
        <v>10829</v>
      </c>
      <c r="C805" t="s">
        <v>8268</v>
      </c>
      <c r="D805" t="s">
        <v>8237</v>
      </c>
      <c r="E805" s="225">
        <v>714</v>
      </c>
      <c r="F805" t="s">
        <v>8356</v>
      </c>
      <c r="G805" t="s">
        <v>8357</v>
      </c>
      <c r="H805" t="s">
        <v>2434</v>
      </c>
      <c r="I805" s="99">
        <v>44044</v>
      </c>
      <c r="J805">
        <f>YEAR(I805)</f>
        <v>2020</v>
      </c>
      <c r="K805" s="99">
        <v>44054</v>
      </c>
      <c r="L805" t="s">
        <v>8279</v>
      </c>
      <c r="M805" t="s">
        <v>710</v>
      </c>
    </row>
    <row r="806" spans="2:13" x14ac:dyDescent="0.2">
      <c r="B806">
        <v>10933</v>
      </c>
      <c r="C806" t="s">
        <v>8409</v>
      </c>
      <c r="D806" t="s">
        <v>8254</v>
      </c>
      <c r="E806" s="225">
        <v>855</v>
      </c>
      <c r="F806" t="s">
        <v>8356</v>
      </c>
      <c r="G806" t="s">
        <v>8357</v>
      </c>
      <c r="H806" t="s">
        <v>2434</v>
      </c>
      <c r="I806" s="99">
        <v>44095</v>
      </c>
      <c r="J806">
        <f>YEAR(I806)</f>
        <v>2020</v>
      </c>
      <c r="K806" s="99">
        <v>44105</v>
      </c>
      <c r="L806" t="s">
        <v>8251</v>
      </c>
      <c r="M806" t="s">
        <v>269</v>
      </c>
    </row>
    <row r="807" spans="2:13" x14ac:dyDescent="0.2">
      <c r="B807">
        <v>10323</v>
      </c>
      <c r="C807" t="s">
        <v>8342</v>
      </c>
      <c r="D807" t="s">
        <v>8272</v>
      </c>
      <c r="E807" s="225">
        <v>57.6</v>
      </c>
      <c r="F807" t="s">
        <v>8359</v>
      </c>
      <c r="G807" t="s">
        <v>8360</v>
      </c>
      <c r="H807" t="s">
        <v>8246</v>
      </c>
      <c r="I807" s="99">
        <v>43581</v>
      </c>
      <c r="J807">
        <f>YEAR(I807)</f>
        <v>2019</v>
      </c>
      <c r="K807" s="99">
        <v>43588</v>
      </c>
      <c r="L807" t="s">
        <v>8266</v>
      </c>
      <c r="M807" t="s">
        <v>8267</v>
      </c>
    </row>
    <row r="808" spans="2:13" x14ac:dyDescent="0.2">
      <c r="B808">
        <v>10323</v>
      </c>
      <c r="C808" t="s">
        <v>8361</v>
      </c>
      <c r="D808" t="s">
        <v>8254</v>
      </c>
      <c r="E808" s="225">
        <v>62</v>
      </c>
      <c r="F808" t="s">
        <v>8359</v>
      </c>
      <c r="G808" t="s">
        <v>8360</v>
      </c>
      <c r="H808" t="s">
        <v>8246</v>
      </c>
      <c r="I808" s="99">
        <v>43581</v>
      </c>
      <c r="J808">
        <f>YEAR(I808)</f>
        <v>2019</v>
      </c>
      <c r="K808" s="99">
        <v>43588</v>
      </c>
      <c r="L808" t="s">
        <v>8266</v>
      </c>
      <c r="M808" t="s">
        <v>8267</v>
      </c>
    </row>
    <row r="809" spans="2:13" x14ac:dyDescent="0.2">
      <c r="B809">
        <v>10323</v>
      </c>
      <c r="C809" t="s">
        <v>8362</v>
      </c>
      <c r="D809" t="s">
        <v>8262</v>
      </c>
      <c r="E809" s="225">
        <v>44.8</v>
      </c>
      <c r="F809" t="s">
        <v>8359</v>
      </c>
      <c r="G809" t="s">
        <v>8360</v>
      </c>
      <c r="H809" t="s">
        <v>8246</v>
      </c>
      <c r="I809" s="99">
        <v>43581</v>
      </c>
      <c r="J809">
        <f>YEAR(I809)</f>
        <v>2019</v>
      </c>
      <c r="K809" s="99">
        <v>43588</v>
      </c>
      <c r="L809" t="s">
        <v>8266</v>
      </c>
      <c r="M809" t="s">
        <v>8267</v>
      </c>
    </row>
    <row r="810" spans="2:13" x14ac:dyDescent="0.2">
      <c r="B810">
        <v>10325</v>
      </c>
      <c r="C810" t="s">
        <v>8351</v>
      </c>
      <c r="D810" t="s">
        <v>8254</v>
      </c>
      <c r="E810" s="225">
        <v>120</v>
      </c>
      <c r="F810" t="s">
        <v>8359</v>
      </c>
      <c r="G810" t="s">
        <v>8360</v>
      </c>
      <c r="H810" t="s">
        <v>8246</v>
      </c>
      <c r="I810" s="99">
        <v>43583</v>
      </c>
      <c r="J810">
        <f>YEAR(I810)</f>
        <v>2019</v>
      </c>
      <c r="K810" s="99">
        <v>43588</v>
      </c>
      <c r="L810" t="s">
        <v>8285</v>
      </c>
      <c r="M810" t="s">
        <v>2317</v>
      </c>
    </row>
    <row r="811" spans="2:13" x14ac:dyDescent="0.2">
      <c r="B811">
        <v>10325</v>
      </c>
      <c r="C811" t="s">
        <v>8309</v>
      </c>
      <c r="D811" t="s">
        <v>8237</v>
      </c>
      <c r="E811" s="225">
        <v>40</v>
      </c>
      <c r="F811" t="s">
        <v>8359</v>
      </c>
      <c r="G811" t="s">
        <v>8360</v>
      </c>
      <c r="H811" t="s">
        <v>8246</v>
      </c>
      <c r="I811" s="99">
        <v>43583</v>
      </c>
      <c r="J811">
        <f>YEAR(I811)</f>
        <v>2019</v>
      </c>
      <c r="K811" s="99">
        <v>43588</v>
      </c>
      <c r="L811" t="s">
        <v>8285</v>
      </c>
      <c r="M811" t="s">
        <v>2317</v>
      </c>
    </row>
    <row r="812" spans="2:13" x14ac:dyDescent="0.2">
      <c r="B812">
        <v>10325</v>
      </c>
      <c r="C812" t="s">
        <v>8235</v>
      </c>
      <c r="D812" t="s">
        <v>8237</v>
      </c>
      <c r="E812" s="225">
        <v>1112</v>
      </c>
      <c r="F812" t="s">
        <v>8359</v>
      </c>
      <c r="G812" t="s">
        <v>8360</v>
      </c>
      <c r="H812" t="s">
        <v>8246</v>
      </c>
      <c r="I812" s="99">
        <v>43583</v>
      </c>
      <c r="J812">
        <f>YEAR(I812)</f>
        <v>2019</v>
      </c>
      <c r="K812" s="99">
        <v>43588</v>
      </c>
      <c r="L812" t="s">
        <v>8285</v>
      </c>
      <c r="M812" t="s">
        <v>2317</v>
      </c>
    </row>
    <row r="813" spans="2:13" x14ac:dyDescent="0.2">
      <c r="B813">
        <v>10325</v>
      </c>
      <c r="C813" t="s">
        <v>8252</v>
      </c>
      <c r="D813" t="s">
        <v>8247</v>
      </c>
      <c r="E813" s="225">
        <v>167.4</v>
      </c>
      <c r="F813" t="s">
        <v>8359</v>
      </c>
      <c r="G813" t="s">
        <v>8360</v>
      </c>
      <c r="H813" t="s">
        <v>8246</v>
      </c>
      <c r="I813" s="99">
        <v>43583</v>
      </c>
      <c r="J813">
        <f>YEAR(I813)</f>
        <v>2019</v>
      </c>
      <c r="K813" s="99">
        <v>43588</v>
      </c>
      <c r="L813" t="s">
        <v>8285</v>
      </c>
      <c r="M813" t="s">
        <v>2317</v>
      </c>
    </row>
    <row r="814" spans="2:13" x14ac:dyDescent="0.2">
      <c r="B814">
        <v>10456</v>
      </c>
      <c r="C814" t="s">
        <v>8368</v>
      </c>
      <c r="D814" t="s">
        <v>8262</v>
      </c>
      <c r="E814" s="225">
        <v>272</v>
      </c>
      <c r="F814" t="s">
        <v>8359</v>
      </c>
      <c r="G814" t="s">
        <v>8360</v>
      </c>
      <c r="H814" t="s">
        <v>8246</v>
      </c>
      <c r="I814" s="99">
        <v>43722</v>
      </c>
      <c r="J814">
        <f>YEAR(I814)</f>
        <v>2019</v>
      </c>
      <c r="K814" s="99">
        <v>43725</v>
      </c>
      <c r="L814" t="s">
        <v>8320</v>
      </c>
      <c r="M814" t="s">
        <v>8321</v>
      </c>
    </row>
    <row r="815" spans="2:13" x14ac:dyDescent="0.2">
      <c r="B815">
        <v>10456</v>
      </c>
      <c r="C815" t="s">
        <v>8390</v>
      </c>
      <c r="D815" t="s">
        <v>8262</v>
      </c>
      <c r="E815" s="225">
        <v>285.60000000000002</v>
      </c>
      <c r="F815" t="s">
        <v>8359</v>
      </c>
      <c r="G815" t="s">
        <v>8360</v>
      </c>
      <c r="H815" t="s">
        <v>8246</v>
      </c>
      <c r="I815" s="99">
        <v>43722</v>
      </c>
      <c r="J815">
        <f>YEAR(I815)</f>
        <v>2019</v>
      </c>
      <c r="K815" s="99">
        <v>43725</v>
      </c>
      <c r="L815" t="s">
        <v>8320</v>
      </c>
      <c r="M815" t="s">
        <v>8321</v>
      </c>
    </row>
    <row r="816" spans="2:13" x14ac:dyDescent="0.2">
      <c r="B816">
        <v>10457</v>
      </c>
      <c r="C816" t="s">
        <v>8281</v>
      </c>
      <c r="D816" t="s">
        <v>8237</v>
      </c>
      <c r="E816" s="225">
        <v>1584</v>
      </c>
      <c r="F816" t="s">
        <v>8359</v>
      </c>
      <c r="G816" t="s">
        <v>8360</v>
      </c>
      <c r="H816" t="s">
        <v>8246</v>
      </c>
      <c r="I816" s="99">
        <v>43722</v>
      </c>
      <c r="J816">
        <f>YEAR(I816)</f>
        <v>2019</v>
      </c>
      <c r="K816" s="99">
        <v>43728</v>
      </c>
      <c r="L816" t="s">
        <v>8297</v>
      </c>
      <c r="M816" t="s">
        <v>8298</v>
      </c>
    </row>
    <row r="817" spans="2:13" x14ac:dyDescent="0.2">
      <c r="B817">
        <v>10468</v>
      </c>
      <c r="C817" t="s">
        <v>8306</v>
      </c>
      <c r="D817" t="s">
        <v>8272</v>
      </c>
      <c r="E817" s="225">
        <v>552</v>
      </c>
      <c r="F817" t="s">
        <v>8359</v>
      </c>
      <c r="G817" t="s">
        <v>8360</v>
      </c>
      <c r="H817" t="s">
        <v>8246</v>
      </c>
      <c r="I817" s="99">
        <v>43732</v>
      </c>
      <c r="J817">
        <f>YEAR(I817)</f>
        <v>2019</v>
      </c>
      <c r="K817" s="99">
        <v>43737</v>
      </c>
      <c r="L817" t="s">
        <v>8257</v>
      </c>
      <c r="M817" t="s">
        <v>6984</v>
      </c>
    </row>
    <row r="818" spans="2:13" x14ac:dyDescent="0.2">
      <c r="B818">
        <v>10506</v>
      </c>
      <c r="C818" t="s">
        <v>8288</v>
      </c>
      <c r="D818" t="s">
        <v>8272</v>
      </c>
      <c r="E818" s="225">
        <v>189</v>
      </c>
      <c r="F818" t="s">
        <v>8359</v>
      </c>
      <c r="G818" t="s">
        <v>8360</v>
      </c>
      <c r="H818" t="s">
        <v>8246</v>
      </c>
      <c r="I818" s="99">
        <v>43771</v>
      </c>
      <c r="J818">
        <f>YEAR(I818)</f>
        <v>2019</v>
      </c>
      <c r="K818" s="99">
        <v>43788</v>
      </c>
      <c r="L818" t="s">
        <v>8279</v>
      </c>
      <c r="M818" t="s">
        <v>710</v>
      </c>
    </row>
    <row r="819" spans="2:13" x14ac:dyDescent="0.2">
      <c r="B819">
        <v>10506</v>
      </c>
      <c r="C819" t="s">
        <v>8362</v>
      </c>
      <c r="D819" t="s">
        <v>8262</v>
      </c>
      <c r="E819" s="225">
        <v>226.8</v>
      </c>
      <c r="F819" t="s">
        <v>8359</v>
      </c>
      <c r="G819" t="s">
        <v>8360</v>
      </c>
      <c r="H819" t="s">
        <v>8246</v>
      </c>
      <c r="I819" s="99">
        <v>43771</v>
      </c>
      <c r="J819">
        <f>YEAR(I819)</f>
        <v>2019</v>
      </c>
      <c r="K819" s="99">
        <v>43788</v>
      </c>
      <c r="L819" t="s">
        <v>8279</v>
      </c>
      <c r="M819" t="s">
        <v>710</v>
      </c>
    </row>
    <row r="820" spans="2:13" x14ac:dyDescent="0.2">
      <c r="B820">
        <v>10542</v>
      </c>
      <c r="C820" t="s">
        <v>8242</v>
      </c>
      <c r="D820" t="s">
        <v>8237</v>
      </c>
      <c r="E820" s="225">
        <v>299.25</v>
      </c>
      <c r="F820" t="s">
        <v>8359</v>
      </c>
      <c r="G820" t="s">
        <v>8360</v>
      </c>
      <c r="H820" t="s">
        <v>8246</v>
      </c>
      <c r="I820" s="99">
        <v>43806</v>
      </c>
      <c r="J820">
        <f>YEAR(I820)</f>
        <v>2019</v>
      </c>
      <c r="K820" s="99">
        <v>43812</v>
      </c>
      <c r="L820" t="s">
        <v>8285</v>
      </c>
      <c r="M820" t="s">
        <v>2317</v>
      </c>
    </row>
    <row r="821" spans="2:13" x14ac:dyDescent="0.2">
      <c r="B821">
        <v>10630</v>
      </c>
      <c r="C821" t="s">
        <v>8303</v>
      </c>
      <c r="D821" t="s">
        <v>8272</v>
      </c>
      <c r="E821" s="225">
        <v>630</v>
      </c>
      <c r="F821" t="s">
        <v>8359</v>
      </c>
      <c r="G821" t="s">
        <v>8360</v>
      </c>
      <c r="H821" t="s">
        <v>8246</v>
      </c>
      <c r="I821" s="99">
        <v>43891</v>
      </c>
      <c r="J821">
        <f>YEAR(I821)</f>
        <v>2020</v>
      </c>
      <c r="K821" s="99">
        <v>43897</v>
      </c>
      <c r="L821" t="s">
        <v>8285</v>
      </c>
      <c r="M821" t="s">
        <v>2317</v>
      </c>
    </row>
    <row r="822" spans="2:13" x14ac:dyDescent="0.2">
      <c r="B822">
        <v>10718</v>
      </c>
      <c r="C822" t="s">
        <v>8280</v>
      </c>
      <c r="D822" t="s">
        <v>8262</v>
      </c>
      <c r="E822" s="225">
        <v>349</v>
      </c>
      <c r="F822" t="s">
        <v>8359</v>
      </c>
      <c r="G822" t="s">
        <v>8360</v>
      </c>
      <c r="H822" t="s">
        <v>8246</v>
      </c>
      <c r="I822" s="99">
        <v>43966</v>
      </c>
      <c r="J822">
        <f>YEAR(I822)</f>
        <v>2020</v>
      </c>
      <c r="K822" s="99">
        <v>43968</v>
      </c>
      <c r="L822" t="s">
        <v>8285</v>
      </c>
      <c r="M822" t="s">
        <v>2317</v>
      </c>
    </row>
    <row r="823" spans="2:13" x14ac:dyDescent="0.2">
      <c r="B823">
        <v>10718</v>
      </c>
      <c r="C823" t="s">
        <v>8291</v>
      </c>
      <c r="D823" t="s">
        <v>8262</v>
      </c>
      <c r="E823" s="225">
        <v>986</v>
      </c>
      <c r="F823" t="s">
        <v>8359</v>
      </c>
      <c r="G823" t="s">
        <v>8360</v>
      </c>
      <c r="H823" t="s">
        <v>8246</v>
      </c>
      <c r="I823" s="99">
        <v>43966</v>
      </c>
      <c r="J823">
        <f>YEAR(I823)</f>
        <v>2020</v>
      </c>
      <c r="K823" s="99">
        <v>43968</v>
      </c>
      <c r="L823" t="s">
        <v>8285</v>
      </c>
      <c r="M823" t="s">
        <v>2317</v>
      </c>
    </row>
    <row r="824" spans="2:13" x14ac:dyDescent="0.2">
      <c r="B824">
        <v>10718</v>
      </c>
      <c r="C824" t="s">
        <v>8299</v>
      </c>
      <c r="D824" t="s">
        <v>8237</v>
      </c>
      <c r="E824" s="225">
        <v>1368</v>
      </c>
      <c r="F824" t="s">
        <v>8359</v>
      </c>
      <c r="G824" t="s">
        <v>8360</v>
      </c>
      <c r="H824" t="s">
        <v>8246</v>
      </c>
      <c r="I824" s="99">
        <v>43966</v>
      </c>
      <c r="J824">
        <f>YEAR(I824)</f>
        <v>2020</v>
      </c>
      <c r="K824" s="99">
        <v>43968</v>
      </c>
      <c r="L824" t="s">
        <v>8285</v>
      </c>
      <c r="M824" t="s">
        <v>2317</v>
      </c>
    </row>
    <row r="825" spans="2:13" x14ac:dyDescent="0.2">
      <c r="B825">
        <v>10799</v>
      </c>
      <c r="C825" t="s">
        <v>8270</v>
      </c>
      <c r="D825" t="s">
        <v>8272</v>
      </c>
      <c r="E825" s="225">
        <v>76.5</v>
      </c>
      <c r="F825" t="s">
        <v>8359</v>
      </c>
      <c r="G825" t="s">
        <v>8360</v>
      </c>
      <c r="H825" t="s">
        <v>8246</v>
      </c>
      <c r="I825" s="99">
        <v>44026</v>
      </c>
      <c r="J825">
        <f>YEAR(I825)</f>
        <v>2020</v>
      </c>
      <c r="K825" s="99">
        <v>44036</v>
      </c>
      <c r="L825" t="s">
        <v>8279</v>
      </c>
      <c r="M825" t="s">
        <v>710</v>
      </c>
    </row>
    <row r="826" spans="2:13" x14ac:dyDescent="0.2">
      <c r="B826">
        <v>10799</v>
      </c>
      <c r="C826" t="s">
        <v>8281</v>
      </c>
      <c r="D826" t="s">
        <v>8237</v>
      </c>
      <c r="E826" s="225">
        <v>1375</v>
      </c>
      <c r="F826" t="s">
        <v>8359</v>
      </c>
      <c r="G826" t="s">
        <v>8360</v>
      </c>
      <c r="H826" t="s">
        <v>8246</v>
      </c>
      <c r="I826" s="99">
        <v>44026</v>
      </c>
      <c r="J826">
        <f>YEAR(I826)</f>
        <v>2020</v>
      </c>
      <c r="K826" s="99">
        <v>44036</v>
      </c>
      <c r="L826" t="s">
        <v>8279</v>
      </c>
      <c r="M826" t="s">
        <v>710</v>
      </c>
    </row>
    <row r="827" spans="2:13" x14ac:dyDescent="0.2">
      <c r="B827">
        <v>10817</v>
      </c>
      <c r="C827" t="s">
        <v>8380</v>
      </c>
      <c r="D827" t="s">
        <v>8272</v>
      </c>
      <c r="E827" s="225">
        <v>7905</v>
      </c>
      <c r="F827" t="s">
        <v>8359</v>
      </c>
      <c r="G827" t="s">
        <v>8360</v>
      </c>
      <c r="H827" t="s">
        <v>8246</v>
      </c>
      <c r="I827" s="99">
        <v>44037</v>
      </c>
      <c r="J827">
        <f>YEAR(I827)</f>
        <v>2020</v>
      </c>
      <c r="K827" s="99">
        <v>44044</v>
      </c>
      <c r="L827" t="s">
        <v>8257</v>
      </c>
      <c r="M827" t="s">
        <v>6984</v>
      </c>
    </row>
    <row r="828" spans="2:13" x14ac:dyDescent="0.2">
      <c r="B828">
        <v>10817</v>
      </c>
      <c r="C828" t="s">
        <v>8372</v>
      </c>
      <c r="D828" t="s">
        <v>8262</v>
      </c>
      <c r="E828" s="225">
        <v>1061.82</v>
      </c>
      <c r="F828" t="s">
        <v>8359</v>
      </c>
      <c r="G828" t="s">
        <v>8360</v>
      </c>
      <c r="H828" t="s">
        <v>8246</v>
      </c>
      <c r="I828" s="99">
        <v>44037</v>
      </c>
      <c r="J828">
        <f>YEAR(I828)</f>
        <v>2020</v>
      </c>
      <c r="K828" s="99">
        <v>44044</v>
      </c>
      <c r="L828" t="s">
        <v>8257</v>
      </c>
      <c r="M828" t="s">
        <v>6984</v>
      </c>
    </row>
    <row r="829" spans="2:13" x14ac:dyDescent="0.2">
      <c r="B829">
        <v>10817</v>
      </c>
      <c r="C829" t="s">
        <v>8291</v>
      </c>
      <c r="D829" t="s">
        <v>8262</v>
      </c>
      <c r="E829" s="225">
        <v>1047.6199999999999</v>
      </c>
      <c r="F829" t="s">
        <v>8359</v>
      </c>
      <c r="G829" t="s">
        <v>8360</v>
      </c>
      <c r="H829" t="s">
        <v>8246</v>
      </c>
      <c r="I829" s="99">
        <v>44037</v>
      </c>
      <c r="J829">
        <f>YEAR(I829)</f>
        <v>2020</v>
      </c>
      <c r="K829" s="99">
        <v>44044</v>
      </c>
      <c r="L829" t="s">
        <v>8257</v>
      </c>
      <c r="M829" t="s">
        <v>6984</v>
      </c>
    </row>
    <row r="830" spans="2:13" x14ac:dyDescent="0.2">
      <c r="B830">
        <v>10849</v>
      </c>
      <c r="C830" t="s">
        <v>8337</v>
      </c>
      <c r="D830" t="s">
        <v>8254</v>
      </c>
      <c r="E830" s="225">
        <v>490</v>
      </c>
      <c r="F830" t="s">
        <v>8359</v>
      </c>
      <c r="G830" t="s">
        <v>8360</v>
      </c>
      <c r="H830" t="s">
        <v>8246</v>
      </c>
      <c r="I830" s="99">
        <v>44054</v>
      </c>
      <c r="J830">
        <f>YEAR(I830)</f>
        <v>2020</v>
      </c>
      <c r="K830" s="99">
        <v>44060</v>
      </c>
      <c r="L830" t="s">
        <v>8279</v>
      </c>
      <c r="M830" t="s">
        <v>710</v>
      </c>
    </row>
    <row r="831" spans="2:13" x14ac:dyDescent="0.2">
      <c r="B831">
        <v>10849</v>
      </c>
      <c r="C831" t="s">
        <v>8372</v>
      </c>
      <c r="D831" t="s">
        <v>8262</v>
      </c>
      <c r="E831" s="225">
        <v>477.82</v>
      </c>
      <c r="F831" t="s">
        <v>8359</v>
      </c>
      <c r="G831" t="s">
        <v>8360</v>
      </c>
      <c r="H831" t="s">
        <v>8246</v>
      </c>
      <c r="I831" s="99">
        <v>44054</v>
      </c>
      <c r="J831">
        <f>YEAR(I831)</f>
        <v>2020</v>
      </c>
      <c r="K831" s="99">
        <v>44060</v>
      </c>
      <c r="L831" t="s">
        <v>8279</v>
      </c>
      <c r="M831" t="s">
        <v>710</v>
      </c>
    </row>
    <row r="832" spans="2:13" x14ac:dyDescent="0.2">
      <c r="B832">
        <v>10893</v>
      </c>
      <c r="C832" t="s">
        <v>8270</v>
      </c>
      <c r="D832" t="s">
        <v>8272</v>
      </c>
      <c r="E832" s="225">
        <v>45</v>
      </c>
      <c r="F832" t="s">
        <v>8359</v>
      </c>
      <c r="G832" t="s">
        <v>8360</v>
      </c>
      <c r="H832" t="s">
        <v>8246</v>
      </c>
      <c r="I832" s="99">
        <v>44079</v>
      </c>
      <c r="J832">
        <f>YEAR(I832)</f>
        <v>2020</v>
      </c>
      <c r="K832" s="99">
        <v>44081</v>
      </c>
      <c r="L832" t="s">
        <v>8279</v>
      </c>
      <c r="M832" t="s">
        <v>710</v>
      </c>
    </row>
    <row r="833" spans="2:13" x14ac:dyDescent="0.2">
      <c r="B833">
        <v>10893</v>
      </c>
      <c r="C833" t="s">
        <v>8379</v>
      </c>
      <c r="D833" t="s">
        <v>8254</v>
      </c>
      <c r="E833" s="225">
        <v>1200</v>
      </c>
      <c r="F833" t="s">
        <v>8359</v>
      </c>
      <c r="G833" t="s">
        <v>8360</v>
      </c>
      <c r="H833" t="s">
        <v>8246</v>
      </c>
      <c r="I833" s="99">
        <v>44079</v>
      </c>
      <c r="J833">
        <f>YEAR(I833)</f>
        <v>2020</v>
      </c>
      <c r="K833" s="99">
        <v>44081</v>
      </c>
      <c r="L833" t="s">
        <v>8279</v>
      </c>
      <c r="M833" t="s">
        <v>710</v>
      </c>
    </row>
    <row r="834" spans="2:13" x14ac:dyDescent="0.2">
      <c r="B834">
        <v>11028</v>
      </c>
      <c r="C834" t="s">
        <v>8281</v>
      </c>
      <c r="D834" t="s">
        <v>8237</v>
      </c>
      <c r="E834" s="225">
        <v>1320</v>
      </c>
      <c r="F834" t="s">
        <v>8359</v>
      </c>
      <c r="G834" t="s">
        <v>8360</v>
      </c>
      <c r="H834" t="s">
        <v>8246</v>
      </c>
      <c r="I834" s="99">
        <v>44136</v>
      </c>
      <c r="J834">
        <f>YEAR(I834)</f>
        <v>2020</v>
      </c>
      <c r="K834" s="99">
        <v>44142</v>
      </c>
      <c r="L834" t="s">
        <v>8297</v>
      </c>
      <c r="M834" t="s">
        <v>8298</v>
      </c>
    </row>
    <row r="835" spans="2:13" x14ac:dyDescent="0.2">
      <c r="B835">
        <v>10858</v>
      </c>
      <c r="C835" t="s">
        <v>8288</v>
      </c>
      <c r="D835" t="s">
        <v>8272</v>
      </c>
      <c r="E835" s="225">
        <v>60</v>
      </c>
      <c r="F835" t="s">
        <v>8430</v>
      </c>
      <c r="G835" t="s">
        <v>8431</v>
      </c>
      <c r="H835" t="s">
        <v>8236</v>
      </c>
      <c r="I835" s="99">
        <v>44044</v>
      </c>
      <c r="J835">
        <f>YEAR(I835)</f>
        <v>2020</v>
      </c>
      <c r="K835" s="99">
        <v>44064</v>
      </c>
      <c r="L835" t="s">
        <v>8297</v>
      </c>
      <c r="M835" t="s">
        <v>8298</v>
      </c>
    </row>
    <row r="836" spans="2:13" x14ac:dyDescent="0.2">
      <c r="B836">
        <v>10858</v>
      </c>
      <c r="C836" t="s">
        <v>8332</v>
      </c>
      <c r="D836" t="s">
        <v>8262</v>
      </c>
      <c r="E836" s="225">
        <v>439</v>
      </c>
      <c r="F836" t="s">
        <v>8430</v>
      </c>
      <c r="G836" t="s">
        <v>8431</v>
      </c>
      <c r="H836" t="s">
        <v>8236</v>
      </c>
      <c r="I836" s="99">
        <v>44044</v>
      </c>
      <c r="J836">
        <f>YEAR(I836)</f>
        <v>2020</v>
      </c>
      <c r="K836" s="99">
        <v>44064</v>
      </c>
      <c r="L836" t="s">
        <v>8297</v>
      </c>
      <c r="M836" t="s">
        <v>8298</v>
      </c>
    </row>
    <row r="837" spans="2:13" x14ac:dyDescent="0.2">
      <c r="B837">
        <v>10858</v>
      </c>
      <c r="C837" t="s">
        <v>8415</v>
      </c>
      <c r="D837" t="s">
        <v>8247</v>
      </c>
      <c r="E837" s="225">
        <v>150</v>
      </c>
      <c r="F837" t="s">
        <v>8430</v>
      </c>
      <c r="G837" t="s">
        <v>8431</v>
      </c>
      <c r="H837" t="s">
        <v>8236</v>
      </c>
      <c r="I837" s="99">
        <v>44044</v>
      </c>
      <c r="J837">
        <f>YEAR(I837)</f>
        <v>2020</v>
      </c>
      <c r="K837" s="99">
        <v>44064</v>
      </c>
      <c r="L837" t="s">
        <v>8297</v>
      </c>
      <c r="M837" t="s">
        <v>8298</v>
      </c>
    </row>
    <row r="838" spans="2:13" x14ac:dyDescent="0.2">
      <c r="B838">
        <v>10927</v>
      </c>
      <c r="C838" t="s">
        <v>8303</v>
      </c>
      <c r="D838" t="s">
        <v>8272</v>
      </c>
      <c r="E838" s="225">
        <v>360</v>
      </c>
      <c r="F838" t="s">
        <v>8430</v>
      </c>
      <c r="G838" t="s">
        <v>8431</v>
      </c>
      <c r="H838" t="s">
        <v>8236</v>
      </c>
      <c r="I838" s="99">
        <v>44094</v>
      </c>
      <c r="J838">
        <f>YEAR(I838)</f>
        <v>2020</v>
      </c>
      <c r="K838" s="99">
        <v>44128</v>
      </c>
      <c r="L838" t="s">
        <v>8266</v>
      </c>
      <c r="M838" t="s">
        <v>8267</v>
      </c>
    </row>
    <row r="839" spans="2:13" x14ac:dyDescent="0.2">
      <c r="B839">
        <v>10927</v>
      </c>
      <c r="C839" t="s">
        <v>8260</v>
      </c>
      <c r="D839" t="s">
        <v>8262</v>
      </c>
      <c r="E839" s="225">
        <v>405</v>
      </c>
      <c r="F839" t="s">
        <v>8430</v>
      </c>
      <c r="G839" t="s">
        <v>8431</v>
      </c>
      <c r="H839" t="s">
        <v>8236</v>
      </c>
      <c r="I839" s="99">
        <v>44094</v>
      </c>
      <c r="J839">
        <f>YEAR(I839)</f>
        <v>2020</v>
      </c>
      <c r="K839" s="99">
        <v>44128</v>
      </c>
      <c r="L839" t="s">
        <v>8266</v>
      </c>
      <c r="M839" t="s">
        <v>8267</v>
      </c>
    </row>
    <row r="840" spans="2:13" x14ac:dyDescent="0.2">
      <c r="B840">
        <v>10927</v>
      </c>
      <c r="C840" t="s">
        <v>8369</v>
      </c>
      <c r="D840" t="s">
        <v>8244</v>
      </c>
      <c r="E840" s="225">
        <v>35</v>
      </c>
      <c r="F840" t="s">
        <v>8430</v>
      </c>
      <c r="G840" t="s">
        <v>8431</v>
      </c>
      <c r="H840" t="s">
        <v>8236</v>
      </c>
      <c r="I840" s="99">
        <v>44094</v>
      </c>
      <c r="J840">
        <f>YEAR(I840)</f>
        <v>2020</v>
      </c>
      <c r="K840" s="99">
        <v>44128</v>
      </c>
      <c r="L840" t="s">
        <v>8266</v>
      </c>
      <c r="M840" t="s">
        <v>8267</v>
      </c>
    </row>
    <row r="841" spans="2:13" x14ac:dyDescent="0.2">
      <c r="B841">
        <v>10972</v>
      </c>
      <c r="C841" t="s">
        <v>8269</v>
      </c>
      <c r="D841" t="s">
        <v>8237</v>
      </c>
      <c r="E841" s="225">
        <v>17.5</v>
      </c>
      <c r="F841" t="s">
        <v>8430</v>
      </c>
      <c r="G841" t="s">
        <v>8431</v>
      </c>
      <c r="H841" t="s">
        <v>8236</v>
      </c>
      <c r="I841" s="99">
        <v>44113</v>
      </c>
      <c r="J841">
        <f>YEAR(I841)</f>
        <v>2020</v>
      </c>
      <c r="K841" s="99">
        <v>44115</v>
      </c>
      <c r="L841" t="s">
        <v>8266</v>
      </c>
      <c r="M841" t="s">
        <v>8267</v>
      </c>
    </row>
    <row r="842" spans="2:13" x14ac:dyDescent="0.2">
      <c r="B842">
        <v>10973</v>
      </c>
      <c r="C842" t="s">
        <v>8328</v>
      </c>
      <c r="D842" t="s">
        <v>8272</v>
      </c>
      <c r="E842" s="225">
        <v>77.5</v>
      </c>
      <c r="F842" t="s">
        <v>8430</v>
      </c>
      <c r="G842" t="s">
        <v>8431</v>
      </c>
      <c r="H842" t="s">
        <v>8236</v>
      </c>
      <c r="I842" s="99">
        <v>44113</v>
      </c>
      <c r="J842">
        <f>YEAR(I842)</f>
        <v>2020</v>
      </c>
      <c r="K842" s="99">
        <v>44116</v>
      </c>
      <c r="L842" t="s">
        <v>8251</v>
      </c>
      <c r="M842" t="s">
        <v>269</v>
      </c>
    </row>
    <row r="843" spans="2:13" x14ac:dyDescent="0.2">
      <c r="B843">
        <v>10973</v>
      </c>
      <c r="C843" t="s">
        <v>8372</v>
      </c>
      <c r="D843" t="s">
        <v>8262</v>
      </c>
      <c r="E843" s="225">
        <v>156.15</v>
      </c>
      <c r="F843" t="s">
        <v>8430</v>
      </c>
      <c r="G843" t="s">
        <v>8431</v>
      </c>
      <c r="H843" t="s">
        <v>8236</v>
      </c>
      <c r="I843" s="99">
        <v>44113</v>
      </c>
      <c r="J843">
        <f>YEAR(I843)</f>
        <v>2020</v>
      </c>
      <c r="K843" s="99">
        <v>44116</v>
      </c>
      <c r="L843" t="s">
        <v>8251</v>
      </c>
      <c r="M843" t="s">
        <v>269</v>
      </c>
    </row>
    <row r="844" spans="2:13" x14ac:dyDescent="0.2">
      <c r="B844">
        <v>10350</v>
      </c>
      <c r="C844" t="s">
        <v>8381</v>
      </c>
      <c r="D844" t="s">
        <v>8262</v>
      </c>
      <c r="E844" s="225">
        <v>175.5</v>
      </c>
      <c r="F844" t="s">
        <v>8382</v>
      </c>
      <c r="G844" t="s">
        <v>8383</v>
      </c>
      <c r="H844" t="s">
        <v>8236</v>
      </c>
      <c r="I844" s="99">
        <v>43616</v>
      </c>
      <c r="J844">
        <f>YEAR(I844)</f>
        <v>2019</v>
      </c>
      <c r="K844" s="99">
        <v>43638</v>
      </c>
      <c r="L844" t="s">
        <v>8251</v>
      </c>
      <c r="M844" t="s">
        <v>269</v>
      </c>
    </row>
    <row r="845" spans="2:13" x14ac:dyDescent="0.2">
      <c r="B845">
        <v>10350</v>
      </c>
      <c r="C845" t="s">
        <v>8353</v>
      </c>
      <c r="D845" t="s">
        <v>8237</v>
      </c>
      <c r="E845" s="225">
        <v>466.56</v>
      </c>
      <c r="F845" t="s">
        <v>8382</v>
      </c>
      <c r="G845" t="s">
        <v>8383</v>
      </c>
      <c r="H845" t="s">
        <v>8236</v>
      </c>
      <c r="I845" s="99">
        <v>43616</v>
      </c>
      <c r="J845">
        <f>YEAR(I845)</f>
        <v>2019</v>
      </c>
      <c r="K845" s="99">
        <v>43638</v>
      </c>
      <c r="L845" t="s">
        <v>8251</v>
      </c>
      <c r="M845" t="s">
        <v>269</v>
      </c>
    </row>
    <row r="846" spans="2:13" x14ac:dyDescent="0.2">
      <c r="B846">
        <v>10358</v>
      </c>
      <c r="C846" t="s">
        <v>8270</v>
      </c>
      <c r="D846" t="s">
        <v>8272</v>
      </c>
      <c r="E846" s="225">
        <v>34.200000000000003</v>
      </c>
      <c r="F846" t="s">
        <v>8382</v>
      </c>
      <c r="G846" t="s">
        <v>8383</v>
      </c>
      <c r="H846" t="s">
        <v>8236</v>
      </c>
      <c r="I846" s="99">
        <v>43625</v>
      </c>
      <c r="J846">
        <f>YEAR(I846)</f>
        <v>2019</v>
      </c>
      <c r="K846" s="99">
        <v>43632</v>
      </c>
      <c r="L846" t="s">
        <v>8241</v>
      </c>
      <c r="M846" t="s">
        <v>6934</v>
      </c>
    </row>
    <row r="847" spans="2:13" x14ac:dyDescent="0.2">
      <c r="B847">
        <v>10358</v>
      </c>
      <c r="C847" t="s">
        <v>8358</v>
      </c>
      <c r="D847" t="s">
        <v>8272</v>
      </c>
      <c r="E847" s="225">
        <v>106.4</v>
      </c>
      <c r="F847" t="s">
        <v>8382</v>
      </c>
      <c r="G847" t="s">
        <v>8383</v>
      </c>
      <c r="H847" t="s">
        <v>8236</v>
      </c>
      <c r="I847" s="99">
        <v>43625</v>
      </c>
      <c r="J847">
        <f>YEAR(I847)</f>
        <v>2019</v>
      </c>
      <c r="K847" s="99">
        <v>43632</v>
      </c>
      <c r="L847" t="s">
        <v>8241</v>
      </c>
      <c r="M847" t="s">
        <v>6934</v>
      </c>
    </row>
    <row r="848" spans="2:13" x14ac:dyDescent="0.2">
      <c r="B848">
        <v>10413</v>
      </c>
      <c r="C848" t="s">
        <v>8333</v>
      </c>
      <c r="D848" t="s">
        <v>8272</v>
      </c>
      <c r="E848" s="225">
        <v>345.6</v>
      </c>
      <c r="F848" t="s">
        <v>8382</v>
      </c>
      <c r="G848" t="s">
        <v>8383</v>
      </c>
      <c r="H848" t="s">
        <v>8236</v>
      </c>
      <c r="I848" s="99">
        <v>43680</v>
      </c>
      <c r="J848">
        <f>YEAR(I848)</f>
        <v>2019</v>
      </c>
      <c r="K848" s="99">
        <v>43682</v>
      </c>
      <c r="L848" t="s">
        <v>8257</v>
      </c>
      <c r="M848" t="s">
        <v>6984</v>
      </c>
    </row>
    <row r="849" spans="2:13" x14ac:dyDescent="0.2">
      <c r="B849">
        <v>10413</v>
      </c>
      <c r="C849" t="s">
        <v>8303</v>
      </c>
      <c r="D849" t="s">
        <v>8272</v>
      </c>
      <c r="E849" s="225">
        <v>201.6</v>
      </c>
      <c r="F849" t="s">
        <v>8382</v>
      </c>
      <c r="G849" t="s">
        <v>8383</v>
      </c>
      <c r="H849" t="s">
        <v>8236</v>
      </c>
      <c r="I849" s="99">
        <v>43680</v>
      </c>
      <c r="J849">
        <f>YEAR(I849)</f>
        <v>2019</v>
      </c>
      <c r="K849" s="99">
        <v>43682</v>
      </c>
      <c r="L849" t="s">
        <v>8257</v>
      </c>
      <c r="M849" t="s">
        <v>6984</v>
      </c>
    </row>
    <row r="850" spans="2:13" x14ac:dyDescent="0.2">
      <c r="B850">
        <v>10413</v>
      </c>
      <c r="C850" t="s">
        <v>8291</v>
      </c>
      <c r="D850" t="s">
        <v>8262</v>
      </c>
      <c r="E850" s="225">
        <v>1576</v>
      </c>
      <c r="F850" t="s">
        <v>8382</v>
      </c>
      <c r="G850" t="s">
        <v>8383</v>
      </c>
      <c r="H850" t="s">
        <v>8236</v>
      </c>
      <c r="I850" s="99">
        <v>43680</v>
      </c>
      <c r="J850">
        <f>YEAR(I850)</f>
        <v>2019</v>
      </c>
      <c r="K850" s="99">
        <v>43682</v>
      </c>
      <c r="L850" t="s">
        <v>8257</v>
      </c>
      <c r="M850" t="s">
        <v>6984</v>
      </c>
    </row>
    <row r="851" spans="2:13" x14ac:dyDescent="0.2">
      <c r="B851">
        <v>10425</v>
      </c>
      <c r="C851" t="s">
        <v>8303</v>
      </c>
      <c r="D851" t="s">
        <v>8272</v>
      </c>
      <c r="E851" s="225">
        <v>216</v>
      </c>
      <c r="F851" t="s">
        <v>8382</v>
      </c>
      <c r="G851" t="s">
        <v>8383</v>
      </c>
      <c r="H851" t="s">
        <v>8236</v>
      </c>
      <c r="I851" s="99">
        <v>43690</v>
      </c>
      <c r="J851">
        <f>YEAR(I851)</f>
        <v>2019</v>
      </c>
      <c r="K851" s="99">
        <v>43711</v>
      </c>
      <c r="L851" t="s">
        <v>8251</v>
      </c>
      <c r="M851" t="s">
        <v>269</v>
      </c>
    </row>
    <row r="852" spans="2:13" x14ac:dyDescent="0.2">
      <c r="B852">
        <v>10454</v>
      </c>
      <c r="C852" t="s">
        <v>8280</v>
      </c>
      <c r="D852" t="s">
        <v>8262</v>
      </c>
      <c r="E852" s="225">
        <v>222.4</v>
      </c>
      <c r="F852" t="s">
        <v>8382</v>
      </c>
      <c r="G852" t="s">
        <v>8383</v>
      </c>
      <c r="H852" t="s">
        <v>8236</v>
      </c>
      <c r="I852" s="99">
        <v>43718</v>
      </c>
      <c r="J852">
        <f>YEAR(I852)</f>
        <v>2019</v>
      </c>
      <c r="K852" s="99">
        <v>43722</v>
      </c>
      <c r="L852" t="s">
        <v>8266</v>
      </c>
      <c r="M852" t="s">
        <v>8267</v>
      </c>
    </row>
    <row r="853" spans="2:13" x14ac:dyDescent="0.2">
      <c r="B853">
        <v>10454</v>
      </c>
      <c r="C853" t="s">
        <v>8269</v>
      </c>
      <c r="D853" t="s">
        <v>8237</v>
      </c>
      <c r="E853" s="225">
        <v>32</v>
      </c>
      <c r="F853" t="s">
        <v>8382</v>
      </c>
      <c r="G853" t="s">
        <v>8383</v>
      </c>
      <c r="H853" t="s">
        <v>8236</v>
      </c>
      <c r="I853" s="99">
        <v>43718</v>
      </c>
      <c r="J853">
        <f>YEAR(I853)</f>
        <v>2019</v>
      </c>
      <c r="K853" s="99">
        <v>43722</v>
      </c>
      <c r="L853" t="s">
        <v>8266</v>
      </c>
      <c r="M853" t="s">
        <v>8267</v>
      </c>
    </row>
    <row r="854" spans="2:13" x14ac:dyDescent="0.2">
      <c r="B854">
        <v>10493</v>
      </c>
      <c r="C854" t="s">
        <v>8253</v>
      </c>
      <c r="D854" t="s">
        <v>8254</v>
      </c>
      <c r="E854" s="225">
        <v>226.8</v>
      </c>
      <c r="F854" t="s">
        <v>8382</v>
      </c>
      <c r="G854" t="s">
        <v>8383</v>
      </c>
      <c r="H854" t="s">
        <v>8236</v>
      </c>
      <c r="I854" s="99">
        <v>43758</v>
      </c>
      <c r="J854">
        <f>YEAR(I854)</f>
        <v>2019</v>
      </c>
      <c r="K854" s="99">
        <v>43766</v>
      </c>
      <c r="L854" t="s">
        <v>8266</v>
      </c>
      <c r="M854" t="s">
        <v>8267</v>
      </c>
    </row>
    <row r="855" spans="2:13" x14ac:dyDescent="0.2">
      <c r="B855">
        <v>10493</v>
      </c>
      <c r="C855" t="s">
        <v>8348</v>
      </c>
      <c r="D855" t="s">
        <v>8254</v>
      </c>
      <c r="E855" s="225">
        <v>122.4</v>
      </c>
      <c r="F855" t="s">
        <v>8382</v>
      </c>
      <c r="G855" t="s">
        <v>8383</v>
      </c>
      <c r="H855" t="s">
        <v>8236</v>
      </c>
      <c r="I855" s="99">
        <v>43758</v>
      </c>
      <c r="J855">
        <f>YEAR(I855)</f>
        <v>2019</v>
      </c>
      <c r="K855" s="99">
        <v>43766</v>
      </c>
      <c r="L855" t="s">
        <v>8266</v>
      </c>
      <c r="M855" t="s">
        <v>8267</v>
      </c>
    </row>
    <row r="856" spans="2:13" x14ac:dyDescent="0.2">
      <c r="B856">
        <v>10493</v>
      </c>
      <c r="C856" t="s">
        <v>8353</v>
      </c>
      <c r="D856" t="s">
        <v>8237</v>
      </c>
      <c r="E856" s="225">
        <v>259.2</v>
      </c>
      <c r="F856" t="s">
        <v>8382</v>
      </c>
      <c r="G856" t="s">
        <v>8383</v>
      </c>
      <c r="H856" t="s">
        <v>8236</v>
      </c>
      <c r="I856" s="99">
        <v>43758</v>
      </c>
      <c r="J856">
        <f>YEAR(I856)</f>
        <v>2019</v>
      </c>
      <c r="K856" s="99">
        <v>43766</v>
      </c>
      <c r="L856" t="s">
        <v>8266</v>
      </c>
      <c r="M856" t="s">
        <v>8267</v>
      </c>
    </row>
    <row r="857" spans="2:13" x14ac:dyDescent="0.2">
      <c r="B857">
        <v>10500</v>
      </c>
      <c r="C857" t="s">
        <v>8361</v>
      </c>
      <c r="D857" t="s">
        <v>8254</v>
      </c>
      <c r="E857" s="225">
        <v>176.7</v>
      </c>
      <c r="F857" t="s">
        <v>8382</v>
      </c>
      <c r="G857" t="s">
        <v>8383</v>
      </c>
      <c r="H857" t="s">
        <v>8236</v>
      </c>
      <c r="I857" s="99">
        <v>43765</v>
      </c>
      <c r="J857">
        <f>YEAR(I857)</f>
        <v>2019</v>
      </c>
      <c r="K857" s="99">
        <v>43773</v>
      </c>
      <c r="L857" t="s">
        <v>8251</v>
      </c>
      <c r="M857" t="s">
        <v>269</v>
      </c>
    </row>
    <row r="858" spans="2:13" x14ac:dyDescent="0.2">
      <c r="B858">
        <v>10500</v>
      </c>
      <c r="C858" t="s">
        <v>8316</v>
      </c>
      <c r="D858" t="s">
        <v>8247</v>
      </c>
      <c r="E858" s="225">
        <v>346.56</v>
      </c>
      <c r="F858" t="s">
        <v>8382</v>
      </c>
      <c r="G858" t="s">
        <v>8383</v>
      </c>
      <c r="H858" t="s">
        <v>8236</v>
      </c>
      <c r="I858" s="99">
        <v>43765</v>
      </c>
      <c r="J858">
        <f>YEAR(I858)</f>
        <v>2019</v>
      </c>
      <c r="K858" s="99">
        <v>43773</v>
      </c>
      <c r="L858" t="s">
        <v>8251</v>
      </c>
      <c r="M858" t="s">
        <v>269</v>
      </c>
    </row>
    <row r="859" spans="2:13" x14ac:dyDescent="0.2">
      <c r="B859">
        <v>10631</v>
      </c>
      <c r="C859" t="s">
        <v>8328</v>
      </c>
      <c r="D859" t="s">
        <v>8272</v>
      </c>
      <c r="E859" s="225">
        <v>55.8</v>
      </c>
      <c r="F859" t="s">
        <v>8382</v>
      </c>
      <c r="G859" t="s">
        <v>8383</v>
      </c>
      <c r="H859" t="s">
        <v>8236</v>
      </c>
      <c r="I859" s="99">
        <v>43892</v>
      </c>
      <c r="J859">
        <f>YEAR(I859)</f>
        <v>2020</v>
      </c>
      <c r="K859" s="99">
        <v>43893</v>
      </c>
      <c r="L859" t="s">
        <v>8320</v>
      </c>
      <c r="M859" t="s">
        <v>8321</v>
      </c>
    </row>
    <row r="860" spans="2:13" x14ac:dyDescent="0.2">
      <c r="B860">
        <v>10787</v>
      </c>
      <c r="C860" t="s">
        <v>8276</v>
      </c>
      <c r="D860" t="s">
        <v>8272</v>
      </c>
      <c r="E860" s="225">
        <v>270.75</v>
      </c>
      <c r="F860" t="s">
        <v>8382</v>
      </c>
      <c r="G860" t="s">
        <v>8383</v>
      </c>
      <c r="H860" t="s">
        <v>8236</v>
      </c>
      <c r="I860" s="99">
        <v>44019</v>
      </c>
      <c r="J860">
        <f>YEAR(I860)</f>
        <v>2020</v>
      </c>
      <c r="K860" s="99">
        <v>44026</v>
      </c>
      <c r="L860" t="s">
        <v>8297</v>
      </c>
      <c r="M860" t="s">
        <v>8298</v>
      </c>
    </row>
    <row r="861" spans="2:13" x14ac:dyDescent="0.2">
      <c r="B861">
        <v>10832</v>
      </c>
      <c r="C861" t="s">
        <v>8322</v>
      </c>
      <c r="D861" t="s">
        <v>8254</v>
      </c>
      <c r="E861" s="225">
        <v>248.96</v>
      </c>
      <c r="F861" t="s">
        <v>8382</v>
      </c>
      <c r="G861" t="s">
        <v>8383</v>
      </c>
      <c r="H861" t="s">
        <v>8236</v>
      </c>
      <c r="I861" s="99">
        <v>44045</v>
      </c>
      <c r="J861">
        <f>YEAR(I861)</f>
        <v>2020</v>
      </c>
      <c r="K861" s="99">
        <v>44050</v>
      </c>
      <c r="L861" t="s">
        <v>8297</v>
      </c>
      <c r="M861" t="s">
        <v>8298</v>
      </c>
    </row>
    <row r="862" spans="2:13" x14ac:dyDescent="0.2">
      <c r="B862">
        <v>10832</v>
      </c>
      <c r="C862" t="s">
        <v>8362</v>
      </c>
      <c r="D862" t="s">
        <v>8262</v>
      </c>
      <c r="E862" s="225">
        <v>112</v>
      </c>
      <c r="F862" t="s">
        <v>8382</v>
      </c>
      <c r="G862" t="s">
        <v>8383</v>
      </c>
      <c r="H862" t="s">
        <v>8236</v>
      </c>
      <c r="I862" s="99">
        <v>44045</v>
      </c>
      <c r="J862">
        <f>YEAR(I862)</f>
        <v>2020</v>
      </c>
      <c r="K862" s="99">
        <v>44050</v>
      </c>
      <c r="L862" t="s">
        <v>8297</v>
      </c>
      <c r="M862" t="s">
        <v>8298</v>
      </c>
    </row>
    <row r="863" spans="2:13" x14ac:dyDescent="0.2">
      <c r="B863">
        <v>10832</v>
      </c>
      <c r="C863" t="s">
        <v>8340</v>
      </c>
      <c r="D863" t="s">
        <v>8244</v>
      </c>
      <c r="E863" s="225">
        <v>99.75</v>
      </c>
      <c r="F863" t="s">
        <v>8382</v>
      </c>
      <c r="G863" t="s">
        <v>8383</v>
      </c>
      <c r="H863" t="s">
        <v>8236</v>
      </c>
      <c r="I863" s="99">
        <v>44045</v>
      </c>
      <c r="J863">
        <f>YEAR(I863)</f>
        <v>2020</v>
      </c>
      <c r="K863" s="99">
        <v>44050</v>
      </c>
      <c r="L863" t="s">
        <v>8297</v>
      </c>
      <c r="M863" t="s">
        <v>8298</v>
      </c>
    </row>
    <row r="864" spans="2:13" x14ac:dyDescent="0.2">
      <c r="B864">
        <v>10923</v>
      </c>
      <c r="C864" t="s">
        <v>8306</v>
      </c>
      <c r="D864" t="s">
        <v>8272</v>
      </c>
      <c r="E864" s="225">
        <v>368</v>
      </c>
      <c r="F864" t="s">
        <v>8382</v>
      </c>
      <c r="G864" t="s">
        <v>8383</v>
      </c>
      <c r="H864" t="s">
        <v>8236</v>
      </c>
      <c r="I864" s="99">
        <v>44092</v>
      </c>
      <c r="J864">
        <f>YEAR(I864)</f>
        <v>2020</v>
      </c>
      <c r="K864" s="99">
        <v>44103</v>
      </c>
      <c r="L864" t="s">
        <v>8158</v>
      </c>
      <c r="M864" t="s">
        <v>861</v>
      </c>
    </row>
    <row r="865" spans="2:13" x14ac:dyDescent="0.2">
      <c r="B865">
        <v>10923</v>
      </c>
      <c r="C865" t="s">
        <v>8329</v>
      </c>
      <c r="D865" t="s">
        <v>8272</v>
      </c>
      <c r="E865" s="225">
        <v>268.8</v>
      </c>
      <c r="F865" t="s">
        <v>8382</v>
      </c>
      <c r="G865" t="s">
        <v>8383</v>
      </c>
      <c r="H865" t="s">
        <v>8236</v>
      </c>
      <c r="I865" s="99">
        <v>44092</v>
      </c>
      <c r="J865">
        <f>YEAR(I865)</f>
        <v>2020</v>
      </c>
      <c r="K865" s="99">
        <v>44103</v>
      </c>
      <c r="L865" t="s">
        <v>8158</v>
      </c>
      <c r="M865" t="s">
        <v>861</v>
      </c>
    </row>
    <row r="866" spans="2:13" x14ac:dyDescent="0.2">
      <c r="B866">
        <v>10923</v>
      </c>
      <c r="C866" t="s">
        <v>8243</v>
      </c>
      <c r="D866" t="s">
        <v>8244</v>
      </c>
      <c r="E866" s="225">
        <v>112</v>
      </c>
      <c r="F866" t="s">
        <v>8382</v>
      </c>
      <c r="G866" t="s">
        <v>8383</v>
      </c>
      <c r="H866" t="s">
        <v>8236</v>
      </c>
      <c r="I866" s="99">
        <v>44092</v>
      </c>
      <c r="J866">
        <f>YEAR(I866)</f>
        <v>2020</v>
      </c>
      <c r="K866" s="99">
        <v>44103</v>
      </c>
      <c r="L866" t="s">
        <v>8158</v>
      </c>
      <c r="M866" t="s">
        <v>861</v>
      </c>
    </row>
    <row r="867" spans="2:13" x14ac:dyDescent="0.2">
      <c r="B867">
        <v>11051</v>
      </c>
      <c r="C867" t="s">
        <v>8270</v>
      </c>
      <c r="D867" t="s">
        <v>8272</v>
      </c>
      <c r="E867" s="225">
        <v>36</v>
      </c>
      <c r="F867" t="s">
        <v>8382</v>
      </c>
      <c r="G867" t="s">
        <v>8383</v>
      </c>
      <c r="H867" t="s">
        <v>8236</v>
      </c>
      <c r="I867" s="99">
        <v>44147</v>
      </c>
      <c r="J867">
        <f>YEAR(I867)</f>
        <v>2020</v>
      </c>
      <c r="L867" t="s">
        <v>8158</v>
      </c>
      <c r="M867" t="s">
        <v>861</v>
      </c>
    </row>
    <row r="868" spans="2:13" x14ac:dyDescent="0.2">
      <c r="B868">
        <v>11104</v>
      </c>
      <c r="C868" t="s">
        <v>8270</v>
      </c>
      <c r="D868" t="s">
        <v>8272</v>
      </c>
      <c r="E868" s="225">
        <v>34.200000000000003</v>
      </c>
      <c r="F868" t="s">
        <v>8382</v>
      </c>
      <c r="G868" t="s">
        <v>8383</v>
      </c>
      <c r="H868" t="s">
        <v>8236</v>
      </c>
      <c r="I868" s="99">
        <v>43825</v>
      </c>
      <c r="J868">
        <f>YEAR(I868)</f>
        <v>2019</v>
      </c>
      <c r="K868" s="99">
        <v>43832</v>
      </c>
      <c r="L868" t="s">
        <v>8241</v>
      </c>
      <c r="M868" t="s">
        <v>6934</v>
      </c>
    </row>
    <row r="869" spans="2:13" x14ac:dyDescent="0.2">
      <c r="B869">
        <v>11104</v>
      </c>
      <c r="C869" t="s">
        <v>8358</v>
      </c>
      <c r="D869" t="s">
        <v>8272</v>
      </c>
      <c r="E869" s="225">
        <v>106.4</v>
      </c>
      <c r="F869" t="s">
        <v>8382</v>
      </c>
      <c r="G869" t="s">
        <v>8383</v>
      </c>
      <c r="H869" t="s">
        <v>8236</v>
      </c>
      <c r="I869" s="99">
        <v>43825</v>
      </c>
      <c r="J869">
        <f>YEAR(I869)</f>
        <v>2019</v>
      </c>
      <c r="K869" s="99">
        <v>43832</v>
      </c>
      <c r="L869" t="s">
        <v>8241</v>
      </c>
      <c r="M869" t="s">
        <v>6934</v>
      </c>
    </row>
    <row r="870" spans="2:13" x14ac:dyDescent="0.2">
      <c r="B870">
        <v>11115</v>
      </c>
      <c r="C870" t="s">
        <v>8381</v>
      </c>
      <c r="D870" t="s">
        <v>8262</v>
      </c>
      <c r="E870" s="225">
        <v>175.5</v>
      </c>
      <c r="F870" t="s">
        <v>8382</v>
      </c>
      <c r="G870" t="s">
        <v>8383</v>
      </c>
      <c r="H870" t="s">
        <v>8236</v>
      </c>
      <c r="I870" s="99">
        <v>43816</v>
      </c>
      <c r="J870">
        <f>YEAR(I870)</f>
        <v>2019</v>
      </c>
      <c r="K870" s="99">
        <v>43838</v>
      </c>
      <c r="L870" t="s">
        <v>8251</v>
      </c>
      <c r="M870" t="s">
        <v>269</v>
      </c>
    </row>
    <row r="871" spans="2:13" x14ac:dyDescent="0.2">
      <c r="B871">
        <v>11115</v>
      </c>
      <c r="C871" t="s">
        <v>8353</v>
      </c>
      <c r="D871" t="s">
        <v>8237</v>
      </c>
      <c r="E871" s="225">
        <v>466.56</v>
      </c>
      <c r="F871" t="s">
        <v>8382</v>
      </c>
      <c r="G871" t="s">
        <v>8383</v>
      </c>
      <c r="H871" t="s">
        <v>8236</v>
      </c>
      <c r="I871" s="99">
        <v>43816</v>
      </c>
      <c r="J871">
        <f>YEAR(I871)</f>
        <v>2019</v>
      </c>
      <c r="K871" s="99">
        <v>43838</v>
      </c>
      <c r="L871" t="s">
        <v>8251</v>
      </c>
      <c r="M871" t="s">
        <v>269</v>
      </c>
    </row>
    <row r="872" spans="2:13" x14ac:dyDescent="0.2">
      <c r="B872">
        <v>11137</v>
      </c>
      <c r="C872" t="s">
        <v>8333</v>
      </c>
      <c r="D872" t="s">
        <v>8272</v>
      </c>
      <c r="E872" s="225">
        <v>345.6</v>
      </c>
      <c r="F872" t="s">
        <v>8382</v>
      </c>
      <c r="G872" t="s">
        <v>8383</v>
      </c>
      <c r="H872" t="s">
        <v>8236</v>
      </c>
      <c r="I872" s="99">
        <v>43880</v>
      </c>
      <c r="J872">
        <f>YEAR(I872)</f>
        <v>2020</v>
      </c>
      <c r="K872" s="99">
        <v>43882</v>
      </c>
      <c r="L872" t="s">
        <v>8257</v>
      </c>
      <c r="M872" t="s">
        <v>6984</v>
      </c>
    </row>
    <row r="873" spans="2:13" x14ac:dyDescent="0.2">
      <c r="B873">
        <v>11137</v>
      </c>
      <c r="C873" t="s">
        <v>8303</v>
      </c>
      <c r="D873" t="s">
        <v>8272</v>
      </c>
      <c r="E873" s="225">
        <v>201.6</v>
      </c>
      <c r="F873" t="s">
        <v>8382</v>
      </c>
      <c r="G873" t="s">
        <v>8383</v>
      </c>
      <c r="H873" t="s">
        <v>8236</v>
      </c>
      <c r="I873" s="99">
        <v>43880</v>
      </c>
      <c r="J873">
        <f>YEAR(I873)</f>
        <v>2020</v>
      </c>
      <c r="K873" s="99">
        <v>43882</v>
      </c>
      <c r="L873" t="s">
        <v>8257</v>
      </c>
      <c r="M873" t="s">
        <v>6984</v>
      </c>
    </row>
    <row r="874" spans="2:13" x14ac:dyDescent="0.2">
      <c r="B874">
        <v>11137</v>
      </c>
      <c r="C874" t="s">
        <v>8291</v>
      </c>
      <c r="D874" t="s">
        <v>8262</v>
      </c>
      <c r="E874" s="225">
        <v>1576</v>
      </c>
      <c r="F874" t="s">
        <v>8382</v>
      </c>
      <c r="G874" t="s">
        <v>8383</v>
      </c>
      <c r="H874" t="s">
        <v>8236</v>
      </c>
      <c r="I874" s="99">
        <v>43880</v>
      </c>
      <c r="J874">
        <f>YEAR(I874)</f>
        <v>2020</v>
      </c>
      <c r="K874" s="99">
        <v>43882</v>
      </c>
      <c r="L874" t="s">
        <v>8257</v>
      </c>
      <c r="M874" t="s">
        <v>6984</v>
      </c>
    </row>
    <row r="875" spans="2:13" x14ac:dyDescent="0.2">
      <c r="B875">
        <v>11150</v>
      </c>
      <c r="C875" t="s">
        <v>8303</v>
      </c>
      <c r="D875" t="s">
        <v>8272</v>
      </c>
      <c r="E875" s="225">
        <v>216</v>
      </c>
      <c r="F875" t="s">
        <v>8382</v>
      </c>
      <c r="G875" t="s">
        <v>8383</v>
      </c>
      <c r="H875" t="s">
        <v>8236</v>
      </c>
      <c r="I875" s="99">
        <v>43890</v>
      </c>
      <c r="J875">
        <f>YEAR(I875)</f>
        <v>2020</v>
      </c>
      <c r="K875" s="99">
        <v>43911</v>
      </c>
      <c r="L875" t="s">
        <v>8251</v>
      </c>
      <c r="M875" t="s">
        <v>269</v>
      </c>
    </row>
    <row r="876" spans="2:13" x14ac:dyDescent="0.2">
      <c r="B876">
        <v>11150</v>
      </c>
      <c r="C876" t="s">
        <v>8280</v>
      </c>
      <c r="D876" t="s">
        <v>8262</v>
      </c>
      <c r="E876" s="225">
        <v>222.4</v>
      </c>
      <c r="F876" t="s">
        <v>8382</v>
      </c>
      <c r="G876" t="s">
        <v>8383</v>
      </c>
      <c r="H876" t="s">
        <v>8236</v>
      </c>
      <c r="I876" s="99">
        <v>43918</v>
      </c>
      <c r="J876">
        <f>YEAR(I876)</f>
        <v>2020</v>
      </c>
      <c r="K876" s="99">
        <v>43922</v>
      </c>
      <c r="L876" t="s">
        <v>8266</v>
      </c>
      <c r="M876" t="s">
        <v>8267</v>
      </c>
    </row>
    <row r="877" spans="2:13" x14ac:dyDescent="0.2">
      <c r="B877">
        <v>11150</v>
      </c>
      <c r="C877" t="s">
        <v>8269</v>
      </c>
      <c r="D877" t="s">
        <v>8237</v>
      </c>
      <c r="E877" s="225">
        <v>32</v>
      </c>
      <c r="F877" t="s">
        <v>8382</v>
      </c>
      <c r="G877" t="s">
        <v>8383</v>
      </c>
      <c r="H877" t="s">
        <v>8236</v>
      </c>
      <c r="I877" s="99">
        <v>43918</v>
      </c>
      <c r="J877">
        <f>YEAR(I877)</f>
        <v>2020</v>
      </c>
      <c r="K877" s="99">
        <v>43922</v>
      </c>
      <c r="L877" t="s">
        <v>8266</v>
      </c>
      <c r="M877" t="s">
        <v>8267</v>
      </c>
    </row>
    <row r="878" spans="2:13" x14ac:dyDescent="0.2">
      <c r="B878">
        <v>11178</v>
      </c>
      <c r="C878" t="s">
        <v>8253</v>
      </c>
      <c r="D878" t="s">
        <v>8254</v>
      </c>
      <c r="E878" s="225">
        <v>226.8</v>
      </c>
      <c r="F878" t="s">
        <v>8382</v>
      </c>
      <c r="G878" t="s">
        <v>8383</v>
      </c>
      <c r="H878" t="s">
        <v>8236</v>
      </c>
      <c r="I878" s="99">
        <v>43958</v>
      </c>
      <c r="J878">
        <f>YEAR(I878)</f>
        <v>2020</v>
      </c>
      <c r="K878" s="99">
        <v>43966</v>
      </c>
      <c r="L878" t="s">
        <v>8266</v>
      </c>
      <c r="M878" t="s">
        <v>8267</v>
      </c>
    </row>
    <row r="879" spans="2:13" x14ac:dyDescent="0.2">
      <c r="B879">
        <v>11178</v>
      </c>
      <c r="C879" t="s">
        <v>8348</v>
      </c>
      <c r="D879" t="s">
        <v>8254</v>
      </c>
      <c r="E879" s="225">
        <v>122.4</v>
      </c>
      <c r="F879" t="s">
        <v>8382</v>
      </c>
      <c r="G879" t="s">
        <v>8383</v>
      </c>
      <c r="H879" t="s">
        <v>8236</v>
      </c>
      <c r="I879" s="99">
        <v>43958</v>
      </c>
      <c r="J879">
        <f>YEAR(I879)</f>
        <v>2020</v>
      </c>
      <c r="K879" s="99">
        <v>43966</v>
      </c>
      <c r="L879" t="s">
        <v>8266</v>
      </c>
      <c r="M879" t="s">
        <v>8267</v>
      </c>
    </row>
    <row r="880" spans="2:13" x14ac:dyDescent="0.2">
      <c r="B880">
        <v>11178</v>
      </c>
      <c r="C880" t="s">
        <v>8353</v>
      </c>
      <c r="D880" t="s">
        <v>8237</v>
      </c>
      <c r="E880" s="225">
        <v>259.2</v>
      </c>
      <c r="F880" t="s">
        <v>8382</v>
      </c>
      <c r="G880" t="s">
        <v>8383</v>
      </c>
      <c r="H880" t="s">
        <v>8236</v>
      </c>
      <c r="I880" s="99">
        <v>43958</v>
      </c>
      <c r="J880">
        <f>YEAR(I880)</f>
        <v>2020</v>
      </c>
      <c r="K880" s="99">
        <v>43966</v>
      </c>
      <c r="L880" t="s">
        <v>8266</v>
      </c>
      <c r="M880" t="s">
        <v>8267</v>
      </c>
    </row>
    <row r="881" spans="2:13" x14ac:dyDescent="0.2">
      <c r="B881">
        <v>11187</v>
      </c>
      <c r="C881" t="s">
        <v>8361</v>
      </c>
      <c r="D881" t="s">
        <v>8254</v>
      </c>
      <c r="E881" s="225">
        <v>176.7</v>
      </c>
      <c r="F881" t="s">
        <v>8382</v>
      </c>
      <c r="G881" t="s">
        <v>8383</v>
      </c>
      <c r="H881" t="s">
        <v>8236</v>
      </c>
      <c r="I881" s="99">
        <v>43965</v>
      </c>
      <c r="J881">
        <f>YEAR(I881)</f>
        <v>2020</v>
      </c>
      <c r="K881" s="99">
        <v>43973</v>
      </c>
      <c r="L881" t="s">
        <v>8251</v>
      </c>
      <c r="M881" t="s">
        <v>269</v>
      </c>
    </row>
    <row r="882" spans="2:13" x14ac:dyDescent="0.2">
      <c r="B882">
        <v>11187</v>
      </c>
      <c r="C882" t="s">
        <v>8316</v>
      </c>
      <c r="D882" t="s">
        <v>8247</v>
      </c>
      <c r="E882" s="225">
        <v>346.56</v>
      </c>
      <c r="F882" t="s">
        <v>8382</v>
      </c>
      <c r="G882" t="s">
        <v>8383</v>
      </c>
      <c r="H882" t="s">
        <v>8236</v>
      </c>
      <c r="I882" s="99">
        <v>43965</v>
      </c>
      <c r="J882">
        <f>YEAR(I882)</f>
        <v>2020</v>
      </c>
      <c r="K882" s="99">
        <v>43973</v>
      </c>
      <c r="L882" t="s">
        <v>8251</v>
      </c>
      <c r="M882" t="s">
        <v>269</v>
      </c>
    </row>
    <row r="883" spans="2:13" x14ac:dyDescent="0.2">
      <c r="B883">
        <v>11242</v>
      </c>
      <c r="C883" t="s">
        <v>8328</v>
      </c>
      <c r="D883" t="s">
        <v>8272</v>
      </c>
      <c r="E883" s="225">
        <v>55.8</v>
      </c>
      <c r="F883" t="s">
        <v>8382</v>
      </c>
      <c r="G883" t="s">
        <v>8383</v>
      </c>
      <c r="H883" t="s">
        <v>8236</v>
      </c>
      <c r="I883" s="99">
        <v>44092</v>
      </c>
      <c r="J883">
        <f>YEAR(I883)</f>
        <v>2020</v>
      </c>
      <c r="K883" s="99">
        <v>44093</v>
      </c>
      <c r="L883" t="s">
        <v>8320</v>
      </c>
      <c r="M883" t="s">
        <v>8321</v>
      </c>
    </row>
    <row r="884" spans="2:13" x14ac:dyDescent="0.2">
      <c r="B884">
        <v>11350</v>
      </c>
      <c r="C884" t="s">
        <v>8322</v>
      </c>
      <c r="D884" t="s">
        <v>8254</v>
      </c>
      <c r="E884" s="225">
        <v>248.96</v>
      </c>
      <c r="F884" t="s">
        <v>8382</v>
      </c>
      <c r="G884" t="s">
        <v>8383</v>
      </c>
      <c r="H884" t="s">
        <v>8236</v>
      </c>
      <c r="I884" s="99">
        <v>44245</v>
      </c>
      <c r="J884">
        <f>YEAR(I884)</f>
        <v>2021</v>
      </c>
      <c r="K884" s="99">
        <v>44250</v>
      </c>
      <c r="L884" t="s">
        <v>8297</v>
      </c>
      <c r="M884" t="s">
        <v>8298</v>
      </c>
    </row>
    <row r="885" spans="2:13" x14ac:dyDescent="0.2">
      <c r="B885">
        <v>11350</v>
      </c>
      <c r="C885" t="s">
        <v>8362</v>
      </c>
      <c r="D885" t="s">
        <v>8262</v>
      </c>
      <c r="E885" s="225">
        <v>112</v>
      </c>
      <c r="F885" t="s">
        <v>8382</v>
      </c>
      <c r="G885" t="s">
        <v>8383</v>
      </c>
      <c r="H885" t="s">
        <v>8236</v>
      </c>
      <c r="I885" s="99">
        <v>44245</v>
      </c>
      <c r="J885">
        <f>YEAR(I885)</f>
        <v>2021</v>
      </c>
      <c r="K885" s="99">
        <v>44250</v>
      </c>
      <c r="L885" t="s">
        <v>8297</v>
      </c>
      <c r="M885" t="s">
        <v>8298</v>
      </c>
    </row>
    <row r="886" spans="2:13" x14ac:dyDescent="0.2">
      <c r="B886">
        <v>11350</v>
      </c>
      <c r="C886" t="s">
        <v>8340</v>
      </c>
      <c r="D886" t="s">
        <v>8244</v>
      </c>
      <c r="E886" s="225">
        <v>99.75</v>
      </c>
      <c r="F886" t="s">
        <v>8382</v>
      </c>
      <c r="G886" t="s">
        <v>8383</v>
      </c>
      <c r="H886" t="s">
        <v>8236</v>
      </c>
      <c r="I886" s="99">
        <v>44245</v>
      </c>
      <c r="J886">
        <f>YEAR(I886)</f>
        <v>2021</v>
      </c>
      <c r="K886" s="99">
        <v>44250</v>
      </c>
      <c r="L886" t="s">
        <v>8297</v>
      </c>
      <c r="M886" t="s">
        <v>8298</v>
      </c>
    </row>
    <row r="887" spans="2:13" x14ac:dyDescent="0.2">
      <c r="B887">
        <v>11391</v>
      </c>
      <c r="C887" t="s">
        <v>8306</v>
      </c>
      <c r="D887" t="s">
        <v>8272</v>
      </c>
      <c r="E887" s="225">
        <v>368</v>
      </c>
      <c r="F887" t="s">
        <v>8382</v>
      </c>
      <c r="G887" t="s">
        <v>8383</v>
      </c>
      <c r="H887" t="s">
        <v>8236</v>
      </c>
      <c r="I887" s="99">
        <v>44292</v>
      </c>
      <c r="J887">
        <f>YEAR(I887)</f>
        <v>2021</v>
      </c>
      <c r="K887" s="99">
        <v>44303</v>
      </c>
      <c r="L887" t="s">
        <v>8158</v>
      </c>
      <c r="M887" t="s">
        <v>861</v>
      </c>
    </row>
    <row r="888" spans="2:13" x14ac:dyDescent="0.2">
      <c r="B888">
        <v>11391</v>
      </c>
      <c r="C888" t="s">
        <v>8329</v>
      </c>
      <c r="D888" t="s">
        <v>8272</v>
      </c>
      <c r="E888" s="225">
        <v>268.8</v>
      </c>
      <c r="F888" t="s">
        <v>8382</v>
      </c>
      <c r="G888" t="s">
        <v>8383</v>
      </c>
      <c r="H888" t="s">
        <v>8236</v>
      </c>
      <c r="I888" s="99">
        <v>44292</v>
      </c>
      <c r="J888">
        <f>YEAR(I888)</f>
        <v>2021</v>
      </c>
      <c r="K888" s="99">
        <v>44303</v>
      </c>
      <c r="L888" t="s">
        <v>8158</v>
      </c>
      <c r="M888" t="s">
        <v>861</v>
      </c>
    </row>
    <row r="889" spans="2:13" x14ac:dyDescent="0.2">
      <c r="B889">
        <v>11391</v>
      </c>
      <c r="C889" t="s">
        <v>8243</v>
      </c>
      <c r="D889" t="s">
        <v>8244</v>
      </c>
      <c r="E889" s="225">
        <v>112</v>
      </c>
      <c r="F889" t="s">
        <v>8382</v>
      </c>
      <c r="G889" t="s">
        <v>8383</v>
      </c>
      <c r="H889" t="s">
        <v>8236</v>
      </c>
      <c r="I889" s="99">
        <v>44292</v>
      </c>
      <c r="J889">
        <f>YEAR(I889)</f>
        <v>2021</v>
      </c>
      <c r="K889" s="99">
        <v>44303</v>
      </c>
      <c r="L889" t="s">
        <v>8158</v>
      </c>
      <c r="M889" t="s">
        <v>861</v>
      </c>
    </row>
    <row r="890" spans="2:13" x14ac:dyDescent="0.2">
      <c r="B890">
        <v>10495</v>
      </c>
      <c r="C890" t="s">
        <v>8397</v>
      </c>
      <c r="D890" t="s">
        <v>8254</v>
      </c>
      <c r="E890" s="225">
        <v>52</v>
      </c>
      <c r="F890" t="s">
        <v>8774</v>
      </c>
      <c r="G890" t="s">
        <v>8773</v>
      </c>
      <c r="H890" t="s">
        <v>8720</v>
      </c>
      <c r="I890" s="99">
        <v>43759</v>
      </c>
      <c r="J890">
        <f>YEAR(I890)</f>
        <v>2019</v>
      </c>
      <c r="K890" s="99">
        <v>43767</v>
      </c>
      <c r="L890" t="s">
        <v>8257</v>
      </c>
      <c r="M890" t="s">
        <v>6984</v>
      </c>
    </row>
    <row r="891" spans="2:13" x14ac:dyDescent="0.2">
      <c r="B891">
        <v>10495</v>
      </c>
      <c r="C891" t="s">
        <v>8373</v>
      </c>
      <c r="D891" t="s">
        <v>8244</v>
      </c>
      <c r="E891" s="225">
        <v>72</v>
      </c>
      <c r="F891" t="s">
        <v>8774</v>
      </c>
      <c r="G891" t="s">
        <v>8773</v>
      </c>
      <c r="H891" t="s">
        <v>8720</v>
      </c>
      <c r="I891" s="99">
        <v>43759</v>
      </c>
      <c r="J891">
        <f>YEAR(I891)</f>
        <v>2019</v>
      </c>
      <c r="K891" s="99">
        <v>43767</v>
      </c>
      <c r="L891" t="s">
        <v>8257</v>
      </c>
      <c r="M891" t="s">
        <v>6984</v>
      </c>
    </row>
    <row r="892" spans="2:13" x14ac:dyDescent="0.2">
      <c r="B892">
        <v>10620</v>
      </c>
      <c r="C892" t="s">
        <v>8270</v>
      </c>
      <c r="D892" t="s">
        <v>8272</v>
      </c>
      <c r="E892" s="225">
        <v>22.5</v>
      </c>
      <c r="F892" t="s">
        <v>8774</v>
      </c>
      <c r="G892" t="s">
        <v>8773</v>
      </c>
      <c r="H892" t="s">
        <v>8720</v>
      </c>
      <c r="I892" s="99">
        <v>43883</v>
      </c>
      <c r="J892">
        <f>YEAR(I892)</f>
        <v>2020</v>
      </c>
      <c r="K892" s="99">
        <v>43892</v>
      </c>
      <c r="L892" t="s">
        <v>8297</v>
      </c>
      <c r="M892" t="s">
        <v>8298</v>
      </c>
    </row>
    <row r="893" spans="2:13" x14ac:dyDescent="0.2">
      <c r="B893">
        <v>10620</v>
      </c>
      <c r="C893" t="s">
        <v>8369</v>
      </c>
      <c r="D893" t="s">
        <v>8244</v>
      </c>
      <c r="E893" s="225">
        <v>35</v>
      </c>
      <c r="F893" t="s">
        <v>8774</v>
      </c>
      <c r="G893" t="s">
        <v>8773</v>
      </c>
      <c r="H893" t="s">
        <v>8720</v>
      </c>
      <c r="I893" s="99">
        <v>43883</v>
      </c>
      <c r="J893">
        <f>YEAR(I893)</f>
        <v>2020</v>
      </c>
      <c r="K893" s="99">
        <v>43892</v>
      </c>
      <c r="L893" t="s">
        <v>8297</v>
      </c>
      <c r="M893" t="s">
        <v>8298</v>
      </c>
    </row>
    <row r="894" spans="2:13" x14ac:dyDescent="0.2">
      <c r="B894">
        <v>10810</v>
      </c>
      <c r="C894" t="s">
        <v>8288</v>
      </c>
      <c r="D894" t="s">
        <v>8272</v>
      </c>
      <c r="E894" s="225">
        <v>75</v>
      </c>
      <c r="F894" t="s">
        <v>8774</v>
      </c>
      <c r="G894" t="s">
        <v>8773</v>
      </c>
      <c r="H894" t="s">
        <v>8720</v>
      </c>
      <c r="I894" s="99">
        <v>44032</v>
      </c>
      <c r="J894">
        <f>YEAR(I894)</f>
        <v>2020</v>
      </c>
      <c r="K894" s="99">
        <v>44038</v>
      </c>
      <c r="L894" t="s">
        <v>8297</v>
      </c>
      <c r="M894" t="s">
        <v>8298</v>
      </c>
    </row>
    <row r="895" spans="2:13" x14ac:dyDescent="0.2">
      <c r="B895">
        <v>10810</v>
      </c>
      <c r="C895" t="s">
        <v>8362</v>
      </c>
      <c r="D895" t="s">
        <v>8262</v>
      </c>
      <c r="E895" s="225">
        <v>70</v>
      </c>
      <c r="F895" t="s">
        <v>8774</v>
      </c>
      <c r="G895" t="s">
        <v>8773</v>
      </c>
      <c r="H895" t="s">
        <v>8720</v>
      </c>
      <c r="I895" s="99">
        <v>44032</v>
      </c>
      <c r="J895">
        <f>YEAR(I895)</f>
        <v>2020</v>
      </c>
      <c r="K895" s="99">
        <v>44038</v>
      </c>
      <c r="L895" t="s">
        <v>8297</v>
      </c>
      <c r="M895" t="s">
        <v>8298</v>
      </c>
    </row>
    <row r="896" spans="2:13" x14ac:dyDescent="0.2">
      <c r="B896">
        <v>11182</v>
      </c>
      <c r="C896" t="s">
        <v>8397</v>
      </c>
      <c r="D896" t="s">
        <v>8254</v>
      </c>
      <c r="E896" s="225">
        <v>52</v>
      </c>
      <c r="F896" t="s">
        <v>8774</v>
      </c>
      <c r="G896" t="s">
        <v>8773</v>
      </c>
      <c r="H896" t="s">
        <v>8720</v>
      </c>
      <c r="I896" s="99">
        <v>43959</v>
      </c>
      <c r="J896">
        <f>YEAR(I896)</f>
        <v>2020</v>
      </c>
      <c r="K896" s="99">
        <v>43967</v>
      </c>
      <c r="L896" t="s">
        <v>8257</v>
      </c>
      <c r="M896" t="s">
        <v>6984</v>
      </c>
    </row>
    <row r="897" spans="2:13" x14ac:dyDescent="0.2">
      <c r="B897">
        <v>11182</v>
      </c>
      <c r="C897" t="s">
        <v>8373</v>
      </c>
      <c r="D897" t="s">
        <v>8244</v>
      </c>
      <c r="E897" s="225">
        <v>72</v>
      </c>
      <c r="F897" t="s">
        <v>8774</v>
      </c>
      <c r="G897" t="s">
        <v>8773</v>
      </c>
      <c r="H897" t="s">
        <v>8720</v>
      </c>
      <c r="I897" s="99">
        <v>43959</v>
      </c>
      <c r="J897">
        <f>YEAR(I897)</f>
        <v>2020</v>
      </c>
      <c r="K897" s="99">
        <v>43967</v>
      </c>
      <c r="L897" t="s">
        <v>8257</v>
      </c>
      <c r="M897" t="s">
        <v>6984</v>
      </c>
    </row>
    <row r="898" spans="2:13" x14ac:dyDescent="0.2">
      <c r="B898">
        <v>11240</v>
      </c>
      <c r="C898" t="s">
        <v>8270</v>
      </c>
      <c r="D898" t="s">
        <v>8272</v>
      </c>
      <c r="E898" s="225">
        <v>22.5</v>
      </c>
      <c r="F898" t="s">
        <v>8774</v>
      </c>
      <c r="G898" t="s">
        <v>8773</v>
      </c>
      <c r="H898" t="s">
        <v>8720</v>
      </c>
      <c r="I898" s="99">
        <v>44083</v>
      </c>
      <c r="J898">
        <f>YEAR(I898)</f>
        <v>2020</v>
      </c>
      <c r="K898" s="99">
        <v>44092</v>
      </c>
      <c r="L898" t="s">
        <v>8297</v>
      </c>
      <c r="M898" t="s">
        <v>8298</v>
      </c>
    </row>
    <row r="899" spans="2:13" x14ac:dyDescent="0.2">
      <c r="B899">
        <v>11240</v>
      </c>
      <c r="C899" t="s">
        <v>8369</v>
      </c>
      <c r="D899" t="s">
        <v>8244</v>
      </c>
      <c r="E899" s="225">
        <v>35</v>
      </c>
      <c r="F899" t="s">
        <v>8774</v>
      </c>
      <c r="G899" t="s">
        <v>8773</v>
      </c>
      <c r="H899" t="s">
        <v>8720</v>
      </c>
      <c r="I899" s="99">
        <v>44083</v>
      </c>
      <c r="J899">
        <f>YEAR(I899)</f>
        <v>2020</v>
      </c>
      <c r="K899" s="99">
        <v>44092</v>
      </c>
      <c r="L899" t="s">
        <v>8297</v>
      </c>
      <c r="M899" t="s">
        <v>8298</v>
      </c>
    </row>
    <row r="900" spans="2:13" x14ac:dyDescent="0.2">
      <c r="B900">
        <v>10545</v>
      </c>
      <c r="C900" t="s">
        <v>8242</v>
      </c>
      <c r="D900" t="s">
        <v>8237</v>
      </c>
      <c r="E900" s="225">
        <v>210</v>
      </c>
      <c r="F900" t="s">
        <v>8772</v>
      </c>
      <c r="G900" t="s">
        <v>8771</v>
      </c>
      <c r="H900" t="s">
        <v>8701</v>
      </c>
      <c r="I900" s="99">
        <v>43808</v>
      </c>
      <c r="J900">
        <f>YEAR(I900)</f>
        <v>2019</v>
      </c>
      <c r="K900" s="99">
        <v>43843</v>
      </c>
      <c r="L900" t="s">
        <v>8320</v>
      </c>
      <c r="M900" t="s">
        <v>8321</v>
      </c>
    </row>
    <row r="901" spans="2:13" x14ac:dyDescent="0.2">
      <c r="B901">
        <v>11217</v>
      </c>
      <c r="C901" t="s">
        <v>8242</v>
      </c>
      <c r="D901" t="s">
        <v>8237</v>
      </c>
      <c r="E901" s="225">
        <v>210</v>
      </c>
      <c r="F901" t="s">
        <v>8772</v>
      </c>
      <c r="G901" t="s">
        <v>8771</v>
      </c>
      <c r="H901" t="s">
        <v>8701</v>
      </c>
      <c r="I901" s="99">
        <v>44008</v>
      </c>
      <c r="J901">
        <f>YEAR(I901)</f>
        <v>2020</v>
      </c>
      <c r="K901" s="99">
        <v>44043</v>
      </c>
      <c r="L901" t="s">
        <v>8320</v>
      </c>
      <c r="M901" t="s">
        <v>8321</v>
      </c>
    </row>
    <row r="902" spans="2:13" x14ac:dyDescent="0.2">
      <c r="B902">
        <v>10284</v>
      </c>
      <c r="C902" t="s">
        <v>8329</v>
      </c>
      <c r="D902" t="s">
        <v>8272</v>
      </c>
      <c r="E902" s="225">
        <v>42</v>
      </c>
      <c r="F902" t="s">
        <v>8330</v>
      </c>
      <c r="G902" t="s">
        <v>8331</v>
      </c>
      <c r="H902" t="s">
        <v>8246</v>
      </c>
      <c r="I902" s="99">
        <v>43532</v>
      </c>
      <c r="J902">
        <f>YEAR(I902)</f>
        <v>2019</v>
      </c>
      <c r="K902" s="99">
        <v>43540</v>
      </c>
      <c r="L902" t="s">
        <v>8266</v>
      </c>
      <c r="M902" t="s">
        <v>8267</v>
      </c>
    </row>
    <row r="903" spans="2:13" x14ac:dyDescent="0.2">
      <c r="B903">
        <v>10284</v>
      </c>
      <c r="C903" t="s">
        <v>8322</v>
      </c>
      <c r="D903" t="s">
        <v>8254</v>
      </c>
      <c r="E903" s="225">
        <v>325.5</v>
      </c>
      <c r="F903" t="s">
        <v>8330</v>
      </c>
      <c r="G903" t="s">
        <v>8331</v>
      </c>
      <c r="H903" t="s">
        <v>8246</v>
      </c>
      <c r="I903" s="99">
        <v>43532</v>
      </c>
      <c r="J903">
        <f>YEAR(I903)</f>
        <v>2019</v>
      </c>
      <c r="K903" s="99">
        <v>43540</v>
      </c>
      <c r="L903" t="s">
        <v>8266</v>
      </c>
      <c r="M903" t="s">
        <v>8267</v>
      </c>
    </row>
    <row r="904" spans="2:13" x14ac:dyDescent="0.2">
      <c r="B904">
        <v>10284</v>
      </c>
      <c r="C904" t="s">
        <v>8332</v>
      </c>
      <c r="D904" t="s">
        <v>8262</v>
      </c>
      <c r="E904" s="225">
        <v>394.88</v>
      </c>
      <c r="F904" t="s">
        <v>8330</v>
      </c>
      <c r="G904" t="s">
        <v>8331</v>
      </c>
      <c r="H904" t="s">
        <v>8246</v>
      </c>
      <c r="I904" s="99">
        <v>43532</v>
      </c>
      <c r="J904">
        <f>YEAR(I904)</f>
        <v>2019</v>
      </c>
      <c r="K904" s="99">
        <v>43540</v>
      </c>
      <c r="L904" t="s">
        <v>8266</v>
      </c>
      <c r="M904" t="s">
        <v>8267</v>
      </c>
    </row>
    <row r="905" spans="2:13" x14ac:dyDescent="0.2">
      <c r="B905">
        <v>10284</v>
      </c>
      <c r="C905" t="s">
        <v>8268</v>
      </c>
      <c r="D905" t="s">
        <v>8237</v>
      </c>
      <c r="E905" s="225">
        <v>408</v>
      </c>
      <c r="F905" t="s">
        <v>8330</v>
      </c>
      <c r="G905" t="s">
        <v>8331</v>
      </c>
      <c r="H905" t="s">
        <v>8246</v>
      </c>
      <c r="I905" s="99">
        <v>43532</v>
      </c>
      <c r="J905">
        <f>YEAR(I905)</f>
        <v>2019</v>
      </c>
      <c r="K905" s="99">
        <v>43540</v>
      </c>
      <c r="L905" t="s">
        <v>8266</v>
      </c>
      <c r="M905" t="s">
        <v>8267</v>
      </c>
    </row>
    <row r="906" spans="2:13" x14ac:dyDescent="0.2">
      <c r="B906">
        <v>10343</v>
      </c>
      <c r="C906" t="s">
        <v>8303</v>
      </c>
      <c r="D906" t="s">
        <v>8272</v>
      </c>
      <c r="E906" s="225">
        <v>216</v>
      </c>
      <c r="F906" t="s">
        <v>8330</v>
      </c>
      <c r="G906" t="s">
        <v>8331</v>
      </c>
      <c r="H906" t="s">
        <v>8246</v>
      </c>
      <c r="I906" s="99">
        <v>43605</v>
      </c>
      <c r="J906">
        <f>YEAR(I906)</f>
        <v>2019</v>
      </c>
      <c r="K906" s="99">
        <v>43611</v>
      </c>
      <c r="L906" t="s">
        <v>8266</v>
      </c>
      <c r="M906" t="s">
        <v>8267</v>
      </c>
    </row>
    <row r="907" spans="2:13" x14ac:dyDescent="0.2">
      <c r="B907">
        <v>10343</v>
      </c>
      <c r="C907" t="s">
        <v>8334</v>
      </c>
      <c r="D907" t="s">
        <v>8262</v>
      </c>
      <c r="E907" s="225">
        <v>38</v>
      </c>
      <c r="F907" t="s">
        <v>8330</v>
      </c>
      <c r="G907" t="s">
        <v>8331</v>
      </c>
      <c r="H907" t="s">
        <v>8246</v>
      </c>
      <c r="I907" s="99">
        <v>43605</v>
      </c>
      <c r="J907">
        <f>YEAR(I907)</f>
        <v>2019</v>
      </c>
      <c r="K907" s="99">
        <v>43611</v>
      </c>
      <c r="L907" t="s">
        <v>8266</v>
      </c>
      <c r="M907" t="s">
        <v>8267</v>
      </c>
    </row>
    <row r="908" spans="2:13" x14ac:dyDescent="0.2">
      <c r="B908">
        <v>10343</v>
      </c>
      <c r="C908" t="s">
        <v>8340</v>
      </c>
      <c r="D908" t="s">
        <v>8244</v>
      </c>
      <c r="E908" s="225">
        <v>1330</v>
      </c>
      <c r="F908" t="s">
        <v>8330</v>
      </c>
      <c r="G908" t="s">
        <v>8331</v>
      </c>
      <c r="H908" t="s">
        <v>8246</v>
      </c>
      <c r="I908" s="99">
        <v>43605</v>
      </c>
      <c r="J908">
        <f>YEAR(I908)</f>
        <v>2019</v>
      </c>
      <c r="K908" s="99">
        <v>43611</v>
      </c>
      <c r="L908" t="s">
        <v>8266</v>
      </c>
      <c r="M908" t="s">
        <v>8267</v>
      </c>
    </row>
    <row r="909" spans="2:13" x14ac:dyDescent="0.2">
      <c r="B909">
        <v>10497</v>
      </c>
      <c r="C909" t="s">
        <v>8397</v>
      </c>
      <c r="D909" t="s">
        <v>8254</v>
      </c>
      <c r="E909" s="225">
        <v>260</v>
      </c>
      <c r="F909" t="s">
        <v>8330</v>
      </c>
      <c r="G909" t="s">
        <v>8331</v>
      </c>
      <c r="H909" t="s">
        <v>8246</v>
      </c>
      <c r="I909" s="99">
        <v>43760</v>
      </c>
      <c r="J909">
        <f>YEAR(I909)</f>
        <v>2019</v>
      </c>
      <c r="K909" s="99">
        <v>43763</v>
      </c>
      <c r="L909" t="s">
        <v>8158</v>
      </c>
      <c r="M909" t="s">
        <v>861</v>
      </c>
    </row>
    <row r="910" spans="2:13" x14ac:dyDescent="0.2">
      <c r="B910">
        <v>10497</v>
      </c>
      <c r="C910" t="s">
        <v>8235</v>
      </c>
      <c r="D910" t="s">
        <v>8237</v>
      </c>
      <c r="E910" s="225">
        <v>695</v>
      </c>
      <c r="F910" t="s">
        <v>8330</v>
      </c>
      <c r="G910" t="s">
        <v>8331</v>
      </c>
      <c r="H910" t="s">
        <v>8246</v>
      </c>
      <c r="I910" s="99">
        <v>43760</v>
      </c>
      <c r="J910">
        <f>YEAR(I910)</f>
        <v>2019</v>
      </c>
      <c r="K910" s="99">
        <v>43763</v>
      </c>
      <c r="L910" t="s">
        <v>8158</v>
      </c>
      <c r="M910" t="s">
        <v>861</v>
      </c>
    </row>
    <row r="911" spans="2:13" x14ac:dyDescent="0.2">
      <c r="B911">
        <v>10497</v>
      </c>
      <c r="C911" t="s">
        <v>8341</v>
      </c>
      <c r="D911" t="s">
        <v>8244</v>
      </c>
      <c r="E911" s="225">
        <v>425.6</v>
      </c>
      <c r="F911" t="s">
        <v>8330</v>
      </c>
      <c r="G911" t="s">
        <v>8331</v>
      </c>
      <c r="H911" t="s">
        <v>8246</v>
      </c>
      <c r="I911" s="99">
        <v>43760</v>
      </c>
      <c r="J911">
        <f>YEAR(I911)</f>
        <v>2019</v>
      </c>
      <c r="K911" s="99">
        <v>43763</v>
      </c>
      <c r="L911" t="s">
        <v>8158</v>
      </c>
      <c r="M911" t="s">
        <v>861</v>
      </c>
    </row>
    <row r="912" spans="2:13" x14ac:dyDescent="0.2">
      <c r="B912">
        <v>10522</v>
      </c>
      <c r="C912" t="s">
        <v>8333</v>
      </c>
      <c r="D912" t="s">
        <v>8272</v>
      </c>
      <c r="E912" s="225">
        <v>576</v>
      </c>
      <c r="F912" t="s">
        <v>8330</v>
      </c>
      <c r="G912" t="s">
        <v>8331</v>
      </c>
      <c r="H912" t="s">
        <v>8246</v>
      </c>
      <c r="I912" s="99">
        <v>43786</v>
      </c>
      <c r="J912">
        <f>YEAR(I912)</f>
        <v>2019</v>
      </c>
      <c r="K912" s="99">
        <v>43792</v>
      </c>
      <c r="L912" t="s">
        <v>8266</v>
      </c>
      <c r="M912" t="s">
        <v>8267</v>
      </c>
    </row>
    <row r="913" spans="2:13" x14ac:dyDescent="0.2">
      <c r="B913">
        <v>10522</v>
      </c>
      <c r="C913" t="s">
        <v>8379</v>
      </c>
      <c r="D913" t="s">
        <v>8254</v>
      </c>
      <c r="E913" s="225">
        <v>960</v>
      </c>
      <c r="F913" t="s">
        <v>8330</v>
      </c>
      <c r="G913" t="s">
        <v>8331</v>
      </c>
      <c r="H913" t="s">
        <v>8246</v>
      </c>
      <c r="I913" s="99">
        <v>43786</v>
      </c>
      <c r="J913">
        <f>YEAR(I913)</f>
        <v>2019</v>
      </c>
      <c r="K913" s="99">
        <v>43792</v>
      </c>
      <c r="L913" t="s">
        <v>8266</v>
      </c>
      <c r="M913" t="s">
        <v>8267</v>
      </c>
    </row>
    <row r="914" spans="2:13" x14ac:dyDescent="0.2">
      <c r="B914">
        <v>10536</v>
      </c>
      <c r="C914" t="s">
        <v>8299</v>
      </c>
      <c r="D914" t="s">
        <v>8237</v>
      </c>
      <c r="E914" s="225">
        <v>427.5</v>
      </c>
      <c r="F914" t="s">
        <v>8330</v>
      </c>
      <c r="G914" t="s">
        <v>8331</v>
      </c>
      <c r="H914" t="s">
        <v>8246</v>
      </c>
      <c r="I914" s="99">
        <v>43800</v>
      </c>
      <c r="J914">
        <f>YEAR(I914)</f>
        <v>2019</v>
      </c>
      <c r="K914" s="99">
        <v>43823</v>
      </c>
      <c r="L914" t="s">
        <v>8257</v>
      </c>
      <c r="M914" t="s">
        <v>6984</v>
      </c>
    </row>
    <row r="915" spans="2:13" x14ac:dyDescent="0.2">
      <c r="B915">
        <v>10536</v>
      </c>
      <c r="C915" t="s">
        <v>8309</v>
      </c>
      <c r="D915" t="s">
        <v>8237</v>
      </c>
      <c r="E915" s="225">
        <v>250</v>
      </c>
      <c r="F915" t="s">
        <v>8330</v>
      </c>
      <c r="G915" t="s">
        <v>8331</v>
      </c>
      <c r="H915" t="s">
        <v>8246</v>
      </c>
      <c r="I915" s="99">
        <v>43800</v>
      </c>
      <c r="J915">
        <f>YEAR(I915)</f>
        <v>2019</v>
      </c>
      <c r="K915" s="99">
        <v>43823</v>
      </c>
      <c r="L915" t="s">
        <v>8257</v>
      </c>
      <c r="M915" t="s">
        <v>6984</v>
      </c>
    </row>
    <row r="916" spans="2:13" x14ac:dyDescent="0.2">
      <c r="B916">
        <v>10536</v>
      </c>
      <c r="C916" t="s">
        <v>8269</v>
      </c>
      <c r="D916" t="s">
        <v>8237</v>
      </c>
      <c r="E916" s="225">
        <v>75</v>
      </c>
      <c r="F916" t="s">
        <v>8330</v>
      </c>
      <c r="G916" t="s">
        <v>8331</v>
      </c>
      <c r="H916" t="s">
        <v>8246</v>
      </c>
      <c r="I916" s="99">
        <v>43800</v>
      </c>
      <c r="J916">
        <f>YEAR(I916)</f>
        <v>2019</v>
      </c>
      <c r="K916" s="99">
        <v>43823</v>
      </c>
      <c r="L916" t="s">
        <v>8257</v>
      </c>
      <c r="M916" t="s">
        <v>6984</v>
      </c>
    </row>
    <row r="917" spans="2:13" x14ac:dyDescent="0.2">
      <c r="B917">
        <v>10536</v>
      </c>
      <c r="C917" t="s">
        <v>8268</v>
      </c>
      <c r="D917" t="s">
        <v>8237</v>
      </c>
      <c r="E917" s="225">
        <v>892.5</v>
      </c>
      <c r="F917" t="s">
        <v>8330</v>
      </c>
      <c r="G917" t="s">
        <v>8331</v>
      </c>
      <c r="H917" t="s">
        <v>8246</v>
      </c>
      <c r="I917" s="99">
        <v>43800</v>
      </c>
      <c r="J917">
        <f>YEAR(I917)</f>
        <v>2019</v>
      </c>
      <c r="K917" s="99">
        <v>43823</v>
      </c>
      <c r="L917" t="s">
        <v>8257</v>
      </c>
      <c r="M917" t="s">
        <v>6984</v>
      </c>
    </row>
    <row r="918" spans="2:13" x14ac:dyDescent="0.2">
      <c r="B918">
        <v>10557</v>
      </c>
      <c r="C918" t="s">
        <v>8328</v>
      </c>
      <c r="D918" t="s">
        <v>8272</v>
      </c>
      <c r="E918" s="225">
        <v>155</v>
      </c>
      <c r="F918" t="s">
        <v>8330</v>
      </c>
      <c r="G918" t="s">
        <v>8331</v>
      </c>
      <c r="H918" t="s">
        <v>8246</v>
      </c>
      <c r="I918" s="99">
        <v>43820</v>
      </c>
      <c r="J918">
        <f>YEAR(I918)</f>
        <v>2019</v>
      </c>
      <c r="K918" s="99">
        <v>43823</v>
      </c>
      <c r="L918" t="s">
        <v>8279</v>
      </c>
      <c r="M918" t="s">
        <v>710</v>
      </c>
    </row>
    <row r="919" spans="2:13" x14ac:dyDescent="0.2">
      <c r="B919">
        <v>10557</v>
      </c>
      <c r="C919" t="s">
        <v>8340</v>
      </c>
      <c r="D919" t="s">
        <v>8244</v>
      </c>
      <c r="E919" s="225">
        <v>997.5</v>
      </c>
      <c r="F919" t="s">
        <v>8330</v>
      </c>
      <c r="G919" t="s">
        <v>8331</v>
      </c>
      <c r="H919" t="s">
        <v>8246</v>
      </c>
      <c r="I919" s="99">
        <v>43820</v>
      </c>
      <c r="J919">
        <f>YEAR(I919)</f>
        <v>2019</v>
      </c>
      <c r="K919" s="99">
        <v>43823</v>
      </c>
      <c r="L919" t="s">
        <v>8279</v>
      </c>
      <c r="M919" t="s">
        <v>710</v>
      </c>
    </row>
    <row r="920" spans="2:13" x14ac:dyDescent="0.2">
      <c r="B920">
        <v>10592</v>
      </c>
      <c r="C920" t="s">
        <v>8361</v>
      </c>
      <c r="D920" t="s">
        <v>8254</v>
      </c>
      <c r="E920" s="225">
        <v>368.12</v>
      </c>
      <c r="F920" t="s">
        <v>8330</v>
      </c>
      <c r="G920" t="s">
        <v>8331</v>
      </c>
      <c r="H920" t="s">
        <v>8246</v>
      </c>
      <c r="I920" s="99">
        <v>43855</v>
      </c>
      <c r="J920">
        <f>YEAR(I920)</f>
        <v>2020</v>
      </c>
      <c r="K920" s="99">
        <v>43863</v>
      </c>
      <c r="L920" t="s">
        <v>8257</v>
      </c>
      <c r="M920" t="s">
        <v>6984</v>
      </c>
    </row>
    <row r="921" spans="2:13" x14ac:dyDescent="0.2">
      <c r="B921">
        <v>10592</v>
      </c>
      <c r="C921" t="s">
        <v>8372</v>
      </c>
      <c r="D921" t="s">
        <v>8262</v>
      </c>
      <c r="E921" s="225">
        <v>148.34</v>
      </c>
      <c r="F921" t="s">
        <v>8330</v>
      </c>
      <c r="G921" t="s">
        <v>8331</v>
      </c>
      <c r="H921" t="s">
        <v>8246</v>
      </c>
      <c r="I921" s="99">
        <v>43855</v>
      </c>
      <c r="J921">
        <f>YEAR(I921)</f>
        <v>2020</v>
      </c>
      <c r="K921" s="99">
        <v>43863</v>
      </c>
      <c r="L921" t="s">
        <v>8257</v>
      </c>
      <c r="M921" t="s">
        <v>6984</v>
      </c>
    </row>
    <row r="922" spans="2:13" x14ac:dyDescent="0.2">
      <c r="B922">
        <v>10593</v>
      </c>
      <c r="C922" t="s">
        <v>8303</v>
      </c>
      <c r="D922" t="s">
        <v>8272</v>
      </c>
      <c r="E922" s="225">
        <v>57.6</v>
      </c>
      <c r="F922" t="s">
        <v>8330</v>
      </c>
      <c r="G922" t="s">
        <v>8331</v>
      </c>
      <c r="H922" t="s">
        <v>8246</v>
      </c>
      <c r="I922" s="99">
        <v>43856</v>
      </c>
      <c r="J922">
        <f>YEAR(I922)</f>
        <v>2020</v>
      </c>
      <c r="K922" s="99">
        <v>43891</v>
      </c>
      <c r="L922" t="s">
        <v>8158</v>
      </c>
      <c r="M922" t="s">
        <v>861</v>
      </c>
    </row>
    <row r="923" spans="2:13" x14ac:dyDescent="0.2">
      <c r="B923">
        <v>10593</v>
      </c>
      <c r="C923" t="s">
        <v>8260</v>
      </c>
      <c r="D923" t="s">
        <v>8262</v>
      </c>
      <c r="E923" s="225">
        <v>1360.8</v>
      </c>
      <c r="F923" t="s">
        <v>8330</v>
      </c>
      <c r="G923" t="s">
        <v>8331</v>
      </c>
      <c r="H923" t="s">
        <v>8246</v>
      </c>
      <c r="I923" s="99">
        <v>43856</v>
      </c>
      <c r="J923">
        <f>YEAR(I923)</f>
        <v>2020</v>
      </c>
      <c r="K923" s="99">
        <v>43891</v>
      </c>
      <c r="L923" t="s">
        <v>8158</v>
      </c>
      <c r="M923" t="s">
        <v>861</v>
      </c>
    </row>
    <row r="924" spans="2:13" x14ac:dyDescent="0.2">
      <c r="B924">
        <v>10593</v>
      </c>
      <c r="C924" t="s">
        <v>8353</v>
      </c>
      <c r="D924" t="s">
        <v>8237</v>
      </c>
      <c r="E924" s="225">
        <v>576</v>
      </c>
      <c r="F924" t="s">
        <v>8330</v>
      </c>
      <c r="G924" t="s">
        <v>8331</v>
      </c>
      <c r="H924" t="s">
        <v>8246</v>
      </c>
      <c r="I924" s="99">
        <v>43856</v>
      </c>
      <c r="J924">
        <f>YEAR(I924)</f>
        <v>2020</v>
      </c>
      <c r="K924" s="99">
        <v>43891</v>
      </c>
      <c r="L924" t="s">
        <v>8158</v>
      </c>
      <c r="M924" t="s">
        <v>861</v>
      </c>
    </row>
    <row r="925" spans="2:13" x14ac:dyDescent="0.2">
      <c r="B925">
        <v>10772</v>
      </c>
      <c r="C925" t="s">
        <v>8281</v>
      </c>
      <c r="D925" t="s">
        <v>8237</v>
      </c>
      <c r="E925" s="225">
        <v>1375</v>
      </c>
      <c r="F925" t="s">
        <v>8330</v>
      </c>
      <c r="G925" t="s">
        <v>8331</v>
      </c>
      <c r="H925" t="s">
        <v>8246</v>
      </c>
      <c r="I925" s="99">
        <v>44010</v>
      </c>
      <c r="J925">
        <f>YEAR(I925)</f>
        <v>2020</v>
      </c>
      <c r="K925" s="99">
        <v>44019</v>
      </c>
      <c r="L925" t="s">
        <v>8257</v>
      </c>
      <c r="M925" t="s">
        <v>6984</v>
      </c>
    </row>
    <row r="926" spans="2:13" x14ac:dyDescent="0.2">
      <c r="B926">
        <v>10862</v>
      </c>
      <c r="C926" t="s">
        <v>8242</v>
      </c>
      <c r="D926" t="s">
        <v>8237</v>
      </c>
      <c r="E926" s="225">
        <v>525</v>
      </c>
      <c r="F926" t="s">
        <v>8330</v>
      </c>
      <c r="G926" t="s">
        <v>8331</v>
      </c>
      <c r="H926" t="s">
        <v>8246</v>
      </c>
      <c r="I926" s="99">
        <v>44060</v>
      </c>
      <c r="J926">
        <f>YEAR(I926)</f>
        <v>2020</v>
      </c>
      <c r="K926" s="99">
        <v>44063</v>
      </c>
      <c r="L926" t="s">
        <v>8320</v>
      </c>
      <c r="M926" t="s">
        <v>8321</v>
      </c>
    </row>
    <row r="927" spans="2:13" x14ac:dyDescent="0.2">
      <c r="B927">
        <v>10862</v>
      </c>
      <c r="C927" t="s">
        <v>8369</v>
      </c>
      <c r="D927" t="s">
        <v>8244</v>
      </c>
      <c r="E927" s="225">
        <v>56</v>
      </c>
      <c r="F927" t="s">
        <v>8330</v>
      </c>
      <c r="G927" t="s">
        <v>8331</v>
      </c>
      <c r="H927" t="s">
        <v>8246</v>
      </c>
      <c r="I927" s="99">
        <v>44060</v>
      </c>
      <c r="J927">
        <f>YEAR(I927)</f>
        <v>2020</v>
      </c>
      <c r="K927" s="99">
        <v>44063</v>
      </c>
      <c r="L927" t="s">
        <v>8320</v>
      </c>
      <c r="M927" t="s">
        <v>8321</v>
      </c>
    </row>
    <row r="928" spans="2:13" x14ac:dyDescent="0.2">
      <c r="B928">
        <v>10934</v>
      </c>
      <c r="C928" t="s">
        <v>8351</v>
      </c>
      <c r="D928" t="s">
        <v>8254</v>
      </c>
      <c r="E928" s="225">
        <v>500</v>
      </c>
      <c r="F928" t="s">
        <v>8330</v>
      </c>
      <c r="G928" t="s">
        <v>8331</v>
      </c>
      <c r="H928" t="s">
        <v>8246</v>
      </c>
      <c r="I928" s="99">
        <v>44098</v>
      </c>
      <c r="J928">
        <f>YEAR(I928)</f>
        <v>2020</v>
      </c>
      <c r="K928" s="99">
        <v>44101</v>
      </c>
      <c r="L928" t="s">
        <v>8257</v>
      </c>
      <c r="M928" t="s">
        <v>6984</v>
      </c>
    </row>
    <row r="929" spans="2:13" x14ac:dyDescent="0.2">
      <c r="B929">
        <v>11070</v>
      </c>
      <c r="C929" t="s">
        <v>8333</v>
      </c>
      <c r="D929" t="s">
        <v>8272</v>
      </c>
      <c r="E929" s="225">
        <v>612</v>
      </c>
      <c r="F929" t="s">
        <v>8330</v>
      </c>
      <c r="G929" t="s">
        <v>8331</v>
      </c>
      <c r="H929" t="s">
        <v>8246</v>
      </c>
      <c r="I929" s="99">
        <v>44155</v>
      </c>
      <c r="J929">
        <f>YEAR(I929)</f>
        <v>2020</v>
      </c>
      <c r="L929" t="s">
        <v>8297</v>
      </c>
      <c r="M929" t="s">
        <v>8298</v>
      </c>
    </row>
    <row r="930" spans="2:13" x14ac:dyDescent="0.2">
      <c r="B930">
        <v>11070</v>
      </c>
      <c r="C930" t="s">
        <v>8276</v>
      </c>
      <c r="D930" t="s">
        <v>8272</v>
      </c>
      <c r="E930" s="225">
        <v>323</v>
      </c>
      <c r="F930" t="s">
        <v>8330</v>
      </c>
      <c r="G930" t="s">
        <v>8331</v>
      </c>
      <c r="H930" t="s">
        <v>8246</v>
      </c>
      <c r="I930" s="99">
        <v>44155</v>
      </c>
      <c r="J930">
        <f>YEAR(I930)</f>
        <v>2020</v>
      </c>
      <c r="L930" t="s">
        <v>8297</v>
      </c>
      <c r="M930" t="s">
        <v>8298</v>
      </c>
    </row>
    <row r="931" spans="2:13" x14ac:dyDescent="0.2">
      <c r="B931">
        <v>11070</v>
      </c>
      <c r="C931" t="s">
        <v>8280</v>
      </c>
      <c r="D931" t="s">
        <v>8262</v>
      </c>
      <c r="E931" s="225">
        <v>444.97</v>
      </c>
      <c r="F931" t="s">
        <v>8330</v>
      </c>
      <c r="G931" t="s">
        <v>8331</v>
      </c>
      <c r="H931" t="s">
        <v>8246</v>
      </c>
      <c r="I931" s="99">
        <v>44155</v>
      </c>
      <c r="J931">
        <f>YEAR(I931)</f>
        <v>2020</v>
      </c>
      <c r="L931" t="s">
        <v>8297</v>
      </c>
      <c r="M931" t="s">
        <v>8298</v>
      </c>
    </row>
    <row r="932" spans="2:13" x14ac:dyDescent="0.2">
      <c r="B932">
        <v>11070</v>
      </c>
      <c r="C932" t="s">
        <v>8309</v>
      </c>
      <c r="D932" t="s">
        <v>8237</v>
      </c>
      <c r="E932" s="225">
        <v>250</v>
      </c>
      <c r="F932" t="s">
        <v>8330</v>
      </c>
      <c r="G932" t="s">
        <v>8331</v>
      </c>
      <c r="H932" t="s">
        <v>8246</v>
      </c>
      <c r="I932" s="99">
        <v>44155</v>
      </c>
      <c r="J932">
        <f>YEAR(I932)</f>
        <v>2020</v>
      </c>
      <c r="L932" t="s">
        <v>8297</v>
      </c>
      <c r="M932" t="s">
        <v>8298</v>
      </c>
    </row>
    <row r="933" spans="2:13" x14ac:dyDescent="0.2">
      <c r="B933">
        <v>10579</v>
      </c>
      <c r="C933" t="s">
        <v>8328</v>
      </c>
      <c r="D933" t="s">
        <v>8272</v>
      </c>
      <c r="E933" s="225">
        <v>162.75</v>
      </c>
      <c r="F933" t="s">
        <v>8778</v>
      </c>
      <c r="G933" t="s">
        <v>8777</v>
      </c>
      <c r="H933" t="s">
        <v>8701</v>
      </c>
      <c r="I933" s="99">
        <v>43842</v>
      </c>
      <c r="J933">
        <f>YEAR(I933)</f>
        <v>2020</v>
      </c>
      <c r="K933" s="99">
        <v>43851</v>
      </c>
      <c r="L933" t="s">
        <v>8285</v>
      </c>
      <c r="M933" t="s">
        <v>2317</v>
      </c>
    </row>
    <row r="934" spans="2:13" x14ac:dyDescent="0.2">
      <c r="B934">
        <v>10579</v>
      </c>
      <c r="C934" t="s">
        <v>8361</v>
      </c>
      <c r="D934" t="s">
        <v>8254</v>
      </c>
      <c r="E934" s="225">
        <v>155</v>
      </c>
      <c r="F934" t="s">
        <v>8778</v>
      </c>
      <c r="G934" t="s">
        <v>8777</v>
      </c>
      <c r="H934" t="s">
        <v>8701</v>
      </c>
      <c r="I934" s="99">
        <v>43842</v>
      </c>
      <c r="J934">
        <f>YEAR(I934)</f>
        <v>2020</v>
      </c>
      <c r="K934" s="99">
        <v>43851</v>
      </c>
      <c r="L934" t="s">
        <v>8285</v>
      </c>
      <c r="M934" t="s">
        <v>2317</v>
      </c>
    </row>
    <row r="935" spans="2:13" x14ac:dyDescent="0.2">
      <c r="B935">
        <v>10735</v>
      </c>
      <c r="C935" t="s">
        <v>8409</v>
      </c>
      <c r="D935" t="s">
        <v>8254</v>
      </c>
      <c r="E935" s="225">
        <v>513</v>
      </c>
      <c r="F935" t="s">
        <v>8778</v>
      </c>
      <c r="G935" t="s">
        <v>8777</v>
      </c>
      <c r="H935" t="s">
        <v>8701</v>
      </c>
      <c r="I935" s="99">
        <v>43980</v>
      </c>
      <c r="J935">
        <f>YEAR(I935)</f>
        <v>2020</v>
      </c>
      <c r="K935" s="99">
        <v>43991</v>
      </c>
      <c r="L935" t="s">
        <v>8251</v>
      </c>
      <c r="M935" t="s">
        <v>269</v>
      </c>
    </row>
    <row r="936" spans="2:13" x14ac:dyDescent="0.2">
      <c r="B936">
        <v>10735</v>
      </c>
      <c r="C936" t="s">
        <v>8397</v>
      </c>
      <c r="D936" t="s">
        <v>8254</v>
      </c>
      <c r="E936" s="225">
        <v>23.4</v>
      </c>
      <c r="F936" t="s">
        <v>8778</v>
      </c>
      <c r="G936" t="s">
        <v>8777</v>
      </c>
      <c r="H936" t="s">
        <v>8701</v>
      </c>
      <c r="I936" s="99">
        <v>43980</v>
      </c>
      <c r="J936">
        <f>YEAR(I936)</f>
        <v>2020</v>
      </c>
      <c r="K936" s="99">
        <v>43991</v>
      </c>
      <c r="L936" t="s">
        <v>8251</v>
      </c>
      <c r="M936" t="s">
        <v>269</v>
      </c>
    </row>
    <row r="937" spans="2:13" x14ac:dyDescent="0.2">
      <c r="B937">
        <v>10884</v>
      </c>
      <c r="C937" t="s">
        <v>8253</v>
      </c>
      <c r="D937" t="s">
        <v>8254</v>
      </c>
      <c r="E937" s="225">
        <v>239.97</v>
      </c>
      <c r="F937" t="s">
        <v>8778</v>
      </c>
      <c r="G937" t="s">
        <v>8777</v>
      </c>
      <c r="H937" t="s">
        <v>8701</v>
      </c>
      <c r="I937" s="99">
        <v>44073</v>
      </c>
      <c r="J937">
        <f>YEAR(I937)</f>
        <v>2020</v>
      </c>
      <c r="K937" s="99">
        <v>44074</v>
      </c>
      <c r="L937" t="s">
        <v>8266</v>
      </c>
      <c r="M937" t="s">
        <v>8267</v>
      </c>
    </row>
    <row r="938" spans="2:13" x14ac:dyDescent="0.2">
      <c r="B938">
        <v>10884</v>
      </c>
      <c r="C938" t="s">
        <v>8368</v>
      </c>
      <c r="D938" t="s">
        <v>8262</v>
      </c>
      <c r="E938" s="225">
        <v>380</v>
      </c>
      <c r="F938" t="s">
        <v>8778</v>
      </c>
      <c r="G938" t="s">
        <v>8777</v>
      </c>
      <c r="H938" t="s">
        <v>8701</v>
      </c>
      <c r="I938" s="99">
        <v>44073</v>
      </c>
      <c r="J938">
        <f>YEAR(I938)</f>
        <v>2020</v>
      </c>
      <c r="K938" s="99">
        <v>44074</v>
      </c>
      <c r="L938" t="s">
        <v>8266</v>
      </c>
      <c r="M938" t="s">
        <v>8267</v>
      </c>
    </row>
    <row r="939" spans="2:13" x14ac:dyDescent="0.2">
      <c r="B939">
        <v>10884</v>
      </c>
      <c r="C939" t="s">
        <v>8341</v>
      </c>
      <c r="D939" t="s">
        <v>8244</v>
      </c>
      <c r="E939" s="225">
        <v>758.1</v>
      </c>
      <c r="F939" t="s">
        <v>8778</v>
      </c>
      <c r="G939" t="s">
        <v>8777</v>
      </c>
      <c r="H939" t="s">
        <v>8701</v>
      </c>
      <c r="I939" s="99">
        <v>44073</v>
      </c>
      <c r="J939">
        <f>YEAR(I939)</f>
        <v>2020</v>
      </c>
      <c r="K939" s="99">
        <v>44074</v>
      </c>
      <c r="L939" t="s">
        <v>8266</v>
      </c>
      <c r="M939" t="s">
        <v>8267</v>
      </c>
    </row>
    <row r="940" spans="2:13" x14ac:dyDescent="0.2">
      <c r="B940">
        <v>10283</v>
      </c>
      <c r="C940" t="s">
        <v>8361</v>
      </c>
      <c r="D940" t="s">
        <v>8254</v>
      </c>
      <c r="E940" s="225">
        <v>248</v>
      </c>
      <c r="F940" t="s">
        <v>8709</v>
      </c>
      <c r="G940" t="s">
        <v>8708</v>
      </c>
      <c r="H940" t="s">
        <v>8707</v>
      </c>
      <c r="I940" s="99">
        <v>43529</v>
      </c>
      <c r="J940">
        <f>YEAR(I940)</f>
        <v>2019</v>
      </c>
      <c r="K940" s="99">
        <v>43536</v>
      </c>
      <c r="L940" t="s">
        <v>8257</v>
      </c>
      <c r="M940" t="s">
        <v>6984</v>
      </c>
    </row>
    <row r="941" spans="2:13" x14ac:dyDescent="0.2">
      <c r="B941">
        <v>10283</v>
      </c>
      <c r="C941" t="s">
        <v>8327</v>
      </c>
      <c r="D941" t="s">
        <v>8262</v>
      </c>
      <c r="E941" s="225">
        <v>131.4</v>
      </c>
      <c r="F941" t="s">
        <v>8709</v>
      </c>
      <c r="G941" t="s">
        <v>8708</v>
      </c>
      <c r="H941" t="s">
        <v>8707</v>
      </c>
      <c r="I941" s="99">
        <v>43529</v>
      </c>
      <c r="J941">
        <f>YEAR(I941)</f>
        <v>2019</v>
      </c>
      <c r="K941" s="99">
        <v>43536</v>
      </c>
      <c r="L941" t="s">
        <v>8257</v>
      </c>
      <c r="M941" t="s">
        <v>6984</v>
      </c>
    </row>
    <row r="942" spans="2:13" x14ac:dyDescent="0.2">
      <c r="B942">
        <v>10283</v>
      </c>
      <c r="C942" t="s">
        <v>8268</v>
      </c>
      <c r="D942" t="s">
        <v>8237</v>
      </c>
      <c r="E942" s="225">
        <v>952</v>
      </c>
      <c r="F942" t="s">
        <v>8709</v>
      </c>
      <c r="G942" t="s">
        <v>8708</v>
      </c>
      <c r="H942" t="s">
        <v>8707</v>
      </c>
      <c r="I942" s="99">
        <v>43529</v>
      </c>
      <c r="J942">
        <f>YEAR(I942)</f>
        <v>2019</v>
      </c>
      <c r="K942" s="99">
        <v>43536</v>
      </c>
      <c r="L942" t="s">
        <v>8257</v>
      </c>
      <c r="M942" t="s">
        <v>6984</v>
      </c>
    </row>
    <row r="943" spans="2:13" x14ac:dyDescent="0.2">
      <c r="B943">
        <v>10283</v>
      </c>
      <c r="C943" t="s">
        <v>8235</v>
      </c>
      <c r="D943" t="s">
        <v>8237</v>
      </c>
      <c r="E943" s="225">
        <v>83.4</v>
      </c>
      <c r="F943" t="s">
        <v>8709</v>
      </c>
      <c r="G943" t="s">
        <v>8708</v>
      </c>
      <c r="H943" t="s">
        <v>8707</v>
      </c>
      <c r="I943" s="99">
        <v>43529</v>
      </c>
      <c r="J943">
        <f>YEAR(I943)</f>
        <v>2019</v>
      </c>
      <c r="K943" s="99">
        <v>43536</v>
      </c>
      <c r="L943" t="s">
        <v>8257</v>
      </c>
      <c r="M943" t="s">
        <v>6984</v>
      </c>
    </row>
    <row r="944" spans="2:13" x14ac:dyDescent="0.2">
      <c r="B944">
        <v>10296</v>
      </c>
      <c r="C944" t="s">
        <v>8280</v>
      </c>
      <c r="D944" t="s">
        <v>8262</v>
      </c>
      <c r="E944" s="225">
        <v>417</v>
      </c>
      <c r="F944" t="s">
        <v>8709</v>
      </c>
      <c r="G944" t="s">
        <v>8708</v>
      </c>
      <c r="H944" t="s">
        <v>8707</v>
      </c>
      <c r="I944" s="99">
        <v>43547</v>
      </c>
      <c r="J944">
        <f>YEAR(I944)</f>
        <v>2019</v>
      </c>
      <c r="K944" s="99">
        <v>43555</v>
      </c>
      <c r="L944" t="s">
        <v>8251</v>
      </c>
      <c r="M944" t="s">
        <v>269</v>
      </c>
    </row>
    <row r="945" spans="2:13" x14ac:dyDescent="0.2">
      <c r="B945">
        <v>10296</v>
      </c>
      <c r="C945" t="s">
        <v>8242</v>
      </c>
      <c r="D945" t="s">
        <v>8237</v>
      </c>
      <c r="E945" s="225">
        <v>201.6</v>
      </c>
      <c r="F945" t="s">
        <v>8709</v>
      </c>
      <c r="G945" t="s">
        <v>8708</v>
      </c>
      <c r="H945" t="s">
        <v>8707</v>
      </c>
      <c r="I945" s="99">
        <v>43547</v>
      </c>
      <c r="J945">
        <f>YEAR(I945)</f>
        <v>2019</v>
      </c>
      <c r="K945" s="99">
        <v>43555</v>
      </c>
      <c r="L945" t="s">
        <v>8251</v>
      </c>
      <c r="M945" t="s">
        <v>269</v>
      </c>
    </row>
    <row r="946" spans="2:13" x14ac:dyDescent="0.2">
      <c r="B946">
        <v>10296</v>
      </c>
      <c r="C946" t="s">
        <v>8353</v>
      </c>
      <c r="D946" t="s">
        <v>8237</v>
      </c>
      <c r="E946" s="225">
        <v>432</v>
      </c>
      <c r="F946" t="s">
        <v>8709</v>
      </c>
      <c r="G946" t="s">
        <v>8708</v>
      </c>
      <c r="H946" t="s">
        <v>8707</v>
      </c>
      <c r="I946" s="99">
        <v>43547</v>
      </c>
      <c r="J946">
        <f>YEAR(I946)</f>
        <v>2019</v>
      </c>
      <c r="K946" s="99">
        <v>43555</v>
      </c>
      <c r="L946" t="s">
        <v>8251</v>
      </c>
      <c r="M946" t="s">
        <v>269</v>
      </c>
    </row>
    <row r="947" spans="2:13" x14ac:dyDescent="0.2">
      <c r="B947">
        <v>10330</v>
      </c>
      <c r="C947" t="s">
        <v>8372</v>
      </c>
      <c r="D947" t="s">
        <v>8262</v>
      </c>
      <c r="E947" s="225">
        <v>1058.25</v>
      </c>
      <c r="F947" t="s">
        <v>8709</v>
      </c>
      <c r="G947" t="s">
        <v>8708</v>
      </c>
      <c r="H947" t="s">
        <v>8707</v>
      </c>
      <c r="I947" s="99">
        <v>43590</v>
      </c>
      <c r="J947">
        <f>YEAR(I947)</f>
        <v>2019</v>
      </c>
      <c r="K947" s="99">
        <v>43602</v>
      </c>
      <c r="L947" t="s">
        <v>8257</v>
      </c>
      <c r="M947" t="s">
        <v>6984</v>
      </c>
    </row>
    <row r="948" spans="2:13" x14ac:dyDescent="0.2">
      <c r="B948">
        <v>10330</v>
      </c>
      <c r="C948" t="s">
        <v>8235</v>
      </c>
      <c r="D948" t="s">
        <v>8237</v>
      </c>
      <c r="E948" s="225">
        <v>590.75</v>
      </c>
      <c r="F948" t="s">
        <v>8709</v>
      </c>
      <c r="G948" t="s">
        <v>8708</v>
      </c>
      <c r="H948" t="s">
        <v>8707</v>
      </c>
      <c r="I948" s="99">
        <v>43590</v>
      </c>
      <c r="J948">
        <f>YEAR(I948)</f>
        <v>2019</v>
      </c>
      <c r="K948" s="99">
        <v>43602</v>
      </c>
      <c r="L948" t="s">
        <v>8257</v>
      </c>
      <c r="M948" t="s">
        <v>6984</v>
      </c>
    </row>
    <row r="949" spans="2:13" x14ac:dyDescent="0.2">
      <c r="B949">
        <v>10357</v>
      </c>
      <c r="C949" t="s">
        <v>8372</v>
      </c>
      <c r="D949" t="s">
        <v>8262</v>
      </c>
      <c r="E949" s="225">
        <v>398.4</v>
      </c>
      <c r="F949" t="s">
        <v>8709</v>
      </c>
      <c r="G949" t="s">
        <v>8708</v>
      </c>
      <c r="H949" t="s">
        <v>8707</v>
      </c>
      <c r="I949" s="99">
        <v>43624</v>
      </c>
      <c r="J949">
        <f>YEAR(I949)</f>
        <v>2019</v>
      </c>
      <c r="K949" s="99">
        <v>43637</v>
      </c>
      <c r="L949" t="s">
        <v>8285</v>
      </c>
      <c r="M949" t="s">
        <v>2317</v>
      </c>
    </row>
    <row r="950" spans="2:13" x14ac:dyDescent="0.2">
      <c r="B950">
        <v>10357</v>
      </c>
      <c r="C950" t="s">
        <v>8268</v>
      </c>
      <c r="D950" t="s">
        <v>8237</v>
      </c>
      <c r="E950" s="225">
        <v>174.08</v>
      </c>
      <c r="F950" t="s">
        <v>8709</v>
      </c>
      <c r="G950" t="s">
        <v>8708</v>
      </c>
      <c r="H950" t="s">
        <v>8707</v>
      </c>
      <c r="I950" s="99">
        <v>43624</v>
      </c>
      <c r="J950">
        <f>YEAR(I950)</f>
        <v>2019</v>
      </c>
      <c r="K950" s="99">
        <v>43637</v>
      </c>
      <c r="L950" t="s">
        <v>8285</v>
      </c>
      <c r="M950" t="s">
        <v>2317</v>
      </c>
    </row>
    <row r="951" spans="2:13" x14ac:dyDescent="0.2">
      <c r="B951">
        <v>10381</v>
      </c>
      <c r="C951" t="s">
        <v>8275</v>
      </c>
      <c r="D951" t="s">
        <v>8247</v>
      </c>
      <c r="E951" s="225">
        <v>112</v>
      </c>
      <c r="F951" t="s">
        <v>8709</v>
      </c>
      <c r="G951" t="s">
        <v>8708</v>
      </c>
      <c r="H951" t="s">
        <v>8707</v>
      </c>
      <c r="I951" s="99">
        <v>43647</v>
      </c>
      <c r="J951">
        <f>YEAR(I951)</f>
        <v>2019</v>
      </c>
      <c r="K951" s="99">
        <v>43648</v>
      </c>
      <c r="L951" t="s">
        <v>8257</v>
      </c>
      <c r="M951" t="s">
        <v>6984</v>
      </c>
    </row>
    <row r="952" spans="2:13" x14ac:dyDescent="0.2">
      <c r="B952">
        <v>10461</v>
      </c>
      <c r="C952" t="s">
        <v>8368</v>
      </c>
      <c r="D952" t="s">
        <v>8262</v>
      </c>
      <c r="E952" s="225">
        <v>240</v>
      </c>
      <c r="F952" t="s">
        <v>8709</v>
      </c>
      <c r="G952" t="s">
        <v>8708</v>
      </c>
      <c r="H952" t="s">
        <v>8707</v>
      </c>
      <c r="I952" s="99">
        <v>43725</v>
      </c>
      <c r="J952">
        <f>YEAR(I952)</f>
        <v>2019</v>
      </c>
      <c r="K952" s="99">
        <v>43730</v>
      </c>
      <c r="L952" t="s">
        <v>8285</v>
      </c>
      <c r="M952" t="s">
        <v>2317</v>
      </c>
    </row>
    <row r="953" spans="2:13" x14ac:dyDescent="0.2">
      <c r="B953">
        <v>10499</v>
      </c>
      <c r="C953" t="s">
        <v>8390</v>
      </c>
      <c r="D953" t="s">
        <v>8262</v>
      </c>
      <c r="E953" s="225">
        <v>500</v>
      </c>
      <c r="F953" t="s">
        <v>8709</v>
      </c>
      <c r="G953" t="s">
        <v>8708</v>
      </c>
      <c r="H953" t="s">
        <v>8707</v>
      </c>
      <c r="I953" s="99">
        <v>43764</v>
      </c>
      <c r="J953">
        <f>YEAR(I953)</f>
        <v>2019</v>
      </c>
      <c r="K953" s="99">
        <v>43772</v>
      </c>
      <c r="L953" t="s">
        <v>8266</v>
      </c>
      <c r="M953" t="s">
        <v>8267</v>
      </c>
    </row>
    <row r="954" spans="2:13" x14ac:dyDescent="0.2">
      <c r="B954">
        <v>10499</v>
      </c>
      <c r="C954" t="s">
        <v>8316</v>
      </c>
      <c r="D954" t="s">
        <v>8247</v>
      </c>
      <c r="E954" s="225">
        <v>912</v>
      </c>
      <c r="F954" t="s">
        <v>8709</v>
      </c>
      <c r="G954" t="s">
        <v>8708</v>
      </c>
      <c r="H954" t="s">
        <v>8707</v>
      </c>
      <c r="I954" s="99">
        <v>43764</v>
      </c>
      <c r="J954">
        <f>YEAR(I954)</f>
        <v>2019</v>
      </c>
      <c r="K954" s="99">
        <v>43772</v>
      </c>
      <c r="L954" t="s">
        <v>8266</v>
      </c>
      <c r="M954" t="s">
        <v>8267</v>
      </c>
    </row>
    <row r="955" spans="2:13" x14ac:dyDescent="0.2">
      <c r="B955">
        <v>10543</v>
      </c>
      <c r="C955" t="s">
        <v>8299</v>
      </c>
      <c r="D955" t="s">
        <v>8237</v>
      </c>
      <c r="E955" s="225">
        <v>969</v>
      </c>
      <c r="F955" t="s">
        <v>8709</v>
      </c>
      <c r="G955" t="s">
        <v>8708</v>
      </c>
      <c r="H955" t="s">
        <v>8707</v>
      </c>
      <c r="I955" s="99">
        <v>43807</v>
      </c>
      <c r="J955">
        <f>YEAR(I955)</f>
        <v>2019</v>
      </c>
      <c r="K955" s="99">
        <v>43809</v>
      </c>
      <c r="L955" t="s">
        <v>8320</v>
      </c>
      <c r="M955" t="s">
        <v>8321</v>
      </c>
    </row>
    <row r="956" spans="2:13" x14ac:dyDescent="0.2">
      <c r="B956">
        <v>10543</v>
      </c>
      <c r="C956" t="s">
        <v>8373</v>
      </c>
      <c r="D956" t="s">
        <v>8244</v>
      </c>
      <c r="E956" s="225">
        <v>535.5</v>
      </c>
      <c r="F956" t="s">
        <v>8709</v>
      </c>
      <c r="G956" t="s">
        <v>8708</v>
      </c>
      <c r="H956" t="s">
        <v>8707</v>
      </c>
      <c r="I956" s="99">
        <v>43807</v>
      </c>
      <c r="J956">
        <f>YEAR(I956)</f>
        <v>2019</v>
      </c>
      <c r="K956" s="99">
        <v>43809</v>
      </c>
      <c r="L956" t="s">
        <v>8320</v>
      </c>
      <c r="M956" t="s">
        <v>8321</v>
      </c>
    </row>
    <row r="957" spans="2:13" x14ac:dyDescent="0.2">
      <c r="B957">
        <v>10780</v>
      </c>
      <c r="C957" t="s">
        <v>8288</v>
      </c>
      <c r="D957" t="s">
        <v>8272</v>
      </c>
      <c r="E957" s="225">
        <v>525</v>
      </c>
      <c r="F957" t="s">
        <v>8709</v>
      </c>
      <c r="G957" t="s">
        <v>8708</v>
      </c>
      <c r="H957" t="s">
        <v>8707</v>
      </c>
      <c r="I957" s="99">
        <v>44016</v>
      </c>
      <c r="J957">
        <f>YEAR(I957)</f>
        <v>2020</v>
      </c>
      <c r="K957" s="99">
        <v>44025</v>
      </c>
      <c r="L957" t="s">
        <v>8297</v>
      </c>
      <c r="M957" t="s">
        <v>8298</v>
      </c>
    </row>
    <row r="958" spans="2:13" x14ac:dyDescent="0.2">
      <c r="B958">
        <v>10780</v>
      </c>
      <c r="C958" t="s">
        <v>8397</v>
      </c>
      <c r="D958" t="s">
        <v>8254</v>
      </c>
      <c r="E958" s="225">
        <v>195</v>
      </c>
      <c r="F958" t="s">
        <v>8709</v>
      </c>
      <c r="G958" t="s">
        <v>8708</v>
      </c>
      <c r="H958" t="s">
        <v>8707</v>
      </c>
      <c r="I958" s="99">
        <v>44016</v>
      </c>
      <c r="J958">
        <f>YEAR(I958)</f>
        <v>2020</v>
      </c>
      <c r="K958" s="99">
        <v>44025</v>
      </c>
      <c r="L958" t="s">
        <v>8297</v>
      </c>
      <c r="M958" t="s">
        <v>8298</v>
      </c>
    </row>
    <row r="959" spans="2:13" x14ac:dyDescent="0.2">
      <c r="B959">
        <v>10823</v>
      </c>
      <c r="C959" t="s">
        <v>8397</v>
      </c>
      <c r="D959" t="s">
        <v>8254</v>
      </c>
      <c r="E959" s="225">
        <v>175.5</v>
      </c>
      <c r="F959" t="s">
        <v>8709</v>
      </c>
      <c r="G959" t="s">
        <v>8708</v>
      </c>
      <c r="H959" t="s">
        <v>8707</v>
      </c>
      <c r="I959" s="99">
        <v>44040</v>
      </c>
      <c r="J959">
        <f>YEAR(I959)</f>
        <v>2020</v>
      </c>
      <c r="K959" s="99">
        <v>44044</v>
      </c>
      <c r="L959" t="s">
        <v>8241</v>
      </c>
      <c r="M959" t="s">
        <v>6934</v>
      </c>
    </row>
    <row r="960" spans="2:13" x14ac:dyDescent="0.2">
      <c r="B960">
        <v>10823</v>
      </c>
      <c r="C960" t="s">
        <v>8242</v>
      </c>
      <c r="D960" t="s">
        <v>8237</v>
      </c>
      <c r="E960" s="225">
        <v>378</v>
      </c>
      <c r="F960" t="s">
        <v>8709</v>
      </c>
      <c r="G960" t="s">
        <v>8708</v>
      </c>
      <c r="H960" t="s">
        <v>8707</v>
      </c>
      <c r="I960" s="99">
        <v>44040</v>
      </c>
      <c r="J960">
        <f>YEAR(I960)</f>
        <v>2020</v>
      </c>
      <c r="K960" s="99">
        <v>44044</v>
      </c>
      <c r="L960" t="s">
        <v>8241</v>
      </c>
      <c r="M960" t="s">
        <v>6934</v>
      </c>
    </row>
    <row r="961" spans="2:13" x14ac:dyDescent="0.2">
      <c r="B961">
        <v>10823</v>
      </c>
      <c r="C961" t="s">
        <v>8281</v>
      </c>
      <c r="D961" t="s">
        <v>8237</v>
      </c>
      <c r="E961" s="225">
        <v>1980</v>
      </c>
      <c r="F961" t="s">
        <v>8709</v>
      </c>
      <c r="G961" t="s">
        <v>8708</v>
      </c>
      <c r="H961" t="s">
        <v>8707</v>
      </c>
      <c r="I961" s="99">
        <v>44040</v>
      </c>
      <c r="J961">
        <f>YEAR(I961)</f>
        <v>2020</v>
      </c>
      <c r="K961" s="99">
        <v>44044</v>
      </c>
      <c r="L961" t="s">
        <v>8241</v>
      </c>
      <c r="M961" t="s">
        <v>6934</v>
      </c>
    </row>
    <row r="962" spans="2:13" x14ac:dyDescent="0.2">
      <c r="B962">
        <v>10823</v>
      </c>
      <c r="C962" t="s">
        <v>8258</v>
      </c>
      <c r="D962" t="s">
        <v>8244</v>
      </c>
      <c r="E962" s="225">
        <v>292.5</v>
      </c>
      <c r="F962" t="s">
        <v>8709</v>
      </c>
      <c r="G962" t="s">
        <v>8708</v>
      </c>
      <c r="H962" t="s">
        <v>8707</v>
      </c>
      <c r="I962" s="99">
        <v>44040</v>
      </c>
      <c r="J962">
        <f>YEAR(I962)</f>
        <v>2020</v>
      </c>
      <c r="K962" s="99">
        <v>44044</v>
      </c>
      <c r="L962" t="s">
        <v>8241</v>
      </c>
      <c r="M962" t="s">
        <v>6934</v>
      </c>
    </row>
    <row r="963" spans="2:13" x14ac:dyDescent="0.2">
      <c r="B963">
        <v>10899</v>
      </c>
      <c r="C963" t="s">
        <v>8342</v>
      </c>
      <c r="D963" t="s">
        <v>8272</v>
      </c>
      <c r="E963" s="225">
        <v>122.4</v>
      </c>
      <c r="F963" t="s">
        <v>8709</v>
      </c>
      <c r="G963" t="s">
        <v>8708</v>
      </c>
      <c r="H963" t="s">
        <v>8707</v>
      </c>
      <c r="I963" s="99">
        <v>44081</v>
      </c>
      <c r="J963">
        <f>YEAR(I963)</f>
        <v>2020</v>
      </c>
      <c r="K963" s="99">
        <v>44087</v>
      </c>
      <c r="L963" t="s">
        <v>8241</v>
      </c>
      <c r="M963" t="s">
        <v>6934</v>
      </c>
    </row>
    <row r="964" spans="2:13" x14ac:dyDescent="0.2">
      <c r="B964">
        <v>10997</v>
      </c>
      <c r="C964" t="s">
        <v>8287</v>
      </c>
      <c r="D964" t="s">
        <v>8237</v>
      </c>
      <c r="E964" s="225">
        <v>1600</v>
      </c>
      <c r="F964" t="s">
        <v>8709</v>
      </c>
      <c r="G964" t="s">
        <v>8708</v>
      </c>
      <c r="H964" t="s">
        <v>8707</v>
      </c>
      <c r="I964" s="99">
        <v>44123</v>
      </c>
      <c r="J964">
        <f>YEAR(I964)</f>
        <v>2020</v>
      </c>
      <c r="K964" s="99">
        <v>44133</v>
      </c>
      <c r="L964" t="s">
        <v>8320</v>
      </c>
      <c r="M964" t="s">
        <v>8321</v>
      </c>
    </row>
    <row r="965" spans="2:13" x14ac:dyDescent="0.2">
      <c r="B965">
        <v>10997</v>
      </c>
      <c r="C965" t="s">
        <v>8369</v>
      </c>
      <c r="D965" t="s">
        <v>8244</v>
      </c>
      <c r="E965" s="225">
        <v>105</v>
      </c>
      <c r="F965" t="s">
        <v>8709</v>
      </c>
      <c r="G965" t="s">
        <v>8708</v>
      </c>
      <c r="H965" t="s">
        <v>8707</v>
      </c>
      <c r="I965" s="99">
        <v>44123</v>
      </c>
      <c r="J965">
        <f>YEAR(I965)</f>
        <v>2020</v>
      </c>
      <c r="K965" s="99">
        <v>44133</v>
      </c>
      <c r="L965" t="s">
        <v>8320</v>
      </c>
      <c r="M965" t="s">
        <v>8321</v>
      </c>
    </row>
    <row r="966" spans="2:13" x14ac:dyDescent="0.2">
      <c r="B966">
        <v>11071</v>
      </c>
      <c r="C966" t="s">
        <v>8415</v>
      </c>
      <c r="D966" t="s">
        <v>8247</v>
      </c>
      <c r="E966" s="225">
        <v>427.5</v>
      </c>
      <c r="F966" t="s">
        <v>8709</v>
      </c>
      <c r="G966" t="s">
        <v>8708</v>
      </c>
      <c r="H966" t="s">
        <v>8707</v>
      </c>
      <c r="I966" s="99">
        <v>44155</v>
      </c>
      <c r="J966">
        <f>YEAR(I966)</f>
        <v>2020</v>
      </c>
      <c r="L966" t="s">
        <v>8285</v>
      </c>
      <c r="M966" t="s">
        <v>2317</v>
      </c>
    </row>
    <row r="967" spans="2:13" x14ac:dyDescent="0.2">
      <c r="B967">
        <v>10405</v>
      </c>
      <c r="C967" t="s">
        <v>8337</v>
      </c>
      <c r="D967" t="s">
        <v>8254</v>
      </c>
      <c r="E967" s="225">
        <v>400</v>
      </c>
      <c r="F967" t="s">
        <v>8724</v>
      </c>
      <c r="G967" t="s">
        <v>8723</v>
      </c>
      <c r="H967" t="s">
        <v>8707</v>
      </c>
      <c r="I967" s="99">
        <v>43672</v>
      </c>
      <c r="J967">
        <f>YEAR(I967)</f>
        <v>2019</v>
      </c>
      <c r="K967" s="99">
        <v>43688</v>
      </c>
      <c r="L967" t="s">
        <v>8285</v>
      </c>
      <c r="M967" t="s">
        <v>2317</v>
      </c>
    </row>
    <row r="968" spans="2:13" x14ac:dyDescent="0.2">
      <c r="B968">
        <v>10485</v>
      </c>
      <c r="C968" t="s">
        <v>8276</v>
      </c>
      <c r="D968" t="s">
        <v>8272</v>
      </c>
      <c r="E968" s="225">
        <v>273.60000000000002</v>
      </c>
      <c r="F968" t="s">
        <v>8724</v>
      </c>
      <c r="G968" t="s">
        <v>8723</v>
      </c>
      <c r="H968" t="s">
        <v>8707</v>
      </c>
      <c r="I968" s="99">
        <v>43750</v>
      </c>
      <c r="J968">
        <f>YEAR(I968)</f>
        <v>2019</v>
      </c>
      <c r="K968" s="99">
        <v>43756</v>
      </c>
      <c r="L968" t="s">
        <v>8266</v>
      </c>
      <c r="M968" t="s">
        <v>8267</v>
      </c>
    </row>
    <row r="969" spans="2:13" x14ac:dyDescent="0.2">
      <c r="B969">
        <v>10485</v>
      </c>
      <c r="C969" t="s">
        <v>8288</v>
      </c>
      <c r="D969" t="s">
        <v>8272</v>
      </c>
      <c r="E969" s="225">
        <v>648</v>
      </c>
      <c r="F969" t="s">
        <v>8724</v>
      </c>
      <c r="G969" t="s">
        <v>8723</v>
      </c>
      <c r="H969" t="s">
        <v>8707</v>
      </c>
      <c r="I969" s="99">
        <v>43750</v>
      </c>
      <c r="J969">
        <f>YEAR(I969)</f>
        <v>2019</v>
      </c>
      <c r="K969" s="99">
        <v>43756</v>
      </c>
      <c r="L969" t="s">
        <v>8266</v>
      </c>
      <c r="M969" t="s">
        <v>8267</v>
      </c>
    </row>
    <row r="970" spans="2:13" x14ac:dyDescent="0.2">
      <c r="B970">
        <v>10485</v>
      </c>
      <c r="C970" t="s">
        <v>8337</v>
      </c>
      <c r="D970" t="s">
        <v>8254</v>
      </c>
      <c r="E970" s="225">
        <v>144</v>
      </c>
      <c r="F970" t="s">
        <v>8724</v>
      </c>
      <c r="G970" t="s">
        <v>8723</v>
      </c>
      <c r="H970" t="s">
        <v>8707</v>
      </c>
      <c r="I970" s="99">
        <v>43750</v>
      </c>
      <c r="J970">
        <f>YEAR(I970)</f>
        <v>2019</v>
      </c>
      <c r="K970" s="99">
        <v>43756</v>
      </c>
      <c r="L970" t="s">
        <v>8266</v>
      </c>
      <c r="M970" t="s">
        <v>8267</v>
      </c>
    </row>
    <row r="971" spans="2:13" x14ac:dyDescent="0.2">
      <c r="B971">
        <v>10638</v>
      </c>
      <c r="C971" t="s">
        <v>8253</v>
      </c>
      <c r="D971" t="s">
        <v>8254</v>
      </c>
      <c r="E971" s="225">
        <v>442.05</v>
      </c>
      <c r="F971" t="s">
        <v>8724</v>
      </c>
      <c r="G971" t="s">
        <v>8723</v>
      </c>
      <c r="H971" t="s">
        <v>8707</v>
      </c>
      <c r="I971" s="99">
        <v>43898</v>
      </c>
      <c r="J971">
        <f>YEAR(I971)</f>
        <v>2020</v>
      </c>
      <c r="K971" s="99">
        <v>43910</v>
      </c>
      <c r="L971" t="s">
        <v>8257</v>
      </c>
      <c r="M971" t="s">
        <v>6984</v>
      </c>
    </row>
    <row r="972" spans="2:13" x14ac:dyDescent="0.2">
      <c r="B972">
        <v>10638</v>
      </c>
      <c r="C972" t="s">
        <v>8235</v>
      </c>
      <c r="D972" t="s">
        <v>8237</v>
      </c>
      <c r="E972" s="225">
        <v>2088</v>
      </c>
      <c r="F972" t="s">
        <v>8724</v>
      </c>
      <c r="G972" t="s">
        <v>8723</v>
      </c>
      <c r="H972" t="s">
        <v>8707</v>
      </c>
      <c r="I972" s="99">
        <v>43898</v>
      </c>
      <c r="J972">
        <f>YEAR(I972)</f>
        <v>2020</v>
      </c>
      <c r="K972" s="99">
        <v>43910</v>
      </c>
      <c r="L972" t="s">
        <v>8257</v>
      </c>
      <c r="M972" t="s">
        <v>6984</v>
      </c>
    </row>
    <row r="973" spans="2:13" x14ac:dyDescent="0.2">
      <c r="B973">
        <v>10697</v>
      </c>
      <c r="C973" t="s">
        <v>8323</v>
      </c>
      <c r="D973" t="s">
        <v>8272</v>
      </c>
      <c r="E973" s="225">
        <v>121.5</v>
      </c>
      <c r="F973" t="s">
        <v>8724</v>
      </c>
      <c r="G973" t="s">
        <v>8723</v>
      </c>
      <c r="H973" t="s">
        <v>8707</v>
      </c>
      <c r="I973" s="99">
        <v>43947</v>
      </c>
      <c r="J973">
        <f>YEAR(I973)</f>
        <v>2020</v>
      </c>
      <c r="K973" s="99">
        <v>43953</v>
      </c>
      <c r="L973" t="s">
        <v>8257</v>
      </c>
      <c r="M973" t="s">
        <v>6984</v>
      </c>
    </row>
    <row r="974" spans="2:13" x14ac:dyDescent="0.2">
      <c r="B974">
        <v>10697</v>
      </c>
      <c r="C974" t="s">
        <v>8288</v>
      </c>
      <c r="D974" t="s">
        <v>8272</v>
      </c>
      <c r="E974" s="225">
        <v>337.5</v>
      </c>
      <c r="F974" t="s">
        <v>8724</v>
      </c>
      <c r="G974" t="s">
        <v>8723</v>
      </c>
      <c r="H974" t="s">
        <v>8707</v>
      </c>
      <c r="I974" s="99">
        <v>43947</v>
      </c>
      <c r="J974">
        <f>YEAR(I974)</f>
        <v>2020</v>
      </c>
      <c r="K974" s="99">
        <v>43953</v>
      </c>
      <c r="L974" t="s">
        <v>8257</v>
      </c>
      <c r="M974" t="s">
        <v>6984</v>
      </c>
    </row>
    <row r="975" spans="2:13" x14ac:dyDescent="0.2">
      <c r="B975">
        <v>10697</v>
      </c>
      <c r="C975" t="s">
        <v>8327</v>
      </c>
      <c r="D975" t="s">
        <v>8262</v>
      </c>
      <c r="E975" s="225">
        <v>48.3</v>
      </c>
      <c r="F975" t="s">
        <v>8724</v>
      </c>
      <c r="G975" t="s">
        <v>8723</v>
      </c>
      <c r="H975" t="s">
        <v>8707</v>
      </c>
      <c r="I975" s="99">
        <v>43947</v>
      </c>
      <c r="J975">
        <f>YEAR(I975)</f>
        <v>2020</v>
      </c>
      <c r="K975" s="99">
        <v>43953</v>
      </c>
      <c r="L975" t="s">
        <v>8257</v>
      </c>
      <c r="M975" t="s">
        <v>6984</v>
      </c>
    </row>
    <row r="976" spans="2:13" x14ac:dyDescent="0.2">
      <c r="B976">
        <v>10729</v>
      </c>
      <c r="C976" t="s">
        <v>8333</v>
      </c>
      <c r="D976" t="s">
        <v>8272</v>
      </c>
      <c r="E976" s="225">
        <v>900</v>
      </c>
      <c r="F976" t="s">
        <v>8724</v>
      </c>
      <c r="G976" t="s">
        <v>8723</v>
      </c>
      <c r="H976" t="s">
        <v>8707</v>
      </c>
      <c r="I976" s="99">
        <v>43974</v>
      </c>
      <c r="J976">
        <f>YEAR(I976)</f>
        <v>2020</v>
      </c>
      <c r="K976" s="99">
        <v>43984</v>
      </c>
      <c r="L976" t="s">
        <v>8320</v>
      </c>
      <c r="M976" t="s">
        <v>8321</v>
      </c>
    </row>
    <row r="977" spans="2:13" x14ac:dyDescent="0.2">
      <c r="B977">
        <v>10729</v>
      </c>
      <c r="C977" t="s">
        <v>8368</v>
      </c>
      <c r="D977" t="s">
        <v>8262</v>
      </c>
      <c r="E977" s="225">
        <v>300</v>
      </c>
      <c r="F977" t="s">
        <v>8724</v>
      </c>
      <c r="G977" t="s">
        <v>8723</v>
      </c>
      <c r="H977" t="s">
        <v>8707</v>
      </c>
      <c r="I977" s="99">
        <v>43974</v>
      </c>
      <c r="J977">
        <f>YEAR(I977)</f>
        <v>2020</v>
      </c>
      <c r="K977" s="99">
        <v>43984</v>
      </c>
      <c r="L977" t="s">
        <v>8320</v>
      </c>
      <c r="M977" t="s">
        <v>8321</v>
      </c>
    </row>
    <row r="978" spans="2:13" x14ac:dyDescent="0.2">
      <c r="B978">
        <v>10729</v>
      </c>
      <c r="C978" t="s">
        <v>8381</v>
      </c>
      <c r="D978" t="s">
        <v>8262</v>
      </c>
      <c r="E978" s="225">
        <v>650</v>
      </c>
      <c r="F978" t="s">
        <v>8724</v>
      </c>
      <c r="G978" t="s">
        <v>8723</v>
      </c>
      <c r="H978" t="s">
        <v>8707</v>
      </c>
      <c r="I978" s="99">
        <v>43974</v>
      </c>
      <c r="J978">
        <f>YEAR(I978)</f>
        <v>2020</v>
      </c>
      <c r="K978" s="99">
        <v>43984</v>
      </c>
      <c r="L978" t="s">
        <v>8320</v>
      </c>
      <c r="M978" t="s">
        <v>8321</v>
      </c>
    </row>
    <row r="979" spans="2:13" x14ac:dyDescent="0.2">
      <c r="B979">
        <v>10811</v>
      </c>
      <c r="C979" t="s">
        <v>8327</v>
      </c>
      <c r="D979" t="s">
        <v>8262</v>
      </c>
      <c r="E979" s="225">
        <v>138</v>
      </c>
      <c r="F979" t="s">
        <v>8724</v>
      </c>
      <c r="G979" t="s">
        <v>8723</v>
      </c>
      <c r="H979" t="s">
        <v>8707</v>
      </c>
      <c r="I979" s="99">
        <v>44033</v>
      </c>
      <c r="J979">
        <f>YEAR(I979)</f>
        <v>2020</v>
      </c>
      <c r="K979" s="99">
        <v>44039</v>
      </c>
      <c r="L979" t="s">
        <v>8320</v>
      </c>
      <c r="M979" t="s">
        <v>8321</v>
      </c>
    </row>
    <row r="980" spans="2:13" x14ac:dyDescent="0.2">
      <c r="B980">
        <v>10811</v>
      </c>
      <c r="C980" t="s">
        <v>8373</v>
      </c>
      <c r="D980" t="s">
        <v>8244</v>
      </c>
      <c r="E980" s="225">
        <v>162</v>
      </c>
      <c r="F980" t="s">
        <v>8724</v>
      </c>
      <c r="G980" t="s">
        <v>8723</v>
      </c>
      <c r="H980" t="s">
        <v>8707</v>
      </c>
      <c r="I980" s="99">
        <v>44033</v>
      </c>
      <c r="J980">
        <f>YEAR(I980)</f>
        <v>2020</v>
      </c>
      <c r="K980" s="99">
        <v>44039</v>
      </c>
      <c r="L980" t="s">
        <v>8320</v>
      </c>
      <c r="M980" t="s">
        <v>8321</v>
      </c>
    </row>
    <row r="981" spans="2:13" x14ac:dyDescent="0.2">
      <c r="B981">
        <v>10838</v>
      </c>
      <c r="C981" t="s">
        <v>8333</v>
      </c>
      <c r="D981" t="s">
        <v>8272</v>
      </c>
      <c r="E981" s="225">
        <v>54</v>
      </c>
      <c r="F981" t="s">
        <v>8724</v>
      </c>
      <c r="G981" t="s">
        <v>8723</v>
      </c>
      <c r="H981" t="s">
        <v>8707</v>
      </c>
      <c r="I981" s="99">
        <v>44050</v>
      </c>
      <c r="J981">
        <f>YEAR(I981)</f>
        <v>2020</v>
      </c>
      <c r="K981" s="99">
        <v>44054</v>
      </c>
      <c r="L981" t="s">
        <v>8257</v>
      </c>
      <c r="M981" t="s">
        <v>6984</v>
      </c>
    </row>
    <row r="982" spans="2:13" x14ac:dyDescent="0.2">
      <c r="B982">
        <v>10840</v>
      </c>
      <c r="C982" t="s">
        <v>8342</v>
      </c>
      <c r="D982" t="s">
        <v>8272</v>
      </c>
      <c r="E982" s="225">
        <v>144</v>
      </c>
      <c r="F982" t="s">
        <v>8724</v>
      </c>
      <c r="G982" t="s">
        <v>8723</v>
      </c>
      <c r="H982" t="s">
        <v>8707</v>
      </c>
      <c r="I982" s="99">
        <v>44050</v>
      </c>
      <c r="J982">
        <f>YEAR(I982)</f>
        <v>2020</v>
      </c>
      <c r="K982" s="99">
        <v>44077</v>
      </c>
      <c r="L982" t="s">
        <v>8266</v>
      </c>
      <c r="M982" t="s">
        <v>8267</v>
      </c>
    </row>
    <row r="983" spans="2:13" x14ac:dyDescent="0.2">
      <c r="B983">
        <v>10840</v>
      </c>
      <c r="C983" t="s">
        <v>8362</v>
      </c>
      <c r="D983" t="s">
        <v>8262</v>
      </c>
      <c r="E983" s="225">
        <v>67.2</v>
      </c>
      <c r="F983" t="s">
        <v>8724</v>
      </c>
      <c r="G983" t="s">
        <v>8723</v>
      </c>
      <c r="H983" t="s">
        <v>8707</v>
      </c>
      <c r="I983" s="99">
        <v>44050</v>
      </c>
      <c r="J983">
        <f>YEAR(I983)</f>
        <v>2020</v>
      </c>
      <c r="K983" s="99">
        <v>44077</v>
      </c>
      <c r="L983" t="s">
        <v>8266</v>
      </c>
      <c r="M983" t="s">
        <v>8267</v>
      </c>
    </row>
    <row r="984" spans="2:13" x14ac:dyDescent="0.2">
      <c r="B984">
        <v>10919</v>
      </c>
      <c r="C984" t="s">
        <v>8280</v>
      </c>
      <c r="D984" t="s">
        <v>8262</v>
      </c>
      <c r="E984" s="225">
        <v>418.8</v>
      </c>
      <c r="F984" t="s">
        <v>8724</v>
      </c>
      <c r="G984" t="s">
        <v>8723</v>
      </c>
      <c r="H984" t="s">
        <v>8707</v>
      </c>
      <c r="I984" s="99">
        <v>44091</v>
      </c>
      <c r="J984">
        <f>YEAR(I984)</f>
        <v>2020</v>
      </c>
      <c r="K984" s="99">
        <v>44093</v>
      </c>
      <c r="L984" t="s">
        <v>8297</v>
      </c>
      <c r="M984" t="s">
        <v>8298</v>
      </c>
    </row>
    <row r="985" spans="2:13" x14ac:dyDescent="0.2">
      <c r="B985">
        <v>10919</v>
      </c>
      <c r="C985" t="s">
        <v>8362</v>
      </c>
      <c r="D985" t="s">
        <v>8262</v>
      </c>
      <c r="E985" s="225">
        <v>336</v>
      </c>
      <c r="F985" t="s">
        <v>8724</v>
      </c>
      <c r="G985" t="s">
        <v>8723</v>
      </c>
      <c r="H985" t="s">
        <v>8707</v>
      </c>
      <c r="I985" s="99">
        <v>44091</v>
      </c>
      <c r="J985">
        <f>YEAR(I985)</f>
        <v>2020</v>
      </c>
      <c r="K985" s="99">
        <v>44093</v>
      </c>
      <c r="L985" t="s">
        <v>8297</v>
      </c>
      <c r="M985" t="s">
        <v>8298</v>
      </c>
    </row>
    <row r="986" spans="2:13" x14ac:dyDescent="0.2">
      <c r="B986">
        <v>10954</v>
      </c>
      <c r="C986" t="s">
        <v>8280</v>
      </c>
      <c r="D986" t="s">
        <v>8262</v>
      </c>
      <c r="E986" s="225">
        <v>415.31</v>
      </c>
      <c r="F986" t="s">
        <v>8724</v>
      </c>
      <c r="G986" t="s">
        <v>8723</v>
      </c>
      <c r="H986" t="s">
        <v>8707</v>
      </c>
      <c r="I986" s="99">
        <v>44106</v>
      </c>
      <c r="J986">
        <f>YEAR(I986)</f>
        <v>2020</v>
      </c>
      <c r="K986" s="99">
        <v>44109</v>
      </c>
      <c r="L986" t="s">
        <v>8241</v>
      </c>
      <c r="M986" t="s">
        <v>6934</v>
      </c>
    </row>
    <row r="987" spans="2:13" x14ac:dyDescent="0.2">
      <c r="B987">
        <v>10954</v>
      </c>
      <c r="C987" t="s">
        <v>8309</v>
      </c>
      <c r="D987" t="s">
        <v>8237</v>
      </c>
      <c r="E987" s="225">
        <v>265.62</v>
      </c>
      <c r="F987" t="s">
        <v>8724</v>
      </c>
      <c r="G987" t="s">
        <v>8723</v>
      </c>
      <c r="H987" t="s">
        <v>8707</v>
      </c>
      <c r="I987" s="99">
        <v>44106</v>
      </c>
      <c r="J987">
        <f>YEAR(I987)</f>
        <v>2020</v>
      </c>
      <c r="K987" s="99">
        <v>44109</v>
      </c>
      <c r="L987" t="s">
        <v>8241</v>
      </c>
      <c r="M987" t="s">
        <v>6934</v>
      </c>
    </row>
    <row r="988" spans="2:13" x14ac:dyDescent="0.2">
      <c r="B988">
        <v>10954</v>
      </c>
      <c r="C988" t="s">
        <v>8268</v>
      </c>
      <c r="D988" t="s">
        <v>8237</v>
      </c>
      <c r="E988" s="225">
        <v>693.6</v>
      </c>
      <c r="F988" t="s">
        <v>8724</v>
      </c>
      <c r="G988" t="s">
        <v>8723</v>
      </c>
      <c r="H988" t="s">
        <v>8707</v>
      </c>
      <c r="I988" s="99">
        <v>44106</v>
      </c>
      <c r="J988">
        <f>YEAR(I988)</f>
        <v>2020</v>
      </c>
      <c r="K988" s="99">
        <v>44109</v>
      </c>
      <c r="L988" t="s">
        <v>8241</v>
      </c>
      <c r="M988" t="s">
        <v>6934</v>
      </c>
    </row>
    <row r="989" spans="2:13" x14ac:dyDescent="0.2">
      <c r="B989">
        <v>11039</v>
      </c>
      <c r="C989" t="s">
        <v>8323</v>
      </c>
      <c r="D989" t="s">
        <v>8272</v>
      </c>
      <c r="E989" s="225">
        <v>432</v>
      </c>
      <c r="F989" t="s">
        <v>8724</v>
      </c>
      <c r="G989" t="s">
        <v>8723</v>
      </c>
      <c r="H989" t="s">
        <v>8707</v>
      </c>
      <c r="I989" s="99">
        <v>44141</v>
      </c>
      <c r="J989">
        <f>YEAR(I989)</f>
        <v>2020</v>
      </c>
      <c r="L989" t="s">
        <v>8285</v>
      </c>
      <c r="M989" t="s">
        <v>2317</v>
      </c>
    </row>
    <row r="990" spans="2:13" x14ac:dyDescent="0.2">
      <c r="B990">
        <v>11039</v>
      </c>
      <c r="C990" t="s">
        <v>8390</v>
      </c>
      <c r="D990" t="s">
        <v>8262</v>
      </c>
      <c r="E990" s="225">
        <v>1200</v>
      </c>
      <c r="F990" t="s">
        <v>8724</v>
      </c>
      <c r="G990" t="s">
        <v>8723</v>
      </c>
      <c r="H990" t="s">
        <v>8707</v>
      </c>
      <c r="I990" s="99">
        <v>44141</v>
      </c>
      <c r="J990">
        <f>YEAR(I990)</f>
        <v>2020</v>
      </c>
      <c r="L990" t="s">
        <v>8285</v>
      </c>
      <c r="M990" t="s">
        <v>2317</v>
      </c>
    </row>
    <row r="991" spans="2:13" x14ac:dyDescent="0.2">
      <c r="B991">
        <v>11039</v>
      </c>
      <c r="C991" t="s">
        <v>8258</v>
      </c>
      <c r="D991" t="s">
        <v>8244</v>
      </c>
      <c r="E991" s="225">
        <v>546</v>
      </c>
      <c r="F991" t="s">
        <v>8724</v>
      </c>
      <c r="G991" t="s">
        <v>8723</v>
      </c>
      <c r="H991" t="s">
        <v>8707</v>
      </c>
      <c r="I991" s="99">
        <v>44141</v>
      </c>
      <c r="J991">
        <f>YEAR(I991)</f>
        <v>2020</v>
      </c>
      <c r="L991" t="s">
        <v>8285</v>
      </c>
      <c r="M991" t="s">
        <v>2317</v>
      </c>
    </row>
    <row r="992" spans="2:13" x14ac:dyDescent="0.2">
      <c r="B992">
        <v>11039</v>
      </c>
      <c r="C992" t="s">
        <v>8316</v>
      </c>
      <c r="D992" t="s">
        <v>8247</v>
      </c>
      <c r="E992" s="225">
        <v>912</v>
      </c>
      <c r="F992" t="s">
        <v>8724</v>
      </c>
      <c r="G992" t="s">
        <v>8723</v>
      </c>
      <c r="H992" t="s">
        <v>8707</v>
      </c>
      <c r="I992" s="99">
        <v>44141</v>
      </c>
      <c r="J992">
        <f>YEAR(I992)</f>
        <v>2020</v>
      </c>
      <c r="L992" t="s">
        <v>8285</v>
      </c>
      <c r="M992" t="s">
        <v>2317</v>
      </c>
    </row>
    <row r="993" spans="2:13" x14ac:dyDescent="0.2">
      <c r="B993">
        <v>10307</v>
      </c>
      <c r="C993" t="s">
        <v>8291</v>
      </c>
      <c r="D993" t="s">
        <v>8262</v>
      </c>
      <c r="E993" s="225">
        <v>394</v>
      </c>
      <c r="F993" t="s">
        <v>8752</v>
      </c>
      <c r="G993" t="s">
        <v>8751</v>
      </c>
      <c r="H993" t="s">
        <v>8701</v>
      </c>
      <c r="I993" s="99">
        <v>43561</v>
      </c>
      <c r="J993">
        <f>YEAR(I993)</f>
        <v>2019</v>
      </c>
      <c r="K993" s="99">
        <v>43569</v>
      </c>
      <c r="L993" t="s">
        <v>8297</v>
      </c>
      <c r="M993" t="s">
        <v>8298</v>
      </c>
    </row>
    <row r="994" spans="2:13" x14ac:dyDescent="0.2">
      <c r="B994">
        <v>10307</v>
      </c>
      <c r="C994" t="s">
        <v>8334</v>
      </c>
      <c r="D994" t="s">
        <v>8262</v>
      </c>
      <c r="E994" s="225">
        <v>30</v>
      </c>
      <c r="F994" t="s">
        <v>8752</v>
      </c>
      <c r="G994" t="s">
        <v>8751</v>
      </c>
      <c r="H994" t="s">
        <v>8701</v>
      </c>
      <c r="I994" s="99">
        <v>43561</v>
      </c>
      <c r="J994">
        <f>YEAR(I994)</f>
        <v>2019</v>
      </c>
      <c r="K994" s="99">
        <v>43569</v>
      </c>
      <c r="L994" t="s">
        <v>8297</v>
      </c>
      <c r="M994" t="s">
        <v>8298</v>
      </c>
    </row>
    <row r="995" spans="2:13" x14ac:dyDescent="0.2">
      <c r="B995">
        <v>10317</v>
      </c>
      <c r="C995" t="s">
        <v>8333</v>
      </c>
      <c r="D995" t="s">
        <v>8272</v>
      </c>
      <c r="E995" s="225">
        <v>288</v>
      </c>
      <c r="F995" t="s">
        <v>8752</v>
      </c>
      <c r="G995" t="s">
        <v>8751</v>
      </c>
      <c r="H995" t="s">
        <v>8701</v>
      </c>
      <c r="I995" s="99">
        <v>43574</v>
      </c>
      <c r="J995">
        <f>YEAR(I995)</f>
        <v>2019</v>
      </c>
      <c r="K995" s="99">
        <v>43584</v>
      </c>
      <c r="L995" t="s">
        <v>8251</v>
      </c>
      <c r="M995" t="s">
        <v>269</v>
      </c>
    </row>
    <row r="996" spans="2:13" x14ac:dyDescent="0.2">
      <c r="B996">
        <v>10544</v>
      </c>
      <c r="C996" t="s">
        <v>8329</v>
      </c>
      <c r="D996" t="s">
        <v>8272</v>
      </c>
      <c r="E996" s="225">
        <v>98</v>
      </c>
      <c r="F996" t="s">
        <v>8752</v>
      </c>
      <c r="G996" t="s">
        <v>8751</v>
      </c>
      <c r="H996" t="s">
        <v>8701</v>
      </c>
      <c r="I996" s="99">
        <v>43807</v>
      </c>
      <c r="J996">
        <f>YEAR(I996)</f>
        <v>2019</v>
      </c>
      <c r="K996" s="99">
        <v>43816</v>
      </c>
      <c r="L996" t="s">
        <v>8266</v>
      </c>
      <c r="M996" t="s">
        <v>8267</v>
      </c>
    </row>
    <row r="997" spans="2:13" x14ac:dyDescent="0.2">
      <c r="B997">
        <v>10544</v>
      </c>
      <c r="C997" t="s">
        <v>8316</v>
      </c>
      <c r="D997" t="s">
        <v>8247</v>
      </c>
      <c r="E997" s="225">
        <v>319.2</v>
      </c>
      <c r="F997" t="s">
        <v>8752</v>
      </c>
      <c r="G997" t="s">
        <v>8751</v>
      </c>
      <c r="H997" t="s">
        <v>8701</v>
      </c>
      <c r="I997" s="99">
        <v>43807</v>
      </c>
      <c r="J997">
        <f>YEAR(I997)</f>
        <v>2019</v>
      </c>
      <c r="K997" s="99">
        <v>43816</v>
      </c>
      <c r="L997" t="s">
        <v>8266</v>
      </c>
      <c r="M997" t="s">
        <v>8267</v>
      </c>
    </row>
    <row r="998" spans="2:13" x14ac:dyDescent="0.2">
      <c r="B998">
        <v>10662</v>
      </c>
      <c r="C998" t="s">
        <v>8334</v>
      </c>
      <c r="D998" t="s">
        <v>8262</v>
      </c>
      <c r="E998" s="225">
        <v>125</v>
      </c>
      <c r="F998" t="s">
        <v>8752</v>
      </c>
      <c r="G998" t="s">
        <v>8751</v>
      </c>
      <c r="H998" t="s">
        <v>8701</v>
      </c>
      <c r="I998" s="99">
        <v>43918</v>
      </c>
      <c r="J998">
        <f>YEAR(I998)</f>
        <v>2020</v>
      </c>
      <c r="K998" s="99">
        <v>43927</v>
      </c>
      <c r="L998" t="s">
        <v>8257</v>
      </c>
      <c r="M998" t="s">
        <v>6984</v>
      </c>
    </row>
    <row r="999" spans="2:13" x14ac:dyDescent="0.2">
      <c r="B999">
        <v>10665</v>
      </c>
      <c r="C999" t="s">
        <v>8303</v>
      </c>
      <c r="D999" t="s">
        <v>8272</v>
      </c>
      <c r="E999" s="225">
        <v>180</v>
      </c>
      <c r="F999" t="s">
        <v>8752</v>
      </c>
      <c r="G999" t="s">
        <v>8751</v>
      </c>
      <c r="H999" t="s">
        <v>8701</v>
      </c>
      <c r="I999" s="99">
        <v>43920</v>
      </c>
      <c r="J999">
        <f>YEAR(I999)</f>
        <v>2020</v>
      </c>
      <c r="K999" s="99">
        <v>43926</v>
      </c>
      <c r="L999" t="s">
        <v>8285</v>
      </c>
      <c r="M999" t="s">
        <v>2317</v>
      </c>
    </row>
    <row r="1000" spans="2:13" x14ac:dyDescent="0.2">
      <c r="B1000">
        <v>10665</v>
      </c>
      <c r="C1000" t="s">
        <v>8281</v>
      </c>
      <c r="D1000" t="s">
        <v>8237</v>
      </c>
      <c r="E1000" s="225">
        <v>55</v>
      </c>
      <c r="F1000" t="s">
        <v>8752</v>
      </c>
      <c r="G1000" t="s">
        <v>8751</v>
      </c>
      <c r="H1000" t="s">
        <v>8701</v>
      </c>
      <c r="I1000" s="99">
        <v>43920</v>
      </c>
      <c r="J1000">
        <f>YEAR(I1000)</f>
        <v>2020</v>
      </c>
      <c r="K1000" s="99">
        <v>43926</v>
      </c>
      <c r="L1000" t="s">
        <v>8285</v>
      </c>
      <c r="M1000" t="s">
        <v>2317</v>
      </c>
    </row>
    <row r="1001" spans="2:13" x14ac:dyDescent="0.2">
      <c r="B1001">
        <v>10665</v>
      </c>
      <c r="C1001" t="s">
        <v>8245</v>
      </c>
      <c r="D1001" t="s">
        <v>8247</v>
      </c>
      <c r="E1001" s="225">
        <v>1060</v>
      </c>
      <c r="F1001" t="s">
        <v>8752</v>
      </c>
      <c r="G1001" t="s">
        <v>8751</v>
      </c>
      <c r="H1001" t="s">
        <v>8701</v>
      </c>
      <c r="I1001" s="99">
        <v>43920</v>
      </c>
      <c r="J1001">
        <f>YEAR(I1001)</f>
        <v>2020</v>
      </c>
      <c r="K1001" s="99">
        <v>43926</v>
      </c>
      <c r="L1001" t="s">
        <v>8285</v>
      </c>
      <c r="M1001" t="s">
        <v>2317</v>
      </c>
    </row>
    <row r="1002" spans="2:13" x14ac:dyDescent="0.2">
      <c r="B1002">
        <v>10883</v>
      </c>
      <c r="C1002" t="s">
        <v>8270</v>
      </c>
      <c r="D1002" t="s">
        <v>8272</v>
      </c>
      <c r="E1002" s="225">
        <v>36</v>
      </c>
      <c r="F1002" t="s">
        <v>8752</v>
      </c>
      <c r="G1002" t="s">
        <v>8751</v>
      </c>
      <c r="H1002" t="s">
        <v>8701</v>
      </c>
      <c r="I1002" s="99">
        <v>44073</v>
      </c>
      <c r="J1002">
        <f>YEAR(I1002)</f>
        <v>2020</v>
      </c>
      <c r="K1002" s="99">
        <v>44081</v>
      </c>
      <c r="L1002" t="s">
        <v>8320</v>
      </c>
      <c r="M1002" t="s">
        <v>8321</v>
      </c>
    </row>
    <row r="1003" spans="2:13" x14ac:dyDescent="0.2">
      <c r="B1003">
        <v>11018</v>
      </c>
      <c r="C1003" t="s">
        <v>8299</v>
      </c>
      <c r="D1003" t="s">
        <v>8237</v>
      </c>
      <c r="E1003" s="225">
        <v>760</v>
      </c>
      <c r="F1003" t="s">
        <v>8752</v>
      </c>
      <c r="G1003" t="s">
        <v>8751</v>
      </c>
      <c r="H1003" t="s">
        <v>8701</v>
      </c>
      <c r="I1003" s="99">
        <v>44133</v>
      </c>
      <c r="J1003">
        <f>YEAR(I1003)</f>
        <v>2020</v>
      </c>
      <c r="K1003" s="99">
        <v>44136</v>
      </c>
      <c r="L1003" t="s">
        <v>8266</v>
      </c>
      <c r="M1003" t="s">
        <v>8267</v>
      </c>
    </row>
    <row r="1004" spans="2:13" x14ac:dyDescent="0.2">
      <c r="B1004">
        <v>11018</v>
      </c>
      <c r="C1004" t="s">
        <v>8341</v>
      </c>
      <c r="D1004" t="s">
        <v>8244</v>
      </c>
      <c r="E1004" s="225">
        <v>190</v>
      </c>
      <c r="F1004" t="s">
        <v>8752</v>
      </c>
      <c r="G1004" t="s">
        <v>8751</v>
      </c>
      <c r="H1004" t="s">
        <v>8701</v>
      </c>
      <c r="I1004" s="99">
        <v>44133</v>
      </c>
      <c r="J1004">
        <f>YEAR(I1004)</f>
        <v>2020</v>
      </c>
      <c r="K1004" s="99">
        <v>44136</v>
      </c>
      <c r="L1004" t="s">
        <v>8266</v>
      </c>
      <c r="M1004" t="s">
        <v>8267</v>
      </c>
    </row>
    <row r="1005" spans="2:13" x14ac:dyDescent="0.2">
      <c r="B1005">
        <v>10275</v>
      </c>
      <c r="C1005" t="s">
        <v>8270</v>
      </c>
      <c r="D1005" t="s">
        <v>8272</v>
      </c>
      <c r="E1005" s="225">
        <v>41.04</v>
      </c>
      <c r="F1005" t="s">
        <v>8312</v>
      </c>
      <c r="G1005" t="s">
        <v>8313</v>
      </c>
      <c r="H1005" t="s">
        <v>8311</v>
      </c>
      <c r="I1005" s="99">
        <v>43520</v>
      </c>
      <c r="J1005">
        <f>YEAR(I1005)</f>
        <v>2019</v>
      </c>
      <c r="K1005" s="99">
        <v>43522</v>
      </c>
      <c r="L1005" t="s">
        <v>8285</v>
      </c>
      <c r="M1005" t="s">
        <v>2317</v>
      </c>
    </row>
    <row r="1006" spans="2:13" x14ac:dyDescent="0.2">
      <c r="B1006">
        <v>10275</v>
      </c>
      <c r="C1006" t="s">
        <v>8281</v>
      </c>
      <c r="D1006" t="s">
        <v>8237</v>
      </c>
      <c r="E1006" s="225">
        <v>250.8</v>
      </c>
      <c r="F1006" t="s">
        <v>8312</v>
      </c>
      <c r="G1006" t="s">
        <v>8313</v>
      </c>
      <c r="H1006" t="s">
        <v>8311</v>
      </c>
      <c r="I1006" s="99">
        <v>43520</v>
      </c>
      <c r="J1006">
        <f>YEAR(I1006)</f>
        <v>2019</v>
      </c>
      <c r="K1006" s="99">
        <v>43522</v>
      </c>
      <c r="L1006" t="s">
        <v>8285</v>
      </c>
      <c r="M1006" t="s">
        <v>2317</v>
      </c>
    </row>
    <row r="1007" spans="2:13" x14ac:dyDescent="0.2">
      <c r="B1007">
        <v>10300</v>
      </c>
      <c r="C1007" t="s">
        <v>8348</v>
      </c>
      <c r="D1007" t="s">
        <v>8254</v>
      </c>
      <c r="E1007" s="225">
        <v>408</v>
      </c>
      <c r="F1007" t="s">
        <v>8312</v>
      </c>
      <c r="G1007" t="s">
        <v>8313</v>
      </c>
      <c r="H1007" t="s">
        <v>8311</v>
      </c>
      <c r="I1007" s="99">
        <v>43553</v>
      </c>
      <c r="J1007">
        <f>YEAR(I1007)</f>
        <v>2019</v>
      </c>
      <c r="K1007" s="99">
        <v>43562</v>
      </c>
      <c r="L1007" t="s">
        <v>8297</v>
      </c>
      <c r="M1007" t="s">
        <v>8298</v>
      </c>
    </row>
    <row r="1008" spans="2:13" x14ac:dyDescent="0.2">
      <c r="B1008">
        <v>10300</v>
      </c>
      <c r="C1008" t="s">
        <v>8334</v>
      </c>
      <c r="D1008" t="s">
        <v>8262</v>
      </c>
      <c r="E1008" s="225">
        <v>200</v>
      </c>
      <c r="F1008" t="s">
        <v>8312</v>
      </c>
      <c r="G1008" t="s">
        <v>8313</v>
      </c>
      <c r="H1008" t="s">
        <v>8311</v>
      </c>
      <c r="I1008" s="99">
        <v>43553</v>
      </c>
      <c r="J1008">
        <f>YEAR(I1008)</f>
        <v>2019</v>
      </c>
      <c r="K1008" s="99">
        <v>43562</v>
      </c>
      <c r="L1008" t="s">
        <v>8297</v>
      </c>
      <c r="M1008" t="s">
        <v>8298</v>
      </c>
    </row>
    <row r="1009" spans="2:13" x14ac:dyDescent="0.2">
      <c r="B1009">
        <v>10404</v>
      </c>
      <c r="C1009" t="s">
        <v>8372</v>
      </c>
      <c r="D1009" t="s">
        <v>8262</v>
      </c>
      <c r="E1009" s="225">
        <v>709.65</v>
      </c>
      <c r="F1009" t="s">
        <v>8312</v>
      </c>
      <c r="G1009" t="s">
        <v>8313</v>
      </c>
      <c r="H1009" t="s">
        <v>8311</v>
      </c>
      <c r="I1009" s="99">
        <v>43669</v>
      </c>
      <c r="J1009">
        <f>YEAR(I1009)</f>
        <v>2019</v>
      </c>
      <c r="K1009" s="99">
        <v>43674</v>
      </c>
      <c r="L1009" t="s">
        <v>8297</v>
      </c>
      <c r="M1009" t="s">
        <v>8298</v>
      </c>
    </row>
    <row r="1010" spans="2:13" x14ac:dyDescent="0.2">
      <c r="B1010">
        <v>10404</v>
      </c>
      <c r="C1010" t="s">
        <v>8390</v>
      </c>
      <c r="D1010" t="s">
        <v>8262</v>
      </c>
      <c r="E1010" s="225">
        <v>456</v>
      </c>
      <c r="F1010" t="s">
        <v>8312</v>
      </c>
      <c r="G1010" t="s">
        <v>8313</v>
      </c>
      <c r="H1010" t="s">
        <v>8311</v>
      </c>
      <c r="I1010" s="99">
        <v>43669</v>
      </c>
      <c r="J1010">
        <f>YEAR(I1010)</f>
        <v>2019</v>
      </c>
      <c r="K1010" s="99">
        <v>43674</v>
      </c>
      <c r="L1010" t="s">
        <v>8297</v>
      </c>
      <c r="M1010" t="s">
        <v>8298</v>
      </c>
    </row>
    <row r="1011" spans="2:13" x14ac:dyDescent="0.2">
      <c r="B1011">
        <v>10404</v>
      </c>
      <c r="C1011" t="s">
        <v>8243</v>
      </c>
      <c r="D1011" t="s">
        <v>8244</v>
      </c>
      <c r="E1011" s="225">
        <v>425.6</v>
      </c>
      <c r="F1011" t="s">
        <v>8312</v>
      </c>
      <c r="G1011" t="s">
        <v>8313</v>
      </c>
      <c r="H1011" t="s">
        <v>8311</v>
      </c>
      <c r="I1011" s="99">
        <v>43669</v>
      </c>
      <c r="J1011">
        <f>YEAR(I1011)</f>
        <v>2019</v>
      </c>
      <c r="K1011" s="99">
        <v>43674</v>
      </c>
      <c r="L1011" t="s">
        <v>8297</v>
      </c>
      <c r="M1011" t="s">
        <v>8298</v>
      </c>
    </row>
    <row r="1012" spans="2:13" x14ac:dyDescent="0.2">
      <c r="B1012">
        <v>10467</v>
      </c>
      <c r="C1012" t="s">
        <v>8270</v>
      </c>
      <c r="D1012" t="s">
        <v>8272</v>
      </c>
      <c r="E1012" s="225">
        <v>100.8</v>
      </c>
      <c r="F1012" t="s">
        <v>8312</v>
      </c>
      <c r="G1012" t="s">
        <v>8313</v>
      </c>
      <c r="H1012" t="s">
        <v>8311</v>
      </c>
      <c r="I1012" s="99">
        <v>43731</v>
      </c>
      <c r="J1012">
        <f>YEAR(I1012)</f>
        <v>2019</v>
      </c>
      <c r="K1012" s="99">
        <v>43736</v>
      </c>
      <c r="L1012" t="s">
        <v>8320</v>
      </c>
      <c r="M1012" t="s">
        <v>8321</v>
      </c>
    </row>
    <row r="1013" spans="2:13" x14ac:dyDescent="0.2">
      <c r="B1013">
        <v>10467</v>
      </c>
      <c r="C1013" t="s">
        <v>8362</v>
      </c>
      <c r="D1013" t="s">
        <v>8262</v>
      </c>
      <c r="E1013" s="225">
        <v>134.4</v>
      </c>
      <c r="F1013" t="s">
        <v>8312</v>
      </c>
      <c r="G1013" t="s">
        <v>8313</v>
      </c>
      <c r="H1013" t="s">
        <v>8311</v>
      </c>
      <c r="I1013" s="99">
        <v>43731</v>
      </c>
      <c r="J1013">
        <f>YEAR(I1013)</f>
        <v>2019</v>
      </c>
      <c r="K1013" s="99">
        <v>43736</v>
      </c>
      <c r="L1013" t="s">
        <v>8320</v>
      </c>
      <c r="M1013" t="s">
        <v>8321</v>
      </c>
    </row>
    <row r="1014" spans="2:13" x14ac:dyDescent="0.2">
      <c r="B1014">
        <v>10635</v>
      </c>
      <c r="C1014" t="s">
        <v>8352</v>
      </c>
      <c r="D1014" t="s">
        <v>8254</v>
      </c>
      <c r="E1014" s="225">
        <v>198</v>
      </c>
      <c r="F1014" t="s">
        <v>8312</v>
      </c>
      <c r="G1014" t="s">
        <v>8313</v>
      </c>
      <c r="H1014" t="s">
        <v>8311</v>
      </c>
      <c r="I1014" s="99">
        <v>43896</v>
      </c>
      <c r="J1014">
        <f>YEAR(I1014)</f>
        <v>2020</v>
      </c>
      <c r="K1014" s="99">
        <v>43899</v>
      </c>
      <c r="L1014" t="s">
        <v>8320</v>
      </c>
      <c r="M1014" t="s">
        <v>8321</v>
      </c>
    </row>
    <row r="1015" spans="2:13" x14ac:dyDescent="0.2">
      <c r="B1015">
        <v>10635</v>
      </c>
      <c r="C1015" t="s">
        <v>8286</v>
      </c>
      <c r="D1015" t="s">
        <v>8254</v>
      </c>
      <c r="E1015" s="225">
        <v>288.22000000000003</v>
      </c>
      <c r="F1015" t="s">
        <v>8312</v>
      </c>
      <c r="G1015" t="s">
        <v>8313</v>
      </c>
      <c r="H1015" t="s">
        <v>8311</v>
      </c>
      <c r="I1015" s="99">
        <v>43896</v>
      </c>
      <c r="J1015">
        <f>YEAR(I1015)</f>
        <v>2020</v>
      </c>
      <c r="K1015" s="99">
        <v>43899</v>
      </c>
      <c r="L1015" t="s">
        <v>8320</v>
      </c>
      <c r="M1015" t="s">
        <v>8321</v>
      </c>
    </row>
    <row r="1016" spans="2:13" x14ac:dyDescent="0.2">
      <c r="B1016">
        <v>10635</v>
      </c>
      <c r="C1016" t="s">
        <v>8259</v>
      </c>
      <c r="D1016" t="s">
        <v>8244</v>
      </c>
      <c r="E1016" s="225">
        <v>840</v>
      </c>
      <c r="F1016" t="s">
        <v>8312</v>
      </c>
      <c r="G1016" t="s">
        <v>8313</v>
      </c>
      <c r="H1016" t="s">
        <v>8311</v>
      </c>
      <c r="I1016" s="99">
        <v>43896</v>
      </c>
      <c r="J1016">
        <f>YEAR(I1016)</f>
        <v>2020</v>
      </c>
      <c r="K1016" s="99">
        <v>43899</v>
      </c>
      <c r="L1016" t="s">
        <v>8320</v>
      </c>
      <c r="M1016" t="s">
        <v>8321</v>
      </c>
    </row>
    <row r="1017" spans="2:13" x14ac:dyDescent="0.2">
      <c r="B1017">
        <v>10784</v>
      </c>
      <c r="C1017" t="s">
        <v>8342</v>
      </c>
      <c r="D1017" t="s">
        <v>8272</v>
      </c>
      <c r="E1017" s="225">
        <v>30.6</v>
      </c>
      <c r="F1017" t="s">
        <v>8312</v>
      </c>
      <c r="G1017" t="s">
        <v>8313</v>
      </c>
      <c r="H1017" t="s">
        <v>8311</v>
      </c>
      <c r="I1017" s="99">
        <v>44018</v>
      </c>
      <c r="J1017">
        <f>YEAR(I1017)</f>
        <v>2020</v>
      </c>
      <c r="K1017" s="99">
        <v>44022</v>
      </c>
      <c r="L1017" t="s">
        <v>8266</v>
      </c>
      <c r="M1017" t="s">
        <v>8267</v>
      </c>
    </row>
    <row r="1018" spans="2:13" x14ac:dyDescent="0.2">
      <c r="B1018">
        <v>10784</v>
      </c>
      <c r="C1018" t="s">
        <v>8235</v>
      </c>
      <c r="D1018" t="s">
        <v>8237</v>
      </c>
      <c r="E1018" s="225">
        <v>887.4</v>
      </c>
      <c r="F1018" t="s">
        <v>8312</v>
      </c>
      <c r="G1018" t="s">
        <v>8313</v>
      </c>
      <c r="H1018" t="s">
        <v>8311</v>
      </c>
      <c r="I1018" s="99">
        <v>44018</v>
      </c>
      <c r="J1018">
        <f>YEAR(I1018)</f>
        <v>2020</v>
      </c>
      <c r="K1018" s="99">
        <v>44022</v>
      </c>
      <c r="L1018" t="s">
        <v>8266</v>
      </c>
      <c r="M1018" t="s">
        <v>8267</v>
      </c>
    </row>
    <row r="1019" spans="2:13" x14ac:dyDescent="0.2">
      <c r="B1019">
        <v>10818</v>
      </c>
      <c r="C1019" t="s">
        <v>8287</v>
      </c>
      <c r="D1019" t="s">
        <v>8237</v>
      </c>
      <c r="E1019" s="225">
        <v>640</v>
      </c>
      <c r="F1019" t="s">
        <v>8312</v>
      </c>
      <c r="G1019" t="s">
        <v>8313</v>
      </c>
      <c r="H1019" t="s">
        <v>8311</v>
      </c>
      <c r="I1019" s="99">
        <v>44038</v>
      </c>
      <c r="J1019">
        <f>YEAR(I1019)</f>
        <v>2020</v>
      </c>
      <c r="K1019" s="99">
        <v>44044</v>
      </c>
      <c r="L1019" t="s">
        <v>8158</v>
      </c>
      <c r="M1019" t="s">
        <v>861</v>
      </c>
    </row>
    <row r="1020" spans="2:13" x14ac:dyDescent="0.2">
      <c r="B1020">
        <v>10939</v>
      </c>
      <c r="C1020" t="s">
        <v>8276</v>
      </c>
      <c r="D1020" t="s">
        <v>8272</v>
      </c>
      <c r="E1020" s="225">
        <v>161.5</v>
      </c>
      <c r="F1020" t="s">
        <v>8312</v>
      </c>
      <c r="G1020" t="s">
        <v>8313</v>
      </c>
      <c r="H1020" t="s">
        <v>8311</v>
      </c>
      <c r="I1020" s="99">
        <v>44099</v>
      </c>
      <c r="J1020">
        <f>YEAR(I1020)</f>
        <v>2020</v>
      </c>
      <c r="K1020" s="99">
        <v>44103</v>
      </c>
      <c r="L1020" t="s">
        <v>8297</v>
      </c>
      <c r="M1020" t="s">
        <v>8298</v>
      </c>
    </row>
    <row r="1021" spans="2:13" x14ac:dyDescent="0.2">
      <c r="B1021">
        <v>10939</v>
      </c>
      <c r="C1021" t="s">
        <v>8329</v>
      </c>
      <c r="D1021" t="s">
        <v>8272</v>
      </c>
      <c r="E1021" s="225">
        <v>476</v>
      </c>
      <c r="F1021" t="s">
        <v>8312</v>
      </c>
      <c r="G1021" t="s">
        <v>8313</v>
      </c>
      <c r="H1021" t="s">
        <v>8311</v>
      </c>
      <c r="I1021" s="99">
        <v>44099</v>
      </c>
      <c r="J1021">
        <f>YEAR(I1021)</f>
        <v>2020</v>
      </c>
      <c r="K1021" s="99">
        <v>44103</v>
      </c>
      <c r="L1021" t="s">
        <v>8297</v>
      </c>
      <c r="M1021" t="s">
        <v>8298</v>
      </c>
    </row>
    <row r="1022" spans="2:13" x14ac:dyDescent="0.2">
      <c r="B1022">
        <v>10950</v>
      </c>
      <c r="C1022" t="s">
        <v>8352</v>
      </c>
      <c r="D1022" t="s">
        <v>8254</v>
      </c>
      <c r="E1022" s="225">
        <v>110</v>
      </c>
      <c r="F1022" t="s">
        <v>8312</v>
      </c>
      <c r="G1022" t="s">
        <v>8313</v>
      </c>
      <c r="H1022" t="s">
        <v>8311</v>
      </c>
      <c r="I1022" s="99">
        <v>44105</v>
      </c>
      <c r="J1022">
        <f>YEAR(I1022)</f>
        <v>2020</v>
      </c>
      <c r="K1022" s="99">
        <v>44112</v>
      </c>
      <c r="L1022" t="s">
        <v>8285</v>
      </c>
      <c r="M1022" t="s">
        <v>2317</v>
      </c>
    </row>
    <row r="1023" spans="2:13" x14ac:dyDescent="0.2">
      <c r="B1023">
        <v>10529</v>
      </c>
      <c r="C1023" t="s">
        <v>8334</v>
      </c>
      <c r="D1023" t="s">
        <v>8262</v>
      </c>
      <c r="E1023" s="225">
        <v>250</v>
      </c>
      <c r="F1023" t="s">
        <v>8420</v>
      </c>
      <c r="G1023" t="s">
        <v>8421</v>
      </c>
      <c r="H1023" t="s">
        <v>8261</v>
      </c>
      <c r="I1023" s="99">
        <v>43793</v>
      </c>
      <c r="J1023">
        <f>YEAR(I1023)</f>
        <v>2019</v>
      </c>
      <c r="K1023" s="99">
        <v>43795</v>
      </c>
      <c r="L1023" t="s">
        <v>8241</v>
      </c>
      <c r="M1023" t="s">
        <v>6934</v>
      </c>
    </row>
    <row r="1024" spans="2:13" x14ac:dyDescent="0.2">
      <c r="B1024">
        <v>10529</v>
      </c>
      <c r="C1024" t="s">
        <v>8353</v>
      </c>
      <c r="D1024" t="s">
        <v>8237</v>
      </c>
      <c r="E1024" s="225">
        <v>360</v>
      </c>
      <c r="F1024" t="s">
        <v>8420</v>
      </c>
      <c r="G1024" t="s">
        <v>8421</v>
      </c>
      <c r="H1024" t="s">
        <v>8261</v>
      </c>
      <c r="I1024" s="99">
        <v>43793</v>
      </c>
      <c r="J1024">
        <f>YEAR(I1024)</f>
        <v>2019</v>
      </c>
      <c r="K1024" s="99">
        <v>43795</v>
      </c>
      <c r="L1024" t="s">
        <v>8241</v>
      </c>
      <c r="M1024" t="s">
        <v>6934</v>
      </c>
    </row>
    <row r="1025" spans="2:13" x14ac:dyDescent="0.2">
      <c r="B1025">
        <v>10649</v>
      </c>
      <c r="C1025" t="s">
        <v>8235</v>
      </c>
      <c r="D1025" t="s">
        <v>8237</v>
      </c>
      <c r="E1025" s="225">
        <v>522</v>
      </c>
      <c r="F1025" t="s">
        <v>8420</v>
      </c>
      <c r="G1025" t="s">
        <v>8421</v>
      </c>
      <c r="H1025" t="s">
        <v>8261</v>
      </c>
      <c r="I1025" s="99">
        <v>43906</v>
      </c>
      <c r="J1025">
        <f>YEAR(I1025)</f>
        <v>2020</v>
      </c>
      <c r="K1025" s="99">
        <v>43907</v>
      </c>
      <c r="L1025" t="s">
        <v>8241</v>
      </c>
      <c r="M1025" t="s">
        <v>6934</v>
      </c>
    </row>
    <row r="1026" spans="2:13" x14ac:dyDescent="0.2">
      <c r="B1026">
        <v>10649</v>
      </c>
      <c r="C1026" t="s">
        <v>8316</v>
      </c>
      <c r="D1026" t="s">
        <v>8247</v>
      </c>
      <c r="E1026" s="225">
        <v>912</v>
      </c>
      <c r="F1026" t="s">
        <v>8420</v>
      </c>
      <c r="G1026" t="s">
        <v>8421</v>
      </c>
      <c r="H1026" t="s">
        <v>8261</v>
      </c>
      <c r="I1026" s="99">
        <v>43906</v>
      </c>
      <c r="J1026">
        <f>YEAR(I1026)</f>
        <v>2020</v>
      </c>
      <c r="K1026" s="99">
        <v>43907</v>
      </c>
      <c r="L1026" t="s">
        <v>8241</v>
      </c>
      <c r="M1026" t="s">
        <v>6934</v>
      </c>
    </row>
    <row r="1027" spans="2:13" x14ac:dyDescent="0.2">
      <c r="B1027">
        <v>10760</v>
      </c>
      <c r="C1027" t="s">
        <v>8306</v>
      </c>
      <c r="D1027" t="s">
        <v>8272</v>
      </c>
      <c r="E1027" s="225">
        <v>1035</v>
      </c>
      <c r="F1027" t="s">
        <v>8420</v>
      </c>
      <c r="G1027" t="s">
        <v>8421</v>
      </c>
      <c r="H1027" t="s">
        <v>8261</v>
      </c>
      <c r="I1027" s="99">
        <v>44001</v>
      </c>
      <c r="J1027">
        <f>YEAR(I1027)</f>
        <v>2020</v>
      </c>
      <c r="K1027" s="99">
        <v>44010</v>
      </c>
      <c r="L1027" t="s">
        <v>8266</v>
      </c>
      <c r="M1027" t="s">
        <v>8267</v>
      </c>
    </row>
    <row r="1028" spans="2:13" x14ac:dyDescent="0.2">
      <c r="B1028">
        <v>10760</v>
      </c>
      <c r="C1028" t="s">
        <v>8362</v>
      </c>
      <c r="D1028" t="s">
        <v>8262</v>
      </c>
      <c r="E1028" s="225">
        <v>126</v>
      </c>
      <c r="F1028" t="s">
        <v>8420</v>
      </c>
      <c r="G1028" t="s">
        <v>8421</v>
      </c>
      <c r="H1028" t="s">
        <v>8261</v>
      </c>
      <c r="I1028" s="99">
        <v>44001</v>
      </c>
      <c r="J1028">
        <f>YEAR(I1028)</f>
        <v>2020</v>
      </c>
      <c r="K1028" s="99">
        <v>44010</v>
      </c>
      <c r="L1028" t="s">
        <v>8266</v>
      </c>
      <c r="M1028" t="s">
        <v>8267</v>
      </c>
    </row>
    <row r="1029" spans="2:13" x14ac:dyDescent="0.2">
      <c r="B1029">
        <v>10760</v>
      </c>
      <c r="C1029" t="s">
        <v>8332</v>
      </c>
      <c r="D1029" t="s">
        <v>8262</v>
      </c>
      <c r="E1029" s="225">
        <v>1756</v>
      </c>
      <c r="F1029" t="s">
        <v>8420</v>
      </c>
      <c r="G1029" t="s">
        <v>8421</v>
      </c>
      <c r="H1029" t="s">
        <v>8261</v>
      </c>
      <c r="I1029" s="99">
        <v>44001</v>
      </c>
      <c r="J1029">
        <f>YEAR(I1029)</f>
        <v>2020</v>
      </c>
      <c r="K1029" s="99">
        <v>44010</v>
      </c>
      <c r="L1029" t="s">
        <v>8266</v>
      </c>
      <c r="M1029" t="s">
        <v>8267</v>
      </c>
    </row>
    <row r="1030" spans="2:13" x14ac:dyDescent="0.2">
      <c r="B1030">
        <v>10892</v>
      </c>
      <c r="C1030" t="s">
        <v>8281</v>
      </c>
      <c r="D1030" t="s">
        <v>8237</v>
      </c>
      <c r="E1030" s="225">
        <v>2090</v>
      </c>
      <c r="F1030" t="s">
        <v>8420</v>
      </c>
      <c r="G1030" t="s">
        <v>8421</v>
      </c>
      <c r="H1030" t="s">
        <v>8261</v>
      </c>
      <c r="I1030" s="99">
        <v>44078</v>
      </c>
      <c r="J1030">
        <f>YEAR(I1030)</f>
        <v>2020</v>
      </c>
      <c r="K1030" s="99">
        <v>44080</v>
      </c>
      <c r="L1030" t="s">
        <v>8266</v>
      </c>
      <c r="M1030" t="s">
        <v>8267</v>
      </c>
    </row>
    <row r="1031" spans="2:13" x14ac:dyDescent="0.2">
      <c r="B1031">
        <v>10896</v>
      </c>
      <c r="C1031" t="s">
        <v>8341</v>
      </c>
      <c r="D1031" t="s">
        <v>8244</v>
      </c>
      <c r="E1031" s="225">
        <v>608</v>
      </c>
      <c r="F1031" t="s">
        <v>8420</v>
      </c>
      <c r="G1031" t="s">
        <v>8421</v>
      </c>
      <c r="H1031" t="s">
        <v>8261</v>
      </c>
      <c r="I1031" s="99">
        <v>44080</v>
      </c>
      <c r="J1031">
        <f>YEAR(I1031)</f>
        <v>2020</v>
      </c>
      <c r="K1031" s="99">
        <v>44088</v>
      </c>
      <c r="L1031" t="s">
        <v>8158</v>
      </c>
      <c r="M1031" t="s">
        <v>861</v>
      </c>
    </row>
    <row r="1032" spans="2:13" x14ac:dyDescent="0.2">
      <c r="B1032">
        <v>10978</v>
      </c>
      <c r="C1032" t="s">
        <v>8379</v>
      </c>
      <c r="D1032" t="s">
        <v>8254</v>
      </c>
      <c r="E1032" s="225">
        <v>680</v>
      </c>
      <c r="F1032" t="s">
        <v>8420</v>
      </c>
      <c r="G1032" t="s">
        <v>8421</v>
      </c>
      <c r="H1032" t="s">
        <v>8261</v>
      </c>
      <c r="I1032" s="99">
        <v>44115</v>
      </c>
      <c r="J1032">
        <f>YEAR(I1032)</f>
        <v>2020</v>
      </c>
      <c r="K1032" s="99">
        <v>44143</v>
      </c>
      <c r="L1032" t="s">
        <v>8279</v>
      </c>
      <c r="M1032" t="s">
        <v>710</v>
      </c>
    </row>
    <row r="1033" spans="2:13" x14ac:dyDescent="0.2">
      <c r="B1033">
        <v>10978</v>
      </c>
      <c r="C1033" t="s">
        <v>8322</v>
      </c>
      <c r="D1033" t="s">
        <v>8254</v>
      </c>
      <c r="E1033" s="225">
        <v>99.19</v>
      </c>
      <c r="F1033" t="s">
        <v>8420</v>
      </c>
      <c r="G1033" t="s">
        <v>8421</v>
      </c>
      <c r="H1033" t="s">
        <v>8261</v>
      </c>
      <c r="I1033" s="99">
        <v>44115</v>
      </c>
      <c r="J1033">
        <f>YEAR(I1033)</f>
        <v>2020</v>
      </c>
      <c r="K1033" s="99">
        <v>44143</v>
      </c>
      <c r="L1033" t="s">
        <v>8279</v>
      </c>
      <c r="M1033" t="s">
        <v>710</v>
      </c>
    </row>
    <row r="1034" spans="2:13" x14ac:dyDescent="0.2">
      <c r="B1034">
        <v>10978</v>
      </c>
      <c r="C1034" t="s">
        <v>8368</v>
      </c>
      <c r="D1034" t="s">
        <v>8262</v>
      </c>
      <c r="E1034" s="225">
        <v>340</v>
      </c>
      <c r="F1034" t="s">
        <v>8420</v>
      </c>
      <c r="G1034" t="s">
        <v>8421</v>
      </c>
      <c r="H1034" t="s">
        <v>8261</v>
      </c>
      <c r="I1034" s="99">
        <v>44115</v>
      </c>
      <c r="J1034">
        <f>YEAR(I1034)</f>
        <v>2020</v>
      </c>
      <c r="K1034" s="99">
        <v>44143</v>
      </c>
      <c r="L1034" t="s">
        <v>8279</v>
      </c>
      <c r="M1034" t="s">
        <v>710</v>
      </c>
    </row>
    <row r="1035" spans="2:13" x14ac:dyDescent="0.2">
      <c r="B1035">
        <v>11004</v>
      </c>
      <c r="C1035" t="s">
        <v>8303</v>
      </c>
      <c r="D1035" t="s">
        <v>8272</v>
      </c>
      <c r="E1035" s="225">
        <v>108</v>
      </c>
      <c r="F1035" t="s">
        <v>8420</v>
      </c>
      <c r="G1035" t="s">
        <v>8421</v>
      </c>
      <c r="H1035" t="s">
        <v>8261</v>
      </c>
      <c r="I1035" s="99">
        <v>44127</v>
      </c>
      <c r="J1035">
        <f>YEAR(I1035)</f>
        <v>2020</v>
      </c>
      <c r="K1035" s="99">
        <v>44140</v>
      </c>
      <c r="L1035" t="s">
        <v>8257</v>
      </c>
      <c r="M1035" t="s">
        <v>6984</v>
      </c>
    </row>
    <row r="1036" spans="2:13" x14ac:dyDescent="0.2">
      <c r="B1036">
        <v>11004</v>
      </c>
      <c r="C1036" t="s">
        <v>8372</v>
      </c>
      <c r="D1036" t="s">
        <v>8262</v>
      </c>
      <c r="E1036" s="225">
        <v>187.38</v>
      </c>
      <c r="F1036" t="s">
        <v>8420</v>
      </c>
      <c r="G1036" t="s">
        <v>8421</v>
      </c>
      <c r="H1036" t="s">
        <v>8261</v>
      </c>
      <c r="I1036" s="99">
        <v>44127</v>
      </c>
      <c r="J1036">
        <f>YEAR(I1036)</f>
        <v>2020</v>
      </c>
      <c r="K1036" s="99">
        <v>44140</v>
      </c>
      <c r="L1036" t="s">
        <v>8257</v>
      </c>
      <c r="M1036" t="s">
        <v>6984</v>
      </c>
    </row>
    <row r="1037" spans="2:13" x14ac:dyDescent="0.2">
      <c r="B1037">
        <v>10332</v>
      </c>
      <c r="C1037" t="s">
        <v>8410</v>
      </c>
      <c r="D1037" t="s">
        <v>8262</v>
      </c>
      <c r="E1037" s="225">
        <v>97.28</v>
      </c>
      <c r="F1037" t="s">
        <v>8760</v>
      </c>
      <c r="G1037" t="s">
        <v>8759</v>
      </c>
      <c r="H1037" t="s">
        <v>8720</v>
      </c>
      <c r="I1037" s="99">
        <v>43591</v>
      </c>
      <c r="J1037">
        <f>YEAR(I1037)</f>
        <v>2019</v>
      </c>
      <c r="K1037" s="99">
        <v>43595</v>
      </c>
      <c r="L1037" t="s">
        <v>8257</v>
      </c>
      <c r="M1037" t="s">
        <v>6984</v>
      </c>
    </row>
    <row r="1038" spans="2:13" x14ac:dyDescent="0.2">
      <c r="B1038">
        <v>10332</v>
      </c>
      <c r="C1038" t="s">
        <v>8243</v>
      </c>
      <c r="D1038" t="s">
        <v>8244</v>
      </c>
      <c r="E1038" s="225">
        <v>89.6</v>
      </c>
      <c r="F1038" t="s">
        <v>8760</v>
      </c>
      <c r="G1038" t="s">
        <v>8759</v>
      </c>
      <c r="H1038" t="s">
        <v>8720</v>
      </c>
      <c r="I1038" s="99">
        <v>43591</v>
      </c>
      <c r="J1038">
        <f>YEAR(I1038)</f>
        <v>2019</v>
      </c>
      <c r="K1038" s="99">
        <v>43595</v>
      </c>
      <c r="L1038" t="s">
        <v>8257</v>
      </c>
      <c r="M1038" t="s">
        <v>6984</v>
      </c>
    </row>
    <row r="1039" spans="2:13" x14ac:dyDescent="0.2">
      <c r="B1039">
        <v>10339</v>
      </c>
      <c r="C1039" t="s">
        <v>8352</v>
      </c>
      <c r="D1039" t="s">
        <v>8254</v>
      </c>
      <c r="E1039" s="225">
        <v>176</v>
      </c>
      <c r="F1039" t="s">
        <v>8760</v>
      </c>
      <c r="G1039" t="s">
        <v>8759</v>
      </c>
      <c r="H1039" t="s">
        <v>8720</v>
      </c>
      <c r="I1039" s="99">
        <v>43602</v>
      </c>
      <c r="J1039">
        <f>YEAR(I1039)</f>
        <v>2019</v>
      </c>
      <c r="K1039" s="99">
        <v>43609</v>
      </c>
      <c r="L1039" t="s">
        <v>8297</v>
      </c>
      <c r="M1039" t="s">
        <v>8298</v>
      </c>
    </row>
    <row r="1040" spans="2:13" x14ac:dyDescent="0.2">
      <c r="B1040">
        <v>10339</v>
      </c>
      <c r="C1040" t="s">
        <v>8291</v>
      </c>
      <c r="D1040" t="s">
        <v>8262</v>
      </c>
      <c r="E1040" s="225">
        <v>1103.2</v>
      </c>
      <c r="F1040" t="s">
        <v>8760</v>
      </c>
      <c r="G1040" t="s">
        <v>8759</v>
      </c>
      <c r="H1040" t="s">
        <v>8720</v>
      </c>
      <c r="I1040" s="99">
        <v>43602</v>
      </c>
      <c r="J1040">
        <f>YEAR(I1040)</f>
        <v>2019</v>
      </c>
      <c r="K1040" s="99">
        <v>43609</v>
      </c>
      <c r="L1040" t="s">
        <v>8297</v>
      </c>
      <c r="M1040" t="s">
        <v>8298</v>
      </c>
    </row>
    <row r="1041" spans="2:13" x14ac:dyDescent="0.2">
      <c r="B1041">
        <v>10376</v>
      </c>
      <c r="C1041" t="s">
        <v>8309</v>
      </c>
      <c r="D1041" t="s">
        <v>8237</v>
      </c>
      <c r="E1041" s="225">
        <v>399</v>
      </c>
      <c r="F1041" t="s">
        <v>8760</v>
      </c>
      <c r="G1041" t="s">
        <v>8759</v>
      </c>
      <c r="H1041" t="s">
        <v>8720</v>
      </c>
      <c r="I1041" s="99">
        <v>43644</v>
      </c>
      <c r="J1041">
        <f>YEAR(I1041)</f>
        <v>2019</v>
      </c>
      <c r="K1041" s="99">
        <v>43648</v>
      </c>
      <c r="L1041" t="s">
        <v>8285</v>
      </c>
      <c r="M1041" t="s">
        <v>2317</v>
      </c>
    </row>
    <row r="1042" spans="2:13" x14ac:dyDescent="0.2">
      <c r="B1042">
        <v>10424</v>
      </c>
      <c r="C1042" t="s">
        <v>8323</v>
      </c>
      <c r="D1042" t="s">
        <v>8272</v>
      </c>
      <c r="E1042" s="225">
        <v>691.2</v>
      </c>
      <c r="F1042" t="s">
        <v>8760</v>
      </c>
      <c r="G1042" t="s">
        <v>8759</v>
      </c>
      <c r="H1042" t="s">
        <v>8720</v>
      </c>
      <c r="I1042" s="99">
        <v>43689</v>
      </c>
      <c r="J1042">
        <f>YEAR(I1042)</f>
        <v>2019</v>
      </c>
      <c r="K1042" s="99">
        <v>43693</v>
      </c>
      <c r="L1042" t="s">
        <v>8158</v>
      </c>
      <c r="M1042" t="s">
        <v>861</v>
      </c>
    </row>
    <row r="1043" spans="2:13" x14ac:dyDescent="0.2">
      <c r="B1043">
        <v>10424</v>
      </c>
      <c r="C1043" t="s">
        <v>8380</v>
      </c>
      <c r="D1043" t="s">
        <v>8272</v>
      </c>
      <c r="E1043" s="225">
        <v>8263.36</v>
      </c>
      <c r="F1043" t="s">
        <v>8760</v>
      </c>
      <c r="G1043" t="s">
        <v>8759</v>
      </c>
      <c r="H1043" t="s">
        <v>8720</v>
      </c>
      <c r="I1043" s="99">
        <v>43689</v>
      </c>
      <c r="J1043">
        <f>YEAR(I1043)</f>
        <v>2019</v>
      </c>
      <c r="K1043" s="99">
        <v>43693</v>
      </c>
      <c r="L1043" t="s">
        <v>8158</v>
      </c>
      <c r="M1043" t="s">
        <v>861</v>
      </c>
    </row>
    <row r="1044" spans="2:13" x14ac:dyDescent="0.2">
      <c r="B1044">
        <v>10424</v>
      </c>
      <c r="C1044" t="s">
        <v>8334</v>
      </c>
      <c r="D1044" t="s">
        <v>8262</v>
      </c>
      <c r="E1044" s="225">
        <v>240</v>
      </c>
      <c r="F1044" t="s">
        <v>8760</v>
      </c>
      <c r="G1044" t="s">
        <v>8759</v>
      </c>
      <c r="H1044" t="s">
        <v>8720</v>
      </c>
      <c r="I1044" s="99">
        <v>43689</v>
      </c>
      <c r="J1044">
        <f>YEAR(I1044)</f>
        <v>2019</v>
      </c>
      <c r="K1044" s="99">
        <v>43693</v>
      </c>
      <c r="L1044" t="s">
        <v>8158</v>
      </c>
      <c r="M1044" t="s">
        <v>861</v>
      </c>
    </row>
    <row r="1045" spans="2:13" x14ac:dyDescent="0.2">
      <c r="B1045">
        <v>10439</v>
      </c>
      <c r="C1045" t="s">
        <v>8280</v>
      </c>
      <c r="D1045" t="s">
        <v>8262</v>
      </c>
      <c r="E1045" s="225">
        <v>222.4</v>
      </c>
      <c r="F1045" t="s">
        <v>8760</v>
      </c>
      <c r="G1045" t="s">
        <v>8759</v>
      </c>
      <c r="H1045" t="s">
        <v>8720</v>
      </c>
      <c r="I1045" s="99">
        <v>43704</v>
      </c>
      <c r="J1045">
        <f>YEAR(I1045)</f>
        <v>2019</v>
      </c>
      <c r="K1045" s="99">
        <v>43707</v>
      </c>
      <c r="L1045" t="s">
        <v>8251</v>
      </c>
      <c r="M1045" t="s">
        <v>269</v>
      </c>
    </row>
    <row r="1046" spans="2:13" x14ac:dyDescent="0.2">
      <c r="B1046">
        <v>10439</v>
      </c>
      <c r="C1046" t="s">
        <v>8299</v>
      </c>
      <c r="D1046" t="s">
        <v>8237</v>
      </c>
      <c r="E1046" s="225">
        <v>456</v>
      </c>
      <c r="F1046" t="s">
        <v>8760</v>
      </c>
      <c r="G1046" t="s">
        <v>8759</v>
      </c>
      <c r="H1046" t="s">
        <v>8720</v>
      </c>
      <c r="I1046" s="99">
        <v>43704</v>
      </c>
      <c r="J1046">
        <f>YEAR(I1046)</f>
        <v>2019</v>
      </c>
      <c r="K1046" s="99">
        <v>43707</v>
      </c>
      <c r="L1046" t="s">
        <v>8251</v>
      </c>
      <c r="M1046" t="s">
        <v>269</v>
      </c>
    </row>
    <row r="1047" spans="2:13" x14ac:dyDescent="0.2">
      <c r="B1047">
        <v>10439</v>
      </c>
      <c r="C1047" t="s">
        <v>8340</v>
      </c>
      <c r="D1047" t="s">
        <v>8244</v>
      </c>
      <c r="E1047" s="225">
        <v>159.6</v>
      </c>
      <c r="F1047" t="s">
        <v>8760</v>
      </c>
      <c r="G1047" t="s">
        <v>8759</v>
      </c>
      <c r="H1047" t="s">
        <v>8720</v>
      </c>
      <c r="I1047" s="99">
        <v>43704</v>
      </c>
      <c r="J1047">
        <f>YEAR(I1047)</f>
        <v>2019</v>
      </c>
      <c r="K1047" s="99">
        <v>43707</v>
      </c>
      <c r="L1047" t="s">
        <v>8251</v>
      </c>
      <c r="M1047" t="s">
        <v>269</v>
      </c>
    </row>
    <row r="1048" spans="2:13" x14ac:dyDescent="0.2">
      <c r="B1048">
        <v>10439</v>
      </c>
      <c r="C1048" t="s">
        <v>8275</v>
      </c>
      <c r="D1048" t="s">
        <v>8247</v>
      </c>
      <c r="E1048" s="225">
        <v>240</v>
      </c>
      <c r="F1048" t="s">
        <v>8760</v>
      </c>
      <c r="G1048" t="s">
        <v>8759</v>
      </c>
      <c r="H1048" t="s">
        <v>8720</v>
      </c>
      <c r="I1048" s="99">
        <v>43704</v>
      </c>
      <c r="J1048">
        <f>YEAR(I1048)</f>
        <v>2019</v>
      </c>
      <c r="K1048" s="99">
        <v>43707</v>
      </c>
      <c r="L1048" t="s">
        <v>8251</v>
      </c>
      <c r="M1048" t="s">
        <v>269</v>
      </c>
    </row>
    <row r="1049" spans="2:13" x14ac:dyDescent="0.2">
      <c r="B1049">
        <v>10505</v>
      </c>
      <c r="C1049" t="s">
        <v>8291</v>
      </c>
      <c r="D1049" t="s">
        <v>8262</v>
      </c>
      <c r="E1049" s="225">
        <v>147.9</v>
      </c>
      <c r="F1049" t="s">
        <v>8760</v>
      </c>
      <c r="G1049" t="s">
        <v>8759</v>
      </c>
      <c r="H1049" t="s">
        <v>8720</v>
      </c>
      <c r="I1049" s="99">
        <v>43770</v>
      </c>
      <c r="J1049">
        <f>YEAR(I1049)</f>
        <v>2019</v>
      </c>
      <c r="K1049" s="99">
        <v>43777</v>
      </c>
      <c r="L1049" t="s">
        <v>8257</v>
      </c>
      <c r="M1049" t="s">
        <v>6984</v>
      </c>
    </row>
    <row r="1050" spans="2:13" x14ac:dyDescent="0.2">
      <c r="B1050">
        <v>10565</v>
      </c>
      <c r="C1050" t="s">
        <v>8270</v>
      </c>
      <c r="D1050" t="s">
        <v>8272</v>
      </c>
      <c r="E1050" s="225">
        <v>101.25</v>
      </c>
      <c r="F1050" t="s">
        <v>8760</v>
      </c>
      <c r="G1050" t="s">
        <v>8759</v>
      </c>
      <c r="H1050" t="s">
        <v>8720</v>
      </c>
      <c r="I1050" s="99">
        <v>43828</v>
      </c>
      <c r="J1050">
        <f>YEAR(I1050)</f>
        <v>2019</v>
      </c>
      <c r="K1050" s="99">
        <v>43835</v>
      </c>
      <c r="L1050" t="s">
        <v>8320</v>
      </c>
      <c r="M1050" t="s">
        <v>8321</v>
      </c>
    </row>
    <row r="1051" spans="2:13" x14ac:dyDescent="0.2">
      <c r="B1051">
        <v>10565</v>
      </c>
      <c r="C1051" t="s">
        <v>8340</v>
      </c>
      <c r="D1051" t="s">
        <v>8244</v>
      </c>
      <c r="E1051" s="225">
        <v>538.65</v>
      </c>
      <c r="F1051" t="s">
        <v>8760</v>
      </c>
      <c r="G1051" t="s">
        <v>8759</v>
      </c>
      <c r="H1051" t="s">
        <v>8720</v>
      </c>
      <c r="I1051" s="99">
        <v>43828</v>
      </c>
      <c r="J1051">
        <f>YEAR(I1051)</f>
        <v>2019</v>
      </c>
      <c r="K1051" s="99">
        <v>43835</v>
      </c>
      <c r="L1051" t="s">
        <v>8320</v>
      </c>
      <c r="M1051" t="s">
        <v>8321</v>
      </c>
    </row>
    <row r="1052" spans="2:13" x14ac:dyDescent="0.2">
      <c r="B1052">
        <v>10570</v>
      </c>
      <c r="C1052" t="s">
        <v>8242</v>
      </c>
      <c r="D1052" t="s">
        <v>8237</v>
      </c>
      <c r="E1052" s="225">
        <v>299.25</v>
      </c>
      <c r="F1052" t="s">
        <v>8760</v>
      </c>
      <c r="G1052" t="s">
        <v>8759</v>
      </c>
      <c r="H1052" t="s">
        <v>8720</v>
      </c>
      <c r="I1052" s="99">
        <v>43834</v>
      </c>
      <c r="J1052">
        <f>YEAR(I1052)</f>
        <v>2020</v>
      </c>
      <c r="K1052" s="99">
        <v>43836</v>
      </c>
      <c r="L1052" t="s">
        <v>8257</v>
      </c>
      <c r="M1052" t="s">
        <v>6984</v>
      </c>
    </row>
    <row r="1053" spans="2:13" x14ac:dyDescent="0.2">
      <c r="B1053">
        <v>10570</v>
      </c>
      <c r="C1053" t="s">
        <v>8341</v>
      </c>
      <c r="D1053" t="s">
        <v>8244</v>
      </c>
      <c r="E1053" s="225">
        <v>2166</v>
      </c>
      <c r="F1053" t="s">
        <v>8760</v>
      </c>
      <c r="G1053" t="s">
        <v>8759</v>
      </c>
      <c r="H1053" t="s">
        <v>8720</v>
      </c>
      <c r="I1053" s="99">
        <v>43834</v>
      </c>
      <c r="J1053">
        <f>YEAR(I1053)</f>
        <v>2020</v>
      </c>
      <c r="K1053" s="99">
        <v>43836</v>
      </c>
      <c r="L1053" t="s">
        <v>8257</v>
      </c>
      <c r="M1053" t="s">
        <v>6984</v>
      </c>
    </row>
    <row r="1054" spans="2:13" x14ac:dyDescent="0.2">
      <c r="B1054">
        <v>10590</v>
      </c>
      <c r="C1054" t="s">
        <v>8333</v>
      </c>
      <c r="D1054" t="s">
        <v>8272</v>
      </c>
      <c r="E1054" s="225">
        <v>360</v>
      </c>
      <c r="F1054" t="s">
        <v>8760</v>
      </c>
      <c r="G1054" t="s">
        <v>8759</v>
      </c>
      <c r="H1054" t="s">
        <v>8720</v>
      </c>
      <c r="I1054" s="99">
        <v>43854</v>
      </c>
      <c r="J1054">
        <f>YEAR(I1054)</f>
        <v>2020</v>
      </c>
      <c r="K1054" s="99">
        <v>43861</v>
      </c>
      <c r="L1054" t="s">
        <v>8266</v>
      </c>
      <c r="M1054" t="s">
        <v>8267</v>
      </c>
    </row>
    <row r="1055" spans="2:13" x14ac:dyDescent="0.2">
      <c r="B1055">
        <v>10590</v>
      </c>
      <c r="C1055" t="s">
        <v>8397</v>
      </c>
      <c r="D1055" t="s">
        <v>8254</v>
      </c>
      <c r="E1055" s="225">
        <v>741</v>
      </c>
      <c r="F1055" t="s">
        <v>8760</v>
      </c>
      <c r="G1055" t="s">
        <v>8759</v>
      </c>
      <c r="H1055" t="s">
        <v>8720</v>
      </c>
      <c r="I1055" s="99">
        <v>43854</v>
      </c>
      <c r="J1055">
        <f>YEAR(I1055)</f>
        <v>2020</v>
      </c>
      <c r="K1055" s="99">
        <v>43861</v>
      </c>
      <c r="L1055" t="s">
        <v>8266</v>
      </c>
      <c r="M1055" t="s">
        <v>8267</v>
      </c>
    </row>
    <row r="1056" spans="2:13" x14ac:dyDescent="0.2">
      <c r="B1056">
        <v>10605</v>
      </c>
      <c r="C1056" t="s">
        <v>8280</v>
      </c>
      <c r="D1056" t="s">
        <v>8262</v>
      </c>
      <c r="E1056" s="225">
        <v>497.32</v>
      </c>
      <c r="F1056" t="s">
        <v>8760</v>
      </c>
      <c r="G1056" t="s">
        <v>8759</v>
      </c>
      <c r="H1056" t="s">
        <v>8720</v>
      </c>
      <c r="I1056" s="99">
        <v>43868</v>
      </c>
      <c r="J1056">
        <f>YEAR(I1056)</f>
        <v>2020</v>
      </c>
      <c r="K1056" s="99">
        <v>43876</v>
      </c>
      <c r="L1056" t="s">
        <v>8285</v>
      </c>
      <c r="M1056" t="s">
        <v>2317</v>
      </c>
    </row>
    <row r="1057" spans="2:13" x14ac:dyDescent="0.2">
      <c r="B1057">
        <v>10605</v>
      </c>
      <c r="C1057" t="s">
        <v>8281</v>
      </c>
      <c r="D1057" t="s">
        <v>8237</v>
      </c>
      <c r="E1057" s="225">
        <v>1045</v>
      </c>
      <c r="F1057" t="s">
        <v>8760</v>
      </c>
      <c r="G1057" t="s">
        <v>8759</v>
      </c>
      <c r="H1057" t="s">
        <v>8720</v>
      </c>
      <c r="I1057" s="99">
        <v>43868</v>
      </c>
      <c r="J1057">
        <f>YEAR(I1057)</f>
        <v>2020</v>
      </c>
      <c r="K1057" s="99">
        <v>43876</v>
      </c>
      <c r="L1057" t="s">
        <v>8285</v>
      </c>
      <c r="M1057" t="s">
        <v>2317</v>
      </c>
    </row>
    <row r="1058" spans="2:13" x14ac:dyDescent="0.2">
      <c r="B1058">
        <v>10605</v>
      </c>
      <c r="C1058" t="s">
        <v>8268</v>
      </c>
      <c r="D1058" t="s">
        <v>8237</v>
      </c>
      <c r="E1058" s="225">
        <v>2261</v>
      </c>
      <c r="F1058" t="s">
        <v>8760</v>
      </c>
      <c r="G1058" t="s">
        <v>8759</v>
      </c>
      <c r="H1058" t="s">
        <v>8720</v>
      </c>
      <c r="I1058" s="99">
        <v>43868</v>
      </c>
      <c r="J1058">
        <f>YEAR(I1058)</f>
        <v>2020</v>
      </c>
      <c r="K1058" s="99">
        <v>43876</v>
      </c>
      <c r="L1058" t="s">
        <v>8285</v>
      </c>
      <c r="M1058" t="s">
        <v>2317</v>
      </c>
    </row>
    <row r="1059" spans="2:13" x14ac:dyDescent="0.2">
      <c r="B1059">
        <v>10605</v>
      </c>
      <c r="C1059" t="s">
        <v>8310</v>
      </c>
      <c r="D1059" t="s">
        <v>8237</v>
      </c>
      <c r="E1059" s="225">
        <v>306.37</v>
      </c>
      <c r="F1059" t="s">
        <v>8760</v>
      </c>
      <c r="G1059" t="s">
        <v>8759</v>
      </c>
      <c r="H1059" t="s">
        <v>8720</v>
      </c>
      <c r="I1059" s="99">
        <v>43868</v>
      </c>
      <c r="J1059">
        <f>YEAR(I1059)</f>
        <v>2020</v>
      </c>
      <c r="K1059" s="99">
        <v>43876</v>
      </c>
      <c r="L1059" t="s">
        <v>8285</v>
      </c>
      <c r="M1059" t="s">
        <v>2317</v>
      </c>
    </row>
    <row r="1060" spans="2:13" x14ac:dyDescent="0.2">
      <c r="B1060">
        <v>10618</v>
      </c>
      <c r="C1060" t="s">
        <v>8351</v>
      </c>
      <c r="D1060" t="s">
        <v>8254</v>
      </c>
      <c r="E1060" s="225">
        <v>1750</v>
      </c>
      <c r="F1060" t="s">
        <v>8760</v>
      </c>
      <c r="G1060" t="s">
        <v>8759</v>
      </c>
      <c r="H1060" t="s">
        <v>8720</v>
      </c>
      <c r="I1060" s="99">
        <v>43879</v>
      </c>
      <c r="J1060">
        <f>YEAR(I1060)</f>
        <v>2020</v>
      </c>
      <c r="K1060" s="99">
        <v>43886</v>
      </c>
      <c r="L1060" t="s">
        <v>8285</v>
      </c>
      <c r="M1060" t="s">
        <v>2317</v>
      </c>
    </row>
    <row r="1061" spans="2:13" x14ac:dyDescent="0.2">
      <c r="B1061">
        <v>10618</v>
      </c>
      <c r="C1061" t="s">
        <v>8334</v>
      </c>
      <c r="D1061" t="s">
        <v>8262</v>
      </c>
      <c r="E1061" s="225">
        <v>187.5</v>
      </c>
      <c r="F1061" t="s">
        <v>8760</v>
      </c>
      <c r="G1061" t="s">
        <v>8759</v>
      </c>
      <c r="H1061" t="s">
        <v>8720</v>
      </c>
      <c r="I1061" s="99">
        <v>43879</v>
      </c>
      <c r="J1061">
        <f>YEAR(I1061)</f>
        <v>2020</v>
      </c>
      <c r="K1061" s="99">
        <v>43886</v>
      </c>
      <c r="L1061" t="s">
        <v>8285</v>
      </c>
      <c r="M1061" t="s">
        <v>2317</v>
      </c>
    </row>
    <row r="1062" spans="2:13" x14ac:dyDescent="0.2">
      <c r="B1062">
        <v>10618</v>
      </c>
      <c r="C1062" t="s">
        <v>8341</v>
      </c>
      <c r="D1062" t="s">
        <v>8244</v>
      </c>
      <c r="E1062" s="225">
        <v>760</v>
      </c>
      <c r="F1062" t="s">
        <v>8760</v>
      </c>
      <c r="G1062" t="s">
        <v>8759</v>
      </c>
      <c r="H1062" t="s">
        <v>8720</v>
      </c>
      <c r="I1062" s="99">
        <v>43879</v>
      </c>
      <c r="J1062">
        <f>YEAR(I1062)</f>
        <v>2020</v>
      </c>
      <c r="K1062" s="99">
        <v>43886</v>
      </c>
      <c r="L1062" t="s">
        <v>8285</v>
      </c>
      <c r="M1062" t="s">
        <v>2317</v>
      </c>
    </row>
    <row r="1063" spans="2:13" x14ac:dyDescent="0.2">
      <c r="B1063">
        <v>10619</v>
      </c>
      <c r="C1063" t="s">
        <v>8368</v>
      </c>
      <c r="D1063" t="s">
        <v>8262</v>
      </c>
      <c r="E1063" s="225">
        <v>420</v>
      </c>
      <c r="F1063" t="s">
        <v>8760</v>
      </c>
      <c r="G1063" t="s">
        <v>8759</v>
      </c>
      <c r="H1063" t="s">
        <v>8720</v>
      </c>
      <c r="I1063" s="99">
        <v>43882</v>
      </c>
      <c r="J1063">
        <f>YEAR(I1063)</f>
        <v>2020</v>
      </c>
      <c r="K1063" s="99">
        <v>43885</v>
      </c>
      <c r="L1063" t="s">
        <v>8257</v>
      </c>
      <c r="M1063" t="s">
        <v>6984</v>
      </c>
    </row>
    <row r="1064" spans="2:13" x14ac:dyDescent="0.2">
      <c r="B1064">
        <v>10619</v>
      </c>
      <c r="C1064" t="s">
        <v>8259</v>
      </c>
      <c r="D1064" t="s">
        <v>8244</v>
      </c>
      <c r="E1064" s="225">
        <v>840</v>
      </c>
      <c r="F1064" t="s">
        <v>8760</v>
      </c>
      <c r="G1064" t="s">
        <v>8759</v>
      </c>
      <c r="H1064" t="s">
        <v>8720</v>
      </c>
      <c r="I1064" s="99">
        <v>43882</v>
      </c>
      <c r="J1064">
        <f>YEAR(I1064)</f>
        <v>2020</v>
      </c>
      <c r="K1064" s="99">
        <v>43885</v>
      </c>
      <c r="L1064" t="s">
        <v>8257</v>
      </c>
      <c r="M1064" t="s">
        <v>6984</v>
      </c>
    </row>
    <row r="1065" spans="2:13" x14ac:dyDescent="0.2">
      <c r="B1065">
        <v>10724</v>
      </c>
      <c r="C1065" t="s">
        <v>8409</v>
      </c>
      <c r="D1065" t="s">
        <v>8254</v>
      </c>
      <c r="E1065" s="225">
        <v>142.5</v>
      </c>
      <c r="F1065" t="s">
        <v>8760</v>
      </c>
      <c r="G1065" t="s">
        <v>8759</v>
      </c>
      <c r="H1065" t="s">
        <v>8720</v>
      </c>
      <c r="I1065" s="99">
        <v>43969</v>
      </c>
      <c r="J1065">
        <f>YEAR(I1065)</f>
        <v>2020</v>
      </c>
      <c r="K1065" s="99">
        <v>43975</v>
      </c>
      <c r="L1065" t="s">
        <v>8320</v>
      </c>
      <c r="M1065" t="s">
        <v>8321</v>
      </c>
    </row>
    <row r="1066" spans="2:13" x14ac:dyDescent="0.2">
      <c r="B1066">
        <v>10277</v>
      </c>
      <c r="C1066" t="s">
        <v>8291</v>
      </c>
      <c r="D1066" t="s">
        <v>8262</v>
      </c>
      <c r="E1066" s="225">
        <v>472.8</v>
      </c>
      <c r="F1066" t="s">
        <v>8314</v>
      </c>
      <c r="G1066" t="s">
        <v>8315</v>
      </c>
      <c r="H1066" t="s">
        <v>8246</v>
      </c>
      <c r="I1066" s="99">
        <v>43522</v>
      </c>
      <c r="J1066">
        <f>YEAR(I1066)</f>
        <v>2019</v>
      </c>
      <c r="K1066" s="99">
        <v>43526</v>
      </c>
      <c r="L1066" t="s">
        <v>8297</v>
      </c>
      <c r="M1066" t="s">
        <v>8298</v>
      </c>
    </row>
    <row r="1067" spans="2:13" x14ac:dyDescent="0.2">
      <c r="B1067">
        <v>10277</v>
      </c>
      <c r="C1067" t="s">
        <v>8316</v>
      </c>
      <c r="D1067" t="s">
        <v>8247</v>
      </c>
      <c r="E1067" s="225">
        <v>728</v>
      </c>
      <c r="F1067" t="s">
        <v>8314</v>
      </c>
      <c r="G1067" t="s">
        <v>8315</v>
      </c>
      <c r="H1067" t="s">
        <v>8246</v>
      </c>
      <c r="I1067" s="99">
        <v>43522</v>
      </c>
      <c r="J1067">
        <f>YEAR(I1067)</f>
        <v>2019</v>
      </c>
      <c r="K1067" s="99">
        <v>43526</v>
      </c>
      <c r="L1067" t="s">
        <v>8297</v>
      </c>
      <c r="M1067" t="s">
        <v>8298</v>
      </c>
    </row>
    <row r="1068" spans="2:13" x14ac:dyDescent="0.2">
      <c r="B1068">
        <v>10575</v>
      </c>
      <c r="C1068" t="s">
        <v>8303</v>
      </c>
      <c r="D1068" t="s">
        <v>8272</v>
      </c>
      <c r="E1068" s="225">
        <v>180</v>
      </c>
      <c r="F1068" t="s">
        <v>8314</v>
      </c>
      <c r="G1068" t="s">
        <v>8315</v>
      </c>
      <c r="H1068" t="s">
        <v>8246</v>
      </c>
      <c r="I1068" s="99">
        <v>43837</v>
      </c>
      <c r="J1068">
        <f>YEAR(I1068)</f>
        <v>2020</v>
      </c>
      <c r="K1068" s="99">
        <v>43847</v>
      </c>
      <c r="L1068" t="s">
        <v>8241</v>
      </c>
      <c r="M1068" t="s">
        <v>6934</v>
      </c>
    </row>
    <row r="1069" spans="2:13" x14ac:dyDescent="0.2">
      <c r="B1069">
        <v>10575</v>
      </c>
      <c r="C1069" t="s">
        <v>8317</v>
      </c>
      <c r="D1069" t="s">
        <v>8254</v>
      </c>
      <c r="E1069" s="225">
        <v>263.39999999999998</v>
      </c>
      <c r="F1069" t="s">
        <v>8314</v>
      </c>
      <c r="G1069" t="s">
        <v>8315</v>
      </c>
      <c r="H1069" t="s">
        <v>8246</v>
      </c>
      <c r="I1069" s="99">
        <v>43837</v>
      </c>
      <c r="J1069">
        <f>YEAR(I1069)</f>
        <v>2020</v>
      </c>
      <c r="K1069" s="99">
        <v>43847</v>
      </c>
      <c r="L1069" t="s">
        <v>8241</v>
      </c>
      <c r="M1069" t="s">
        <v>6934</v>
      </c>
    </row>
    <row r="1070" spans="2:13" x14ac:dyDescent="0.2">
      <c r="B1070">
        <v>10575</v>
      </c>
      <c r="C1070" t="s">
        <v>8281</v>
      </c>
      <c r="D1070" t="s">
        <v>8237</v>
      </c>
      <c r="E1070" s="225">
        <v>660</v>
      </c>
      <c r="F1070" t="s">
        <v>8314</v>
      </c>
      <c r="G1070" t="s">
        <v>8315</v>
      </c>
      <c r="H1070" t="s">
        <v>8246</v>
      </c>
      <c r="I1070" s="99">
        <v>43837</v>
      </c>
      <c r="J1070">
        <f>YEAR(I1070)</f>
        <v>2020</v>
      </c>
      <c r="K1070" s="99">
        <v>43847</v>
      </c>
      <c r="L1070" t="s">
        <v>8241</v>
      </c>
      <c r="M1070" t="s">
        <v>6934</v>
      </c>
    </row>
    <row r="1071" spans="2:13" x14ac:dyDescent="0.2">
      <c r="B1071">
        <v>10575</v>
      </c>
      <c r="C1071" t="s">
        <v>8235</v>
      </c>
      <c r="D1071" t="s">
        <v>8237</v>
      </c>
      <c r="E1071" s="225">
        <v>1044</v>
      </c>
      <c r="F1071" t="s">
        <v>8314</v>
      </c>
      <c r="G1071" t="s">
        <v>8315</v>
      </c>
      <c r="H1071" t="s">
        <v>8246</v>
      </c>
      <c r="I1071" s="99">
        <v>43837</v>
      </c>
      <c r="J1071">
        <f>YEAR(I1071)</f>
        <v>2020</v>
      </c>
      <c r="K1071" s="99">
        <v>43847</v>
      </c>
      <c r="L1071" t="s">
        <v>8241</v>
      </c>
      <c r="M1071" t="s">
        <v>6934</v>
      </c>
    </row>
    <row r="1072" spans="2:13" x14ac:dyDescent="0.2">
      <c r="B1072">
        <v>10699</v>
      </c>
      <c r="C1072" t="s">
        <v>8410</v>
      </c>
      <c r="D1072" t="s">
        <v>8262</v>
      </c>
      <c r="E1072" s="225">
        <v>114</v>
      </c>
      <c r="F1072" t="s">
        <v>8314</v>
      </c>
      <c r="G1072" t="s">
        <v>8315</v>
      </c>
      <c r="H1072" t="s">
        <v>8246</v>
      </c>
      <c r="I1072" s="99">
        <v>43948</v>
      </c>
      <c r="J1072">
        <f>YEAR(I1072)</f>
        <v>2020</v>
      </c>
      <c r="K1072" s="99">
        <v>43952</v>
      </c>
      <c r="L1072" t="s">
        <v>8257</v>
      </c>
      <c r="M1072" t="s">
        <v>6984</v>
      </c>
    </row>
    <row r="1073" spans="2:13" x14ac:dyDescent="0.2">
      <c r="B1073">
        <v>10779</v>
      </c>
      <c r="C1073" t="s">
        <v>8280</v>
      </c>
      <c r="D1073" t="s">
        <v>8262</v>
      </c>
      <c r="E1073" s="225">
        <v>349</v>
      </c>
      <c r="F1073" t="s">
        <v>8314</v>
      </c>
      <c r="G1073" t="s">
        <v>8315</v>
      </c>
      <c r="H1073" t="s">
        <v>8246</v>
      </c>
      <c r="I1073" s="99">
        <v>44016</v>
      </c>
      <c r="J1073">
        <f>YEAR(I1073)</f>
        <v>2020</v>
      </c>
      <c r="K1073" s="99">
        <v>44045</v>
      </c>
      <c r="L1073" t="s">
        <v>8257</v>
      </c>
      <c r="M1073" t="s">
        <v>6984</v>
      </c>
    </row>
    <row r="1074" spans="2:13" x14ac:dyDescent="0.2">
      <c r="B1074">
        <v>10779</v>
      </c>
      <c r="C1074" t="s">
        <v>8291</v>
      </c>
      <c r="D1074" t="s">
        <v>8262</v>
      </c>
      <c r="E1074" s="225">
        <v>986</v>
      </c>
      <c r="F1074" t="s">
        <v>8314</v>
      </c>
      <c r="G1074" t="s">
        <v>8315</v>
      </c>
      <c r="H1074" t="s">
        <v>8246</v>
      </c>
      <c r="I1074" s="99">
        <v>44016</v>
      </c>
      <c r="J1074">
        <f>YEAR(I1074)</f>
        <v>2020</v>
      </c>
      <c r="K1074" s="99">
        <v>44045</v>
      </c>
      <c r="L1074" t="s">
        <v>8257</v>
      </c>
      <c r="M1074" t="s">
        <v>6984</v>
      </c>
    </row>
    <row r="1075" spans="2:13" x14ac:dyDescent="0.2">
      <c r="B1075">
        <v>10945</v>
      </c>
      <c r="C1075" t="s">
        <v>8309</v>
      </c>
      <c r="D1075" t="s">
        <v>8237</v>
      </c>
      <c r="E1075" s="225">
        <v>125</v>
      </c>
      <c r="F1075" t="s">
        <v>8314</v>
      </c>
      <c r="G1075" t="s">
        <v>8315</v>
      </c>
      <c r="H1075" t="s">
        <v>8246</v>
      </c>
      <c r="I1075" s="99">
        <v>44101</v>
      </c>
      <c r="J1075">
        <f>YEAR(I1075)</f>
        <v>2020</v>
      </c>
      <c r="K1075" s="99">
        <v>44107</v>
      </c>
      <c r="L1075" t="s">
        <v>8266</v>
      </c>
      <c r="M1075" t="s">
        <v>8267</v>
      </c>
    </row>
    <row r="1076" spans="2:13" x14ac:dyDescent="0.2">
      <c r="B1076">
        <v>10517</v>
      </c>
      <c r="C1076" t="s">
        <v>8288</v>
      </c>
      <c r="D1076" t="s">
        <v>8272</v>
      </c>
      <c r="E1076" s="225">
        <v>90</v>
      </c>
      <c r="F1076" t="s">
        <v>8418</v>
      </c>
      <c r="G1076" t="s">
        <v>8419</v>
      </c>
      <c r="H1076" t="s">
        <v>2434</v>
      </c>
      <c r="I1076" s="99">
        <v>43780</v>
      </c>
      <c r="J1076">
        <f>YEAR(I1076)</f>
        <v>2019</v>
      </c>
      <c r="K1076" s="99">
        <v>43785</v>
      </c>
      <c r="L1076" t="s">
        <v>8257</v>
      </c>
      <c r="M1076" t="s">
        <v>6984</v>
      </c>
    </row>
    <row r="1077" spans="2:13" x14ac:dyDescent="0.2">
      <c r="B1077">
        <v>10517</v>
      </c>
      <c r="C1077" t="s">
        <v>8281</v>
      </c>
      <c r="D1077" t="s">
        <v>8237</v>
      </c>
      <c r="E1077" s="225">
        <v>220</v>
      </c>
      <c r="F1077" t="s">
        <v>8418</v>
      </c>
      <c r="G1077" t="s">
        <v>8419</v>
      </c>
      <c r="H1077" t="s">
        <v>2434</v>
      </c>
      <c r="I1077" s="99">
        <v>43780</v>
      </c>
      <c r="J1077">
        <f>YEAR(I1077)</f>
        <v>2019</v>
      </c>
      <c r="K1077" s="99">
        <v>43785</v>
      </c>
      <c r="L1077" t="s">
        <v>8257</v>
      </c>
      <c r="M1077" t="s">
        <v>6984</v>
      </c>
    </row>
    <row r="1078" spans="2:13" x14ac:dyDescent="0.2">
      <c r="B1078">
        <v>10517</v>
      </c>
      <c r="C1078" t="s">
        <v>8369</v>
      </c>
      <c r="D1078" t="s">
        <v>8244</v>
      </c>
      <c r="E1078" s="225">
        <v>42</v>
      </c>
      <c r="F1078" t="s">
        <v>8418</v>
      </c>
      <c r="G1078" t="s">
        <v>8419</v>
      </c>
      <c r="H1078" t="s">
        <v>2434</v>
      </c>
      <c r="I1078" s="99">
        <v>43780</v>
      </c>
      <c r="J1078">
        <f>YEAR(I1078)</f>
        <v>2019</v>
      </c>
      <c r="K1078" s="99">
        <v>43785</v>
      </c>
      <c r="L1078" t="s">
        <v>8257</v>
      </c>
      <c r="M1078" t="s">
        <v>6984</v>
      </c>
    </row>
    <row r="1079" spans="2:13" x14ac:dyDescent="0.2">
      <c r="B1079">
        <v>10752</v>
      </c>
      <c r="C1079" t="s">
        <v>8333</v>
      </c>
      <c r="D1079" t="s">
        <v>8272</v>
      </c>
      <c r="E1079" s="225">
        <v>144</v>
      </c>
      <c r="F1079" t="s">
        <v>8418</v>
      </c>
      <c r="G1079" t="s">
        <v>8419</v>
      </c>
      <c r="H1079" t="s">
        <v>2434</v>
      </c>
      <c r="I1079" s="99">
        <v>43994</v>
      </c>
      <c r="J1079">
        <f>YEAR(I1079)</f>
        <v>2020</v>
      </c>
      <c r="K1079" s="99">
        <v>43998</v>
      </c>
      <c r="L1079" t="s">
        <v>8297</v>
      </c>
      <c r="M1079" t="s">
        <v>8298</v>
      </c>
    </row>
    <row r="1080" spans="2:13" x14ac:dyDescent="0.2">
      <c r="B1080">
        <v>10752</v>
      </c>
      <c r="C1080" t="s">
        <v>8353</v>
      </c>
      <c r="D1080" t="s">
        <v>8237</v>
      </c>
      <c r="E1080" s="225">
        <v>108</v>
      </c>
      <c r="F1080" t="s">
        <v>8418</v>
      </c>
      <c r="G1080" t="s">
        <v>8419</v>
      </c>
      <c r="H1080" t="s">
        <v>2434</v>
      </c>
      <c r="I1080" s="99">
        <v>43994</v>
      </c>
      <c r="J1080">
        <f>YEAR(I1080)</f>
        <v>2020</v>
      </c>
      <c r="K1080" s="99">
        <v>43998</v>
      </c>
      <c r="L1080" t="s">
        <v>8297</v>
      </c>
      <c r="M1080" t="s">
        <v>8298</v>
      </c>
    </row>
    <row r="1081" spans="2:13" x14ac:dyDescent="0.2">
      <c r="B1081">
        <v>11057</v>
      </c>
      <c r="C1081" t="s">
        <v>8288</v>
      </c>
      <c r="D1081" t="s">
        <v>8272</v>
      </c>
      <c r="E1081" s="225">
        <v>45</v>
      </c>
      <c r="F1081" t="s">
        <v>8418</v>
      </c>
      <c r="G1081" t="s">
        <v>8419</v>
      </c>
      <c r="H1081" t="s">
        <v>2434</v>
      </c>
      <c r="I1081" s="99">
        <v>44149</v>
      </c>
      <c r="J1081">
        <f>YEAR(I1081)</f>
        <v>2020</v>
      </c>
      <c r="K1081" s="99">
        <v>44151</v>
      </c>
      <c r="L1081" t="s">
        <v>8257</v>
      </c>
      <c r="M1081" t="s">
        <v>6984</v>
      </c>
    </row>
    <row r="1082" spans="2:13" x14ac:dyDescent="0.2">
      <c r="B1082">
        <v>10409</v>
      </c>
      <c r="C1082" t="s">
        <v>8368</v>
      </c>
      <c r="D1082" t="s">
        <v>8262</v>
      </c>
      <c r="E1082" s="225">
        <v>96</v>
      </c>
      <c r="F1082" t="s">
        <v>8768</v>
      </c>
      <c r="G1082" t="s">
        <v>8767</v>
      </c>
      <c r="H1082" t="s">
        <v>8717</v>
      </c>
      <c r="I1082" s="99">
        <v>43675</v>
      </c>
      <c r="J1082">
        <f>YEAR(I1082)</f>
        <v>2019</v>
      </c>
      <c r="K1082" s="99">
        <v>43680</v>
      </c>
      <c r="L1082" t="s">
        <v>8257</v>
      </c>
      <c r="M1082" t="s">
        <v>6984</v>
      </c>
    </row>
    <row r="1083" spans="2:13" x14ac:dyDescent="0.2">
      <c r="B1083">
        <v>10409</v>
      </c>
      <c r="C1083" t="s">
        <v>8252</v>
      </c>
      <c r="D1083" t="s">
        <v>8247</v>
      </c>
      <c r="E1083" s="225">
        <v>223.2</v>
      </c>
      <c r="F1083" t="s">
        <v>8768</v>
      </c>
      <c r="G1083" t="s">
        <v>8767</v>
      </c>
      <c r="H1083" t="s">
        <v>8717</v>
      </c>
      <c r="I1083" s="99">
        <v>43675</v>
      </c>
      <c r="J1083">
        <f>YEAR(I1083)</f>
        <v>2019</v>
      </c>
      <c r="K1083" s="99">
        <v>43680</v>
      </c>
      <c r="L1083" t="s">
        <v>8257</v>
      </c>
      <c r="M1083" t="s">
        <v>6984</v>
      </c>
    </row>
    <row r="1084" spans="2:13" x14ac:dyDescent="0.2">
      <c r="B1084">
        <v>10531</v>
      </c>
      <c r="C1084" t="s">
        <v>8281</v>
      </c>
      <c r="D1084" t="s">
        <v>8237</v>
      </c>
      <c r="E1084" s="225">
        <v>110</v>
      </c>
      <c r="F1084" t="s">
        <v>8768</v>
      </c>
      <c r="G1084" t="s">
        <v>8767</v>
      </c>
      <c r="H1084" t="s">
        <v>8717</v>
      </c>
      <c r="I1084" s="99">
        <v>43794</v>
      </c>
      <c r="J1084">
        <f>YEAR(I1084)</f>
        <v>2019</v>
      </c>
      <c r="K1084" s="99">
        <v>43805</v>
      </c>
      <c r="L1084" t="s">
        <v>8158</v>
      </c>
      <c r="M1084" t="s">
        <v>861</v>
      </c>
    </row>
    <row r="1085" spans="2:13" x14ac:dyDescent="0.2">
      <c r="B1085">
        <v>10958</v>
      </c>
      <c r="C1085" t="s">
        <v>8286</v>
      </c>
      <c r="D1085" t="s">
        <v>8254</v>
      </c>
      <c r="E1085" s="225">
        <v>427</v>
      </c>
      <c r="F1085" t="s">
        <v>8768</v>
      </c>
      <c r="G1085" t="s">
        <v>8767</v>
      </c>
      <c r="H1085" t="s">
        <v>8717</v>
      </c>
      <c r="I1085" s="99">
        <v>44107</v>
      </c>
      <c r="J1085">
        <f>YEAR(I1085)</f>
        <v>2020</v>
      </c>
      <c r="K1085" s="99">
        <v>44116</v>
      </c>
      <c r="L1085" t="s">
        <v>8158</v>
      </c>
      <c r="M1085" t="s">
        <v>861</v>
      </c>
    </row>
    <row r="1086" spans="2:13" x14ac:dyDescent="0.2">
      <c r="B1086">
        <v>10958</v>
      </c>
      <c r="C1086" t="s">
        <v>8235</v>
      </c>
      <c r="D1086" t="s">
        <v>8237</v>
      </c>
      <c r="E1086" s="225">
        <v>174</v>
      </c>
      <c r="F1086" t="s">
        <v>8768</v>
      </c>
      <c r="G1086" t="s">
        <v>8767</v>
      </c>
      <c r="H1086" t="s">
        <v>8717</v>
      </c>
      <c r="I1086" s="99">
        <v>44107</v>
      </c>
      <c r="J1086">
        <f>YEAR(I1086)</f>
        <v>2020</v>
      </c>
      <c r="K1086" s="99">
        <v>44116</v>
      </c>
      <c r="L1086" t="s">
        <v>8158</v>
      </c>
      <c r="M1086" t="s">
        <v>861</v>
      </c>
    </row>
    <row r="1087" spans="2:13" x14ac:dyDescent="0.2">
      <c r="B1087">
        <v>10958</v>
      </c>
      <c r="C1087" t="s">
        <v>8415</v>
      </c>
      <c r="D1087" t="s">
        <v>8247</v>
      </c>
      <c r="E1087" s="225">
        <v>180</v>
      </c>
      <c r="F1087" t="s">
        <v>8768</v>
      </c>
      <c r="G1087" t="s">
        <v>8767</v>
      </c>
      <c r="H1087" t="s">
        <v>8717</v>
      </c>
      <c r="I1087" s="99">
        <v>44107</v>
      </c>
      <c r="J1087">
        <f>YEAR(I1087)</f>
        <v>2020</v>
      </c>
      <c r="K1087" s="99">
        <v>44116</v>
      </c>
      <c r="L1087" t="s">
        <v>8158</v>
      </c>
      <c r="M1087" t="s">
        <v>861</v>
      </c>
    </row>
    <row r="1088" spans="2:13" x14ac:dyDescent="0.2">
      <c r="B1088">
        <v>10986</v>
      </c>
      <c r="C1088" t="s">
        <v>8303</v>
      </c>
      <c r="D1088" t="s">
        <v>8272</v>
      </c>
      <c r="E1088" s="225">
        <v>180</v>
      </c>
      <c r="F1088" t="s">
        <v>8768</v>
      </c>
      <c r="G1088" t="s">
        <v>8767</v>
      </c>
      <c r="H1088" t="s">
        <v>8717</v>
      </c>
      <c r="I1088" s="99">
        <v>44119</v>
      </c>
      <c r="J1088">
        <f>YEAR(I1088)</f>
        <v>2020</v>
      </c>
      <c r="K1088" s="99">
        <v>44141</v>
      </c>
      <c r="L1088" t="s">
        <v>8320</v>
      </c>
      <c r="M1088" t="s">
        <v>8321</v>
      </c>
    </row>
    <row r="1089" spans="2:13" x14ac:dyDescent="0.2">
      <c r="B1089">
        <v>10986</v>
      </c>
      <c r="C1089" t="s">
        <v>8397</v>
      </c>
      <c r="D1089" t="s">
        <v>8254</v>
      </c>
      <c r="E1089" s="225">
        <v>195</v>
      </c>
      <c r="F1089" t="s">
        <v>8768</v>
      </c>
      <c r="G1089" t="s">
        <v>8767</v>
      </c>
      <c r="H1089" t="s">
        <v>8717</v>
      </c>
      <c r="I1089" s="99">
        <v>44119</v>
      </c>
      <c r="J1089">
        <f>YEAR(I1089)</f>
        <v>2020</v>
      </c>
      <c r="K1089" s="99">
        <v>44141</v>
      </c>
      <c r="L1089" t="s">
        <v>8320</v>
      </c>
      <c r="M1089" t="s">
        <v>8321</v>
      </c>
    </row>
    <row r="1090" spans="2:13" x14ac:dyDescent="0.2">
      <c r="B1090">
        <v>10986</v>
      </c>
      <c r="C1090" t="s">
        <v>8260</v>
      </c>
      <c r="D1090" t="s">
        <v>8262</v>
      </c>
      <c r="E1090" s="225">
        <v>1215</v>
      </c>
      <c r="F1090" t="s">
        <v>8768</v>
      </c>
      <c r="G1090" t="s">
        <v>8767</v>
      </c>
      <c r="H1090" t="s">
        <v>8717</v>
      </c>
      <c r="I1090" s="99">
        <v>44119</v>
      </c>
      <c r="J1090">
        <f>YEAR(I1090)</f>
        <v>2020</v>
      </c>
      <c r="K1090" s="99">
        <v>44141</v>
      </c>
      <c r="L1090" t="s">
        <v>8320</v>
      </c>
      <c r="M1090" t="s">
        <v>8321</v>
      </c>
    </row>
    <row r="1091" spans="2:13" x14ac:dyDescent="0.2">
      <c r="B1091">
        <v>10986</v>
      </c>
      <c r="C1091" t="s">
        <v>8242</v>
      </c>
      <c r="D1091" t="s">
        <v>8237</v>
      </c>
      <c r="E1091" s="225">
        <v>630</v>
      </c>
      <c r="F1091" t="s">
        <v>8768</v>
      </c>
      <c r="G1091" t="s">
        <v>8767</v>
      </c>
      <c r="H1091" t="s">
        <v>8717</v>
      </c>
      <c r="I1091" s="99">
        <v>44119</v>
      </c>
      <c r="J1091">
        <f>YEAR(I1091)</f>
        <v>2020</v>
      </c>
      <c r="K1091" s="99">
        <v>44141</v>
      </c>
      <c r="L1091" t="s">
        <v>8320</v>
      </c>
      <c r="M1091" t="s">
        <v>8321</v>
      </c>
    </row>
    <row r="1092" spans="2:13" x14ac:dyDescent="0.2">
      <c r="B1092">
        <v>10305</v>
      </c>
      <c r="C1092" t="s">
        <v>8342</v>
      </c>
      <c r="D1092" t="s">
        <v>8272</v>
      </c>
      <c r="E1092" s="225">
        <v>388.8</v>
      </c>
      <c r="F1092" t="s">
        <v>8756</v>
      </c>
      <c r="G1092" t="s">
        <v>8755</v>
      </c>
      <c r="H1092" t="s">
        <v>8701</v>
      </c>
      <c r="I1092" s="99">
        <v>43557</v>
      </c>
      <c r="J1092">
        <f>YEAR(I1092)</f>
        <v>2019</v>
      </c>
      <c r="K1092" s="99">
        <v>43583</v>
      </c>
      <c r="L1092" t="s">
        <v>8320</v>
      </c>
      <c r="M1092" t="s">
        <v>8321</v>
      </c>
    </row>
    <row r="1093" spans="2:13" x14ac:dyDescent="0.2">
      <c r="B1093">
        <v>10441</v>
      </c>
      <c r="C1093" t="s">
        <v>8332</v>
      </c>
      <c r="D1093" t="s">
        <v>8262</v>
      </c>
      <c r="E1093" s="225">
        <v>1755</v>
      </c>
      <c r="F1093" t="s">
        <v>8756</v>
      </c>
      <c r="G1093" t="s">
        <v>8755</v>
      </c>
      <c r="H1093" t="s">
        <v>8701</v>
      </c>
      <c r="I1093" s="99">
        <v>43707</v>
      </c>
      <c r="J1093">
        <f>YEAR(I1093)</f>
        <v>2019</v>
      </c>
      <c r="K1093" s="99">
        <v>43739</v>
      </c>
      <c r="L1093" t="s">
        <v>8257</v>
      </c>
      <c r="M1093" t="s">
        <v>6984</v>
      </c>
    </row>
    <row r="1094" spans="2:13" x14ac:dyDescent="0.2">
      <c r="B1094">
        <v>10594</v>
      </c>
      <c r="C1094" t="s">
        <v>8369</v>
      </c>
      <c r="D1094" t="s">
        <v>8244</v>
      </c>
      <c r="E1094" s="225">
        <v>168</v>
      </c>
      <c r="F1094" t="s">
        <v>8756</v>
      </c>
      <c r="G1094" t="s">
        <v>8755</v>
      </c>
      <c r="H1094" t="s">
        <v>8701</v>
      </c>
      <c r="I1094" s="99">
        <v>43856</v>
      </c>
      <c r="J1094">
        <f>YEAR(I1094)</f>
        <v>2020</v>
      </c>
      <c r="K1094" s="99">
        <v>43863</v>
      </c>
      <c r="L1094" t="s">
        <v>8257</v>
      </c>
      <c r="M1094" t="s">
        <v>6984</v>
      </c>
    </row>
    <row r="1095" spans="2:13" x14ac:dyDescent="0.2">
      <c r="B1095">
        <v>10680</v>
      </c>
      <c r="C1095" t="s">
        <v>8280</v>
      </c>
      <c r="D1095" t="s">
        <v>8262</v>
      </c>
      <c r="E1095" s="225">
        <v>654.38</v>
      </c>
      <c r="F1095" t="s">
        <v>8756</v>
      </c>
      <c r="G1095" t="s">
        <v>8755</v>
      </c>
      <c r="H1095" t="s">
        <v>8701</v>
      </c>
      <c r="I1095" s="99">
        <v>43933</v>
      </c>
      <c r="J1095">
        <f>YEAR(I1095)</f>
        <v>2020</v>
      </c>
      <c r="K1095" s="99">
        <v>43935</v>
      </c>
      <c r="L1095" t="s">
        <v>8285</v>
      </c>
      <c r="M1095" t="s">
        <v>2317</v>
      </c>
    </row>
    <row r="1096" spans="2:13" x14ac:dyDescent="0.2">
      <c r="B1096">
        <v>10680</v>
      </c>
      <c r="C1096" t="s">
        <v>8309</v>
      </c>
      <c r="D1096" t="s">
        <v>8237</v>
      </c>
      <c r="E1096" s="225">
        <v>187.5</v>
      </c>
      <c r="F1096" t="s">
        <v>8756</v>
      </c>
      <c r="G1096" t="s">
        <v>8755</v>
      </c>
      <c r="H1096" t="s">
        <v>8701</v>
      </c>
      <c r="I1096" s="99">
        <v>43933</v>
      </c>
      <c r="J1096">
        <f>YEAR(I1096)</f>
        <v>2020</v>
      </c>
      <c r="K1096" s="99">
        <v>43935</v>
      </c>
      <c r="L1096" t="s">
        <v>8285</v>
      </c>
      <c r="M1096" t="s">
        <v>2317</v>
      </c>
    </row>
    <row r="1097" spans="2:13" x14ac:dyDescent="0.2">
      <c r="B1097">
        <v>10680</v>
      </c>
      <c r="C1097" t="s">
        <v>8243</v>
      </c>
      <c r="D1097" t="s">
        <v>8244</v>
      </c>
      <c r="E1097" s="225">
        <v>420</v>
      </c>
      <c r="F1097" t="s">
        <v>8756</v>
      </c>
      <c r="G1097" t="s">
        <v>8755</v>
      </c>
      <c r="H1097" t="s">
        <v>8701</v>
      </c>
      <c r="I1097" s="99">
        <v>43933</v>
      </c>
      <c r="J1097">
        <f>YEAR(I1097)</f>
        <v>2020</v>
      </c>
      <c r="K1097" s="99">
        <v>43935</v>
      </c>
      <c r="L1097" t="s">
        <v>8285</v>
      </c>
      <c r="M1097" t="s">
        <v>2317</v>
      </c>
    </row>
    <row r="1098" spans="2:13" x14ac:dyDescent="0.2">
      <c r="B1098">
        <v>10706</v>
      </c>
      <c r="C1098" t="s">
        <v>8306</v>
      </c>
      <c r="D1098" t="s">
        <v>8272</v>
      </c>
      <c r="E1098" s="225">
        <v>1104</v>
      </c>
      <c r="F1098" t="s">
        <v>8756</v>
      </c>
      <c r="G1098" t="s">
        <v>8755</v>
      </c>
      <c r="H1098" t="s">
        <v>8701</v>
      </c>
      <c r="I1098" s="99">
        <v>43955</v>
      </c>
      <c r="J1098">
        <f>YEAR(I1098)</f>
        <v>2020</v>
      </c>
      <c r="K1098" s="99">
        <v>43960</v>
      </c>
      <c r="L1098" t="s">
        <v>8320</v>
      </c>
      <c r="M1098" t="s">
        <v>8321</v>
      </c>
    </row>
    <row r="1099" spans="2:13" x14ac:dyDescent="0.2">
      <c r="B1099">
        <v>10706</v>
      </c>
      <c r="C1099" t="s">
        <v>8280</v>
      </c>
      <c r="D1099" t="s">
        <v>8262</v>
      </c>
      <c r="E1099" s="225">
        <v>349</v>
      </c>
      <c r="F1099" t="s">
        <v>8756</v>
      </c>
      <c r="G1099" t="s">
        <v>8755</v>
      </c>
      <c r="H1099" t="s">
        <v>8701</v>
      </c>
      <c r="I1099" s="99">
        <v>43955</v>
      </c>
      <c r="J1099">
        <f>YEAR(I1099)</f>
        <v>2020</v>
      </c>
      <c r="K1099" s="99">
        <v>43960</v>
      </c>
      <c r="L1099" t="s">
        <v>8320</v>
      </c>
      <c r="M1099" t="s">
        <v>8321</v>
      </c>
    </row>
    <row r="1100" spans="2:13" x14ac:dyDescent="0.2">
      <c r="B1100">
        <v>10706</v>
      </c>
      <c r="C1100" t="s">
        <v>8281</v>
      </c>
      <c r="D1100" t="s">
        <v>8237</v>
      </c>
      <c r="E1100" s="225">
        <v>440</v>
      </c>
      <c r="F1100" t="s">
        <v>8756</v>
      </c>
      <c r="G1100" t="s">
        <v>8755</v>
      </c>
      <c r="H1100" t="s">
        <v>8701</v>
      </c>
      <c r="I1100" s="99">
        <v>43955</v>
      </c>
      <c r="J1100">
        <f>YEAR(I1100)</f>
        <v>2020</v>
      </c>
      <c r="K1100" s="99">
        <v>43960</v>
      </c>
      <c r="L1100" t="s">
        <v>8320</v>
      </c>
      <c r="M1100" t="s">
        <v>8321</v>
      </c>
    </row>
    <row r="1101" spans="2:13" x14ac:dyDescent="0.2">
      <c r="B1101">
        <v>10808</v>
      </c>
      <c r="C1101" t="s">
        <v>8303</v>
      </c>
      <c r="D1101" t="s">
        <v>8272</v>
      </c>
      <c r="E1101" s="225">
        <v>765</v>
      </c>
      <c r="F1101" t="s">
        <v>8756</v>
      </c>
      <c r="G1101" t="s">
        <v>8755</v>
      </c>
      <c r="H1101" t="s">
        <v>8701</v>
      </c>
      <c r="I1101" s="99">
        <v>44032</v>
      </c>
      <c r="J1101">
        <f>YEAR(I1101)</f>
        <v>2020</v>
      </c>
      <c r="K1101" s="99">
        <v>44040</v>
      </c>
      <c r="L1101" t="s">
        <v>8297</v>
      </c>
      <c r="M1101" t="s">
        <v>8298</v>
      </c>
    </row>
    <row r="1102" spans="2:13" x14ac:dyDescent="0.2">
      <c r="B1102">
        <v>10808</v>
      </c>
      <c r="C1102" t="s">
        <v>8341</v>
      </c>
      <c r="D1102" t="s">
        <v>8244</v>
      </c>
      <c r="E1102" s="225">
        <v>646</v>
      </c>
      <c r="F1102" t="s">
        <v>8756</v>
      </c>
      <c r="G1102" t="s">
        <v>8755</v>
      </c>
      <c r="H1102" t="s">
        <v>8701</v>
      </c>
      <c r="I1102" s="99">
        <v>44032</v>
      </c>
      <c r="J1102">
        <f>YEAR(I1102)</f>
        <v>2020</v>
      </c>
      <c r="K1102" s="99">
        <v>44040</v>
      </c>
      <c r="L1102" t="s">
        <v>8297</v>
      </c>
      <c r="M1102" t="s">
        <v>8298</v>
      </c>
    </row>
    <row r="1103" spans="2:13" x14ac:dyDescent="0.2">
      <c r="B1103">
        <v>10855</v>
      </c>
      <c r="C1103" t="s">
        <v>8253</v>
      </c>
      <c r="D1103" t="s">
        <v>8254</v>
      </c>
      <c r="E1103" s="225">
        <v>268.39</v>
      </c>
      <c r="F1103" t="s">
        <v>8756</v>
      </c>
      <c r="G1103" t="s">
        <v>8755</v>
      </c>
      <c r="H1103" t="s">
        <v>8701</v>
      </c>
      <c r="I1103" s="99">
        <v>44058</v>
      </c>
      <c r="J1103">
        <f>YEAR(I1103)</f>
        <v>2020</v>
      </c>
      <c r="K1103" s="99">
        <v>44065</v>
      </c>
      <c r="L1103" t="s">
        <v>8257</v>
      </c>
      <c r="M1103" t="s">
        <v>6984</v>
      </c>
    </row>
    <row r="1104" spans="2:13" x14ac:dyDescent="0.2">
      <c r="B1104">
        <v>10855</v>
      </c>
      <c r="C1104" t="s">
        <v>8280</v>
      </c>
      <c r="D1104" t="s">
        <v>8262</v>
      </c>
      <c r="E1104" s="225">
        <v>872.5</v>
      </c>
      <c r="F1104" t="s">
        <v>8756</v>
      </c>
      <c r="G1104" t="s">
        <v>8755</v>
      </c>
      <c r="H1104" t="s">
        <v>8701</v>
      </c>
      <c r="I1104" s="99">
        <v>44058</v>
      </c>
      <c r="J1104">
        <f>YEAR(I1104)</f>
        <v>2020</v>
      </c>
      <c r="K1104" s="99">
        <v>44065</v>
      </c>
      <c r="L1104" t="s">
        <v>8257</v>
      </c>
      <c r="M1104" t="s">
        <v>6984</v>
      </c>
    </row>
    <row r="1105" spans="2:13" x14ac:dyDescent="0.2">
      <c r="B1105">
        <v>10855</v>
      </c>
      <c r="C1105" t="s">
        <v>8309</v>
      </c>
      <c r="D1105" t="s">
        <v>8237</v>
      </c>
      <c r="E1105" s="225">
        <v>175</v>
      </c>
      <c r="F1105" t="s">
        <v>8756</v>
      </c>
      <c r="G1105" t="s">
        <v>8755</v>
      </c>
      <c r="H1105" t="s">
        <v>8701</v>
      </c>
      <c r="I1105" s="99">
        <v>44058</v>
      </c>
      <c r="J1105">
        <f>YEAR(I1105)</f>
        <v>2020</v>
      </c>
      <c r="K1105" s="99">
        <v>44065</v>
      </c>
      <c r="L1105" t="s">
        <v>8257</v>
      </c>
      <c r="M1105" t="s">
        <v>6984</v>
      </c>
    </row>
    <row r="1106" spans="2:13" x14ac:dyDescent="0.2">
      <c r="B1106">
        <v>10855</v>
      </c>
      <c r="C1106" t="s">
        <v>8341</v>
      </c>
      <c r="D1106" t="s">
        <v>8244</v>
      </c>
      <c r="E1106" s="225">
        <v>912</v>
      </c>
      <c r="F1106" t="s">
        <v>8756</v>
      </c>
      <c r="G1106" t="s">
        <v>8755</v>
      </c>
      <c r="H1106" t="s">
        <v>8701</v>
      </c>
      <c r="I1106" s="99">
        <v>44058</v>
      </c>
      <c r="J1106">
        <f>YEAR(I1106)</f>
        <v>2020</v>
      </c>
      <c r="K1106" s="99">
        <v>44065</v>
      </c>
      <c r="L1106" t="s">
        <v>8257</v>
      </c>
      <c r="M1106" t="s">
        <v>6984</v>
      </c>
    </row>
    <row r="1107" spans="2:13" x14ac:dyDescent="0.2">
      <c r="B1107">
        <v>10965</v>
      </c>
      <c r="C1107" t="s">
        <v>8245</v>
      </c>
      <c r="D1107" t="s">
        <v>8247</v>
      </c>
      <c r="E1107" s="225">
        <v>848</v>
      </c>
      <c r="F1107" t="s">
        <v>8756</v>
      </c>
      <c r="G1107" t="s">
        <v>8755</v>
      </c>
      <c r="H1107" t="s">
        <v>8701</v>
      </c>
      <c r="I1107" s="99">
        <v>44109</v>
      </c>
      <c r="J1107">
        <f>YEAR(I1107)</f>
        <v>2020</v>
      </c>
      <c r="K1107" s="99">
        <v>44119</v>
      </c>
      <c r="L1107" t="s">
        <v>8251</v>
      </c>
      <c r="M1107" t="s">
        <v>269</v>
      </c>
    </row>
    <row r="1108" spans="2:13" x14ac:dyDescent="0.2">
      <c r="B1108">
        <v>11034</v>
      </c>
      <c r="C1108" t="s">
        <v>8322</v>
      </c>
      <c r="D1108" t="s">
        <v>8254</v>
      </c>
      <c r="E1108" s="225">
        <v>233.4</v>
      </c>
      <c r="F1108" t="s">
        <v>8756</v>
      </c>
      <c r="G1108" t="s">
        <v>8755</v>
      </c>
      <c r="H1108" t="s">
        <v>8701</v>
      </c>
      <c r="I1108" s="99">
        <v>44140</v>
      </c>
      <c r="J1108">
        <f>YEAR(I1108)</f>
        <v>2020</v>
      </c>
      <c r="K1108" s="99">
        <v>44147</v>
      </c>
      <c r="L1108" t="s">
        <v>8320</v>
      </c>
      <c r="M1108" t="s">
        <v>8321</v>
      </c>
    </row>
    <row r="1109" spans="2:13" x14ac:dyDescent="0.2">
      <c r="B1109">
        <v>11034</v>
      </c>
      <c r="C1109" t="s">
        <v>8409</v>
      </c>
      <c r="D1109" t="s">
        <v>8254</v>
      </c>
      <c r="E1109" s="225">
        <v>171</v>
      </c>
      <c r="F1109" t="s">
        <v>8756</v>
      </c>
      <c r="G1109" t="s">
        <v>8755</v>
      </c>
      <c r="H1109" t="s">
        <v>8701</v>
      </c>
      <c r="I1109" s="99">
        <v>44140</v>
      </c>
      <c r="J1109">
        <f>YEAR(I1109)</f>
        <v>2020</v>
      </c>
      <c r="K1109" s="99">
        <v>44147</v>
      </c>
      <c r="L1109" t="s">
        <v>8320</v>
      </c>
      <c r="M1109" t="s">
        <v>8321</v>
      </c>
    </row>
    <row r="1110" spans="2:13" x14ac:dyDescent="0.2">
      <c r="B1110">
        <v>11034</v>
      </c>
      <c r="C1110" t="s">
        <v>8368</v>
      </c>
      <c r="D1110" t="s">
        <v>8262</v>
      </c>
      <c r="E1110" s="225">
        <v>135</v>
      </c>
      <c r="F1110" t="s">
        <v>8756</v>
      </c>
      <c r="G1110" t="s">
        <v>8755</v>
      </c>
      <c r="H1110" t="s">
        <v>8701</v>
      </c>
      <c r="I1110" s="99">
        <v>44140</v>
      </c>
      <c r="J1110">
        <f>YEAR(I1110)</f>
        <v>2020</v>
      </c>
      <c r="K1110" s="99">
        <v>44147</v>
      </c>
      <c r="L1110" t="s">
        <v>8320</v>
      </c>
      <c r="M1110" t="s">
        <v>8321</v>
      </c>
    </row>
    <row r="1111" spans="2:13" x14ac:dyDescent="0.2">
      <c r="B1111">
        <v>11086</v>
      </c>
      <c r="C1111" t="s">
        <v>8342</v>
      </c>
      <c r="D1111" t="s">
        <v>8272</v>
      </c>
      <c r="E1111" s="225">
        <v>388.8</v>
      </c>
      <c r="F1111" t="s">
        <v>8756</v>
      </c>
      <c r="G1111" t="s">
        <v>8755</v>
      </c>
      <c r="H1111" t="s">
        <v>8701</v>
      </c>
      <c r="I1111" s="99">
        <v>43757</v>
      </c>
      <c r="J1111">
        <f>YEAR(I1111)</f>
        <v>2019</v>
      </c>
      <c r="K1111" s="99">
        <v>43783</v>
      </c>
      <c r="L1111" t="s">
        <v>8320</v>
      </c>
      <c r="M1111" t="s">
        <v>8321</v>
      </c>
    </row>
    <row r="1112" spans="2:13" x14ac:dyDescent="0.2">
      <c r="B1112">
        <v>11174</v>
      </c>
      <c r="C1112" t="s">
        <v>8332</v>
      </c>
      <c r="D1112" t="s">
        <v>8262</v>
      </c>
      <c r="E1112" s="225">
        <v>1755</v>
      </c>
      <c r="F1112" t="s">
        <v>8756</v>
      </c>
      <c r="G1112" t="s">
        <v>8755</v>
      </c>
      <c r="H1112" t="s">
        <v>8701</v>
      </c>
      <c r="I1112" s="99">
        <v>43907</v>
      </c>
      <c r="J1112">
        <f>YEAR(I1112)</f>
        <v>2020</v>
      </c>
      <c r="K1112" s="99">
        <v>43939</v>
      </c>
      <c r="L1112" t="s">
        <v>8257</v>
      </c>
      <c r="M1112" t="s">
        <v>6984</v>
      </c>
    </row>
    <row r="1113" spans="2:13" x14ac:dyDescent="0.2">
      <c r="B1113">
        <v>11220</v>
      </c>
      <c r="C1113" t="s">
        <v>8369</v>
      </c>
      <c r="D1113" t="s">
        <v>8244</v>
      </c>
      <c r="E1113" s="225">
        <v>168</v>
      </c>
      <c r="F1113" t="s">
        <v>8756</v>
      </c>
      <c r="G1113" t="s">
        <v>8755</v>
      </c>
      <c r="H1113" t="s">
        <v>8701</v>
      </c>
      <c r="I1113" s="99">
        <v>44056</v>
      </c>
      <c r="J1113">
        <f>YEAR(I1113)</f>
        <v>2020</v>
      </c>
      <c r="K1113" s="99">
        <v>44063</v>
      </c>
      <c r="L1113" t="s">
        <v>8257</v>
      </c>
      <c r="M1113" t="s">
        <v>6984</v>
      </c>
    </row>
    <row r="1114" spans="2:13" x14ac:dyDescent="0.2">
      <c r="B1114">
        <v>11259</v>
      </c>
      <c r="C1114" t="s">
        <v>8280</v>
      </c>
      <c r="D1114" t="s">
        <v>8262</v>
      </c>
      <c r="E1114" s="225">
        <v>654.38</v>
      </c>
      <c r="F1114" t="s">
        <v>8756</v>
      </c>
      <c r="G1114" t="s">
        <v>8755</v>
      </c>
      <c r="H1114" t="s">
        <v>8701</v>
      </c>
      <c r="I1114" s="99">
        <v>44133</v>
      </c>
      <c r="J1114">
        <f>YEAR(I1114)</f>
        <v>2020</v>
      </c>
      <c r="K1114" s="99">
        <v>44135</v>
      </c>
      <c r="L1114" t="s">
        <v>8285</v>
      </c>
      <c r="M1114" t="s">
        <v>2317</v>
      </c>
    </row>
    <row r="1115" spans="2:13" x14ac:dyDescent="0.2">
      <c r="B1115">
        <v>11259</v>
      </c>
      <c r="C1115" t="s">
        <v>8309</v>
      </c>
      <c r="D1115" t="s">
        <v>8237</v>
      </c>
      <c r="E1115" s="225">
        <v>187.5</v>
      </c>
      <c r="F1115" t="s">
        <v>8756</v>
      </c>
      <c r="G1115" t="s">
        <v>8755</v>
      </c>
      <c r="H1115" t="s">
        <v>8701</v>
      </c>
      <c r="I1115" s="99">
        <v>44133</v>
      </c>
      <c r="J1115">
        <f>YEAR(I1115)</f>
        <v>2020</v>
      </c>
      <c r="K1115" s="99">
        <v>44135</v>
      </c>
      <c r="L1115" t="s">
        <v>8285</v>
      </c>
      <c r="M1115" t="s">
        <v>2317</v>
      </c>
    </row>
    <row r="1116" spans="2:13" x14ac:dyDescent="0.2">
      <c r="B1116">
        <v>11259</v>
      </c>
      <c r="C1116" t="s">
        <v>8243</v>
      </c>
      <c r="D1116" t="s">
        <v>8244</v>
      </c>
      <c r="E1116" s="225">
        <v>420</v>
      </c>
      <c r="F1116" t="s">
        <v>8756</v>
      </c>
      <c r="G1116" t="s">
        <v>8755</v>
      </c>
      <c r="H1116" t="s">
        <v>8701</v>
      </c>
      <c r="I1116" s="99">
        <v>44133</v>
      </c>
      <c r="J1116">
        <f>YEAR(I1116)</f>
        <v>2020</v>
      </c>
      <c r="K1116" s="99">
        <v>44135</v>
      </c>
      <c r="L1116" t="s">
        <v>8285</v>
      </c>
      <c r="M1116" t="s">
        <v>2317</v>
      </c>
    </row>
    <row r="1117" spans="2:13" x14ac:dyDescent="0.2">
      <c r="B1117">
        <v>11277</v>
      </c>
      <c r="C1117" t="s">
        <v>8306</v>
      </c>
      <c r="D1117" t="s">
        <v>8272</v>
      </c>
      <c r="E1117" s="225">
        <v>1104</v>
      </c>
      <c r="F1117" t="s">
        <v>8756</v>
      </c>
      <c r="G1117" t="s">
        <v>8755</v>
      </c>
      <c r="H1117" t="s">
        <v>8701</v>
      </c>
      <c r="I1117" s="99">
        <v>44155</v>
      </c>
      <c r="J1117">
        <f>YEAR(I1117)</f>
        <v>2020</v>
      </c>
      <c r="K1117" s="99">
        <v>44160</v>
      </c>
      <c r="L1117" t="s">
        <v>8320</v>
      </c>
      <c r="M1117" t="s">
        <v>8321</v>
      </c>
    </row>
    <row r="1118" spans="2:13" x14ac:dyDescent="0.2">
      <c r="B1118">
        <v>11277</v>
      </c>
      <c r="C1118" t="s">
        <v>8280</v>
      </c>
      <c r="D1118" t="s">
        <v>8262</v>
      </c>
      <c r="E1118" s="225">
        <v>349</v>
      </c>
      <c r="F1118" t="s">
        <v>8756</v>
      </c>
      <c r="G1118" t="s">
        <v>8755</v>
      </c>
      <c r="H1118" t="s">
        <v>8701</v>
      </c>
      <c r="I1118" s="99">
        <v>44155</v>
      </c>
      <c r="J1118">
        <f>YEAR(I1118)</f>
        <v>2020</v>
      </c>
      <c r="K1118" s="99">
        <v>44160</v>
      </c>
      <c r="L1118" t="s">
        <v>8320</v>
      </c>
      <c r="M1118" t="s">
        <v>8321</v>
      </c>
    </row>
    <row r="1119" spans="2:13" x14ac:dyDescent="0.2">
      <c r="B1119">
        <v>11277</v>
      </c>
      <c r="C1119" t="s">
        <v>8281</v>
      </c>
      <c r="D1119" t="s">
        <v>8237</v>
      </c>
      <c r="E1119" s="225">
        <v>440</v>
      </c>
      <c r="F1119" t="s">
        <v>8756</v>
      </c>
      <c r="G1119" t="s">
        <v>8755</v>
      </c>
      <c r="H1119" t="s">
        <v>8701</v>
      </c>
      <c r="I1119" s="99">
        <v>44155</v>
      </c>
      <c r="J1119">
        <f>YEAR(I1119)</f>
        <v>2020</v>
      </c>
      <c r="K1119" s="99">
        <v>44160</v>
      </c>
      <c r="L1119" t="s">
        <v>8320</v>
      </c>
      <c r="M1119" t="s">
        <v>8321</v>
      </c>
    </row>
    <row r="1120" spans="2:13" x14ac:dyDescent="0.2">
      <c r="B1120">
        <v>11343</v>
      </c>
      <c r="C1120" t="s">
        <v>8303</v>
      </c>
      <c r="D1120" t="s">
        <v>8272</v>
      </c>
      <c r="E1120" s="225">
        <v>765</v>
      </c>
      <c r="F1120" t="s">
        <v>8756</v>
      </c>
      <c r="G1120" t="s">
        <v>8755</v>
      </c>
      <c r="H1120" t="s">
        <v>8701</v>
      </c>
      <c r="I1120" s="99">
        <v>44232</v>
      </c>
      <c r="J1120">
        <f>YEAR(I1120)</f>
        <v>2021</v>
      </c>
      <c r="K1120" s="99">
        <v>44240</v>
      </c>
      <c r="L1120" t="s">
        <v>8297</v>
      </c>
      <c r="M1120" t="s">
        <v>8298</v>
      </c>
    </row>
    <row r="1121" spans="2:13" x14ac:dyDescent="0.2">
      <c r="B1121">
        <v>11343</v>
      </c>
      <c r="C1121" t="s">
        <v>8341</v>
      </c>
      <c r="D1121" t="s">
        <v>8244</v>
      </c>
      <c r="E1121" s="225">
        <v>646</v>
      </c>
      <c r="F1121" t="s">
        <v>8756</v>
      </c>
      <c r="G1121" t="s">
        <v>8755</v>
      </c>
      <c r="H1121" t="s">
        <v>8701</v>
      </c>
      <c r="I1121" s="99">
        <v>44232</v>
      </c>
      <c r="J1121">
        <f>YEAR(I1121)</f>
        <v>2021</v>
      </c>
      <c r="K1121" s="99">
        <v>44240</v>
      </c>
      <c r="L1121" t="s">
        <v>8297</v>
      </c>
      <c r="M1121" t="s">
        <v>8298</v>
      </c>
    </row>
    <row r="1122" spans="2:13" x14ac:dyDescent="0.2">
      <c r="B1122">
        <v>11360</v>
      </c>
      <c r="C1122" t="s">
        <v>8253</v>
      </c>
      <c r="D1122" t="s">
        <v>8254</v>
      </c>
      <c r="E1122" s="225">
        <v>268.39</v>
      </c>
      <c r="F1122" t="s">
        <v>8756</v>
      </c>
      <c r="G1122" t="s">
        <v>8755</v>
      </c>
      <c r="H1122" t="s">
        <v>8701</v>
      </c>
      <c r="I1122" s="99">
        <v>44258</v>
      </c>
      <c r="J1122">
        <f>YEAR(I1122)</f>
        <v>2021</v>
      </c>
      <c r="K1122" s="99">
        <v>44265</v>
      </c>
      <c r="L1122" t="s">
        <v>8257</v>
      </c>
      <c r="M1122" t="s">
        <v>6984</v>
      </c>
    </row>
    <row r="1123" spans="2:13" x14ac:dyDescent="0.2">
      <c r="B1123">
        <v>11360</v>
      </c>
      <c r="C1123" t="s">
        <v>8280</v>
      </c>
      <c r="D1123" t="s">
        <v>8262</v>
      </c>
      <c r="E1123" s="225">
        <v>872.5</v>
      </c>
      <c r="F1123" t="s">
        <v>8756</v>
      </c>
      <c r="G1123" t="s">
        <v>8755</v>
      </c>
      <c r="H1123" t="s">
        <v>8701</v>
      </c>
      <c r="I1123" s="99">
        <v>44258</v>
      </c>
      <c r="J1123">
        <f>YEAR(I1123)</f>
        <v>2021</v>
      </c>
      <c r="K1123" s="99">
        <v>44265</v>
      </c>
      <c r="L1123" t="s">
        <v>8257</v>
      </c>
      <c r="M1123" t="s">
        <v>6984</v>
      </c>
    </row>
    <row r="1124" spans="2:13" x14ac:dyDescent="0.2">
      <c r="B1124">
        <v>11360</v>
      </c>
      <c r="C1124" t="s">
        <v>8309</v>
      </c>
      <c r="D1124" t="s">
        <v>8237</v>
      </c>
      <c r="E1124" s="225">
        <v>175</v>
      </c>
      <c r="F1124" t="s">
        <v>8756</v>
      </c>
      <c r="G1124" t="s">
        <v>8755</v>
      </c>
      <c r="H1124" t="s">
        <v>8701</v>
      </c>
      <c r="I1124" s="99">
        <v>44258</v>
      </c>
      <c r="J1124">
        <f>YEAR(I1124)</f>
        <v>2021</v>
      </c>
      <c r="K1124" s="99">
        <v>44265</v>
      </c>
      <c r="L1124" t="s">
        <v>8257</v>
      </c>
      <c r="M1124" t="s">
        <v>6984</v>
      </c>
    </row>
    <row r="1125" spans="2:13" x14ac:dyDescent="0.2">
      <c r="B1125">
        <v>11360</v>
      </c>
      <c r="C1125" t="s">
        <v>8341</v>
      </c>
      <c r="D1125" t="s">
        <v>8244</v>
      </c>
      <c r="E1125" s="225">
        <v>912</v>
      </c>
      <c r="F1125" t="s">
        <v>8756</v>
      </c>
      <c r="G1125" t="s">
        <v>8755</v>
      </c>
      <c r="H1125" t="s">
        <v>8701</v>
      </c>
      <c r="I1125" s="99">
        <v>44258</v>
      </c>
      <c r="J1125">
        <f>YEAR(I1125)</f>
        <v>2021</v>
      </c>
      <c r="K1125" s="99">
        <v>44265</v>
      </c>
      <c r="L1125" t="s">
        <v>8257</v>
      </c>
      <c r="M1125" t="s">
        <v>6984</v>
      </c>
    </row>
    <row r="1126" spans="2:13" x14ac:dyDescent="0.2">
      <c r="B1126">
        <v>11419</v>
      </c>
      <c r="C1126" t="s">
        <v>8245</v>
      </c>
      <c r="D1126" t="s">
        <v>8247</v>
      </c>
      <c r="E1126" s="225">
        <v>848</v>
      </c>
      <c r="F1126" t="s">
        <v>8756</v>
      </c>
      <c r="G1126" t="s">
        <v>8755</v>
      </c>
      <c r="H1126" t="s">
        <v>8701</v>
      </c>
      <c r="I1126" s="99">
        <v>44309</v>
      </c>
      <c r="J1126">
        <f>YEAR(I1126)</f>
        <v>2021</v>
      </c>
      <c r="K1126" s="99">
        <v>44319</v>
      </c>
      <c r="L1126" t="s">
        <v>8251</v>
      </c>
      <c r="M1126" t="s">
        <v>269</v>
      </c>
    </row>
    <row r="1127" spans="2:13" x14ac:dyDescent="0.2">
      <c r="B1127">
        <v>11446</v>
      </c>
      <c r="C1127" t="s">
        <v>8322</v>
      </c>
      <c r="D1127" t="s">
        <v>8254</v>
      </c>
      <c r="E1127" s="225">
        <v>233.4</v>
      </c>
      <c r="F1127" t="s">
        <v>8756</v>
      </c>
      <c r="G1127" t="s">
        <v>8755</v>
      </c>
      <c r="H1127" t="s">
        <v>8701</v>
      </c>
      <c r="I1127" s="99">
        <v>44340</v>
      </c>
      <c r="J1127">
        <f>YEAR(I1127)</f>
        <v>2021</v>
      </c>
      <c r="K1127" s="99">
        <v>44347</v>
      </c>
      <c r="L1127" t="s">
        <v>8320</v>
      </c>
      <c r="M1127" t="s">
        <v>8321</v>
      </c>
    </row>
    <row r="1128" spans="2:13" x14ac:dyDescent="0.2">
      <c r="B1128">
        <v>11446</v>
      </c>
      <c r="C1128" t="s">
        <v>8409</v>
      </c>
      <c r="D1128" t="s">
        <v>8254</v>
      </c>
      <c r="E1128" s="225">
        <v>171</v>
      </c>
      <c r="F1128" t="s">
        <v>8756</v>
      </c>
      <c r="G1128" t="s">
        <v>8755</v>
      </c>
      <c r="H1128" t="s">
        <v>8701</v>
      </c>
      <c r="I1128" s="99">
        <v>44340</v>
      </c>
      <c r="J1128">
        <f>YEAR(I1128)</f>
        <v>2021</v>
      </c>
      <c r="K1128" s="99">
        <v>44347</v>
      </c>
      <c r="L1128" t="s">
        <v>8320</v>
      </c>
      <c r="M1128" t="s">
        <v>8321</v>
      </c>
    </row>
    <row r="1129" spans="2:13" x14ac:dyDescent="0.2">
      <c r="B1129">
        <v>11446</v>
      </c>
      <c r="C1129" t="s">
        <v>8368</v>
      </c>
      <c r="D1129" t="s">
        <v>8262</v>
      </c>
      <c r="E1129" s="225">
        <v>135</v>
      </c>
      <c r="F1129" t="s">
        <v>8756</v>
      </c>
      <c r="G1129" t="s">
        <v>8755</v>
      </c>
      <c r="H1129" t="s">
        <v>8701</v>
      </c>
      <c r="I1129" s="99">
        <v>44340</v>
      </c>
      <c r="J1129">
        <f>YEAR(I1129)</f>
        <v>2021</v>
      </c>
      <c r="K1129" s="99">
        <v>44347</v>
      </c>
      <c r="L1129" t="s">
        <v>8320</v>
      </c>
      <c r="M1129" t="s">
        <v>8321</v>
      </c>
    </row>
    <row r="1130" spans="2:13" x14ac:dyDescent="0.2">
      <c r="B1130">
        <v>10260</v>
      </c>
      <c r="C1130" t="s">
        <v>8288</v>
      </c>
      <c r="D1130" t="s">
        <v>8272</v>
      </c>
      <c r="E1130" s="225">
        <v>189</v>
      </c>
      <c r="F1130" t="s">
        <v>8289</v>
      </c>
      <c r="G1130" t="s">
        <v>8290</v>
      </c>
      <c r="H1130" t="s">
        <v>8246</v>
      </c>
      <c r="I1130" s="99">
        <v>43501</v>
      </c>
      <c r="J1130">
        <f>YEAR(I1130)</f>
        <v>2019</v>
      </c>
      <c r="K1130" s="99">
        <v>43511</v>
      </c>
      <c r="L1130" t="s">
        <v>8266</v>
      </c>
      <c r="M1130" t="s">
        <v>8267</v>
      </c>
    </row>
    <row r="1131" spans="2:13" x14ac:dyDescent="0.2">
      <c r="B1131">
        <v>10260</v>
      </c>
      <c r="C1131" t="s">
        <v>8291</v>
      </c>
      <c r="D1131" t="s">
        <v>8262</v>
      </c>
      <c r="E1131" s="225">
        <v>443.25</v>
      </c>
      <c r="F1131" t="s">
        <v>8289</v>
      </c>
      <c r="G1131" t="s">
        <v>8290</v>
      </c>
      <c r="H1131" t="s">
        <v>8246</v>
      </c>
      <c r="I1131" s="99">
        <v>43501</v>
      </c>
      <c r="J1131">
        <f>YEAR(I1131)</f>
        <v>2019</v>
      </c>
      <c r="K1131" s="99">
        <v>43511</v>
      </c>
      <c r="L1131" t="s">
        <v>8266</v>
      </c>
      <c r="M1131" t="s">
        <v>8267</v>
      </c>
    </row>
    <row r="1132" spans="2:13" x14ac:dyDescent="0.2">
      <c r="B1132">
        <v>10260</v>
      </c>
      <c r="C1132" t="s">
        <v>8258</v>
      </c>
      <c r="D1132" t="s">
        <v>8244</v>
      </c>
      <c r="E1132" s="225">
        <v>780</v>
      </c>
      <c r="F1132" t="s">
        <v>8289</v>
      </c>
      <c r="G1132" t="s">
        <v>8290</v>
      </c>
      <c r="H1132" t="s">
        <v>8246</v>
      </c>
      <c r="I1132" s="99">
        <v>43501</v>
      </c>
      <c r="J1132">
        <f>YEAR(I1132)</f>
        <v>2019</v>
      </c>
      <c r="K1132" s="99">
        <v>43511</v>
      </c>
      <c r="L1132" t="s">
        <v>8266</v>
      </c>
      <c r="M1132" t="s">
        <v>8267</v>
      </c>
    </row>
    <row r="1133" spans="2:13" x14ac:dyDescent="0.2">
      <c r="B1133">
        <v>10407</v>
      </c>
      <c r="C1133" t="s">
        <v>8242</v>
      </c>
      <c r="D1133" t="s">
        <v>8237</v>
      </c>
      <c r="E1133" s="225">
        <v>504</v>
      </c>
      <c r="F1133" t="s">
        <v>8289</v>
      </c>
      <c r="G1133" t="s">
        <v>8290</v>
      </c>
      <c r="H1133" t="s">
        <v>8246</v>
      </c>
      <c r="I1133" s="99">
        <v>43673</v>
      </c>
      <c r="J1133">
        <f>YEAR(I1133)</f>
        <v>2019</v>
      </c>
      <c r="K1133" s="99">
        <v>43696</v>
      </c>
      <c r="L1133" t="s">
        <v>8297</v>
      </c>
      <c r="M1133" t="s">
        <v>8298</v>
      </c>
    </row>
    <row r="1134" spans="2:13" x14ac:dyDescent="0.2">
      <c r="B1134">
        <v>10407</v>
      </c>
      <c r="C1134" t="s">
        <v>8353</v>
      </c>
      <c r="D1134" t="s">
        <v>8237</v>
      </c>
      <c r="E1134" s="225">
        <v>432</v>
      </c>
      <c r="F1134" t="s">
        <v>8289</v>
      </c>
      <c r="G1134" t="s">
        <v>8290</v>
      </c>
      <c r="H1134" t="s">
        <v>8246</v>
      </c>
      <c r="I1134" s="99">
        <v>43673</v>
      </c>
      <c r="J1134">
        <f>YEAR(I1134)</f>
        <v>2019</v>
      </c>
      <c r="K1134" s="99">
        <v>43696</v>
      </c>
      <c r="L1134" t="s">
        <v>8297</v>
      </c>
      <c r="M1134" t="s">
        <v>8298</v>
      </c>
    </row>
    <row r="1135" spans="2:13" x14ac:dyDescent="0.2">
      <c r="B1135">
        <v>10407</v>
      </c>
      <c r="C1135" t="s">
        <v>8310</v>
      </c>
      <c r="D1135" t="s">
        <v>8237</v>
      </c>
      <c r="E1135" s="225">
        <v>258</v>
      </c>
      <c r="F1135" t="s">
        <v>8289</v>
      </c>
      <c r="G1135" t="s">
        <v>8290</v>
      </c>
      <c r="H1135" t="s">
        <v>8246</v>
      </c>
      <c r="I1135" s="99">
        <v>43673</v>
      </c>
      <c r="J1135">
        <f>YEAR(I1135)</f>
        <v>2019</v>
      </c>
      <c r="K1135" s="99">
        <v>43696</v>
      </c>
      <c r="L1135" t="s">
        <v>8297</v>
      </c>
      <c r="M1135" t="s">
        <v>8298</v>
      </c>
    </row>
    <row r="1136" spans="2:13" x14ac:dyDescent="0.2">
      <c r="B1136">
        <v>10508</v>
      </c>
      <c r="C1136" t="s">
        <v>8342</v>
      </c>
      <c r="D1136" t="s">
        <v>8272</v>
      </c>
      <c r="E1136" s="225">
        <v>180</v>
      </c>
      <c r="F1136" t="s">
        <v>8289</v>
      </c>
      <c r="G1136" t="s">
        <v>8290</v>
      </c>
      <c r="H1136" t="s">
        <v>8246</v>
      </c>
      <c r="I1136" s="99">
        <v>43772</v>
      </c>
      <c r="J1136">
        <f>YEAR(I1136)</f>
        <v>2019</v>
      </c>
      <c r="K1136" s="99">
        <v>43799</v>
      </c>
      <c r="L1136" t="s">
        <v>8285</v>
      </c>
      <c r="M1136" t="s">
        <v>2317</v>
      </c>
    </row>
    <row r="1137" spans="2:13" x14ac:dyDescent="0.2">
      <c r="B1137">
        <v>10554</v>
      </c>
      <c r="C1137" t="s">
        <v>8397</v>
      </c>
      <c r="D1137" t="s">
        <v>8254</v>
      </c>
      <c r="E1137" s="225">
        <v>123.5</v>
      </c>
      <c r="F1137" t="s">
        <v>8289</v>
      </c>
      <c r="G1137" t="s">
        <v>8290</v>
      </c>
      <c r="H1137" t="s">
        <v>8246</v>
      </c>
      <c r="I1137" s="99">
        <v>43816</v>
      </c>
      <c r="J1137">
        <f>YEAR(I1137)</f>
        <v>2019</v>
      </c>
      <c r="K1137" s="99">
        <v>43822</v>
      </c>
      <c r="L1137" t="s">
        <v>8266</v>
      </c>
      <c r="M1137" t="s">
        <v>8267</v>
      </c>
    </row>
    <row r="1138" spans="2:13" x14ac:dyDescent="0.2">
      <c r="B1138">
        <v>10554</v>
      </c>
      <c r="C1138" t="s">
        <v>8280</v>
      </c>
      <c r="D1138" t="s">
        <v>8262</v>
      </c>
      <c r="E1138" s="225">
        <v>497.32</v>
      </c>
      <c r="F1138" t="s">
        <v>8289</v>
      </c>
      <c r="G1138" t="s">
        <v>8290</v>
      </c>
      <c r="H1138" t="s">
        <v>8246</v>
      </c>
      <c r="I1138" s="99">
        <v>43816</v>
      </c>
      <c r="J1138">
        <f>YEAR(I1138)</f>
        <v>2019</v>
      </c>
      <c r="K1138" s="99">
        <v>43822</v>
      </c>
      <c r="L1138" t="s">
        <v>8266</v>
      </c>
      <c r="M1138" t="s">
        <v>8267</v>
      </c>
    </row>
    <row r="1139" spans="2:13" x14ac:dyDescent="0.2">
      <c r="B1139">
        <v>10554</v>
      </c>
      <c r="C1139" t="s">
        <v>8291</v>
      </c>
      <c r="D1139" t="s">
        <v>8262</v>
      </c>
      <c r="E1139" s="225">
        <v>936.7</v>
      </c>
      <c r="F1139" t="s">
        <v>8289</v>
      </c>
      <c r="G1139" t="s">
        <v>8290</v>
      </c>
      <c r="H1139" t="s">
        <v>8246</v>
      </c>
      <c r="I1139" s="99">
        <v>43816</v>
      </c>
      <c r="J1139">
        <f>YEAR(I1139)</f>
        <v>2019</v>
      </c>
      <c r="K1139" s="99">
        <v>43822</v>
      </c>
      <c r="L1139" t="s">
        <v>8266</v>
      </c>
      <c r="M1139" t="s">
        <v>8267</v>
      </c>
    </row>
    <row r="1140" spans="2:13" x14ac:dyDescent="0.2">
      <c r="B1140">
        <v>10554</v>
      </c>
      <c r="C1140" t="s">
        <v>8373</v>
      </c>
      <c r="D1140" t="s">
        <v>8244</v>
      </c>
      <c r="E1140" s="225">
        <v>171</v>
      </c>
      <c r="F1140" t="s">
        <v>8289</v>
      </c>
      <c r="G1140" t="s">
        <v>8290</v>
      </c>
      <c r="H1140" t="s">
        <v>8246</v>
      </c>
      <c r="I1140" s="99">
        <v>43816</v>
      </c>
      <c r="J1140">
        <f>YEAR(I1140)</f>
        <v>2019</v>
      </c>
      <c r="K1140" s="99">
        <v>43822</v>
      </c>
      <c r="L1140" t="s">
        <v>8266</v>
      </c>
      <c r="M1140" t="s">
        <v>8267</v>
      </c>
    </row>
    <row r="1141" spans="2:13" x14ac:dyDescent="0.2">
      <c r="B1141">
        <v>10580</v>
      </c>
      <c r="C1141" t="s">
        <v>8253</v>
      </c>
      <c r="D1141" t="s">
        <v>8254</v>
      </c>
      <c r="E1141" s="225">
        <v>599.91999999999996</v>
      </c>
      <c r="F1141" t="s">
        <v>8289</v>
      </c>
      <c r="G1141" t="s">
        <v>8290</v>
      </c>
      <c r="H1141" t="s">
        <v>8246</v>
      </c>
      <c r="I1141" s="99">
        <v>43843</v>
      </c>
      <c r="J1141">
        <f>YEAR(I1141)</f>
        <v>2020</v>
      </c>
      <c r="K1141" s="99">
        <v>43848</v>
      </c>
      <c r="L1141" t="s">
        <v>8266</v>
      </c>
      <c r="M1141" t="s">
        <v>8267</v>
      </c>
    </row>
    <row r="1142" spans="2:13" x14ac:dyDescent="0.2">
      <c r="B1142">
        <v>10580</v>
      </c>
      <c r="C1142" t="s">
        <v>8252</v>
      </c>
      <c r="D1142" t="s">
        <v>8247</v>
      </c>
      <c r="E1142" s="225">
        <v>331.31</v>
      </c>
      <c r="F1142" t="s">
        <v>8289</v>
      </c>
      <c r="G1142" t="s">
        <v>8290</v>
      </c>
      <c r="H1142" t="s">
        <v>8246</v>
      </c>
      <c r="I1142" s="99">
        <v>43843</v>
      </c>
      <c r="J1142">
        <f>YEAR(I1142)</f>
        <v>2020</v>
      </c>
      <c r="K1142" s="99">
        <v>43848</v>
      </c>
      <c r="L1142" t="s">
        <v>8266</v>
      </c>
      <c r="M1142" t="s">
        <v>8267</v>
      </c>
    </row>
    <row r="1143" spans="2:13" x14ac:dyDescent="0.2">
      <c r="B1143">
        <v>10684</v>
      </c>
      <c r="C1143" t="s">
        <v>8410</v>
      </c>
      <c r="D1143" t="s">
        <v>8262</v>
      </c>
      <c r="E1143" s="225">
        <v>380</v>
      </c>
      <c r="F1143" t="s">
        <v>8289</v>
      </c>
      <c r="G1143" t="s">
        <v>8290</v>
      </c>
      <c r="H1143" t="s">
        <v>8246</v>
      </c>
      <c r="I1143" s="99">
        <v>43935</v>
      </c>
      <c r="J1143">
        <f>YEAR(I1143)</f>
        <v>2020</v>
      </c>
      <c r="K1143" s="99">
        <v>43939</v>
      </c>
      <c r="L1143" t="s">
        <v>8257</v>
      </c>
      <c r="M1143" t="s">
        <v>6984</v>
      </c>
    </row>
    <row r="1144" spans="2:13" x14ac:dyDescent="0.2">
      <c r="B1144">
        <v>10684</v>
      </c>
      <c r="C1144" t="s">
        <v>8268</v>
      </c>
      <c r="D1144" t="s">
        <v>8237</v>
      </c>
      <c r="E1144" s="225">
        <v>1020</v>
      </c>
      <c r="F1144" t="s">
        <v>8289</v>
      </c>
      <c r="G1144" t="s">
        <v>8290</v>
      </c>
      <c r="H1144" t="s">
        <v>8246</v>
      </c>
      <c r="I1144" s="99">
        <v>43935</v>
      </c>
      <c r="J1144">
        <f>YEAR(I1144)</f>
        <v>2020</v>
      </c>
      <c r="K1144" s="99">
        <v>43939</v>
      </c>
      <c r="L1144" t="s">
        <v>8257</v>
      </c>
      <c r="M1144" t="s">
        <v>6984</v>
      </c>
    </row>
    <row r="1145" spans="2:13" x14ac:dyDescent="0.2">
      <c r="B1145">
        <v>10766</v>
      </c>
      <c r="C1145" t="s">
        <v>8276</v>
      </c>
      <c r="D1145" t="s">
        <v>8272</v>
      </c>
      <c r="E1145" s="225">
        <v>760</v>
      </c>
      <c r="F1145" t="s">
        <v>8289</v>
      </c>
      <c r="G1145" t="s">
        <v>8290</v>
      </c>
      <c r="H1145" t="s">
        <v>8246</v>
      </c>
      <c r="I1145" s="99">
        <v>44005</v>
      </c>
      <c r="J1145">
        <f>YEAR(I1145)</f>
        <v>2020</v>
      </c>
      <c r="K1145" s="99">
        <v>44009</v>
      </c>
      <c r="L1145" t="s">
        <v>8266</v>
      </c>
      <c r="M1145" t="s">
        <v>8267</v>
      </c>
    </row>
    <row r="1146" spans="2:13" x14ac:dyDescent="0.2">
      <c r="B1146">
        <v>10766</v>
      </c>
      <c r="C1146" t="s">
        <v>8334</v>
      </c>
      <c r="D1146" t="s">
        <v>8262</v>
      </c>
      <c r="E1146" s="225">
        <v>500</v>
      </c>
      <c r="F1146" t="s">
        <v>8289</v>
      </c>
      <c r="G1146" t="s">
        <v>8290</v>
      </c>
      <c r="H1146" t="s">
        <v>8246</v>
      </c>
      <c r="I1146" s="99">
        <v>44005</v>
      </c>
      <c r="J1146">
        <f>YEAR(I1146)</f>
        <v>2020</v>
      </c>
      <c r="K1146" s="99">
        <v>44009</v>
      </c>
      <c r="L1146" t="s">
        <v>8266</v>
      </c>
      <c r="M1146" t="s">
        <v>8267</v>
      </c>
    </row>
    <row r="1147" spans="2:13" x14ac:dyDescent="0.2">
      <c r="B1147">
        <v>10766</v>
      </c>
      <c r="C1147" t="s">
        <v>8415</v>
      </c>
      <c r="D1147" t="s">
        <v>8247</v>
      </c>
      <c r="E1147" s="225">
        <v>1050</v>
      </c>
      <c r="F1147" t="s">
        <v>8289</v>
      </c>
      <c r="G1147" t="s">
        <v>8290</v>
      </c>
      <c r="H1147" t="s">
        <v>8246</v>
      </c>
      <c r="I1147" s="99">
        <v>44005</v>
      </c>
      <c r="J1147">
        <f>YEAR(I1147)</f>
        <v>2020</v>
      </c>
      <c r="K1147" s="99">
        <v>44009</v>
      </c>
      <c r="L1147" t="s">
        <v>8266</v>
      </c>
      <c r="M1147" t="s">
        <v>8267</v>
      </c>
    </row>
    <row r="1148" spans="2:13" x14ac:dyDescent="0.2">
      <c r="B1148">
        <v>10833</v>
      </c>
      <c r="C1148" t="s">
        <v>8309</v>
      </c>
      <c r="D1148" t="s">
        <v>8237</v>
      </c>
      <c r="E1148" s="225">
        <v>101.25</v>
      </c>
      <c r="F1148" t="s">
        <v>8289</v>
      </c>
      <c r="G1148" t="s">
        <v>8290</v>
      </c>
      <c r="H1148" t="s">
        <v>8246</v>
      </c>
      <c r="I1148" s="99">
        <v>44046</v>
      </c>
      <c r="J1148">
        <f>YEAR(I1148)</f>
        <v>2020</v>
      </c>
      <c r="K1148" s="99">
        <v>44054</v>
      </c>
      <c r="L1148" t="s">
        <v>8251</v>
      </c>
      <c r="M1148" t="s">
        <v>269</v>
      </c>
    </row>
    <row r="1149" spans="2:13" x14ac:dyDescent="0.2">
      <c r="B1149">
        <v>10833</v>
      </c>
      <c r="C1149" t="s">
        <v>8415</v>
      </c>
      <c r="D1149" t="s">
        <v>8247</v>
      </c>
      <c r="E1149" s="225">
        <v>540</v>
      </c>
      <c r="F1149" t="s">
        <v>8289</v>
      </c>
      <c r="G1149" t="s">
        <v>8290</v>
      </c>
      <c r="H1149" t="s">
        <v>8246</v>
      </c>
      <c r="I1149" s="99">
        <v>44046</v>
      </c>
      <c r="J1149">
        <f>YEAR(I1149)</f>
        <v>2020</v>
      </c>
      <c r="K1149" s="99">
        <v>44054</v>
      </c>
      <c r="L1149" t="s">
        <v>8251</v>
      </c>
      <c r="M1149" t="s">
        <v>269</v>
      </c>
    </row>
    <row r="1150" spans="2:13" x14ac:dyDescent="0.2">
      <c r="B1150">
        <v>10999</v>
      </c>
      <c r="C1150" t="s">
        <v>8397</v>
      </c>
      <c r="D1150" t="s">
        <v>8254</v>
      </c>
      <c r="E1150" s="225">
        <v>259.35000000000002</v>
      </c>
      <c r="F1150" t="s">
        <v>8289</v>
      </c>
      <c r="G1150" t="s">
        <v>8290</v>
      </c>
      <c r="H1150" t="s">
        <v>8246</v>
      </c>
      <c r="I1150" s="99">
        <v>44123</v>
      </c>
      <c r="J1150">
        <f>YEAR(I1150)</f>
        <v>2020</v>
      </c>
      <c r="K1150" s="99">
        <v>44130</v>
      </c>
      <c r="L1150" t="s">
        <v>8251</v>
      </c>
      <c r="M1150" t="s">
        <v>269</v>
      </c>
    </row>
    <row r="1151" spans="2:13" x14ac:dyDescent="0.2">
      <c r="B1151">
        <v>10999</v>
      </c>
      <c r="C1151" t="s">
        <v>8245</v>
      </c>
      <c r="D1151" t="s">
        <v>8247</v>
      </c>
      <c r="E1151" s="225">
        <v>755.25</v>
      </c>
      <c r="F1151" t="s">
        <v>8289</v>
      </c>
      <c r="G1151" t="s">
        <v>8290</v>
      </c>
      <c r="H1151" t="s">
        <v>8246</v>
      </c>
      <c r="I1151" s="99">
        <v>44123</v>
      </c>
      <c r="J1151">
        <f>YEAR(I1151)</f>
        <v>2020</v>
      </c>
      <c r="K1151" s="99">
        <v>44130</v>
      </c>
      <c r="L1151" t="s">
        <v>8251</v>
      </c>
      <c r="M1151" t="s">
        <v>269</v>
      </c>
    </row>
    <row r="1152" spans="2:13" x14ac:dyDescent="0.2">
      <c r="B1152">
        <v>10322</v>
      </c>
      <c r="C1152" t="s">
        <v>8369</v>
      </c>
      <c r="D1152" t="s">
        <v>8244</v>
      </c>
      <c r="E1152" s="225">
        <v>112</v>
      </c>
      <c r="F1152" t="s">
        <v>8706</v>
      </c>
      <c r="G1152" t="s">
        <v>8705</v>
      </c>
      <c r="H1152" t="s">
        <v>8704</v>
      </c>
      <c r="I1152" s="99">
        <v>43578</v>
      </c>
      <c r="J1152">
        <f>YEAR(I1152)</f>
        <v>2019</v>
      </c>
      <c r="K1152" s="99">
        <v>43597</v>
      </c>
      <c r="L1152" t="s">
        <v>8158</v>
      </c>
      <c r="M1152" t="s">
        <v>861</v>
      </c>
    </row>
    <row r="1153" spans="2:13" x14ac:dyDescent="0.2">
      <c r="B1153">
        <v>10354</v>
      </c>
      <c r="C1153" t="s">
        <v>8333</v>
      </c>
      <c r="D1153" t="s">
        <v>8272</v>
      </c>
      <c r="E1153" s="225">
        <v>172.8</v>
      </c>
      <c r="F1153" t="s">
        <v>8706</v>
      </c>
      <c r="G1153" t="s">
        <v>8705</v>
      </c>
      <c r="H1153" t="s">
        <v>8704</v>
      </c>
      <c r="I1153" s="99">
        <v>43619</v>
      </c>
      <c r="J1153">
        <f>YEAR(I1153)</f>
        <v>2019</v>
      </c>
      <c r="K1153" s="99">
        <v>43625</v>
      </c>
      <c r="L1153" t="s">
        <v>8320</v>
      </c>
      <c r="M1153" t="s">
        <v>8321</v>
      </c>
    </row>
    <row r="1154" spans="2:13" x14ac:dyDescent="0.2">
      <c r="B1154">
        <v>10474</v>
      </c>
      <c r="C1154" t="s">
        <v>8328</v>
      </c>
      <c r="D1154" t="s">
        <v>8272</v>
      </c>
      <c r="E1154" s="225">
        <v>62</v>
      </c>
      <c r="F1154" t="s">
        <v>8706</v>
      </c>
      <c r="G1154" t="s">
        <v>8705</v>
      </c>
      <c r="H1154" t="s">
        <v>8704</v>
      </c>
      <c r="I1154" s="99">
        <v>43738</v>
      </c>
      <c r="J1154">
        <f>YEAR(I1154)</f>
        <v>2019</v>
      </c>
      <c r="K1154" s="99">
        <v>43746</v>
      </c>
      <c r="L1154" t="s">
        <v>8241</v>
      </c>
      <c r="M1154" t="s">
        <v>6934</v>
      </c>
    </row>
    <row r="1155" spans="2:13" x14ac:dyDescent="0.2">
      <c r="B1155">
        <v>10474</v>
      </c>
      <c r="C1155" t="s">
        <v>8252</v>
      </c>
      <c r="D1155" t="s">
        <v>8247</v>
      </c>
      <c r="E1155" s="225">
        <v>223.2</v>
      </c>
      <c r="F1155" t="s">
        <v>8706</v>
      </c>
      <c r="G1155" t="s">
        <v>8705</v>
      </c>
      <c r="H1155" t="s">
        <v>8704</v>
      </c>
      <c r="I1155" s="99">
        <v>43738</v>
      </c>
      <c r="J1155">
        <f>YEAR(I1155)</f>
        <v>2019</v>
      </c>
      <c r="K1155" s="99">
        <v>43746</v>
      </c>
      <c r="L1155" t="s">
        <v>8241</v>
      </c>
      <c r="M1155" t="s">
        <v>6934</v>
      </c>
    </row>
    <row r="1156" spans="2:13" x14ac:dyDescent="0.2">
      <c r="B1156">
        <v>10474</v>
      </c>
      <c r="C1156" t="s">
        <v>8316</v>
      </c>
      <c r="D1156" t="s">
        <v>8247</v>
      </c>
      <c r="E1156" s="225">
        <v>655.20000000000005</v>
      </c>
      <c r="F1156" t="s">
        <v>8706</v>
      </c>
      <c r="G1156" t="s">
        <v>8705</v>
      </c>
      <c r="H1156" t="s">
        <v>8704</v>
      </c>
      <c r="I1156" s="99">
        <v>43738</v>
      </c>
      <c r="J1156">
        <f>YEAR(I1156)</f>
        <v>2019</v>
      </c>
      <c r="K1156" s="99">
        <v>43746</v>
      </c>
      <c r="L1156" t="s">
        <v>8241</v>
      </c>
      <c r="M1156" t="s">
        <v>6934</v>
      </c>
    </row>
    <row r="1157" spans="2:13" x14ac:dyDescent="0.2">
      <c r="B1157">
        <v>10502</v>
      </c>
      <c r="C1157" t="s">
        <v>8329</v>
      </c>
      <c r="D1157" t="s">
        <v>8272</v>
      </c>
      <c r="E1157" s="225">
        <v>420</v>
      </c>
      <c r="F1157" t="s">
        <v>8706</v>
      </c>
      <c r="G1157" t="s">
        <v>8705</v>
      </c>
      <c r="H1157" t="s">
        <v>8704</v>
      </c>
      <c r="I1157" s="99">
        <v>43766</v>
      </c>
      <c r="J1157">
        <f>YEAR(I1157)</f>
        <v>2019</v>
      </c>
      <c r="K1157" s="99">
        <v>43785</v>
      </c>
      <c r="L1157" t="s">
        <v>8297</v>
      </c>
      <c r="M1157" t="s">
        <v>8298</v>
      </c>
    </row>
    <row r="1158" spans="2:13" x14ac:dyDescent="0.2">
      <c r="B1158">
        <v>10995</v>
      </c>
      <c r="C1158" t="s">
        <v>8268</v>
      </c>
      <c r="D1158" t="s">
        <v>8237</v>
      </c>
      <c r="E1158" s="225">
        <v>136</v>
      </c>
      <c r="F1158" t="s">
        <v>8706</v>
      </c>
      <c r="G1158" t="s">
        <v>8705</v>
      </c>
      <c r="H1158" t="s">
        <v>8704</v>
      </c>
      <c r="I1158" s="99">
        <v>44122</v>
      </c>
      <c r="J1158">
        <f>YEAR(I1158)</f>
        <v>2020</v>
      </c>
      <c r="K1158" s="99">
        <v>44126</v>
      </c>
      <c r="L1158" t="s">
        <v>8285</v>
      </c>
      <c r="M1158" t="s">
        <v>2317</v>
      </c>
    </row>
    <row r="1159" spans="2:13" x14ac:dyDescent="0.2">
      <c r="B1159">
        <v>10995</v>
      </c>
      <c r="C1159" t="s">
        <v>8245</v>
      </c>
      <c r="D1159" t="s">
        <v>8247</v>
      </c>
      <c r="E1159" s="225">
        <v>1060</v>
      </c>
      <c r="F1159" t="s">
        <v>8706</v>
      </c>
      <c r="G1159" t="s">
        <v>8705</v>
      </c>
      <c r="H1159" t="s">
        <v>8704</v>
      </c>
      <c r="I1159" s="99">
        <v>44122</v>
      </c>
      <c r="J1159">
        <f>YEAR(I1159)</f>
        <v>2020</v>
      </c>
      <c r="K1159" s="99">
        <v>44126</v>
      </c>
      <c r="L1159" t="s">
        <v>8285</v>
      </c>
      <c r="M1159" t="s">
        <v>2317</v>
      </c>
    </row>
    <row r="1160" spans="2:13" x14ac:dyDescent="0.2">
      <c r="B1160">
        <v>11073</v>
      </c>
      <c r="C1160" t="s">
        <v>8270</v>
      </c>
      <c r="D1160" t="s">
        <v>8272</v>
      </c>
      <c r="E1160" s="225">
        <v>90</v>
      </c>
      <c r="F1160" t="s">
        <v>8706</v>
      </c>
      <c r="G1160" t="s">
        <v>8705</v>
      </c>
      <c r="H1160" t="s">
        <v>8704</v>
      </c>
      <c r="I1160" s="99">
        <v>44155</v>
      </c>
      <c r="J1160">
        <f>YEAR(I1160)</f>
        <v>2020</v>
      </c>
      <c r="L1160" t="s">
        <v>8297</v>
      </c>
      <c r="M1160" t="s">
        <v>8298</v>
      </c>
    </row>
    <row r="1161" spans="2:13" x14ac:dyDescent="0.2">
      <c r="B1161">
        <v>11073</v>
      </c>
      <c r="C1161" t="s">
        <v>8242</v>
      </c>
      <c r="D1161" t="s">
        <v>8237</v>
      </c>
      <c r="E1161" s="225">
        <v>210</v>
      </c>
      <c r="F1161" t="s">
        <v>8706</v>
      </c>
      <c r="G1161" t="s">
        <v>8705</v>
      </c>
      <c r="H1161" t="s">
        <v>8704</v>
      </c>
      <c r="I1161" s="99">
        <v>44155</v>
      </c>
      <c r="J1161">
        <f>YEAR(I1161)</f>
        <v>2020</v>
      </c>
      <c r="L1161" t="s">
        <v>8297</v>
      </c>
      <c r="M1161" t="s">
        <v>8298</v>
      </c>
    </row>
    <row r="1162" spans="2:13" x14ac:dyDescent="0.2">
      <c r="B1162">
        <v>10353</v>
      </c>
      <c r="C1162" t="s">
        <v>8380</v>
      </c>
      <c r="D1162" t="s">
        <v>8272</v>
      </c>
      <c r="E1162" s="225">
        <v>8432</v>
      </c>
      <c r="F1162" t="s">
        <v>8384</v>
      </c>
      <c r="G1162" t="s">
        <v>8385</v>
      </c>
      <c r="H1162" t="s">
        <v>8282</v>
      </c>
      <c r="I1162" s="99">
        <v>43618</v>
      </c>
      <c r="J1162">
        <f>YEAR(I1162)</f>
        <v>2019</v>
      </c>
      <c r="K1162" s="99">
        <v>43630</v>
      </c>
      <c r="L1162" t="s">
        <v>8158</v>
      </c>
      <c r="M1162" t="s">
        <v>861</v>
      </c>
    </row>
    <row r="1163" spans="2:13" x14ac:dyDescent="0.2">
      <c r="B1163">
        <v>10353</v>
      </c>
      <c r="C1163" t="s">
        <v>8242</v>
      </c>
      <c r="D1163" t="s">
        <v>8237</v>
      </c>
      <c r="E1163" s="225">
        <v>161.28</v>
      </c>
      <c r="F1163" t="s">
        <v>8384</v>
      </c>
      <c r="G1163" t="s">
        <v>8385</v>
      </c>
      <c r="H1163" t="s">
        <v>8282</v>
      </c>
      <c r="I1163" s="99">
        <v>43618</v>
      </c>
      <c r="J1163">
        <f>YEAR(I1163)</f>
        <v>2019</v>
      </c>
      <c r="K1163" s="99">
        <v>43630</v>
      </c>
      <c r="L1163" t="s">
        <v>8158</v>
      </c>
      <c r="M1163" t="s">
        <v>861</v>
      </c>
    </row>
    <row r="1164" spans="2:13" x14ac:dyDescent="0.2">
      <c r="B1164">
        <v>10392</v>
      </c>
      <c r="C1164" t="s">
        <v>8353</v>
      </c>
      <c r="D1164" t="s">
        <v>8237</v>
      </c>
      <c r="E1164" s="225">
        <v>1440</v>
      </c>
      <c r="F1164" t="s">
        <v>8384</v>
      </c>
      <c r="G1164" t="s">
        <v>8385</v>
      </c>
      <c r="H1164" t="s">
        <v>8282</v>
      </c>
      <c r="I1164" s="99">
        <v>43659</v>
      </c>
      <c r="J1164">
        <f>YEAR(I1164)</f>
        <v>2019</v>
      </c>
      <c r="K1164" s="99">
        <v>43667</v>
      </c>
      <c r="L1164" t="s">
        <v>8297</v>
      </c>
      <c r="M1164" t="s">
        <v>8298</v>
      </c>
    </row>
    <row r="1165" spans="2:13" x14ac:dyDescent="0.2">
      <c r="B1165">
        <v>10427</v>
      </c>
      <c r="C1165" t="s">
        <v>8252</v>
      </c>
      <c r="D1165" t="s">
        <v>8247</v>
      </c>
      <c r="E1165" s="225">
        <v>651</v>
      </c>
      <c r="F1165" t="s">
        <v>8384</v>
      </c>
      <c r="G1165" t="s">
        <v>8385</v>
      </c>
      <c r="H1165" t="s">
        <v>8282</v>
      </c>
      <c r="I1165" s="99">
        <v>43693</v>
      </c>
      <c r="J1165">
        <f>YEAR(I1165)</f>
        <v>2019</v>
      </c>
      <c r="K1165" s="99">
        <v>43728</v>
      </c>
      <c r="L1165" t="s">
        <v>8266</v>
      </c>
      <c r="M1165" t="s">
        <v>8267</v>
      </c>
    </row>
    <row r="1166" spans="2:13" x14ac:dyDescent="0.2">
      <c r="B1166">
        <v>10489</v>
      </c>
      <c r="C1166" t="s">
        <v>8280</v>
      </c>
      <c r="D1166" t="s">
        <v>8262</v>
      </c>
      <c r="E1166" s="225">
        <v>250.2</v>
      </c>
      <c r="F1166" t="s">
        <v>8384</v>
      </c>
      <c r="G1166" t="s">
        <v>8385</v>
      </c>
      <c r="H1166" t="s">
        <v>8282</v>
      </c>
      <c r="I1166" s="99">
        <v>43753</v>
      </c>
      <c r="J1166">
        <f>YEAR(I1166)</f>
        <v>2019</v>
      </c>
      <c r="K1166" s="99">
        <v>43765</v>
      </c>
      <c r="L1166" t="s">
        <v>8251</v>
      </c>
      <c r="M1166" t="s">
        <v>269</v>
      </c>
    </row>
    <row r="1167" spans="2:13" x14ac:dyDescent="0.2">
      <c r="B1167">
        <v>10489</v>
      </c>
      <c r="C1167" t="s">
        <v>8242</v>
      </c>
      <c r="D1167" t="s">
        <v>8237</v>
      </c>
      <c r="E1167" s="225">
        <v>189</v>
      </c>
      <c r="F1167" t="s">
        <v>8384</v>
      </c>
      <c r="G1167" t="s">
        <v>8385</v>
      </c>
      <c r="H1167" t="s">
        <v>8282</v>
      </c>
      <c r="I1167" s="99">
        <v>43753</v>
      </c>
      <c r="J1167">
        <f>YEAR(I1167)</f>
        <v>2019</v>
      </c>
      <c r="K1167" s="99">
        <v>43765</v>
      </c>
      <c r="L1167" t="s">
        <v>8251</v>
      </c>
      <c r="M1167" t="s">
        <v>269</v>
      </c>
    </row>
    <row r="1168" spans="2:13" x14ac:dyDescent="0.2">
      <c r="B1168">
        <v>10530</v>
      </c>
      <c r="C1168" t="s">
        <v>8306</v>
      </c>
      <c r="D1168" t="s">
        <v>8272</v>
      </c>
      <c r="E1168" s="225">
        <v>1150</v>
      </c>
      <c r="F1168" t="s">
        <v>8384</v>
      </c>
      <c r="G1168" t="s">
        <v>8385</v>
      </c>
      <c r="H1168" t="s">
        <v>8282</v>
      </c>
      <c r="I1168" s="99">
        <v>43794</v>
      </c>
      <c r="J1168">
        <f>YEAR(I1168)</f>
        <v>2019</v>
      </c>
      <c r="K1168" s="99">
        <v>43798</v>
      </c>
      <c r="L1168" t="s">
        <v>8257</v>
      </c>
      <c r="M1168" t="s">
        <v>6984</v>
      </c>
    </row>
    <row r="1169" spans="2:13" x14ac:dyDescent="0.2">
      <c r="B1169">
        <v>10530</v>
      </c>
      <c r="C1169" t="s">
        <v>8303</v>
      </c>
      <c r="D1169" t="s">
        <v>8272</v>
      </c>
      <c r="E1169" s="225">
        <v>900</v>
      </c>
      <c r="F1169" t="s">
        <v>8384</v>
      </c>
      <c r="G1169" t="s">
        <v>8385</v>
      </c>
      <c r="H1169" t="s">
        <v>8282</v>
      </c>
      <c r="I1169" s="99">
        <v>43794</v>
      </c>
      <c r="J1169">
        <f>YEAR(I1169)</f>
        <v>2019</v>
      </c>
      <c r="K1169" s="99">
        <v>43798</v>
      </c>
      <c r="L1169" t="s">
        <v>8257</v>
      </c>
      <c r="M1169" t="s">
        <v>6984</v>
      </c>
    </row>
    <row r="1170" spans="2:13" x14ac:dyDescent="0.2">
      <c r="B1170">
        <v>10530</v>
      </c>
      <c r="C1170" t="s">
        <v>8409</v>
      </c>
      <c r="D1170" t="s">
        <v>8254</v>
      </c>
      <c r="E1170" s="225">
        <v>570</v>
      </c>
      <c r="F1170" t="s">
        <v>8384</v>
      </c>
      <c r="G1170" t="s">
        <v>8385</v>
      </c>
      <c r="H1170" t="s">
        <v>8282</v>
      </c>
      <c r="I1170" s="99">
        <v>43794</v>
      </c>
      <c r="J1170">
        <f>YEAR(I1170)</f>
        <v>2019</v>
      </c>
      <c r="K1170" s="99">
        <v>43798</v>
      </c>
      <c r="L1170" t="s">
        <v>8257</v>
      </c>
      <c r="M1170" t="s">
        <v>6984</v>
      </c>
    </row>
    <row r="1171" spans="2:13" x14ac:dyDescent="0.2">
      <c r="B1171">
        <v>10597</v>
      </c>
      <c r="C1171" t="s">
        <v>8270</v>
      </c>
      <c r="D1171" t="s">
        <v>8272</v>
      </c>
      <c r="E1171" s="225">
        <v>126</v>
      </c>
      <c r="F1171" t="s">
        <v>8384</v>
      </c>
      <c r="G1171" t="s">
        <v>8385</v>
      </c>
      <c r="H1171" t="s">
        <v>8282</v>
      </c>
      <c r="I1171" s="99">
        <v>43858</v>
      </c>
      <c r="J1171">
        <f>YEAR(I1171)</f>
        <v>2020</v>
      </c>
      <c r="K1171" s="99">
        <v>43865</v>
      </c>
      <c r="L1171" t="s">
        <v>8158</v>
      </c>
      <c r="M1171" t="s">
        <v>861</v>
      </c>
    </row>
    <row r="1172" spans="2:13" x14ac:dyDescent="0.2">
      <c r="B1172">
        <v>10597</v>
      </c>
      <c r="C1172" t="s">
        <v>8253</v>
      </c>
      <c r="D1172" t="s">
        <v>8254</v>
      </c>
      <c r="E1172" s="225">
        <v>202.08</v>
      </c>
      <c r="F1172" t="s">
        <v>8384</v>
      </c>
      <c r="G1172" t="s">
        <v>8385</v>
      </c>
      <c r="H1172" t="s">
        <v>8282</v>
      </c>
      <c r="I1172" s="99">
        <v>43858</v>
      </c>
      <c r="J1172">
        <f>YEAR(I1172)</f>
        <v>2020</v>
      </c>
      <c r="K1172" s="99">
        <v>43865</v>
      </c>
      <c r="L1172" t="s">
        <v>8158</v>
      </c>
      <c r="M1172" t="s">
        <v>861</v>
      </c>
    </row>
    <row r="1173" spans="2:13" x14ac:dyDescent="0.2">
      <c r="B1173">
        <v>10597</v>
      </c>
      <c r="C1173" t="s">
        <v>8258</v>
      </c>
      <c r="D1173" t="s">
        <v>8244</v>
      </c>
      <c r="E1173" s="225">
        <v>390</v>
      </c>
      <c r="F1173" t="s">
        <v>8384</v>
      </c>
      <c r="G1173" t="s">
        <v>8385</v>
      </c>
      <c r="H1173" t="s">
        <v>8282</v>
      </c>
      <c r="I1173" s="99">
        <v>43858</v>
      </c>
      <c r="J1173">
        <f>YEAR(I1173)</f>
        <v>2020</v>
      </c>
      <c r="K1173" s="99">
        <v>43865</v>
      </c>
      <c r="L1173" t="s">
        <v>8158</v>
      </c>
      <c r="M1173" t="s">
        <v>861</v>
      </c>
    </row>
    <row r="1174" spans="2:13" x14ac:dyDescent="0.2">
      <c r="B1174">
        <v>10686</v>
      </c>
      <c r="C1174" t="s">
        <v>8372</v>
      </c>
      <c r="D1174" t="s">
        <v>8262</v>
      </c>
      <c r="E1174" s="225">
        <v>468.45</v>
      </c>
      <c r="F1174" t="s">
        <v>8384</v>
      </c>
      <c r="G1174" t="s">
        <v>8385</v>
      </c>
      <c r="H1174" t="s">
        <v>8282</v>
      </c>
      <c r="I1174" s="99">
        <v>43939</v>
      </c>
      <c r="J1174">
        <f>YEAR(I1174)</f>
        <v>2020</v>
      </c>
      <c r="K1174" s="99">
        <v>43947</v>
      </c>
      <c r="L1174" t="s">
        <v>8297</v>
      </c>
      <c r="M1174" t="s">
        <v>8298</v>
      </c>
    </row>
    <row r="1175" spans="2:13" x14ac:dyDescent="0.2">
      <c r="B1175">
        <v>10747</v>
      </c>
      <c r="C1175" t="s">
        <v>8317</v>
      </c>
      <c r="D1175" t="s">
        <v>8254</v>
      </c>
      <c r="E1175" s="225">
        <v>395.1</v>
      </c>
      <c r="F1175" t="s">
        <v>8384</v>
      </c>
      <c r="G1175" t="s">
        <v>8385</v>
      </c>
      <c r="H1175" t="s">
        <v>8282</v>
      </c>
      <c r="I1175" s="99">
        <v>43989</v>
      </c>
      <c r="J1175">
        <f>YEAR(I1175)</f>
        <v>2020</v>
      </c>
      <c r="K1175" s="99">
        <v>43996</v>
      </c>
      <c r="L1175" t="s">
        <v>8251</v>
      </c>
      <c r="M1175" t="s">
        <v>269</v>
      </c>
    </row>
    <row r="1176" spans="2:13" x14ac:dyDescent="0.2">
      <c r="B1176">
        <v>10747</v>
      </c>
      <c r="C1176" t="s">
        <v>8309</v>
      </c>
      <c r="D1176" t="s">
        <v>8237</v>
      </c>
      <c r="E1176" s="225">
        <v>100</v>
      </c>
      <c r="F1176" t="s">
        <v>8384</v>
      </c>
      <c r="G1176" t="s">
        <v>8385</v>
      </c>
      <c r="H1176" t="s">
        <v>8282</v>
      </c>
      <c r="I1176" s="99">
        <v>43989</v>
      </c>
      <c r="J1176">
        <f>YEAR(I1176)</f>
        <v>2020</v>
      </c>
      <c r="K1176" s="99">
        <v>43996</v>
      </c>
      <c r="L1176" t="s">
        <v>8251</v>
      </c>
      <c r="M1176" t="s">
        <v>269</v>
      </c>
    </row>
    <row r="1177" spans="2:13" x14ac:dyDescent="0.2">
      <c r="B1177">
        <v>10747</v>
      </c>
      <c r="C1177" t="s">
        <v>8353</v>
      </c>
      <c r="D1177" t="s">
        <v>8237</v>
      </c>
      <c r="E1177" s="225">
        <v>1080</v>
      </c>
      <c r="F1177" t="s">
        <v>8384</v>
      </c>
      <c r="G1177" t="s">
        <v>8385</v>
      </c>
      <c r="H1177" t="s">
        <v>8282</v>
      </c>
      <c r="I1177" s="99">
        <v>43989</v>
      </c>
      <c r="J1177">
        <f>YEAR(I1177)</f>
        <v>2020</v>
      </c>
      <c r="K1177" s="99">
        <v>43996</v>
      </c>
      <c r="L1177" t="s">
        <v>8251</v>
      </c>
      <c r="M1177" t="s">
        <v>269</v>
      </c>
    </row>
    <row r="1178" spans="2:13" x14ac:dyDescent="0.2">
      <c r="B1178">
        <v>10844</v>
      </c>
      <c r="C1178" t="s">
        <v>8259</v>
      </c>
      <c r="D1178" t="s">
        <v>8244</v>
      </c>
      <c r="E1178" s="225">
        <v>735</v>
      </c>
      <c r="F1178" t="s">
        <v>8384</v>
      </c>
      <c r="G1178" t="s">
        <v>8385</v>
      </c>
      <c r="H1178" t="s">
        <v>8282</v>
      </c>
      <c r="I1178" s="99">
        <v>44052</v>
      </c>
      <c r="J1178">
        <f>YEAR(I1178)</f>
        <v>2020</v>
      </c>
      <c r="K1178" s="99">
        <v>44057</v>
      </c>
      <c r="L1178" t="s">
        <v>8320</v>
      </c>
      <c r="M1178" t="s">
        <v>8321</v>
      </c>
    </row>
    <row r="1179" spans="2:13" x14ac:dyDescent="0.2">
      <c r="B1179">
        <v>11053</v>
      </c>
      <c r="C1179" t="s">
        <v>8287</v>
      </c>
      <c r="D1179" t="s">
        <v>8237</v>
      </c>
      <c r="E1179" s="225">
        <v>640</v>
      </c>
      <c r="F1179" t="s">
        <v>8384</v>
      </c>
      <c r="G1179" t="s">
        <v>8385</v>
      </c>
      <c r="H1179" t="s">
        <v>8282</v>
      </c>
      <c r="I1179" s="99">
        <v>44147</v>
      </c>
      <c r="J1179">
        <f>YEAR(I1179)</f>
        <v>2020</v>
      </c>
      <c r="K1179" s="99">
        <v>44149</v>
      </c>
      <c r="L1179" t="s">
        <v>8297</v>
      </c>
      <c r="M1179" t="s">
        <v>8298</v>
      </c>
    </row>
    <row r="1180" spans="2:13" x14ac:dyDescent="0.2">
      <c r="B1180">
        <v>11053</v>
      </c>
      <c r="C1180" t="s">
        <v>8340</v>
      </c>
      <c r="D1180" t="s">
        <v>8244</v>
      </c>
      <c r="E1180" s="225">
        <v>665</v>
      </c>
      <c r="F1180" t="s">
        <v>8384</v>
      </c>
      <c r="G1180" t="s">
        <v>8385</v>
      </c>
      <c r="H1180" t="s">
        <v>8282</v>
      </c>
      <c r="I1180" s="99">
        <v>44147</v>
      </c>
      <c r="J1180">
        <f>YEAR(I1180)</f>
        <v>2020</v>
      </c>
      <c r="K1180" s="99">
        <v>44149</v>
      </c>
      <c r="L1180" t="s">
        <v>8297</v>
      </c>
      <c r="M1180" t="s">
        <v>8298</v>
      </c>
    </row>
    <row r="1181" spans="2:13" x14ac:dyDescent="0.2">
      <c r="B1181">
        <v>10336</v>
      </c>
      <c r="C1181" t="s">
        <v>8352</v>
      </c>
      <c r="D1181" t="s">
        <v>8254</v>
      </c>
      <c r="E1181" s="225">
        <v>285.12</v>
      </c>
      <c r="F1181" t="s">
        <v>8370</v>
      </c>
      <c r="G1181" t="s">
        <v>8371</v>
      </c>
      <c r="H1181" t="s">
        <v>8365</v>
      </c>
      <c r="I1181" s="99">
        <v>43597</v>
      </c>
      <c r="J1181">
        <f>YEAR(I1181)</f>
        <v>2019</v>
      </c>
      <c r="K1181" s="99">
        <v>43599</v>
      </c>
      <c r="L1181" t="s">
        <v>8158</v>
      </c>
      <c r="M1181" t="s">
        <v>861</v>
      </c>
    </row>
    <row r="1182" spans="2:13" x14ac:dyDescent="0.2">
      <c r="B1182">
        <v>10397</v>
      </c>
      <c r="C1182" t="s">
        <v>8368</v>
      </c>
      <c r="D1182" t="s">
        <v>8262</v>
      </c>
      <c r="E1182" s="225">
        <v>68</v>
      </c>
      <c r="F1182" t="s">
        <v>8370</v>
      </c>
      <c r="G1182" t="s">
        <v>8371</v>
      </c>
      <c r="H1182" t="s">
        <v>8365</v>
      </c>
      <c r="I1182" s="99">
        <v>43662</v>
      </c>
      <c r="J1182">
        <f>YEAR(I1182)</f>
        <v>2019</v>
      </c>
      <c r="K1182" s="99">
        <v>43668</v>
      </c>
      <c r="L1182" t="s">
        <v>8241</v>
      </c>
      <c r="M1182" t="s">
        <v>6934</v>
      </c>
    </row>
    <row r="1183" spans="2:13" x14ac:dyDescent="0.2">
      <c r="B1183">
        <v>10397</v>
      </c>
      <c r="C1183" t="s">
        <v>8245</v>
      </c>
      <c r="D1183" t="s">
        <v>8247</v>
      </c>
      <c r="E1183" s="225">
        <v>648.72</v>
      </c>
      <c r="F1183" t="s">
        <v>8370</v>
      </c>
      <c r="G1183" t="s">
        <v>8371</v>
      </c>
      <c r="H1183" t="s">
        <v>8365</v>
      </c>
      <c r="I1183" s="99">
        <v>43662</v>
      </c>
      <c r="J1183">
        <f>YEAR(I1183)</f>
        <v>2019</v>
      </c>
      <c r="K1183" s="99">
        <v>43668</v>
      </c>
      <c r="L1183" t="s">
        <v>8241</v>
      </c>
      <c r="M1183" t="s">
        <v>6934</v>
      </c>
    </row>
    <row r="1184" spans="2:13" x14ac:dyDescent="0.2">
      <c r="B1184">
        <v>10433</v>
      </c>
      <c r="C1184" t="s">
        <v>8341</v>
      </c>
      <c r="D1184" t="s">
        <v>8244</v>
      </c>
      <c r="E1184" s="225">
        <v>851.2</v>
      </c>
      <c r="F1184" t="s">
        <v>8370</v>
      </c>
      <c r="G1184" t="s">
        <v>8371</v>
      </c>
      <c r="H1184" t="s">
        <v>8365</v>
      </c>
      <c r="I1184" s="99">
        <v>43700</v>
      </c>
      <c r="J1184">
        <f>YEAR(I1184)</f>
        <v>2019</v>
      </c>
      <c r="K1184" s="99">
        <v>43729</v>
      </c>
      <c r="L1184" t="s">
        <v>8257</v>
      </c>
      <c r="M1184" t="s">
        <v>6984</v>
      </c>
    </row>
    <row r="1185" spans="2:13" x14ac:dyDescent="0.2">
      <c r="B1185">
        <v>10477</v>
      </c>
      <c r="C1185" t="s">
        <v>8333</v>
      </c>
      <c r="D1185" t="s">
        <v>8272</v>
      </c>
      <c r="E1185" s="225">
        <v>216</v>
      </c>
      <c r="F1185" t="s">
        <v>8370</v>
      </c>
      <c r="G1185" t="s">
        <v>8371</v>
      </c>
      <c r="H1185" t="s">
        <v>8365</v>
      </c>
      <c r="I1185" s="99">
        <v>43742</v>
      </c>
      <c r="J1185">
        <f>YEAR(I1185)</f>
        <v>2019</v>
      </c>
      <c r="K1185" s="99">
        <v>43750</v>
      </c>
      <c r="L1185" t="s">
        <v>8241</v>
      </c>
      <c r="M1185" t="s">
        <v>6934</v>
      </c>
    </row>
    <row r="1186" spans="2:13" x14ac:dyDescent="0.2">
      <c r="B1186">
        <v>10477</v>
      </c>
      <c r="C1186" t="s">
        <v>8342</v>
      </c>
      <c r="D1186" t="s">
        <v>8272</v>
      </c>
      <c r="E1186" s="225">
        <v>216</v>
      </c>
      <c r="F1186" t="s">
        <v>8370</v>
      </c>
      <c r="G1186" t="s">
        <v>8371</v>
      </c>
      <c r="H1186" t="s">
        <v>8365</v>
      </c>
      <c r="I1186" s="99">
        <v>43742</v>
      </c>
      <c r="J1186">
        <f>YEAR(I1186)</f>
        <v>2019</v>
      </c>
      <c r="K1186" s="99">
        <v>43750</v>
      </c>
      <c r="L1186" t="s">
        <v>8241</v>
      </c>
      <c r="M1186" t="s">
        <v>6934</v>
      </c>
    </row>
    <row r="1187" spans="2:13" x14ac:dyDescent="0.2">
      <c r="B1187">
        <v>10477</v>
      </c>
      <c r="C1187" t="s">
        <v>8368</v>
      </c>
      <c r="D1187" t="s">
        <v>8262</v>
      </c>
      <c r="E1187" s="225">
        <v>126</v>
      </c>
      <c r="F1187" t="s">
        <v>8370</v>
      </c>
      <c r="G1187" t="s">
        <v>8371</v>
      </c>
      <c r="H1187" t="s">
        <v>8365</v>
      </c>
      <c r="I1187" s="99">
        <v>43742</v>
      </c>
      <c r="J1187">
        <f>YEAR(I1187)</f>
        <v>2019</v>
      </c>
      <c r="K1187" s="99">
        <v>43750</v>
      </c>
      <c r="L1187" t="s">
        <v>8241</v>
      </c>
      <c r="M1187" t="s">
        <v>6934</v>
      </c>
    </row>
    <row r="1188" spans="2:13" x14ac:dyDescent="0.2">
      <c r="B1188">
        <v>11007</v>
      </c>
      <c r="C1188" t="s">
        <v>8379</v>
      </c>
      <c r="D1188" t="s">
        <v>8254</v>
      </c>
      <c r="E1188" s="225">
        <v>1200</v>
      </c>
      <c r="F1188" t="s">
        <v>8370</v>
      </c>
      <c r="G1188" t="s">
        <v>8371</v>
      </c>
      <c r="H1188" t="s">
        <v>8365</v>
      </c>
      <c r="I1188" s="99">
        <v>44128</v>
      </c>
      <c r="J1188">
        <f>YEAR(I1188)</f>
        <v>2020</v>
      </c>
      <c r="K1188" s="99">
        <v>44133</v>
      </c>
      <c r="L1188" t="s">
        <v>8320</v>
      </c>
      <c r="M1188" t="s">
        <v>8321</v>
      </c>
    </row>
    <row r="1189" spans="2:13" x14ac:dyDescent="0.2">
      <c r="B1189">
        <v>11007</v>
      </c>
      <c r="C1189" t="s">
        <v>8243</v>
      </c>
      <c r="D1189" t="s">
        <v>8244</v>
      </c>
      <c r="E1189" s="225">
        <v>196</v>
      </c>
      <c r="F1189" t="s">
        <v>8370</v>
      </c>
      <c r="G1189" t="s">
        <v>8371</v>
      </c>
      <c r="H1189" t="s">
        <v>8365</v>
      </c>
      <c r="I1189" s="99">
        <v>44128</v>
      </c>
      <c r="J1189">
        <f>YEAR(I1189)</f>
        <v>2020</v>
      </c>
      <c r="K1189" s="99">
        <v>44133</v>
      </c>
      <c r="L1189" t="s">
        <v>8320</v>
      </c>
      <c r="M1189" t="s">
        <v>8321</v>
      </c>
    </row>
    <row r="1190" spans="2:13" x14ac:dyDescent="0.2">
      <c r="B1190">
        <v>10261</v>
      </c>
      <c r="C1190" t="s">
        <v>8323</v>
      </c>
      <c r="D1190" t="s">
        <v>8272</v>
      </c>
      <c r="E1190" s="225">
        <v>288</v>
      </c>
      <c r="F1190" t="s">
        <v>8736</v>
      </c>
      <c r="G1190" t="s">
        <v>8735</v>
      </c>
      <c r="H1190" t="s">
        <v>8710</v>
      </c>
      <c r="I1190" s="99">
        <v>43501</v>
      </c>
      <c r="J1190">
        <f>YEAR(I1190)</f>
        <v>2019</v>
      </c>
      <c r="K1190" s="99">
        <v>43512</v>
      </c>
      <c r="L1190" t="s">
        <v>8266</v>
      </c>
      <c r="M1190" t="s">
        <v>8267</v>
      </c>
    </row>
    <row r="1191" spans="2:13" x14ac:dyDescent="0.2">
      <c r="B1191">
        <v>10261</v>
      </c>
      <c r="C1191" t="s">
        <v>8368</v>
      </c>
      <c r="D1191" t="s">
        <v>8262</v>
      </c>
      <c r="E1191" s="225">
        <v>160</v>
      </c>
      <c r="F1191" t="s">
        <v>8736</v>
      </c>
      <c r="G1191" t="s">
        <v>8735</v>
      </c>
      <c r="H1191" t="s">
        <v>8710</v>
      </c>
      <c r="I1191" s="99">
        <v>43501</v>
      </c>
      <c r="J1191">
        <f>YEAR(I1191)</f>
        <v>2019</v>
      </c>
      <c r="K1191" s="99">
        <v>43512</v>
      </c>
      <c r="L1191" t="s">
        <v>8266</v>
      </c>
      <c r="M1191" t="s">
        <v>8267</v>
      </c>
    </row>
    <row r="1192" spans="2:13" x14ac:dyDescent="0.2">
      <c r="B1192">
        <v>10291</v>
      </c>
      <c r="C1192" t="s">
        <v>8322</v>
      </c>
      <c r="D1192" t="s">
        <v>8254</v>
      </c>
      <c r="E1192" s="225">
        <v>334.8</v>
      </c>
      <c r="F1192" t="s">
        <v>8736</v>
      </c>
      <c r="G1192" t="s">
        <v>8735</v>
      </c>
      <c r="H1192" t="s">
        <v>8710</v>
      </c>
      <c r="I1192" s="99">
        <v>43540</v>
      </c>
      <c r="J1192">
        <f>YEAR(I1192)</f>
        <v>2019</v>
      </c>
      <c r="K1192" s="99">
        <v>43548</v>
      </c>
      <c r="L1192" t="s">
        <v>8251</v>
      </c>
      <c r="M1192" t="s">
        <v>269</v>
      </c>
    </row>
    <row r="1193" spans="2:13" x14ac:dyDescent="0.2">
      <c r="B1193">
        <v>10291</v>
      </c>
      <c r="C1193" t="s">
        <v>8245</v>
      </c>
      <c r="D1193" t="s">
        <v>8247</v>
      </c>
      <c r="E1193" s="225">
        <v>76.319999999999993</v>
      </c>
      <c r="F1193" t="s">
        <v>8736</v>
      </c>
      <c r="G1193" t="s">
        <v>8735</v>
      </c>
      <c r="H1193" t="s">
        <v>8710</v>
      </c>
      <c r="I1193" s="99">
        <v>43540</v>
      </c>
      <c r="J1193">
        <f>YEAR(I1193)</f>
        <v>2019</v>
      </c>
      <c r="K1193" s="99">
        <v>43548</v>
      </c>
      <c r="L1193" t="s">
        <v>8251</v>
      </c>
      <c r="M1193" t="s">
        <v>269</v>
      </c>
    </row>
    <row r="1194" spans="2:13" x14ac:dyDescent="0.2">
      <c r="B1194">
        <v>10379</v>
      </c>
      <c r="C1194" t="s">
        <v>8317</v>
      </c>
      <c r="D1194" t="s">
        <v>8254</v>
      </c>
      <c r="E1194" s="225">
        <v>505.44</v>
      </c>
      <c r="F1194" t="s">
        <v>8736</v>
      </c>
      <c r="G1194" t="s">
        <v>8735</v>
      </c>
      <c r="H1194" t="s">
        <v>8710</v>
      </c>
      <c r="I1194" s="99">
        <v>43646</v>
      </c>
      <c r="J1194">
        <f>YEAR(I1194)</f>
        <v>2019</v>
      </c>
      <c r="K1194" s="99">
        <v>43648</v>
      </c>
      <c r="L1194" t="s">
        <v>8297</v>
      </c>
      <c r="M1194" t="s">
        <v>8298</v>
      </c>
    </row>
    <row r="1195" spans="2:13" x14ac:dyDescent="0.2">
      <c r="B1195">
        <v>10379</v>
      </c>
      <c r="C1195" t="s">
        <v>8253</v>
      </c>
      <c r="D1195" t="s">
        <v>8254</v>
      </c>
      <c r="E1195" s="225">
        <v>302.39999999999998</v>
      </c>
      <c r="F1195" t="s">
        <v>8736</v>
      </c>
      <c r="G1195" t="s">
        <v>8735</v>
      </c>
      <c r="H1195" t="s">
        <v>8710</v>
      </c>
      <c r="I1195" s="99">
        <v>43646</v>
      </c>
      <c r="J1195">
        <f>YEAR(I1195)</f>
        <v>2019</v>
      </c>
      <c r="K1195" s="99">
        <v>43648</v>
      </c>
      <c r="L1195" t="s">
        <v>8297</v>
      </c>
      <c r="M1195" t="s">
        <v>8298</v>
      </c>
    </row>
    <row r="1196" spans="2:13" x14ac:dyDescent="0.2">
      <c r="B1196">
        <v>10421</v>
      </c>
      <c r="C1196" t="s">
        <v>8397</v>
      </c>
      <c r="D1196" t="s">
        <v>8254</v>
      </c>
      <c r="E1196" s="225">
        <v>88.4</v>
      </c>
      <c r="F1196" t="s">
        <v>8736</v>
      </c>
      <c r="G1196" t="s">
        <v>8735</v>
      </c>
      <c r="H1196" t="s">
        <v>8710</v>
      </c>
      <c r="I1196" s="99">
        <v>43687</v>
      </c>
      <c r="J1196">
        <f>YEAR(I1196)</f>
        <v>2019</v>
      </c>
      <c r="K1196" s="99">
        <v>43693</v>
      </c>
      <c r="L1196" t="s">
        <v>8320</v>
      </c>
      <c r="M1196" t="s">
        <v>8321</v>
      </c>
    </row>
    <row r="1197" spans="2:13" x14ac:dyDescent="0.2">
      <c r="B1197">
        <v>10421</v>
      </c>
      <c r="C1197" t="s">
        <v>8327</v>
      </c>
      <c r="D1197" t="s">
        <v>8262</v>
      </c>
      <c r="E1197" s="225">
        <v>24.82</v>
      </c>
      <c r="F1197" t="s">
        <v>8736</v>
      </c>
      <c r="G1197" t="s">
        <v>8735</v>
      </c>
      <c r="H1197" t="s">
        <v>8710</v>
      </c>
      <c r="I1197" s="99">
        <v>43687</v>
      </c>
      <c r="J1197">
        <f>YEAR(I1197)</f>
        <v>2019</v>
      </c>
      <c r="K1197" s="99">
        <v>43693</v>
      </c>
      <c r="L1197" t="s">
        <v>8320</v>
      </c>
      <c r="M1197" t="s">
        <v>8321</v>
      </c>
    </row>
    <row r="1198" spans="2:13" x14ac:dyDescent="0.2">
      <c r="B1198">
        <v>10421</v>
      </c>
      <c r="C1198" t="s">
        <v>8372</v>
      </c>
      <c r="D1198" t="s">
        <v>8262</v>
      </c>
      <c r="E1198" s="225">
        <v>747</v>
      </c>
      <c r="F1198" t="s">
        <v>8736</v>
      </c>
      <c r="G1198" t="s">
        <v>8735</v>
      </c>
      <c r="H1198" t="s">
        <v>8710</v>
      </c>
      <c r="I1198" s="99">
        <v>43687</v>
      </c>
      <c r="J1198">
        <f>YEAR(I1198)</f>
        <v>2019</v>
      </c>
      <c r="K1198" s="99">
        <v>43693</v>
      </c>
      <c r="L1198" t="s">
        <v>8320</v>
      </c>
      <c r="M1198" t="s">
        <v>8321</v>
      </c>
    </row>
    <row r="1199" spans="2:13" x14ac:dyDescent="0.2">
      <c r="B1199">
        <v>10587</v>
      </c>
      <c r="C1199" t="s">
        <v>8323</v>
      </c>
      <c r="D1199" t="s">
        <v>8272</v>
      </c>
      <c r="E1199" s="225">
        <v>360</v>
      </c>
      <c r="F1199" t="s">
        <v>8736</v>
      </c>
      <c r="G1199" t="s">
        <v>8735</v>
      </c>
      <c r="H1199" t="s">
        <v>8710</v>
      </c>
      <c r="I1199" s="99">
        <v>43849</v>
      </c>
      <c r="J1199">
        <f>YEAR(I1199)</f>
        <v>2020</v>
      </c>
      <c r="K1199" s="99">
        <v>43856</v>
      </c>
      <c r="L1199" t="s">
        <v>8285</v>
      </c>
      <c r="M1199" t="s">
        <v>2317</v>
      </c>
    </row>
    <row r="1200" spans="2:13" x14ac:dyDescent="0.2">
      <c r="B1200">
        <v>10587</v>
      </c>
      <c r="C1200" t="s">
        <v>8397</v>
      </c>
      <c r="D1200" t="s">
        <v>8254</v>
      </c>
      <c r="E1200" s="225">
        <v>260</v>
      </c>
      <c r="F1200" t="s">
        <v>8736</v>
      </c>
      <c r="G1200" t="s">
        <v>8735</v>
      </c>
      <c r="H1200" t="s">
        <v>8710</v>
      </c>
      <c r="I1200" s="99">
        <v>43849</v>
      </c>
      <c r="J1200">
        <f>YEAR(I1200)</f>
        <v>2020</v>
      </c>
      <c r="K1200" s="99">
        <v>43856</v>
      </c>
      <c r="L1200" t="s">
        <v>8285</v>
      </c>
      <c r="M1200" t="s">
        <v>2317</v>
      </c>
    </row>
    <row r="1201" spans="2:13" x14ac:dyDescent="0.2">
      <c r="B1201">
        <v>10587</v>
      </c>
      <c r="C1201" t="s">
        <v>8372</v>
      </c>
      <c r="D1201" t="s">
        <v>8262</v>
      </c>
      <c r="E1201" s="225">
        <v>187.38</v>
      </c>
      <c r="F1201" t="s">
        <v>8736</v>
      </c>
      <c r="G1201" t="s">
        <v>8735</v>
      </c>
      <c r="H1201" t="s">
        <v>8710</v>
      </c>
      <c r="I1201" s="99">
        <v>43849</v>
      </c>
      <c r="J1201">
        <f>YEAR(I1201)</f>
        <v>2020</v>
      </c>
      <c r="K1201" s="99">
        <v>43856</v>
      </c>
      <c r="L1201" t="s">
        <v>8285</v>
      </c>
      <c r="M1201" t="s">
        <v>2317</v>
      </c>
    </row>
    <row r="1202" spans="2:13" x14ac:dyDescent="0.2">
      <c r="B1202">
        <v>10647</v>
      </c>
      <c r="C1202" t="s">
        <v>8342</v>
      </c>
      <c r="D1202" t="s">
        <v>8272</v>
      </c>
      <c r="E1202" s="225">
        <v>360</v>
      </c>
      <c r="F1202" t="s">
        <v>8736</v>
      </c>
      <c r="G1202" t="s">
        <v>8735</v>
      </c>
      <c r="H1202" t="s">
        <v>8710</v>
      </c>
      <c r="I1202" s="99">
        <v>43905</v>
      </c>
      <c r="J1202">
        <f>YEAR(I1202)</f>
        <v>2020</v>
      </c>
      <c r="K1202" s="99">
        <v>43912</v>
      </c>
      <c r="L1202" t="s">
        <v>8266</v>
      </c>
      <c r="M1202" t="s">
        <v>8267</v>
      </c>
    </row>
    <row r="1203" spans="2:13" x14ac:dyDescent="0.2">
      <c r="B1203">
        <v>10647</v>
      </c>
      <c r="C1203" t="s">
        <v>8327</v>
      </c>
      <c r="D1203" t="s">
        <v>8262</v>
      </c>
      <c r="E1203" s="225">
        <v>276</v>
      </c>
      <c r="F1203" t="s">
        <v>8736</v>
      </c>
      <c r="G1203" t="s">
        <v>8735</v>
      </c>
      <c r="H1203" t="s">
        <v>8710</v>
      </c>
      <c r="I1203" s="99">
        <v>43905</v>
      </c>
      <c r="J1203">
        <f>YEAR(I1203)</f>
        <v>2020</v>
      </c>
      <c r="K1203" s="99">
        <v>43912</v>
      </c>
      <c r="L1203" t="s">
        <v>8266</v>
      </c>
      <c r="M1203" t="s">
        <v>8267</v>
      </c>
    </row>
    <row r="1204" spans="2:13" x14ac:dyDescent="0.2">
      <c r="B1204">
        <v>10720</v>
      </c>
      <c r="C1204" t="s">
        <v>8323</v>
      </c>
      <c r="D1204" t="s">
        <v>8272</v>
      </c>
      <c r="E1204" s="225">
        <v>378</v>
      </c>
      <c r="F1204" t="s">
        <v>8736</v>
      </c>
      <c r="G1204" t="s">
        <v>8735</v>
      </c>
      <c r="H1204" t="s">
        <v>8710</v>
      </c>
      <c r="I1204" s="99">
        <v>43967</v>
      </c>
      <c r="J1204">
        <f>YEAR(I1204)</f>
        <v>2020</v>
      </c>
      <c r="K1204" s="99">
        <v>43975</v>
      </c>
      <c r="L1204" t="s">
        <v>8320</v>
      </c>
      <c r="M1204" t="s">
        <v>8321</v>
      </c>
    </row>
    <row r="1205" spans="2:13" x14ac:dyDescent="0.2">
      <c r="B1205">
        <v>10720</v>
      </c>
      <c r="C1205" t="s">
        <v>8310</v>
      </c>
      <c r="D1205" t="s">
        <v>8237</v>
      </c>
      <c r="E1205" s="225">
        <v>172</v>
      </c>
      <c r="F1205" t="s">
        <v>8736</v>
      </c>
      <c r="G1205" t="s">
        <v>8735</v>
      </c>
      <c r="H1205" t="s">
        <v>8710</v>
      </c>
      <c r="I1205" s="99">
        <v>43967</v>
      </c>
      <c r="J1205">
        <f>YEAR(I1205)</f>
        <v>2020</v>
      </c>
      <c r="K1205" s="99">
        <v>43975</v>
      </c>
      <c r="L1205" t="s">
        <v>8320</v>
      </c>
      <c r="M1205" t="s">
        <v>8321</v>
      </c>
    </row>
    <row r="1206" spans="2:13" x14ac:dyDescent="0.2">
      <c r="B1206">
        <v>10794</v>
      </c>
      <c r="C1206" t="s">
        <v>8252</v>
      </c>
      <c r="D1206" t="s">
        <v>8247</v>
      </c>
      <c r="E1206" s="225">
        <v>279</v>
      </c>
      <c r="F1206" t="s">
        <v>8736</v>
      </c>
      <c r="G1206" t="s">
        <v>8735</v>
      </c>
      <c r="H1206" t="s">
        <v>8710</v>
      </c>
      <c r="I1206" s="99">
        <v>44024</v>
      </c>
      <c r="J1206">
        <f>YEAR(I1206)</f>
        <v>2020</v>
      </c>
      <c r="K1206" s="99">
        <v>44033</v>
      </c>
      <c r="L1206" t="s">
        <v>8251</v>
      </c>
      <c r="M1206" t="s">
        <v>269</v>
      </c>
    </row>
    <row r="1207" spans="2:13" x14ac:dyDescent="0.2">
      <c r="B1207">
        <v>10989</v>
      </c>
      <c r="C1207" t="s">
        <v>8351</v>
      </c>
      <c r="D1207" t="s">
        <v>8254</v>
      </c>
      <c r="E1207" s="225">
        <v>1000</v>
      </c>
      <c r="F1207" t="s">
        <v>8736</v>
      </c>
      <c r="G1207" t="s">
        <v>8735</v>
      </c>
      <c r="H1207" t="s">
        <v>8710</v>
      </c>
      <c r="I1207" s="99">
        <v>44120</v>
      </c>
      <c r="J1207">
        <f>YEAR(I1207)</f>
        <v>2020</v>
      </c>
      <c r="K1207" s="99">
        <v>44122</v>
      </c>
      <c r="L1207" t="s">
        <v>8297</v>
      </c>
      <c r="M1207" t="s">
        <v>8298</v>
      </c>
    </row>
    <row r="1208" spans="2:13" x14ac:dyDescent="0.2">
      <c r="B1208">
        <v>10989</v>
      </c>
      <c r="C1208" t="s">
        <v>8242</v>
      </c>
      <c r="D1208" t="s">
        <v>8237</v>
      </c>
      <c r="E1208" s="225">
        <v>315</v>
      </c>
      <c r="F1208" t="s">
        <v>8736</v>
      </c>
      <c r="G1208" t="s">
        <v>8735</v>
      </c>
      <c r="H1208" t="s">
        <v>8710</v>
      </c>
      <c r="I1208" s="99">
        <v>44120</v>
      </c>
      <c r="J1208">
        <f>YEAR(I1208)</f>
        <v>2020</v>
      </c>
      <c r="K1208" s="99">
        <v>44122</v>
      </c>
      <c r="L1208" t="s">
        <v>8297</v>
      </c>
      <c r="M1208" t="s">
        <v>8298</v>
      </c>
    </row>
    <row r="1209" spans="2:13" x14ac:dyDescent="0.2">
      <c r="B1209">
        <v>10372</v>
      </c>
      <c r="C1209" t="s">
        <v>8380</v>
      </c>
      <c r="D1209" t="s">
        <v>8272</v>
      </c>
      <c r="E1209" s="225">
        <v>6324</v>
      </c>
      <c r="F1209" t="s">
        <v>8712</v>
      </c>
      <c r="G1209" t="s">
        <v>8711</v>
      </c>
      <c r="H1209" t="s">
        <v>8710</v>
      </c>
      <c r="I1209" s="99">
        <v>43639</v>
      </c>
      <c r="J1209">
        <f>YEAR(I1209)</f>
        <v>2019</v>
      </c>
      <c r="K1209" s="99">
        <v>43644</v>
      </c>
      <c r="L1209" t="s">
        <v>8241</v>
      </c>
      <c r="M1209" t="s">
        <v>6934</v>
      </c>
    </row>
    <row r="1210" spans="2:13" x14ac:dyDescent="0.2">
      <c r="B1210">
        <v>10372</v>
      </c>
      <c r="C1210" t="s">
        <v>8260</v>
      </c>
      <c r="D1210" t="s">
        <v>8262</v>
      </c>
      <c r="E1210" s="225">
        <v>583.20000000000005</v>
      </c>
      <c r="F1210" t="s">
        <v>8712</v>
      </c>
      <c r="G1210" t="s">
        <v>8711</v>
      </c>
      <c r="H1210" t="s">
        <v>8710</v>
      </c>
      <c r="I1210" s="99">
        <v>43639</v>
      </c>
      <c r="J1210">
        <f>YEAR(I1210)</f>
        <v>2019</v>
      </c>
      <c r="K1210" s="99">
        <v>43644</v>
      </c>
      <c r="L1210" t="s">
        <v>8241</v>
      </c>
      <c r="M1210" t="s">
        <v>6934</v>
      </c>
    </row>
    <row r="1211" spans="2:13" x14ac:dyDescent="0.2">
      <c r="B1211">
        <v>10372</v>
      </c>
      <c r="C1211" t="s">
        <v>8268</v>
      </c>
      <c r="D1211" t="s">
        <v>8237</v>
      </c>
      <c r="E1211" s="225">
        <v>1428</v>
      </c>
      <c r="F1211" t="s">
        <v>8712</v>
      </c>
      <c r="G1211" t="s">
        <v>8711</v>
      </c>
      <c r="H1211" t="s">
        <v>8710</v>
      </c>
      <c r="I1211" s="99">
        <v>43639</v>
      </c>
      <c r="J1211">
        <f>YEAR(I1211)</f>
        <v>2019</v>
      </c>
      <c r="K1211" s="99">
        <v>43644</v>
      </c>
      <c r="L1211" t="s">
        <v>8241</v>
      </c>
      <c r="M1211" t="s">
        <v>6934</v>
      </c>
    </row>
    <row r="1212" spans="2:13" x14ac:dyDescent="0.2">
      <c r="B1212">
        <v>10372</v>
      </c>
      <c r="C1212" t="s">
        <v>8235</v>
      </c>
      <c r="D1212" t="s">
        <v>8237</v>
      </c>
      <c r="E1212" s="225">
        <v>875.7</v>
      </c>
      <c r="F1212" t="s">
        <v>8712</v>
      </c>
      <c r="G1212" t="s">
        <v>8711</v>
      </c>
      <c r="H1212" t="s">
        <v>8710</v>
      </c>
      <c r="I1212" s="99">
        <v>43639</v>
      </c>
      <c r="J1212">
        <f>YEAR(I1212)</f>
        <v>2019</v>
      </c>
      <c r="K1212" s="99">
        <v>43644</v>
      </c>
      <c r="L1212" t="s">
        <v>8241</v>
      </c>
      <c r="M1212" t="s">
        <v>6934</v>
      </c>
    </row>
    <row r="1213" spans="2:13" x14ac:dyDescent="0.2">
      <c r="B1213">
        <v>10406</v>
      </c>
      <c r="C1213" t="s">
        <v>8333</v>
      </c>
      <c r="D1213" t="s">
        <v>8272</v>
      </c>
      <c r="E1213" s="225">
        <v>144</v>
      </c>
      <c r="F1213" t="s">
        <v>8712</v>
      </c>
      <c r="G1213" t="s">
        <v>8711</v>
      </c>
      <c r="H1213" t="s">
        <v>8710</v>
      </c>
      <c r="I1213" s="99">
        <v>43673</v>
      </c>
      <c r="J1213">
        <f>YEAR(I1213)</f>
        <v>2019</v>
      </c>
      <c r="K1213" s="99">
        <v>43679</v>
      </c>
      <c r="L1213" t="s">
        <v>8158</v>
      </c>
      <c r="M1213" t="s">
        <v>861</v>
      </c>
    </row>
    <row r="1214" spans="2:13" x14ac:dyDescent="0.2">
      <c r="B1214">
        <v>10406</v>
      </c>
      <c r="C1214" t="s">
        <v>8368</v>
      </c>
      <c r="D1214" t="s">
        <v>8262</v>
      </c>
      <c r="E1214" s="225">
        <v>216</v>
      </c>
      <c r="F1214" t="s">
        <v>8712</v>
      </c>
      <c r="G1214" t="s">
        <v>8711</v>
      </c>
      <c r="H1214" t="s">
        <v>8710</v>
      </c>
      <c r="I1214" s="99">
        <v>43673</v>
      </c>
      <c r="J1214">
        <f>YEAR(I1214)</f>
        <v>2019</v>
      </c>
      <c r="K1214" s="99">
        <v>43679</v>
      </c>
      <c r="L1214" t="s">
        <v>8158</v>
      </c>
      <c r="M1214" t="s">
        <v>861</v>
      </c>
    </row>
    <row r="1215" spans="2:13" x14ac:dyDescent="0.2">
      <c r="B1215">
        <v>10406</v>
      </c>
      <c r="C1215" t="s">
        <v>8316</v>
      </c>
      <c r="D1215" t="s">
        <v>8247</v>
      </c>
      <c r="E1215" s="225">
        <v>1375.92</v>
      </c>
      <c r="F1215" t="s">
        <v>8712</v>
      </c>
      <c r="G1215" t="s">
        <v>8711</v>
      </c>
      <c r="H1215" t="s">
        <v>8710</v>
      </c>
      <c r="I1215" s="99">
        <v>43673</v>
      </c>
      <c r="J1215">
        <f>YEAR(I1215)</f>
        <v>2019</v>
      </c>
      <c r="K1215" s="99">
        <v>43679</v>
      </c>
      <c r="L1215" t="s">
        <v>8158</v>
      </c>
      <c r="M1215" t="s">
        <v>861</v>
      </c>
    </row>
    <row r="1216" spans="2:13" x14ac:dyDescent="0.2">
      <c r="B1216">
        <v>10487</v>
      </c>
      <c r="C1216" t="s">
        <v>8327</v>
      </c>
      <c r="D1216" t="s">
        <v>8262</v>
      </c>
      <c r="E1216" s="225">
        <v>36.5</v>
      </c>
      <c r="F1216" t="s">
        <v>8712</v>
      </c>
      <c r="G1216" t="s">
        <v>8711</v>
      </c>
      <c r="H1216" t="s">
        <v>8710</v>
      </c>
      <c r="I1216" s="99">
        <v>43751</v>
      </c>
      <c r="J1216">
        <f>YEAR(I1216)</f>
        <v>2019</v>
      </c>
      <c r="K1216" s="99">
        <v>43753</v>
      </c>
      <c r="L1216" t="s">
        <v>8297</v>
      </c>
      <c r="M1216" t="s">
        <v>8298</v>
      </c>
    </row>
    <row r="1217" spans="2:13" x14ac:dyDescent="0.2">
      <c r="B1217">
        <v>10487</v>
      </c>
      <c r="C1217" t="s">
        <v>8372</v>
      </c>
      <c r="D1217" t="s">
        <v>8262</v>
      </c>
      <c r="E1217" s="225">
        <v>747</v>
      </c>
      <c r="F1217" t="s">
        <v>8712</v>
      </c>
      <c r="G1217" t="s">
        <v>8711</v>
      </c>
      <c r="H1217" t="s">
        <v>8710</v>
      </c>
      <c r="I1217" s="99">
        <v>43751</v>
      </c>
      <c r="J1217">
        <f>YEAR(I1217)</f>
        <v>2019</v>
      </c>
      <c r="K1217" s="99">
        <v>43753</v>
      </c>
      <c r="L1217" t="s">
        <v>8297</v>
      </c>
      <c r="M1217" t="s">
        <v>8298</v>
      </c>
    </row>
    <row r="1218" spans="2:13" x14ac:dyDescent="0.2">
      <c r="B1218">
        <v>10637</v>
      </c>
      <c r="C1218" t="s">
        <v>8381</v>
      </c>
      <c r="D1218" t="s">
        <v>8262</v>
      </c>
      <c r="E1218" s="225">
        <v>385.94</v>
      </c>
      <c r="F1218" t="s">
        <v>8712</v>
      </c>
      <c r="G1218" t="s">
        <v>8711</v>
      </c>
      <c r="H1218" t="s">
        <v>8710</v>
      </c>
      <c r="I1218" s="99">
        <v>43897</v>
      </c>
      <c r="J1218">
        <f>YEAR(I1218)</f>
        <v>2020</v>
      </c>
      <c r="K1218" s="99">
        <v>43904</v>
      </c>
      <c r="L1218" t="s">
        <v>8251</v>
      </c>
      <c r="M1218" t="s">
        <v>269</v>
      </c>
    </row>
    <row r="1219" spans="2:13" x14ac:dyDescent="0.2">
      <c r="B1219">
        <v>10637</v>
      </c>
      <c r="C1219" t="s">
        <v>8242</v>
      </c>
      <c r="D1219" t="s">
        <v>8237</v>
      </c>
      <c r="E1219" s="225">
        <v>210</v>
      </c>
      <c r="F1219" t="s">
        <v>8712</v>
      </c>
      <c r="G1219" t="s">
        <v>8711</v>
      </c>
      <c r="H1219" t="s">
        <v>8710</v>
      </c>
      <c r="I1219" s="99">
        <v>43897</v>
      </c>
      <c r="J1219">
        <f>YEAR(I1219)</f>
        <v>2020</v>
      </c>
      <c r="K1219" s="99">
        <v>43904</v>
      </c>
      <c r="L1219" t="s">
        <v>8251</v>
      </c>
      <c r="M1219" t="s">
        <v>269</v>
      </c>
    </row>
    <row r="1220" spans="2:13" x14ac:dyDescent="0.2">
      <c r="B1220">
        <v>10637</v>
      </c>
      <c r="C1220" t="s">
        <v>8341</v>
      </c>
      <c r="D1220" t="s">
        <v>8244</v>
      </c>
      <c r="E1220" s="225">
        <v>2166</v>
      </c>
      <c r="F1220" t="s">
        <v>8712</v>
      </c>
      <c r="G1220" t="s">
        <v>8711</v>
      </c>
      <c r="H1220" t="s">
        <v>8710</v>
      </c>
      <c r="I1220" s="99">
        <v>43897</v>
      </c>
      <c r="J1220">
        <f>YEAR(I1220)</f>
        <v>2020</v>
      </c>
      <c r="K1220" s="99">
        <v>43904</v>
      </c>
      <c r="L1220" t="s">
        <v>8251</v>
      </c>
      <c r="M1220" t="s">
        <v>269</v>
      </c>
    </row>
    <row r="1221" spans="2:13" x14ac:dyDescent="0.2">
      <c r="B1221">
        <v>10659</v>
      </c>
      <c r="C1221" t="s">
        <v>8288</v>
      </c>
      <c r="D1221" t="s">
        <v>8272</v>
      </c>
      <c r="E1221" s="225">
        <v>570</v>
      </c>
      <c r="F1221" t="s">
        <v>8712</v>
      </c>
      <c r="G1221" t="s">
        <v>8711</v>
      </c>
      <c r="H1221" t="s">
        <v>8710</v>
      </c>
      <c r="I1221" s="99">
        <v>43914</v>
      </c>
      <c r="J1221">
        <f>YEAR(I1221)</f>
        <v>2020</v>
      </c>
      <c r="K1221" s="99">
        <v>43919</v>
      </c>
      <c r="L1221" t="s">
        <v>8158</v>
      </c>
      <c r="M1221" t="s">
        <v>861</v>
      </c>
    </row>
    <row r="1222" spans="2:13" x14ac:dyDescent="0.2">
      <c r="B1222">
        <v>10659</v>
      </c>
      <c r="C1222" t="s">
        <v>8309</v>
      </c>
      <c r="D1222" t="s">
        <v>8237</v>
      </c>
      <c r="E1222" s="225">
        <v>237.5</v>
      </c>
      <c r="F1222" t="s">
        <v>8712</v>
      </c>
      <c r="G1222" t="s">
        <v>8711</v>
      </c>
      <c r="H1222" t="s">
        <v>8710</v>
      </c>
      <c r="I1222" s="99">
        <v>43914</v>
      </c>
      <c r="J1222">
        <f>YEAR(I1222)</f>
        <v>2020</v>
      </c>
      <c r="K1222" s="99">
        <v>43919</v>
      </c>
      <c r="L1222" t="s">
        <v>8158</v>
      </c>
      <c r="M1222" t="s">
        <v>861</v>
      </c>
    </row>
    <row r="1223" spans="2:13" x14ac:dyDescent="0.2">
      <c r="B1223">
        <v>10704</v>
      </c>
      <c r="C1223" t="s">
        <v>8270</v>
      </c>
      <c r="D1223" t="s">
        <v>8272</v>
      </c>
      <c r="E1223" s="225">
        <v>157.5</v>
      </c>
      <c r="F1223" t="s">
        <v>8712</v>
      </c>
      <c r="G1223" t="s">
        <v>8711</v>
      </c>
      <c r="H1223" t="s">
        <v>8710</v>
      </c>
      <c r="I1223" s="99">
        <v>43953</v>
      </c>
      <c r="J1223">
        <f>YEAR(I1223)</f>
        <v>2020</v>
      </c>
      <c r="K1223" s="99">
        <v>43977</v>
      </c>
      <c r="L1223" t="s">
        <v>8251</v>
      </c>
      <c r="M1223" t="s">
        <v>269</v>
      </c>
    </row>
    <row r="1224" spans="2:13" x14ac:dyDescent="0.2">
      <c r="B1224">
        <v>10704</v>
      </c>
      <c r="C1224" t="s">
        <v>8352</v>
      </c>
      <c r="D1224" t="s">
        <v>8254</v>
      </c>
      <c r="E1224" s="225">
        <v>132</v>
      </c>
      <c r="F1224" t="s">
        <v>8712</v>
      </c>
      <c r="G1224" t="s">
        <v>8711</v>
      </c>
      <c r="H1224" t="s">
        <v>8710</v>
      </c>
      <c r="I1224" s="99">
        <v>43953</v>
      </c>
      <c r="J1224">
        <f>YEAR(I1224)</f>
        <v>2020</v>
      </c>
      <c r="K1224" s="99">
        <v>43977</v>
      </c>
      <c r="L1224" t="s">
        <v>8251</v>
      </c>
      <c r="M1224" t="s">
        <v>269</v>
      </c>
    </row>
    <row r="1225" spans="2:13" x14ac:dyDescent="0.2">
      <c r="B1225">
        <v>10704</v>
      </c>
      <c r="C1225" t="s">
        <v>8406</v>
      </c>
      <c r="D1225" t="s">
        <v>8262</v>
      </c>
      <c r="E1225" s="225">
        <v>306</v>
      </c>
      <c r="F1225" t="s">
        <v>8712</v>
      </c>
      <c r="G1225" t="s">
        <v>8711</v>
      </c>
      <c r="H1225" t="s">
        <v>8710</v>
      </c>
      <c r="I1225" s="99">
        <v>43953</v>
      </c>
      <c r="J1225">
        <f>YEAR(I1225)</f>
        <v>2020</v>
      </c>
      <c r="K1225" s="99">
        <v>43977</v>
      </c>
      <c r="L1225" t="s">
        <v>8251</v>
      </c>
      <c r="M1225" t="s">
        <v>269</v>
      </c>
    </row>
    <row r="1226" spans="2:13" x14ac:dyDescent="0.2">
      <c r="B1226">
        <v>10728</v>
      </c>
      <c r="C1226" t="s">
        <v>8268</v>
      </c>
      <c r="D1226" t="s">
        <v>8237</v>
      </c>
      <c r="E1226" s="225">
        <v>510</v>
      </c>
      <c r="F1226" t="s">
        <v>8712</v>
      </c>
      <c r="G1226" t="s">
        <v>8711</v>
      </c>
      <c r="H1226" t="s">
        <v>8710</v>
      </c>
      <c r="I1226" s="99">
        <v>43974</v>
      </c>
      <c r="J1226">
        <f>YEAR(I1226)</f>
        <v>2020</v>
      </c>
      <c r="K1226" s="99">
        <v>43981</v>
      </c>
      <c r="L1226" t="s">
        <v>8266</v>
      </c>
      <c r="M1226" t="s">
        <v>8267</v>
      </c>
    </row>
    <row r="1227" spans="2:13" x14ac:dyDescent="0.2">
      <c r="B1227">
        <v>10786</v>
      </c>
      <c r="C1227" t="s">
        <v>8328</v>
      </c>
      <c r="D1227" t="s">
        <v>8272</v>
      </c>
      <c r="E1227" s="225">
        <v>260.39999999999998</v>
      </c>
      <c r="F1227" t="s">
        <v>8712</v>
      </c>
      <c r="G1227" t="s">
        <v>8711</v>
      </c>
      <c r="H1227" t="s">
        <v>8710</v>
      </c>
      <c r="I1227" s="99">
        <v>44019</v>
      </c>
      <c r="J1227">
        <f>YEAR(I1227)</f>
        <v>2020</v>
      </c>
      <c r="K1227" s="99">
        <v>44023</v>
      </c>
      <c r="L1227" t="s">
        <v>8320</v>
      </c>
      <c r="M1227" t="s">
        <v>8321</v>
      </c>
    </row>
    <row r="1228" spans="2:13" x14ac:dyDescent="0.2">
      <c r="B1228">
        <v>10786</v>
      </c>
      <c r="C1228" t="s">
        <v>8379</v>
      </c>
      <c r="D1228" t="s">
        <v>8254</v>
      </c>
      <c r="E1228" s="225">
        <v>960</v>
      </c>
      <c r="F1228" t="s">
        <v>8712</v>
      </c>
      <c r="G1228" t="s">
        <v>8711</v>
      </c>
      <c r="H1228" t="s">
        <v>8710</v>
      </c>
      <c r="I1228" s="99">
        <v>44019</v>
      </c>
      <c r="J1228">
        <f>YEAR(I1228)</f>
        <v>2020</v>
      </c>
      <c r="K1228" s="99">
        <v>44023</v>
      </c>
      <c r="L1228" t="s">
        <v>8320</v>
      </c>
      <c r="M1228" t="s">
        <v>8321</v>
      </c>
    </row>
    <row r="1229" spans="2:13" x14ac:dyDescent="0.2">
      <c r="B1229">
        <v>10868</v>
      </c>
      <c r="C1229" t="s">
        <v>8323</v>
      </c>
      <c r="D1229" t="s">
        <v>8272</v>
      </c>
      <c r="E1229" s="225">
        <v>540</v>
      </c>
      <c r="F1229" t="s">
        <v>8712</v>
      </c>
      <c r="G1229" t="s">
        <v>8711</v>
      </c>
      <c r="H1229" t="s">
        <v>8710</v>
      </c>
      <c r="I1229" s="99">
        <v>44065</v>
      </c>
      <c r="J1229">
        <f>YEAR(I1229)</f>
        <v>2020</v>
      </c>
      <c r="K1229" s="99">
        <v>44084</v>
      </c>
      <c r="L1229" t="s">
        <v>8158</v>
      </c>
      <c r="M1229" t="s">
        <v>861</v>
      </c>
    </row>
    <row r="1230" spans="2:13" x14ac:dyDescent="0.2">
      <c r="B1230">
        <v>10868</v>
      </c>
      <c r="C1230" t="s">
        <v>8372</v>
      </c>
      <c r="D1230" t="s">
        <v>8262</v>
      </c>
      <c r="E1230" s="225">
        <v>624.6</v>
      </c>
      <c r="F1230" t="s">
        <v>8712</v>
      </c>
      <c r="G1230" t="s">
        <v>8711</v>
      </c>
      <c r="H1230" t="s">
        <v>8710</v>
      </c>
      <c r="I1230" s="99">
        <v>44065</v>
      </c>
      <c r="J1230">
        <f>YEAR(I1230)</f>
        <v>2020</v>
      </c>
      <c r="K1230" s="99">
        <v>44084</v>
      </c>
      <c r="L1230" t="s">
        <v>8158</v>
      </c>
      <c r="M1230" t="s">
        <v>861</v>
      </c>
    </row>
    <row r="1231" spans="2:13" x14ac:dyDescent="0.2">
      <c r="B1231">
        <v>10868</v>
      </c>
      <c r="C1231" t="s">
        <v>8390</v>
      </c>
      <c r="D1231" t="s">
        <v>8262</v>
      </c>
      <c r="E1231" s="225">
        <v>756</v>
      </c>
      <c r="F1231" t="s">
        <v>8712</v>
      </c>
      <c r="G1231" t="s">
        <v>8711</v>
      </c>
      <c r="H1231" t="s">
        <v>8710</v>
      </c>
      <c r="I1231" s="99">
        <v>44065</v>
      </c>
      <c r="J1231">
        <f>YEAR(I1231)</f>
        <v>2020</v>
      </c>
      <c r="K1231" s="99">
        <v>44084</v>
      </c>
      <c r="L1231" t="s">
        <v>8158</v>
      </c>
      <c r="M1231" t="s">
        <v>861</v>
      </c>
    </row>
    <row r="1232" spans="2:13" x14ac:dyDescent="0.2">
      <c r="B1232">
        <v>10913</v>
      </c>
      <c r="C1232" t="s">
        <v>8352</v>
      </c>
      <c r="D1232" t="s">
        <v>8254</v>
      </c>
      <c r="E1232" s="225">
        <v>495</v>
      </c>
      <c r="F1232" t="s">
        <v>8712</v>
      </c>
      <c r="G1232" t="s">
        <v>8711</v>
      </c>
      <c r="H1232" t="s">
        <v>8710</v>
      </c>
      <c r="I1232" s="99">
        <v>44087</v>
      </c>
      <c r="J1232">
        <f>YEAR(I1232)</f>
        <v>2020</v>
      </c>
      <c r="K1232" s="99">
        <v>44093</v>
      </c>
      <c r="L1232" t="s">
        <v>8266</v>
      </c>
      <c r="M1232" t="s">
        <v>8267</v>
      </c>
    </row>
    <row r="1233" spans="2:13" x14ac:dyDescent="0.2">
      <c r="B1233">
        <v>10913</v>
      </c>
      <c r="C1233" t="s">
        <v>8269</v>
      </c>
      <c r="D1233" t="s">
        <v>8237</v>
      </c>
      <c r="E1233" s="225">
        <v>75</v>
      </c>
      <c r="F1233" t="s">
        <v>8712</v>
      </c>
      <c r="G1233" t="s">
        <v>8711</v>
      </c>
      <c r="H1233" t="s">
        <v>8710</v>
      </c>
      <c r="I1233" s="99">
        <v>44087</v>
      </c>
      <c r="J1233">
        <f>YEAR(I1233)</f>
        <v>2020</v>
      </c>
      <c r="K1233" s="99">
        <v>44093</v>
      </c>
      <c r="L1233" t="s">
        <v>8266</v>
      </c>
      <c r="M1233" t="s">
        <v>8267</v>
      </c>
    </row>
    <row r="1234" spans="2:13" x14ac:dyDescent="0.2">
      <c r="B1234">
        <v>10914</v>
      </c>
      <c r="C1234" t="s">
        <v>8310</v>
      </c>
      <c r="D1234" t="s">
        <v>8237</v>
      </c>
      <c r="E1234" s="225">
        <v>537.5</v>
      </c>
      <c r="F1234" t="s">
        <v>8712</v>
      </c>
      <c r="G1234" t="s">
        <v>8711</v>
      </c>
      <c r="H1234" t="s">
        <v>8710</v>
      </c>
      <c r="I1234" s="99">
        <v>44088</v>
      </c>
      <c r="J1234">
        <f>YEAR(I1234)</f>
        <v>2020</v>
      </c>
      <c r="K1234" s="99">
        <v>44091</v>
      </c>
      <c r="L1234" t="s">
        <v>8251</v>
      </c>
      <c r="M1234" t="s">
        <v>269</v>
      </c>
    </row>
    <row r="1235" spans="2:13" x14ac:dyDescent="0.2">
      <c r="B1235">
        <v>10961</v>
      </c>
      <c r="C1235" t="s">
        <v>8303</v>
      </c>
      <c r="D1235" t="s">
        <v>8272</v>
      </c>
      <c r="E1235" s="225">
        <v>1080</v>
      </c>
      <c r="F1235" t="s">
        <v>8712</v>
      </c>
      <c r="G1235" t="s">
        <v>8711</v>
      </c>
      <c r="H1235" t="s">
        <v>8710</v>
      </c>
      <c r="I1235" s="99">
        <v>44108</v>
      </c>
      <c r="J1235">
        <f>YEAR(I1235)</f>
        <v>2020</v>
      </c>
      <c r="K1235" s="99">
        <v>44119</v>
      </c>
      <c r="L1235" t="s">
        <v>8320</v>
      </c>
      <c r="M1235" t="s">
        <v>8321</v>
      </c>
    </row>
    <row r="1236" spans="2:13" x14ac:dyDescent="0.2">
      <c r="B1236">
        <v>10961</v>
      </c>
      <c r="C1236" t="s">
        <v>8369</v>
      </c>
      <c r="D1236" t="s">
        <v>8244</v>
      </c>
      <c r="E1236" s="225">
        <v>39.9</v>
      </c>
      <c r="F1236" t="s">
        <v>8712</v>
      </c>
      <c r="G1236" t="s">
        <v>8711</v>
      </c>
      <c r="H1236" t="s">
        <v>8710</v>
      </c>
      <c r="I1236" s="99">
        <v>44108</v>
      </c>
      <c r="J1236">
        <f>YEAR(I1236)</f>
        <v>2020</v>
      </c>
      <c r="K1236" s="99">
        <v>44119</v>
      </c>
      <c r="L1236" t="s">
        <v>8320</v>
      </c>
      <c r="M1236" t="s">
        <v>8321</v>
      </c>
    </row>
    <row r="1237" spans="2:13" x14ac:dyDescent="0.2">
      <c r="B1237">
        <v>11068</v>
      </c>
      <c r="C1237" t="s">
        <v>8306</v>
      </c>
      <c r="D1237" t="s">
        <v>8272</v>
      </c>
      <c r="E1237" s="225">
        <v>1407.6</v>
      </c>
      <c r="F1237" t="s">
        <v>8712</v>
      </c>
      <c r="G1237" t="s">
        <v>8711</v>
      </c>
      <c r="H1237" t="s">
        <v>8710</v>
      </c>
      <c r="I1237" s="99">
        <v>44154</v>
      </c>
      <c r="J1237">
        <f>YEAR(I1237)</f>
        <v>2020</v>
      </c>
      <c r="L1237" t="s">
        <v>8320</v>
      </c>
      <c r="M1237" t="s">
        <v>8321</v>
      </c>
    </row>
    <row r="1238" spans="2:13" x14ac:dyDescent="0.2">
      <c r="B1238">
        <v>11068</v>
      </c>
      <c r="C1238" t="s">
        <v>8397</v>
      </c>
      <c r="D1238" t="s">
        <v>8254</v>
      </c>
      <c r="E1238" s="225">
        <v>309.39999999999998</v>
      </c>
      <c r="F1238" t="s">
        <v>8712</v>
      </c>
      <c r="G1238" t="s">
        <v>8711</v>
      </c>
      <c r="H1238" t="s">
        <v>8710</v>
      </c>
      <c r="I1238" s="99">
        <v>44154</v>
      </c>
      <c r="J1238">
        <f>YEAR(I1238)</f>
        <v>2020</v>
      </c>
      <c r="L1238" t="s">
        <v>8320</v>
      </c>
      <c r="M1238" t="s">
        <v>8321</v>
      </c>
    </row>
    <row r="1239" spans="2:13" x14ac:dyDescent="0.2">
      <c r="B1239">
        <v>11068</v>
      </c>
      <c r="C1239" t="s">
        <v>8316</v>
      </c>
      <c r="D1239" t="s">
        <v>8247</v>
      </c>
      <c r="E1239" s="225">
        <v>310.08</v>
      </c>
      <c r="F1239" t="s">
        <v>8712</v>
      </c>
      <c r="G1239" t="s">
        <v>8711</v>
      </c>
      <c r="H1239" t="s">
        <v>8710</v>
      </c>
      <c r="I1239" s="99">
        <v>44154</v>
      </c>
      <c r="J1239">
        <f>YEAR(I1239)</f>
        <v>2020</v>
      </c>
      <c r="L1239" t="s">
        <v>8320</v>
      </c>
      <c r="M1239" t="s">
        <v>8321</v>
      </c>
    </row>
    <row r="1240" spans="2:13" x14ac:dyDescent="0.2">
      <c r="B1240">
        <v>10273</v>
      </c>
      <c r="C1240" t="s">
        <v>8303</v>
      </c>
      <c r="D1240" t="s">
        <v>8272</v>
      </c>
      <c r="E1240" s="225">
        <v>451.44</v>
      </c>
      <c r="F1240" t="s">
        <v>8307</v>
      </c>
      <c r="G1240" t="s">
        <v>8308</v>
      </c>
      <c r="H1240" t="s">
        <v>8246</v>
      </c>
      <c r="I1240" s="99">
        <v>43518</v>
      </c>
      <c r="J1240">
        <f>YEAR(I1240)</f>
        <v>2019</v>
      </c>
      <c r="K1240" s="99">
        <v>43525</v>
      </c>
      <c r="L1240" t="s">
        <v>8257</v>
      </c>
      <c r="M1240" t="s">
        <v>6984</v>
      </c>
    </row>
    <row r="1241" spans="2:13" x14ac:dyDescent="0.2">
      <c r="B1241">
        <v>10273</v>
      </c>
      <c r="C1241" t="s">
        <v>8309</v>
      </c>
      <c r="D1241" t="s">
        <v>8237</v>
      </c>
      <c r="E1241" s="225">
        <v>142.5</v>
      </c>
      <c r="F1241" t="s">
        <v>8307</v>
      </c>
      <c r="G1241" t="s">
        <v>8308</v>
      </c>
      <c r="H1241" t="s">
        <v>8246</v>
      </c>
      <c r="I1241" s="99">
        <v>43518</v>
      </c>
      <c r="J1241">
        <f>YEAR(I1241)</f>
        <v>2019</v>
      </c>
      <c r="K1241" s="99">
        <v>43525</v>
      </c>
      <c r="L1241" t="s">
        <v>8257</v>
      </c>
      <c r="M1241" t="s">
        <v>6984</v>
      </c>
    </row>
    <row r="1242" spans="2:13" x14ac:dyDescent="0.2">
      <c r="B1242">
        <v>10273</v>
      </c>
      <c r="C1242" t="s">
        <v>8269</v>
      </c>
      <c r="D1242" t="s">
        <v>8237</v>
      </c>
      <c r="E1242" s="225">
        <v>40</v>
      </c>
      <c r="F1242" t="s">
        <v>8307</v>
      </c>
      <c r="G1242" t="s">
        <v>8308</v>
      </c>
      <c r="H1242" t="s">
        <v>8246</v>
      </c>
      <c r="I1242" s="99">
        <v>43518</v>
      </c>
      <c r="J1242">
        <f>YEAR(I1242)</f>
        <v>2019</v>
      </c>
      <c r="K1242" s="99">
        <v>43525</v>
      </c>
      <c r="L1242" t="s">
        <v>8257</v>
      </c>
      <c r="M1242" t="s">
        <v>6984</v>
      </c>
    </row>
    <row r="1243" spans="2:13" x14ac:dyDescent="0.2">
      <c r="B1243">
        <v>10285</v>
      </c>
      <c r="C1243" t="s">
        <v>8333</v>
      </c>
      <c r="D1243" t="s">
        <v>8272</v>
      </c>
      <c r="E1243" s="225">
        <v>518.4</v>
      </c>
      <c r="F1243" t="s">
        <v>8307</v>
      </c>
      <c r="G1243" t="s">
        <v>8308</v>
      </c>
      <c r="H1243" t="s">
        <v>8246</v>
      </c>
      <c r="I1243" s="99">
        <v>43533</v>
      </c>
      <c r="J1243">
        <f>YEAR(I1243)</f>
        <v>2019</v>
      </c>
      <c r="K1243" s="99">
        <v>43539</v>
      </c>
      <c r="L1243" t="s">
        <v>8285</v>
      </c>
      <c r="M1243" t="s">
        <v>2317</v>
      </c>
    </row>
    <row r="1244" spans="2:13" x14ac:dyDescent="0.2">
      <c r="B1244">
        <v>10286</v>
      </c>
      <c r="C1244" t="s">
        <v>8323</v>
      </c>
      <c r="D1244" t="s">
        <v>8272</v>
      </c>
      <c r="E1244" s="225">
        <v>1440</v>
      </c>
      <c r="F1244" t="s">
        <v>8307</v>
      </c>
      <c r="G1244" t="s">
        <v>8308</v>
      </c>
      <c r="H1244" t="s">
        <v>8246</v>
      </c>
      <c r="I1244" s="99">
        <v>43534</v>
      </c>
      <c r="J1244">
        <f>YEAR(I1244)</f>
        <v>2019</v>
      </c>
      <c r="K1244" s="99">
        <v>43543</v>
      </c>
      <c r="L1244" t="s">
        <v>8320</v>
      </c>
      <c r="M1244" t="s">
        <v>8321</v>
      </c>
    </row>
    <row r="1245" spans="2:13" x14ac:dyDescent="0.2">
      <c r="B1245">
        <v>10286</v>
      </c>
      <c r="C1245" t="s">
        <v>8291</v>
      </c>
      <c r="D1245" t="s">
        <v>8262</v>
      </c>
      <c r="E1245" s="225">
        <v>1576</v>
      </c>
      <c r="F1245" t="s">
        <v>8307</v>
      </c>
      <c r="G1245" t="s">
        <v>8308</v>
      </c>
      <c r="H1245" t="s">
        <v>8246</v>
      </c>
      <c r="I1245" s="99">
        <v>43534</v>
      </c>
      <c r="J1245">
        <f>YEAR(I1245)</f>
        <v>2019</v>
      </c>
      <c r="K1245" s="99">
        <v>43543</v>
      </c>
      <c r="L1245" t="s">
        <v>8320</v>
      </c>
      <c r="M1245" t="s">
        <v>8321</v>
      </c>
    </row>
    <row r="1246" spans="2:13" x14ac:dyDescent="0.2">
      <c r="B1246">
        <v>10345</v>
      </c>
      <c r="C1246" t="s">
        <v>8379</v>
      </c>
      <c r="D1246" t="s">
        <v>8254</v>
      </c>
      <c r="E1246" s="225">
        <v>2240</v>
      </c>
      <c r="F1246" t="s">
        <v>8307</v>
      </c>
      <c r="G1246" t="s">
        <v>8308</v>
      </c>
      <c r="H1246" t="s">
        <v>8246</v>
      </c>
      <c r="I1246" s="99">
        <v>43609</v>
      </c>
      <c r="J1246">
        <f>YEAR(I1246)</f>
        <v>2019</v>
      </c>
      <c r="K1246" s="99">
        <v>43616</v>
      </c>
      <c r="L1246" t="s">
        <v>8297</v>
      </c>
      <c r="M1246" t="s">
        <v>8298</v>
      </c>
    </row>
    <row r="1247" spans="2:13" x14ac:dyDescent="0.2">
      <c r="B1247">
        <v>10345</v>
      </c>
      <c r="C1247" t="s">
        <v>8327</v>
      </c>
      <c r="D1247" t="s">
        <v>8262</v>
      </c>
      <c r="E1247" s="225">
        <v>584</v>
      </c>
      <c r="F1247" t="s">
        <v>8307</v>
      </c>
      <c r="G1247" t="s">
        <v>8308</v>
      </c>
      <c r="H1247" t="s">
        <v>8246</v>
      </c>
      <c r="I1247" s="99">
        <v>43609</v>
      </c>
      <c r="J1247">
        <f>YEAR(I1247)</f>
        <v>2019</v>
      </c>
      <c r="K1247" s="99">
        <v>43616</v>
      </c>
      <c r="L1247" t="s">
        <v>8297</v>
      </c>
      <c r="M1247" t="s">
        <v>8298</v>
      </c>
    </row>
    <row r="1248" spans="2:13" x14ac:dyDescent="0.2">
      <c r="B1248">
        <v>10345</v>
      </c>
      <c r="C1248" t="s">
        <v>8243</v>
      </c>
      <c r="D1248" t="s">
        <v>8244</v>
      </c>
      <c r="E1248" s="225">
        <v>100.8</v>
      </c>
      <c r="F1248" t="s">
        <v>8307</v>
      </c>
      <c r="G1248" t="s">
        <v>8308</v>
      </c>
      <c r="H1248" t="s">
        <v>8246</v>
      </c>
      <c r="I1248" s="99">
        <v>43609</v>
      </c>
      <c r="J1248">
        <f>YEAR(I1248)</f>
        <v>2019</v>
      </c>
      <c r="K1248" s="99">
        <v>43616</v>
      </c>
      <c r="L1248" t="s">
        <v>8297</v>
      </c>
      <c r="M1248" t="s">
        <v>8298</v>
      </c>
    </row>
    <row r="1249" spans="2:13" x14ac:dyDescent="0.2">
      <c r="B1249">
        <v>10361</v>
      </c>
      <c r="C1249" t="s">
        <v>8342</v>
      </c>
      <c r="D1249" t="s">
        <v>8272</v>
      </c>
      <c r="E1249" s="225">
        <v>699.84</v>
      </c>
      <c r="F1249" t="s">
        <v>8307</v>
      </c>
      <c r="G1249" t="s">
        <v>8308</v>
      </c>
      <c r="H1249" t="s">
        <v>8246</v>
      </c>
      <c r="I1249" s="99">
        <v>43627</v>
      </c>
      <c r="J1249">
        <f>YEAR(I1249)</f>
        <v>2019</v>
      </c>
      <c r="K1249" s="99">
        <v>43638</v>
      </c>
      <c r="L1249" t="s">
        <v>8285</v>
      </c>
      <c r="M1249" t="s">
        <v>2317</v>
      </c>
    </row>
    <row r="1250" spans="2:13" x14ac:dyDescent="0.2">
      <c r="B1250">
        <v>10361</v>
      </c>
      <c r="C1250" t="s">
        <v>8268</v>
      </c>
      <c r="D1250" t="s">
        <v>8237</v>
      </c>
      <c r="E1250" s="225">
        <v>1346.4</v>
      </c>
      <c r="F1250" t="s">
        <v>8307</v>
      </c>
      <c r="G1250" t="s">
        <v>8308</v>
      </c>
      <c r="H1250" t="s">
        <v>8246</v>
      </c>
      <c r="I1250" s="99">
        <v>43627</v>
      </c>
      <c r="J1250">
        <f>YEAR(I1250)</f>
        <v>2019</v>
      </c>
      <c r="K1250" s="99">
        <v>43638</v>
      </c>
      <c r="L1250" t="s">
        <v>8285</v>
      </c>
      <c r="M1250" t="s">
        <v>2317</v>
      </c>
    </row>
    <row r="1251" spans="2:13" x14ac:dyDescent="0.2">
      <c r="B1251">
        <v>10418</v>
      </c>
      <c r="C1251" t="s">
        <v>8276</v>
      </c>
      <c r="D1251" t="s">
        <v>8272</v>
      </c>
      <c r="E1251" s="225">
        <v>912</v>
      </c>
      <c r="F1251" t="s">
        <v>8307</v>
      </c>
      <c r="G1251" t="s">
        <v>8308</v>
      </c>
      <c r="H1251" t="s">
        <v>8246</v>
      </c>
      <c r="I1251" s="99">
        <v>43683</v>
      </c>
      <c r="J1251">
        <f>YEAR(I1251)</f>
        <v>2019</v>
      </c>
      <c r="K1251" s="99">
        <v>43690</v>
      </c>
      <c r="L1251" t="s">
        <v>8266</v>
      </c>
      <c r="M1251" t="s">
        <v>8267</v>
      </c>
    </row>
    <row r="1252" spans="2:13" x14ac:dyDescent="0.2">
      <c r="B1252">
        <v>10418</v>
      </c>
      <c r="C1252" t="s">
        <v>8409</v>
      </c>
      <c r="D1252" t="s">
        <v>8254</v>
      </c>
      <c r="E1252" s="225">
        <v>364.8</v>
      </c>
      <c r="F1252" t="s">
        <v>8307</v>
      </c>
      <c r="G1252" t="s">
        <v>8308</v>
      </c>
      <c r="H1252" t="s">
        <v>8246</v>
      </c>
      <c r="I1252" s="99">
        <v>43683</v>
      </c>
      <c r="J1252">
        <f>YEAR(I1252)</f>
        <v>2019</v>
      </c>
      <c r="K1252" s="99">
        <v>43690</v>
      </c>
      <c r="L1252" t="s">
        <v>8266</v>
      </c>
      <c r="M1252" t="s">
        <v>8267</v>
      </c>
    </row>
    <row r="1253" spans="2:13" x14ac:dyDescent="0.2">
      <c r="B1253">
        <v>10418</v>
      </c>
      <c r="C1253" t="s">
        <v>8410</v>
      </c>
      <c r="D1253" t="s">
        <v>8262</v>
      </c>
      <c r="E1253" s="225">
        <v>418</v>
      </c>
      <c r="F1253" t="s">
        <v>8307</v>
      </c>
      <c r="G1253" t="s">
        <v>8308</v>
      </c>
      <c r="H1253" t="s">
        <v>8246</v>
      </c>
      <c r="I1253" s="99">
        <v>43683</v>
      </c>
      <c r="J1253">
        <f>YEAR(I1253)</f>
        <v>2019</v>
      </c>
      <c r="K1253" s="99">
        <v>43690</v>
      </c>
      <c r="L1253" t="s">
        <v>8266</v>
      </c>
      <c r="M1253" t="s">
        <v>8267</v>
      </c>
    </row>
    <row r="1254" spans="2:13" x14ac:dyDescent="0.2">
      <c r="B1254">
        <v>10418</v>
      </c>
      <c r="C1254" t="s">
        <v>8275</v>
      </c>
      <c r="D1254" t="s">
        <v>8247</v>
      </c>
      <c r="E1254" s="225">
        <v>120</v>
      </c>
      <c r="F1254" t="s">
        <v>8307</v>
      </c>
      <c r="G1254" t="s">
        <v>8308</v>
      </c>
      <c r="H1254" t="s">
        <v>8246</v>
      </c>
      <c r="I1254" s="99">
        <v>43683</v>
      </c>
      <c r="J1254">
        <f>YEAR(I1254)</f>
        <v>2019</v>
      </c>
      <c r="K1254" s="99">
        <v>43690</v>
      </c>
      <c r="L1254" t="s">
        <v>8266</v>
      </c>
      <c r="M1254" t="s">
        <v>8267</v>
      </c>
    </row>
    <row r="1255" spans="2:13" x14ac:dyDescent="0.2">
      <c r="B1255">
        <v>10451</v>
      </c>
      <c r="C1255" t="s">
        <v>8253</v>
      </c>
      <c r="D1255" t="s">
        <v>8254</v>
      </c>
      <c r="E1255" s="225">
        <v>423.36</v>
      </c>
      <c r="F1255" t="s">
        <v>8307</v>
      </c>
      <c r="G1255" t="s">
        <v>8308</v>
      </c>
      <c r="H1255" t="s">
        <v>8246</v>
      </c>
      <c r="I1255" s="99">
        <v>43716</v>
      </c>
      <c r="J1255">
        <f>YEAR(I1255)</f>
        <v>2019</v>
      </c>
      <c r="K1255" s="99">
        <v>43737</v>
      </c>
      <c r="L1255" t="s">
        <v>8266</v>
      </c>
      <c r="M1255" t="s">
        <v>8267</v>
      </c>
    </row>
    <row r="1256" spans="2:13" x14ac:dyDescent="0.2">
      <c r="B1256">
        <v>10451</v>
      </c>
      <c r="C1256" t="s">
        <v>8397</v>
      </c>
      <c r="D1256" t="s">
        <v>8254</v>
      </c>
      <c r="E1256" s="225">
        <v>514.79999999999995</v>
      </c>
      <c r="F1256" t="s">
        <v>8307</v>
      </c>
      <c r="G1256" t="s">
        <v>8308</v>
      </c>
      <c r="H1256" t="s">
        <v>8246</v>
      </c>
      <c r="I1256" s="99">
        <v>43716</v>
      </c>
      <c r="J1256">
        <f>YEAR(I1256)</f>
        <v>2019</v>
      </c>
      <c r="K1256" s="99">
        <v>43737</v>
      </c>
      <c r="L1256" t="s">
        <v>8266</v>
      </c>
      <c r="M1256" t="s">
        <v>8267</v>
      </c>
    </row>
    <row r="1257" spans="2:13" x14ac:dyDescent="0.2">
      <c r="B1257">
        <v>10451</v>
      </c>
      <c r="C1257" t="s">
        <v>8340</v>
      </c>
      <c r="D1257" t="s">
        <v>8244</v>
      </c>
      <c r="E1257" s="225">
        <v>837.9</v>
      </c>
      <c r="F1257" t="s">
        <v>8307</v>
      </c>
      <c r="G1257" t="s">
        <v>8308</v>
      </c>
      <c r="H1257" t="s">
        <v>8246</v>
      </c>
      <c r="I1257" s="99">
        <v>43716</v>
      </c>
      <c r="J1257">
        <f>YEAR(I1257)</f>
        <v>2019</v>
      </c>
      <c r="K1257" s="99">
        <v>43737</v>
      </c>
      <c r="L1257" t="s">
        <v>8266</v>
      </c>
      <c r="M1257" t="s">
        <v>8267</v>
      </c>
    </row>
    <row r="1258" spans="2:13" x14ac:dyDescent="0.2">
      <c r="B1258">
        <v>10515</v>
      </c>
      <c r="C1258" t="s">
        <v>8280</v>
      </c>
      <c r="D1258" t="s">
        <v>8262</v>
      </c>
      <c r="E1258" s="225">
        <v>872.5</v>
      </c>
      <c r="F1258" t="s">
        <v>8307</v>
      </c>
      <c r="G1258" t="s">
        <v>8308</v>
      </c>
      <c r="H1258" t="s">
        <v>8246</v>
      </c>
      <c r="I1258" s="99">
        <v>43779</v>
      </c>
      <c r="J1258">
        <f>YEAR(I1258)</f>
        <v>2019</v>
      </c>
      <c r="K1258" s="99">
        <v>43809</v>
      </c>
      <c r="L1258" t="s">
        <v>8297</v>
      </c>
      <c r="M1258" t="s">
        <v>8298</v>
      </c>
    </row>
    <row r="1259" spans="2:13" x14ac:dyDescent="0.2">
      <c r="B1259">
        <v>10515</v>
      </c>
      <c r="C1259" t="s">
        <v>8332</v>
      </c>
      <c r="D1259" t="s">
        <v>8262</v>
      </c>
      <c r="E1259" s="225">
        <v>5268</v>
      </c>
      <c r="F1259" t="s">
        <v>8307</v>
      </c>
      <c r="G1259" t="s">
        <v>8308</v>
      </c>
      <c r="H1259" t="s">
        <v>8246</v>
      </c>
      <c r="I1259" s="99">
        <v>43779</v>
      </c>
      <c r="J1259">
        <f>YEAR(I1259)</f>
        <v>2019</v>
      </c>
      <c r="K1259" s="99">
        <v>43809</v>
      </c>
      <c r="L1259" t="s">
        <v>8297</v>
      </c>
      <c r="M1259" t="s">
        <v>8298</v>
      </c>
    </row>
    <row r="1260" spans="2:13" x14ac:dyDescent="0.2">
      <c r="B1260">
        <v>10515</v>
      </c>
      <c r="C1260" t="s">
        <v>8269</v>
      </c>
      <c r="D1260" t="s">
        <v>8237</v>
      </c>
      <c r="E1260" s="225">
        <v>34</v>
      </c>
      <c r="F1260" t="s">
        <v>8307</v>
      </c>
      <c r="G1260" t="s">
        <v>8308</v>
      </c>
      <c r="H1260" t="s">
        <v>8246</v>
      </c>
      <c r="I1260" s="99">
        <v>43779</v>
      </c>
      <c r="J1260">
        <f>YEAR(I1260)</f>
        <v>2019</v>
      </c>
      <c r="K1260" s="99">
        <v>43809</v>
      </c>
      <c r="L1260" t="s">
        <v>8297</v>
      </c>
      <c r="M1260" t="s">
        <v>8298</v>
      </c>
    </row>
    <row r="1261" spans="2:13" x14ac:dyDescent="0.2">
      <c r="B1261">
        <v>10515</v>
      </c>
      <c r="C1261" t="s">
        <v>8268</v>
      </c>
      <c r="D1261" t="s">
        <v>8237</v>
      </c>
      <c r="E1261" s="225">
        <v>2427.6</v>
      </c>
      <c r="F1261" t="s">
        <v>8307</v>
      </c>
      <c r="G1261" t="s">
        <v>8308</v>
      </c>
      <c r="H1261" t="s">
        <v>8246</v>
      </c>
      <c r="I1261" s="99">
        <v>43779</v>
      </c>
      <c r="J1261">
        <f>YEAR(I1261)</f>
        <v>2019</v>
      </c>
      <c r="K1261" s="99">
        <v>43809</v>
      </c>
      <c r="L1261" t="s">
        <v>8297</v>
      </c>
      <c r="M1261" t="s">
        <v>8298</v>
      </c>
    </row>
    <row r="1262" spans="2:13" x14ac:dyDescent="0.2">
      <c r="B1262">
        <v>10527</v>
      </c>
      <c r="C1262" t="s">
        <v>8352</v>
      </c>
      <c r="D1262" t="s">
        <v>8254</v>
      </c>
      <c r="E1262" s="225">
        <v>990</v>
      </c>
      <c r="F1262" t="s">
        <v>8307</v>
      </c>
      <c r="G1262" t="s">
        <v>8308</v>
      </c>
      <c r="H1262" t="s">
        <v>8246</v>
      </c>
      <c r="I1262" s="99">
        <v>43791</v>
      </c>
      <c r="J1262">
        <f>YEAR(I1262)</f>
        <v>2019</v>
      </c>
      <c r="K1262" s="99">
        <v>43793</v>
      </c>
      <c r="L1262" t="s">
        <v>8158</v>
      </c>
      <c r="M1262" t="s">
        <v>861</v>
      </c>
    </row>
    <row r="1263" spans="2:13" x14ac:dyDescent="0.2">
      <c r="B1263">
        <v>10540</v>
      </c>
      <c r="C1263" t="s">
        <v>8380</v>
      </c>
      <c r="D1263" t="s">
        <v>8272</v>
      </c>
      <c r="E1263" s="225">
        <v>7905</v>
      </c>
      <c r="F1263" t="s">
        <v>8307</v>
      </c>
      <c r="G1263" t="s">
        <v>8308</v>
      </c>
      <c r="H1263" t="s">
        <v>8246</v>
      </c>
      <c r="I1263" s="99">
        <v>43805</v>
      </c>
      <c r="J1263">
        <f>YEAR(I1263)</f>
        <v>2019</v>
      </c>
      <c r="K1263" s="99">
        <v>43830</v>
      </c>
      <c r="L1263" t="s">
        <v>8257</v>
      </c>
      <c r="M1263" t="s">
        <v>6984</v>
      </c>
    </row>
    <row r="1264" spans="2:13" x14ac:dyDescent="0.2">
      <c r="B1264">
        <v>10540</v>
      </c>
      <c r="C1264" t="s">
        <v>8337</v>
      </c>
      <c r="D1264" t="s">
        <v>8254</v>
      </c>
      <c r="E1264" s="225">
        <v>600</v>
      </c>
      <c r="F1264" t="s">
        <v>8307</v>
      </c>
      <c r="G1264" t="s">
        <v>8308</v>
      </c>
      <c r="H1264" t="s">
        <v>8246</v>
      </c>
      <c r="I1264" s="99">
        <v>43805</v>
      </c>
      <c r="J1264">
        <f>YEAR(I1264)</f>
        <v>2019</v>
      </c>
      <c r="K1264" s="99">
        <v>43830</v>
      </c>
      <c r="L1264" t="s">
        <v>8257</v>
      </c>
      <c r="M1264" t="s">
        <v>6984</v>
      </c>
    </row>
    <row r="1265" spans="2:13" x14ac:dyDescent="0.2">
      <c r="B1265">
        <v>10540</v>
      </c>
      <c r="C1265" t="s">
        <v>8372</v>
      </c>
      <c r="D1265" t="s">
        <v>8262</v>
      </c>
      <c r="E1265" s="225">
        <v>1249.2</v>
      </c>
      <c r="F1265" t="s">
        <v>8307</v>
      </c>
      <c r="G1265" t="s">
        <v>8308</v>
      </c>
      <c r="H1265" t="s">
        <v>8246</v>
      </c>
      <c r="I1265" s="99">
        <v>43805</v>
      </c>
      <c r="J1265">
        <f>YEAR(I1265)</f>
        <v>2019</v>
      </c>
      <c r="K1265" s="99">
        <v>43830</v>
      </c>
      <c r="L1265" t="s">
        <v>8257</v>
      </c>
      <c r="M1265" t="s">
        <v>6984</v>
      </c>
    </row>
    <row r="1266" spans="2:13" x14ac:dyDescent="0.2">
      <c r="B1266">
        <v>10540</v>
      </c>
      <c r="C1266" t="s">
        <v>8334</v>
      </c>
      <c r="D1266" t="s">
        <v>8262</v>
      </c>
      <c r="E1266" s="225">
        <v>437.5</v>
      </c>
      <c r="F1266" t="s">
        <v>8307</v>
      </c>
      <c r="G1266" t="s">
        <v>8308</v>
      </c>
      <c r="H1266" t="s">
        <v>8246</v>
      </c>
      <c r="I1266" s="99">
        <v>43805</v>
      </c>
      <c r="J1266">
        <f>YEAR(I1266)</f>
        <v>2019</v>
      </c>
      <c r="K1266" s="99">
        <v>43830</v>
      </c>
      <c r="L1266" t="s">
        <v>8257</v>
      </c>
      <c r="M1266" t="s">
        <v>6984</v>
      </c>
    </row>
    <row r="1267" spans="2:13" x14ac:dyDescent="0.2">
      <c r="B1267">
        <v>10549</v>
      </c>
      <c r="C1267" t="s">
        <v>8309</v>
      </c>
      <c r="D1267" t="s">
        <v>8237</v>
      </c>
      <c r="E1267" s="225">
        <v>584.37</v>
      </c>
      <c r="F1267" t="s">
        <v>8307</v>
      </c>
      <c r="G1267" t="s">
        <v>8308</v>
      </c>
      <c r="H1267" t="s">
        <v>8246</v>
      </c>
      <c r="I1267" s="99">
        <v>43813</v>
      </c>
      <c r="J1267">
        <f>YEAR(I1267)</f>
        <v>2019</v>
      </c>
      <c r="K1267" s="99">
        <v>43816</v>
      </c>
      <c r="L1267" t="s">
        <v>8241</v>
      </c>
      <c r="M1267" t="s">
        <v>6934</v>
      </c>
    </row>
    <row r="1268" spans="2:13" x14ac:dyDescent="0.2">
      <c r="B1268">
        <v>10549</v>
      </c>
      <c r="C1268" t="s">
        <v>8245</v>
      </c>
      <c r="D1268" t="s">
        <v>8247</v>
      </c>
      <c r="E1268" s="225">
        <v>2162.4</v>
      </c>
      <c r="F1268" t="s">
        <v>8307</v>
      </c>
      <c r="G1268" t="s">
        <v>8308</v>
      </c>
      <c r="H1268" t="s">
        <v>8246</v>
      </c>
      <c r="I1268" s="99">
        <v>43813</v>
      </c>
      <c r="J1268">
        <f>YEAR(I1268)</f>
        <v>2019</v>
      </c>
      <c r="K1268" s="99">
        <v>43816</v>
      </c>
      <c r="L1268" t="s">
        <v>8241</v>
      </c>
      <c r="M1268" t="s">
        <v>6934</v>
      </c>
    </row>
    <row r="1269" spans="2:13" x14ac:dyDescent="0.2">
      <c r="B1269">
        <v>10588</v>
      </c>
      <c r="C1269" t="s">
        <v>8243</v>
      </c>
      <c r="D1269" t="s">
        <v>8244</v>
      </c>
      <c r="E1269" s="225">
        <v>1120</v>
      </c>
      <c r="F1269" t="s">
        <v>8307</v>
      </c>
      <c r="G1269" t="s">
        <v>8308</v>
      </c>
      <c r="H1269" t="s">
        <v>8246</v>
      </c>
      <c r="I1269" s="99">
        <v>43850</v>
      </c>
      <c r="J1269">
        <f>YEAR(I1269)</f>
        <v>2020</v>
      </c>
      <c r="K1269" s="99">
        <v>43857</v>
      </c>
      <c r="L1269" t="s">
        <v>8297</v>
      </c>
      <c r="M1269" t="s">
        <v>8298</v>
      </c>
    </row>
    <row r="1270" spans="2:13" x14ac:dyDescent="0.2">
      <c r="B1270">
        <v>10658</v>
      </c>
      <c r="C1270" t="s">
        <v>8397</v>
      </c>
      <c r="D1270" t="s">
        <v>8254</v>
      </c>
      <c r="E1270" s="225">
        <v>864.5</v>
      </c>
      <c r="F1270" t="s">
        <v>8307</v>
      </c>
      <c r="G1270" t="s">
        <v>8308</v>
      </c>
      <c r="H1270" t="s">
        <v>8246</v>
      </c>
      <c r="I1270" s="99">
        <v>43914</v>
      </c>
      <c r="J1270">
        <f>YEAR(I1270)</f>
        <v>2020</v>
      </c>
      <c r="K1270" s="99">
        <v>43917</v>
      </c>
      <c r="L1270" t="s">
        <v>8266</v>
      </c>
      <c r="M1270" t="s">
        <v>8267</v>
      </c>
    </row>
    <row r="1271" spans="2:13" x14ac:dyDescent="0.2">
      <c r="B1271">
        <v>10658</v>
      </c>
      <c r="C1271" t="s">
        <v>8368</v>
      </c>
      <c r="D1271" t="s">
        <v>8262</v>
      </c>
      <c r="E1271" s="225">
        <v>600</v>
      </c>
      <c r="F1271" t="s">
        <v>8307</v>
      </c>
      <c r="G1271" t="s">
        <v>8308</v>
      </c>
      <c r="H1271" t="s">
        <v>8246</v>
      </c>
      <c r="I1271" s="99">
        <v>43914</v>
      </c>
      <c r="J1271">
        <f>YEAR(I1271)</f>
        <v>2020</v>
      </c>
      <c r="K1271" s="99">
        <v>43917</v>
      </c>
      <c r="L1271" t="s">
        <v>8266</v>
      </c>
      <c r="M1271" t="s">
        <v>8267</v>
      </c>
    </row>
    <row r="1272" spans="2:13" x14ac:dyDescent="0.2">
      <c r="B1272">
        <v>10658</v>
      </c>
      <c r="C1272" t="s">
        <v>8268</v>
      </c>
      <c r="D1272" t="s">
        <v>8237</v>
      </c>
      <c r="E1272" s="225">
        <v>1776.5</v>
      </c>
      <c r="F1272" t="s">
        <v>8307</v>
      </c>
      <c r="G1272" t="s">
        <v>8308</v>
      </c>
      <c r="H1272" t="s">
        <v>8246</v>
      </c>
      <c r="I1272" s="99">
        <v>43914</v>
      </c>
      <c r="J1272">
        <f>YEAR(I1272)</f>
        <v>2020</v>
      </c>
      <c r="K1272" s="99">
        <v>43917</v>
      </c>
      <c r="L1272" t="s">
        <v>8266</v>
      </c>
      <c r="M1272" t="s">
        <v>8267</v>
      </c>
    </row>
    <row r="1273" spans="2:13" x14ac:dyDescent="0.2">
      <c r="B1273">
        <v>10691</v>
      </c>
      <c r="C1273" t="s">
        <v>8333</v>
      </c>
      <c r="D1273" t="s">
        <v>8272</v>
      </c>
      <c r="E1273" s="225">
        <v>540</v>
      </c>
      <c r="F1273" t="s">
        <v>8307</v>
      </c>
      <c r="G1273" t="s">
        <v>8308</v>
      </c>
      <c r="H1273" t="s">
        <v>8246</v>
      </c>
      <c r="I1273" s="99">
        <v>43942</v>
      </c>
      <c r="J1273">
        <f>YEAR(I1273)</f>
        <v>2020</v>
      </c>
      <c r="K1273" s="99">
        <v>43961</v>
      </c>
      <c r="L1273" t="s">
        <v>8297</v>
      </c>
      <c r="M1273" t="s">
        <v>8298</v>
      </c>
    </row>
    <row r="1274" spans="2:13" x14ac:dyDescent="0.2">
      <c r="B1274">
        <v>10691</v>
      </c>
      <c r="C1274" t="s">
        <v>8306</v>
      </c>
      <c r="D1274" t="s">
        <v>8272</v>
      </c>
      <c r="E1274" s="225">
        <v>1840</v>
      </c>
      <c r="F1274" t="s">
        <v>8307</v>
      </c>
      <c r="G1274" t="s">
        <v>8308</v>
      </c>
      <c r="H1274" t="s">
        <v>8246</v>
      </c>
      <c r="I1274" s="99">
        <v>43942</v>
      </c>
      <c r="J1274">
        <f>YEAR(I1274)</f>
        <v>2020</v>
      </c>
      <c r="K1274" s="99">
        <v>43961</v>
      </c>
      <c r="L1274" t="s">
        <v>8297</v>
      </c>
      <c r="M1274" t="s">
        <v>8298</v>
      </c>
    </row>
    <row r="1275" spans="2:13" x14ac:dyDescent="0.2">
      <c r="B1275">
        <v>10691</v>
      </c>
      <c r="C1275" t="s">
        <v>8322</v>
      </c>
      <c r="D1275" t="s">
        <v>8254</v>
      </c>
      <c r="E1275" s="225">
        <v>466.8</v>
      </c>
      <c r="F1275" t="s">
        <v>8307</v>
      </c>
      <c r="G1275" t="s">
        <v>8308</v>
      </c>
      <c r="H1275" t="s">
        <v>8246</v>
      </c>
      <c r="I1275" s="99">
        <v>43942</v>
      </c>
      <c r="J1275">
        <f>YEAR(I1275)</f>
        <v>2020</v>
      </c>
      <c r="K1275" s="99">
        <v>43961</v>
      </c>
      <c r="L1275" t="s">
        <v>8297</v>
      </c>
      <c r="M1275" t="s">
        <v>8298</v>
      </c>
    </row>
    <row r="1276" spans="2:13" x14ac:dyDescent="0.2">
      <c r="B1276">
        <v>10691</v>
      </c>
      <c r="C1276" t="s">
        <v>8291</v>
      </c>
      <c r="D1276" t="s">
        <v>8262</v>
      </c>
      <c r="E1276" s="225">
        <v>2366.4</v>
      </c>
      <c r="F1276" t="s">
        <v>8307</v>
      </c>
      <c r="G1276" t="s">
        <v>8308</v>
      </c>
      <c r="H1276" t="s">
        <v>8246</v>
      </c>
      <c r="I1276" s="99">
        <v>43942</v>
      </c>
      <c r="J1276">
        <f>YEAR(I1276)</f>
        <v>2020</v>
      </c>
      <c r="K1276" s="99">
        <v>43961</v>
      </c>
      <c r="L1276" t="s">
        <v>8297</v>
      </c>
      <c r="M1276" t="s">
        <v>8298</v>
      </c>
    </row>
    <row r="1277" spans="2:13" x14ac:dyDescent="0.2">
      <c r="B1277">
        <v>10694</v>
      </c>
      <c r="C1277" t="s">
        <v>8288</v>
      </c>
      <c r="D1277" t="s">
        <v>8272</v>
      </c>
      <c r="E1277" s="225">
        <v>750</v>
      </c>
      <c r="F1277" t="s">
        <v>8307</v>
      </c>
      <c r="G1277" t="s">
        <v>8308</v>
      </c>
      <c r="H1277" t="s">
        <v>8246</v>
      </c>
      <c r="I1277" s="99">
        <v>43945</v>
      </c>
      <c r="J1277">
        <f>YEAR(I1277)</f>
        <v>2020</v>
      </c>
      <c r="K1277" s="99">
        <v>43948</v>
      </c>
      <c r="L1277" t="s">
        <v>8320</v>
      </c>
      <c r="M1277" t="s">
        <v>8321</v>
      </c>
    </row>
    <row r="1278" spans="2:13" x14ac:dyDescent="0.2">
      <c r="B1278">
        <v>10694</v>
      </c>
      <c r="C1278" t="s">
        <v>8281</v>
      </c>
      <c r="D1278" t="s">
        <v>8237</v>
      </c>
      <c r="E1278" s="225">
        <v>1375</v>
      </c>
      <c r="F1278" t="s">
        <v>8307</v>
      </c>
      <c r="G1278" t="s">
        <v>8308</v>
      </c>
      <c r="H1278" t="s">
        <v>8246</v>
      </c>
      <c r="I1278" s="99">
        <v>43945</v>
      </c>
      <c r="J1278">
        <f>YEAR(I1278)</f>
        <v>2020</v>
      </c>
      <c r="K1278" s="99">
        <v>43948</v>
      </c>
      <c r="L1278" t="s">
        <v>8320</v>
      </c>
      <c r="M1278" t="s">
        <v>8321</v>
      </c>
    </row>
    <row r="1279" spans="2:13" x14ac:dyDescent="0.2">
      <c r="B1279">
        <v>10694</v>
      </c>
      <c r="C1279" t="s">
        <v>8415</v>
      </c>
      <c r="D1279" t="s">
        <v>8247</v>
      </c>
      <c r="E1279" s="225">
        <v>2700</v>
      </c>
      <c r="F1279" t="s">
        <v>8307</v>
      </c>
      <c r="G1279" t="s">
        <v>8308</v>
      </c>
      <c r="H1279" t="s">
        <v>8246</v>
      </c>
      <c r="I1279" s="99">
        <v>43945</v>
      </c>
      <c r="J1279">
        <f>YEAR(I1279)</f>
        <v>2020</v>
      </c>
      <c r="K1279" s="99">
        <v>43948</v>
      </c>
      <c r="L1279" t="s">
        <v>8320</v>
      </c>
      <c r="M1279" t="s">
        <v>8321</v>
      </c>
    </row>
    <row r="1280" spans="2:13" x14ac:dyDescent="0.2">
      <c r="B1280">
        <v>10721</v>
      </c>
      <c r="C1280" t="s">
        <v>8322</v>
      </c>
      <c r="D1280" t="s">
        <v>8254</v>
      </c>
      <c r="E1280" s="225">
        <v>923.87</v>
      </c>
      <c r="F1280" t="s">
        <v>8307</v>
      </c>
      <c r="G1280" t="s">
        <v>8308</v>
      </c>
      <c r="H1280" t="s">
        <v>8246</v>
      </c>
      <c r="I1280" s="99">
        <v>43968</v>
      </c>
      <c r="J1280">
        <f>YEAR(I1280)</f>
        <v>2020</v>
      </c>
      <c r="K1280" s="99">
        <v>43970</v>
      </c>
      <c r="L1280" t="s">
        <v>8241</v>
      </c>
      <c r="M1280" t="s">
        <v>6934</v>
      </c>
    </row>
    <row r="1281" spans="2:13" x14ac:dyDescent="0.2">
      <c r="B1281">
        <v>10745</v>
      </c>
      <c r="C1281" t="s">
        <v>8322</v>
      </c>
      <c r="D1281" t="s">
        <v>8254</v>
      </c>
      <c r="E1281" s="225">
        <v>311.2</v>
      </c>
      <c r="F1281" t="s">
        <v>8307</v>
      </c>
      <c r="G1281" t="s">
        <v>8308</v>
      </c>
      <c r="H1281" t="s">
        <v>8246</v>
      </c>
      <c r="I1281" s="99">
        <v>43988</v>
      </c>
      <c r="J1281">
        <f>YEAR(I1281)</f>
        <v>2020</v>
      </c>
      <c r="K1281" s="99">
        <v>43997</v>
      </c>
      <c r="L1281" t="s">
        <v>8279</v>
      </c>
      <c r="M1281" t="s">
        <v>710</v>
      </c>
    </row>
    <row r="1282" spans="2:13" x14ac:dyDescent="0.2">
      <c r="B1282">
        <v>10745</v>
      </c>
      <c r="C1282" t="s">
        <v>8281</v>
      </c>
      <c r="D1282" t="s">
        <v>8237</v>
      </c>
      <c r="E1282" s="225">
        <v>2475</v>
      </c>
      <c r="F1282" t="s">
        <v>8307</v>
      </c>
      <c r="G1282" t="s">
        <v>8308</v>
      </c>
      <c r="H1282" t="s">
        <v>8246</v>
      </c>
      <c r="I1282" s="99">
        <v>43988</v>
      </c>
      <c r="J1282">
        <f>YEAR(I1282)</f>
        <v>2020</v>
      </c>
      <c r="K1282" s="99">
        <v>43997</v>
      </c>
      <c r="L1282" t="s">
        <v>8279</v>
      </c>
      <c r="M1282" t="s">
        <v>710</v>
      </c>
    </row>
    <row r="1283" spans="2:13" x14ac:dyDescent="0.2">
      <c r="B1283">
        <v>10745</v>
      </c>
      <c r="C1283" t="s">
        <v>8235</v>
      </c>
      <c r="D1283" t="s">
        <v>8237</v>
      </c>
      <c r="E1283" s="225">
        <v>243.6</v>
      </c>
      <c r="F1283" t="s">
        <v>8307</v>
      </c>
      <c r="G1283" t="s">
        <v>8308</v>
      </c>
      <c r="H1283" t="s">
        <v>8246</v>
      </c>
      <c r="I1283" s="99">
        <v>43988</v>
      </c>
      <c r="J1283">
        <f>YEAR(I1283)</f>
        <v>2020</v>
      </c>
      <c r="K1283" s="99">
        <v>43997</v>
      </c>
      <c r="L1283" t="s">
        <v>8279</v>
      </c>
      <c r="M1283" t="s">
        <v>710</v>
      </c>
    </row>
    <row r="1284" spans="2:13" x14ac:dyDescent="0.2">
      <c r="B1284">
        <v>10765</v>
      </c>
      <c r="C1284" t="s">
        <v>8253</v>
      </c>
      <c r="D1284" t="s">
        <v>8254</v>
      </c>
      <c r="E1284" s="225">
        <v>1515.6</v>
      </c>
      <c r="F1284" t="s">
        <v>8307</v>
      </c>
      <c r="G1284" t="s">
        <v>8308</v>
      </c>
      <c r="H1284" t="s">
        <v>8246</v>
      </c>
      <c r="I1284" s="99">
        <v>44004</v>
      </c>
      <c r="J1284">
        <f>YEAR(I1284)</f>
        <v>2020</v>
      </c>
      <c r="K1284" s="99">
        <v>44009</v>
      </c>
      <c r="L1284" t="s">
        <v>8257</v>
      </c>
      <c r="M1284" t="s">
        <v>6984</v>
      </c>
    </row>
    <row r="1285" spans="2:13" x14ac:dyDescent="0.2">
      <c r="B1285">
        <v>10788</v>
      </c>
      <c r="C1285" t="s">
        <v>8328</v>
      </c>
      <c r="D1285" t="s">
        <v>8272</v>
      </c>
      <c r="E1285" s="225">
        <v>294.5</v>
      </c>
      <c r="F1285" t="s">
        <v>8307</v>
      </c>
      <c r="G1285" t="s">
        <v>8308</v>
      </c>
      <c r="H1285" t="s">
        <v>8246</v>
      </c>
      <c r="I1285" s="99">
        <v>44022</v>
      </c>
      <c r="J1285">
        <f>YEAR(I1285)</f>
        <v>2020</v>
      </c>
      <c r="K1285" s="99">
        <v>44050</v>
      </c>
      <c r="L1285" t="s">
        <v>8285</v>
      </c>
      <c r="M1285" t="s">
        <v>2317</v>
      </c>
    </row>
    <row r="1286" spans="2:13" x14ac:dyDescent="0.2">
      <c r="B1286">
        <v>10788</v>
      </c>
      <c r="C1286" t="s">
        <v>8327</v>
      </c>
      <c r="D1286" t="s">
        <v>8262</v>
      </c>
      <c r="E1286" s="225">
        <v>437</v>
      </c>
      <c r="F1286" t="s">
        <v>8307</v>
      </c>
      <c r="G1286" t="s">
        <v>8308</v>
      </c>
      <c r="H1286" t="s">
        <v>8246</v>
      </c>
      <c r="I1286" s="99">
        <v>44022</v>
      </c>
      <c r="J1286">
        <f>YEAR(I1286)</f>
        <v>2020</v>
      </c>
      <c r="K1286" s="99">
        <v>44050</v>
      </c>
      <c r="L1286" t="s">
        <v>8285</v>
      </c>
      <c r="M1286" t="s">
        <v>2317</v>
      </c>
    </row>
    <row r="1287" spans="2:13" x14ac:dyDescent="0.2">
      <c r="B1287">
        <v>10845</v>
      </c>
      <c r="C1287" t="s">
        <v>8323</v>
      </c>
      <c r="D1287" t="s">
        <v>8272</v>
      </c>
      <c r="E1287" s="225">
        <v>405</v>
      </c>
      <c r="F1287" t="s">
        <v>8307</v>
      </c>
      <c r="G1287" t="s">
        <v>8308</v>
      </c>
      <c r="H1287" t="s">
        <v>8246</v>
      </c>
      <c r="I1287" s="99">
        <v>44052</v>
      </c>
      <c r="J1287">
        <f>YEAR(I1287)</f>
        <v>2020</v>
      </c>
      <c r="K1287" s="99">
        <v>44060</v>
      </c>
      <c r="L1287" t="s">
        <v>8320</v>
      </c>
      <c r="M1287" t="s">
        <v>8321</v>
      </c>
    </row>
    <row r="1288" spans="2:13" x14ac:dyDescent="0.2">
      <c r="B1288">
        <v>10845</v>
      </c>
      <c r="C1288" t="s">
        <v>8373</v>
      </c>
      <c r="D1288" t="s">
        <v>8244</v>
      </c>
      <c r="E1288" s="225">
        <v>567</v>
      </c>
      <c r="F1288" t="s">
        <v>8307</v>
      </c>
      <c r="G1288" t="s">
        <v>8308</v>
      </c>
      <c r="H1288" t="s">
        <v>8246</v>
      </c>
      <c r="I1288" s="99">
        <v>44052</v>
      </c>
      <c r="J1288">
        <f>YEAR(I1288)</f>
        <v>2020</v>
      </c>
      <c r="K1288" s="99">
        <v>44060</v>
      </c>
      <c r="L1288" t="s">
        <v>8320</v>
      </c>
      <c r="M1288" t="s">
        <v>8321</v>
      </c>
    </row>
    <row r="1289" spans="2:13" x14ac:dyDescent="0.2">
      <c r="B1289">
        <v>10845</v>
      </c>
      <c r="C1289" t="s">
        <v>8243</v>
      </c>
      <c r="D1289" t="s">
        <v>8244</v>
      </c>
      <c r="E1289" s="225">
        <v>529.20000000000005</v>
      </c>
      <c r="F1289" t="s">
        <v>8307</v>
      </c>
      <c r="G1289" t="s">
        <v>8308</v>
      </c>
      <c r="H1289" t="s">
        <v>8246</v>
      </c>
      <c r="I1289" s="99">
        <v>44052</v>
      </c>
      <c r="J1289">
        <f>YEAR(I1289)</f>
        <v>2020</v>
      </c>
      <c r="K1289" s="99">
        <v>44060</v>
      </c>
      <c r="L1289" t="s">
        <v>8320</v>
      </c>
      <c r="M1289" t="s">
        <v>8321</v>
      </c>
    </row>
    <row r="1290" spans="2:13" x14ac:dyDescent="0.2">
      <c r="B1290">
        <v>10845</v>
      </c>
      <c r="C1290" t="s">
        <v>8340</v>
      </c>
      <c r="D1290" t="s">
        <v>8244</v>
      </c>
      <c r="E1290" s="225">
        <v>1596</v>
      </c>
      <c r="F1290" t="s">
        <v>8307</v>
      </c>
      <c r="G1290" t="s">
        <v>8308</v>
      </c>
      <c r="H1290" t="s">
        <v>8246</v>
      </c>
      <c r="I1290" s="99">
        <v>44052</v>
      </c>
      <c r="J1290">
        <f>YEAR(I1290)</f>
        <v>2020</v>
      </c>
      <c r="K1290" s="99">
        <v>44060</v>
      </c>
      <c r="L1290" t="s">
        <v>8320</v>
      </c>
      <c r="M1290" t="s">
        <v>8321</v>
      </c>
    </row>
    <row r="1291" spans="2:13" x14ac:dyDescent="0.2">
      <c r="B1291">
        <v>10865</v>
      </c>
      <c r="C1291" t="s">
        <v>8380</v>
      </c>
      <c r="D1291" t="s">
        <v>8272</v>
      </c>
      <c r="E1291" s="225">
        <v>15019.5</v>
      </c>
      <c r="F1291" t="s">
        <v>8307</v>
      </c>
      <c r="G1291" t="s">
        <v>8308</v>
      </c>
      <c r="H1291" t="s">
        <v>8246</v>
      </c>
      <c r="I1291" s="99">
        <v>44063</v>
      </c>
      <c r="J1291">
        <f>YEAR(I1291)</f>
        <v>2020</v>
      </c>
      <c r="K1291" s="99">
        <v>44073</v>
      </c>
      <c r="L1291" t="s">
        <v>8297</v>
      </c>
      <c r="M1291" t="s">
        <v>8298</v>
      </c>
    </row>
    <row r="1292" spans="2:13" x14ac:dyDescent="0.2">
      <c r="B1292">
        <v>10865</v>
      </c>
      <c r="C1292" t="s">
        <v>8342</v>
      </c>
      <c r="D1292" t="s">
        <v>8272</v>
      </c>
      <c r="E1292" s="225">
        <v>1368</v>
      </c>
      <c r="F1292" t="s">
        <v>8307</v>
      </c>
      <c r="G1292" t="s">
        <v>8308</v>
      </c>
      <c r="H1292" t="s">
        <v>8246</v>
      </c>
      <c r="I1292" s="99">
        <v>44063</v>
      </c>
      <c r="J1292">
        <f>YEAR(I1292)</f>
        <v>2020</v>
      </c>
      <c r="K1292" s="99">
        <v>44073</v>
      </c>
      <c r="L1292" t="s">
        <v>8297</v>
      </c>
      <c r="M1292" t="s">
        <v>8298</v>
      </c>
    </row>
    <row r="1293" spans="2:13" x14ac:dyDescent="0.2">
      <c r="B1293">
        <v>10878</v>
      </c>
      <c r="C1293" t="s">
        <v>8260</v>
      </c>
      <c r="D1293" t="s">
        <v>8262</v>
      </c>
      <c r="E1293" s="225">
        <v>1539</v>
      </c>
      <c r="F1293" t="s">
        <v>8307</v>
      </c>
      <c r="G1293" t="s">
        <v>8308</v>
      </c>
      <c r="H1293" t="s">
        <v>8246</v>
      </c>
      <c r="I1293" s="99">
        <v>44072</v>
      </c>
      <c r="J1293">
        <f>YEAR(I1293)</f>
        <v>2020</v>
      </c>
      <c r="K1293" s="99">
        <v>44073</v>
      </c>
      <c r="L1293" t="s">
        <v>8266</v>
      </c>
      <c r="M1293" t="s">
        <v>8267</v>
      </c>
    </row>
    <row r="1294" spans="2:13" x14ac:dyDescent="0.2">
      <c r="B1294">
        <v>10938</v>
      </c>
      <c r="C1294" t="s">
        <v>8306</v>
      </c>
      <c r="D1294" t="s">
        <v>8272</v>
      </c>
      <c r="E1294" s="225">
        <v>828</v>
      </c>
      <c r="F1294" t="s">
        <v>8307</v>
      </c>
      <c r="G1294" t="s">
        <v>8308</v>
      </c>
      <c r="H1294" t="s">
        <v>8246</v>
      </c>
      <c r="I1294" s="99">
        <v>44099</v>
      </c>
      <c r="J1294">
        <f>YEAR(I1294)</f>
        <v>2020</v>
      </c>
      <c r="K1294" s="99">
        <v>44105</v>
      </c>
      <c r="L1294" t="s">
        <v>8257</v>
      </c>
      <c r="M1294" t="s">
        <v>6984</v>
      </c>
    </row>
    <row r="1295" spans="2:13" x14ac:dyDescent="0.2">
      <c r="B1295">
        <v>10938</v>
      </c>
      <c r="C1295" t="s">
        <v>8268</v>
      </c>
      <c r="D1295" t="s">
        <v>8237</v>
      </c>
      <c r="E1295" s="225">
        <v>1249.5</v>
      </c>
      <c r="F1295" t="s">
        <v>8307</v>
      </c>
      <c r="G1295" t="s">
        <v>8308</v>
      </c>
      <c r="H1295" t="s">
        <v>8246</v>
      </c>
      <c r="I1295" s="99">
        <v>44099</v>
      </c>
      <c r="J1295">
        <f>YEAR(I1295)</f>
        <v>2020</v>
      </c>
      <c r="K1295" s="99">
        <v>44105</v>
      </c>
      <c r="L1295" t="s">
        <v>8257</v>
      </c>
      <c r="M1295" t="s">
        <v>6984</v>
      </c>
    </row>
    <row r="1296" spans="2:13" x14ac:dyDescent="0.2">
      <c r="B1296">
        <v>10938</v>
      </c>
      <c r="C1296" t="s">
        <v>8310</v>
      </c>
      <c r="D1296" t="s">
        <v>8237</v>
      </c>
      <c r="E1296" s="225">
        <v>564.38</v>
      </c>
      <c r="F1296" t="s">
        <v>8307</v>
      </c>
      <c r="G1296" t="s">
        <v>8308</v>
      </c>
      <c r="H1296" t="s">
        <v>8246</v>
      </c>
      <c r="I1296" s="99">
        <v>44099</v>
      </c>
      <c r="J1296">
        <f>YEAR(I1296)</f>
        <v>2020</v>
      </c>
      <c r="K1296" s="99">
        <v>44105</v>
      </c>
      <c r="L1296" t="s">
        <v>8257</v>
      </c>
      <c r="M1296" t="s">
        <v>6984</v>
      </c>
    </row>
    <row r="1297" spans="2:13" x14ac:dyDescent="0.2">
      <c r="B1297">
        <v>10962</v>
      </c>
      <c r="C1297" t="s">
        <v>8303</v>
      </c>
      <c r="D1297" t="s">
        <v>8272</v>
      </c>
      <c r="E1297" s="225">
        <v>792</v>
      </c>
      <c r="F1297" t="s">
        <v>8307</v>
      </c>
      <c r="G1297" t="s">
        <v>8308</v>
      </c>
      <c r="H1297" t="s">
        <v>8246</v>
      </c>
      <c r="I1297" s="99">
        <v>44108</v>
      </c>
      <c r="J1297">
        <f>YEAR(I1297)</f>
        <v>2020</v>
      </c>
      <c r="K1297" s="99">
        <v>44112</v>
      </c>
      <c r="L1297" t="s">
        <v>8320</v>
      </c>
      <c r="M1297" t="s">
        <v>8321</v>
      </c>
    </row>
    <row r="1298" spans="2:13" x14ac:dyDescent="0.2">
      <c r="B1298">
        <v>10962</v>
      </c>
      <c r="C1298" t="s">
        <v>8353</v>
      </c>
      <c r="D1298" t="s">
        <v>8237</v>
      </c>
      <c r="E1298" s="225">
        <v>324</v>
      </c>
      <c r="F1298" t="s">
        <v>8307</v>
      </c>
      <c r="G1298" t="s">
        <v>8308</v>
      </c>
      <c r="H1298" t="s">
        <v>8246</v>
      </c>
      <c r="I1298" s="99">
        <v>44108</v>
      </c>
      <c r="J1298">
        <f>YEAR(I1298)</f>
        <v>2020</v>
      </c>
      <c r="K1298" s="99">
        <v>44112</v>
      </c>
      <c r="L1298" t="s">
        <v>8320</v>
      </c>
      <c r="M1298" t="s">
        <v>8321</v>
      </c>
    </row>
    <row r="1299" spans="2:13" x14ac:dyDescent="0.2">
      <c r="B1299">
        <v>10962</v>
      </c>
      <c r="C1299" t="s">
        <v>8415</v>
      </c>
      <c r="D1299" t="s">
        <v>8247</v>
      </c>
      <c r="E1299" s="225">
        <v>1350</v>
      </c>
      <c r="F1299" t="s">
        <v>8307</v>
      </c>
      <c r="G1299" t="s">
        <v>8308</v>
      </c>
      <c r="H1299" t="s">
        <v>8246</v>
      </c>
      <c r="I1299" s="99">
        <v>44108</v>
      </c>
      <c r="J1299">
        <f>YEAR(I1299)</f>
        <v>2020</v>
      </c>
      <c r="K1299" s="99">
        <v>44112</v>
      </c>
      <c r="L1299" t="s">
        <v>8320</v>
      </c>
      <c r="M1299" t="s">
        <v>8321</v>
      </c>
    </row>
    <row r="1300" spans="2:13" x14ac:dyDescent="0.2">
      <c r="B1300">
        <v>10991</v>
      </c>
      <c r="C1300" t="s">
        <v>8276</v>
      </c>
      <c r="D1300" t="s">
        <v>8272</v>
      </c>
      <c r="E1300" s="225">
        <v>760</v>
      </c>
      <c r="F1300" t="s">
        <v>8307</v>
      </c>
      <c r="G1300" t="s">
        <v>8308</v>
      </c>
      <c r="H1300" t="s">
        <v>8246</v>
      </c>
      <c r="I1300" s="99">
        <v>44121</v>
      </c>
      <c r="J1300">
        <f>YEAR(I1300)</f>
        <v>2020</v>
      </c>
      <c r="K1300" s="99">
        <v>44127</v>
      </c>
      <c r="L1300" t="s">
        <v>8285</v>
      </c>
      <c r="M1300" t="s">
        <v>2317</v>
      </c>
    </row>
    <row r="1301" spans="2:13" x14ac:dyDescent="0.2">
      <c r="B1301">
        <v>10991</v>
      </c>
      <c r="C1301" t="s">
        <v>8288</v>
      </c>
      <c r="D1301" t="s">
        <v>8272</v>
      </c>
      <c r="E1301" s="225">
        <v>240</v>
      </c>
      <c r="F1301" t="s">
        <v>8307</v>
      </c>
      <c r="G1301" t="s">
        <v>8308</v>
      </c>
      <c r="H1301" t="s">
        <v>8246</v>
      </c>
      <c r="I1301" s="99">
        <v>44121</v>
      </c>
      <c r="J1301">
        <f>YEAR(I1301)</f>
        <v>2020</v>
      </c>
      <c r="K1301" s="99">
        <v>44127</v>
      </c>
      <c r="L1301" t="s">
        <v>8285</v>
      </c>
      <c r="M1301" t="s">
        <v>2317</v>
      </c>
    </row>
    <row r="1302" spans="2:13" x14ac:dyDescent="0.2">
      <c r="B1302">
        <v>10991</v>
      </c>
      <c r="C1302" t="s">
        <v>8303</v>
      </c>
      <c r="D1302" t="s">
        <v>8272</v>
      </c>
      <c r="E1302" s="225">
        <v>1296</v>
      </c>
      <c r="F1302" t="s">
        <v>8307</v>
      </c>
      <c r="G1302" t="s">
        <v>8308</v>
      </c>
      <c r="H1302" t="s">
        <v>8246</v>
      </c>
      <c r="I1302" s="99">
        <v>44121</v>
      </c>
      <c r="J1302">
        <f>YEAR(I1302)</f>
        <v>2020</v>
      </c>
      <c r="K1302" s="99">
        <v>44127</v>
      </c>
      <c r="L1302" t="s">
        <v>8285</v>
      </c>
      <c r="M1302" t="s">
        <v>2317</v>
      </c>
    </row>
    <row r="1303" spans="2:13" x14ac:dyDescent="0.2">
      <c r="B1303">
        <v>10996</v>
      </c>
      <c r="C1303" t="s">
        <v>8243</v>
      </c>
      <c r="D1303" t="s">
        <v>8244</v>
      </c>
      <c r="E1303" s="225">
        <v>560</v>
      </c>
      <c r="F1303" t="s">
        <v>8307</v>
      </c>
      <c r="G1303" t="s">
        <v>8308</v>
      </c>
      <c r="H1303" t="s">
        <v>8246</v>
      </c>
      <c r="I1303" s="99">
        <v>44122</v>
      </c>
      <c r="J1303">
        <f>YEAR(I1303)</f>
        <v>2020</v>
      </c>
      <c r="K1303" s="99">
        <v>44130</v>
      </c>
      <c r="L1303" t="s">
        <v>8266</v>
      </c>
      <c r="M1303" t="s">
        <v>8267</v>
      </c>
    </row>
    <row r="1304" spans="2:13" x14ac:dyDescent="0.2">
      <c r="B1304">
        <v>11021</v>
      </c>
      <c r="C1304" t="s">
        <v>8276</v>
      </c>
      <c r="D1304" t="s">
        <v>8272</v>
      </c>
      <c r="E1304" s="225">
        <v>156.75</v>
      </c>
      <c r="F1304" t="s">
        <v>8307</v>
      </c>
      <c r="G1304" t="s">
        <v>8308</v>
      </c>
      <c r="H1304" t="s">
        <v>8246</v>
      </c>
      <c r="I1304" s="99">
        <v>44134</v>
      </c>
      <c r="J1304">
        <f>YEAR(I1304)</f>
        <v>2020</v>
      </c>
      <c r="K1304" s="99">
        <v>44141</v>
      </c>
      <c r="L1304" t="s">
        <v>8257</v>
      </c>
      <c r="M1304" t="s">
        <v>6984</v>
      </c>
    </row>
    <row r="1305" spans="2:13" x14ac:dyDescent="0.2">
      <c r="B1305">
        <v>11021</v>
      </c>
      <c r="C1305" t="s">
        <v>8260</v>
      </c>
      <c r="D1305" t="s">
        <v>8262</v>
      </c>
      <c r="E1305" s="225">
        <v>1215</v>
      </c>
      <c r="F1305" t="s">
        <v>8307</v>
      </c>
      <c r="G1305" t="s">
        <v>8308</v>
      </c>
      <c r="H1305" t="s">
        <v>8246</v>
      </c>
      <c r="I1305" s="99">
        <v>44134</v>
      </c>
      <c r="J1305">
        <f>YEAR(I1305)</f>
        <v>2020</v>
      </c>
      <c r="K1305" s="99">
        <v>44141</v>
      </c>
      <c r="L1305" t="s">
        <v>8257</v>
      </c>
      <c r="M1305" t="s">
        <v>6984</v>
      </c>
    </row>
    <row r="1306" spans="2:13" x14ac:dyDescent="0.2">
      <c r="B1306">
        <v>11021</v>
      </c>
      <c r="C1306" t="s">
        <v>8372</v>
      </c>
      <c r="D1306" t="s">
        <v>8262</v>
      </c>
      <c r="E1306" s="225">
        <v>1967.49</v>
      </c>
      <c r="F1306" t="s">
        <v>8307</v>
      </c>
      <c r="G1306" t="s">
        <v>8308</v>
      </c>
      <c r="H1306" t="s">
        <v>8246</v>
      </c>
      <c r="I1306" s="99">
        <v>44134</v>
      </c>
      <c r="J1306">
        <f>YEAR(I1306)</f>
        <v>2020</v>
      </c>
      <c r="K1306" s="99">
        <v>44141</v>
      </c>
      <c r="L1306" t="s">
        <v>8257</v>
      </c>
      <c r="M1306" t="s">
        <v>6984</v>
      </c>
    </row>
    <row r="1307" spans="2:13" x14ac:dyDescent="0.2">
      <c r="B1307">
        <v>11021</v>
      </c>
      <c r="C1307" t="s">
        <v>8235</v>
      </c>
      <c r="D1307" t="s">
        <v>8237</v>
      </c>
      <c r="E1307" s="225">
        <v>1218</v>
      </c>
      <c r="F1307" t="s">
        <v>8307</v>
      </c>
      <c r="G1307" t="s">
        <v>8308</v>
      </c>
      <c r="H1307" t="s">
        <v>8246</v>
      </c>
      <c r="I1307" s="99">
        <v>44134</v>
      </c>
      <c r="J1307">
        <f>YEAR(I1307)</f>
        <v>2020</v>
      </c>
      <c r="K1307" s="99">
        <v>44141</v>
      </c>
      <c r="L1307" t="s">
        <v>8257</v>
      </c>
      <c r="M1307" t="s">
        <v>6984</v>
      </c>
    </row>
    <row r="1308" spans="2:13" x14ac:dyDescent="0.2">
      <c r="B1308">
        <v>11021</v>
      </c>
      <c r="C1308" t="s">
        <v>8245</v>
      </c>
      <c r="D1308" t="s">
        <v>8247</v>
      </c>
      <c r="E1308" s="225">
        <v>1749</v>
      </c>
      <c r="F1308" t="s">
        <v>8307</v>
      </c>
      <c r="G1308" t="s">
        <v>8308</v>
      </c>
      <c r="H1308" t="s">
        <v>8246</v>
      </c>
      <c r="I1308" s="99">
        <v>44134</v>
      </c>
      <c r="J1308">
        <f>YEAR(I1308)</f>
        <v>2020</v>
      </c>
      <c r="K1308" s="99">
        <v>44141</v>
      </c>
      <c r="L1308" t="s">
        <v>8257</v>
      </c>
      <c r="M1308" t="s">
        <v>6984</v>
      </c>
    </row>
    <row r="1309" spans="2:13" x14ac:dyDescent="0.2">
      <c r="B1309">
        <v>10448</v>
      </c>
      <c r="C1309" t="s">
        <v>8372</v>
      </c>
      <c r="D1309" t="s">
        <v>8262</v>
      </c>
      <c r="E1309" s="225">
        <v>149.4</v>
      </c>
      <c r="F1309" t="s">
        <v>8726</v>
      </c>
      <c r="G1309" t="s">
        <v>8725</v>
      </c>
      <c r="H1309" t="s">
        <v>8717</v>
      </c>
      <c r="I1309" s="99">
        <v>43714</v>
      </c>
      <c r="J1309">
        <f>YEAR(I1309)</f>
        <v>2019</v>
      </c>
      <c r="K1309" s="99">
        <v>43721</v>
      </c>
      <c r="L1309" t="s">
        <v>8266</v>
      </c>
      <c r="M1309" t="s">
        <v>8267</v>
      </c>
    </row>
    <row r="1310" spans="2:13" x14ac:dyDescent="0.2">
      <c r="B1310">
        <v>10716</v>
      </c>
      <c r="C1310" t="s">
        <v>8409</v>
      </c>
      <c r="D1310" t="s">
        <v>8254</v>
      </c>
      <c r="E1310" s="225">
        <v>285</v>
      </c>
      <c r="F1310" t="s">
        <v>8726</v>
      </c>
      <c r="G1310" t="s">
        <v>8725</v>
      </c>
      <c r="H1310" t="s">
        <v>8717</v>
      </c>
      <c r="I1310" s="99">
        <v>43963</v>
      </c>
      <c r="J1310">
        <f>YEAR(I1310)</f>
        <v>2020</v>
      </c>
      <c r="K1310" s="99">
        <v>43966</v>
      </c>
      <c r="L1310" t="s">
        <v>8266</v>
      </c>
      <c r="M1310" t="s">
        <v>8267</v>
      </c>
    </row>
    <row r="1311" spans="2:13" x14ac:dyDescent="0.2">
      <c r="B1311">
        <v>10716</v>
      </c>
      <c r="C1311" t="s">
        <v>8368</v>
      </c>
      <c r="D1311" t="s">
        <v>8262</v>
      </c>
      <c r="E1311" s="225">
        <v>50</v>
      </c>
      <c r="F1311" t="s">
        <v>8726</v>
      </c>
      <c r="G1311" t="s">
        <v>8725</v>
      </c>
      <c r="H1311" t="s">
        <v>8717</v>
      </c>
      <c r="I1311" s="99">
        <v>43963</v>
      </c>
      <c r="J1311">
        <f>YEAR(I1311)</f>
        <v>2020</v>
      </c>
      <c r="K1311" s="99">
        <v>43966</v>
      </c>
      <c r="L1311" t="s">
        <v>8266</v>
      </c>
      <c r="M1311" t="s">
        <v>8267</v>
      </c>
    </row>
    <row r="1312" spans="2:13" x14ac:dyDescent="0.2">
      <c r="B1312">
        <v>10716</v>
      </c>
      <c r="C1312" t="s">
        <v>8245</v>
      </c>
      <c r="D1312" t="s">
        <v>8247</v>
      </c>
      <c r="E1312" s="225">
        <v>371</v>
      </c>
      <c r="F1312" t="s">
        <v>8726</v>
      </c>
      <c r="G1312" t="s">
        <v>8725</v>
      </c>
      <c r="H1312" t="s">
        <v>8717</v>
      </c>
      <c r="I1312" s="99">
        <v>43963</v>
      </c>
      <c r="J1312">
        <f>YEAR(I1312)</f>
        <v>2020</v>
      </c>
      <c r="K1312" s="99">
        <v>43966</v>
      </c>
      <c r="L1312" t="s">
        <v>8266</v>
      </c>
      <c r="M1312" t="s">
        <v>8267</v>
      </c>
    </row>
    <row r="1313" spans="2:13" x14ac:dyDescent="0.2">
      <c r="B1313">
        <v>10828</v>
      </c>
      <c r="C1313" t="s">
        <v>8380</v>
      </c>
      <c r="D1313" t="s">
        <v>8272</v>
      </c>
      <c r="E1313" s="225">
        <v>527</v>
      </c>
      <c r="F1313" t="s">
        <v>8726</v>
      </c>
      <c r="G1313" t="s">
        <v>8725</v>
      </c>
      <c r="H1313" t="s">
        <v>8717</v>
      </c>
      <c r="I1313" s="99">
        <v>44044</v>
      </c>
      <c r="J1313">
        <f>YEAR(I1313)</f>
        <v>2020</v>
      </c>
      <c r="K1313" s="99">
        <v>44065</v>
      </c>
      <c r="L1313" t="s">
        <v>8279</v>
      </c>
      <c r="M1313" t="s">
        <v>710</v>
      </c>
    </row>
    <row r="1314" spans="2:13" x14ac:dyDescent="0.2">
      <c r="B1314">
        <v>10828</v>
      </c>
      <c r="C1314" t="s">
        <v>8260</v>
      </c>
      <c r="D1314" t="s">
        <v>8262</v>
      </c>
      <c r="E1314" s="225">
        <v>405</v>
      </c>
      <c r="F1314" t="s">
        <v>8726</v>
      </c>
      <c r="G1314" t="s">
        <v>8725</v>
      </c>
      <c r="H1314" t="s">
        <v>8717</v>
      </c>
      <c r="I1314" s="99">
        <v>44044</v>
      </c>
      <c r="J1314">
        <f>YEAR(I1314)</f>
        <v>2020</v>
      </c>
      <c r="K1314" s="99">
        <v>44065</v>
      </c>
      <c r="L1314" t="s">
        <v>8279</v>
      </c>
      <c r="M1314" t="s">
        <v>710</v>
      </c>
    </row>
    <row r="1315" spans="2:13" x14ac:dyDescent="0.2">
      <c r="B1315">
        <v>10916</v>
      </c>
      <c r="C1315" t="s">
        <v>8280</v>
      </c>
      <c r="D1315" t="s">
        <v>8262</v>
      </c>
      <c r="E1315" s="225">
        <v>104.7</v>
      </c>
      <c r="F1315" t="s">
        <v>8726</v>
      </c>
      <c r="G1315" t="s">
        <v>8725</v>
      </c>
      <c r="H1315" t="s">
        <v>8717</v>
      </c>
      <c r="I1315" s="99">
        <v>44088</v>
      </c>
      <c r="J1315">
        <f>YEAR(I1315)</f>
        <v>2020</v>
      </c>
      <c r="K1315" s="99">
        <v>44098</v>
      </c>
      <c r="L1315" t="s">
        <v>8285</v>
      </c>
      <c r="M1315" t="s">
        <v>2317</v>
      </c>
    </row>
    <row r="1316" spans="2:13" x14ac:dyDescent="0.2">
      <c r="B1316">
        <v>10916</v>
      </c>
      <c r="C1316" t="s">
        <v>8287</v>
      </c>
      <c r="D1316" t="s">
        <v>8237</v>
      </c>
      <c r="E1316" s="225">
        <v>192</v>
      </c>
      <c r="F1316" t="s">
        <v>8726</v>
      </c>
      <c r="G1316" t="s">
        <v>8725</v>
      </c>
      <c r="H1316" t="s">
        <v>8717</v>
      </c>
      <c r="I1316" s="99">
        <v>44088</v>
      </c>
      <c r="J1316">
        <f>YEAR(I1316)</f>
        <v>2020</v>
      </c>
      <c r="K1316" s="99">
        <v>44098</v>
      </c>
      <c r="L1316" t="s">
        <v>8285</v>
      </c>
      <c r="M1316" t="s">
        <v>2317</v>
      </c>
    </row>
    <row r="1317" spans="2:13" x14ac:dyDescent="0.2">
      <c r="B1317">
        <v>10916</v>
      </c>
      <c r="C1317" t="s">
        <v>8258</v>
      </c>
      <c r="D1317" t="s">
        <v>8244</v>
      </c>
      <c r="E1317" s="225">
        <v>390</v>
      </c>
      <c r="F1317" t="s">
        <v>8726</v>
      </c>
      <c r="G1317" t="s">
        <v>8725</v>
      </c>
      <c r="H1317" t="s">
        <v>8717</v>
      </c>
      <c r="I1317" s="99">
        <v>44088</v>
      </c>
      <c r="J1317">
        <f>YEAR(I1317)</f>
        <v>2020</v>
      </c>
      <c r="K1317" s="99">
        <v>44098</v>
      </c>
      <c r="L1317" t="s">
        <v>8285</v>
      </c>
      <c r="M1317" t="s">
        <v>2317</v>
      </c>
    </row>
    <row r="1318" spans="2:13" x14ac:dyDescent="0.2">
      <c r="B1318">
        <v>11019</v>
      </c>
      <c r="C1318" t="s">
        <v>8390</v>
      </c>
      <c r="D1318" t="s">
        <v>8262</v>
      </c>
      <c r="E1318" s="225">
        <v>40</v>
      </c>
      <c r="F1318" t="s">
        <v>8726</v>
      </c>
      <c r="G1318" t="s">
        <v>8725</v>
      </c>
      <c r="H1318" t="s">
        <v>8717</v>
      </c>
      <c r="I1318" s="99">
        <v>44133</v>
      </c>
      <c r="J1318">
        <f>YEAR(I1318)</f>
        <v>2020</v>
      </c>
      <c r="L1318" t="s">
        <v>8251</v>
      </c>
      <c r="M1318" t="s">
        <v>269</v>
      </c>
    </row>
    <row r="1319" spans="2:13" x14ac:dyDescent="0.2">
      <c r="B1319">
        <v>10262</v>
      </c>
      <c r="C1319" t="s">
        <v>8286</v>
      </c>
      <c r="D1319" t="s">
        <v>8254</v>
      </c>
      <c r="E1319" s="225">
        <v>163.19999999999999</v>
      </c>
      <c r="F1319" t="s">
        <v>8703</v>
      </c>
      <c r="G1319" t="s">
        <v>8702</v>
      </c>
      <c r="H1319" t="s">
        <v>8701</v>
      </c>
      <c r="I1319" s="99">
        <v>43504</v>
      </c>
      <c r="J1319">
        <f>YEAR(I1319)</f>
        <v>2019</v>
      </c>
      <c r="K1319" s="99">
        <v>43507</v>
      </c>
      <c r="L1319" t="s">
        <v>8320</v>
      </c>
      <c r="M1319" t="s">
        <v>8321</v>
      </c>
    </row>
    <row r="1320" spans="2:13" x14ac:dyDescent="0.2">
      <c r="B1320">
        <v>10262</v>
      </c>
      <c r="C1320" t="s">
        <v>8341</v>
      </c>
      <c r="D1320" t="s">
        <v>8244</v>
      </c>
      <c r="E1320" s="225">
        <v>60.8</v>
      </c>
      <c r="F1320" t="s">
        <v>8703</v>
      </c>
      <c r="G1320" t="s">
        <v>8702</v>
      </c>
      <c r="H1320" t="s">
        <v>8701</v>
      </c>
      <c r="I1320" s="99">
        <v>43504</v>
      </c>
      <c r="J1320">
        <f>YEAR(I1320)</f>
        <v>2019</v>
      </c>
      <c r="K1320" s="99">
        <v>43507</v>
      </c>
      <c r="L1320" t="s">
        <v>8320</v>
      </c>
      <c r="M1320" t="s">
        <v>8321</v>
      </c>
    </row>
    <row r="1321" spans="2:13" x14ac:dyDescent="0.2">
      <c r="B1321">
        <v>10262</v>
      </c>
      <c r="C1321" t="s">
        <v>8415</v>
      </c>
      <c r="D1321" t="s">
        <v>8247</v>
      </c>
      <c r="E1321" s="225">
        <v>360</v>
      </c>
      <c r="F1321" t="s">
        <v>8703</v>
      </c>
      <c r="G1321" t="s">
        <v>8702</v>
      </c>
      <c r="H1321" t="s">
        <v>8701</v>
      </c>
      <c r="I1321" s="99">
        <v>43504</v>
      </c>
      <c r="J1321">
        <f>YEAR(I1321)</f>
        <v>2019</v>
      </c>
      <c r="K1321" s="99">
        <v>43507</v>
      </c>
      <c r="L1321" t="s">
        <v>8320</v>
      </c>
      <c r="M1321" t="s">
        <v>8321</v>
      </c>
    </row>
    <row r="1322" spans="2:13" x14ac:dyDescent="0.2">
      <c r="B1322">
        <v>10272</v>
      </c>
      <c r="C1322" t="s">
        <v>8260</v>
      </c>
      <c r="D1322" t="s">
        <v>8262</v>
      </c>
      <c r="E1322" s="225">
        <v>388.8</v>
      </c>
      <c r="F1322" t="s">
        <v>8703</v>
      </c>
      <c r="G1322" t="s">
        <v>8702</v>
      </c>
      <c r="H1322" t="s">
        <v>8701</v>
      </c>
      <c r="I1322" s="99">
        <v>43515</v>
      </c>
      <c r="J1322">
        <f>YEAR(I1322)</f>
        <v>2019</v>
      </c>
      <c r="K1322" s="99">
        <v>43519</v>
      </c>
      <c r="L1322" t="s">
        <v>8251</v>
      </c>
      <c r="M1322" t="s">
        <v>269</v>
      </c>
    </row>
    <row r="1323" spans="2:13" x14ac:dyDescent="0.2">
      <c r="B1323">
        <v>10272</v>
      </c>
      <c r="C1323" t="s">
        <v>8309</v>
      </c>
      <c r="D1323" t="s">
        <v>8237</v>
      </c>
      <c r="E1323" s="225">
        <v>400</v>
      </c>
      <c r="F1323" t="s">
        <v>8703</v>
      </c>
      <c r="G1323" t="s">
        <v>8702</v>
      </c>
      <c r="H1323" t="s">
        <v>8701</v>
      </c>
      <c r="I1323" s="99">
        <v>43515</v>
      </c>
      <c r="J1323">
        <f>YEAR(I1323)</f>
        <v>2019</v>
      </c>
      <c r="K1323" s="99">
        <v>43519</v>
      </c>
      <c r="L1323" t="s">
        <v>8251</v>
      </c>
      <c r="M1323" t="s">
        <v>269</v>
      </c>
    </row>
    <row r="1324" spans="2:13" x14ac:dyDescent="0.2">
      <c r="B1324">
        <v>10272</v>
      </c>
      <c r="C1324" t="s">
        <v>8235</v>
      </c>
      <c r="D1324" t="s">
        <v>8237</v>
      </c>
      <c r="E1324" s="225">
        <v>667.2</v>
      </c>
      <c r="F1324" t="s">
        <v>8703</v>
      </c>
      <c r="G1324" t="s">
        <v>8702</v>
      </c>
      <c r="H1324" t="s">
        <v>8701</v>
      </c>
      <c r="I1324" s="99">
        <v>43515</v>
      </c>
      <c r="J1324">
        <f>YEAR(I1324)</f>
        <v>2019</v>
      </c>
      <c r="K1324" s="99">
        <v>43519</v>
      </c>
      <c r="L1324" t="s">
        <v>8251</v>
      </c>
      <c r="M1324" t="s">
        <v>269</v>
      </c>
    </row>
    <row r="1325" spans="2:13" x14ac:dyDescent="0.2">
      <c r="B1325">
        <v>10294</v>
      </c>
      <c r="C1325" t="s">
        <v>8333</v>
      </c>
      <c r="D1325" t="s">
        <v>8272</v>
      </c>
      <c r="E1325" s="225">
        <v>259.2</v>
      </c>
      <c r="F1325" t="s">
        <v>8703</v>
      </c>
      <c r="G1325" t="s">
        <v>8702</v>
      </c>
      <c r="H1325" t="s">
        <v>8701</v>
      </c>
      <c r="I1325" s="99">
        <v>43543</v>
      </c>
      <c r="J1325">
        <f>YEAR(I1325)</f>
        <v>2019</v>
      </c>
      <c r="K1325" s="99">
        <v>43549</v>
      </c>
      <c r="L1325" t="s">
        <v>8266</v>
      </c>
      <c r="M1325" t="s">
        <v>8267</v>
      </c>
    </row>
    <row r="1326" spans="2:13" x14ac:dyDescent="0.2">
      <c r="B1326">
        <v>10294</v>
      </c>
      <c r="C1326" t="s">
        <v>8306</v>
      </c>
      <c r="D1326" t="s">
        <v>8272</v>
      </c>
      <c r="E1326" s="225">
        <v>552</v>
      </c>
      <c r="F1326" t="s">
        <v>8703</v>
      </c>
      <c r="G1326" t="s">
        <v>8702</v>
      </c>
      <c r="H1326" t="s">
        <v>8701</v>
      </c>
      <c r="I1326" s="99">
        <v>43543</v>
      </c>
      <c r="J1326">
        <f>YEAR(I1326)</f>
        <v>2019</v>
      </c>
      <c r="K1326" s="99">
        <v>43549</v>
      </c>
      <c r="L1326" t="s">
        <v>8266</v>
      </c>
      <c r="M1326" t="s">
        <v>8267</v>
      </c>
    </row>
    <row r="1327" spans="2:13" x14ac:dyDescent="0.2">
      <c r="B1327">
        <v>10294</v>
      </c>
      <c r="C1327" t="s">
        <v>8328</v>
      </c>
      <c r="D1327" t="s">
        <v>8272</v>
      </c>
      <c r="E1327" s="225">
        <v>37.200000000000003</v>
      </c>
      <c r="F1327" t="s">
        <v>8703</v>
      </c>
      <c r="G1327" t="s">
        <v>8702</v>
      </c>
      <c r="H1327" t="s">
        <v>8701</v>
      </c>
      <c r="I1327" s="99">
        <v>43543</v>
      </c>
      <c r="J1327">
        <f>YEAR(I1327)</f>
        <v>2019</v>
      </c>
      <c r="K1327" s="99">
        <v>43549</v>
      </c>
      <c r="L1327" t="s">
        <v>8266</v>
      </c>
      <c r="M1327" t="s">
        <v>8267</v>
      </c>
    </row>
    <row r="1328" spans="2:13" x14ac:dyDescent="0.2">
      <c r="B1328">
        <v>10294</v>
      </c>
      <c r="C1328" t="s">
        <v>8268</v>
      </c>
      <c r="D1328" t="s">
        <v>8237</v>
      </c>
      <c r="E1328" s="225">
        <v>571.20000000000005</v>
      </c>
      <c r="F1328" t="s">
        <v>8703</v>
      </c>
      <c r="G1328" t="s">
        <v>8702</v>
      </c>
      <c r="H1328" t="s">
        <v>8701</v>
      </c>
      <c r="I1328" s="99">
        <v>43543</v>
      </c>
      <c r="J1328">
        <f>YEAR(I1328)</f>
        <v>2019</v>
      </c>
      <c r="K1328" s="99">
        <v>43549</v>
      </c>
      <c r="L1328" t="s">
        <v>8266</v>
      </c>
      <c r="M1328" t="s">
        <v>8267</v>
      </c>
    </row>
    <row r="1329" spans="2:13" x14ac:dyDescent="0.2">
      <c r="B1329">
        <v>10314</v>
      </c>
      <c r="C1329" t="s">
        <v>8291</v>
      </c>
      <c r="D1329" t="s">
        <v>8262</v>
      </c>
      <c r="E1329" s="225">
        <v>886.5</v>
      </c>
      <c r="F1329" t="s">
        <v>8703</v>
      </c>
      <c r="G1329" t="s">
        <v>8702</v>
      </c>
      <c r="H1329" t="s">
        <v>8701</v>
      </c>
      <c r="I1329" s="99">
        <v>43569</v>
      </c>
      <c r="J1329">
        <f>YEAR(I1329)</f>
        <v>2019</v>
      </c>
      <c r="K1329" s="99">
        <v>43578</v>
      </c>
      <c r="L1329" t="s">
        <v>8285</v>
      </c>
      <c r="M1329" t="s">
        <v>2317</v>
      </c>
    </row>
    <row r="1330" spans="2:13" x14ac:dyDescent="0.2">
      <c r="B1330">
        <v>10314</v>
      </c>
      <c r="C1330" t="s">
        <v>8287</v>
      </c>
      <c r="D1330" t="s">
        <v>8237</v>
      </c>
      <c r="E1330" s="225">
        <v>921.6</v>
      </c>
      <c r="F1330" t="s">
        <v>8703</v>
      </c>
      <c r="G1330" t="s">
        <v>8702</v>
      </c>
      <c r="H1330" t="s">
        <v>8701</v>
      </c>
      <c r="I1330" s="99">
        <v>43569</v>
      </c>
      <c r="J1330">
        <f>YEAR(I1330)</f>
        <v>2019</v>
      </c>
      <c r="K1330" s="99">
        <v>43578</v>
      </c>
      <c r="L1330" t="s">
        <v>8285</v>
      </c>
      <c r="M1330" t="s">
        <v>2317</v>
      </c>
    </row>
    <row r="1331" spans="2:13" x14ac:dyDescent="0.2">
      <c r="B1331">
        <v>10316</v>
      </c>
      <c r="C1331" t="s">
        <v>8291</v>
      </c>
      <c r="D1331" t="s">
        <v>8262</v>
      </c>
      <c r="E1331" s="225">
        <v>2758</v>
      </c>
      <c r="F1331" t="s">
        <v>8703</v>
      </c>
      <c r="G1331" t="s">
        <v>8702</v>
      </c>
      <c r="H1331" t="s">
        <v>8701</v>
      </c>
      <c r="I1331" s="99">
        <v>43571</v>
      </c>
      <c r="J1331">
        <f>YEAR(I1331)</f>
        <v>2019</v>
      </c>
      <c r="K1331" s="99">
        <v>43582</v>
      </c>
      <c r="L1331" t="s">
        <v>8285</v>
      </c>
      <c r="M1331" t="s">
        <v>2317</v>
      </c>
    </row>
    <row r="1332" spans="2:13" x14ac:dyDescent="0.2">
      <c r="B1332">
        <v>10346</v>
      </c>
      <c r="C1332" t="s">
        <v>8341</v>
      </c>
      <c r="D1332" t="s">
        <v>8244</v>
      </c>
      <c r="E1332" s="225">
        <v>608</v>
      </c>
      <c r="F1332" t="s">
        <v>8703</v>
      </c>
      <c r="G1332" t="s">
        <v>8702</v>
      </c>
      <c r="H1332" t="s">
        <v>8701</v>
      </c>
      <c r="I1332" s="99">
        <v>43610</v>
      </c>
      <c r="J1332">
        <f>YEAR(I1332)</f>
        <v>2019</v>
      </c>
      <c r="K1332" s="99">
        <v>43613</v>
      </c>
      <c r="L1332" t="s">
        <v>8257</v>
      </c>
      <c r="M1332" t="s">
        <v>6984</v>
      </c>
    </row>
    <row r="1333" spans="2:13" x14ac:dyDescent="0.2">
      <c r="B1333">
        <v>10401</v>
      </c>
      <c r="C1333" t="s">
        <v>8253</v>
      </c>
      <c r="D1333" t="s">
        <v>8254</v>
      </c>
      <c r="E1333" s="225">
        <v>336</v>
      </c>
      <c r="F1333" t="s">
        <v>8703</v>
      </c>
      <c r="G1333" t="s">
        <v>8702</v>
      </c>
      <c r="H1333" t="s">
        <v>8701</v>
      </c>
      <c r="I1333" s="99">
        <v>43667</v>
      </c>
      <c r="J1333">
        <f>YEAR(I1333)</f>
        <v>2019</v>
      </c>
      <c r="K1333" s="99">
        <v>43676</v>
      </c>
      <c r="L1333" t="s">
        <v>8285</v>
      </c>
      <c r="M1333" t="s">
        <v>2317</v>
      </c>
    </row>
    <row r="1334" spans="2:13" x14ac:dyDescent="0.2">
      <c r="B1334">
        <v>10401</v>
      </c>
      <c r="C1334" t="s">
        <v>8310</v>
      </c>
      <c r="D1334" t="s">
        <v>8237</v>
      </c>
      <c r="E1334" s="225">
        <v>1032</v>
      </c>
      <c r="F1334" t="s">
        <v>8703</v>
      </c>
      <c r="G1334" t="s">
        <v>8702</v>
      </c>
      <c r="H1334" t="s">
        <v>8701</v>
      </c>
      <c r="I1334" s="99">
        <v>43667</v>
      </c>
      <c r="J1334">
        <f>YEAR(I1334)</f>
        <v>2019</v>
      </c>
      <c r="K1334" s="99">
        <v>43676</v>
      </c>
      <c r="L1334" t="s">
        <v>8285</v>
      </c>
      <c r="M1334" t="s">
        <v>2317</v>
      </c>
    </row>
    <row r="1335" spans="2:13" x14ac:dyDescent="0.2">
      <c r="B1335">
        <v>10401</v>
      </c>
      <c r="C1335" t="s">
        <v>8341</v>
      </c>
      <c r="D1335" t="s">
        <v>8244</v>
      </c>
      <c r="E1335" s="225">
        <v>2128</v>
      </c>
      <c r="F1335" t="s">
        <v>8703</v>
      </c>
      <c r="G1335" t="s">
        <v>8702</v>
      </c>
      <c r="H1335" t="s">
        <v>8701</v>
      </c>
      <c r="I1335" s="99">
        <v>43667</v>
      </c>
      <c r="J1335">
        <f>YEAR(I1335)</f>
        <v>2019</v>
      </c>
      <c r="K1335" s="99">
        <v>43676</v>
      </c>
      <c r="L1335" t="s">
        <v>8285</v>
      </c>
      <c r="M1335" t="s">
        <v>2317</v>
      </c>
    </row>
    <row r="1336" spans="2:13" x14ac:dyDescent="0.2">
      <c r="B1336">
        <v>10479</v>
      </c>
      <c r="C1336" t="s">
        <v>8380</v>
      </c>
      <c r="D1336" t="s">
        <v>8272</v>
      </c>
      <c r="E1336" s="225">
        <v>6324</v>
      </c>
      <c r="F1336" t="s">
        <v>8703</v>
      </c>
      <c r="G1336" t="s">
        <v>8702</v>
      </c>
      <c r="H1336" t="s">
        <v>8701</v>
      </c>
      <c r="I1336" s="99">
        <v>43744</v>
      </c>
      <c r="J1336">
        <f>YEAR(I1336)</f>
        <v>2019</v>
      </c>
      <c r="K1336" s="99">
        <v>43746</v>
      </c>
      <c r="L1336" t="s">
        <v>8257</v>
      </c>
      <c r="M1336" t="s">
        <v>6984</v>
      </c>
    </row>
    <row r="1337" spans="2:13" x14ac:dyDescent="0.2">
      <c r="B1337">
        <v>10479</v>
      </c>
      <c r="C1337" t="s">
        <v>8281</v>
      </c>
      <c r="D1337" t="s">
        <v>8237</v>
      </c>
      <c r="E1337" s="225">
        <v>2640</v>
      </c>
      <c r="F1337" t="s">
        <v>8703</v>
      </c>
      <c r="G1337" t="s">
        <v>8702</v>
      </c>
      <c r="H1337" t="s">
        <v>8701</v>
      </c>
      <c r="I1337" s="99">
        <v>43744</v>
      </c>
      <c r="J1337">
        <f>YEAR(I1337)</f>
        <v>2019</v>
      </c>
      <c r="K1337" s="99">
        <v>43746</v>
      </c>
      <c r="L1337" t="s">
        <v>8257</v>
      </c>
      <c r="M1337" t="s">
        <v>6984</v>
      </c>
    </row>
    <row r="1338" spans="2:13" x14ac:dyDescent="0.2">
      <c r="B1338">
        <v>10479</v>
      </c>
      <c r="C1338" t="s">
        <v>8340</v>
      </c>
      <c r="D1338" t="s">
        <v>8244</v>
      </c>
      <c r="E1338" s="225">
        <v>798</v>
      </c>
      <c r="F1338" t="s">
        <v>8703</v>
      </c>
      <c r="G1338" t="s">
        <v>8702</v>
      </c>
      <c r="H1338" t="s">
        <v>8701</v>
      </c>
      <c r="I1338" s="99">
        <v>43744</v>
      </c>
      <c r="J1338">
        <f>YEAR(I1338)</f>
        <v>2019</v>
      </c>
      <c r="K1338" s="99">
        <v>43746</v>
      </c>
      <c r="L1338" t="s">
        <v>8257</v>
      </c>
      <c r="M1338" t="s">
        <v>6984</v>
      </c>
    </row>
    <row r="1339" spans="2:13" x14ac:dyDescent="0.2">
      <c r="B1339">
        <v>10564</v>
      </c>
      <c r="C1339" t="s">
        <v>8309</v>
      </c>
      <c r="D1339" t="s">
        <v>8237</v>
      </c>
      <c r="E1339" s="225">
        <v>71.25</v>
      </c>
      <c r="F1339" t="s">
        <v>8703</v>
      </c>
      <c r="G1339" t="s">
        <v>8702</v>
      </c>
      <c r="H1339" t="s">
        <v>8701</v>
      </c>
      <c r="I1339" s="99">
        <v>43827</v>
      </c>
      <c r="J1339">
        <f>YEAR(I1339)</f>
        <v>2019</v>
      </c>
      <c r="K1339" s="99">
        <v>43833</v>
      </c>
      <c r="L1339" t="s">
        <v>8266</v>
      </c>
      <c r="M1339" t="s">
        <v>8267</v>
      </c>
    </row>
    <row r="1340" spans="2:13" x14ac:dyDescent="0.2">
      <c r="B1340">
        <v>10569</v>
      </c>
      <c r="C1340" t="s">
        <v>8303</v>
      </c>
      <c r="D1340" t="s">
        <v>8272</v>
      </c>
      <c r="E1340" s="225">
        <v>540</v>
      </c>
      <c r="F1340" t="s">
        <v>8703</v>
      </c>
      <c r="G1340" t="s">
        <v>8702</v>
      </c>
      <c r="H1340" t="s">
        <v>8701</v>
      </c>
      <c r="I1340" s="99">
        <v>43833</v>
      </c>
      <c r="J1340">
        <f>YEAR(I1340)</f>
        <v>2020</v>
      </c>
      <c r="K1340" s="99">
        <v>43858</v>
      </c>
      <c r="L1340" t="s">
        <v>8241</v>
      </c>
      <c r="M1340" t="s">
        <v>6934</v>
      </c>
    </row>
    <row r="1341" spans="2:13" x14ac:dyDescent="0.2">
      <c r="B1341">
        <v>10569</v>
      </c>
      <c r="C1341" t="s">
        <v>8309</v>
      </c>
      <c r="D1341" t="s">
        <v>8237</v>
      </c>
      <c r="E1341" s="225">
        <v>350</v>
      </c>
      <c r="F1341" t="s">
        <v>8703</v>
      </c>
      <c r="G1341" t="s">
        <v>8702</v>
      </c>
      <c r="H1341" t="s">
        <v>8701</v>
      </c>
      <c r="I1341" s="99">
        <v>43833</v>
      </c>
      <c r="J1341">
        <f>YEAR(I1341)</f>
        <v>2020</v>
      </c>
      <c r="K1341" s="99">
        <v>43858</v>
      </c>
      <c r="L1341" t="s">
        <v>8241</v>
      </c>
      <c r="M1341" t="s">
        <v>6934</v>
      </c>
    </row>
    <row r="1342" spans="2:13" x14ac:dyDescent="0.2">
      <c r="B1342">
        <v>10598</v>
      </c>
      <c r="C1342" t="s">
        <v>8332</v>
      </c>
      <c r="D1342" t="s">
        <v>8262</v>
      </c>
      <c r="E1342" s="225">
        <v>2195</v>
      </c>
      <c r="F1342" t="s">
        <v>8703</v>
      </c>
      <c r="G1342" t="s">
        <v>8702</v>
      </c>
      <c r="H1342" t="s">
        <v>8701</v>
      </c>
      <c r="I1342" s="99">
        <v>43861</v>
      </c>
      <c r="J1342">
        <f>YEAR(I1342)</f>
        <v>2020</v>
      </c>
      <c r="K1342" s="99">
        <v>43865</v>
      </c>
      <c r="L1342" t="s">
        <v>8285</v>
      </c>
      <c r="M1342" t="s">
        <v>2317</v>
      </c>
    </row>
    <row r="1343" spans="2:13" x14ac:dyDescent="0.2">
      <c r="B1343">
        <v>10598</v>
      </c>
      <c r="C1343" t="s">
        <v>8310</v>
      </c>
      <c r="D1343" t="s">
        <v>8237</v>
      </c>
      <c r="E1343" s="225">
        <v>193.5</v>
      </c>
      <c r="F1343" t="s">
        <v>8703</v>
      </c>
      <c r="G1343" t="s">
        <v>8702</v>
      </c>
      <c r="H1343" t="s">
        <v>8701</v>
      </c>
      <c r="I1343" s="99">
        <v>43861</v>
      </c>
      <c r="J1343">
        <f>YEAR(I1343)</f>
        <v>2020</v>
      </c>
      <c r="K1343" s="99">
        <v>43865</v>
      </c>
      <c r="L1343" t="s">
        <v>8285</v>
      </c>
      <c r="M1343" t="s">
        <v>2317</v>
      </c>
    </row>
    <row r="1344" spans="2:13" x14ac:dyDescent="0.2">
      <c r="B1344">
        <v>10761</v>
      </c>
      <c r="C1344" t="s">
        <v>8328</v>
      </c>
      <c r="D1344" t="s">
        <v>8272</v>
      </c>
      <c r="E1344" s="225">
        <v>139.5</v>
      </c>
      <c r="F1344" t="s">
        <v>8703</v>
      </c>
      <c r="G1344" t="s">
        <v>8702</v>
      </c>
      <c r="H1344" t="s">
        <v>8701</v>
      </c>
      <c r="I1344" s="99">
        <v>44002</v>
      </c>
      <c r="J1344">
        <f>YEAR(I1344)</f>
        <v>2020</v>
      </c>
      <c r="K1344" s="99">
        <v>44008</v>
      </c>
      <c r="L1344" t="s">
        <v>8241</v>
      </c>
      <c r="M1344" t="s">
        <v>6934</v>
      </c>
    </row>
    <row r="1345" spans="2:13" x14ac:dyDescent="0.2">
      <c r="B1345">
        <v>10761</v>
      </c>
      <c r="C1345" t="s">
        <v>8362</v>
      </c>
      <c r="D1345" t="s">
        <v>8262</v>
      </c>
      <c r="E1345" s="225">
        <v>367.5</v>
      </c>
      <c r="F1345" t="s">
        <v>8703</v>
      </c>
      <c r="G1345" t="s">
        <v>8702</v>
      </c>
      <c r="H1345" t="s">
        <v>8701</v>
      </c>
      <c r="I1345" s="99">
        <v>44002</v>
      </c>
      <c r="J1345">
        <f>YEAR(I1345)</f>
        <v>2020</v>
      </c>
      <c r="K1345" s="99">
        <v>44008</v>
      </c>
      <c r="L1345" t="s">
        <v>8241</v>
      </c>
      <c r="M1345" t="s">
        <v>6934</v>
      </c>
    </row>
    <row r="1346" spans="2:13" x14ac:dyDescent="0.2">
      <c r="B1346">
        <v>10820</v>
      </c>
      <c r="C1346" t="s">
        <v>8341</v>
      </c>
      <c r="D1346" t="s">
        <v>8244</v>
      </c>
      <c r="E1346" s="225">
        <v>1140</v>
      </c>
      <c r="F1346" t="s">
        <v>8703</v>
      </c>
      <c r="G1346" t="s">
        <v>8702</v>
      </c>
      <c r="H1346" t="s">
        <v>8701</v>
      </c>
      <c r="I1346" s="99">
        <v>44038</v>
      </c>
      <c r="J1346">
        <f>YEAR(I1346)</f>
        <v>2020</v>
      </c>
      <c r="K1346" s="99">
        <v>44044</v>
      </c>
      <c r="L1346" t="s">
        <v>8257</v>
      </c>
      <c r="M1346" t="s">
        <v>6984</v>
      </c>
    </row>
    <row r="1347" spans="2:13" x14ac:dyDescent="0.2">
      <c r="B1347">
        <v>10852</v>
      </c>
      <c r="C1347" t="s">
        <v>8276</v>
      </c>
      <c r="D1347" t="s">
        <v>8272</v>
      </c>
      <c r="E1347" s="225">
        <v>285</v>
      </c>
      <c r="F1347" t="s">
        <v>8703</v>
      </c>
      <c r="G1347" t="s">
        <v>8702</v>
      </c>
      <c r="H1347" t="s">
        <v>8701</v>
      </c>
      <c r="I1347" s="99">
        <v>44057</v>
      </c>
      <c r="J1347">
        <f>YEAR(I1347)</f>
        <v>2020</v>
      </c>
      <c r="K1347" s="99">
        <v>44060</v>
      </c>
      <c r="L1347" t="s">
        <v>8320</v>
      </c>
      <c r="M1347" t="s">
        <v>8321</v>
      </c>
    </row>
    <row r="1348" spans="2:13" x14ac:dyDescent="0.2">
      <c r="B1348">
        <v>10852</v>
      </c>
      <c r="C1348" t="s">
        <v>8291</v>
      </c>
      <c r="D1348" t="s">
        <v>8262</v>
      </c>
      <c r="E1348" s="225">
        <v>2465</v>
      </c>
      <c r="F1348" t="s">
        <v>8703</v>
      </c>
      <c r="G1348" t="s">
        <v>8702</v>
      </c>
      <c r="H1348" t="s">
        <v>8701</v>
      </c>
      <c r="I1348" s="99">
        <v>44057</v>
      </c>
      <c r="J1348">
        <f>YEAR(I1348)</f>
        <v>2020</v>
      </c>
      <c r="K1348" s="99">
        <v>44060</v>
      </c>
      <c r="L1348" t="s">
        <v>8320</v>
      </c>
      <c r="M1348" t="s">
        <v>8321</v>
      </c>
    </row>
    <row r="1349" spans="2:13" x14ac:dyDescent="0.2">
      <c r="B1349">
        <v>10889</v>
      </c>
      <c r="C1349" t="s">
        <v>8380</v>
      </c>
      <c r="D1349" t="s">
        <v>8272</v>
      </c>
      <c r="E1349" s="225">
        <v>10540</v>
      </c>
      <c r="F1349" t="s">
        <v>8703</v>
      </c>
      <c r="G1349" t="s">
        <v>8702</v>
      </c>
      <c r="H1349" t="s">
        <v>8701</v>
      </c>
      <c r="I1349" s="99">
        <v>44077</v>
      </c>
      <c r="J1349">
        <f>YEAR(I1349)</f>
        <v>2020</v>
      </c>
      <c r="K1349" s="99">
        <v>44084</v>
      </c>
      <c r="L1349" t="s">
        <v>8279</v>
      </c>
      <c r="M1349" t="s">
        <v>710</v>
      </c>
    </row>
    <row r="1350" spans="2:13" x14ac:dyDescent="0.2">
      <c r="B1350">
        <v>10889</v>
      </c>
      <c r="C1350" t="s">
        <v>8242</v>
      </c>
      <c r="D1350" t="s">
        <v>8237</v>
      </c>
      <c r="E1350" s="225">
        <v>840</v>
      </c>
      <c r="F1350" t="s">
        <v>8703</v>
      </c>
      <c r="G1350" t="s">
        <v>8702</v>
      </c>
      <c r="H1350" t="s">
        <v>8701</v>
      </c>
      <c r="I1350" s="99">
        <v>44077</v>
      </c>
      <c r="J1350">
        <f>YEAR(I1350)</f>
        <v>2020</v>
      </c>
      <c r="K1350" s="99">
        <v>44084</v>
      </c>
      <c r="L1350" t="s">
        <v>8279</v>
      </c>
      <c r="M1350" t="s">
        <v>710</v>
      </c>
    </row>
    <row r="1351" spans="2:13" x14ac:dyDescent="0.2">
      <c r="B1351">
        <v>10988</v>
      </c>
      <c r="C1351" t="s">
        <v>8291</v>
      </c>
      <c r="D1351" t="s">
        <v>8262</v>
      </c>
      <c r="E1351" s="225">
        <v>1774.8</v>
      </c>
      <c r="F1351" t="s">
        <v>8703</v>
      </c>
      <c r="G1351" t="s">
        <v>8702</v>
      </c>
      <c r="H1351" t="s">
        <v>8701</v>
      </c>
      <c r="I1351" s="99">
        <v>44120</v>
      </c>
      <c r="J1351">
        <f>YEAR(I1351)</f>
        <v>2020</v>
      </c>
      <c r="K1351" s="99">
        <v>44130</v>
      </c>
      <c r="L1351" t="s">
        <v>8257</v>
      </c>
      <c r="M1351" t="s">
        <v>6984</v>
      </c>
    </row>
    <row r="1352" spans="2:13" x14ac:dyDescent="0.2">
      <c r="B1352">
        <v>10988</v>
      </c>
      <c r="C1352" t="s">
        <v>8415</v>
      </c>
      <c r="D1352" t="s">
        <v>8247</v>
      </c>
      <c r="E1352" s="225">
        <v>1800</v>
      </c>
      <c r="F1352" t="s">
        <v>8703</v>
      </c>
      <c r="G1352" t="s">
        <v>8702</v>
      </c>
      <c r="H1352" t="s">
        <v>8701</v>
      </c>
      <c r="I1352" s="99">
        <v>44120</v>
      </c>
      <c r="J1352">
        <f>YEAR(I1352)</f>
        <v>2020</v>
      </c>
      <c r="K1352" s="99">
        <v>44130</v>
      </c>
      <c r="L1352" t="s">
        <v>8257</v>
      </c>
      <c r="M1352" t="s">
        <v>6984</v>
      </c>
    </row>
    <row r="1353" spans="2:13" x14ac:dyDescent="0.2">
      <c r="B1353">
        <v>11000</v>
      </c>
      <c r="C1353" t="s">
        <v>8270</v>
      </c>
      <c r="D1353" t="s">
        <v>8272</v>
      </c>
      <c r="E1353" s="225">
        <v>101.25</v>
      </c>
      <c r="F1353" t="s">
        <v>8703</v>
      </c>
      <c r="G1353" t="s">
        <v>8702</v>
      </c>
      <c r="H1353" t="s">
        <v>8701</v>
      </c>
      <c r="I1353" s="99">
        <v>44126</v>
      </c>
      <c r="J1353">
        <f>YEAR(I1353)</f>
        <v>2020</v>
      </c>
      <c r="K1353" s="99">
        <v>44134</v>
      </c>
      <c r="L1353" t="s">
        <v>8297</v>
      </c>
      <c r="M1353" t="s">
        <v>8298</v>
      </c>
    </row>
    <row r="1354" spans="2:13" x14ac:dyDescent="0.2">
      <c r="B1354">
        <v>11000</v>
      </c>
      <c r="C1354" t="s">
        <v>8352</v>
      </c>
      <c r="D1354" t="s">
        <v>8254</v>
      </c>
      <c r="E1354" s="225">
        <v>412.5</v>
      </c>
      <c r="F1354" t="s">
        <v>8703</v>
      </c>
      <c r="G1354" t="s">
        <v>8702</v>
      </c>
      <c r="H1354" t="s">
        <v>8701</v>
      </c>
      <c r="I1354" s="99">
        <v>44126</v>
      </c>
      <c r="J1354">
        <f>YEAR(I1354)</f>
        <v>2020</v>
      </c>
      <c r="K1354" s="99">
        <v>44134</v>
      </c>
      <c r="L1354" t="s">
        <v>8297</v>
      </c>
      <c r="M1354" t="s">
        <v>8298</v>
      </c>
    </row>
    <row r="1355" spans="2:13" x14ac:dyDescent="0.2">
      <c r="B1355">
        <v>11000</v>
      </c>
      <c r="C1355" t="s">
        <v>8397</v>
      </c>
      <c r="D1355" t="s">
        <v>8254</v>
      </c>
      <c r="E1355" s="225">
        <v>390</v>
      </c>
      <c r="F1355" t="s">
        <v>8703</v>
      </c>
      <c r="G1355" t="s">
        <v>8702</v>
      </c>
      <c r="H1355" t="s">
        <v>8701</v>
      </c>
      <c r="I1355" s="99">
        <v>44126</v>
      </c>
      <c r="J1355">
        <f>YEAR(I1355)</f>
        <v>2020</v>
      </c>
      <c r="K1355" s="99">
        <v>44134</v>
      </c>
      <c r="L1355" t="s">
        <v>8297</v>
      </c>
      <c r="M1355" t="s">
        <v>8298</v>
      </c>
    </row>
    <row r="1356" spans="2:13" x14ac:dyDescent="0.2">
      <c r="B1356">
        <v>11077</v>
      </c>
      <c r="C1356" t="s">
        <v>8276</v>
      </c>
      <c r="D1356" t="s">
        <v>8272</v>
      </c>
      <c r="E1356" s="225">
        <v>364.8</v>
      </c>
      <c r="F1356" t="s">
        <v>8703</v>
      </c>
      <c r="G1356" t="s">
        <v>8702</v>
      </c>
      <c r="H1356" t="s">
        <v>8701</v>
      </c>
      <c r="I1356" s="99">
        <v>44156</v>
      </c>
      <c r="J1356">
        <f>YEAR(I1356)</f>
        <v>2020</v>
      </c>
      <c r="L1356" t="s">
        <v>8285</v>
      </c>
      <c r="M1356" t="s">
        <v>2317</v>
      </c>
    </row>
    <row r="1357" spans="2:13" x14ac:dyDescent="0.2">
      <c r="B1357">
        <v>11077</v>
      </c>
      <c r="C1357" t="s">
        <v>8342</v>
      </c>
      <c r="D1357" t="s">
        <v>8272</v>
      </c>
      <c r="E1357" s="225">
        <v>34.200000000000003</v>
      </c>
      <c r="F1357" t="s">
        <v>8703</v>
      </c>
      <c r="G1357" t="s">
        <v>8702</v>
      </c>
      <c r="H1357" t="s">
        <v>8701</v>
      </c>
      <c r="I1357" s="99">
        <v>44156</v>
      </c>
      <c r="J1357">
        <f>YEAR(I1357)</f>
        <v>2020</v>
      </c>
      <c r="L1357" t="s">
        <v>8285</v>
      </c>
      <c r="M1357" t="s">
        <v>2317</v>
      </c>
    </row>
    <row r="1358" spans="2:13" x14ac:dyDescent="0.2">
      <c r="B1358">
        <v>11077</v>
      </c>
      <c r="C1358" t="s">
        <v>8328</v>
      </c>
      <c r="D1358" t="s">
        <v>8272</v>
      </c>
      <c r="E1358" s="225">
        <v>31</v>
      </c>
      <c r="F1358" t="s">
        <v>8703</v>
      </c>
      <c r="G1358" t="s">
        <v>8702</v>
      </c>
      <c r="H1358" t="s">
        <v>8701</v>
      </c>
      <c r="I1358" s="99">
        <v>44156</v>
      </c>
      <c r="J1358">
        <f>YEAR(I1358)</f>
        <v>2020</v>
      </c>
      <c r="L1358" t="s">
        <v>8285</v>
      </c>
      <c r="M1358" t="s">
        <v>2317</v>
      </c>
    </row>
    <row r="1359" spans="2:13" x14ac:dyDescent="0.2">
      <c r="B1359">
        <v>11077</v>
      </c>
      <c r="C1359" t="s">
        <v>8337</v>
      </c>
      <c r="D1359" t="s">
        <v>8254</v>
      </c>
      <c r="E1359" s="225">
        <v>40</v>
      </c>
      <c r="F1359" t="s">
        <v>8703</v>
      </c>
      <c r="G1359" t="s">
        <v>8702</v>
      </c>
      <c r="H1359" t="s">
        <v>8701</v>
      </c>
      <c r="I1359" s="99">
        <v>44156</v>
      </c>
      <c r="J1359">
        <f>YEAR(I1359)</f>
        <v>2020</v>
      </c>
      <c r="L1359" t="s">
        <v>8285</v>
      </c>
      <c r="M1359" t="s">
        <v>2317</v>
      </c>
    </row>
    <row r="1360" spans="2:13" x14ac:dyDescent="0.2">
      <c r="B1360">
        <v>11077</v>
      </c>
      <c r="C1360" t="s">
        <v>8352</v>
      </c>
      <c r="D1360" t="s">
        <v>8254</v>
      </c>
      <c r="E1360" s="225">
        <v>22</v>
      </c>
      <c r="F1360" t="s">
        <v>8703</v>
      </c>
      <c r="G1360" t="s">
        <v>8702</v>
      </c>
      <c r="H1360" t="s">
        <v>8701</v>
      </c>
      <c r="I1360" s="99">
        <v>44156</v>
      </c>
      <c r="J1360">
        <f>YEAR(I1360)</f>
        <v>2020</v>
      </c>
      <c r="L1360" t="s">
        <v>8285</v>
      </c>
      <c r="M1360" t="s">
        <v>2317</v>
      </c>
    </row>
    <row r="1361" spans="2:13" x14ac:dyDescent="0.2">
      <c r="B1361">
        <v>11077</v>
      </c>
      <c r="C1361" t="s">
        <v>8351</v>
      </c>
      <c r="D1361" t="s">
        <v>8254</v>
      </c>
      <c r="E1361" s="225">
        <v>24.5</v>
      </c>
      <c r="F1361" t="s">
        <v>8703</v>
      </c>
      <c r="G1361" t="s">
        <v>8702</v>
      </c>
      <c r="H1361" t="s">
        <v>8701</v>
      </c>
      <c r="I1361" s="99">
        <v>44156</v>
      </c>
      <c r="J1361">
        <f>YEAR(I1361)</f>
        <v>2020</v>
      </c>
      <c r="L1361" t="s">
        <v>8285</v>
      </c>
      <c r="M1361" t="s">
        <v>2317</v>
      </c>
    </row>
    <row r="1362" spans="2:13" x14ac:dyDescent="0.2">
      <c r="B1362">
        <v>11077</v>
      </c>
      <c r="C1362" t="s">
        <v>8379</v>
      </c>
      <c r="D1362" t="s">
        <v>8254</v>
      </c>
      <c r="E1362" s="225">
        <v>72</v>
      </c>
      <c r="F1362" t="s">
        <v>8703</v>
      </c>
      <c r="G1362" t="s">
        <v>8702</v>
      </c>
      <c r="H1362" t="s">
        <v>8701</v>
      </c>
      <c r="I1362" s="99">
        <v>44156</v>
      </c>
      <c r="J1362">
        <f>YEAR(I1362)</f>
        <v>2020</v>
      </c>
      <c r="L1362" t="s">
        <v>8285</v>
      </c>
      <c r="M1362" t="s">
        <v>2317</v>
      </c>
    </row>
    <row r="1363" spans="2:13" x14ac:dyDescent="0.2">
      <c r="B1363">
        <v>11077</v>
      </c>
      <c r="C1363" t="s">
        <v>8348</v>
      </c>
      <c r="D1363" t="s">
        <v>8254</v>
      </c>
      <c r="E1363" s="225">
        <v>17</v>
      </c>
      <c r="F1363" t="s">
        <v>8703</v>
      </c>
      <c r="G1363" t="s">
        <v>8702</v>
      </c>
      <c r="H1363" t="s">
        <v>8701</v>
      </c>
      <c r="I1363" s="99">
        <v>44156</v>
      </c>
      <c r="J1363">
        <f>YEAR(I1363)</f>
        <v>2020</v>
      </c>
      <c r="L1363" t="s">
        <v>8285</v>
      </c>
      <c r="M1363" t="s">
        <v>2317</v>
      </c>
    </row>
    <row r="1364" spans="2:13" x14ac:dyDescent="0.2">
      <c r="B1364">
        <v>11077</v>
      </c>
      <c r="C1364" t="s">
        <v>8397</v>
      </c>
      <c r="D1364" t="s">
        <v>8254</v>
      </c>
      <c r="E1364" s="225">
        <v>26</v>
      </c>
      <c r="F1364" t="s">
        <v>8703</v>
      </c>
      <c r="G1364" t="s">
        <v>8702</v>
      </c>
      <c r="H1364" t="s">
        <v>8701</v>
      </c>
      <c r="I1364" s="99">
        <v>44156</v>
      </c>
      <c r="J1364">
        <f>YEAR(I1364)</f>
        <v>2020</v>
      </c>
      <c r="L1364" t="s">
        <v>8285</v>
      </c>
      <c r="M1364" t="s">
        <v>2317</v>
      </c>
    </row>
    <row r="1365" spans="2:13" x14ac:dyDescent="0.2">
      <c r="B1365">
        <v>11077</v>
      </c>
      <c r="C1365" t="s">
        <v>8280</v>
      </c>
      <c r="D1365" t="s">
        <v>8262</v>
      </c>
      <c r="E1365" s="225">
        <v>33.85</v>
      </c>
      <c r="F1365" t="s">
        <v>8703</v>
      </c>
      <c r="G1365" t="s">
        <v>8702</v>
      </c>
      <c r="H1365" t="s">
        <v>8701</v>
      </c>
      <c r="I1365" s="99">
        <v>44156</v>
      </c>
      <c r="J1365">
        <f>YEAR(I1365)</f>
        <v>2020</v>
      </c>
      <c r="L1365" t="s">
        <v>8285</v>
      </c>
      <c r="M1365" t="s">
        <v>2317</v>
      </c>
    </row>
    <row r="1366" spans="2:13" x14ac:dyDescent="0.2">
      <c r="B1366">
        <v>11077</v>
      </c>
      <c r="C1366" t="s">
        <v>8260</v>
      </c>
      <c r="D1366" t="s">
        <v>8262</v>
      </c>
      <c r="E1366" s="225">
        <v>77.760000000000005</v>
      </c>
      <c r="F1366" t="s">
        <v>8703</v>
      </c>
      <c r="G1366" t="s">
        <v>8702</v>
      </c>
      <c r="H1366" t="s">
        <v>8701</v>
      </c>
      <c r="I1366" s="99">
        <v>44156</v>
      </c>
      <c r="J1366">
        <f>YEAR(I1366)</f>
        <v>2020</v>
      </c>
      <c r="L1366" t="s">
        <v>8285</v>
      </c>
      <c r="M1366" t="s">
        <v>2317</v>
      </c>
    </row>
    <row r="1367" spans="2:13" x14ac:dyDescent="0.2">
      <c r="B1367">
        <v>11077</v>
      </c>
      <c r="C1367" t="s">
        <v>8299</v>
      </c>
      <c r="D1367" t="s">
        <v>8237</v>
      </c>
      <c r="E1367" s="225">
        <v>72.2</v>
      </c>
      <c r="F1367" t="s">
        <v>8703</v>
      </c>
      <c r="G1367" t="s">
        <v>8702</v>
      </c>
      <c r="H1367" t="s">
        <v>8701</v>
      </c>
      <c r="I1367" s="99">
        <v>44156</v>
      </c>
      <c r="J1367">
        <f>YEAR(I1367)</f>
        <v>2020</v>
      </c>
      <c r="L1367" t="s">
        <v>8285</v>
      </c>
      <c r="M1367" t="s">
        <v>2317</v>
      </c>
    </row>
    <row r="1368" spans="2:13" x14ac:dyDescent="0.2">
      <c r="B1368">
        <v>11077</v>
      </c>
      <c r="C1368" t="s">
        <v>8287</v>
      </c>
      <c r="D1368" t="s">
        <v>8237</v>
      </c>
      <c r="E1368" s="225">
        <v>32</v>
      </c>
      <c r="F1368" t="s">
        <v>8703</v>
      </c>
      <c r="G1368" t="s">
        <v>8702</v>
      </c>
      <c r="H1368" t="s">
        <v>8701</v>
      </c>
      <c r="I1368" s="99">
        <v>44156</v>
      </c>
      <c r="J1368">
        <f>YEAR(I1368)</f>
        <v>2020</v>
      </c>
      <c r="L1368" t="s">
        <v>8285</v>
      </c>
      <c r="M1368" t="s">
        <v>2317</v>
      </c>
    </row>
    <row r="1369" spans="2:13" x14ac:dyDescent="0.2">
      <c r="B1369">
        <v>11077</v>
      </c>
      <c r="C1369" t="s">
        <v>8268</v>
      </c>
      <c r="D1369" t="s">
        <v>8237</v>
      </c>
      <c r="E1369" s="225">
        <v>63.92</v>
      </c>
      <c r="F1369" t="s">
        <v>8703</v>
      </c>
      <c r="G1369" t="s">
        <v>8702</v>
      </c>
      <c r="H1369" t="s">
        <v>8701</v>
      </c>
      <c r="I1369" s="99">
        <v>44156</v>
      </c>
      <c r="J1369">
        <f>YEAR(I1369)</f>
        <v>2020</v>
      </c>
      <c r="L1369" t="s">
        <v>8285</v>
      </c>
      <c r="M1369" t="s">
        <v>2317</v>
      </c>
    </row>
    <row r="1370" spans="2:13" x14ac:dyDescent="0.2">
      <c r="B1370">
        <v>11077</v>
      </c>
      <c r="C1370" t="s">
        <v>8373</v>
      </c>
      <c r="D1370" t="s">
        <v>8244</v>
      </c>
      <c r="E1370" s="225">
        <v>18</v>
      </c>
      <c r="F1370" t="s">
        <v>8703</v>
      </c>
      <c r="G1370" t="s">
        <v>8702</v>
      </c>
      <c r="H1370" t="s">
        <v>8701</v>
      </c>
      <c r="I1370" s="99">
        <v>44156</v>
      </c>
      <c r="J1370">
        <f>YEAR(I1370)</f>
        <v>2020</v>
      </c>
      <c r="L1370" t="s">
        <v>8285</v>
      </c>
      <c r="M1370" t="s">
        <v>2317</v>
      </c>
    </row>
    <row r="1371" spans="2:13" x14ac:dyDescent="0.2">
      <c r="B1371">
        <v>11077</v>
      </c>
      <c r="C1371" t="s">
        <v>8369</v>
      </c>
      <c r="D1371" t="s">
        <v>8244</v>
      </c>
      <c r="E1371" s="225">
        <v>14</v>
      </c>
      <c r="F1371" t="s">
        <v>8703</v>
      </c>
      <c r="G1371" t="s">
        <v>8702</v>
      </c>
      <c r="H1371" t="s">
        <v>8701</v>
      </c>
      <c r="I1371" s="99">
        <v>44156</v>
      </c>
      <c r="J1371">
        <f>YEAR(I1371)</f>
        <v>2020</v>
      </c>
      <c r="L1371" t="s">
        <v>8285</v>
      </c>
      <c r="M1371" t="s">
        <v>2317</v>
      </c>
    </row>
    <row r="1372" spans="2:13" x14ac:dyDescent="0.2">
      <c r="B1372">
        <v>11077</v>
      </c>
      <c r="C1372" t="s">
        <v>8340</v>
      </c>
      <c r="D1372" t="s">
        <v>8244</v>
      </c>
      <c r="E1372" s="225">
        <v>64.510000000000005</v>
      </c>
      <c r="F1372" t="s">
        <v>8703</v>
      </c>
      <c r="G1372" t="s">
        <v>8702</v>
      </c>
      <c r="H1372" t="s">
        <v>8701</v>
      </c>
      <c r="I1372" s="99">
        <v>44156</v>
      </c>
      <c r="J1372">
        <f>YEAR(I1372)</f>
        <v>2020</v>
      </c>
      <c r="L1372" t="s">
        <v>8285</v>
      </c>
      <c r="M1372" t="s">
        <v>2317</v>
      </c>
    </row>
    <row r="1373" spans="2:13" x14ac:dyDescent="0.2">
      <c r="B1373">
        <v>11077</v>
      </c>
      <c r="C1373" t="s">
        <v>8415</v>
      </c>
      <c r="D1373" t="s">
        <v>8247</v>
      </c>
      <c r="E1373" s="225">
        <v>28.5</v>
      </c>
      <c r="F1373" t="s">
        <v>8703</v>
      </c>
      <c r="G1373" t="s">
        <v>8702</v>
      </c>
      <c r="H1373" t="s">
        <v>8701</v>
      </c>
      <c r="I1373" s="99">
        <v>44156</v>
      </c>
      <c r="J1373">
        <f>YEAR(I1373)</f>
        <v>2020</v>
      </c>
      <c r="L1373" t="s">
        <v>8285</v>
      </c>
      <c r="M1373" t="s">
        <v>2317</v>
      </c>
    </row>
    <row r="1374" spans="2:13" x14ac:dyDescent="0.2">
      <c r="B1374">
        <v>11077</v>
      </c>
      <c r="C1374" t="s">
        <v>8252</v>
      </c>
      <c r="D1374" t="s">
        <v>8247</v>
      </c>
      <c r="E1374" s="225">
        <v>22.55</v>
      </c>
      <c r="F1374" t="s">
        <v>8703</v>
      </c>
      <c r="G1374" t="s">
        <v>8702</v>
      </c>
      <c r="H1374" t="s">
        <v>8701</v>
      </c>
      <c r="I1374" s="99">
        <v>44156</v>
      </c>
      <c r="J1374">
        <f>YEAR(I1374)</f>
        <v>2020</v>
      </c>
      <c r="L1374" t="s">
        <v>8285</v>
      </c>
      <c r="M1374" t="s">
        <v>2317</v>
      </c>
    </row>
    <row r="1375" spans="2:13" x14ac:dyDescent="0.2">
      <c r="B1375">
        <v>11083</v>
      </c>
      <c r="C1375" t="s">
        <v>8333</v>
      </c>
      <c r="D1375" t="s">
        <v>8272</v>
      </c>
      <c r="E1375" s="225">
        <v>259.2</v>
      </c>
      <c r="F1375" t="s">
        <v>8703</v>
      </c>
      <c r="G1375" t="s">
        <v>8702</v>
      </c>
      <c r="H1375" t="s">
        <v>8701</v>
      </c>
      <c r="I1375" s="99">
        <v>43743</v>
      </c>
      <c r="J1375">
        <f>YEAR(I1375)</f>
        <v>2019</v>
      </c>
      <c r="K1375" s="99">
        <v>43749</v>
      </c>
      <c r="L1375" t="s">
        <v>8266</v>
      </c>
      <c r="M1375" t="s">
        <v>8267</v>
      </c>
    </row>
    <row r="1376" spans="2:13" x14ac:dyDescent="0.2">
      <c r="B1376">
        <v>10288</v>
      </c>
      <c r="C1376" t="s">
        <v>8334</v>
      </c>
      <c r="D1376" t="s">
        <v>8262</v>
      </c>
      <c r="E1376" s="225">
        <v>27</v>
      </c>
      <c r="F1376" t="s">
        <v>8335</v>
      </c>
      <c r="G1376" t="s">
        <v>8336</v>
      </c>
      <c r="H1376" t="s">
        <v>8311</v>
      </c>
      <c r="I1376" s="99">
        <v>43536</v>
      </c>
      <c r="J1376">
        <f>YEAR(I1376)</f>
        <v>2019</v>
      </c>
      <c r="K1376" s="99">
        <v>43547</v>
      </c>
      <c r="L1376" t="s">
        <v>8266</v>
      </c>
      <c r="M1376" t="s">
        <v>8267</v>
      </c>
    </row>
    <row r="1377" spans="2:13" x14ac:dyDescent="0.2">
      <c r="B1377">
        <v>10443</v>
      </c>
      <c r="C1377" t="s">
        <v>8242</v>
      </c>
      <c r="D1377" t="s">
        <v>8237</v>
      </c>
      <c r="E1377" s="225">
        <v>80.64</v>
      </c>
      <c r="F1377" t="s">
        <v>8335</v>
      </c>
      <c r="G1377" t="s">
        <v>8336</v>
      </c>
      <c r="H1377" t="s">
        <v>8311</v>
      </c>
      <c r="I1377" s="99">
        <v>43709</v>
      </c>
      <c r="J1377">
        <f>YEAR(I1377)</f>
        <v>2019</v>
      </c>
      <c r="K1377" s="99">
        <v>43711</v>
      </c>
      <c r="L1377" t="s">
        <v>8320</v>
      </c>
      <c r="M1377" t="s">
        <v>8321</v>
      </c>
    </row>
    <row r="1378" spans="2:13" x14ac:dyDescent="0.2">
      <c r="B1378">
        <v>10443</v>
      </c>
      <c r="C1378" t="s">
        <v>8316</v>
      </c>
      <c r="D1378" t="s">
        <v>8247</v>
      </c>
      <c r="E1378" s="225">
        <v>436.8</v>
      </c>
      <c r="F1378" t="s">
        <v>8335</v>
      </c>
      <c r="G1378" t="s">
        <v>8336</v>
      </c>
      <c r="H1378" t="s">
        <v>8311</v>
      </c>
      <c r="I1378" s="99">
        <v>43709</v>
      </c>
      <c r="J1378">
        <f>YEAR(I1378)</f>
        <v>2019</v>
      </c>
      <c r="K1378" s="99">
        <v>43711</v>
      </c>
      <c r="L1378" t="s">
        <v>8320</v>
      </c>
      <c r="M1378" t="s">
        <v>8321</v>
      </c>
    </row>
    <row r="1379" spans="2:13" x14ac:dyDescent="0.2">
      <c r="B1379">
        <v>10562</v>
      </c>
      <c r="C1379" t="s">
        <v>8291</v>
      </c>
      <c r="D1379" t="s">
        <v>8262</v>
      </c>
      <c r="E1379" s="225">
        <v>443.7</v>
      </c>
      <c r="F1379" t="s">
        <v>8335</v>
      </c>
      <c r="G1379" t="s">
        <v>8336</v>
      </c>
      <c r="H1379" t="s">
        <v>8311</v>
      </c>
      <c r="I1379" s="99">
        <v>43826</v>
      </c>
      <c r="J1379">
        <f>YEAR(I1379)</f>
        <v>2019</v>
      </c>
      <c r="K1379" s="99">
        <v>43829</v>
      </c>
      <c r="L1379" t="s">
        <v>8285</v>
      </c>
      <c r="M1379" t="s">
        <v>2317</v>
      </c>
    </row>
    <row r="1380" spans="2:13" x14ac:dyDescent="0.2">
      <c r="B1380">
        <v>10562</v>
      </c>
      <c r="C1380" t="s">
        <v>8269</v>
      </c>
      <c r="D1380" t="s">
        <v>8237</v>
      </c>
      <c r="E1380" s="225">
        <v>45</v>
      </c>
      <c r="F1380" t="s">
        <v>8335</v>
      </c>
      <c r="G1380" t="s">
        <v>8336</v>
      </c>
      <c r="H1380" t="s">
        <v>8311</v>
      </c>
      <c r="I1380" s="99">
        <v>43826</v>
      </c>
      <c r="J1380">
        <f>YEAR(I1380)</f>
        <v>2019</v>
      </c>
      <c r="K1380" s="99">
        <v>43829</v>
      </c>
      <c r="L1380" t="s">
        <v>8285</v>
      </c>
      <c r="M1380" t="s">
        <v>2317</v>
      </c>
    </row>
    <row r="1381" spans="2:13" x14ac:dyDescent="0.2">
      <c r="B1381">
        <v>10586</v>
      </c>
      <c r="C1381" t="s">
        <v>8369</v>
      </c>
      <c r="D1381" t="s">
        <v>8244</v>
      </c>
      <c r="E1381" s="225">
        <v>23.8</v>
      </c>
      <c r="F1381" t="s">
        <v>8335</v>
      </c>
      <c r="G1381" t="s">
        <v>8336</v>
      </c>
      <c r="H1381" t="s">
        <v>8311</v>
      </c>
      <c r="I1381" s="99">
        <v>43849</v>
      </c>
      <c r="J1381">
        <f>YEAR(I1381)</f>
        <v>2020</v>
      </c>
      <c r="K1381" s="99">
        <v>43856</v>
      </c>
      <c r="L1381" t="s">
        <v>8279</v>
      </c>
      <c r="M1381" t="s">
        <v>710</v>
      </c>
    </row>
    <row r="1382" spans="2:13" x14ac:dyDescent="0.2">
      <c r="B1382">
        <v>10727</v>
      </c>
      <c r="C1382" t="s">
        <v>8281</v>
      </c>
      <c r="D1382" t="s">
        <v>8237</v>
      </c>
      <c r="E1382" s="225">
        <v>522.5</v>
      </c>
      <c r="F1382" t="s">
        <v>8335</v>
      </c>
      <c r="G1382" t="s">
        <v>8336</v>
      </c>
      <c r="H1382" t="s">
        <v>8311</v>
      </c>
      <c r="I1382" s="99">
        <v>43973</v>
      </c>
      <c r="J1382">
        <f>YEAR(I1382)</f>
        <v>2020</v>
      </c>
      <c r="K1382" s="99">
        <v>44005</v>
      </c>
      <c r="L1382" t="s">
        <v>8297</v>
      </c>
      <c r="M1382" t="s">
        <v>8298</v>
      </c>
    </row>
    <row r="1383" spans="2:13" x14ac:dyDescent="0.2">
      <c r="B1383">
        <v>10727</v>
      </c>
      <c r="C1383" t="s">
        <v>8341</v>
      </c>
      <c r="D1383" t="s">
        <v>8244</v>
      </c>
      <c r="E1383" s="225">
        <v>361</v>
      </c>
      <c r="F1383" t="s">
        <v>8335</v>
      </c>
      <c r="G1383" t="s">
        <v>8336</v>
      </c>
      <c r="H1383" t="s">
        <v>8311</v>
      </c>
      <c r="I1383" s="99">
        <v>43973</v>
      </c>
      <c r="J1383">
        <f>YEAR(I1383)</f>
        <v>2020</v>
      </c>
      <c r="K1383" s="99">
        <v>44005</v>
      </c>
      <c r="L1383" t="s">
        <v>8297</v>
      </c>
      <c r="M1383" t="s">
        <v>8298</v>
      </c>
    </row>
    <row r="1384" spans="2:13" x14ac:dyDescent="0.2">
      <c r="B1384">
        <v>10812</v>
      </c>
      <c r="C1384" t="s">
        <v>8397</v>
      </c>
      <c r="D1384" t="s">
        <v>8254</v>
      </c>
      <c r="E1384" s="225">
        <v>260</v>
      </c>
      <c r="F1384" t="s">
        <v>8335</v>
      </c>
      <c r="G1384" t="s">
        <v>8336</v>
      </c>
      <c r="H1384" t="s">
        <v>8311</v>
      </c>
      <c r="I1384" s="99">
        <v>44033</v>
      </c>
      <c r="J1384">
        <f>YEAR(I1384)</f>
        <v>2020</v>
      </c>
      <c r="K1384" s="99">
        <v>44044</v>
      </c>
      <c r="L1384" t="s">
        <v>8241</v>
      </c>
      <c r="M1384" t="s">
        <v>6934</v>
      </c>
    </row>
    <row r="1385" spans="2:13" x14ac:dyDescent="0.2">
      <c r="B1385">
        <v>10812</v>
      </c>
      <c r="C1385" t="s">
        <v>8309</v>
      </c>
      <c r="D1385" t="s">
        <v>8237</v>
      </c>
      <c r="E1385" s="225">
        <v>180</v>
      </c>
      <c r="F1385" t="s">
        <v>8335</v>
      </c>
      <c r="G1385" t="s">
        <v>8336</v>
      </c>
      <c r="H1385" t="s">
        <v>8311</v>
      </c>
      <c r="I1385" s="99">
        <v>44033</v>
      </c>
      <c r="J1385">
        <f>YEAR(I1385)</f>
        <v>2020</v>
      </c>
      <c r="K1385" s="99">
        <v>44044</v>
      </c>
      <c r="L1385" t="s">
        <v>8241</v>
      </c>
      <c r="M1385" t="s">
        <v>6934</v>
      </c>
    </row>
    <row r="1386" spans="2:13" x14ac:dyDescent="0.2">
      <c r="B1386">
        <v>10812</v>
      </c>
      <c r="C1386" t="s">
        <v>8235</v>
      </c>
      <c r="D1386" t="s">
        <v>8237</v>
      </c>
      <c r="E1386" s="225">
        <v>1252.8</v>
      </c>
      <c r="F1386" t="s">
        <v>8335</v>
      </c>
      <c r="G1386" t="s">
        <v>8336</v>
      </c>
      <c r="H1386" t="s">
        <v>8311</v>
      </c>
      <c r="I1386" s="99">
        <v>44033</v>
      </c>
      <c r="J1386">
        <f>YEAR(I1386)</f>
        <v>2020</v>
      </c>
      <c r="K1386" s="99">
        <v>44044</v>
      </c>
      <c r="L1386" t="s">
        <v>8241</v>
      </c>
      <c r="M1386" t="s">
        <v>6934</v>
      </c>
    </row>
    <row r="1387" spans="2:13" x14ac:dyDescent="0.2">
      <c r="B1387">
        <v>10908</v>
      </c>
      <c r="C1387" t="s">
        <v>8369</v>
      </c>
      <c r="D1387" t="s">
        <v>8244</v>
      </c>
      <c r="E1387" s="225">
        <v>93.1</v>
      </c>
      <c r="F1387" t="s">
        <v>8335</v>
      </c>
      <c r="G1387" t="s">
        <v>8336</v>
      </c>
      <c r="H1387" t="s">
        <v>8311</v>
      </c>
      <c r="I1387" s="99">
        <v>44087</v>
      </c>
      <c r="J1387">
        <f>YEAR(I1387)</f>
        <v>2020</v>
      </c>
      <c r="K1387" s="99">
        <v>44095</v>
      </c>
      <c r="L1387" t="s">
        <v>8266</v>
      </c>
      <c r="M1387" t="s">
        <v>8267</v>
      </c>
    </row>
    <row r="1388" spans="2:13" x14ac:dyDescent="0.2">
      <c r="B1388">
        <v>10908</v>
      </c>
      <c r="C1388" t="s">
        <v>8415</v>
      </c>
      <c r="D1388" t="s">
        <v>8247</v>
      </c>
      <c r="E1388" s="225">
        <v>570</v>
      </c>
      <c r="F1388" t="s">
        <v>8335</v>
      </c>
      <c r="G1388" t="s">
        <v>8336</v>
      </c>
      <c r="H1388" t="s">
        <v>8311</v>
      </c>
      <c r="I1388" s="99">
        <v>44087</v>
      </c>
      <c r="J1388">
        <f>YEAR(I1388)</f>
        <v>2020</v>
      </c>
      <c r="K1388" s="99">
        <v>44095</v>
      </c>
      <c r="L1388" t="s">
        <v>8266</v>
      </c>
      <c r="M1388" t="s">
        <v>8267</v>
      </c>
    </row>
    <row r="1389" spans="2:13" x14ac:dyDescent="0.2">
      <c r="B1389">
        <v>10942</v>
      </c>
      <c r="C1389" t="s">
        <v>8390</v>
      </c>
      <c r="D1389" t="s">
        <v>8262</v>
      </c>
      <c r="E1389" s="225">
        <v>560</v>
      </c>
      <c r="F1389" t="s">
        <v>8335</v>
      </c>
      <c r="G1389" t="s">
        <v>8336</v>
      </c>
      <c r="H1389" t="s">
        <v>8311</v>
      </c>
      <c r="I1389" s="99">
        <v>44100</v>
      </c>
      <c r="J1389">
        <f>YEAR(I1389)</f>
        <v>2020</v>
      </c>
      <c r="K1389" s="99">
        <v>44107</v>
      </c>
      <c r="L1389" t="s">
        <v>8279</v>
      </c>
      <c r="M1389" t="s">
        <v>710</v>
      </c>
    </row>
    <row r="1390" spans="2:13" x14ac:dyDescent="0.2">
      <c r="B1390">
        <v>11010</v>
      </c>
      <c r="C1390" t="s">
        <v>8270</v>
      </c>
      <c r="D1390" t="s">
        <v>8272</v>
      </c>
      <c r="E1390" s="225">
        <v>45</v>
      </c>
      <c r="F1390" t="s">
        <v>8335</v>
      </c>
      <c r="G1390" t="s">
        <v>8336</v>
      </c>
      <c r="H1390" t="s">
        <v>8311</v>
      </c>
      <c r="I1390" s="99">
        <v>44129</v>
      </c>
      <c r="J1390">
        <f>YEAR(I1390)</f>
        <v>2020</v>
      </c>
      <c r="K1390" s="99">
        <v>44141</v>
      </c>
      <c r="L1390" t="s">
        <v>8297</v>
      </c>
      <c r="M1390" t="s">
        <v>8298</v>
      </c>
    </row>
    <row r="1391" spans="2:13" x14ac:dyDescent="0.2">
      <c r="B1391">
        <v>11010</v>
      </c>
      <c r="C1391" t="s">
        <v>8415</v>
      </c>
      <c r="D1391" t="s">
        <v>8247</v>
      </c>
      <c r="E1391" s="225">
        <v>600</v>
      </c>
      <c r="F1391" t="s">
        <v>8335</v>
      </c>
      <c r="G1391" t="s">
        <v>8336</v>
      </c>
      <c r="H1391" t="s">
        <v>8311</v>
      </c>
      <c r="I1391" s="99">
        <v>44129</v>
      </c>
      <c r="J1391">
        <f>YEAR(I1391)</f>
        <v>2020</v>
      </c>
      <c r="K1391" s="99">
        <v>44141</v>
      </c>
      <c r="L1391" t="s">
        <v>8297</v>
      </c>
      <c r="M1391" t="s">
        <v>8298</v>
      </c>
    </row>
    <row r="1392" spans="2:13" x14ac:dyDescent="0.2">
      <c r="B1392">
        <v>11062</v>
      </c>
      <c r="C1392" t="s">
        <v>8288</v>
      </c>
      <c r="D1392" t="s">
        <v>8272</v>
      </c>
      <c r="E1392" s="225">
        <v>144</v>
      </c>
      <c r="F1392" t="s">
        <v>8335</v>
      </c>
      <c r="G1392" t="s">
        <v>8336</v>
      </c>
      <c r="H1392" t="s">
        <v>8311</v>
      </c>
      <c r="I1392" s="99">
        <v>44150</v>
      </c>
      <c r="J1392">
        <f>YEAR(I1392)</f>
        <v>2020</v>
      </c>
      <c r="L1392" t="s">
        <v>8266</v>
      </c>
      <c r="M1392" t="s">
        <v>8267</v>
      </c>
    </row>
    <row r="1393" spans="2:13" x14ac:dyDescent="0.2">
      <c r="B1393">
        <v>10287</v>
      </c>
      <c r="C1393" t="s">
        <v>8358</v>
      </c>
      <c r="D1393" t="s">
        <v>8272</v>
      </c>
      <c r="E1393" s="225">
        <v>224</v>
      </c>
      <c r="F1393" t="s">
        <v>8716</v>
      </c>
      <c r="G1393" t="s">
        <v>8715</v>
      </c>
      <c r="H1393" t="s">
        <v>8710</v>
      </c>
      <c r="I1393" s="99">
        <v>43535</v>
      </c>
      <c r="J1393">
        <f>YEAR(I1393)</f>
        <v>2019</v>
      </c>
      <c r="K1393" s="99">
        <v>43541</v>
      </c>
      <c r="L1393" t="s">
        <v>8320</v>
      </c>
      <c r="M1393" t="s">
        <v>8321</v>
      </c>
    </row>
    <row r="1394" spans="2:13" x14ac:dyDescent="0.2">
      <c r="B1394">
        <v>10287</v>
      </c>
      <c r="C1394" t="s">
        <v>8280</v>
      </c>
      <c r="D1394" t="s">
        <v>8262</v>
      </c>
      <c r="E1394" s="225">
        <v>472.6</v>
      </c>
      <c r="F1394" t="s">
        <v>8716</v>
      </c>
      <c r="G1394" t="s">
        <v>8715</v>
      </c>
      <c r="H1394" t="s">
        <v>8710</v>
      </c>
      <c r="I1394" s="99">
        <v>43535</v>
      </c>
      <c r="J1394">
        <f>YEAR(I1394)</f>
        <v>2019</v>
      </c>
      <c r="K1394" s="99">
        <v>43541</v>
      </c>
      <c r="L1394" t="s">
        <v>8320</v>
      </c>
      <c r="M1394" t="s">
        <v>8321</v>
      </c>
    </row>
    <row r="1395" spans="2:13" x14ac:dyDescent="0.2">
      <c r="B1395">
        <v>10299</v>
      </c>
      <c r="C1395" t="s">
        <v>8288</v>
      </c>
      <c r="D1395" t="s">
        <v>8272</v>
      </c>
      <c r="E1395" s="225">
        <v>240</v>
      </c>
      <c r="F1395" t="s">
        <v>8716</v>
      </c>
      <c r="G1395" t="s">
        <v>8715</v>
      </c>
      <c r="H1395" t="s">
        <v>8710</v>
      </c>
      <c r="I1395" s="99">
        <v>43550</v>
      </c>
      <c r="J1395">
        <f>YEAR(I1395)</f>
        <v>2019</v>
      </c>
      <c r="K1395" s="99">
        <v>43557</v>
      </c>
      <c r="L1395" t="s">
        <v>8266</v>
      </c>
      <c r="M1395" t="s">
        <v>8267</v>
      </c>
    </row>
    <row r="1396" spans="2:13" x14ac:dyDescent="0.2">
      <c r="B1396">
        <v>10299</v>
      </c>
      <c r="C1396" t="s">
        <v>8327</v>
      </c>
      <c r="D1396" t="s">
        <v>8262</v>
      </c>
      <c r="E1396" s="225">
        <v>109.5</v>
      </c>
      <c r="F1396" t="s">
        <v>8716</v>
      </c>
      <c r="G1396" t="s">
        <v>8715</v>
      </c>
      <c r="H1396" t="s">
        <v>8710</v>
      </c>
      <c r="I1396" s="99">
        <v>43550</v>
      </c>
      <c r="J1396">
        <f>YEAR(I1396)</f>
        <v>2019</v>
      </c>
      <c r="K1396" s="99">
        <v>43557</v>
      </c>
      <c r="L1396" t="s">
        <v>8266</v>
      </c>
      <c r="M1396" t="s">
        <v>8267</v>
      </c>
    </row>
    <row r="1397" spans="2:13" x14ac:dyDescent="0.2">
      <c r="B1397">
        <v>10447</v>
      </c>
      <c r="C1397" t="s">
        <v>8253</v>
      </c>
      <c r="D1397" t="s">
        <v>8254</v>
      </c>
      <c r="E1397" s="225">
        <v>588</v>
      </c>
      <c r="F1397" t="s">
        <v>8716</v>
      </c>
      <c r="G1397" t="s">
        <v>8715</v>
      </c>
      <c r="H1397" t="s">
        <v>8710</v>
      </c>
      <c r="I1397" s="99">
        <v>43711</v>
      </c>
      <c r="J1397">
        <f>YEAR(I1397)</f>
        <v>2019</v>
      </c>
      <c r="K1397" s="99">
        <v>43732</v>
      </c>
      <c r="L1397" t="s">
        <v>8266</v>
      </c>
      <c r="M1397" t="s">
        <v>8267</v>
      </c>
    </row>
    <row r="1398" spans="2:13" x14ac:dyDescent="0.2">
      <c r="B1398">
        <v>10447</v>
      </c>
      <c r="C1398" t="s">
        <v>8327</v>
      </c>
      <c r="D1398" t="s">
        <v>8262</v>
      </c>
      <c r="E1398" s="225">
        <v>292</v>
      </c>
      <c r="F1398" t="s">
        <v>8716</v>
      </c>
      <c r="G1398" t="s">
        <v>8715</v>
      </c>
      <c r="H1398" t="s">
        <v>8710</v>
      </c>
      <c r="I1398" s="99">
        <v>43711</v>
      </c>
      <c r="J1398">
        <f>YEAR(I1398)</f>
        <v>2019</v>
      </c>
      <c r="K1398" s="99">
        <v>43732</v>
      </c>
      <c r="L1398" t="s">
        <v>8266</v>
      </c>
      <c r="M1398" t="s">
        <v>8267</v>
      </c>
    </row>
    <row r="1399" spans="2:13" x14ac:dyDescent="0.2">
      <c r="B1399">
        <v>10447</v>
      </c>
      <c r="C1399" t="s">
        <v>8310</v>
      </c>
      <c r="D1399" t="s">
        <v>8237</v>
      </c>
      <c r="E1399" s="225">
        <v>34.4</v>
      </c>
      <c r="F1399" t="s">
        <v>8716</v>
      </c>
      <c r="G1399" t="s">
        <v>8715</v>
      </c>
      <c r="H1399" t="s">
        <v>8710</v>
      </c>
      <c r="I1399" s="99">
        <v>43711</v>
      </c>
      <c r="J1399">
        <f>YEAR(I1399)</f>
        <v>2019</v>
      </c>
      <c r="K1399" s="99">
        <v>43732</v>
      </c>
      <c r="L1399" t="s">
        <v>8266</v>
      </c>
      <c r="M1399" t="s">
        <v>8267</v>
      </c>
    </row>
    <row r="1400" spans="2:13" x14ac:dyDescent="0.2">
      <c r="B1400">
        <v>10481</v>
      </c>
      <c r="C1400" t="s">
        <v>8390</v>
      </c>
      <c r="D1400" t="s">
        <v>8262</v>
      </c>
      <c r="E1400" s="225">
        <v>384</v>
      </c>
      <c r="F1400" t="s">
        <v>8716</v>
      </c>
      <c r="G1400" t="s">
        <v>8715</v>
      </c>
      <c r="H1400" t="s">
        <v>8710</v>
      </c>
      <c r="I1400" s="99">
        <v>43745</v>
      </c>
      <c r="J1400">
        <f>YEAR(I1400)</f>
        <v>2019</v>
      </c>
      <c r="K1400" s="99">
        <v>43750</v>
      </c>
      <c r="L1400" t="s">
        <v>8320</v>
      </c>
      <c r="M1400" t="s">
        <v>8321</v>
      </c>
    </row>
    <row r="1401" spans="2:13" x14ac:dyDescent="0.2">
      <c r="B1401">
        <v>10481</v>
      </c>
      <c r="C1401" t="s">
        <v>8268</v>
      </c>
      <c r="D1401" t="s">
        <v>8237</v>
      </c>
      <c r="E1401" s="225">
        <v>1088</v>
      </c>
      <c r="F1401" t="s">
        <v>8716</v>
      </c>
      <c r="G1401" t="s">
        <v>8715</v>
      </c>
      <c r="H1401" t="s">
        <v>8710</v>
      </c>
      <c r="I1401" s="99">
        <v>43745</v>
      </c>
      <c r="J1401">
        <f>YEAR(I1401)</f>
        <v>2019</v>
      </c>
      <c r="K1401" s="99">
        <v>43750</v>
      </c>
      <c r="L1401" t="s">
        <v>8320</v>
      </c>
      <c r="M1401" t="s">
        <v>8321</v>
      </c>
    </row>
    <row r="1402" spans="2:13" x14ac:dyDescent="0.2">
      <c r="B1402">
        <v>10563</v>
      </c>
      <c r="C1402" t="s">
        <v>8369</v>
      </c>
      <c r="D1402" t="s">
        <v>8244</v>
      </c>
      <c r="E1402" s="225">
        <v>490</v>
      </c>
      <c r="F1402" t="s">
        <v>8716</v>
      </c>
      <c r="G1402" t="s">
        <v>8715</v>
      </c>
      <c r="H1402" t="s">
        <v>8710</v>
      </c>
      <c r="I1402" s="99">
        <v>43827</v>
      </c>
      <c r="J1402">
        <f>YEAR(I1402)</f>
        <v>2019</v>
      </c>
      <c r="K1402" s="99">
        <v>43841</v>
      </c>
      <c r="L1402" t="s">
        <v>8297</v>
      </c>
      <c r="M1402" t="s">
        <v>8298</v>
      </c>
    </row>
    <row r="1403" spans="2:13" x14ac:dyDescent="0.2">
      <c r="B1403">
        <v>10622</v>
      </c>
      <c r="C1403" t="s">
        <v>8276</v>
      </c>
      <c r="D1403" t="s">
        <v>8272</v>
      </c>
      <c r="E1403" s="225">
        <v>380</v>
      </c>
      <c r="F1403" t="s">
        <v>8716</v>
      </c>
      <c r="G1403" t="s">
        <v>8715</v>
      </c>
      <c r="H1403" t="s">
        <v>8710</v>
      </c>
      <c r="I1403" s="99">
        <v>43884</v>
      </c>
      <c r="J1403">
        <f>YEAR(I1403)</f>
        <v>2020</v>
      </c>
      <c r="K1403" s="99">
        <v>43889</v>
      </c>
      <c r="L1403" t="s">
        <v>8266</v>
      </c>
      <c r="M1403" t="s">
        <v>8267</v>
      </c>
    </row>
    <row r="1404" spans="2:13" x14ac:dyDescent="0.2">
      <c r="B1404">
        <v>10622</v>
      </c>
      <c r="C1404" t="s">
        <v>8334</v>
      </c>
      <c r="D1404" t="s">
        <v>8262</v>
      </c>
      <c r="E1404" s="225">
        <v>180</v>
      </c>
      <c r="F1404" t="s">
        <v>8716</v>
      </c>
      <c r="G1404" t="s">
        <v>8715</v>
      </c>
      <c r="H1404" t="s">
        <v>8710</v>
      </c>
      <c r="I1404" s="99">
        <v>43884</v>
      </c>
      <c r="J1404">
        <f>YEAR(I1404)</f>
        <v>2020</v>
      </c>
      <c r="K1404" s="99">
        <v>43889</v>
      </c>
      <c r="L1404" t="s">
        <v>8266</v>
      </c>
      <c r="M1404" t="s">
        <v>8267</v>
      </c>
    </row>
    <row r="1405" spans="2:13" x14ac:dyDescent="0.2">
      <c r="B1405">
        <v>10648</v>
      </c>
      <c r="C1405" t="s">
        <v>8270</v>
      </c>
      <c r="D1405" t="s">
        <v>8272</v>
      </c>
      <c r="E1405" s="225">
        <v>57.37</v>
      </c>
      <c r="F1405" t="s">
        <v>8716</v>
      </c>
      <c r="G1405" t="s">
        <v>8715</v>
      </c>
      <c r="H1405" t="s">
        <v>8710</v>
      </c>
      <c r="I1405" s="99">
        <v>43906</v>
      </c>
      <c r="J1405">
        <f>YEAR(I1405)</f>
        <v>2020</v>
      </c>
      <c r="K1405" s="99">
        <v>43918</v>
      </c>
      <c r="L1405" t="s">
        <v>8241</v>
      </c>
      <c r="M1405" t="s">
        <v>6934</v>
      </c>
    </row>
    <row r="1406" spans="2:13" x14ac:dyDescent="0.2">
      <c r="B1406">
        <v>10648</v>
      </c>
      <c r="C1406" t="s">
        <v>8259</v>
      </c>
      <c r="D1406" t="s">
        <v>8244</v>
      </c>
      <c r="E1406" s="225">
        <v>315</v>
      </c>
      <c r="F1406" t="s">
        <v>8716</v>
      </c>
      <c r="G1406" t="s">
        <v>8715</v>
      </c>
      <c r="H1406" t="s">
        <v>8710</v>
      </c>
      <c r="I1406" s="99">
        <v>43906</v>
      </c>
      <c r="J1406">
        <f>YEAR(I1406)</f>
        <v>2020</v>
      </c>
      <c r="K1406" s="99">
        <v>43918</v>
      </c>
      <c r="L1406" t="s">
        <v>8241</v>
      </c>
      <c r="M1406" t="s">
        <v>6934</v>
      </c>
    </row>
    <row r="1407" spans="2:13" x14ac:dyDescent="0.2">
      <c r="B1407">
        <v>10813</v>
      </c>
      <c r="C1407" t="s">
        <v>8276</v>
      </c>
      <c r="D1407" t="s">
        <v>8272</v>
      </c>
      <c r="E1407" s="225">
        <v>182.4</v>
      </c>
      <c r="F1407" t="s">
        <v>8716</v>
      </c>
      <c r="G1407" t="s">
        <v>8715</v>
      </c>
      <c r="H1407" t="s">
        <v>8710</v>
      </c>
      <c r="I1407" s="99">
        <v>44036</v>
      </c>
      <c r="J1407">
        <f>YEAR(I1407)</f>
        <v>2020</v>
      </c>
      <c r="K1407" s="99">
        <v>44040</v>
      </c>
      <c r="L1407" t="s">
        <v>8285</v>
      </c>
      <c r="M1407" t="s">
        <v>2317</v>
      </c>
    </row>
    <row r="1408" spans="2:13" x14ac:dyDescent="0.2">
      <c r="B1408">
        <v>10851</v>
      </c>
      <c r="C1408" t="s">
        <v>8276</v>
      </c>
      <c r="D1408" t="s">
        <v>8272</v>
      </c>
      <c r="E1408" s="225">
        <v>90.25</v>
      </c>
      <c r="F1408" t="s">
        <v>8716</v>
      </c>
      <c r="G1408" t="s">
        <v>8715</v>
      </c>
      <c r="H1408" t="s">
        <v>8710</v>
      </c>
      <c r="I1408" s="99">
        <v>44057</v>
      </c>
      <c r="J1408">
        <f>YEAR(I1408)</f>
        <v>2020</v>
      </c>
      <c r="K1408" s="99">
        <v>44063</v>
      </c>
      <c r="L1408" t="s">
        <v>8241</v>
      </c>
      <c r="M1408" t="s">
        <v>6934</v>
      </c>
    </row>
    <row r="1409" spans="2:13" x14ac:dyDescent="0.2">
      <c r="B1409">
        <v>10851</v>
      </c>
      <c r="C1409" t="s">
        <v>8362</v>
      </c>
      <c r="D1409" t="s">
        <v>8262</v>
      </c>
      <c r="E1409" s="225">
        <v>133</v>
      </c>
      <c r="F1409" t="s">
        <v>8716</v>
      </c>
      <c r="G1409" t="s">
        <v>8715</v>
      </c>
      <c r="H1409" t="s">
        <v>8710</v>
      </c>
      <c r="I1409" s="99">
        <v>44057</v>
      </c>
      <c r="J1409">
        <f>YEAR(I1409)</f>
        <v>2020</v>
      </c>
      <c r="K1409" s="99">
        <v>44063</v>
      </c>
      <c r="L1409" t="s">
        <v>8241</v>
      </c>
      <c r="M1409" t="s">
        <v>6934</v>
      </c>
    </row>
    <row r="1410" spans="2:13" x14ac:dyDescent="0.2">
      <c r="B1410">
        <v>10851</v>
      </c>
      <c r="C1410" t="s">
        <v>8281</v>
      </c>
      <c r="D1410" t="s">
        <v>8237</v>
      </c>
      <c r="E1410" s="225">
        <v>2194.5</v>
      </c>
      <c r="F1410" t="s">
        <v>8716</v>
      </c>
      <c r="G1410" t="s">
        <v>8715</v>
      </c>
      <c r="H1410" t="s">
        <v>8710</v>
      </c>
      <c r="I1410" s="99">
        <v>44057</v>
      </c>
      <c r="J1410">
        <f>YEAR(I1410)</f>
        <v>2020</v>
      </c>
      <c r="K1410" s="99">
        <v>44063</v>
      </c>
      <c r="L1410" t="s">
        <v>8241</v>
      </c>
      <c r="M1410" t="s">
        <v>6934</v>
      </c>
    </row>
    <row r="1411" spans="2:13" x14ac:dyDescent="0.2">
      <c r="B1411">
        <v>10851</v>
      </c>
      <c r="C1411" t="s">
        <v>8258</v>
      </c>
      <c r="D1411" t="s">
        <v>8244</v>
      </c>
      <c r="E1411" s="225">
        <v>185.25</v>
      </c>
      <c r="F1411" t="s">
        <v>8716</v>
      </c>
      <c r="G1411" t="s">
        <v>8715</v>
      </c>
      <c r="H1411" t="s">
        <v>8710</v>
      </c>
      <c r="I1411" s="99">
        <v>44057</v>
      </c>
      <c r="J1411">
        <f>YEAR(I1411)</f>
        <v>2020</v>
      </c>
      <c r="K1411" s="99">
        <v>44063</v>
      </c>
      <c r="L1411" t="s">
        <v>8241</v>
      </c>
      <c r="M1411" t="s">
        <v>6934</v>
      </c>
    </row>
    <row r="1412" spans="2:13" x14ac:dyDescent="0.2">
      <c r="B1412">
        <v>10877</v>
      </c>
      <c r="C1412" t="s">
        <v>8280</v>
      </c>
      <c r="D1412" t="s">
        <v>8262</v>
      </c>
      <c r="E1412" s="225">
        <v>392.62</v>
      </c>
      <c r="F1412" t="s">
        <v>8716</v>
      </c>
      <c r="G1412" t="s">
        <v>8715</v>
      </c>
      <c r="H1412" t="s">
        <v>8710</v>
      </c>
      <c r="I1412" s="99">
        <v>44070</v>
      </c>
      <c r="J1412">
        <f>YEAR(I1412)</f>
        <v>2020</v>
      </c>
      <c r="K1412" s="99">
        <v>44080</v>
      </c>
      <c r="L1412" t="s">
        <v>8285</v>
      </c>
      <c r="M1412" t="s">
        <v>2317</v>
      </c>
    </row>
    <row r="1413" spans="2:13" x14ac:dyDescent="0.2">
      <c r="B1413">
        <v>11059</v>
      </c>
      <c r="C1413" t="s">
        <v>8268</v>
      </c>
      <c r="D1413" t="s">
        <v>8237</v>
      </c>
      <c r="E1413" s="225">
        <v>1190</v>
      </c>
      <c r="F1413" t="s">
        <v>8716</v>
      </c>
      <c r="G1413" t="s">
        <v>8715</v>
      </c>
      <c r="H1413" t="s">
        <v>8710</v>
      </c>
      <c r="I1413" s="99">
        <v>44149</v>
      </c>
      <c r="J1413">
        <f>YEAR(I1413)</f>
        <v>2020</v>
      </c>
      <c r="L1413" t="s">
        <v>8297</v>
      </c>
      <c r="M1413" t="s">
        <v>8298</v>
      </c>
    </row>
    <row r="1414" spans="2:13" x14ac:dyDescent="0.2">
      <c r="B1414">
        <v>10255</v>
      </c>
      <c r="C1414" t="s">
        <v>8276</v>
      </c>
      <c r="D1414" t="s">
        <v>8272</v>
      </c>
      <c r="E1414" s="225">
        <v>304</v>
      </c>
      <c r="F1414" t="s">
        <v>8277</v>
      </c>
      <c r="G1414" t="s">
        <v>8278</v>
      </c>
      <c r="H1414" t="s">
        <v>8271</v>
      </c>
      <c r="I1414" s="99">
        <v>43494</v>
      </c>
      <c r="J1414">
        <f>YEAR(I1414)</f>
        <v>2019</v>
      </c>
      <c r="K1414" s="99">
        <v>43497</v>
      </c>
      <c r="L1414" t="s">
        <v>8279</v>
      </c>
      <c r="M1414" t="s">
        <v>710</v>
      </c>
    </row>
    <row r="1415" spans="2:13" x14ac:dyDescent="0.2">
      <c r="B1415">
        <v>10255</v>
      </c>
      <c r="C1415" t="s">
        <v>8280</v>
      </c>
      <c r="D1415" t="s">
        <v>8262</v>
      </c>
      <c r="E1415" s="225">
        <v>486.5</v>
      </c>
      <c r="F1415" t="s">
        <v>8277</v>
      </c>
      <c r="G1415" t="s">
        <v>8278</v>
      </c>
      <c r="H1415" t="s">
        <v>8271</v>
      </c>
      <c r="I1415" s="99">
        <v>43494</v>
      </c>
      <c r="J1415">
        <f>YEAR(I1415)</f>
        <v>2019</v>
      </c>
      <c r="K1415" s="99">
        <v>43497</v>
      </c>
      <c r="L1415" t="s">
        <v>8279</v>
      </c>
      <c r="M1415" t="s">
        <v>710</v>
      </c>
    </row>
    <row r="1416" spans="2:13" x14ac:dyDescent="0.2">
      <c r="B1416">
        <v>10255</v>
      </c>
      <c r="C1416" t="s">
        <v>8281</v>
      </c>
      <c r="D1416" t="s">
        <v>8237</v>
      </c>
      <c r="E1416" s="225">
        <v>1320</v>
      </c>
      <c r="F1416" t="s">
        <v>8277</v>
      </c>
      <c r="G1416" t="s">
        <v>8278</v>
      </c>
      <c r="H1416" t="s">
        <v>8271</v>
      </c>
      <c r="I1416" s="99">
        <v>43494</v>
      </c>
      <c r="J1416">
        <f>YEAR(I1416)</f>
        <v>2019</v>
      </c>
      <c r="K1416" s="99">
        <v>43497</v>
      </c>
      <c r="L1416" t="s">
        <v>8279</v>
      </c>
      <c r="M1416" t="s">
        <v>710</v>
      </c>
    </row>
    <row r="1417" spans="2:13" x14ac:dyDescent="0.2">
      <c r="B1417">
        <v>10419</v>
      </c>
      <c r="C1417" t="s">
        <v>8268</v>
      </c>
      <c r="D1417" t="s">
        <v>8237</v>
      </c>
      <c r="E1417" s="225">
        <v>1550.4</v>
      </c>
      <c r="F1417" t="s">
        <v>8277</v>
      </c>
      <c r="G1417" t="s">
        <v>8278</v>
      </c>
      <c r="H1417" t="s">
        <v>8271</v>
      </c>
      <c r="I1417" s="99">
        <v>43686</v>
      </c>
      <c r="J1417">
        <f>YEAR(I1417)</f>
        <v>2019</v>
      </c>
      <c r="K1417" s="99">
        <v>43696</v>
      </c>
      <c r="L1417" t="s">
        <v>8266</v>
      </c>
      <c r="M1417" t="s">
        <v>8267</v>
      </c>
    </row>
    <row r="1418" spans="2:13" x14ac:dyDescent="0.2">
      <c r="B1418">
        <v>10419</v>
      </c>
      <c r="C1418" t="s">
        <v>8353</v>
      </c>
      <c r="D1418" t="s">
        <v>8237</v>
      </c>
      <c r="E1418" s="225">
        <v>547.20000000000005</v>
      </c>
      <c r="F1418" t="s">
        <v>8277</v>
      </c>
      <c r="G1418" t="s">
        <v>8278</v>
      </c>
      <c r="H1418" t="s">
        <v>8271</v>
      </c>
      <c r="I1418" s="99">
        <v>43686</v>
      </c>
      <c r="J1418">
        <f>YEAR(I1418)</f>
        <v>2019</v>
      </c>
      <c r="K1418" s="99">
        <v>43696</v>
      </c>
      <c r="L1418" t="s">
        <v>8266</v>
      </c>
      <c r="M1418" t="s">
        <v>8267</v>
      </c>
    </row>
    <row r="1419" spans="2:13" x14ac:dyDescent="0.2">
      <c r="B1419">
        <v>10537</v>
      </c>
      <c r="C1419" t="s">
        <v>8309</v>
      </c>
      <c r="D1419" t="s">
        <v>8237</v>
      </c>
      <c r="E1419" s="225">
        <v>375</v>
      </c>
      <c r="F1419" t="s">
        <v>8277</v>
      </c>
      <c r="G1419" t="s">
        <v>8278</v>
      </c>
      <c r="H1419" t="s">
        <v>8271</v>
      </c>
      <c r="I1419" s="99">
        <v>43800</v>
      </c>
      <c r="J1419">
        <f>YEAR(I1419)</f>
        <v>2019</v>
      </c>
      <c r="K1419" s="99">
        <v>43805</v>
      </c>
      <c r="L1419" t="s">
        <v>8285</v>
      </c>
      <c r="M1419" t="s">
        <v>2317</v>
      </c>
    </row>
    <row r="1420" spans="2:13" x14ac:dyDescent="0.2">
      <c r="B1420">
        <v>10537</v>
      </c>
      <c r="C1420" t="s">
        <v>8235</v>
      </c>
      <c r="D1420" t="s">
        <v>8237</v>
      </c>
      <c r="E1420" s="225">
        <v>730.8</v>
      </c>
      <c r="F1420" t="s">
        <v>8277</v>
      </c>
      <c r="G1420" t="s">
        <v>8278</v>
      </c>
      <c r="H1420" t="s">
        <v>8271</v>
      </c>
      <c r="I1420" s="99">
        <v>43800</v>
      </c>
      <c r="J1420">
        <f>YEAR(I1420)</f>
        <v>2019</v>
      </c>
      <c r="K1420" s="99">
        <v>43805</v>
      </c>
      <c r="L1420" t="s">
        <v>8285</v>
      </c>
      <c r="M1420" t="s">
        <v>2317</v>
      </c>
    </row>
    <row r="1421" spans="2:13" x14ac:dyDescent="0.2">
      <c r="B1421">
        <v>10537</v>
      </c>
      <c r="C1421" t="s">
        <v>8245</v>
      </c>
      <c r="D1421" t="s">
        <v>8247</v>
      </c>
      <c r="E1421" s="225">
        <v>318</v>
      </c>
      <c r="F1421" t="s">
        <v>8277</v>
      </c>
      <c r="G1421" t="s">
        <v>8278</v>
      </c>
      <c r="H1421" t="s">
        <v>8271</v>
      </c>
      <c r="I1421" s="99">
        <v>43800</v>
      </c>
      <c r="J1421">
        <f>YEAR(I1421)</f>
        <v>2019</v>
      </c>
      <c r="K1421" s="99">
        <v>43805</v>
      </c>
      <c r="L1421" t="s">
        <v>8285</v>
      </c>
      <c r="M1421" t="s">
        <v>2317</v>
      </c>
    </row>
    <row r="1422" spans="2:13" x14ac:dyDescent="0.2">
      <c r="B1422">
        <v>10666</v>
      </c>
      <c r="C1422" t="s">
        <v>8253</v>
      </c>
      <c r="D1422" t="s">
        <v>8254</v>
      </c>
      <c r="E1422" s="225">
        <v>210.5</v>
      </c>
      <c r="F1422" t="s">
        <v>8277</v>
      </c>
      <c r="G1422" t="s">
        <v>8278</v>
      </c>
      <c r="H1422" t="s">
        <v>8271</v>
      </c>
      <c r="I1422" s="99">
        <v>43921</v>
      </c>
      <c r="J1422">
        <f>YEAR(I1422)</f>
        <v>2020</v>
      </c>
      <c r="K1422" s="99">
        <v>43931</v>
      </c>
      <c r="L1422" t="s">
        <v>8158</v>
      </c>
      <c r="M1422" t="s">
        <v>861</v>
      </c>
    </row>
    <row r="1423" spans="2:13" x14ac:dyDescent="0.2">
      <c r="B1423">
        <v>10751</v>
      </c>
      <c r="C1423" t="s">
        <v>8372</v>
      </c>
      <c r="D1423" t="s">
        <v>8262</v>
      </c>
      <c r="E1423" s="225">
        <v>337.28</v>
      </c>
      <c r="F1423" t="s">
        <v>8277</v>
      </c>
      <c r="G1423" t="s">
        <v>8278</v>
      </c>
      <c r="H1423" t="s">
        <v>8271</v>
      </c>
      <c r="I1423" s="99">
        <v>43994</v>
      </c>
      <c r="J1423">
        <f>YEAR(I1423)</f>
        <v>2020</v>
      </c>
      <c r="K1423" s="99">
        <v>44003</v>
      </c>
      <c r="L1423" t="s">
        <v>8257</v>
      </c>
      <c r="M1423" t="s">
        <v>6984</v>
      </c>
    </row>
    <row r="1424" spans="2:13" x14ac:dyDescent="0.2">
      <c r="B1424">
        <v>10751</v>
      </c>
      <c r="C1424" t="s">
        <v>8381</v>
      </c>
      <c r="D1424" t="s">
        <v>8262</v>
      </c>
      <c r="E1424" s="225">
        <v>292.5</v>
      </c>
      <c r="F1424" t="s">
        <v>8277</v>
      </c>
      <c r="G1424" t="s">
        <v>8278</v>
      </c>
      <c r="H1424" t="s">
        <v>8271</v>
      </c>
      <c r="I1424" s="99">
        <v>43994</v>
      </c>
      <c r="J1424">
        <f>YEAR(I1424)</f>
        <v>2020</v>
      </c>
      <c r="K1424" s="99">
        <v>44003</v>
      </c>
      <c r="L1424" t="s">
        <v>8257</v>
      </c>
      <c r="M1424" t="s">
        <v>6984</v>
      </c>
    </row>
    <row r="1425" spans="2:13" x14ac:dyDescent="0.2">
      <c r="B1425">
        <v>10758</v>
      </c>
      <c r="C1425" t="s">
        <v>8288</v>
      </c>
      <c r="D1425" t="s">
        <v>8272</v>
      </c>
      <c r="E1425" s="225">
        <v>600</v>
      </c>
      <c r="F1425" t="s">
        <v>8277</v>
      </c>
      <c r="G1425" t="s">
        <v>8278</v>
      </c>
      <c r="H1425" t="s">
        <v>8271</v>
      </c>
      <c r="I1425" s="99">
        <v>43998</v>
      </c>
      <c r="J1425">
        <f>YEAR(I1425)</f>
        <v>2020</v>
      </c>
      <c r="K1425" s="99">
        <v>44004</v>
      </c>
      <c r="L1425" t="s">
        <v>8257</v>
      </c>
      <c r="M1425" t="s">
        <v>6984</v>
      </c>
    </row>
    <row r="1426" spans="2:13" x14ac:dyDescent="0.2">
      <c r="B1426">
        <v>10758</v>
      </c>
      <c r="C1426" t="s">
        <v>8372</v>
      </c>
      <c r="D1426" t="s">
        <v>8262</v>
      </c>
      <c r="E1426" s="225">
        <v>624.6</v>
      </c>
      <c r="F1426" t="s">
        <v>8277</v>
      </c>
      <c r="G1426" t="s">
        <v>8278</v>
      </c>
      <c r="H1426" t="s">
        <v>8271</v>
      </c>
      <c r="I1426" s="99">
        <v>43998</v>
      </c>
      <c r="J1426">
        <f>YEAR(I1426)</f>
        <v>2020</v>
      </c>
      <c r="K1426" s="99">
        <v>44004</v>
      </c>
      <c r="L1426" t="s">
        <v>8257</v>
      </c>
      <c r="M1426" t="s">
        <v>6984</v>
      </c>
    </row>
    <row r="1427" spans="2:13" x14ac:dyDescent="0.2">
      <c r="B1427">
        <v>10758</v>
      </c>
      <c r="C1427" t="s">
        <v>8369</v>
      </c>
      <c r="D1427" t="s">
        <v>8244</v>
      </c>
      <c r="E1427" s="225">
        <v>420</v>
      </c>
      <c r="F1427" t="s">
        <v>8277</v>
      </c>
      <c r="G1427" t="s">
        <v>8278</v>
      </c>
      <c r="H1427" t="s">
        <v>8271</v>
      </c>
      <c r="I1427" s="99">
        <v>43998</v>
      </c>
      <c r="J1427">
        <f>YEAR(I1427)</f>
        <v>2020</v>
      </c>
      <c r="K1427" s="99">
        <v>44004</v>
      </c>
      <c r="L1427" t="s">
        <v>8257</v>
      </c>
      <c r="M1427" t="s">
        <v>6984</v>
      </c>
    </row>
    <row r="1428" spans="2:13" x14ac:dyDescent="0.2">
      <c r="B1428">
        <v>10931</v>
      </c>
      <c r="C1428" t="s">
        <v>8258</v>
      </c>
      <c r="D1428" t="s">
        <v>8244</v>
      </c>
      <c r="E1428" s="225">
        <v>585</v>
      </c>
      <c r="F1428" t="s">
        <v>8277</v>
      </c>
      <c r="G1428" t="s">
        <v>8278</v>
      </c>
      <c r="H1428" t="s">
        <v>8271</v>
      </c>
      <c r="I1428" s="99">
        <v>44095</v>
      </c>
      <c r="J1428">
        <f>YEAR(I1428)</f>
        <v>2020</v>
      </c>
      <c r="K1428" s="99">
        <v>44108</v>
      </c>
      <c r="L1428" t="s">
        <v>8266</v>
      </c>
      <c r="M1428" t="s">
        <v>8267</v>
      </c>
    </row>
    <row r="1429" spans="2:13" x14ac:dyDescent="0.2">
      <c r="B1429">
        <v>10951</v>
      </c>
      <c r="C1429" t="s">
        <v>8328</v>
      </c>
      <c r="D1429" t="s">
        <v>8272</v>
      </c>
      <c r="E1429" s="225">
        <v>368.12</v>
      </c>
      <c r="F1429" t="s">
        <v>8277</v>
      </c>
      <c r="G1429" t="s">
        <v>8278</v>
      </c>
      <c r="H1429" t="s">
        <v>8271</v>
      </c>
      <c r="I1429" s="99">
        <v>44105</v>
      </c>
      <c r="J1429">
        <f>YEAR(I1429)</f>
        <v>2020</v>
      </c>
      <c r="K1429" s="99">
        <v>44127</v>
      </c>
      <c r="L1429" t="s">
        <v>8279</v>
      </c>
      <c r="M1429" t="s">
        <v>710</v>
      </c>
    </row>
    <row r="1430" spans="2:13" x14ac:dyDescent="0.2">
      <c r="B1430">
        <v>10951</v>
      </c>
      <c r="C1430" t="s">
        <v>8269</v>
      </c>
      <c r="D1430" t="s">
        <v>8237</v>
      </c>
      <c r="E1430" s="225">
        <v>35.619999999999997</v>
      </c>
      <c r="F1430" t="s">
        <v>8277</v>
      </c>
      <c r="G1430" t="s">
        <v>8278</v>
      </c>
      <c r="H1430" t="s">
        <v>8271</v>
      </c>
      <c r="I1430" s="99">
        <v>44105</v>
      </c>
      <c r="J1430">
        <f>YEAR(I1430)</f>
        <v>2020</v>
      </c>
      <c r="K1430" s="99">
        <v>44127</v>
      </c>
      <c r="L1430" t="s">
        <v>8279</v>
      </c>
      <c r="M1430" t="s">
        <v>710</v>
      </c>
    </row>
    <row r="1431" spans="2:13" x14ac:dyDescent="0.2">
      <c r="B1431">
        <v>11033</v>
      </c>
      <c r="C1431" t="s">
        <v>8353</v>
      </c>
      <c r="D1431" t="s">
        <v>8237</v>
      </c>
      <c r="E1431" s="225">
        <v>1166.4000000000001</v>
      </c>
      <c r="F1431" t="s">
        <v>8277</v>
      </c>
      <c r="G1431" t="s">
        <v>8278</v>
      </c>
      <c r="H1431" t="s">
        <v>8271</v>
      </c>
      <c r="I1431" s="99">
        <v>44137</v>
      </c>
      <c r="J1431">
        <f>YEAR(I1431)</f>
        <v>2020</v>
      </c>
      <c r="K1431" s="99">
        <v>44143</v>
      </c>
      <c r="L1431" t="s">
        <v>8158</v>
      </c>
      <c r="M1431" t="s">
        <v>861</v>
      </c>
    </row>
    <row r="1432" spans="2:13" x14ac:dyDescent="0.2">
      <c r="B1432">
        <v>11075</v>
      </c>
      <c r="C1432" t="s">
        <v>8276</v>
      </c>
      <c r="D1432" t="s">
        <v>8272</v>
      </c>
      <c r="E1432" s="225">
        <v>161.5</v>
      </c>
      <c r="F1432" t="s">
        <v>8277</v>
      </c>
      <c r="G1432" t="s">
        <v>8278</v>
      </c>
      <c r="H1432" t="s">
        <v>8271</v>
      </c>
      <c r="I1432" s="99">
        <v>44156</v>
      </c>
      <c r="J1432">
        <f>YEAR(I1432)</f>
        <v>2020</v>
      </c>
      <c r="L1432" t="s">
        <v>8320</v>
      </c>
      <c r="M1432" t="s">
        <v>8321</v>
      </c>
    </row>
    <row r="1433" spans="2:13" x14ac:dyDescent="0.2">
      <c r="B1433">
        <v>11075</v>
      </c>
      <c r="C1433" t="s">
        <v>8303</v>
      </c>
      <c r="D1433" t="s">
        <v>8272</v>
      </c>
      <c r="E1433" s="225">
        <v>30.6</v>
      </c>
      <c r="F1433" t="s">
        <v>8277</v>
      </c>
      <c r="G1433" t="s">
        <v>8278</v>
      </c>
      <c r="H1433" t="s">
        <v>8271</v>
      </c>
      <c r="I1433" s="99">
        <v>44156</v>
      </c>
      <c r="J1433">
        <f>YEAR(I1433)</f>
        <v>2020</v>
      </c>
      <c r="L1433" t="s">
        <v>8320</v>
      </c>
      <c r="M1433" t="s">
        <v>8321</v>
      </c>
    </row>
    <row r="1434" spans="2:13" x14ac:dyDescent="0.2">
      <c r="B1434">
        <v>10281</v>
      </c>
      <c r="C1434" t="s">
        <v>8270</v>
      </c>
      <c r="D1434" t="s">
        <v>8272</v>
      </c>
      <c r="E1434" s="225">
        <v>21.6</v>
      </c>
      <c r="F1434" t="s">
        <v>8325</v>
      </c>
      <c r="G1434" t="s">
        <v>8326</v>
      </c>
      <c r="H1434" t="s">
        <v>8324</v>
      </c>
      <c r="I1434" s="99">
        <v>43527</v>
      </c>
      <c r="J1434">
        <f>YEAR(I1434)</f>
        <v>2019</v>
      </c>
      <c r="K1434" s="99">
        <v>43534</v>
      </c>
      <c r="L1434" t="s">
        <v>8266</v>
      </c>
      <c r="M1434" t="s">
        <v>8267</v>
      </c>
    </row>
    <row r="1435" spans="2:13" x14ac:dyDescent="0.2">
      <c r="B1435">
        <v>10281</v>
      </c>
      <c r="C1435" t="s">
        <v>8323</v>
      </c>
      <c r="D1435" t="s">
        <v>8272</v>
      </c>
      <c r="E1435" s="225">
        <v>57.6</v>
      </c>
      <c r="F1435" t="s">
        <v>8325</v>
      </c>
      <c r="G1435" t="s">
        <v>8326</v>
      </c>
      <c r="H1435" t="s">
        <v>8324</v>
      </c>
      <c r="I1435" s="99">
        <v>43527</v>
      </c>
      <c r="J1435">
        <f>YEAR(I1435)</f>
        <v>2019</v>
      </c>
      <c r="K1435" s="99">
        <v>43534</v>
      </c>
      <c r="L1435" t="s">
        <v>8266</v>
      </c>
      <c r="M1435" t="s">
        <v>8267</v>
      </c>
    </row>
    <row r="1436" spans="2:13" x14ac:dyDescent="0.2">
      <c r="B1436">
        <v>10281</v>
      </c>
      <c r="C1436" t="s">
        <v>8327</v>
      </c>
      <c r="D1436" t="s">
        <v>8262</v>
      </c>
      <c r="E1436" s="225">
        <v>7.3</v>
      </c>
      <c r="F1436" t="s">
        <v>8325</v>
      </c>
      <c r="G1436" t="s">
        <v>8326</v>
      </c>
      <c r="H1436" t="s">
        <v>8324</v>
      </c>
      <c r="I1436" s="99">
        <v>43527</v>
      </c>
      <c r="J1436">
        <f>YEAR(I1436)</f>
        <v>2019</v>
      </c>
      <c r="K1436" s="99">
        <v>43534</v>
      </c>
      <c r="L1436" t="s">
        <v>8266</v>
      </c>
      <c r="M1436" t="s">
        <v>8267</v>
      </c>
    </row>
    <row r="1437" spans="2:13" x14ac:dyDescent="0.2">
      <c r="B1437">
        <v>10282</v>
      </c>
      <c r="C1437" t="s">
        <v>8258</v>
      </c>
      <c r="D1437" t="s">
        <v>8244</v>
      </c>
      <c r="E1437" s="225">
        <v>31.2</v>
      </c>
      <c r="F1437" t="s">
        <v>8325</v>
      </c>
      <c r="G1437" t="s">
        <v>8326</v>
      </c>
      <c r="H1437" t="s">
        <v>8324</v>
      </c>
      <c r="I1437" s="99">
        <v>43528</v>
      </c>
      <c r="J1437">
        <f>YEAR(I1437)</f>
        <v>2019</v>
      </c>
      <c r="K1437" s="99">
        <v>43534</v>
      </c>
      <c r="L1437" t="s">
        <v>8266</v>
      </c>
      <c r="M1437" t="s">
        <v>8267</v>
      </c>
    </row>
    <row r="1438" spans="2:13" x14ac:dyDescent="0.2">
      <c r="B1438">
        <v>10917</v>
      </c>
      <c r="C1438" t="s">
        <v>8268</v>
      </c>
      <c r="D1438" t="s">
        <v>8237</v>
      </c>
      <c r="E1438" s="225">
        <v>340</v>
      </c>
      <c r="F1438" t="s">
        <v>8325</v>
      </c>
      <c r="G1438" t="s">
        <v>8326</v>
      </c>
      <c r="H1438" t="s">
        <v>8324</v>
      </c>
      <c r="I1438" s="99">
        <v>44091</v>
      </c>
      <c r="J1438">
        <f>YEAR(I1438)</f>
        <v>2020</v>
      </c>
      <c r="K1438" s="99">
        <v>44100</v>
      </c>
      <c r="L1438" t="s">
        <v>8266</v>
      </c>
      <c r="M1438" t="s">
        <v>8267</v>
      </c>
    </row>
    <row r="1439" spans="2:13" x14ac:dyDescent="0.2">
      <c r="B1439">
        <v>11013</v>
      </c>
      <c r="C1439" t="s">
        <v>8334</v>
      </c>
      <c r="D1439" t="s">
        <v>8262</v>
      </c>
      <c r="E1439" s="225">
        <v>25</v>
      </c>
      <c r="F1439" t="s">
        <v>8325</v>
      </c>
      <c r="G1439" t="s">
        <v>8326</v>
      </c>
      <c r="H1439" t="s">
        <v>8324</v>
      </c>
      <c r="I1439" s="99">
        <v>44129</v>
      </c>
      <c r="J1439">
        <f>YEAR(I1439)</f>
        <v>2020</v>
      </c>
      <c r="K1439" s="99">
        <v>44130</v>
      </c>
      <c r="L1439" t="s">
        <v>8297</v>
      </c>
      <c r="M1439" t="s">
        <v>8298</v>
      </c>
    </row>
    <row r="1440" spans="2:13" x14ac:dyDescent="0.2">
      <c r="B1440">
        <v>11013</v>
      </c>
      <c r="C1440" t="s">
        <v>8373</v>
      </c>
      <c r="D1440" t="s">
        <v>8244</v>
      </c>
      <c r="E1440" s="225">
        <v>90</v>
      </c>
      <c r="F1440" t="s">
        <v>8325</v>
      </c>
      <c r="G1440" t="s">
        <v>8326</v>
      </c>
      <c r="H1440" t="s">
        <v>8324</v>
      </c>
      <c r="I1440" s="99">
        <v>44129</v>
      </c>
      <c r="J1440">
        <f>YEAR(I1440)</f>
        <v>2020</v>
      </c>
      <c r="K1440" s="99">
        <v>44130</v>
      </c>
      <c r="L1440" t="s">
        <v>8297</v>
      </c>
      <c r="M1440" t="s">
        <v>8298</v>
      </c>
    </row>
    <row r="1441" spans="2:13" x14ac:dyDescent="0.2">
      <c r="B1441">
        <v>11013</v>
      </c>
      <c r="C1441" t="s">
        <v>8243</v>
      </c>
      <c r="D1441" t="s">
        <v>8244</v>
      </c>
      <c r="E1441" s="225">
        <v>56</v>
      </c>
      <c r="F1441" t="s">
        <v>8325</v>
      </c>
      <c r="G1441" t="s">
        <v>8326</v>
      </c>
      <c r="H1441" t="s">
        <v>8324</v>
      </c>
      <c r="I1441" s="99">
        <v>44129</v>
      </c>
      <c r="J1441">
        <f>YEAR(I1441)</f>
        <v>2020</v>
      </c>
      <c r="K1441" s="99">
        <v>44130</v>
      </c>
      <c r="L1441" t="s">
        <v>8297</v>
      </c>
      <c r="M1441" t="s">
        <v>8298</v>
      </c>
    </row>
    <row r="1442" spans="2:13" x14ac:dyDescent="0.2">
      <c r="B1442">
        <v>10387</v>
      </c>
      <c r="C1442" t="s">
        <v>8270</v>
      </c>
      <c r="D1442" t="s">
        <v>8272</v>
      </c>
      <c r="E1442" s="225">
        <v>54</v>
      </c>
      <c r="F1442" t="s">
        <v>8404</v>
      </c>
      <c r="G1442" t="s">
        <v>8405</v>
      </c>
      <c r="H1442" t="s">
        <v>8403</v>
      </c>
      <c r="I1442" s="99">
        <v>43653</v>
      </c>
      <c r="J1442">
        <f>YEAR(I1442)</f>
        <v>2019</v>
      </c>
      <c r="K1442" s="99">
        <v>43655</v>
      </c>
      <c r="L1442" t="s">
        <v>8285</v>
      </c>
      <c r="M1442" t="s">
        <v>2317</v>
      </c>
    </row>
    <row r="1443" spans="2:13" x14ac:dyDescent="0.2">
      <c r="B1443">
        <v>10387</v>
      </c>
      <c r="C1443" t="s">
        <v>8281</v>
      </c>
      <c r="D1443" t="s">
        <v>8237</v>
      </c>
      <c r="E1443" s="225">
        <v>528</v>
      </c>
      <c r="F1443" t="s">
        <v>8404</v>
      </c>
      <c r="G1443" t="s">
        <v>8405</v>
      </c>
      <c r="H1443" t="s">
        <v>8403</v>
      </c>
      <c r="I1443" s="99">
        <v>43653</v>
      </c>
      <c r="J1443">
        <f>YEAR(I1443)</f>
        <v>2019</v>
      </c>
      <c r="K1443" s="99">
        <v>43655</v>
      </c>
      <c r="L1443" t="s">
        <v>8285</v>
      </c>
      <c r="M1443" t="s">
        <v>2317</v>
      </c>
    </row>
    <row r="1444" spans="2:13" x14ac:dyDescent="0.2">
      <c r="B1444">
        <v>10387</v>
      </c>
      <c r="C1444" t="s">
        <v>8310</v>
      </c>
      <c r="D1444" t="s">
        <v>8237</v>
      </c>
      <c r="E1444" s="225">
        <v>258</v>
      </c>
      <c r="F1444" t="s">
        <v>8404</v>
      </c>
      <c r="G1444" t="s">
        <v>8405</v>
      </c>
      <c r="H1444" t="s">
        <v>8403</v>
      </c>
      <c r="I1444" s="99">
        <v>43653</v>
      </c>
      <c r="J1444">
        <f>YEAR(I1444)</f>
        <v>2019</v>
      </c>
      <c r="K1444" s="99">
        <v>43655</v>
      </c>
      <c r="L1444" t="s">
        <v>8285</v>
      </c>
      <c r="M1444" t="s">
        <v>2317</v>
      </c>
    </row>
    <row r="1445" spans="2:13" x14ac:dyDescent="0.2">
      <c r="B1445">
        <v>10387</v>
      </c>
      <c r="C1445" t="s">
        <v>8316</v>
      </c>
      <c r="D1445" t="s">
        <v>8247</v>
      </c>
      <c r="E1445" s="225">
        <v>218.4</v>
      </c>
      <c r="F1445" t="s">
        <v>8404</v>
      </c>
      <c r="G1445" t="s">
        <v>8405</v>
      </c>
      <c r="H1445" t="s">
        <v>8403</v>
      </c>
      <c r="I1445" s="99">
        <v>43653</v>
      </c>
      <c r="J1445">
        <f>YEAR(I1445)</f>
        <v>2019</v>
      </c>
      <c r="K1445" s="99">
        <v>43655</v>
      </c>
      <c r="L1445" t="s">
        <v>8285</v>
      </c>
      <c r="M1445" t="s">
        <v>2317</v>
      </c>
    </row>
    <row r="1446" spans="2:13" x14ac:dyDescent="0.2">
      <c r="B1446">
        <v>10520</v>
      </c>
      <c r="C1446" t="s">
        <v>8270</v>
      </c>
      <c r="D1446" t="s">
        <v>8272</v>
      </c>
      <c r="E1446" s="225">
        <v>36</v>
      </c>
      <c r="F1446" t="s">
        <v>8404</v>
      </c>
      <c r="G1446" t="s">
        <v>8405</v>
      </c>
      <c r="H1446" t="s">
        <v>8403</v>
      </c>
      <c r="I1446" s="99">
        <v>43785</v>
      </c>
      <c r="J1446">
        <f>YEAR(I1446)</f>
        <v>2019</v>
      </c>
      <c r="K1446" s="99">
        <v>43787</v>
      </c>
      <c r="L1446" t="s">
        <v>8158</v>
      </c>
      <c r="M1446" t="s">
        <v>861</v>
      </c>
    </row>
    <row r="1447" spans="2:13" x14ac:dyDescent="0.2">
      <c r="B1447">
        <v>10831</v>
      </c>
      <c r="C1447" t="s">
        <v>8323</v>
      </c>
      <c r="D1447" t="s">
        <v>8272</v>
      </c>
      <c r="E1447" s="225">
        <v>144</v>
      </c>
      <c r="F1447" t="s">
        <v>8404</v>
      </c>
      <c r="G1447" t="s">
        <v>8405</v>
      </c>
      <c r="H1447" t="s">
        <v>8403</v>
      </c>
      <c r="I1447" s="99">
        <v>44045</v>
      </c>
      <c r="J1447">
        <f>YEAR(I1447)</f>
        <v>2020</v>
      </c>
      <c r="K1447" s="99">
        <v>44054</v>
      </c>
      <c r="L1447" t="s">
        <v>8257</v>
      </c>
      <c r="M1447" t="s">
        <v>6984</v>
      </c>
    </row>
    <row r="1448" spans="2:13" x14ac:dyDescent="0.2">
      <c r="B1448">
        <v>10831</v>
      </c>
      <c r="C1448" t="s">
        <v>8380</v>
      </c>
      <c r="D1448" t="s">
        <v>8272</v>
      </c>
      <c r="E1448" s="225">
        <v>2108</v>
      </c>
      <c r="F1448" t="s">
        <v>8404</v>
      </c>
      <c r="G1448" t="s">
        <v>8405</v>
      </c>
      <c r="H1448" t="s">
        <v>8403</v>
      </c>
      <c r="I1448" s="99">
        <v>44045</v>
      </c>
      <c r="J1448">
        <f>YEAR(I1448)</f>
        <v>2020</v>
      </c>
      <c r="K1448" s="99">
        <v>44054</v>
      </c>
      <c r="L1448" t="s">
        <v>8257</v>
      </c>
      <c r="M1448" t="s">
        <v>6984</v>
      </c>
    </row>
    <row r="1449" spans="2:13" x14ac:dyDescent="0.2">
      <c r="B1449">
        <v>10831</v>
      </c>
      <c r="C1449" t="s">
        <v>8306</v>
      </c>
      <c r="D1449" t="s">
        <v>8272</v>
      </c>
      <c r="E1449" s="225">
        <v>414</v>
      </c>
      <c r="F1449" t="s">
        <v>8404</v>
      </c>
      <c r="G1449" t="s">
        <v>8405</v>
      </c>
      <c r="H1449" t="s">
        <v>8403</v>
      </c>
      <c r="I1449" s="99">
        <v>44045</v>
      </c>
      <c r="J1449">
        <f>YEAR(I1449)</f>
        <v>2020</v>
      </c>
      <c r="K1449" s="99">
        <v>44054</v>
      </c>
      <c r="L1449" t="s">
        <v>8257</v>
      </c>
      <c r="M1449" t="s">
        <v>6984</v>
      </c>
    </row>
    <row r="1450" spans="2:13" x14ac:dyDescent="0.2">
      <c r="B1450">
        <v>10831</v>
      </c>
      <c r="C1450" t="s">
        <v>8327</v>
      </c>
      <c r="D1450" t="s">
        <v>8262</v>
      </c>
      <c r="E1450" s="225">
        <v>18.399999999999999</v>
      </c>
      <c r="F1450" t="s">
        <v>8404</v>
      </c>
      <c r="G1450" t="s">
        <v>8405</v>
      </c>
      <c r="H1450" t="s">
        <v>8403</v>
      </c>
      <c r="I1450" s="99">
        <v>44045</v>
      </c>
      <c r="J1450">
        <f>YEAR(I1450)</f>
        <v>2020</v>
      </c>
      <c r="K1450" s="99">
        <v>44054</v>
      </c>
      <c r="L1450" t="s">
        <v>8257</v>
      </c>
      <c r="M1450" t="s">
        <v>6984</v>
      </c>
    </row>
    <row r="1451" spans="2:13" x14ac:dyDescent="0.2">
      <c r="B1451">
        <v>10909</v>
      </c>
      <c r="C1451" t="s">
        <v>8280</v>
      </c>
      <c r="D1451" t="s">
        <v>8262</v>
      </c>
      <c r="E1451" s="225">
        <v>261.75</v>
      </c>
      <c r="F1451" t="s">
        <v>8404</v>
      </c>
      <c r="G1451" t="s">
        <v>8405</v>
      </c>
      <c r="H1451" t="s">
        <v>8403</v>
      </c>
      <c r="I1451" s="99">
        <v>44087</v>
      </c>
      <c r="J1451">
        <f>YEAR(I1451)</f>
        <v>2020</v>
      </c>
      <c r="K1451" s="99">
        <v>44099</v>
      </c>
      <c r="L1451" t="s">
        <v>8285</v>
      </c>
      <c r="M1451" t="s">
        <v>2317</v>
      </c>
    </row>
    <row r="1452" spans="2:13" x14ac:dyDescent="0.2">
      <c r="B1452">
        <v>10909</v>
      </c>
      <c r="C1452" t="s">
        <v>8415</v>
      </c>
      <c r="D1452" t="s">
        <v>8247</v>
      </c>
      <c r="E1452" s="225">
        <v>360</v>
      </c>
      <c r="F1452" t="s">
        <v>8404</v>
      </c>
      <c r="G1452" t="s">
        <v>8405</v>
      </c>
      <c r="H1452" t="s">
        <v>8403</v>
      </c>
      <c r="I1452" s="99">
        <v>44087</v>
      </c>
      <c r="J1452">
        <f>YEAR(I1452)</f>
        <v>2020</v>
      </c>
      <c r="K1452" s="99">
        <v>44099</v>
      </c>
      <c r="L1452" t="s">
        <v>8285</v>
      </c>
      <c r="M1452" t="s">
        <v>2317</v>
      </c>
    </row>
    <row r="1453" spans="2:13" x14ac:dyDescent="0.2">
      <c r="B1453">
        <v>11015</v>
      </c>
      <c r="C1453" t="s">
        <v>8397</v>
      </c>
      <c r="D1453" t="s">
        <v>8254</v>
      </c>
      <c r="E1453" s="225">
        <v>234</v>
      </c>
      <c r="F1453" t="s">
        <v>8404</v>
      </c>
      <c r="G1453" t="s">
        <v>8405</v>
      </c>
      <c r="H1453" t="s">
        <v>8403</v>
      </c>
      <c r="I1453" s="99">
        <v>44130</v>
      </c>
      <c r="J1453">
        <f>YEAR(I1453)</f>
        <v>2020</v>
      </c>
      <c r="K1453" s="99">
        <v>44140</v>
      </c>
      <c r="L1453" t="s">
        <v>8297</v>
      </c>
      <c r="M1453" t="s">
        <v>8298</v>
      </c>
    </row>
    <row r="1454" spans="2:13" x14ac:dyDescent="0.2">
      <c r="B1454">
        <v>10324</v>
      </c>
      <c r="C1454" t="s">
        <v>8323</v>
      </c>
      <c r="D1454" t="s">
        <v>8272</v>
      </c>
      <c r="E1454" s="225">
        <v>856.8</v>
      </c>
      <c r="F1454" t="s">
        <v>8758</v>
      </c>
      <c r="G1454" t="s">
        <v>8757</v>
      </c>
      <c r="H1454" t="s">
        <v>8701</v>
      </c>
      <c r="I1454" s="99">
        <v>43582</v>
      </c>
      <c r="J1454">
        <f>YEAR(I1454)</f>
        <v>2019</v>
      </c>
      <c r="K1454" s="99">
        <v>43584</v>
      </c>
      <c r="L1454" t="s">
        <v>8279</v>
      </c>
      <c r="M1454" t="s">
        <v>710</v>
      </c>
    </row>
    <row r="1455" spans="2:13" x14ac:dyDescent="0.2">
      <c r="B1455">
        <v>10324</v>
      </c>
      <c r="C1455" t="s">
        <v>8317</v>
      </c>
      <c r="D1455" t="s">
        <v>8254</v>
      </c>
      <c r="E1455" s="225">
        <v>2386.8000000000002</v>
      </c>
      <c r="F1455" t="s">
        <v>8758</v>
      </c>
      <c r="G1455" t="s">
        <v>8757</v>
      </c>
      <c r="H1455" t="s">
        <v>8701</v>
      </c>
      <c r="I1455" s="99">
        <v>43582</v>
      </c>
      <c r="J1455">
        <f>YEAR(I1455)</f>
        <v>2019</v>
      </c>
      <c r="K1455" s="99">
        <v>43584</v>
      </c>
      <c r="L1455" t="s">
        <v>8279</v>
      </c>
      <c r="M1455" t="s">
        <v>710</v>
      </c>
    </row>
    <row r="1456" spans="2:13" x14ac:dyDescent="0.2">
      <c r="B1456">
        <v>10324</v>
      </c>
      <c r="C1456" t="s">
        <v>8280</v>
      </c>
      <c r="D1456" t="s">
        <v>8262</v>
      </c>
      <c r="E1456" s="225">
        <v>248.11</v>
      </c>
      <c r="F1456" t="s">
        <v>8758</v>
      </c>
      <c r="G1456" t="s">
        <v>8757</v>
      </c>
      <c r="H1456" t="s">
        <v>8701</v>
      </c>
      <c r="I1456" s="99">
        <v>43582</v>
      </c>
      <c r="J1456">
        <f>YEAR(I1456)</f>
        <v>2019</v>
      </c>
      <c r="K1456" s="99">
        <v>43584</v>
      </c>
      <c r="L1456" t="s">
        <v>8279</v>
      </c>
      <c r="M1456" t="s">
        <v>710</v>
      </c>
    </row>
    <row r="1457" spans="2:13" x14ac:dyDescent="0.2">
      <c r="B1457">
        <v>10324</v>
      </c>
      <c r="C1457" t="s">
        <v>8281</v>
      </c>
      <c r="D1457" t="s">
        <v>8237</v>
      </c>
      <c r="E1457" s="225">
        <v>1496</v>
      </c>
      <c r="F1457" t="s">
        <v>8758</v>
      </c>
      <c r="G1457" t="s">
        <v>8757</v>
      </c>
      <c r="H1457" t="s">
        <v>8701</v>
      </c>
      <c r="I1457" s="99">
        <v>43582</v>
      </c>
      <c r="J1457">
        <f>YEAR(I1457)</f>
        <v>2019</v>
      </c>
      <c r="K1457" s="99">
        <v>43584</v>
      </c>
      <c r="L1457" t="s">
        <v>8279</v>
      </c>
      <c r="M1457" t="s">
        <v>710</v>
      </c>
    </row>
    <row r="1458" spans="2:13" x14ac:dyDescent="0.2">
      <c r="B1458">
        <v>10393</v>
      </c>
      <c r="C1458" t="s">
        <v>8276</v>
      </c>
      <c r="D1458" t="s">
        <v>8272</v>
      </c>
      <c r="E1458" s="225">
        <v>285</v>
      </c>
      <c r="F1458" t="s">
        <v>8758</v>
      </c>
      <c r="G1458" t="s">
        <v>8757</v>
      </c>
      <c r="H1458" t="s">
        <v>8701</v>
      </c>
      <c r="I1458" s="99">
        <v>43660</v>
      </c>
      <c r="J1458">
        <f>YEAR(I1458)</f>
        <v>2019</v>
      </c>
      <c r="K1458" s="99">
        <v>43669</v>
      </c>
      <c r="L1458" t="s">
        <v>8285</v>
      </c>
      <c r="M1458" t="s">
        <v>2317</v>
      </c>
    </row>
    <row r="1459" spans="2:13" x14ac:dyDescent="0.2">
      <c r="B1459">
        <v>10393</v>
      </c>
      <c r="C1459" t="s">
        <v>8362</v>
      </c>
      <c r="D1459" t="s">
        <v>8262</v>
      </c>
      <c r="E1459" s="225">
        <v>58.8</v>
      </c>
      <c r="F1459" t="s">
        <v>8758</v>
      </c>
      <c r="G1459" t="s">
        <v>8757</v>
      </c>
      <c r="H1459" t="s">
        <v>8701</v>
      </c>
      <c r="I1459" s="99">
        <v>43660</v>
      </c>
      <c r="J1459">
        <f>YEAR(I1459)</f>
        <v>2019</v>
      </c>
      <c r="K1459" s="99">
        <v>43669</v>
      </c>
      <c r="L1459" t="s">
        <v>8285</v>
      </c>
      <c r="M1459" t="s">
        <v>2317</v>
      </c>
    </row>
    <row r="1460" spans="2:13" x14ac:dyDescent="0.2">
      <c r="B1460">
        <v>10393</v>
      </c>
      <c r="C1460" t="s">
        <v>8372</v>
      </c>
      <c r="D1460" t="s">
        <v>8262</v>
      </c>
      <c r="E1460" s="225">
        <v>1307.25</v>
      </c>
      <c r="F1460" t="s">
        <v>8758</v>
      </c>
      <c r="G1460" t="s">
        <v>8757</v>
      </c>
      <c r="H1460" t="s">
        <v>8701</v>
      </c>
      <c r="I1460" s="99">
        <v>43660</v>
      </c>
      <c r="J1460">
        <f>YEAR(I1460)</f>
        <v>2019</v>
      </c>
      <c r="K1460" s="99">
        <v>43669</v>
      </c>
      <c r="L1460" t="s">
        <v>8285</v>
      </c>
      <c r="M1460" t="s">
        <v>2317</v>
      </c>
    </row>
    <row r="1461" spans="2:13" x14ac:dyDescent="0.2">
      <c r="B1461">
        <v>10393</v>
      </c>
      <c r="C1461" t="s">
        <v>8309</v>
      </c>
      <c r="D1461" t="s">
        <v>8237</v>
      </c>
      <c r="E1461" s="225">
        <v>320</v>
      </c>
      <c r="F1461" t="s">
        <v>8758</v>
      </c>
      <c r="G1461" t="s">
        <v>8757</v>
      </c>
      <c r="H1461" t="s">
        <v>8701</v>
      </c>
      <c r="I1461" s="99">
        <v>43660</v>
      </c>
      <c r="J1461">
        <f>YEAR(I1461)</f>
        <v>2019</v>
      </c>
      <c r="K1461" s="99">
        <v>43669</v>
      </c>
      <c r="L1461" t="s">
        <v>8285</v>
      </c>
      <c r="M1461" t="s">
        <v>2317</v>
      </c>
    </row>
    <row r="1462" spans="2:13" x14ac:dyDescent="0.2">
      <c r="B1462">
        <v>10393</v>
      </c>
      <c r="C1462" t="s">
        <v>8252</v>
      </c>
      <c r="D1462" t="s">
        <v>8247</v>
      </c>
      <c r="E1462" s="225">
        <v>585.9</v>
      </c>
      <c r="F1462" t="s">
        <v>8758</v>
      </c>
      <c r="G1462" t="s">
        <v>8757</v>
      </c>
      <c r="H1462" t="s">
        <v>8701</v>
      </c>
      <c r="I1462" s="99">
        <v>43660</v>
      </c>
      <c r="J1462">
        <f>YEAR(I1462)</f>
        <v>2019</v>
      </c>
      <c r="K1462" s="99">
        <v>43669</v>
      </c>
      <c r="L1462" t="s">
        <v>8285</v>
      </c>
      <c r="M1462" t="s">
        <v>2317</v>
      </c>
    </row>
    <row r="1463" spans="2:13" x14ac:dyDescent="0.2">
      <c r="B1463">
        <v>10398</v>
      </c>
      <c r="C1463" t="s">
        <v>8323</v>
      </c>
      <c r="D1463" t="s">
        <v>8272</v>
      </c>
      <c r="E1463" s="225">
        <v>432</v>
      </c>
      <c r="F1463" t="s">
        <v>8758</v>
      </c>
      <c r="G1463" t="s">
        <v>8757</v>
      </c>
      <c r="H1463" t="s">
        <v>8701</v>
      </c>
      <c r="I1463" s="99">
        <v>43665</v>
      </c>
      <c r="J1463">
        <f>YEAR(I1463)</f>
        <v>2019</v>
      </c>
      <c r="K1463" s="99">
        <v>43675</v>
      </c>
      <c r="L1463" t="s">
        <v>8297</v>
      </c>
      <c r="M1463" t="s">
        <v>8298</v>
      </c>
    </row>
    <row r="1464" spans="2:13" x14ac:dyDescent="0.2">
      <c r="B1464">
        <v>10440</v>
      </c>
      <c r="C1464" t="s">
        <v>8276</v>
      </c>
      <c r="D1464" t="s">
        <v>8272</v>
      </c>
      <c r="E1464" s="225">
        <v>581.4</v>
      </c>
      <c r="F1464" t="s">
        <v>8758</v>
      </c>
      <c r="G1464" t="s">
        <v>8757</v>
      </c>
      <c r="H1464" t="s">
        <v>8701</v>
      </c>
      <c r="I1464" s="99">
        <v>43707</v>
      </c>
      <c r="J1464">
        <f>YEAR(I1464)</f>
        <v>2019</v>
      </c>
      <c r="K1464" s="99">
        <v>43725</v>
      </c>
      <c r="L1464" t="s">
        <v>8266</v>
      </c>
      <c r="M1464" t="s">
        <v>8267</v>
      </c>
    </row>
    <row r="1465" spans="2:13" x14ac:dyDescent="0.2">
      <c r="B1465">
        <v>10440</v>
      </c>
      <c r="C1465" t="s">
        <v>8409</v>
      </c>
      <c r="D1465" t="s">
        <v>8254</v>
      </c>
      <c r="E1465" s="225">
        <v>1744.2</v>
      </c>
      <c r="F1465" t="s">
        <v>8758</v>
      </c>
      <c r="G1465" t="s">
        <v>8757</v>
      </c>
      <c r="H1465" t="s">
        <v>8701</v>
      </c>
      <c r="I1465" s="99">
        <v>43707</v>
      </c>
      <c r="J1465">
        <f>YEAR(I1465)</f>
        <v>2019</v>
      </c>
      <c r="K1465" s="99">
        <v>43725</v>
      </c>
      <c r="L1465" t="s">
        <v>8266</v>
      </c>
      <c r="M1465" t="s">
        <v>8267</v>
      </c>
    </row>
    <row r="1466" spans="2:13" x14ac:dyDescent="0.2">
      <c r="B1466">
        <v>10440</v>
      </c>
      <c r="C1466" t="s">
        <v>8280</v>
      </c>
      <c r="D1466" t="s">
        <v>8262</v>
      </c>
      <c r="E1466" s="225">
        <v>578.92999999999995</v>
      </c>
      <c r="F1466" t="s">
        <v>8758</v>
      </c>
      <c r="G1466" t="s">
        <v>8757</v>
      </c>
      <c r="H1466" t="s">
        <v>8701</v>
      </c>
      <c r="I1466" s="99">
        <v>43707</v>
      </c>
      <c r="J1466">
        <f>YEAR(I1466)</f>
        <v>2019</v>
      </c>
      <c r="K1466" s="99">
        <v>43725</v>
      </c>
      <c r="L1466" t="s">
        <v>8266</v>
      </c>
      <c r="M1466" t="s">
        <v>8267</v>
      </c>
    </row>
    <row r="1467" spans="2:13" x14ac:dyDescent="0.2">
      <c r="B1467">
        <v>10452</v>
      </c>
      <c r="C1467" t="s">
        <v>8322</v>
      </c>
      <c r="D1467" t="s">
        <v>8254</v>
      </c>
      <c r="E1467" s="225">
        <v>1472.5</v>
      </c>
      <c r="F1467" t="s">
        <v>8758</v>
      </c>
      <c r="G1467" t="s">
        <v>8757</v>
      </c>
      <c r="H1467" t="s">
        <v>8701</v>
      </c>
      <c r="I1467" s="99">
        <v>43717</v>
      </c>
      <c r="J1467">
        <f>YEAR(I1467)</f>
        <v>2019</v>
      </c>
      <c r="K1467" s="99">
        <v>43723</v>
      </c>
      <c r="L1467" t="s">
        <v>8320</v>
      </c>
      <c r="M1467" t="s">
        <v>8321</v>
      </c>
    </row>
    <row r="1468" spans="2:13" x14ac:dyDescent="0.2">
      <c r="B1468">
        <v>10452</v>
      </c>
      <c r="C1468" t="s">
        <v>8316</v>
      </c>
      <c r="D1468" t="s">
        <v>8247</v>
      </c>
      <c r="E1468" s="225">
        <v>546</v>
      </c>
      <c r="F1468" t="s">
        <v>8758</v>
      </c>
      <c r="G1468" t="s">
        <v>8757</v>
      </c>
      <c r="H1468" t="s">
        <v>8701</v>
      </c>
      <c r="I1468" s="99">
        <v>43717</v>
      </c>
      <c r="J1468">
        <f>YEAR(I1468)</f>
        <v>2019</v>
      </c>
      <c r="K1468" s="99">
        <v>43723</v>
      </c>
      <c r="L1468" t="s">
        <v>8320</v>
      </c>
      <c r="M1468" t="s">
        <v>8321</v>
      </c>
    </row>
    <row r="1469" spans="2:13" x14ac:dyDescent="0.2">
      <c r="B1469">
        <v>10510</v>
      </c>
      <c r="C1469" t="s">
        <v>8328</v>
      </c>
      <c r="D1469" t="s">
        <v>8272</v>
      </c>
      <c r="E1469" s="225">
        <v>251.1</v>
      </c>
      <c r="F1469" t="s">
        <v>8758</v>
      </c>
      <c r="G1469" t="s">
        <v>8757</v>
      </c>
      <c r="H1469" t="s">
        <v>8701</v>
      </c>
      <c r="I1469" s="99">
        <v>43774</v>
      </c>
      <c r="J1469">
        <f>YEAR(I1469)</f>
        <v>2019</v>
      </c>
      <c r="K1469" s="99">
        <v>43784</v>
      </c>
      <c r="L1469" t="s">
        <v>8251</v>
      </c>
      <c r="M1469" t="s">
        <v>269</v>
      </c>
    </row>
    <row r="1470" spans="2:13" x14ac:dyDescent="0.2">
      <c r="B1470">
        <v>10555</v>
      </c>
      <c r="C1470" t="s">
        <v>8270</v>
      </c>
      <c r="D1470" t="s">
        <v>8272</v>
      </c>
      <c r="E1470" s="225">
        <v>64.8</v>
      </c>
      <c r="F1470" t="s">
        <v>8758</v>
      </c>
      <c r="G1470" t="s">
        <v>8757</v>
      </c>
      <c r="H1470" t="s">
        <v>8701</v>
      </c>
      <c r="I1470" s="99">
        <v>43819</v>
      </c>
      <c r="J1470">
        <f>YEAR(I1470)</f>
        <v>2019</v>
      </c>
      <c r="K1470" s="99">
        <v>43821</v>
      </c>
      <c r="L1470" t="s">
        <v>8251</v>
      </c>
      <c r="M1470" t="s">
        <v>269</v>
      </c>
    </row>
    <row r="1471" spans="2:13" x14ac:dyDescent="0.2">
      <c r="B1471">
        <v>10555</v>
      </c>
      <c r="C1471" t="s">
        <v>8327</v>
      </c>
      <c r="D1471" t="s">
        <v>8262</v>
      </c>
      <c r="E1471" s="225">
        <v>257.60000000000002</v>
      </c>
      <c r="F1471" t="s">
        <v>8758</v>
      </c>
      <c r="G1471" t="s">
        <v>8757</v>
      </c>
      <c r="H1471" t="s">
        <v>8701</v>
      </c>
      <c r="I1471" s="99">
        <v>43819</v>
      </c>
      <c r="J1471">
        <f>YEAR(I1471)</f>
        <v>2019</v>
      </c>
      <c r="K1471" s="99">
        <v>43821</v>
      </c>
      <c r="L1471" t="s">
        <v>8251</v>
      </c>
      <c r="M1471" t="s">
        <v>269</v>
      </c>
    </row>
    <row r="1472" spans="2:13" x14ac:dyDescent="0.2">
      <c r="B1472">
        <v>10555</v>
      </c>
      <c r="C1472" t="s">
        <v>8341</v>
      </c>
      <c r="D1472" t="s">
        <v>8244</v>
      </c>
      <c r="E1472" s="225">
        <v>1216</v>
      </c>
      <c r="F1472" t="s">
        <v>8758</v>
      </c>
      <c r="G1472" t="s">
        <v>8757</v>
      </c>
      <c r="H1472" t="s">
        <v>8701</v>
      </c>
      <c r="I1472" s="99">
        <v>43819</v>
      </c>
      <c r="J1472">
        <f>YEAR(I1472)</f>
        <v>2019</v>
      </c>
      <c r="K1472" s="99">
        <v>43821</v>
      </c>
      <c r="L1472" t="s">
        <v>8251</v>
      </c>
      <c r="M1472" t="s">
        <v>269</v>
      </c>
    </row>
    <row r="1473" spans="2:13" x14ac:dyDescent="0.2">
      <c r="B1473">
        <v>10555</v>
      </c>
      <c r="C1473" t="s">
        <v>8252</v>
      </c>
      <c r="D1473" t="s">
        <v>8247</v>
      </c>
      <c r="E1473" s="225">
        <v>558</v>
      </c>
      <c r="F1473" t="s">
        <v>8758</v>
      </c>
      <c r="G1473" t="s">
        <v>8757</v>
      </c>
      <c r="H1473" t="s">
        <v>8701</v>
      </c>
      <c r="I1473" s="99">
        <v>43819</v>
      </c>
      <c r="J1473">
        <f>YEAR(I1473)</f>
        <v>2019</v>
      </c>
      <c r="K1473" s="99">
        <v>43821</v>
      </c>
      <c r="L1473" t="s">
        <v>8251</v>
      </c>
      <c r="M1473" t="s">
        <v>269</v>
      </c>
    </row>
    <row r="1474" spans="2:13" x14ac:dyDescent="0.2">
      <c r="B1474">
        <v>10555</v>
      </c>
      <c r="C1474" t="s">
        <v>8245</v>
      </c>
      <c r="D1474" t="s">
        <v>8247</v>
      </c>
      <c r="E1474" s="225">
        <v>848</v>
      </c>
      <c r="F1474" t="s">
        <v>8758</v>
      </c>
      <c r="G1474" t="s">
        <v>8757</v>
      </c>
      <c r="H1474" t="s">
        <v>8701</v>
      </c>
      <c r="I1474" s="99">
        <v>43819</v>
      </c>
      <c r="J1474">
        <f>YEAR(I1474)</f>
        <v>2019</v>
      </c>
      <c r="K1474" s="99">
        <v>43821</v>
      </c>
      <c r="L1474" t="s">
        <v>8251</v>
      </c>
      <c r="M1474" t="s">
        <v>269</v>
      </c>
    </row>
    <row r="1475" spans="2:13" x14ac:dyDescent="0.2">
      <c r="B1475">
        <v>10603</v>
      </c>
      <c r="C1475" t="s">
        <v>8390</v>
      </c>
      <c r="D1475" t="s">
        <v>8262</v>
      </c>
      <c r="E1475" s="225">
        <v>475</v>
      </c>
      <c r="F1475" t="s">
        <v>8758</v>
      </c>
      <c r="G1475" t="s">
        <v>8757</v>
      </c>
      <c r="H1475" t="s">
        <v>8701</v>
      </c>
      <c r="I1475" s="99">
        <v>43865</v>
      </c>
      <c r="J1475">
        <f>YEAR(I1475)</f>
        <v>2020</v>
      </c>
      <c r="K1475" s="99">
        <v>43886</v>
      </c>
      <c r="L1475" t="s">
        <v>8320</v>
      </c>
      <c r="M1475" t="s">
        <v>8321</v>
      </c>
    </row>
    <row r="1476" spans="2:13" x14ac:dyDescent="0.2">
      <c r="B1476">
        <v>10603</v>
      </c>
      <c r="C1476" t="s">
        <v>8259</v>
      </c>
      <c r="D1476" t="s">
        <v>8244</v>
      </c>
      <c r="E1476" s="225">
        <v>1008</v>
      </c>
      <c r="F1476" t="s">
        <v>8758</v>
      </c>
      <c r="G1476" t="s">
        <v>8757</v>
      </c>
      <c r="H1476" t="s">
        <v>8701</v>
      </c>
      <c r="I1476" s="99">
        <v>43865</v>
      </c>
      <c r="J1476">
        <f>YEAR(I1476)</f>
        <v>2020</v>
      </c>
      <c r="K1476" s="99">
        <v>43886</v>
      </c>
      <c r="L1476" t="s">
        <v>8320</v>
      </c>
      <c r="M1476" t="s">
        <v>8321</v>
      </c>
    </row>
    <row r="1477" spans="2:13" x14ac:dyDescent="0.2">
      <c r="B1477">
        <v>10607</v>
      </c>
      <c r="C1477" t="s">
        <v>8269</v>
      </c>
      <c r="D1477" t="s">
        <v>8237</v>
      </c>
      <c r="E1477" s="225">
        <v>35</v>
      </c>
      <c r="F1477" t="s">
        <v>8758</v>
      </c>
      <c r="G1477" t="s">
        <v>8757</v>
      </c>
      <c r="H1477" t="s">
        <v>8701</v>
      </c>
      <c r="I1477" s="99">
        <v>43869</v>
      </c>
      <c r="J1477">
        <f>YEAR(I1477)</f>
        <v>2020</v>
      </c>
      <c r="K1477" s="99">
        <v>43872</v>
      </c>
      <c r="L1477" t="s">
        <v>8241</v>
      </c>
      <c r="M1477" t="s">
        <v>6934</v>
      </c>
    </row>
    <row r="1478" spans="2:13" x14ac:dyDescent="0.2">
      <c r="B1478">
        <v>10607</v>
      </c>
      <c r="C1478" t="s">
        <v>8235</v>
      </c>
      <c r="D1478" t="s">
        <v>8237</v>
      </c>
      <c r="E1478" s="225">
        <v>417.6</v>
      </c>
      <c r="F1478" t="s">
        <v>8758</v>
      </c>
      <c r="G1478" t="s">
        <v>8757</v>
      </c>
      <c r="H1478" t="s">
        <v>8701</v>
      </c>
      <c r="I1478" s="99">
        <v>43869</v>
      </c>
      <c r="J1478">
        <f>YEAR(I1478)</f>
        <v>2020</v>
      </c>
      <c r="K1478" s="99">
        <v>43872</v>
      </c>
      <c r="L1478" t="s">
        <v>8241</v>
      </c>
      <c r="M1478" t="s">
        <v>6934</v>
      </c>
    </row>
    <row r="1479" spans="2:13" x14ac:dyDescent="0.2">
      <c r="B1479">
        <v>10607</v>
      </c>
      <c r="C1479" t="s">
        <v>8415</v>
      </c>
      <c r="D1479" t="s">
        <v>8247</v>
      </c>
      <c r="E1479" s="225">
        <v>1350</v>
      </c>
      <c r="F1479" t="s">
        <v>8758</v>
      </c>
      <c r="G1479" t="s">
        <v>8757</v>
      </c>
      <c r="H1479" t="s">
        <v>8701</v>
      </c>
      <c r="I1479" s="99">
        <v>43869</v>
      </c>
      <c r="J1479">
        <f>YEAR(I1479)</f>
        <v>2020</v>
      </c>
      <c r="K1479" s="99">
        <v>43872</v>
      </c>
      <c r="L1479" t="s">
        <v>8241</v>
      </c>
      <c r="M1479" t="s">
        <v>6934</v>
      </c>
    </row>
    <row r="1480" spans="2:13" x14ac:dyDescent="0.2">
      <c r="B1480">
        <v>10612</v>
      </c>
      <c r="C1480" t="s">
        <v>8303</v>
      </c>
      <c r="D1480" t="s">
        <v>8272</v>
      </c>
      <c r="E1480" s="225">
        <v>1440</v>
      </c>
      <c r="F1480" t="s">
        <v>8758</v>
      </c>
      <c r="G1480" t="s">
        <v>8757</v>
      </c>
      <c r="H1480" t="s">
        <v>8701</v>
      </c>
      <c r="I1480" s="99">
        <v>43875</v>
      </c>
      <c r="J1480">
        <f>YEAR(I1480)</f>
        <v>2020</v>
      </c>
      <c r="K1480" s="99">
        <v>43879</v>
      </c>
      <c r="L1480" t="s">
        <v>8285</v>
      </c>
      <c r="M1480" t="s">
        <v>2317</v>
      </c>
    </row>
    <row r="1481" spans="2:13" x14ac:dyDescent="0.2">
      <c r="B1481">
        <v>10612</v>
      </c>
      <c r="C1481" t="s">
        <v>8390</v>
      </c>
      <c r="D1481" t="s">
        <v>8262</v>
      </c>
      <c r="E1481" s="225">
        <v>360</v>
      </c>
      <c r="F1481" t="s">
        <v>8758</v>
      </c>
      <c r="G1481" t="s">
        <v>8757</v>
      </c>
      <c r="H1481" t="s">
        <v>8701</v>
      </c>
      <c r="I1481" s="99">
        <v>43875</v>
      </c>
      <c r="J1481">
        <f>YEAR(I1481)</f>
        <v>2020</v>
      </c>
      <c r="K1481" s="99">
        <v>43879</v>
      </c>
      <c r="L1481" t="s">
        <v>8285</v>
      </c>
      <c r="M1481" t="s">
        <v>2317</v>
      </c>
    </row>
    <row r="1482" spans="2:13" x14ac:dyDescent="0.2">
      <c r="B1482">
        <v>10612</v>
      </c>
      <c r="C1482" t="s">
        <v>8268</v>
      </c>
      <c r="D1482" t="s">
        <v>8237</v>
      </c>
      <c r="E1482" s="225">
        <v>1360</v>
      </c>
      <c r="F1482" t="s">
        <v>8758</v>
      </c>
      <c r="G1482" t="s">
        <v>8757</v>
      </c>
      <c r="H1482" t="s">
        <v>8701</v>
      </c>
      <c r="I1482" s="99">
        <v>43875</v>
      </c>
      <c r="J1482">
        <f>YEAR(I1482)</f>
        <v>2020</v>
      </c>
      <c r="K1482" s="99">
        <v>43879</v>
      </c>
      <c r="L1482" t="s">
        <v>8285</v>
      </c>
      <c r="M1482" t="s">
        <v>2317</v>
      </c>
    </row>
    <row r="1483" spans="2:13" x14ac:dyDescent="0.2">
      <c r="B1483">
        <v>10627</v>
      </c>
      <c r="C1483" t="s">
        <v>8291</v>
      </c>
      <c r="D1483" t="s">
        <v>8262</v>
      </c>
      <c r="E1483" s="225">
        <v>739.5</v>
      </c>
      <c r="F1483" t="s">
        <v>8758</v>
      </c>
      <c r="G1483" t="s">
        <v>8757</v>
      </c>
      <c r="H1483" t="s">
        <v>8701</v>
      </c>
      <c r="I1483" s="99">
        <v>43889</v>
      </c>
      <c r="J1483">
        <f>YEAR(I1483)</f>
        <v>2020</v>
      </c>
      <c r="K1483" s="99">
        <v>43899</v>
      </c>
      <c r="L1483" t="s">
        <v>8320</v>
      </c>
      <c r="M1483" t="s">
        <v>8321</v>
      </c>
    </row>
    <row r="1484" spans="2:13" x14ac:dyDescent="0.2">
      <c r="B1484">
        <v>10657</v>
      </c>
      <c r="C1484" t="s">
        <v>8361</v>
      </c>
      <c r="D1484" t="s">
        <v>8254</v>
      </c>
      <c r="E1484" s="225">
        <v>775</v>
      </c>
      <c r="F1484" t="s">
        <v>8758</v>
      </c>
      <c r="G1484" t="s">
        <v>8757</v>
      </c>
      <c r="H1484" t="s">
        <v>8701</v>
      </c>
      <c r="I1484" s="99">
        <v>43913</v>
      </c>
      <c r="J1484">
        <f>YEAR(I1484)</f>
        <v>2020</v>
      </c>
      <c r="K1484" s="99">
        <v>43924</v>
      </c>
      <c r="L1484" t="s">
        <v>8297</v>
      </c>
      <c r="M1484" t="s">
        <v>8298</v>
      </c>
    </row>
    <row r="1485" spans="2:13" x14ac:dyDescent="0.2">
      <c r="B1485">
        <v>10657</v>
      </c>
      <c r="C1485" t="s">
        <v>8410</v>
      </c>
      <c r="D1485" t="s">
        <v>8262</v>
      </c>
      <c r="E1485" s="225">
        <v>95</v>
      </c>
      <c r="F1485" t="s">
        <v>8758</v>
      </c>
      <c r="G1485" t="s">
        <v>8757</v>
      </c>
      <c r="H1485" t="s">
        <v>8701</v>
      </c>
      <c r="I1485" s="99">
        <v>43913</v>
      </c>
      <c r="J1485">
        <f>YEAR(I1485)</f>
        <v>2020</v>
      </c>
      <c r="K1485" s="99">
        <v>43924</v>
      </c>
      <c r="L1485" t="s">
        <v>8297</v>
      </c>
      <c r="M1485" t="s">
        <v>8298</v>
      </c>
    </row>
    <row r="1486" spans="2:13" x14ac:dyDescent="0.2">
      <c r="B1486">
        <v>10657</v>
      </c>
      <c r="C1486" t="s">
        <v>8268</v>
      </c>
      <c r="D1486" t="s">
        <v>8237</v>
      </c>
      <c r="E1486" s="225">
        <v>1020</v>
      </c>
      <c r="F1486" t="s">
        <v>8758</v>
      </c>
      <c r="G1486" t="s">
        <v>8757</v>
      </c>
      <c r="H1486" t="s">
        <v>8701</v>
      </c>
      <c r="I1486" s="99">
        <v>43913</v>
      </c>
      <c r="J1486">
        <f>YEAR(I1486)</f>
        <v>2020</v>
      </c>
      <c r="K1486" s="99">
        <v>43924</v>
      </c>
      <c r="L1486" t="s">
        <v>8297</v>
      </c>
      <c r="M1486" t="s">
        <v>8298</v>
      </c>
    </row>
    <row r="1487" spans="2:13" x14ac:dyDescent="0.2">
      <c r="B1487">
        <v>10657</v>
      </c>
      <c r="C1487" t="s">
        <v>8341</v>
      </c>
      <c r="D1487" t="s">
        <v>8244</v>
      </c>
      <c r="E1487" s="225">
        <v>1710</v>
      </c>
      <c r="F1487" t="s">
        <v>8758</v>
      </c>
      <c r="G1487" t="s">
        <v>8757</v>
      </c>
      <c r="H1487" t="s">
        <v>8701</v>
      </c>
      <c r="I1487" s="99">
        <v>43913</v>
      </c>
      <c r="J1487">
        <f>YEAR(I1487)</f>
        <v>2020</v>
      </c>
      <c r="K1487" s="99">
        <v>43924</v>
      </c>
      <c r="L1487" t="s">
        <v>8297</v>
      </c>
      <c r="M1487" t="s">
        <v>8298</v>
      </c>
    </row>
    <row r="1488" spans="2:13" x14ac:dyDescent="0.2">
      <c r="B1488">
        <v>10678</v>
      </c>
      <c r="C1488" t="s">
        <v>8299</v>
      </c>
      <c r="D1488" t="s">
        <v>8237</v>
      </c>
      <c r="E1488" s="225">
        <v>3800</v>
      </c>
      <c r="F1488" t="s">
        <v>8758</v>
      </c>
      <c r="G1488" t="s">
        <v>8757</v>
      </c>
      <c r="H1488" t="s">
        <v>8701</v>
      </c>
      <c r="I1488" s="99">
        <v>43932</v>
      </c>
      <c r="J1488">
        <f>YEAR(I1488)</f>
        <v>2020</v>
      </c>
      <c r="K1488" s="99">
        <v>43955</v>
      </c>
      <c r="L1488" t="s">
        <v>8158</v>
      </c>
      <c r="M1488" t="s">
        <v>861</v>
      </c>
    </row>
    <row r="1489" spans="2:13" x14ac:dyDescent="0.2">
      <c r="B1489">
        <v>10678</v>
      </c>
      <c r="C1489" t="s">
        <v>8269</v>
      </c>
      <c r="D1489" t="s">
        <v>8237</v>
      </c>
      <c r="E1489" s="225">
        <v>75</v>
      </c>
      <c r="F1489" t="s">
        <v>8758</v>
      </c>
      <c r="G1489" t="s">
        <v>8757</v>
      </c>
      <c r="H1489" t="s">
        <v>8701</v>
      </c>
      <c r="I1489" s="99">
        <v>43932</v>
      </c>
      <c r="J1489">
        <f>YEAR(I1489)</f>
        <v>2020</v>
      </c>
      <c r="K1489" s="99">
        <v>43955</v>
      </c>
      <c r="L1489" t="s">
        <v>8158</v>
      </c>
      <c r="M1489" t="s">
        <v>861</v>
      </c>
    </row>
    <row r="1490" spans="2:13" x14ac:dyDescent="0.2">
      <c r="B1490">
        <v>10700</v>
      </c>
      <c r="C1490" t="s">
        <v>8333</v>
      </c>
      <c r="D1490" t="s">
        <v>8272</v>
      </c>
      <c r="E1490" s="225">
        <v>72</v>
      </c>
      <c r="F1490" t="s">
        <v>8758</v>
      </c>
      <c r="G1490" t="s">
        <v>8757</v>
      </c>
      <c r="H1490" t="s">
        <v>8701</v>
      </c>
      <c r="I1490" s="99">
        <v>43949</v>
      </c>
      <c r="J1490">
        <f>YEAR(I1490)</f>
        <v>2020</v>
      </c>
      <c r="K1490" s="99">
        <v>43955</v>
      </c>
      <c r="L1490" t="s">
        <v>8257</v>
      </c>
      <c r="M1490" t="s">
        <v>6984</v>
      </c>
    </row>
    <row r="1491" spans="2:13" x14ac:dyDescent="0.2">
      <c r="B1491">
        <v>10700</v>
      </c>
      <c r="C1491" t="s">
        <v>8358</v>
      </c>
      <c r="D1491" t="s">
        <v>8272</v>
      </c>
      <c r="E1491" s="225">
        <v>134.4</v>
      </c>
      <c r="F1491" t="s">
        <v>8758</v>
      </c>
      <c r="G1491" t="s">
        <v>8757</v>
      </c>
      <c r="H1491" t="s">
        <v>8701</v>
      </c>
      <c r="I1491" s="99">
        <v>43949</v>
      </c>
      <c r="J1491">
        <f>YEAR(I1491)</f>
        <v>2020</v>
      </c>
      <c r="K1491" s="99">
        <v>43955</v>
      </c>
      <c r="L1491" t="s">
        <v>8257</v>
      </c>
      <c r="M1491" t="s">
        <v>6984</v>
      </c>
    </row>
    <row r="1492" spans="2:13" x14ac:dyDescent="0.2">
      <c r="B1492">
        <v>10700</v>
      </c>
      <c r="C1492" t="s">
        <v>8334</v>
      </c>
      <c r="D1492" t="s">
        <v>8262</v>
      </c>
      <c r="E1492" s="225">
        <v>400</v>
      </c>
      <c r="F1492" t="s">
        <v>8758</v>
      </c>
      <c r="G1492" t="s">
        <v>8757</v>
      </c>
      <c r="H1492" t="s">
        <v>8701</v>
      </c>
      <c r="I1492" s="99">
        <v>43949</v>
      </c>
      <c r="J1492">
        <f>YEAR(I1492)</f>
        <v>2020</v>
      </c>
      <c r="K1492" s="99">
        <v>43955</v>
      </c>
      <c r="L1492" t="s">
        <v>8257</v>
      </c>
      <c r="M1492" t="s">
        <v>6984</v>
      </c>
    </row>
    <row r="1493" spans="2:13" x14ac:dyDescent="0.2">
      <c r="B1493">
        <v>10700</v>
      </c>
      <c r="C1493" t="s">
        <v>8310</v>
      </c>
      <c r="D1493" t="s">
        <v>8237</v>
      </c>
      <c r="E1493" s="225">
        <v>1032</v>
      </c>
      <c r="F1493" t="s">
        <v>8758</v>
      </c>
      <c r="G1493" t="s">
        <v>8757</v>
      </c>
      <c r="H1493" t="s">
        <v>8701</v>
      </c>
      <c r="I1493" s="99">
        <v>43949</v>
      </c>
      <c r="J1493">
        <f>YEAR(I1493)</f>
        <v>2020</v>
      </c>
      <c r="K1493" s="99">
        <v>43955</v>
      </c>
      <c r="L1493" t="s">
        <v>8257</v>
      </c>
      <c r="M1493" t="s">
        <v>6984</v>
      </c>
    </row>
    <row r="1494" spans="2:13" x14ac:dyDescent="0.2">
      <c r="B1494">
        <v>10711</v>
      </c>
      <c r="C1494" t="s">
        <v>8327</v>
      </c>
      <c r="D1494" t="s">
        <v>8262</v>
      </c>
      <c r="E1494" s="225">
        <v>110.4</v>
      </c>
      <c r="F1494" t="s">
        <v>8758</v>
      </c>
      <c r="G1494" t="s">
        <v>8757</v>
      </c>
      <c r="H1494" t="s">
        <v>8701</v>
      </c>
      <c r="I1494" s="99">
        <v>43960</v>
      </c>
      <c r="J1494">
        <f>YEAR(I1494)</f>
        <v>2020</v>
      </c>
      <c r="K1494" s="99">
        <v>43968</v>
      </c>
      <c r="L1494" t="s">
        <v>8241</v>
      </c>
      <c r="M1494" t="s">
        <v>6934</v>
      </c>
    </row>
    <row r="1495" spans="2:13" x14ac:dyDescent="0.2">
      <c r="B1495">
        <v>10713</v>
      </c>
      <c r="C1495" t="s">
        <v>8372</v>
      </c>
      <c r="D1495" t="s">
        <v>8262</v>
      </c>
      <c r="E1495" s="225">
        <v>936.9</v>
      </c>
      <c r="F1495" t="s">
        <v>8758</v>
      </c>
      <c r="G1495" t="s">
        <v>8757</v>
      </c>
      <c r="H1495" t="s">
        <v>8701</v>
      </c>
      <c r="I1495" s="99">
        <v>43961</v>
      </c>
      <c r="J1495">
        <f>YEAR(I1495)</f>
        <v>2020</v>
      </c>
      <c r="K1495" s="99">
        <v>43963</v>
      </c>
      <c r="L1495" t="s">
        <v>8285</v>
      </c>
      <c r="M1495" t="s">
        <v>2317</v>
      </c>
    </row>
    <row r="1496" spans="2:13" x14ac:dyDescent="0.2">
      <c r="B1496">
        <v>10714</v>
      </c>
      <c r="C1496" t="s">
        <v>8276</v>
      </c>
      <c r="D1496" t="s">
        <v>8272</v>
      </c>
      <c r="E1496" s="225">
        <v>427.5</v>
      </c>
      <c r="F1496" t="s">
        <v>8758</v>
      </c>
      <c r="G1496" t="s">
        <v>8757</v>
      </c>
      <c r="H1496" t="s">
        <v>8701</v>
      </c>
      <c r="I1496" s="99">
        <v>43961</v>
      </c>
      <c r="J1496">
        <f>YEAR(I1496)</f>
        <v>2020</v>
      </c>
      <c r="K1496" s="99">
        <v>43966</v>
      </c>
      <c r="L1496" t="s">
        <v>8241</v>
      </c>
      <c r="M1496" t="s">
        <v>6934</v>
      </c>
    </row>
    <row r="1497" spans="2:13" x14ac:dyDescent="0.2">
      <c r="B1497">
        <v>10714</v>
      </c>
      <c r="C1497" t="s">
        <v>8410</v>
      </c>
      <c r="D1497" t="s">
        <v>8262</v>
      </c>
      <c r="E1497" s="225">
        <v>356.25</v>
      </c>
      <c r="F1497" t="s">
        <v>8758</v>
      </c>
      <c r="G1497" t="s">
        <v>8757</v>
      </c>
      <c r="H1497" t="s">
        <v>8701</v>
      </c>
      <c r="I1497" s="99">
        <v>43961</v>
      </c>
      <c r="J1497">
        <f>YEAR(I1497)</f>
        <v>2020</v>
      </c>
      <c r="K1497" s="99">
        <v>43966</v>
      </c>
      <c r="L1497" t="s">
        <v>8241</v>
      </c>
      <c r="M1497" t="s">
        <v>6934</v>
      </c>
    </row>
    <row r="1498" spans="2:13" x14ac:dyDescent="0.2">
      <c r="B1498">
        <v>10714</v>
      </c>
      <c r="C1498" t="s">
        <v>8341</v>
      </c>
      <c r="D1498" t="s">
        <v>8244</v>
      </c>
      <c r="E1498" s="225">
        <v>513</v>
      </c>
      <c r="F1498" t="s">
        <v>8758</v>
      </c>
      <c r="G1498" t="s">
        <v>8757</v>
      </c>
      <c r="H1498" t="s">
        <v>8701</v>
      </c>
      <c r="I1498" s="99">
        <v>43961</v>
      </c>
      <c r="J1498">
        <f>YEAR(I1498)</f>
        <v>2020</v>
      </c>
      <c r="K1498" s="99">
        <v>43966</v>
      </c>
      <c r="L1498" t="s">
        <v>8241</v>
      </c>
      <c r="M1498" t="s">
        <v>6934</v>
      </c>
    </row>
    <row r="1499" spans="2:13" x14ac:dyDescent="0.2">
      <c r="B1499">
        <v>10722</v>
      </c>
      <c r="C1499" t="s">
        <v>8276</v>
      </c>
      <c r="D1499" t="s">
        <v>8272</v>
      </c>
      <c r="E1499" s="225">
        <v>57</v>
      </c>
      <c r="F1499" t="s">
        <v>8758</v>
      </c>
      <c r="G1499" t="s">
        <v>8757</v>
      </c>
      <c r="H1499" t="s">
        <v>8701</v>
      </c>
      <c r="I1499" s="99">
        <v>43968</v>
      </c>
      <c r="J1499">
        <f>YEAR(I1499)</f>
        <v>2020</v>
      </c>
      <c r="K1499" s="99">
        <v>43974</v>
      </c>
      <c r="L1499" t="s">
        <v>8320</v>
      </c>
      <c r="M1499" t="s">
        <v>8321</v>
      </c>
    </row>
    <row r="1500" spans="2:13" x14ac:dyDescent="0.2">
      <c r="B1500">
        <v>10722</v>
      </c>
      <c r="C1500" t="s">
        <v>8328</v>
      </c>
      <c r="D1500" t="s">
        <v>8272</v>
      </c>
      <c r="E1500" s="225">
        <v>325.5</v>
      </c>
      <c r="F1500" t="s">
        <v>8758</v>
      </c>
      <c r="G1500" t="s">
        <v>8757</v>
      </c>
      <c r="H1500" t="s">
        <v>8701</v>
      </c>
      <c r="I1500" s="99">
        <v>43968</v>
      </c>
      <c r="J1500">
        <f>YEAR(I1500)</f>
        <v>2020</v>
      </c>
      <c r="K1500" s="99">
        <v>43974</v>
      </c>
      <c r="L1500" t="s">
        <v>8320</v>
      </c>
      <c r="M1500" t="s">
        <v>8321</v>
      </c>
    </row>
    <row r="1501" spans="2:13" x14ac:dyDescent="0.2">
      <c r="B1501">
        <v>10722</v>
      </c>
      <c r="C1501" t="s">
        <v>8334</v>
      </c>
      <c r="D1501" t="s">
        <v>8262</v>
      </c>
      <c r="E1501" s="225">
        <v>562.5</v>
      </c>
      <c r="F1501" t="s">
        <v>8758</v>
      </c>
      <c r="G1501" t="s">
        <v>8757</v>
      </c>
      <c r="H1501" t="s">
        <v>8701</v>
      </c>
      <c r="I1501" s="99">
        <v>43968</v>
      </c>
      <c r="J1501">
        <f>YEAR(I1501)</f>
        <v>2020</v>
      </c>
      <c r="K1501" s="99">
        <v>43974</v>
      </c>
      <c r="L1501" t="s">
        <v>8320</v>
      </c>
      <c r="M1501" t="s">
        <v>8321</v>
      </c>
    </row>
    <row r="1502" spans="2:13" x14ac:dyDescent="0.2">
      <c r="B1502">
        <v>10722</v>
      </c>
      <c r="C1502" t="s">
        <v>8309</v>
      </c>
      <c r="D1502" t="s">
        <v>8237</v>
      </c>
      <c r="E1502" s="225">
        <v>625</v>
      </c>
      <c r="F1502" t="s">
        <v>8758</v>
      </c>
      <c r="G1502" t="s">
        <v>8757</v>
      </c>
      <c r="H1502" t="s">
        <v>8701</v>
      </c>
      <c r="I1502" s="99">
        <v>43968</v>
      </c>
      <c r="J1502">
        <f>YEAR(I1502)</f>
        <v>2020</v>
      </c>
      <c r="K1502" s="99">
        <v>43974</v>
      </c>
      <c r="L1502" t="s">
        <v>8320</v>
      </c>
      <c r="M1502" t="s">
        <v>8321</v>
      </c>
    </row>
    <row r="1503" spans="2:13" x14ac:dyDescent="0.2">
      <c r="B1503">
        <v>10748</v>
      </c>
      <c r="C1503" t="s">
        <v>8373</v>
      </c>
      <c r="D1503" t="s">
        <v>8244</v>
      </c>
      <c r="E1503" s="225">
        <v>396</v>
      </c>
      <c r="F1503" t="s">
        <v>8758</v>
      </c>
      <c r="G1503" t="s">
        <v>8757</v>
      </c>
      <c r="H1503" t="s">
        <v>8701</v>
      </c>
      <c r="I1503" s="99">
        <v>43990</v>
      </c>
      <c r="J1503">
        <f>YEAR(I1503)</f>
        <v>2020</v>
      </c>
      <c r="K1503" s="99">
        <v>43998</v>
      </c>
      <c r="L1503" t="s">
        <v>8257</v>
      </c>
      <c r="M1503" t="s">
        <v>6984</v>
      </c>
    </row>
    <row r="1504" spans="2:13" x14ac:dyDescent="0.2">
      <c r="B1504">
        <v>10748</v>
      </c>
      <c r="C1504" t="s">
        <v>8341</v>
      </c>
      <c r="D1504" t="s">
        <v>8244</v>
      </c>
      <c r="E1504" s="225">
        <v>1064</v>
      </c>
      <c r="F1504" t="s">
        <v>8758</v>
      </c>
      <c r="G1504" t="s">
        <v>8757</v>
      </c>
      <c r="H1504" t="s">
        <v>8701</v>
      </c>
      <c r="I1504" s="99">
        <v>43990</v>
      </c>
      <c r="J1504">
        <f>YEAR(I1504)</f>
        <v>2020</v>
      </c>
      <c r="K1504" s="99">
        <v>43998</v>
      </c>
      <c r="L1504" t="s">
        <v>8257</v>
      </c>
      <c r="M1504" t="s">
        <v>6984</v>
      </c>
    </row>
    <row r="1505" spans="2:13" x14ac:dyDescent="0.2">
      <c r="B1505">
        <v>10757</v>
      </c>
      <c r="C1505" t="s">
        <v>8358</v>
      </c>
      <c r="D1505" t="s">
        <v>8272</v>
      </c>
      <c r="E1505" s="225">
        <v>420</v>
      </c>
      <c r="F1505" t="s">
        <v>8758</v>
      </c>
      <c r="G1505" t="s">
        <v>8757</v>
      </c>
      <c r="H1505" t="s">
        <v>8701</v>
      </c>
      <c r="I1505" s="99">
        <v>43997</v>
      </c>
      <c r="J1505">
        <f>YEAR(I1505)</f>
        <v>2020</v>
      </c>
      <c r="K1505" s="99">
        <v>44015</v>
      </c>
      <c r="L1505" t="s">
        <v>8251</v>
      </c>
      <c r="M1505" t="s">
        <v>269</v>
      </c>
    </row>
    <row r="1506" spans="2:13" x14ac:dyDescent="0.2">
      <c r="B1506">
        <v>10757</v>
      </c>
      <c r="C1506" t="s">
        <v>8291</v>
      </c>
      <c r="D1506" t="s">
        <v>8262</v>
      </c>
      <c r="E1506" s="225">
        <v>1479</v>
      </c>
      <c r="F1506" t="s">
        <v>8758</v>
      </c>
      <c r="G1506" t="s">
        <v>8757</v>
      </c>
      <c r="H1506" t="s">
        <v>8701</v>
      </c>
      <c r="I1506" s="99">
        <v>43997</v>
      </c>
      <c r="J1506">
        <f>YEAR(I1506)</f>
        <v>2020</v>
      </c>
      <c r="K1506" s="99">
        <v>44015</v>
      </c>
      <c r="L1506" t="s">
        <v>8251</v>
      </c>
      <c r="M1506" t="s">
        <v>269</v>
      </c>
    </row>
    <row r="1507" spans="2:13" x14ac:dyDescent="0.2">
      <c r="B1507">
        <v>10757</v>
      </c>
      <c r="C1507" t="s">
        <v>8281</v>
      </c>
      <c r="D1507" t="s">
        <v>8237</v>
      </c>
      <c r="E1507" s="225">
        <v>385</v>
      </c>
      <c r="F1507" t="s">
        <v>8758</v>
      </c>
      <c r="G1507" t="s">
        <v>8757</v>
      </c>
      <c r="H1507" t="s">
        <v>8701</v>
      </c>
      <c r="I1507" s="99">
        <v>43997</v>
      </c>
      <c r="J1507">
        <f>YEAR(I1507)</f>
        <v>2020</v>
      </c>
      <c r="K1507" s="99">
        <v>44015</v>
      </c>
      <c r="L1507" t="s">
        <v>8251</v>
      </c>
      <c r="M1507" t="s">
        <v>269</v>
      </c>
    </row>
    <row r="1508" spans="2:13" x14ac:dyDescent="0.2">
      <c r="B1508">
        <v>10757</v>
      </c>
      <c r="C1508" t="s">
        <v>8340</v>
      </c>
      <c r="D1508" t="s">
        <v>8244</v>
      </c>
      <c r="E1508" s="225">
        <v>798</v>
      </c>
      <c r="F1508" t="s">
        <v>8758</v>
      </c>
      <c r="G1508" t="s">
        <v>8757</v>
      </c>
      <c r="H1508" t="s">
        <v>8701</v>
      </c>
      <c r="I1508" s="99">
        <v>43997</v>
      </c>
      <c r="J1508">
        <f>YEAR(I1508)</f>
        <v>2020</v>
      </c>
      <c r="K1508" s="99">
        <v>44015</v>
      </c>
      <c r="L1508" t="s">
        <v>8251</v>
      </c>
      <c r="M1508" t="s">
        <v>269</v>
      </c>
    </row>
    <row r="1509" spans="2:13" x14ac:dyDescent="0.2">
      <c r="B1509">
        <v>10815</v>
      </c>
      <c r="C1509" t="s">
        <v>8269</v>
      </c>
      <c r="D1509" t="s">
        <v>8237</v>
      </c>
      <c r="E1509" s="225">
        <v>40</v>
      </c>
      <c r="F1509" t="s">
        <v>8758</v>
      </c>
      <c r="G1509" t="s">
        <v>8757</v>
      </c>
      <c r="H1509" t="s">
        <v>8701</v>
      </c>
      <c r="I1509" s="99">
        <v>44036</v>
      </c>
      <c r="J1509">
        <f>YEAR(I1509)</f>
        <v>2020</v>
      </c>
      <c r="K1509" s="99">
        <v>44045</v>
      </c>
      <c r="L1509" t="s">
        <v>8297</v>
      </c>
      <c r="M1509" t="s">
        <v>8298</v>
      </c>
    </row>
    <row r="1510" spans="2:13" x14ac:dyDescent="0.2">
      <c r="B1510">
        <v>10847</v>
      </c>
      <c r="C1510" t="s">
        <v>8333</v>
      </c>
      <c r="D1510" t="s">
        <v>8272</v>
      </c>
      <c r="E1510" s="225">
        <v>1152</v>
      </c>
      <c r="F1510" t="s">
        <v>8758</v>
      </c>
      <c r="G1510" t="s">
        <v>8757</v>
      </c>
      <c r="H1510" t="s">
        <v>8701</v>
      </c>
      <c r="I1510" s="99">
        <v>44053</v>
      </c>
      <c r="J1510">
        <f>YEAR(I1510)</f>
        <v>2020</v>
      </c>
      <c r="K1510" s="99">
        <v>44072</v>
      </c>
      <c r="L1510" t="s">
        <v>8266</v>
      </c>
      <c r="M1510" t="s">
        <v>8267</v>
      </c>
    </row>
    <row r="1511" spans="2:13" x14ac:dyDescent="0.2">
      <c r="B1511">
        <v>10847</v>
      </c>
      <c r="C1511" t="s">
        <v>8327</v>
      </c>
      <c r="D1511" t="s">
        <v>8262</v>
      </c>
      <c r="E1511" s="225">
        <v>88.32</v>
      </c>
      <c r="F1511" t="s">
        <v>8758</v>
      </c>
      <c r="G1511" t="s">
        <v>8757</v>
      </c>
      <c r="H1511" t="s">
        <v>8701</v>
      </c>
      <c r="I1511" s="99">
        <v>44053</v>
      </c>
      <c r="J1511">
        <f>YEAR(I1511)</f>
        <v>2020</v>
      </c>
      <c r="K1511" s="99">
        <v>44072</v>
      </c>
      <c r="L1511" t="s">
        <v>8266</v>
      </c>
      <c r="M1511" t="s">
        <v>8267</v>
      </c>
    </row>
    <row r="1512" spans="2:13" x14ac:dyDescent="0.2">
      <c r="B1512">
        <v>10847</v>
      </c>
      <c r="C1512" t="s">
        <v>8268</v>
      </c>
      <c r="D1512" t="s">
        <v>8237</v>
      </c>
      <c r="E1512" s="225">
        <v>1224</v>
      </c>
      <c r="F1512" t="s">
        <v>8758</v>
      </c>
      <c r="G1512" t="s">
        <v>8757</v>
      </c>
      <c r="H1512" t="s">
        <v>8701</v>
      </c>
      <c r="I1512" s="99">
        <v>44053</v>
      </c>
      <c r="J1512">
        <f>YEAR(I1512)</f>
        <v>2020</v>
      </c>
      <c r="K1512" s="99">
        <v>44072</v>
      </c>
      <c r="L1512" t="s">
        <v>8266</v>
      </c>
      <c r="M1512" t="s">
        <v>8267</v>
      </c>
    </row>
    <row r="1513" spans="2:13" x14ac:dyDescent="0.2">
      <c r="B1513">
        <v>10847</v>
      </c>
      <c r="C1513" t="s">
        <v>8310</v>
      </c>
      <c r="D1513" t="s">
        <v>8237</v>
      </c>
      <c r="E1513" s="225">
        <v>946</v>
      </c>
      <c r="F1513" t="s">
        <v>8758</v>
      </c>
      <c r="G1513" t="s">
        <v>8757</v>
      </c>
      <c r="H1513" t="s">
        <v>8701</v>
      </c>
      <c r="I1513" s="99">
        <v>44053</v>
      </c>
      <c r="J1513">
        <f>YEAR(I1513)</f>
        <v>2020</v>
      </c>
      <c r="K1513" s="99">
        <v>44072</v>
      </c>
      <c r="L1513" t="s">
        <v>8266</v>
      </c>
      <c r="M1513" t="s">
        <v>8267</v>
      </c>
    </row>
    <row r="1514" spans="2:13" x14ac:dyDescent="0.2">
      <c r="B1514">
        <v>10882</v>
      </c>
      <c r="C1514" t="s">
        <v>8390</v>
      </c>
      <c r="D1514" t="s">
        <v>8262</v>
      </c>
      <c r="E1514" s="225">
        <v>340</v>
      </c>
      <c r="F1514" t="s">
        <v>8758</v>
      </c>
      <c r="G1514" t="s">
        <v>8757</v>
      </c>
      <c r="H1514" t="s">
        <v>8701</v>
      </c>
      <c r="I1514" s="99">
        <v>44072</v>
      </c>
      <c r="J1514">
        <f>YEAR(I1514)</f>
        <v>2020</v>
      </c>
      <c r="K1514" s="99">
        <v>44081</v>
      </c>
      <c r="L1514" t="s">
        <v>8266</v>
      </c>
      <c r="M1514" t="s">
        <v>8267</v>
      </c>
    </row>
    <row r="1515" spans="2:13" x14ac:dyDescent="0.2">
      <c r="B1515">
        <v>10882</v>
      </c>
      <c r="C1515" t="s">
        <v>8243</v>
      </c>
      <c r="D1515" t="s">
        <v>8244</v>
      </c>
      <c r="E1515" s="225">
        <v>350</v>
      </c>
      <c r="F1515" t="s">
        <v>8758</v>
      </c>
      <c r="G1515" t="s">
        <v>8757</v>
      </c>
      <c r="H1515" t="s">
        <v>8701</v>
      </c>
      <c r="I1515" s="99">
        <v>44072</v>
      </c>
      <c r="J1515">
        <f>YEAR(I1515)</f>
        <v>2020</v>
      </c>
      <c r="K1515" s="99">
        <v>44081</v>
      </c>
      <c r="L1515" t="s">
        <v>8266</v>
      </c>
      <c r="M1515" t="s">
        <v>8267</v>
      </c>
    </row>
    <row r="1516" spans="2:13" x14ac:dyDescent="0.2">
      <c r="B1516">
        <v>10894</v>
      </c>
      <c r="C1516" t="s">
        <v>8328</v>
      </c>
      <c r="D1516" t="s">
        <v>8272</v>
      </c>
      <c r="E1516" s="225">
        <v>883.5</v>
      </c>
      <c r="F1516" t="s">
        <v>8758</v>
      </c>
      <c r="G1516" t="s">
        <v>8757</v>
      </c>
      <c r="H1516" t="s">
        <v>8701</v>
      </c>
      <c r="I1516" s="99">
        <v>44079</v>
      </c>
      <c r="J1516">
        <f>YEAR(I1516)</f>
        <v>2020</v>
      </c>
      <c r="K1516" s="99">
        <v>44081</v>
      </c>
      <c r="L1516" t="s">
        <v>8285</v>
      </c>
      <c r="M1516" t="s">
        <v>2317</v>
      </c>
    </row>
    <row r="1517" spans="2:13" x14ac:dyDescent="0.2">
      <c r="B1517">
        <v>10894</v>
      </c>
      <c r="C1517" t="s">
        <v>8353</v>
      </c>
      <c r="D1517" t="s">
        <v>8237</v>
      </c>
      <c r="E1517" s="225">
        <v>1710</v>
      </c>
      <c r="F1517" t="s">
        <v>8758</v>
      </c>
      <c r="G1517" t="s">
        <v>8757</v>
      </c>
      <c r="H1517" t="s">
        <v>8701</v>
      </c>
      <c r="I1517" s="99">
        <v>44079</v>
      </c>
      <c r="J1517">
        <f>YEAR(I1517)</f>
        <v>2020</v>
      </c>
      <c r="K1517" s="99">
        <v>44081</v>
      </c>
      <c r="L1517" t="s">
        <v>8285</v>
      </c>
      <c r="M1517" t="s">
        <v>2317</v>
      </c>
    </row>
    <row r="1518" spans="2:13" x14ac:dyDescent="0.2">
      <c r="B1518">
        <v>10941</v>
      </c>
      <c r="C1518" t="s">
        <v>8291</v>
      </c>
      <c r="D1518" t="s">
        <v>8262</v>
      </c>
      <c r="E1518" s="225">
        <v>1109.25</v>
      </c>
      <c r="F1518" t="s">
        <v>8758</v>
      </c>
      <c r="G1518" t="s">
        <v>8757</v>
      </c>
      <c r="H1518" t="s">
        <v>8701</v>
      </c>
      <c r="I1518" s="99">
        <v>44100</v>
      </c>
      <c r="J1518">
        <f>YEAR(I1518)</f>
        <v>2020</v>
      </c>
      <c r="K1518" s="99">
        <v>44109</v>
      </c>
      <c r="L1518" t="s">
        <v>8158</v>
      </c>
      <c r="M1518" t="s">
        <v>861</v>
      </c>
    </row>
    <row r="1519" spans="2:13" x14ac:dyDescent="0.2">
      <c r="B1519">
        <v>10941</v>
      </c>
      <c r="C1519" t="s">
        <v>8334</v>
      </c>
      <c r="D1519" t="s">
        <v>8262</v>
      </c>
      <c r="E1519" s="225">
        <v>750</v>
      </c>
      <c r="F1519" t="s">
        <v>8758</v>
      </c>
      <c r="G1519" t="s">
        <v>8757</v>
      </c>
      <c r="H1519" t="s">
        <v>8701</v>
      </c>
      <c r="I1519" s="99">
        <v>44100</v>
      </c>
      <c r="J1519">
        <f>YEAR(I1519)</f>
        <v>2020</v>
      </c>
      <c r="K1519" s="99">
        <v>44109</v>
      </c>
      <c r="L1519" t="s">
        <v>8158</v>
      </c>
      <c r="M1519" t="s">
        <v>861</v>
      </c>
    </row>
    <row r="1520" spans="2:13" x14ac:dyDescent="0.2">
      <c r="B1520">
        <v>10941</v>
      </c>
      <c r="C1520" t="s">
        <v>8309</v>
      </c>
      <c r="D1520" t="s">
        <v>8237</v>
      </c>
      <c r="E1520" s="225">
        <v>412.5</v>
      </c>
      <c r="F1520" t="s">
        <v>8758</v>
      </c>
      <c r="G1520" t="s">
        <v>8757</v>
      </c>
      <c r="H1520" t="s">
        <v>8701</v>
      </c>
      <c r="I1520" s="99">
        <v>44100</v>
      </c>
      <c r="J1520">
        <f>YEAR(I1520)</f>
        <v>2020</v>
      </c>
      <c r="K1520" s="99">
        <v>44109</v>
      </c>
      <c r="L1520" t="s">
        <v>8158</v>
      </c>
      <c r="M1520" t="s">
        <v>861</v>
      </c>
    </row>
    <row r="1521" spans="2:13" x14ac:dyDescent="0.2">
      <c r="B1521">
        <v>10941</v>
      </c>
      <c r="C1521" t="s">
        <v>8235</v>
      </c>
      <c r="D1521" t="s">
        <v>8237</v>
      </c>
      <c r="E1521" s="225">
        <v>1740</v>
      </c>
      <c r="F1521" t="s">
        <v>8758</v>
      </c>
      <c r="G1521" t="s">
        <v>8757</v>
      </c>
      <c r="H1521" t="s">
        <v>8701</v>
      </c>
      <c r="I1521" s="99">
        <v>44100</v>
      </c>
      <c r="J1521">
        <f>YEAR(I1521)</f>
        <v>2020</v>
      </c>
      <c r="K1521" s="99">
        <v>44109</v>
      </c>
      <c r="L1521" t="s">
        <v>8158</v>
      </c>
      <c r="M1521" t="s">
        <v>861</v>
      </c>
    </row>
    <row r="1522" spans="2:13" x14ac:dyDescent="0.2">
      <c r="B1522">
        <v>10983</v>
      </c>
      <c r="C1522" t="s">
        <v>8258</v>
      </c>
      <c r="D1522" t="s">
        <v>8244</v>
      </c>
      <c r="E1522" s="225">
        <v>292.5</v>
      </c>
      <c r="F1522" t="s">
        <v>8758</v>
      </c>
      <c r="G1522" t="s">
        <v>8757</v>
      </c>
      <c r="H1522" t="s">
        <v>8701</v>
      </c>
      <c r="I1522" s="99">
        <v>44116</v>
      </c>
      <c r="J1522">
        <f>YEAR(I1522)</f>
        <v>2020</v>
      </c>
      <c r="K1522" s="99">
        <v>44126</v>
      </c>
      <c r="L1522" t="s">
        <v>8297</v>
      </c>
      <c r="M1522" t="s">
        <v>8298</v>
      </c>
    </row>
    <row r="1523" spans="2:13" x14ac:dyDescent="0.2">
      <c r="B1523">
        <v>10984</v>
      </c>
      <c r="C1523" t="s">
        <v>8270</v>
      </c>
      <c r="D1523" t="s">
        <v>8272</v>
      </c>
      <c r="E1523" s="225">
        <v>90</v>
      </c>
      <c r="F1523" t="s">
        <v>8758</v>
      </c>
      <c r="G1523" t="s">
        <v>8757</v>
      </c>
      <c r="H1523" t="s">
        <v>8701</v>
      </c>
      <c r="I1523" s="99">
        <v>44119</v>
      </c>
      <c r="J1523">
        <f>YEAR(I1523)</f>
        <v>2020</v>
      </c>
      <c r="K1523" s="99">
        <v>44123</v>
      </c>
      <c r="L1523" t="s">
        <v>8285</v>
      </c>
      <c r="M1523" t="s">
        <v>2317</v>
      </c>
    </row>
    <row r="1524" spans="2:13" x14ac:dyDescent="0.2">
      <c r="B1524">
        <v>10984</v>
      </c>
      <c r="C1524" t="s">
        <v>8280</v>
      </c>
      <c r="D1524" t="s">
        <v>8262</v>
      </c>
      <c r="E1524" s="225">
        <v>959.75</v>
      </c>
      <c r="F1524" t="s">
        <v>8758</v>
      </c>
      <c r="G1524" t="s">
        <v>8757</v>
      </c>
      <c r="H1524" t="s">
        <v>8701</v>
      </c>
      <c r="I1524" s="99">
        <v>44119</v>
      </c>
      <c r="J1524">
        <f>YEAR(I1524)</f>
        <v>2020</v>
      </c>
      <c r="K1524" s="99">
        <v>44123</v>
      </c>
      <c r="L1524" t="s">
        <v>8285</v>
      </c>
      <c r="M1524" t="s">
        <v>2317</v>
      </c>
    </row>
    <row r="1525" spans="2:13" x14ac:dyDescent="0.2">
      <c r="B1525">
        <v>11002</v>
      </c>
      <c r="C1525" t="s">
        <v>8323</v>
      </c>
      <c r="D1525" t="s">
        <v>8272</v>
      </c>
      <c r="E1525" s="225">
        <v>229.5</v>
      </c>
      <c r="F1525" t="s">
        <v>8758</v>
      </c>
      <c r="G1525" t="s">
        <v>8757</v>
      </c>
      <c r="H1525" t="s">
        <v>8701</v>
      </c>
      <c r="I1525" s="99">
        <v>44126</v>
      </c>
      <c r="J1525">
        <f>YEAR(I1525)</f>
        <v>2020</v>
      </c>
      <c r="K1525" s="99">
        <v>44136</v>
      </c>
      <c r="L1525" t="s">
        <v>8266</v>
      </c>
      <c r="M1525" t="s">
        <v>8267</v>
      </c>
    </row>
    <row r="1526" spans="2:13" x14ac:dyDescent="0.2">
      <c r="B1526">
        <v>11002</v>
      </c>
      <c r="C1526" t="s">
        <v>8243</v>
      </c>
      <c r="D1526" t="s">
        <v>8244</v>
      </c>
      <c r="E1526" s="225">
        <v>285.60000000000002</v>
      </c>
      <c r="F1526" t="s">
        <v>8758</v>
      </c>
      <c r="G1526" t="s">
        <v>8757</v>
      </c>
      <c r="H1526" t="s">
        <v>8701</v>
      </c>
      <c r="I1526" s="99">
        <v>44126</v>
      </c>
      <c r="J1526">
        <f>YEAR(I1526)</f>
        <v>2020</v>
      </c>
      <c r="K1526" s="99">
        <v>44136</v>
      </c>
      <c r="L1526" t="s">
        <v>8266</v>
      </c>
      <c r="M1526" t="s">
        <v>8267</v>
      </c>
    </row>
    <row r="1527" spans="2:13" x14ac:dyDescent="0.2">
      <c r="B1527">
        <v>11030</v>
      </c>
      <c r="C1527" t="s">
        <v>8276</v>
      </c>
      <c r="D1527" t="s">
        <v>8272</v>
      </c>
      <c r="E1527" s="225">
        <v>1425</v>
      </c>
      <c r="F1527" t="s">
        <v>8758</v>
      </c>
      <c r="G1527" t="s">
        <v>8757</v>
      </c>
      <c r="H1527" t="s">
        <v>8701</v>
      </c>
      <c r="I1527" s="99">
        <v>44137</v>
      </c>
      <c r="J1527">
        <f>YEAR(I1527)</f>
        <v>2020</v>
      </c>
      <c r="K1527" s="99">
        <v>44147</v>
      </c>
      <c r="L1527" t="s">
        <v>8158</v>
      </c>
      <c r="M1527" t="s">
        <v>861</v>
      </c>
    </row>
    <row r="1528" spans="2:13" x14ac:dyDescent="0.2">
      <c r="B1528">
        <v>11030</v>
      </c>
      <c r="C1528" t="s">
        <v>8286</v>
      </c>
      <c r="D1528" t="s">
        <v>8254</v>
      </c>
      <c r="E1528" s="225">
        <v>1494.5</v>
      </c>
      <c r="F1528" t="s">
        <v>8758</v>
      </c>
      <c r="G1528" t="s">
        <v>8757</v>
      </c>
      <c r="H1528" t="s">
        <v>8701</v>
      </c>
      <c r="I1528" s="99">
        <v>44137</v>
      </c>
      <c r="J1528">
        <f>YEAR(I1528)</f>
        <v>2020</v>
      </c>
      <c r="K1528" s="99">
        <v>44147</v>
      </c>
      <c r="L1528" t="s">
        <v>8158</v>
      </c>
      <c r="M1528" t="s">
        <v>861</v>
      </c>
    </row>
    <row r="1529" spans="2:13" x14ac:dyDescent="0.2">
      <c r="B1529">
        <v>11030</v>
      </c>
      <c r="C1529" t="s">
        <v>8281</v>
      </c>
      <c r="D1529" t="s">
        <v>8237</v>
      </c>
      <c r="E1529" s="225">
        <v>4125</v>
      </c>
      <c r="F1529" t="s">
        <v>8758</v>
      </c>
      <c r="G1529" t="s">
        <v>8757</v>
      </c>
      <c r="H1529" t="s">
        <v>8701</v>
      </c>
      <c r="I1529" s="99">
        <v>44137</v>
      </c>
      <c r="J1529">
        <f>YEAR(I1529)</f>
        <v>2020</v>
      </c>
      <c r="K1529" s="99">
        <v>44147</v>
      </c>
      <c r="L1529" t="s">
        <v>8158</v>
      </c>
      <c r="M1529" t="s">
        <v>861</v>
      </c>
    </row>
    <row r="1530" spans="2:13" x14ac:dyDescent="0.2">
      <c r="B1530">
        <v>11031</v>
      </c>
      <c r="C1530" t="s">
        <v>8333</v>
      </c>
      <c r="D1530" t="s">
        <v>8272</v>
      </c>
      <c r="E1530" s="225">
        <v>810</v>
      </c>
      <c r="F1530" t="s">
        <v>8758</v>
      </c>
      <c r="G1530" t="s">
        <v>8757</v>
      </c>
      <c r="H1530" t="s">
        <v>8701</v>
      </c>
      <c r="I1530" s="99">
        <v>44137</v>
      </c>
      <c r="J1530">
        <f>YEAR(I1530)</f>
        <v>2020</v>
      </c>
      <c r="K1530" s="99">
        <v>44144</v>
      </c>
      <c r="L1530" t="s">
        <v>8251</v>
      </c>
      <c r="M1530" t="s">
        <v>269</v>
      </c>
    </row>
    <row r="1531" spans="2:13" x14ac:dyDescent="0.2">
      <c r="B1531">
        <v>11031</v>
      </c>
      <c r="C1531" t="s">
        <v>8270</v>
      </c>
      <c r="D1531" t="s">
        <v>8272</v>
      </c>
      <c r="E1531" s="225">
        <v>94.5</v>
      </c>
      <c r="F1531" t="s">
        <v>8758</v>
      </c>
      <c r="G1531" t="s">
        <v>8757</v>
      </c>
      <c r="H1531" t="s">
        <v>8701</v>
      </c>
      <c r="I1531" s="99">
        <v>44137</v>
      </c>
      <c r="J1531">
        <f>YEAR(I1531)</f>
        <v>2020</v>
      </c>
      <c r="K1531" s="99">
        <v>44144</v>
      </c>
      <c r="L1531" t="s">
        <v>8251</v>
      </c>
      <c r="M1531" t="s">
        <v>269</v>
      </c>
    </row>
    <row r="1532" spans="2:13" x14ac:dyDescent="0.2">
      <c r="B1532">
        <v>11031</v>
      </c>
      <c r="C1532" t="s">
        <v>8310</v>
      </c>
      <c r="D1532" t="s">
        <v>8237</v>
      </c>
      <c r="E1532" s="225">
        <v>344</v>
      </c>
      <c r="F1532" t="s">
        <v>8758</v>
      </c>
      <c r="G1532" t="s">
        <v>8757</v>
      </c>
      <c r="H1532" t="s">
        <v>8701</v>
      </c>
      <c r="I1532" s="99">
        <v>44137</v>
      </c>
      <c r="J1532">
        <f>YEAR(I1532)</f>
        <v>2020</v>
      </c>
      <c r="K1532" s="99">
        <v>44144</v>
      </c>
      <c r="L1532" t="s">
        <v>8251</v>
      </c>
      <c r="M1532" t="s">
        <v>269</v>
      </c>
    </row>
    <row r="1533" spans="2:13" x14ac:dyDescent="0.2">
      <c r="B1533">
        <v>11031</v>
      </c>
      <c r="C1533" t="s">
        <v>8340</v>
      </c>
      <c r="D1533" t="s">
        <v>8244</v>
      </c>
      <c r="E1533" s="225">
        <v>665</v>
      </c>
      <c r="F1533" t="s">
        <v>8758</v>
      </c>
      <c r="G1533" t="s">
        <v>8757</v>
      </c>
      <c r="H1533" t="s">
        <v>8701</v>
      </c>
      <c r="I1533" s="99">
        <v>44137</v>
      </c>
      <c r="J1533">
        <f>YEAR(I1533)</f>
        <v>2020</v>
      </c>
      <c r="K1533" s="99">
        <v>44144</v>
      </c>
      <c r="L1533" t="s">
        <v>8251</v>
      </c>
      <c r="M1533" t="s">
        <v>269</v>
      </c>
    </row>
    <row r="1534" spans="2:13" x14ac:dyDescent="0.2">
      <c r="B1534">
        <v>11064</v>
      </c>
      <c r="C1534" t="s">
        <v>8334</v>
      </c>
      <c r="D1534" t="s">
        <v>8262</v>
      </c>
      <c r="E1534" s="225">
        <v>687.5</v>
      </c>
      <c r="F1534" t="s">
        <v>8758</v>
      </c>
      <c r="G1534" t="s">
        <v>8757</v>
      </c>
      <c r="H1534" t="s">
        <v>8701</v>
      </c>
      <c r="I1534" s="99">
        <v>44151</v>
      </c>
      <c r="J1534">
        <f>YEAR(I1534)</f>
        <v>2020</v>
      </c>
      <c r="K1534" s="99">
        <v>44154</v>
      </c>
      <c r="L1534" t="s">
        <v>8285</v>
      </c>
      <c r="M1534" t="s">
        <v>2317</v>
      </c>
    </row>
    <row r="1535" spans="2:13" x14ac:dyDescent="0.2">
      <c r="B1535">
        <v>11089</v>
      </c>
      <c r="C1535" t="s">
        <v>8323</v>
      </c>
      <c r="D1535" t="s">
        <v>8272</v>
      </c>
      <c r="E1535" s="225">
        <v>856.8</v>
      </c>
      <c r="F1535" t="s">
        <v>8758</v>
      </c>
      <c r="G1535" t="s">
        <v>8757</v>
      </c>
      <c r="H1535" t="s">
        <v>8701</v>
      </c>
      <c r="I1535" s="99">
        <v>43782</v>
      </c>
      <c r="J1535">
        <f>YEAR(I1535)</f>
        <v>2019</v>
      </c>
      <c r="K1535" s="99">
        <v>43784</v>
      </c>
      <c r="L1535" t="s">
        <v>8279</v>
      </c>
      <c r="M1535" t="s">
        <v>710</v>
      </c>
    </row>
    <row r="1536" spans="2:13" x14ac:dyDescent="0.2">
      <c r="B1536">
        <v>11089</v>
      </c>
      <c r="C1536" t="s">
        <v>8317</v>
      </c>
      <c r="D1536" t="s">
        <v>8254</v>
      </c>
      <c r="E1536" s="225">
        <v>2386.8000000000002</v>
      </c>
      <c r="F1536" t="s">
        <v>8758</v>
      </c>
      <c r="G1536" t="s">
        <v>8757</v>
      </c>
      <c r="H1536" t="s">
        <v>8701</v>
      </c>
      <c r="I1536" s="99">
        <v>43782</v>
      </c>
      <c r="J1536">
        <f>YEAR(I1536)</f>
        <v>2019</v>
      </c>
      <c r="K1536" s="99">
        <v>43784</v>
      </c>
      <c r="L1536" t="s">
        <v>8279</v>
      </c>
      <c r="M1536" t="s">
        <v>710</v>
      </c>
    </row>
    <row r="1537" spans="2:13" x14ac:dyDescent="0.2">
      <c r="B1537">
        <v>11089</v>
      </c>
      <c r="C1537" t="s">
        <v>8280</v>
      </c>
      <c r="D1537" t="s">
        <v>8262</v>
      </c>
      <c r="E1537" s="225">
        <v>248.11</v>
      </c>
      <c r="F1537" t="s">
        <v>8758</v>
      </c>
      <c r="G1537" t="s">
        <v>8757</v>
      </c>
      <c r="H1537" t="s">
        <v>8701</v>
      </c>
      <c r="I1537" s="99">
        <v>43782</v>
      </c>
      <c r="J1537">
        <f>YEAR(I1537)</f>
        <v>2019</v>
      </c>
      <c r="K1537" s="99">
        <v>43784</v>
      </c>
      <c r="L1537" t="s">
        <v>8279</v>
      </c>
      <c r="M1537" t="s">
        <v>710</v>
      </c>
    </row>
    <row r="1538" spans="2:13" x14ac:dyDescent="0.2">
      <c r="B1538">
        <v>11089</v>
      </c>
      <c r="C1538" t="s">
        <v>8281</v>
      </c>
      <c r="D1538" t="s">
        <v>8237</v>
      </c>
      <c r="E1538" s="225">
        <v>1496</v>
      </c>
      <c r="F1538" t="s">
        <v>8758</v>
      </c>
      <c r="G1538" t="s">
        <v>8757</v>
      </c>
      <c r="H1538" t="s">
        <v>8701</v>
      </c>
      <c r="I1538" s="99">
        <v>43782</v>
      </c>
      <c r="J1538">
        <f>YEAR(I1538)</f>
        <v>2019</v>
      </c>
      <c r="K1538" s="99">
        <v>43784</v>
      </c>
      <c r="L1538" t="s">
        <v>8279</v>
      </c>
      <c r="M1538" t="s">
        <v>710</v>
      </c>
    </row>
    <row r="1539" spans="2:13" x14ac:dyDescent="0.2">
      <c r="B1539">
        <v>11125</v>
      </c>
      <c r="C1539" t="s">
        <v>8323</v>
      </c>
      <c r="D1539" t="s">
        <v>8272</v>
      </c>
      <c r="E1539" s="225">
        <v>432</v>
      </c>
      <c r="F1539" t="s">
        <v>8758</v>
      </c>
      <c r="G1539" t="s">
        <v>8757</v>
      </c>
      <c r="H1539" t="s">
        <v>8701</v>
      </c>
      <c r="I1539" s="99">
        <v>43865</v>
      </c>
      <c r="J1539">
        <f>YEAR(I1539)</f>
        <v>2020</v>
      </c>
      <c r="K1539" s="99">
        <v>43875</v>
      </c>
      <c r="L1539" t="s">
        <v>8297</v>
      </c>
      <c r="M1539" t="s">
        <v>8298</v>
      </c>
    </row>
    <row r="1540" spans="2:13" x14ac:dyDescent="0.2">
      <c r="B1540">
        <v>11125</v>
      </c>
      <c r="C1540" t="s">
        <v>8276</v>
      </c>
      <c r="D1540" t="s">
        <v>8272</v>
      </c>
      <c r="E1540" s="225">
        <v>285</v>
      </c>
      <c r="F1540" t="s">
        <v>8758</v>
      </c>
      <c r="G1540" t="s">
        <v>8757</v>
      </c>
      <c r="H1540" t="s">
        <v>8701</v>
      </c>
      <c r="I1540" s="99">
        <v>43860</v>
      </c>
      <c r="J1540">
        <f>YEAR(I1540)</f>
        <v>2020</v>
      </c>
      <c r="K1540" s="99">
        <v>43869</v>
      </c>
      <c r="L1540" t="s">
        <v>8285</v>
      </c>
      <c r="M1540" t="s">
        <v>2317</v>
      </c>
    </row>
    <row r="1541" spans="2:13" x14ac:dyDescent="0.2">
      <c r="B1541">
        <v>11125</v>
      </c>
      <c r="C1541" t="s">
        <v>8362</v>
      </c>
      <c r="D1541" t="s">
        <v>8262</v>
      </c>
      <c r="E1541" s="225">
        <v>58.8</v>
      </c>
      <c r="F1541" t="s">
        <v>8758</v>
      </c>
      <c r="G1541" t="s">
        <v>8757</v>
      </c>
      <c r="H1541" t="s">
        <v>8701</v>
      </c>
      <c r="I1541" s="99">
        <v>43860</v>
      </c>
      <c r="J1541">
        <f>YEAR(I1541)</f>
        <v>2020</v>
      </c>
      <c r="K1541" s="99">
        <v>43869</v>
      </c>
      <c r="L1541" t="s">
        <v>8285</v>
      </c>
      <c r="M1541" t="s">
        <v>2317</v>
      </c>
    </row>
    <row r="1542" spans="2:13" x14ac:dyDescent="0.2">
      <c r="B1542">
        <v>11125</v>
      </c>
      <c r="C1542" t="s">
        <v>8372</v>
      </c>
      <c r="D1542" t="s">
        <v>8262</v>
      </c>
      <c r="E1542" s="225">
        <v>1307.25</v>
      </c>
      <c r="F1542" t="s">
        <v>8758</v>
      </c>
      <c r="G1542" t="s">
        <v>8757</v>
      </c>
      <c r="H1542" t="s">
        <v>8701</v>
      </c>
      <c r="I1542" s="99">
        <v>43860</v>
      </c>
      <c r="J1542">
        <f>YEAR(I1542)</f>
        <v>2020</v>
      </c>
      <c r="K1542" s="99">
        <v>43869</v>
      </c>
      <c r="L1542" t="s">
        <v>8285</v>
      </c>
      <c r="M1542" t="s">
        <v>2317</v>
      </c>
    </row>
    <row r="1543" spans="2:13" x14ac:dyDescent="0.2">
      <c r="B1543">
        <v>11125</v>
      </c>
      <c r="C1543" t="s">
        <v>8309</v>
      </c>
      <c r="D1543" t="s">
        <v>8237</v>
      </c>
      <c r="E1543" s="225">
        <v>320</v>
      </c>
      <c r="F1543" t="s">
        <v>8758</v>
      </c>
      <c r="G1543" t="s">
        <v>8757</v>
      </c>
      <c r="H1543" t="s">
        <v>8701</v>
      </c>
      <c r="I1543" s="99">
        <v>43860</v>
      </c>
      <c r="J1543">
        <f>YEAR(I1543)</f>
        <v>2020</v>
      </c>
      <c r="K1543" s="99">
        <v>43869</v>
      </c>
      <c r="L1543" t="s">
        <v>8285</v>
      </c>
      <c r="M1543" t="s">
        <v>2317</v>
      </c>
    </row>
    <row r="1544" spans="2:13" x14ac:dyDescent="0.2">
      <c r="B1544">
        <v>11125</v>
      </c>
      <c r="C1544" t="s">
        <v>8252</v>
      </c>
      <c r="D1544" t="s">
        <v>8247</v>
      </c>
      <c r="E1544" s="225">
        <v>585.9</v>
      </c>
      <c r="F1544" t="s">
        <v>8758</v>
      </c>
      <c r="G1544" t="s">
        <v>8757</v>
      </c>
      <c r="H1544" t="s">
        <v>8701</v>
      </c>
      <c r="I1544" s="99">
        <v>43860</v>
      </c>
      <c r="J1544">
        <f>YEAR(I1544)</f>
        <v>2020</v>
      </c>
      <c r="K1544" s="99">
        <v>43869</v>
      </c>
      <c r="L1544" t="s">
        <v>8285</v>
      </c>
      <c r="M1544" t="s">
        <v>2317</v>
      </c>
    </row>
    <row r="1545" spans="2:13" x14ac:dyDescent="0.2">
      <c r="B1545">
        <v>11157</v>
      </c>
      <c r="C1545" t="s">
        <v>8322</v>
      </c>
      <c r="D1545" t="s">
        <v>8254</v>
      </c>
      <c r="E1545" s="225">
        <v>1472.5</v>
      </c>
      <c r="F1545" t="s">
        <v>8758</v>
      </c>
      <c r="G1545" t="s">
        <v>8757</v>
      </c>
      <c r="H1545" t="s">
        <v>8701</v>
      </c>
      <c r="I1545" s="99">
        <v>43917</v>
      </c>
      <c r="J1545">
        <f>YEAR(I1545)</f>
        <v>2020</v>
      </c>
      <c r="K1545" s="99">
        <v>43923</v>
      </c>
      <c r="L1545" t="s">
        <v>8320</v>
      </c>
      <c r="M1545" t="s">
        <v>8321</v>
      </c>
    </row>
    <row r="1546" spans="2:13" x14ac:dyDescent="0.2">
      <c r="B1546">
        <v>11157</v>
      </c>
      <c r="C1546" t="s">
        <v>8316</v>
      </c>
      <c r="D1546" t="s">
        <v>8247</v>
      </c>
      <c r="E1546" s="225">
        <v>546</v>
      </c>
      <c r="F1546" t="s">
        <v>8758</v>
      </c>
      <c r="G1546" t="s">
        <v>8757</v>
      </c>
      <c r="H1546" t="s">
        <v>8701</v>
      </c>
      <c r="I1546" s="99">
        <v>43917</v>
      </c>
      <c r="J1546">
        <f>YEAR(I1546)</f>
        <v>2020</v>
      </c>
      <c r="K1546" s="99">
        <v>43923</v>
      </c>
      <c r="L1546" t="s">
        <v>8320</v>
      </c>
      <c r="M1546" t="s">
        <v>8321</v>
      </c>
    </row>
    <row r="1547" spans="2:13" x14ac:dyDescent="0.2">
      <c r="B1547">
        <v>11162</v>
      </c>
      <c r="C1547" t="s">
        <v>8276</v>
      </c>
      <c r="D1547" t="s">
        <v>8272</v>
      </c>
      <c r="E1547" s="225">
        <v>581.4</v>
      </c>
      <c r="F1547" t="s">
        <v>8758</v>
      </c>
      <c r="G1547" t="s">
        <v>8757</v>
      </c>
      <c r="H1547" t="s">
        <v>8701</v>
      </c>
      <c r="I1547" s="99">
        <v>43907</v>
      </c>
      <c r="J1547">
        <f>YEAR(I1547)</f>
        <v>2020</v>
      </c>
      <c r="K1547" s="99">
        <v>43925</v>
      </c>
      <c r="L1547" t="s">
        <v>8266</v>
      </c>
      <c r="M1547" t="s">
        <v>8267</v>
      </c>
    </row>
    <row r="1548" spans="2:13" x14ac:dyDescent="0.2">
      <c r="B1548">
        <v>11162</v>
      </c>
      <c r="C1548" t="s">
        <v>8409</v>
      </c>
      <c r="D1548" t="s">
        <v>8254</v>
      </c>
      <c r="E1548" s="225">
        <v>1744.2</v>
      </c>
      <c r="F1548" t="s">
        <v>8758</v>
      </c>
      <c r="G1548" t="s">
        <v>8757</v>
      </c>
      <c r="H1548" t="s">
        <v>8701</v>
      </c>
      <c r="I1548" s="99">
        <v>43907</v>
      </c>
      <c r="J1548">
        <f>YEAR(I1548)</f>
        <v>2020</v>
      </c>
      <c r="K1548" s="99">
        <v>43925</v>
      </c>
      <c r="L1548" t="s">
        <v>8266</v>
      </c>
      <c r="M1548" t="s">
        <v>8267</v>
      </c>
    </row>
    <row r="1549" spans="2:13" x14ac:dyDescent="0.2">
      <c r="B1549">
        <v>11162</v>
      </c>
      <c r="C1549" t="s">
        <v>8280</v>
      </c>
      <c r="D1549" t="s">
        <v>8262</v>
      </c>
      <c r="E1549" s="225">
        <v>578.92999999999995</v>
      </c>
      <c r="F1549" t="s">
        <v>8758</v>
      </c>
      <c r="G1549" t="s">
        <v>8757</v>
      </c>
      <c r="H1549" t="s">
        <v>8701</v>
      </c>
      <c r="I1549" s="99">
        <v>43907</v>
      </c>
      <c r="J1549">
        <f>YEAR(I1549)</f>
        <v>2020</v>
      </c>
      <c r="K1549" s="99">
        <v>43925</v>
      </c>
      <c r="L1549" t="s">
        <v>8266</v>
      </c>
      <c r="M1549" t="s">
        <v>8267</v>
      </c>
    </row>
    <row r="1550" spans="2:13" x14ac:dyDescent="0.2">
      <c r="B1550">
        <v>11192</v>
      </c>
      <c r="C1550" t="s">
        <v>8328</v>
      </c>
      <c r="D1550" t="s">
        <v>8272</v>
      </c>
      <c r="E1550" s="225">
        <v>251.1</v>
      </c>
      <c r="F1550" t="s">
        <v>8758</v>
      </c>
      <c r="G1550" t="s">
        <v>8757</v>
      </c>
      <c r="H1550" t="s">
        <v>8701</v>
      </c>
      <c r="I1550" s="99">
        <v>43974</v>
      </c>
      <c r="J1550">
        <f>YEAR(I1550)</f>
        <v>2020</v>
      </c>
      <c r="K1550" s="99">
        <v>43984</v>
      </c>
      <c r="L1550" t="s">
        <v>8251</v>
      </c>
      <c r="M1550" t="s">
        <v>269</v>
      </c>
    </row>
    <row r="1551" spans="2:13" x14ac:dyDescent="0.2">
      <c r="B1551">
        <v>11202</v>
      </c>
      <c r="C1551" t="s">
        <v>8270</v>
      </c>
      <c r="D1551" t="s">
        <v>8272</v>
      </c>
      <c r="E1551" s="225">
        <v>64.8</v>
      </c>
      <c r="F1551" t="s">
        <v>8758</v>
      </c>
      <c r="G1551" t="s">
        <v>8757</v>
      </c>
      <c r="H1551" t="s">
        <v>8701</v>
      </c>
      <c r="I1551" s="99">
        <v>44019</v>
      </c>
      <c r="J1551">
        <f>YEAR(I1551)</f>
        <v>2020</v>
      </c>
      <c r="K1551" s="99">
        <v>44021</v>
      </c>
      <c r="L1551" t="s">
        <v>8251</v>
      </c>
      <c r="M1551" t="s">
        <v>269</v>
      </c>
    </row>
    <row r="1552" spans="2:13" x14ac:dyDescent="0.2">
      <c r="B1552">
        <v>11202</v>
      </c>
      <c r="C1552" t="s">
        <v>8327</v>
      </c>
      <c r="D1552" t="s">
        <v>8262</v>
      </c>
      <c r="E1552" s="225">
        <v>257.60000000000002</v>
      </c>
      <c r="F1552" t="s">
        <v>8758</v>
      </c>
      <c r="G1552" t="s">
        <v>8757</v>
      </c>
      <c r="H1552" t="s">
        <v>8701</v>
      </c>
      <c r="I1552" s="99">
        <v>44019</v>
      </c>
      <c r="J1552">
        <f>YEAR(I1552)</f>
        <v>2020</v>
      </c>
      <c r="K1552" s="99">
        <v>44021</v>
      </c>
      <c r="L1552" t="s">
        <v>8251</v>
      </c>
      <c r="M1552" t="s">
        <v>269</v>
      </c>
    </row>
    <row r="1553" spans="2:13" x14ac:dyDescent="0.2">
      <c r="B1553">
        <v>11202</v>
      </c>
      <c r="C1553" t="s">
        <v>8341</v>
      </c>
      <c r="D1553" t="s">
        <v>8244</v>
      </c>
      <c r="E1553" s="225">
        <v>1216</v>
      </c>
      <c r="F1553" t="s">
        <v>8758</v>
      </c>
      <c r="G1553" t="s">
        <v>8757</v>
      </c>
      <c r="H1553" t="s">
        <v>8701</v>
      </c>
      <c r="I1553" s="99">
        <v>44019</v>
      </c>
      <c r="J1553">
        <f>YEAR(I1553)</f>
        <v>2020</v>
      </c>
      <c r="K1553" s="99">
        <v>44021</v>
      </c>
      <c r="L1553" t="s">
        <v>8251</v>
      </c>
      <c r="M1553" t="s">
        <v>269</v>
      </c>
    </row>
    <row r="1554" spans="2:13" x14ac:dyDescent="0.2">
      <c r="B1554">
        <v>11202</v>
      </c>
      <c r="C1554" t="s">
        <v>8252</v>
      </c>
      <c r="D1554" t="s">
        <v>8247</v>
      </c>
      <c r="E1554" s="225">
        <v>558</v>
      </c>
      <c r="F1554" t="s">
        <v>8758</v>
      </c>
      <c r="G1554" t="s">
        <v>8757</v>
      </c>
      <c r="H1554" t="s">
        <v>8701</v>
      </c>
      <c r="I1554" s="99">
        <v>44019</v>
      </c>
      <c r="J1554">
        <f>YEAR(I1554)</f>
        <v>2020</v>
      </c>
      <c r="K1554" s="99">
        <v>44021</v>
      </c>
      <c r="L1554" t="s">
        <v>8251</v>
      </c>
      <c r="M1554" t="s">
        <v>269</v>
      </c>
    </row>
    <row r="1555" spans="2:13" x14ac:dyDescent="0.2">
      <c r="B1555">
        <v>11202</v>
      </c>
      <c r="C1555" t="s">
        <v>8245</v>
      </c>
      <c r="D1555" t="s">
        <v>8247</v>
      </c>
      <c r="E1555" s="225">
        <v>848</v>
      </c>
      <c r="F1555" t="s">
        <v>8758</v>
      </c>
      <c r="G1555" t="s">
        <v>8757</v>
      </c>
      <c r="H1555" t="s">
        <v>8701</v>
      </c>
      <c r="I1555" s="99">
        <v>44019</v>
      </c>
      <c r="J1555">
        <f>YEAR(I1555)</f>
        <v>2020</v>
      </c>
      <c r="K1555" s="99">
        <v>44021</v>
      </c>
      <c r="L1555" t="s">
        <v>8251</v>
      </c>
      <c r="M1555" t="s">
        <v>269</v>
      </c>
    </row>
    <row r="1556" spans="2:13" x14ac:dyDescent="0.2">
      <c r="B1556">
        <v>11222</v>
      </c>
      <c r="C1556" t="s">
        <v>8303</v>
      </c>
      <c r="D1556" t="s">
        <v>8272</v>
      </c>
      <c r="E1556" s="225">
        <v>1440</v>
      </c>
      <c r="F1556" t="s">
        <v>8758</v>
      </c>
      <c r="G1556" t="s">
        <v>8757</v>
      </c>
      <c r="H1556" t="s">
        <v>8701</v>
      </c>
      <c r="I1556" s="99">
        <v>44075</v>
      </c>
      <c r="J1556">
        <f>YEAR(I1556)</f>
        <v>2020</v>
      </c>
      <c r="K1556" s="99">
        <v>44079</v>
      </c>
      <c r="L1556" t="s">
        <v>8285</v>
      </c>
      <c r="M1556" t="s">
        <v>2317</v>
      </c>
    </row>
    <row r="1557" spans="2:13" x14ac:dyDescent="0.2">
      <c r="B1557">
        <v>11222</v>
      </c>
      <c r="C1557" t="s">
        <v>8390</v>
      </c>
      <c r="D1557" t="s">
        <v>8262</v>
      </c>
      <c r="E1557" s="225">
        <v>360</v>
      </c>
      <c r="F1557" t="s">
        <v>8758</v>
      </c>
      <c r="G1557" t="s">
        <v>8757</v>
      </c>
      <c r="H1557" t="s">
        <v>8701</v>
      </c>
      <c r="I1557" s="99">
        <v>44075</v>
      </c>
      <c r="J1557">
        <f>YEAR(I1557)</f>
        <v>2020</v>
      </c>
      <c r="K1557" s="99">
        <v>44079</v>
      </c>
      <c r="L1557" t="s">
        <v>8285</v>
      </c>
      <c r="M1557" t="s">
        <v>2317</v>
      </c>
    </row>
    <row r="1558" spans="2:13" x14ac:dyDescent="0.2">
      <c r="B1558">
        <v>11222</v>
      </c>
      <c r="C1558" t="s">
        <v>8268</v>
      </c>
      <c r="D1558" t="s">
        <v>8237</v>
      </c>
      <c r="E1558" s="225">
        <v>1360</v>
      </c>
      <c r="F1558" t="s">
        <v>8758</v>
      </c>
      <c r="G1558" t="s">
        <v>8757</v>
      </c>
      <c r="H1558" t="s">
        <v>8701</v>
      </c>
      <c r="I1558" s="99">
        <v>44075</v>
      </c>
      <c r="J1558">
        <f>YEAR(I1558)</f>
        <v>2020</v>
      </c>
      <c r="K1558" s="99">
        <v>44079</v>
      </c>
      <c r="L1558" t="s">
        <v>8285</v>
      </c>
      <c r="M1558" t="s">
        <v>2317</v>
      </c>
    </row>
    <row r="1559" spans="2:13" x14ac:dyDescent="0.2">
      <c r="B1559">
        <v>11222</v>
      </c>
      <c r="C1559" t="s">
        <v>8269</v>
      </c>
      <c r="D1559" t="s">
        <v>8237</v>
      </c>
      <c r="E1559" s="225">
        <v>35</v>
      </c>
      <c r="F1559" t="s">
        <v>8758</v>
      </c>
      <c r="G1559" t="s">
        <v>8757</v>
      </c>
      <c r="H1559" t="s">
        <v>8701</v>
      </c>
      <c r="I1559" s="99">
        <v>44069</v>
      </c>
      <c r="J1559">
        <f>YEAR(I1559)</f>
        <v>2020</v>
      </c>
      <c r="K1559" s="99">
        <v>44072</v>
      </c>
      <c r="L1559" t="s">
        <v>8241</v>
      </c>
      <c r="M1559" t="s">
        <v>6934</v>
      </c>
    </row>
    <row r="1560" spans="2:13" x14ac:dyDescent="0.2">
      <c r="B1560">
        <v>11222</v>
      </c>
      <c r="C1560" t="s">
        <v>8235</v>
      </c>
      <c r="D1560" t="s">
        <v>8237</v>
      </c>
      <c r="E1560" s="225">
        <v>417.6</v>
      </c>
      <c r="F1560" t="s">
        <v>8758</v>
      </c>
      <c r="G1560" t="s">
        <v>8757</v>
      </c>
      <c r="H1560" t="s">
        <v>8701</v>
      </c>
      <c r="I1560" s="99">
        <v>44069</v>
      </c>
      <c r="J1560">
        <f>YEAR(I1560)</f>
        <v>2020</v>
      </c>
      <c r="K1560" s="99">
        <v>44072</v>
      </c>
      <c r="L1560" t="s">
        <v>8241</v>
      </c>
      <c r="M1560" t="s">
        <v>6934</v>
      </c>
    </row>
    <row r="1561" spans="2:13" x14ac:dyDescent="0.2">
      <c r="B1561">
        <v>11222</v>
      </c>
      <c r="C1561" t="s">
        <v>8415</v>
      </c>
      <c r="D1561" t="s">
        <v>8247</v>
      </c>
      <c r="E1561" s="225">
        <v>1350</v>
      </c>
      <c r="F1561" t="s">
        <v>8758</v>
      </c>
      <c r="G1561" t="s">
        <v>8757</v>
      </c>
      <c r="H1561" t="s">
        <v>8701</v>
      </c>
      <c r="I1561" s="99">
        <v>44069</v>
      </c>
      <c r="J1561">
        <f>YEAR(I1561)</f>
        <v>2020</v>
      </c>
      <c r="K1561" s="99">
        <v>44072</v>
      </c>
      <c r="L1561" t="s">
        <v>8241</v>
      </c>
      <c r="M1561" t="s">
        <v>6934</v>
      </c>
    </row>
    <row r="1562" spans="2:13" x14ac:dyDescent="0.2">
      <c r="B1562">
        <v>11238</v>
      </c>
      <c r="C1562" t="s">
        <v>8390</v>
      </c>
      <c r="D1562" t="s">
        <v>8262</v>
      </c>
      <c r="E1562" s="225">
        <v>475</v>
      </c>
      <c r="F1562" t="s">
        <v>8758</v>
      </c>
      <c r="G1562" t="s">
        <v>8757</v>
      </c>
      <c r="H1562" t="s">
        <v>8701</v>
      </c>
      <c r="I1562" s="99">
        <v>44065</v>
      </c>
      <c r="J1562">
        <f>YEAR(I1562)</f>
        <v>2020</v>
      </c>
      <c r="K1562" s="99">
        <v>44086</v>
      </c>
      <c r="L1562" t="s">
        <v>8320</v>
      </c>
      <c r="M1562" t="s">
        <v>8321</v>
      </c>
    </row>
    <row r="1563" spans="2:13" x14ac:dyDescent="0.2">
      <c r="B1563">
        <v>11238</v>
      </c>
      <c r="C1563" t="s">
        <v>8259</v>
      </c>
      <c r="D1563" t="s">
        <v>8244</v>
      </c>
      <c r="E1563" s="225">
        <v>1008</v>
      </c>
      <c r="F1563" t="s">
        <v>8758</v>
      </c>
      <c r="G1563" t="s">
        <v>8757</v>
      </c>
      <c r="H1563" t="s">
        <v>8701</v>
      </c>
      <c r="I1563" s="99">
        <v>44065</v>
      </c>
      <c r="J1563">
        <f>YEAR(I1563)</f>
        <v>2020</v>
      </c>
      <c r="K1563" s="99">
        <v>44086</v>
      </c>
      <c r="L1563" t="s">
        <v>8320</v>
      </c>
      <c r="M1563" t="s">
        <v>8321</v>
      </c>
    </row>
    <row r="1564" spans="2:13" x14ac:dyDescent="0.2">
      <c r="B1564">
        <v>11248</v>
      </c>
      <c r="C1564" t="s">
        <v>8291</v>
      </c>
      <c r="D1564" t="s">
        <v>8262</v>
      </c>
      <c r="E1564" s="225">
        <v>739.5</v>
      </c>
      <c r="F1564" t="s">
        <v>8758</v>
      </c>
      <c r="G1564" t="s">
        <v>8757</v>
      </c>
      <c r="H1564" t="s">
        <v>8701</v>
      </c>
      <c r="I1564" s="99">
        <v>44089</v>
      </c>
      <c r="J1564">
        <f>YEAR(I1564)</f>
        <v>2020</v>
      </c>
      <c r="K1564" s="99">
        <v>44099</v>
      </c>
      <c r="L1564" t="s">
        <v>8320</v>
      </c>
      <c r="M1564" t="s">
        <v>8321</v>
      </c>
    </row>
    <row r="1565" spans="2:13" x14ac:dyDescent="0.2">
      <c r="B1565">
        <v>11253</v>
      </c>
      <c r="C1565" t="s">
        <v>8361</v>
      </c>
      <c r="D1565" t="s">
        <v>8254</v>
      </c>
      <c r="E1565" s="225">
        <v>775</v>
      </c>
      <c r="F1565" t="s">
        <v>8758</v>
      </c>
      <c r="G1565" t="s">
        <v>8757</v>
      </c>
      <c r="H1565" t="s">
        <v>8701</v>
      </c>
      <c r="I1565" s="99">
        <v>44113</v>
      </c>
      <c r="J1565">
        <f>YEAR(I1565)</f>
        <v>2020</v>
      </c>
      <c r="K1565" s="99">
        <v>44124</v>
      </c>
      <c r="L1565" t="s">
        <v>8297</v>
      </c>
      <c r="M1565" t="s">
        <v>8298</v>
      </c>
    </row>
    <row r="1566" spans="2:13" x14ac:dyDescent="0.2">
      <c r="B1566">
        <v>11253</v>
      </c>
      <c r="C1566" t="s">
        <v>8410</v>
      </c>
      <c r="D1566" t="s">
        <v>8262</v>
      </c>
      <c r="E1566" s="225">
        <v>95</v>
      </c>
      <c r="F1566" t="s">
        <v>8758</v>
      </c>
      <c r="G1566" t="s">
        <v>8757</v>
      </c>
      <c r="H1566" t="s">
        <v>8701</v>
      </c>
      <c r="I1566" s="99">
        <v>44113</v>
      </c>
      <c r="J1566">
        <f>YEAR(I1566)</f>
        <v>2020</v>
      </c>
      <c r="K1566" s="99">
        <v>44124</v>
      </c>
      <c r="L1566" t="s">
        <v>8297</v>
      </c>
      <c r="M1566" t="s">
        <v>8298</v>
      </c>
    </row>
    <row r="1567" spans="2:13" x14ac:dyDescent="0.2">
      <c r="B1567">
        <v>11253</v>
      </c>
      <c r="C1567" t="s">
        <v>8268</v>
      </c>
      <c r="D1567" t="s">
        <v>8237</v>
      </c>
      <c r="E1567" s="225">
        <v>1020</v>
      </c>
      <c r="F1567" t="s">
        <v>8758</v>
      </c>
      <c r="G1567" t="s">
        <v>8757</v>
      </c>
      <c r="H1567" t="s">
        <v>8701</v>
      </c>
      <c r="I1567" s="99">
        <v>44113</v>
      </c>
      <c r="J1567">
        <f>YEAR(I1567)</f>
        <v>2020</v>
      </c>
      <c r="K1567" s="99">
        <v>44124</v>
      </c>
      <c r="L1567" t="s">
        <v>8297</v>
      </c>
      <c r="M1567" t="s">
        <v>8298</v>
      </c>
    </row>
    <row r="1568" spans="2:13" x14ac:dyDescent="0.2">
      <c r="B1568">
        <v>11253</v>
      </c>
      <c r="C1568" t="s">
        <v>8341</v>
      </c>
      <c r="D1568" t="s">
        <v>8244</v>
      </c>
      <c r="E1568" s="225">
        <v>1710</v>
      </c>
      <c r="F1568" t="s">
        <v>8758</v>
      </c>
      <c r="G1568" t="s">
        <v>8757</v>
      </c>
      <c r="H1568" t="s">
        <v>8701</v>
      </c>
      <c r="I1568" s="99">
        <v>44113</v>
      </c>
      <c r="J1568">
        <f>YEAR(I1568)</f>
        <v>2020</v>
      </c>
      <c r="K1568" s="99">
        <v>44124</v>
      </c>
      <c r="L1568" t="s">
        <v>8297</v>
      </c>
      <c r="M1568" t="s">
        <v>8298</v>
      </c>
    </row>
    <row r="1569" spans="2:13" x14ac:dyDescent="0.2">
      <c r="B1569">
        <v>11269</v>
      </c>
      <c r="C1569" t="s">
        <v>8333</v>
      </c>
      <c r="D1569" t="s">
        <v>8272</v>
      </c>
      <c r="E1569" s="225">
        <v>72</v>
      </c>
      <c r="F1569" t="s">
        <v>8758</v>
      </c>
      <c r="G1569" t="s">
        <v>8757</v>
      </c>
      <c r="H1569" t="s">
        <v>8701</v>
      </c>
      <c r="I1569" s="99">
        <v>44149</v>
      </c>
      <c r="J1569">
        <f>YEAR(I1569)</f>
        <v>2020</v>
      </c>
      <c r="K1569" s="99">
        <v>44155</v>
      </c>
      <c r="L1569" t="s">
        <v>8257</v>
      </c>
      <c r="M1569" t="s">
        <v>6984</v>
      </c>
    </row>
    <row r="1570" spans="2:13" x14ac:dyDescent="0.2">
      <c r="B1570">
        <v>11269</v>
      </c>
      <c r="C1570" t="s">
        <v>8358</v>
      </c>
      <c r="D1570" t="s">
        <v>8272</v>
      </c>
      <c r="E1570" s="225">
        <v>134.4</v>
      </c>
      <c r="F1570" t="s">
        <v>8758</v>
      </c>
      <c r="G1570" t="s">
        <v>8757</v>
      </c>
      <c r="H1570" t="s">
        <v>8701</v>
      </c>
      <c r="I1570" s="99">
        <v>44149</v>
      </c>
      <c r="J1570">
        <f>YEAR(I1570)</f>
        <v>2020</v>
      </c>
      <c r="K1570" s="99">
        <v>44155</v>
      </c>
      <c r="L1570" t="s">
        <v>8257</v>
      </c>
      <c r="M1570" t="s">
        <v>6984</v>
      </c>
    </row>
    <row r="1571" spans="2:13" x14ac:dyDescent="0.2">
      <c r="B1571">
        <v>11269</v>
      </c>
      <c r="C1571" t="s">
        <v>8334</v>
      </c>
      <c r="D1571" t="s">
        <v>8262</v>
      </c>
      <c r="E1571" s="225">
        <v>400</v>
      </c>
      <c r="F1571" t="s">
        <v>8758</v>
      </c>
      <c r="G1571" t="s">
        <v>8757</v>
      </c>
      <c r="H1571" t="s">
        <v>8701</v>
      </c>
      <c r="I1571" s="99">
        <v>44149</v>
      </c>
      <c r="J1571">
        <f>YEAR(I1571)</f>
        <v>2020</v>
      </c>
      <c r="K1571" s="99">
        <v>44155</v>
      </c>
      <c r="L1571" t="s">
        <v>8257</v>
      </c>
      <c r="M1571" t="s">
        <v>6984</v>
      </c>
    </row>
    <row r="1572" spans="2:13" x14ac:dyDescent="0.2">
      <c r="B1572">
        <v>11269</v>
      </c>
      <c r="C1572" t="s">
        <v>8299</v>
      </c>
      <c r="D1572" t="s">
        <v>8237</v>
      </c>
      <c r="E1572" s="225">
        <v>3800</v>
      </c>
      <c r="F1572" t="s">
        <v>8758</v>
      </c>
      <c r="G1572" t="s">
        <v>8757</v>
      </c>
      <c r="H1572" t="s">
        <v>8701</v>
      </c>
      <c r="I1572" s="99">
        <v>44132</v>
      </c>
      <c r="J1572">
        <f>YEAR(I1572)</f>
        <v>2020</v>
      </c>
      <c r="K1572" s="99">
        <v>44155</v>
      </c>
      <c r="L1572" t="s">
        <v>8158</v>
      </c>
      <c r="M1572" t="s">
        <v>861</v>
      </c>
    </row>
    <row r="1573" spans="2:13" x14ac:dyDescent="0.2">
      <c r="B1573">
        <v>11269</v>
      </c>
      <c r="C1573" t="s">
        <v>8269</v>
      </c>
      <c r="D1573" t="s">
        <v>8237</v>
      </c>
      <c r="E1573" s="225">
        <v>75</v>
      </c>
      <c r="F1573" t="s">
        <v>8758</v>
      </c>
      <c r="G1573" t="s">
        <v>8757</v>
      </c>
      <c r="H1573" t="s">
        <v>8701</v>
      </c>
      <c r="I1573" s="99">
        <v>44132</v>
      </c>
      <c r="J1573">
        <f>YEAR(I1573)</f>
        <v>2020</v>
      </c>
      <c r="K1573" s="99">
        <v>44155</v>
      </c>
      <c r="L1573" t="s">
        <v>8158</v>
      </c>
      <c r="M1573" t="s">
        <v>861</v>
      </c>
    </row>
    <row r="1574" spans="2:13" x14ac:dyDescent="0.2">
      <c r="B1574">
        <v>11269</v>
      </c>
      <c r="C1574" t="s">
        <v>8310</v>
      </c>
      <c r="D1574" t="s">
        <v>8237</v>
      </c>
      <c r="E1574" s="225">
        <v>1032</v>
      </c>
      <c r="F1574" t="s">
        <v>8758</v>
      </c>
      <c r="G1574" t="s">
        <v>8757</v>
      </c>
      <c r="H1574" t="s">
        <v>8701</v>
      </c>
      <c r="I1574" s="99">
        <v>44149</v>
      </c>
      <c r="J1574">
        <f>YEAR(I1574)</f>
        <v>2020</v>
      </c>
      <c r="K1574" s="99">
        <v>44155</v>
      </c>
      <c r="L1574" t="s">
        <v>8257</v>
      </c>
      <c r="M1574" t="s">
        <v>6984</v>
      </c>
    </row>
    <row r="1575" spans="2:13" x14ac:dyDescent="0.2">
      <c r="B1575">
        <v>11283</v>
      </c>
      <c r="C1575" t="s">
        <v>8276</v>
      </c>
      <c r="D1575" t="s">
        <v>8272</v>
      </c>
      <c r="E1575" s="225">
        <v>427.5</v>
      </c>
      <c r="F1575" t="s">
        <v>8758</v>
      </c>
      <c r="G1575" t="s">
        <v>8757</v>
      </c>
      <c r="H1575" t="s">
        <v>8701</v>
      </c>
      <c r="I1575" s="99">
        <v>44161</v>
      </c>
      <c r="J1575">
        <f>YEAR(I1575)</f>
        <v>2020</v>
      </c>
      <c r="K1575" s="99">
        <v>44166</v>
      </c>
      <c r="L1575" t="s">
        <v>8241</v>
      </c>
      <c r="M1575" t="s">
        <v>6934</v>
      </c>
    </row>
    <row r="1576" spans="2:13" x14ac:dyDescent="0.2">
      <c r="B1576">
        <v>11283</v>
      </c>
      <c r="C1576" t="s">
        <v>8410</v>
      </c>
      <c r="D1576" t="s">
        <v>8262</v>
      </c>
      <c r="E1576" s="225">
        <v>356.25</v>
      </c>
      <c r="F1576" t="s">
        <v>8758</v>
      </c>
      <c r="G1576" t="s">
        <v>8757</v>
      </c>
      <c r="H1576" t="s">
        <v>8701</v>
      </c>
      <c r="I1576" s="99">
        <v>44161</v>
      </c>
      <c r="J1576">
        <f>YEAR(I1576)</f>
        <v>2020</v>
      </c>
      <c r="K1576" s="99">
        <v>44166</v>
      </c>
      <c r="L1576" t="s">
        <v>8241</v>
      </c>
      <c r="M1576" t="s">
        <v>6934</v>
      </c>
    </row>
    <row r="1577" spans="2:13" x14ac:dyDescent="0.2">
      <c r="B1577">
        <v>11283</v>
      </c>
      <c r="C1577" t="s">
        <v>8372</v>
      </c>
      <c r="D1577" t="s">
        <v>8262</v>
      </c>
      <c r="E1577" s="225">
        <v>936.9</v>
      </c>
      <c r="F1577" t="s">
        <v>8758</v>
      </c>
      <c r="G1577" t="s">
        <v>8757</v>
      </c>
      <c r="H1577" t="s">
        <v>8701</v>
      </c>
      <c r="I1577" s="99">
        <v>44161</v>
      </c>
      <c r="J1577">
        <f>YEAR(I1577)</f>
        <v>2020</v>
      </c>
      <c r="K1577" s="99">
        <v>44163</v>
      </c>
      <c r="L1577" t="s">
        <v>8285</v>
      </c>
      <c r="M1577" t="s">
        <v>2317</v>
      </c>
    </row>
    <row r="1578" spans="2:13" x14ac:dyDescent="0.2">
      <c r="B1578">
        <v>11283</v>
      </c>
      <c r="C1578" t="s">
        <v>8341</v>
      </c>
      <c r="D1578" t="s">
        <v>8244</v>
      </c>
      <c r="E1578" s="225">
        <v>513</v>
      </c>
      <c r="F1578" t="s">
        <v>8758</v>
      </c>
      <c r="G1578" t="s">
        <v>8757</v>
      </c>
      <c r="H1578" t="s">
        <v>8701</v>
      </c>
      <c r="I1578" s="99">
        <v>44161</v>
      </c>
      <c r="J1578">
        <f>YEAR(I1578)</f>
        <v>2020</v>
      </c>
      <c r="K1578" s="99">
        <v>44166</v>
      </c>
      <c r="L1578" t="s">
        <v>8241</v>
      </c>
      <c r="M1578" t="s">
        <v>6934</v>
      </c>
    </row>
    <row r="1579" spans="2:13" x14ac:dyDescent="0.2">
      <c r="B1579">
        <v>11294</v>
      </c>
      <c r="C1579" t="s">
        <v>8276</v>
      </c>
      <c r="D1579" t="s">
        <v>8272</v>
      </c>
      <c r="E1579" s="225">
        <v>57</v>
      </c>
      <c r="F1579" t="s">
        <v>8758</v>
      </c>
      <c r="G1579" t="s">
        <v>8757</v>
      </c>
      <c r="H1579" t="s">
        <v>8701</v>
      </c>
      <c r="I1579" s="99">
        <v>44168</v>
      </c>
      <c r="J1579">
        <f>YEAR(I1579)</f>
        <v>2020</v>
      </c>
      <c r="K1579" s="99">
        <v>44174</v>
      </c>
      <c r="L1579" t="s">
        <v>8320</v>
      </c>
      <c r="M1579" t="s">
        <v>8321</v>
      </c>
    </row>
    <row r="1580" spans="2:13" x14ac:dyDescent="0.2">
      <c r="B1580">
        <v>11294</v>
      </c>
      <c r="C1580" t="s">
        <v>8328</v>
      </c>
      <c r="D1580" t="s">
        <v>8272</v>
      </c>
      <c r="E1580" s="225">
        <v>325.5</v>
      </c>
      <c r="F1580" t="s">
        <v>8758</v>
      </c>
      <c r="G1580" t="s">
        <v>8757</v>
      </c>
      <c r="H1580" t="s">
        <v>8701</v>
      </c>
      <c r="I1580" s="99">
        <v>44168</v>
      </c>
      <c r="J1580">
        <f>YEAR(I1580)</f>
        <v>2020</v>
      </c>
      <c r="K1580" s="99">
        <v>44174</v>
      </c>
      <c r="L1580" t="s">
        <v>8320</v>
      </c>
      <c r="M1580" t="s">
        <v>8321</v>
      </c>
    </row>
    <row r="1581" spans="2:13" x14ac:dyDescent="0.2">
      <c r="B1581">
        <v>11294</v>
      </c>
      <c r="C1581" t="s">
        <v>8334</v>
      </c>
      <c r="D1581" t="s">
        <v>8262</v>
      </c>
      <c r="E1581" s="225">
        <v>562.5</v>
      </c>
      <c r="F1581" t="s">
        <v>8758</v>
      </c>
      <c r="G1581" t="s">
        <v>8757</v>
      </c>
      <c r="H1581" t="s">
        <v>8701</v>
      </c>
      <c r="I1581" s="99">
        <v>44168</v>
      </c>
      <c r="J1581">
        <f>YEAR(I1581)</f>
        <v>2020</v>
      </c>
      <c r="K1581" s="99">
        <v>44174</v>
      </c>
      <c r="L1581" t="s">
        <v>8320</v>
      </c>
      <c r="M1581" t="s">
        <v>8321</v>
      </c>
    </row>
    <row r="1582" spans="2:13" x14ac:dyDescent="0.2">
      <c r="B1582">
        <v>11294</v>
      </c>
      <c r="C1582" t="s">
        <v>8327</v>
      </c>
      <c r="D1582" t="s">
        <v>8262</v>
      </c>
      <c r="E1582" s="225">
        <v>110.4</v>
      </c>
      <c r="F1582" t="s">
        <v>8758</v>
      </c>
      <c r="G1582" t="s">
        <v>8757</v>
      </c>
      <c r="H1582" t="s">
        <v>8701</v>
      </c>
      <c r="I1582" s="99">
        <v>44160</v>
      </c>
      <c r="J1582">
        <f>YEAR(I1582)</f>
        <v>2020</v>
      </c>
      <c r="K1582" s="99">
        <v>44168</v>
      </c>
      <c r="L1582" t="s">
        <v>8241</v>
      </c>
      <c r="M1582" t="s">
        <v>6934</v>
      </c>
    </row>
    <row r="1583" spans="2:13" x14ac:dyDescent="0.2">
      <c r="B1583">
        <v>11294</v>
      </c>
      <c r="C1583" t="s">
        <v>8309</v>
      </c>
      <c r="D1583" t="s">
        <v>8237</v>
      </c>
      <c r="E1583" s="225">
        <v>625</v>
      </c>
      <c r="F1583" t="s">
        <v>8758</v>
      </c>
      <c r="G1583" t="s">
        <v>8757</v>
      </c>
      <c r="H1583" t="s">
        <v>8701</v>
      </c>
      <c r="I1583" s="99">
        <v>44168</v>
      </c>
      <c r="J1583">
        <f>YEAR(I1583)</f>
        <v>2020</v>
      </c>
      <c r="K1583" s="99">
        <v>44174</v>
      </c>
      <c r="L1583" t="s">
        <v>8320</v>
      </c>
      <c r="M1583" t="s">
        <v>8321</v>
      </c>
    </row>
    <row r="1584" spans="2:13" x14ac:dyDescent="0.2">
      <c r="B1584">
        <v>11315</v>
      </c>
      <c r="C1584" t="s">
        <v>8373</v>
      </c>
      <c r="D1584" t="s">
        <v>8244</v>
      </c>
      <c r="E1584" s="225">
        <v>396</v>
      </c>
      <c r="F1584" t="s">
        <v>8758</v>
      </c>
      <c r="G1584" t="s">
        <v>8757</v>
      </c>
      <c r="H1584" t="s">
        <v>8701</v>
      </c>
      <c r="I1584" s="99">
        <v>44190</v>
      </c>
      <c r="J1584">
        <f>YEAR(I1584)</f>
        <v>2020</v>
      </c>
      <c r="K1584" s="99">
        <v>44198</v>
      </c>
      <c r="L1584" t="s">
        <v>8257</v>
      </c>
      <c r="M1584" t="s">
        <v>6984</v>
      </c>
    </row>
    <row r="1585" spans="2:13" x14ac:dyDescent="0.2">
      <c r="B1585">
        <v>11315</v>
      </c>
      <c r="C1585" t="s">
        <v>8341</v>
      </c>
      <c r="D1585" t="s">
        <v>8244</v>
      </c>
      <c r="E1585" s="225">
        <v>1064</v>
      </c>
      <c r="F1585" t="s">
        <v>8758</v>
      </c>
      <c r="G1585" t="s">
        <v>8757</v>
      </c>
      <c r="H1585" t="s">
        <v>8701</v>
      </c>
      <c r="I1585" s="99">
        <v>44190</v>
      </c>
      <c r="J1585">
        <f>YEAR(I1585)</f>
        <v>2020</v>
      </c>
      <c r="K1585" s="99">
        <v>44198</v>
      </c>
      <c r="L1585" t="s">
        <v>8257</v>
      </c>
      <c r="M1585" t="s">
        <v>6984</v>
      </c>
    </row>
    <row r="1586" spans="2:13" x14ac:dyDescent="0.2">
      <c r="B1586">
        <v>11345</v>
      </c>
      <c r="C1586" t="s">
        <v>8269</v>
      </c>
      <c r="D1586" t="s">
        <v>8237</v>
      </c>
      <c r="E1586" s="225">
        <v>40</v>
      </c>
      <c r="F1586" t="s">
        <v>8758</v>
      </c>
      <c r="G1586" t="s">
        <v>8757</v>
      </c>
      <c r="H1586" t="s">
        <v>8701</v>
      </c>
      <c r="I1586" s="99">
        <v>44236</v>
      </c>
      <c r="J1586">
        <f>YEAR(I1586)</f>
        <v>2021</v>
      </c>
      <c r="K1586" s="99">
        <v>44245</v>
      </c>
      <c r="L1586" t="s">
        <v>8297</v>
      </c>
      <c r="M1586" t="s">
        <v>8298</v>
      </c>
    </row>
    <row r="1587" spans="2:13" x14ac:dyDescent="0.2">
      <c r="B1587">
        <v>11373</v>
      </c>
      <c r="C1587" t="s">
        <v>8333</v>
      </c>
      <c r="D1587" t="s">
        <v>8272</v>
      </c>
      <c r="E1587" s="225">
        <v>1152</v>
      </c>
      <c r="F1587" t="s">
        <v>8758</v>
      </c>
      <c r="G1587" t="s">
        <v>8757</v>
      </c>
      <c r="H1587" t="s">
        <v>8701</v>
      </c>
      <c r="I1587" s="99">
        <v>44253</v>
      </c>
      <c r="J1587">
        <f>YEAR(I1587)</f>
        <v>2021</v>
      </c>
      <c r="K1587" s="99">
        <v>44272</v>
      </c>
      <c r="L1587" t="s">
        <v>8266</v>
      </c>
      <c r="M1587" t="s">
        <v>8267</v>
      </c>
    </row>
    <row r="1588" spans="2:13" x14ac:dyDescent="0.2">
      <c r="B1588">
        <v>11373</v>
      </c>
      <c r="C1588" t="s">
        <v>8327</v>
      </c>
      <c r="D1588" t="s">
        <v>8262</v>
      </c>
      <c r="E1588" s="225">
        <v>88.32</v>
      </c>
      <c r="F1588" t="s">
        <v>8758</v>
      </c>
      <c r="G1588" t="s">
        <v>8757</v>
      </c>
      <c r="H1588" t="s">
        <v>8701</v>
      </c>
      <c r="I1588" s="99">
        <v>44253</v>
      </c>
      <c r="J1588">
        <f>YEAR(I1588)</f>
        <v>2021</v>
      </c>
      <c r="K1588" s="99">
        <v>44272</v>
      </c>
      <c r="L1588" t="s">
        <v>8266</v>
      </c>
      <c r="M1588" t="s">
        <v>8267</v>
      </c>
    </row>
    <row r="1589" spans="2:13" x14ac:dyDescent="0.2">
      <c r="B1589">
        <v>11373</v>
      </c>
      <c r="C1589" t="s">
        <v>8268</v>
      </c>
      <c r="D1589" t="s">
        <v>8237</v>
      </c>
      <c r="E1589" s="225">
        <v>1224</v>
      </c>
      <c r="F1589" t="s">
        <v>8758</v>
      </c>
      <c r="G1589" t="s">
        <v>8757</v>
      </c>
      <c r="H1589" t="s">
        <v>8701</v>
      </c>
      <c r="I1589" s="99">
        <v>44253</v>
      </c>
      <c r="J1589">
        <f>YEAR(I1589)</f>
        <v>2021</v>
      </c>
      <c r="K1589" s="99">
        <v>44272</v>
      </c>
      <c r="L1589" t="s">
        <v>8266</v>
      </c>
      <c r="M1589" t="s">
        <v>8267</v>
      </c>
    </row>
    <row r="1590" spans="2:13" x14ac:dyDescent="0.2">
      <c r="B1590">
        <v>11373</v>
      </c>
      <c r="C1590" t="s">
        <v>8310</v>
      </c>
      <c r="D1590" t="s">
        <v>8237</v>
      </c>
      <c r="E1590" s="225">
        <v>946</v>
      </c>
      <c r="F1590" t="s">
        <v>8758</v>
      </c>
      <c r="G1590" t="s">
        <v>8757</v>
      </c>
      <c r="H1590" t="s">
        <v>8701</v>
      </c>
      <c r="I1590" s="99">
        <v>44253</v>
      </c>
      <c r="J1590">
        <f>YEAR(I1590)</f>
        <v>2021</v>
      </c>
      <c r="K1590" s="99">
        <v>44272</v>
      </c>
      <c r="L1590" t="s">
        <v>8266</v>
      </c>
      <c r="M1590" t="s">
        <v>8267</v>
      </c>
    </row>
    <row r="1591" spans="2:13" x14ac:dyDescent="0.2">
      <c r="B1591">
        <v>11381</v>
      </c>
      <c r="C1591" t="s">
        <v>8328</v>
      </c>
      <c r="D1591" t="s">
        <v>8272</v>
      </c>
      <c r="E1591" s="225">
        <v>883.5</v>
      </c>
      <c r="F1591" t="s">
        <v>8758</v>
      </c>
      <c r="G1591" t="s">
        <v>8757</v>
      </c>
      <c r="H1591" t="s">
        <v>8701</v>
      </c>
      <c r="I1591" s="99">
        <v>44279</v>
      </c>
      <c r="J1591">
        <f>YEAR(I1591)</f>
        <v>2021</v>
      </c>
      <c r="K1591" s="99">
        <v>44281</v>
      </c>
      <c r="L1591" t="s">
        <v>8285</v>
      </c>
      <c r="M1591" t="s">
        <v>2317</v>
      </c>
    </row>
    <row r="1592" spans="2:13" x14ac:dyDescent="0.2">
      <c r="B1592">
        <v>11381</v>
      </c>
      <c r="C1592" t="s">
        <v>8390</v>
      </c>
      <c r="D1592" t="s">
        <v>8262</v>
      </c>
      <c r="E1592" s="225">
        <v>340</v>
      </c>
      <c r="F1592" t="s">
        <v>8758</v>
      </c>
      <c r="G1592" t="s">
        <v>8757</v>
      </c>
      <c r="H1592" t="s">
        <v>8701</v>
      </c>
      <c r="I1592" s="99">
        <v>44272</v>
      </c>
      <c r="J1592">
        <f>YEAR(I1592)</f>
        <v>2021</v>
      </c>
      <c r="K1592" s="99">
        <v>44281</v>
      </c>
      <c r="L1592" t="s">
        <v>8266</v>
      </c>
      <c r="M1592" t="s">
        <v>8267</v>
      </c>
    </row>
    <row r="1593" spans="2:13" x14ac:dyDescent="0.2">
      <c r="B1593">
        <v>11381</v>
      </c>
      <c r="C1593" t="s">
        <v>8353</v>
      </c>
      <c r="D1593" t="s">
        <v>8237</v>
      </c>
      <c r="E1593" s="225">
        <v>1710</v>
      </c>
      <c r="F1593" t="s">
        <v>8758</v>
      </c>
      <c r="G1593" t="s">
        <v>8757</v>
      </c>
      <c r="H1593" t="s">
        <v>8701</v>
      </c>
      <c r="I1593" s="99">
        <v>44279</v>
      </c>
      <c r="J1593">
        <f>YEAR(I1593)</f>
        <v>2021</v>
      </c>
      <c r="K1593" s="99">
        <v>44281</v>
      </c>
      <c r="L1593" t="s">
        <v>8285</v>
      </c>
      <c r="M1593" t="s">
        <v>2317</v>
      </c>
    </row>
    <row r="1594" spans="2:13" x14ac:dyDescent="0.2">
      <c r="B1594">
        <v>11381</v>
      </c>
      <c r="C1594" t="s">
        <v>8243</v>
      </c>
      <c r="D1594" t="s">
        <v>8244</v>
      </c>
      <c r="E1594" s="225">
        <v>350</v>
      </c>
      <c r="F1594" t="s">
        <v>8758</v>
      </c>
      <c r="G1594" t="s">
        <v>8757</v>
      </c>
      <c r="H1594" t="s">
        <v>8701</v>
      </c>
      <c r="I1594" s="99">
        <v>44272</v>
      </c>
      <c r="J1594">
        <f>YEAR(I1594)</f>
        <v>2021</v>
      </c>
      <c r="K1594" s="99">
        <v>44281</v>
      </c>
      <c r="L1594" t="s">
        <v>8266</v>
      </c>
      <c r="M1594" t="s">
        <v>8267</v>
      </c>
    </row>
    <row r="1595" spans="2:13" x14ac:dyDescent="0.2">
      <c r="B1595">
        <v>11402</v>
      </c>
      <c r="C1595" t="s">
        <v>8291</v>
      </c>
      <c r="D1595" t="s">
        <v>8262</v>
      </c>
      <c r="E1595" s="225">
        <v>1109.25</v>
      </c>
      <c r="F1595" t="s">
        <v>8758</v>
      </c>
      <c r="G1595" t="s">
        <v>8757</v>
      </c>
      <c r="H1595" t="s">
        <v>8701</v>
      </c>
      <c r="I1595" s="99">
        <v>44300</v>
      </c>
      <c r="J1595">
        <f>YEAR(I1595)</f>
        <v>2021</v>
      </c>
      <c r="K1595" s="99">
        <v>44309</v>
      </c>
      <c r="L1595" t="s">
        <v>8158</v>
      </c>
      <c r="M1595" t="s">
        <v>861</v>
      </c>
    </row>
    <row r="1596" spans="2:13" x14ac:dyDescent="0.2">
      <c r="B1596">
        <v>11402</v>
      </c>
      <c r="C1596" t="s">
        <v>8334</v>
      </c>
      <c r="D1596" t="s">
        <v>8262</v>
      </c>
      <c r="E1596" s="225">
        <v>750</v>
      </c>
      <c r="F1596" t="s">
        <v>8758</v>
      </c>
      <c r="G1596" t="s">
        <v>8757</v>
      </c>
      <c r="H1596" t="s">
        <v>8701</v>
      </c>
      <c r="I1596" s="99">
        <v>44300</v>
      </c>
      <c r="J1596">
        <f>YEAR(I1596)</f>
        <v>2021</v>
      </c>
      <c r="K1596" s="99">
        <v>44309</v>
      </c>
      <c r="L1596" t="s">
        <v>8158</v>
      </c>
      <c r="M1596" t="s">
        <v>861</v>
      </c>
    </row>
    <row r="1597" spans="2:13" x14ac:dyDescent="0.2">
      <c r="B1597">
        <v>11402</v>
      </c>
      <c r="C1597" t="s">
        <v>8309</v>
      </c>
      <c r="D1597" t="s">
        <v>8237</v>
      </c>
      <c r="E1597" s="225">
        <v>412.5</v>
      </c>
      <c r="F1597" t="s">
        <v>8758</v>
      </c>
      <c r="G1597" t="s">
        <v>8757</v>
      </c>
      <c r="H1597" t="s">
        <v>8701</v>
      </c>
      <c r="I1597" s="99">
        <v>44300</v>
      </c>
      <c r="J1597">
        <f>YEAR(I1597)</f>
        <v>2021</v>
      </c>
      <c r="K1597" s="99">
        <v>44309</v>
      </c>
      <c r="L1597" t="s">
        <v>8158</v>
      </c>
      <c r="M1597" t="s">
        <v>861</v>
      </c>
    </row>
    <row r="1598" spans="2:13" x14ac:dyDescent="0.2">
      <c r="B1598">
        <v>11402</v>
      </c>
      <c r="C1598" t="s">
        <v>8235</v>
      </c>
      <c r="D1598" t="s">
        <v>8237</v>
      </c>
      <c r="E1598" s="225">
        <v>1740</v>
      </c>
      <c r="F1598" t="s">
        <v>8758</v>
      </c>
      <c r="G1598" t="s">
        <v>8757</v>
      </c>
      <c r="H1598" t="s">
        <v>8701</v>
      </c>
      <c r="I1598" s="99">
        <v>44300</v>
      </c>
      <c r="J1598">
        <f>YEAR(I1598)</f>
        <v>2021</v>
      </c>
      <c r="K1598" s="99">
        <v>44309</v>
      </c>
      <c r="L1598" t="s">
        <v>8158</v>
      </c>
      <c r="M1598" t="s">
        <v>861</v>
      </c>
    </row>
    <row r="1599" spans="2:13" x14ac:dyDescent="0.2">
      <c r="B1599">
        <v>11420</v>
      </c>
      <c r="C1599" t="s">
        <v>8270</v>
      </c>
      <c r="D1599" t="s">
        <v>8272</v>
      </c>
      <c r="E1599" s="225">
        <v>90</v>
      </c>
      <c r="F1599" t="s">
        <v>8758</v>
      </c>
      <c r="G1599" t="s">
        <v>8757</v>
      </c>
      <c r="H1599" t="s">
        <v>8701</v>
      </c>
      <c r="I1599" s="99">
        <v>44319</v>
      </c>
      <c r="J1599">
        <f>YEAR(I1599)</f>
        <v>2021</v>
      </c>
      <c r="K1599" s="99">
        <v>44323</v>
      </c>
      <c r="L1599" t="s">
        <v>8285</v>
      </c>
      <c r="M1599" t="s">
        <v>2317</v>
      </c>
    </row>
    <row r="1600" spans="2:13" x14ac:dyDescent="0.2">
      <c r="B1600">
        <v>11420</v>
      </c>
      <c r="C1600" t="s">
        <v>8280</v>
      </c>
      <c r="D1600" t="s">
        <v>8262</v>
      </c>
      <c r="E1600" s="225">
        <v>959.75</v>
      </c>
      <c r="F1600" t="s">
        <v>8758</v>
      </c>
      <c r="G1600" t="s">
        <v>8757</v>
      </c>
      <c r="H1600" t="s">
        <v>8701</v>
      </c>
      <c r="I1600" s="99">
        <v>44319</v>
      </c>
      <c r="J1600">
        <f>YEAR(I1600)</f>
        <v>2021</v>
      </c>
      <c r="K1600" s="99">
        <v>44323</v>
      </c>
      <c r="L1600" t="s">
        <v>8285</v>
      </c>
      <c r="M1600" t="s">
        <v>2317</v>
      </c>
    </row>
    <row r="1601" spans="2:13" x14ac:dyDescent="0.2">
      <c r="B1601">
        <v>11420</v>
      </c>
      <c r="C1601" t="s">
        <v>8258</v>
      </c>
      <c r="D1601" t="s">
        <v>8244</v>
      </c>
      <c r="E1601" s="225">
        <v>292.5</v>
      </c>
      <c r="F1601" t="s">
        <v>8758</v>
      </c>
      <c r="G1601" t="s">
        <v>8757</v>
      </c>
      <c r="H1601" t="s">
        <v>8701</v>
      </c>
      <c r="I1601" s="99">
        <v>44316</v>
      </c>
      <c r="J1601">
        <f>YEAR(I1601)</f>
        <v>2021</v>
      </c>
      <c r="K1601" s="99">
        <v>44326</v>
      </c>
      <c r="L1601" t="s">
        <v>8297</v>
      </c>
      <c r="M1601" t="s">
        <v>8298</v>
      </c>
    </row>
    <row r="1602" spans="2:13" x14ac:dyDescent="0.2">
      <c r="B1602">
        <v>11431</v>
      </c>
      <c r="C1602" t="s">
        <v>8323</v>
      </c>
      <c r="D1602" t="s">
        <v>8272</v>
      </c>
      <c r="E1602" s="225">
        <v>229.5</v>
      </c>
      <c r="F1602" t="s">
        <v>8758</v>
      </c>
      <c r="G1602" t="s">
        <v>8757</v>
      </c>
      <c r="H1602" t="s">
        <v>8701</v>
      </c>
      <c r="I1602" s="99">
        <v>44326</v>
      </c>
      <c r="J1602">
        <f>YEAR(I1602)</f>
        <v>2021</v>
      </c>
      <c r="K1602" s="99">
        <v>44336</v>
      </c>
      <c r="L1602" t="s">
        <v>8266</v>
      </c>
      <c r="M1602" t="s">
        <v>8267</v>
      </c>
    </row>
    <row r="1603" spans="2:13" x14ac:dyDescent="0.2">
      <c r="B1603">
        <v>11431</v>
      </c>
      <c r="C1603" t="s">
        <v>8243</v>
      </c>
      <c r="D1603" t="s">
        <v>8244</v>
      </c>
      <c r="E1603" s="225">
        <v>285.60000000000002</v>
      </c>
      <c r="F1603" t="s">
        <v>8758</v>
      </c>
      <c r="G1603" t="s">
        <v>8757</v>
      </c>
      <c r="H1603" t="s">
        <v>8701</v>
      </c>
      <c r="I1603" s="99">
        <v>44326</v>
      </c>
      <c r="J1603">
        <f>YEAR(I1603)</f>
        <v>2021</v>
      </c>
      <c r="K1603" s="99">
        <v>44336</v>
      </c>
      <c r="L1603" t="s">
        <v>8266</v>
      </c>
      <c r="M1603" t="s">
        <v>8267</v>
      </c>
    </row>
    <row r="1604" spans="2:13" x14ac:dyDescent="0.2">
      <c r="B1604">
        <v>11437</v>
      </c>
      <c r="C1604" t="s">
        <v>8276</v>
      </c>
      <c r="D1604" t="s">
        <v>8272</v>
      </c>
      <c r="E1604" s="225">
        <v>1425</v>
      </c>
      <c r="F1604" t="s">
        <v>8758</v>
      </c>
      <c r="G1604" t="s">
        <v>8757</v>
      </c>
      <c r="H1604" t="s">
        <v>8701</v>
      </c>
      <c r="I1604" s="99">
        <v>44337</v>
      </c>
      <c r="J1604">
        <f>YEAR(I1604)</f>
        <v>2021</v>
      </c>
      <c r="K1604" s="99">
        <v>44347</v>
      </c>
      <c r="L1604" t="s">
        <v>8158</v>
      </c>
      <c r="M1604" t="s">
        <v>861</v>
      </c>
    </row>
    <row r="1605" spans="2:13" x14ac:dyDescent="0.2">
      <c r="B1605">
        <v>11437</v>
      </c>
      <c r="C1605" t="s">
        <v>8333</v>
      </c>
      <c r="D1605" t="s">
        <v>8272</v>
      </c>
      <c r="E1605" s="225">
        <v>810</v>
      </c>
      <c r="F1605" t="s">
        <v>8758</v>
      </c>
      <c r="G1605" t="s">
        <v>8757</v>
      </c>
      <c r="H1605" t="s">
        <v>8701</v>
      </c>
      <c r="I1605" s="99">
        <v>44337</v>
      </c>
      <c r="J1605">
        <f>YEAR(I1605)</f>
        <v>2021</v>
      </c>
      <c r="K1605" s="99">
        <v>44344</v>
      </c>
      <c r="L1605" t="s">
        <v>8251</v>
      </c>
      <c r="M1605" t="s">
        <v>269</v>
      </c>
    </row>
    <row r="1606" spans="2:13" x14ac:dyDescent="0.2">
      <c r="B1606">
        <v>11437</v>
      </c>
      <c r="C1606" t="s">
        <v>8270</v>
      </c>
      <c r="D1606" t="s">
        <v>8272</v>
      </c>
      <c r="E1606" s="225">
        <v>94.5</v>
      </c>
      <c r="F1606" t="s">
        <v>8758</v>
      </c>
      <c r="G1606" t="s">
        <v>8757</v>
      </c>
      <c r="H1606" t="s">
        <v>8701</v>
      </c>
      <c r="I1606" s="99">
        <v>44337</v>
      </c>
      <c r="J1606">
        <f>YEAR(I1606)</f>
        <v>2021</v>
      </c>
      <c r="K1606" s="99">
        <v>44344</v>
      </c>
      <c r="L1606" t="s">
        <v>8251</v>
      </c>
      <c r="M1606" t="s">
        <v>269</v>
      </c>
    </row>
    <row r="1607" spans="2:13" x14ac:dyDescent="0.2">
      <c r="B1607">
        <v>11437</v>
      </c>
      <c r="C1607" t="s">
        <v>8286</v>
      </c>
      <c r="D1607" t="s">
        <v>8254</v>
      </c>
      <c r="E1607" s="225">
        <v>1494.5</v>
      </c>
      <c r="F1607" t="s">
        <v>8758</v>
      </c>
      <c r="G1607" t="s">
        <v>8757</v>
      </c>
      <c r="H1607" t="s">
        <v>8701</v>
      </c>
      <c r="I1607" s="99">
        <v>44337</v>
      </c>
      <c r="J1607">
        <f>YEAR(I1607)</f>
        <v>2021</v>
      </c>
      <c r="K1607" s="99">
        <v>44347</v>
      </c>
      <c r="L1607" t="s">
        <v>8158</v>
      </c>
      <c r="M1607" t="s">
        <v>861</v>
      </c>
    </row>
    <row r="1608" spans="2:13" x14ac:dyDescent="0.2">
      <c r="B1608">
        <v>11437</v>
      </c>
      <c r="C1608" t="s">
        <v>8281</v>
      </c>
      <c r="D1608" t="s">
        <v>8237</v>
      </c>
      <c r="E1608" s="225">
        <v>4125</v>
      </c>
      <c r="F1608" t="s">
        <v>8758</v>
      </c>
      <c r="G1608" t="s">
        <v>8757</v>
      </c>
      <c r="H1608" t="s">
        <v>8701</v>
      </c>
      <c r="I1608" s="99">
        <v>44337</v>
      </c>
      <c r="J1608">
        <f>YEAR(I1608)</f>
        <v>2021</v>
      </c>
      <c r="K1608" s="99">
        <v>44347</v>
      </c>
      <c r="L1608" t="s">
        <v>8158</v>
      </c>
      <c r="M1608" t="s">
        <v>861</v>
      </c>
    </row>
    <row r="1609" spans="2:13" x14ac:dyDescent="0.2">
      <c r="B1609">
        <v>11437</v>
      </c>
      <c r="C1609" t="s">
        <v>8310</v>
      </c>
      <c r="D1609" t="s">
        <v>8237</v>
      </c>
      <c r="E1609" s="225">
        <v>344</v>
      </c>
      <c r="F1609" t="s">
        <v>8758</v>
      </c>
      <c r="G1609" t="s">
        <v>8757</v>
      </c>
      <c r="H1609" t="s">
        <v>8701</v>
      </c>
      <c r="I1609" s="99">
        <v>44337</v>
      </c>
      <c r="J1609">
        <f>YEAR(I1609)</f>
        <v>2021</v>
      </c>
      <c r="K1609" s="99">
        <v>44344</v>
      </c>
      <c r="L1609" t="s">
        <v>8251</v>
      </c>
      <c r="M1609" t="s">
        <v>269</v>
      </c>
    </row>
    <row r="1610" spans="2:13" x14ac:dyDescent="0.2">
      <c r="B1610">
        <v>11437</v>
      </c>
      <c r="C1610" t="s">
        <v>8340</v>
      </c>
      <c r="D1610" t="s">
        <v>8244</v>
      </c>
      <c r="E1610" s="225">
        <v>665</v>
      </c>
      <c r="F1610" t="s">
        <v>8758</v>
      </c>
      <c r="G1610" t="s">
        <v>8757</v>
      </c>
      <c r="H1610" t="s">
        <v>8701</v>
      </c>
      <c r="I1610" s="99">
        <v>44337</v>
      </c>
      <c r="J1610">
        <f>YEAR(I1610)</f>
        <v>2021</v>
      </c>
      <c r="K1610" s="99">
        <v>44344</v>
      </c>
      <c r="L1610" t="s">
        <v>8251</v>
      </c>
      <c r="M1610" t="s">
        <v>269</v>
      </c>
    </row>
    <row r="1611" spans="2:13" x14ac:dyDescent="0.2">
      <c r="B1611">
        <v>11455</v>
      </c>
      <c r="C1611" t="s">
        <v>8334</v>
      </c>
      <c r="D1611" t="s">
        <v>8262</v>
      </c>
      <c r="E1611" s="225">
        <v>687.5</v>
      </c>
      <c r="F1611" t="s">
        <v>8758</v>
      </c>
      <c r="G1611" t="s">
        <v>8757</v>
      </c>
      <c r="H1611" t="s">
        <v>8701</v>
      </c>
      <c r="I1611" s="99">
        <v>44351</v>
      </c>
      <c r="J1611">
        <f>YEAR(I1611)</f>
        <v>2021</v>
      </c>
      <c r="K1611" s="99">
        <v>44354</v>
      </c>
      <c r="L1611" t="s">
        <v>8285</v>
      </c>
      <c r="M1611" t="s">
        <v>2317</v>
      </c>
    </row>
    <row r="1612" spans="2:13" x14ac:dyDescent="0.2">
      <c r="B1612">
        <v>10359</v>
      </c>
      <c r="C1612" t="s">
        <v>8280</v>
      </c>
      <c r="D1612" t="s">
        <v>8262</v>
      </c>
      <c r="E1612" s="225">
        <v>739.48</v>
      </c>
      <c r="F1612" t="s">
        <v>8388</v>
      </c>
      <c r="G1612" t="s">
        <v>8389</v>
      </c>
      <c r="H1612" t="s">
        <v>2434</v>
      </c>
      <c r="I1612" s="99">
        <v>43626</v>
      </c>
      <c r="J1612">
        <f>YEAR(I1612)</f>
        <v>2019</v>
      </c>
      <c r="K1612" s="99">
        <v>43631</v>
      </c>
      <c r="L1612" t="s">
        <v>8241</v>
      </c>
      <c r="M1612" t="s">
        <v>6934</v>
      </c>
    </row>
    <row r="1613" spans="2:13" x14ac:dyDescent="0.2">
      <c r="B1613">
        <v>10359</v>
      </c>
      <c r="C1613" t="s">
        <v>8309</v>
      </c>
      <c r="D1613" t="s">
        <v>8237</v>
      </c>
      <c r="E1613" s="225">
        <v>665</v>
      </c>
      <c r="F1613" t="s">
        <v>8388</v>
      </c>
      <c r="G1613" t="s">
        <v>8389</v>
      </c>
      <c r="H1613" t="s">
        <v>2434</v>
      </c>
      <c r="I1613" s="99">
        <v>43626</v>
      </c>
      <c r="J1613">
        <f>YEAR(I1613)</f>
        <v>2019</v>
      </c>
      <c r="K1613" s="99">
        <v>43631</v>
      </c>
      <c r="L1613" t="s">
        <v>8241</v>
      </c>
      <c r="M1613" t="s">
        <v>6934</v>
      </c>
    </row>
    <row r="1614" spans="2:13" x14ac:dyDescent="0.2">
      <c r="B1614">
        <v>10359</v>
      </c>
      <c r="C1614" t="s">
        <v>8268</v>
      </c>
      <c r="D1614" t="s">
        <v>8237</v>
      </c>
      <c r="E1614" s="225">
        <v>2067.1999999999998</v>
      </c>
      <c r="F1614" t="s">
        <v>8388</v>
      </c>
      <c r="G1614" t="s">
        <v>8389</v>
      </c>
      <c r="H1614" t="s">
        <v>2434</v>
      </c>
      <c r="I1614" s="99">
        <v>43626</v>
      </c>
      <c r="J1614">
        <f>YEAR(I1614)</f>
        <v>2019</v>
      </c>
      <c r="K1614" s="99">
        <v>43631</v>
      </c>
      <c r="L1614" t="s">
        <v>8241</v>
      </c>
      <c r="M1614" t="s">
        <v>6934</v>
      </c>
    </row>
    <row r="1615" spans="2:13" x14ac:dyDescent="0.2">
      <c r="B1615">
        <v>10377</v>
      </c>
      <c r="C1615" t="s">
        <v>8342</v>
      </c>
      <c r="D1615" t="s">
        <v>8272</v>
      </c>
      <c r="E1615" s="225">
        <v>244.8</v>
      </c>
      <c r="F1615" t="s">
        <v>8388</v>
      </c>
      <c r="G1615" t="s">
        <v>8389</v>
      </c>
      <c r="H1615" t="s">
        <v>2434</v>
      </c>
      <c r="I1615" s="99">
        <v>43644</v>
      </c>
      <c r="J1615">
        <f>YEAR(I1615)</f>
        <v>2019</v>
      </c>
      <c r="K1615" s="99">
        <v>43648</v>
      </c>
      <c r="L1615" t="s">
        <v>8285</v>
      </c>
      <c r="M1615" t="s">
        <v>2317</v>
      </c>
    </row>
    <row r="1616" spans="2:13" x14ac:dyDescent="0.2">
      <c r="B1616">
        <v>10377</v>
      </c>
      <c r="C1616" t="s">
        <v>8316</v>
      </c>
      <c r="D1616" t="s">
        <v>8247</v>
      </c>
      <c r="E1616" s="225">
        <v>618.79999999999995</v>
      </c>
      <c r="F1616" t="s">
        <v>8388</v>
      </c>
      <c r="G1616" t="s">
        <v>8389</v>
      </c>
      <c r="H1616" t="s">
        <v>2434</v>
      </c>
      <c r="I1616" s="99">
        <v>43644</v>
      </c>
      <c r="J1616">
        <f>YEAR(I1616)</f>
        <v>2019</v>
      </c>
      <c r="K1616" s="99">
        <v>43648</v>
      </c>
      <c r="L1616" t="s">
        <v>8285</v>
      </c>
      <c r="M1616" t="s">
        <v>2317</v>
      </c>
    </row>
    <row r="1617" spans="2:13" x14ac:dyDescent="0.2">
      <c r="B1617">
        <v>10388</v>
      </c>
      <c r="C1617" t="s">
        <v>8369</v>
      </c>
      <c r="D1617" t="s">
        <v>8244</v>
      </c>
      <c r="E1617" s="225">
        <v>89.6</v>
      </c>
      <c r="F1617" t="s">
        <v>8388</v>
      </c>
      <c r="G1617" t="s">
        <v>8389</v>
      </c>
      <c r="H1617" t="s">
        <v>2434</v>
      </c>
      <c r="I1617" s="99">
        <v>43654</v>
      </c>
      <c r="J1617">
        <f>YEAR(I1617)</f>
        <v>2019</v>
      </c>
      <c r="K1617" s="99">
        <v>43655</v>
      </c>
      <c r="L1617" t="s">
        <v>8297</v>
      </c>
      <c r="M1617" t="s">
        <v>8298</v>
      </c>
    </row>
    <row r="1618" spans="2:13" x14ac:dyDescent="0.2">
      <c r="B1618">
        <v>10472</v>
      </c>
      <c r="C1618" t="s">
        <v>8270</v>
      </c>
      <c r="D1618" t="s">
        <v>8272</v>
      </c>
      <c r="E1618" s="225">
        <v>273.60000000000002</v>
      </c>
      <c r="F1618" t="s">
        <v>8388</v>
      </c>
      <c r="G1618" t="s">
        <v>8389</v>
      </c>
      <c r="H1618" t="s">
        <v>2434</v>
      </c>
      <c r="I1618" s="99">
        <v>43737</v>
      </c>
      <c r="J1618">
        <f>YEAR(I1618)</f>
        <v>2019</v>
      </c>
      <c r="K1618" s="99">
        <v>43744</v>
      </c>
      <c r="L1618" t="s">
        <v>8320</v>
      </c>
      <c r="M1618" t="s">
        <v>8321</v>
      </c>
    </row>
    <row r="1619" spans="2:13" x14ac:dyDescent="0.2">
      <c r="B1619">
        <v>10472</v>
      </c>
      <c r="C1619" t="s">
        <v>8245</v>
      </c>
      <c r="D1619" t="s">
        <v>8247</v>
      </c>
      <c r="E1619" s="225">
        <v>763.2</v>
      </c>
      <c r="F1619" t="s">
        <v>8388</v>
      </c>
      <c r="G1619" t="s">
        <v>8389</v>
      </c>
      <c r="H1619" t="s">
        <v>2434</v>
      </c>
      <c r="I1619" s="99">
        <v>43737</v>
      </c>
      <c r="J1619">
        <f>YEAR(I1619)</f>
        <v>2019</v>
      </c>
      <c r="K1619" s="99">
        <v>43744</v>
      </c>
      <c r="L1619" t="s">
        <v>8320</v>
      </c>
      <c r="M1619" t="s">
        <v>8321</v>
      </c>
    </row>
    <row r="1620" spans="2:13" x14ac:dyDescent="0.2">
      <c r="B1620">
        <v>10523</v>
      </c>
      <c r="C1620" t="s">
        <v>8260</v>
      </c>
      <c r="D1620" t="s">
        <v>8262</v>
      </c>
      <c r="E1620" s="225">
        <v>1093.5</v>
      </c>
      <c r="F1620" t="s">
        <v>8388</v>
      </c>
      <c r="G1620" t="s">
        <v>8389</v>
      </c>
      <c r="H1620" t="s">
        <v>2434</v>
      </c>
      <c r="I1620" s="99">
        <v>43787</v>
      </c>
      <c r="J1620">
        <f>YEAR(I1620)</f>
        <v>2019</v>
      </c>
      <c r="K1620" s="99">
        <v>43816</v>
      </c>
      <c r="L1620" t="s">
        <v>8158</v>
      </c>
      <c r="M1620" t="s">
        <v>861</v>
      </c>
    </row>
    <row r="1621" spans="2:13" x14ac:dyDescent="0.2">
      <c r="B1621">
        <v>10547</v>
      </c>
      <c r="C1621" t="s">
        <v>8287</v>
      </c>
      <c r="D1621" t="s">
        <v>8237</v>
      </c>
      <c r="E1621" s="225">
        <v>652.79999999999995</v>
      </c>
      <c r="F1621" t="s">
        <v>8388</v>
      </c>
      <c r="G1621" t="s">
        <v>8389</v>
      </c>
      <c r="H1621" t="s">
        <v>2434</v>
      </c>
      <c r="I1621" s="99">
        <v>43809</v>
      </c>
      <c r="J1621">
        <f>YEAR(I1621)</f>
        <v>2019</v>
      </c>
      <c r="K1621" s="99">
        <v>43819</v>
      </c>
      <c r="L1621" t="s">
        <v>8257</v>
      </c>
      <c r="M1621" t="s">
        <v>6984</v>
      </c>
    </row>
    <row r="1622" spans="2:13" x14ac:dyDescent="0.2">
      <c r="B1622">
        <v>10800</v>
      </c>
      <c r="C1622" t="s">
        <v>8242</v>
      </c>
      <c r="D1622" t="s">
        <v>8237</v>
      </c>
      <c r="E1622" s="225">
        <v>945</v>
      </c>
      <c r="F1622" t="s">
        <v>8388</v>
      </c>
      <c r="G1622" t="s">
        <v>8389</v>
      </c>
      <c r="H1622" t="s">
        <v>2434</v>
      </c>
      <c r="I1622" s="99">
        <v>44026</v>
      </c>
      <c r="J1622">
        <f>YEAR(I1622)</f>
        <v>2020</v>
      </c>
      <c r="K1622" s="99">
        <v>44036</v>
      </c>
      <c r="L1622" t="s">
        <v>8285</v>
      </c>
      <c r="M1622" t="s">
        <v>2317</v>
      </c>
    </row>
    <row r="1623" spans="2:13" x14ac:dyDescent="0.2">
      <c r="B1623">
        <v>10800</v>
      </c>
      <c r="C1623" t="s">
        <v>8245</v>
      </c>
      <c r="D1623" t="s">
        <v>8247</v>
      </c>
      <c r="E1623" s="225">
        <v>477</v>
      </c>
      <c r="F1623" t="s">
        <v>8388</v>
      </c>
      <c r="G1623" t="s">
        <v>8389</v>
      </c>
      <c r="H1623" t="s">
        <v>2434</v>
      </c>
      <c r="I1623" s="99">
        <v>44026</v>
      </c>
      <c r="J1623">
        <f>YEAR(I1623)</f>
        <v>2020</v>
      </c>
      <c r="K1623" s="99">
        <v>44036</v>
      </c>
      <c r="L1623" t="s">
        <v>8285</v>
      </c>
      <c r="M1623" t="s">
        <v>2317</v>
      </c>
    </row>
    <row r="1624" spans="2:13" x14ac:dyDescent="0.2">
      <c r="B1624">
        <v>10804</v>
      </c>
      <c r="C1624" t="s">
        <v>8390</v>
      </c>
      <c r="D1624" t="s">
        <v>8262</v>
      </c>
      <c r="E1624" s="225">
        <v>68</v>
      </c>
      <c r="F1624" t="s">
        <v>8388</v>
      </c>
      <c r="G1624" t="s">
        <v>8389</v>
      </c>
      <c r="H1624" t="s">
        <v>2434</v>
      </c>
      <c r="I1624" s="99">
        <v>44030</v>
      </c>
      <c r="J1624">
        <f>YEAR(I1624)</f>
        <v>2020</v>
      </c>
      <c r="K1624" s="99">
        <v>44038</v>
      </c>
      <c r="L1624" t="s">
        <v>8251</v>
      </c>
      <c r="M1624" t="s">
        <v>269</v>
      </c>
    </row>
    <row r="1625" spans="2:13" x14ac:dyDescent="0.2">
      <c r="B1625">
        <v>10804</v>
      </c>
      <c r="C1625" t="s">
        <v>8316</v>
      </c>
      <c r="D1625" t="s">
        <v>8247</v>
      </c>
      <c r="E1625" s="225">
        <v>1094.4000000000001</v>
      </c>
      <c r="F1625" t="s">
        <v>8388</v>
      </c>
      <c r="G1625" t="s">
        <v>8389</v>
      </c>
      <c r="H1625" t="s">
        <v>2434</v>
      </c>
      <c r="I1625" s="99">
        <v>44030</v>
      </c>
      <c r="J1625">
        <f>YEAR(I1625)</f>
        <v>2020</v>
      </c>
      <c r="K1625" s="99">
        <v>44038</v>
      </c>
      <c r="L1625" t="s">
        <v>8251</v>
      </c>
      <c r="M1625" t="s">
        <v>269</v>
      </c>
    </row>
    <row r="1626" spans="2:13" x14ac:dyDescent="0.2">
      <c r="B1626">
        <v>10869</v>
      </c>
      <c r="C1626" t="s">
        <v>8333</v>
      </c>
      <c r="D1626" t="s">
        <v>8272</v>
      </c>
      <c r="E1626" s="225">
        <v>720</v>
      </c>
      <c r="F1626" t="s">
        <v>8388</v>
      </c>
      <c r="G1626" t="s">
        <v>8389</v>
      </c>
      <c r="H1626" t="s">
        <v>2434</v>
      </c>
      <c r="I1626" s="99">
        <v>44065</v>
      </c>
      <c r="J1626">
        <f>YEAR(I1626)</f>
        <v>2020</v>
      </c>
      <c r="K1626" s="99">
        <v>44070</v>
      </c>
      <c r="L1626" t="s">
        <v>8241</v>
      </c>
      <c r="M1626" t="s">
        <v>6934</v>
      </c>
    </row>
    <row r="1627" spans="2:13" x14ac:dyDescent="0.2">
      <c r="B1627">
        <v>10869</v>
      </c>
      <c r="C1627" t="s">
        <v>8334</v>
      </c>
      <c r="D1627" t="s">
        <v>8262</v>
      </c>
      <c r="E1627" s="225">
        <v>250</v>
      </c>
      <c r="F1627" t="s">
        <v>8388</v>
      </c>
      <c r="G1627" t="s">
        <v>8389</v>
      </c>
      <c r="H1627" t="s">
        <v>2434</v>
      </c>
      <c r="I1627" s="99">
        <v>44065</v>
      </c>
      <c r="J1627">
        <f>YEAR(I1627)</f>
        <v>2020</v>
      </c>
      <c r="K1627" s="99">
        <v>44070</v>
      </c>
      <c r="L1627" t="s">
        <v>8241</v>
      </c>
      <c r="M1627" t="s">
        <v>6934</v>
      </c>
    </row>
    <row r="1628" spans="2:13" x14ac:dyDescent="0.2">
      <c r="B1628">
        <v>10869</v>
      </c>
      <c r="C1628" t="s">
        <v>8242</v>
      </c>
      <c r="D1628" t="s">
        <v>8237</v>
      </c>
      <c r="E1628" s="225">
        <v>210</v>
      </c>
      <c r="F1628" t="s">
        <v>8388</v>
      </c>
      <c r="G1628" t="s">
        <v>8389</v>
      </c>
      <c r="H1628" t="s">
        <v>2434</v>
      </c>
      <c r="I1628" s="99">
        <v>44065</v>
      </c>
      <c r="J1628">
        <f>YEAR(I1628)</f>
        <v>2020</v>
      </c>
      <c r="K1628" s="99">
        <v>44070</v>
      </c>
      <c r="L1628" t="s">
        <v>8241</v>
      </c>
      <c r="M1628" t="s">
        <v>6934</v>
      </c>
    </row>
    <row r="1629" spans="2:13" x14ac:dyDescent="0.2">
      <c r="B1629">
        <v>10869</v>
      </c>
      <c r="C1629" t="s">
        <v>8373</v>
      </c>
      <c r="D1629" t="s">
        <v>8244</v>
      </c>
      <c r="E1629" s="225">
        <v>450</v>
      </c>
      <c r="F1629" t="s">
        <v>8388</v>
      </c>
      <c r="G1629" t="s">
        <v>8389</v>
      </c>
      <c r="H1629" t="s">
        <v>2434</v>
      </c>
      <c r="I1629" s="99">
        <v>44065</v>
      </c>
      <c r="J1629">
        <f>YEAR(I1629)</f>
        <v>2020</v>
      </c>
      <c r="K1629" s="99">
        <v>44070</v>
      </c>
      <c r="L1629" t="s">
        <v>8241</v>
      </c>
      <c r="M1629" t="s">
        <v>6934</v>
      </c>
    </row>
    <row r="1630" spans="2:13" x14ac:dyDescent="0.2">
      <c r="B1630">
        <v>10341</v>
      </c>
      <c r="C1630" t="s">
        <v>8269</v>
      </c>
      <c r="D1630" t="s">
        <v>8237</v>
      </c>
      <c r="E1630" s="225">
        <v>16</v>
      </c>
      <c r="F1630" t="s">
        <v>8375</v>
      </c>
      <c r="G1630" t="s">
        <v>8376</v>
      </c>
      <c r="H1630" t="s">
        <v>8374</v>
      </c>
      <c r="I1630" s="99">
        <v>43603</v>
      </c>
      <c r="J1630">
        <f>YEAR(I1630)</f>
        <v>2019</v>
      </c>
      <c r="K1630" s="99">
        <v>43610</v>
      </c>
      <c r="L1630" t="s">
        <v>8158</v>
      </c>
      <c r="M1630" t="s">
        <v>861</v>
      </c>
    </row>
    <row r="1631" spans="2:13" x14ac:dyDescent="0.2">
      <c r="B1631">
        <v>10341</v>
      </c>
      <c r="C1631" t="s">
        <v>8281</v>
      </c>
      <c r="D1631" t="s">
        <v>8237</v>
      </c>
      <c r="E1631" s="225">
        <v>336.6</v>
      </c>
      <c r="F1631" t="s">
        <v>8375</v>
      </c>
      <c r="G1631" t="s">
        <v>8376</v>
      </c>
      <c r="H1631" t="s">
        <v>8374</v>
      </c>
      <c r="I1631" s="99">
        <v>43603</v>
      </c>
      <c r="J1631">
        <f>YEAR(I1631)</f>
        <v>2019</v>
      </c>
      <c r="K1631" s="99">
        <v>43610</v>
      </c>
      <c r="L1631" t="s">
        <v>8158</v>
      </c>
      <c r="M1631" t="s">
        <v>861</v>
      </c>
    </row>
    <row r="1632" spans="2:13" x14ac:dyDescent="0.2">
      <c r="B1632">
        <v>10417</v>
      </c>
      <c r="C1632" t="s">
        <v>8380</v>
      </c>
      <c r="D1632" t="s">
        <v>8272</v>
      </c>
      <c r="E1632" s="225">
        <v>10540</v>
      </c>
      <c r="F1632" t="s">
        <v>8375</v>
      </c>
      <c r="G1632" t="s">
        <v>8376</v>
      </c>
      <c r="H1632" t="s">
        <v>8374</v>
      </c>
      <c r="I1632" s="99">
        <v>43682</v>
      </c>
      <c r="J1632">
        <f>YEAR(I1632)</f>
        <v>2019</v>
      </c>
      <c r="K1632" s="99">
        <v>43694</v>
      </c>
      <c r="L1632" t="s">
        <v>8266</v>
      </c>
      <c r="M1632" t="s">
        <v>8267</v>
      </c>
    </row>
    <row r="1633" spans="2:13" x14ac:dyDescent="0.2">
      <c r="B1633">
        <v>10417</v>
      </c>
      <c r="C1633" t="s">
        <v>8397</v>
      </c>
      <c r="D1633" t="s">
        <v>8254</v>
      </c>
      <c r="E1633" s="225">
        <v>364</v>
      </c>
      <c r="F1633" t="s">
        <v>8375</v>
      </c>
      <c r="G1633" t="s">
        <v>8376</v>
      </c>
      <c r="H1633" t="s">
        <v>8374</v>
      </c>
      <c r="I1633" s="99">
        <v>43682</v>
      </c>
      <c r="J1633">
        <f>YEAR(I1633)</f>
        <v>2019</v>
      </c>
      <c r="K1633" s="99">
        <v>43694</v>
      </c>
      <c r="L1633" t="s">
        <v>8266</v>
      </c>
      <c r="M1633" t="s">
        <v>8267</v>
      </c>
    </row>
    <row r="1634" spans="2:13" x14ac:dyDescent="0.2">
      <c r="B1634">
        <v>10417</v>
      </c>
      <c r="C1634" t="s">
        <v>8334</v>
      </c>
      <c r="D1634" t="s">
        <v>8262</v>
      </c>
      <c r="E1634" s="225">
        <v>270</v>
      </c>
      <c r="F1634" t="s">
        <v>8375</v>
      </c>
      <c r="G1634" t="s">
        <v>8376</v>
      </c>
      <c r="H1634" t="s">
        <v>8374</v>
      </c>
      <c r="I1634" s="99">
        <v>43682</v>
      </c>
      <c r="J1634">
        <f>YEAR(I1634)</f>
        <v>2019</v>
      </c>
      <c r="K1634" s="99">
        <v>43694</v>
      </c>
      <c r="L1634" t="s">
        <v>8266</v>
      </c>
      <c r="M1634" t="s">
        <v>8267</v>
      </c>
    </row>
    <row r="1635" spans="2:13" x14ac:dyDescent="0.2">
      <c r="B1635">
        <v>10556</v>
      </c>
      <c r="C1635" t="s">
        <v>8235</v>
      </c>
      <c r="D1635" t="s">
        <v>8237</v>
      </c>
      <c r="E1635" s="225">
        <v>835.2</v>
      </c>
      <c r="F1635" t="s">
        <v>8375</v>
      </c>
      <c r="G1635" t="s">
        <v>8376</v>
      </c>
      <c r="H1635" t="s">
        <v>8374</v>
      </c>
      <c r="I1635" s="99">
        <v>43820</v>
      </c>
      <c r="J1635">
        <f>YEAR(I1635)</f>
        <v>2019</v>
      </c>
      <c r="K1635" s="99">
        <v>43830</v>
      </c>
      <c r="L1635" t="s">
        <v>8297</v>
      </c>
      <c r="M1635" t="s">
        <v>8298</v>
      </c>
    </row>
    <row r="1636" spans="2:13" x14ac:dyDescent="0.2">
      <c r="B1636">
        <v>10642</v>
      </c>
      <c r="C1636" t="s">
        <v>8409</v>
      </c>
      <c r="D1636" t="s">
        <v>8254</v>
      </c>
      <c r="E1636" s="225">
        <v>456</v>
      </c>
      <c r="F1636" t="s">
        <v>8375</v>
      </c>
      <c r="G1636" t="s">
        <v>8376</v>
      </c>
      <c r="H1636" t="s">
        <v>8374</v>
      </c>
      <c r="I1636" s="99">
        <v>43900</v>
      </c>
      <c r="J1636">
        <f>YEAR(I1636)</f>
        <v>2020</v>
      </c>
      <c r="K1636" s="99">
        <v>43914</v>
      </c>
      <c r="L1636" t="s">
        <v>8158</v>
      </c>
      <c r="M1636" t="s">
        <v>861</v>
      </c>
    </row>
    <row r="1637" spans="2:13" x14ac:dyDescent="0.2">
      <c r="B1637">
        <v>10642</v>
      </c>
      <c r="C1637" t="s">
        <v>8368</v>
      </c>
      <c r="D1637" t="s">
        <v>8262</v>
      </c>
      <c r="E1637" s="225">
        <v>240</v>
      </c>
      <c r="F1637" t="s">
        <v>8375</v>
      </c>
      <c r="G1637" t="s">
        <v>8376</v>
      </c>
      <c r="H1637" t="s">
        <v>8374</v>
      </c>
      <c r="I1637" s="99">
        <v>43900</v>
      </c>
      <c r="J1637">
        <f>YEAR(I1637)</f>
        <v>2020</v>
      </c>
      <c r="K1637" s="99">
        <v>43914</v>
      </c>
      <c r="L1637" t="s">
        <v>8158</v>
      </c>
      <c r="M1637" t="s">
        <v>861</v>
      </c>
    </row>
    <row r="1638" spans="2:13" x14ac:dyDescent="0.2">
      <c r="B1638">
        <v>10802</v>
      </c>
      <c r="C1638" t="s">
        <v>8291</v>
      </c>
      <c r="D1638" t="s">
        <v>8262</v>
      </c>
      <c r="E1638" s="225">
        <v>184.88</v>
      </c>
      <c r="F1638" t="s">
        <v>8375</v>
      </c>
      <c r="G1638" t="s">
        <v>8376</v>
      </c>
      <c r="H1638" t="s">
        <v>8374</v>
      </c>
      <c r="I1638" s="99">
        <v>44029</v>
      </c>
      <c r="J1638">
        <f>YEAR(I1638)</f>
        <v>2020</v>
      </c>
      <c r="K1638" s="99">
        <v>44033</v>
      </c>
      <c r="L1638" t="s">
        <v>8266</v>
      </c>
      <c r="M1638" t="s">
        <v>8267</v>
      </c>
    </row>
    <row r="1639" spans="2:13" x14ac:dyDescent="0.2">
      <c r="B1639">
        <v>10802</v>
      </c>
      <c r="C1639" t="s">
        <v>8245</v>
      </c>
      <c r="D1639" t="s">
        <v>8247</v>
      </c>
      <c r="E1639" s="225">
        <v>1192.5</v>
      </c>
      <c r="F1639" t="s">
        <v>8375</v>
      </c>
      <c r="G1639" t="s">
        <v>8376</v>
      </c>
      <c r="H1639" t="s">
        <v>8374</v>
      </c>
      <c r="I1639" s="99">
        <v>44029</v>
      </c>
      <c r="J1639">
        <f>YEAR(I1639)</f>
        <v>2020</v>
      </c>
      <c r="K1639" s="99">
        <v>44033</v>
      </c>
      <c r="L1639" t="s">
        <v>8266</v>
      </c>
      <c r="M1639" t="s">
        <v>8267</v>
      </c>
    </row>
    <row r="1640" spans="2:13" x14ac:dyDescent="0.2">
      <c r="B1640">
        <v>11074</v>
      </c>
      <c r="C1640" t="s">
        <v>8280</v>
      </c>
      <c r="D1640" t="s">
        <v>8262</v>
      </c>
      <c r="E1640" s="225">
        <v>232.08</v>
      </c>
      <c r="F1640" t="s">
        <v>8375</v>
      </c>
      <c r="G1640" t="s">
        <v>8376</v>
      </c>
      <c r="H1640" t="s">
        <v>8374</v>
      </c>
      <c r="I1640" s="99">
        <v>44156</v>
      </c>
      <c r="J1640">
        <f>YEAR(I1640)</f>
        <v>2020</v>
      </c>
      <c r="L1640" t="s">
        <v>8158</v>
      </c>
      <c r="M1640" t="s">
        <v>861</v>
      </c>
    </row>
    <row r="1641" spans="2:13" x14ac:dyDescent="0.2">
      <c r="B1641">
        <v>10738</v>
      </c>
      <c r="C1641" t="s">
        <v>8280</v>
      </c>
      <c r="D1641" t="s">
        <v>8262</v>
      </c>
      <c r="E1641" s="225">
        <v>52.35</v>
      </c>
      <c r="F1641" t="s">
        <v>8428</v>
      </c>
      <c r="G1641" t="s">
        <v>8429</v>
      </c>
      <c r="H1641" t="s">
        <v>8236</v>
      </c>
      <c r="I1641" s="99">
        <v>43982</v>
      </c>
      <c r="J1641">
        <f>YEAR(I1641)</f>
        <v>2020</v>
      </c>
      <c r="K1641" s="99">
        <v>43988</v>
      </c>
      <c r="L1641" t="s">
        <v>8297</v>
      </c>
      <c r="M1641" t="s">
        <v>8298</v>
      </c>
    </row>
    <row r="1642" spans="2:13" x14ac:dyDescent="0.2">
      <c r="B1642">
        <v>10907</v>
      </c>
      <c r="C1642" t="s">
        <v>8328</v>
      </c>
      <c r="D1642" t="s">
        <v>8272</v>
      </c>
      <c r="E1642" s="225">
        <v>108.5</v>
      </c>
      <c r="F1642" t="s">
        <v>8428</v>
      </c>
      <c r="G1642" t="s">
        <v>8429</v>
      </c>
      <c r="H1642" t="s">
        <v>8236</v>
      </c>
      <c r="I1642" s="99">
        <v>44086</v>
      </c>
      <c r="J1642">
        <f>YEAR(I1642)</f>
        <v>2020</v>
      </c>
      <c r="K1642" s="99">
        <v>44088</v>
      </c>
      <c r="L1642" t="s">
        <v>8251</v>
      </c>
      <c r="M1642" t="s">
        <v>269</v>
      </c>
    </row>
    <row r="1643" spans="2:13" x14ac:dyDescent="0.2">
      <c r="B1643">
        <v>10964</v>
      </c>
      <c r="C1643" t="s">
        <v>8380</v>
      </c>
      <c r="D1643" t="s">
        <v>8272</v>
      </c>
      <c r="E1643" s="225">
        <v>1317.5</v>
      </c>
      <c r="F1643" t="s">
        <v>8428</v>
      </c>
      <c r="G1643" t="s">
        <v>8429</v>
      </c>
      <c r="H1643" t="s">
        <v>8236</v>
      </c>
      <c r="I1643" s="99">
        <v>44109</v>
      </c>
      <c r="J1643">
        <f>YEAR(I1643)</f>
        <v>2020</v>
      </c>
      <c r="K1643" s="99">
        <v>44113</v>
      </c>
      <c r="L1643" t="s">
        <v>8257</v>
      </c>
      <c r="M1643" t="s">
        <v>6984</v>
      </c>
    </row>
    <row r="1644" spans="2:13" x14ac:dyDescent="0.2">
      <c r="B1644">
        <v>10964</v>
      </c>
      <c r="C1644" t="s">
        <v>8353</v>
      </c>
      <c r="D1644" t="s">
        <v>8237</v>
      </c>
      <c r="E1644" s="225">
        <v>360</v>
      </c>
      <c r="F1644" t="s">
        <v>8428</v>
      </c>
      <c r="G1644" t="s">
        <v>8429</v>
      </c>
      <c r="H1644" t="s">
        <v>8236</v>
      </c>
      <c r="I1644" s="99">
        <v>44109</v>
      </c>
      <c r="J1644">
        <f>YEAR(I1644)</f>
        <v>2020</v>
      </c>
      <c r="K1644" s="99">
        <v>44113</v>
      </c>
      <c r="L1644" t="s">
        <v>8257</v>
      </c>
      <c r="M1644" t="s">
        <v>6984</v>
      </c>
    </row>
    <row r="1645" spans="2:13" x14ac:dyDescent="0.2">
      <c r="B1645">
        <v>11043</v>
      </c>
      <c r="C1645" t="s">
        <v>8242</v>
      </c>
      <c r="D1645" t="s">
        <v>8237</v>
      </c>
      <c r="E1645" s="225">
        <v>210</v>
      </c>
      <c r="F1645" t="s">
        <v>8428</v>
      </c>
      <c r="G1645" t="s">
        <v>8429</v>
      </c>
      <c r="H1645" t="s">
        <v>8236</v>
      </c>
      <c r="I1645" s="99">
        <v>44142</v>
      </c>
      <c r="J1645">
        <f>YEAR(I1645)</f>
        <v>2020</v>
      </c>
      <c r="K1645" s="99">
        <v>44149</v>
      </c>
      <c r="L1645" t="s">
        <v>8241</v>
      </c>
      <c r="M1645" t="s">
        <v>6934</v>
      </c>
    </row>
    <row r="1646" spans="2:13" x14ac:dyDescent="0.2">
      <c r="B1646">
        <v>11309</v>
      </c>
      <c r="C1646" t="s">
        <v>8280</v>
      </c>
      <c r="D1646" t="s">
        <v>8262</v>
      </c>
      <c r="E1646" s="225">
        <v>52.35</v>
      </c>
      <c r="F1646" t="s">
        <v>8428</v>
      </c>
      <c r="G1646" t="s">
        <v>8429</v>
      </c>
      <c r="H1646" t="s">
        <v>8236</v>
      </c>
      <c r="I1646" s="99">
        <v>44182</v>
      </c>
      <c r="J1646">
        <f>YEAR(I1646)</f>
        <v>2020</v>
      </c>
      <c r="K1646" s="99">
        <v>44188</v>
      </c>
      <c r="L1646" t="s">
        <v>8297</v>
      </c>
      <c r="M1646" t="s">
        <v>8298</v>
      </c>
    </row>
    <row r="1647" spans="2:13" x14ac:dyDescent="0.2">
      <c r="B1647">
        <v>11387</v>
      </c>
      <c r="C1647" t="s">
        <v>8328</v>
      </c>
      <c r="D1647" t="s">
        <v>8272</v>
      </c>
      <c r="E1647" s="225">
        <v>108.5</v>
      </c>
      <c r="F1647" t="s">
        <v>8428</v>
      </c>
      <c r="G1647" t="s">
        <v>8429</v>
      </c>
      <c r="H1647" t="s">
        <v>8236</v>
      </c>
      <c r="I1647" s="99">
        <v>44286</v>
      </c>
      <c r="J1647">
        <f>YEAR(I1647)</f>
        <v>2021</v>
      </c>
      <c r="K1647" s="99">
        <v>44288</v>
      </c>
      <c r="L1647" t="s">
        <v>8251</v>
      </c>
      <c r="M1647" t="s">
        <v>269</v>
      </c>
    </row>
    <row r="1648" spans="2:13" x14ac:dyDescent="0.2">
      <c r="B1648">
        <v>11412</v>
      </c>
      <c r="C1648" t="s">
        <v>8380</v>
      </c>
      <c r="D1648" t="s">
        <v>8272</v>
      </c>
      <c r="E1648" s="225">
        <v>1317.5</v>
      </c>
      <c r="F1648" t="s">
        <v>8428</v>
      </c>
      <c r="G1648" t="s">
        <v>8429</v>
      </c>
      <c r="H1648" t="s">
        <v>8236</v>
      </c>
      <c r="I1648" s="99">
        <v>44309</v>
      </c>
      <c r="J1648">
        <f>YEAR(I1648)</f>
        <v>2021</v>
      </c>
      <c r="K1648" s="99">
        <v>44313</v>
      </c>
      <c r="L1648" t="s">
        <v>8257</v>
      </c>
      <c r="M1648" t="s">
        <v>6984</v>
      </c>
    </row>
    <row r="1649" spans="2:13" x14ac:dyDescent="0.2">
      <c r="B1649">
        <v>11412</v>
      </c>
      <c r="C1649" t="s">
        <v>8353</v>
      </c>
      <c r="D1649" t="s">
        <v>8237</v>
      </c>
      <c r="E1649" s="225">
        <v>360</v>
      </c>
      <c r="F1649" t="s">
        <v>8428</v>
      </c>
      <c r="G1649" t="s">
        <v>8429</v>
      </c>
      <c r="H1649" t="s">
        <v>8236</v>
      </c>
      <c r="I1649" s="99">
        <v>44309</v>
      </c>
      <c r="J1649">
        <f>YEAR(I1649)</f>
        <v>2021</v>
      </c>
      <c r="K1649" s="99">
        <v>44313</v>
      </c>
      <c r="L1649" t="s">
        <v>8257</v>
      </c>
      <c r="M1649" t="s">
        <v>6984</v>
      </c>
    </row>
    <row r="1650" spans="2:13" x14ac:dyDescent="0.2">
      <c r="B1650">
        <v>11449</v>
      </c>
      <c r="C1650" t="s">
        <v>8242</v>
      </c>
      <c r="D1650" t="s">
        <v>8237</v>
      </c>
      <c r="E1650" s="225">
        <v>210</v>
      </c>
      <c r="F1650" t="s">
        <v>8428</v>
      </c>
      <c r="G1650" t="s">
        <v>8429</v>
      </c>
      <c r="H1650" t="s">
        <v>8236</v>
      </c>
      <c r="I1650" s="99">
        <v>44342</v>
      </c>
      <c r="J1650">
        <f>YEAR(I1650)</f>
        <v>2021</v>
      </c>
      <c r="K1650" s="99">
        <v>44349</v>
      </c>
      <c r="L1650" t="s">
        <v>8241</v>
      </c>
      <c r="M1650" t="s">
        <v>6934</v>
      </c>
    </row>
    <row r="1651" spans="2:13" x14ac:dyDescent="0.2">
      <c r="B1651">
        <v>10271</v>
      </c>
      <c r="C1651" t="s">
        <v>8269</v>
      </c>
      <c r="D1651" t="s">
        <v>8237</v>
      </c>
      <c r="E1651" s="225">
        <v>48</v>
      </c>
      <c r="F1651" t="s">
        <v>8744</v>
      </c>
      <c r="G1651" t="s">
        <v>8743</v>
      </c>
      <c r="H1651" t="s">
        <v>8701</v>
      </c>
      <c r="I1651" s="99">
        <v>43514</v>
      </c>
      <c r="J1651">
        <f>YEAR(I1651)</f>
        <v>2019</v>
      </c>
      <c r="K1651" s="99">
        <v>43543</v>
      </c>
      <c r="L1651" t="s">
        <v>8251</v>
      </c>
      <c r="M1651" t="s">
        <v>269</v>
      </c>
    </row>
    <row r="1652" spans="2:13" x14ac:dyDescent="0.2">
      <c r="B1652">
        <v>10329</v>
      </c>
      <c r="C1652" t="s">
        <v>8380</v>
      </c>
      <c r="D1652" t="s">
        <v>8272</v>
      </c>
      <c r="E1652" s="225">
        <v>4005.2</v>
      </c>
      <c r="F1652" t="s">
        <v>8744</v>
      </c>
      <c r="G1652" t="s">
        <v>8743</v>
      </c>
      <c r="H1652" t="s">
        <v>8701</v>
      </c>
      <c r="I1652" s="99">
        <v>43589</v>
      </c>
      <c r="J1652">
        <f>YEAR(I1652)</f>
        <v>2019</v>
      </c>
      <c r="K1652" s="99">
        <v>43597</v>
      </c>
      <c r="L1652" t="s">
        <v>8266</v>
      </c>
      <c r="M1652" t="s">
        <v>8267</v>
      </c>
    </row>
    <row r="1653" spans="2:13" x14ac:dyDescent="0.2">
      <c r="B1653">
        <v>10329</v>
      </c>
      <c r="C1653" t="s">
        <v>8327</v>
      </c>
      <c r="D1653" t="s">
        <v>8262</v>
      </c>
      <c r="E1653" s="225">
        <v>69.349999999999994</v>
      </c>
      <c r="F1653" t="s">
        <v>8744</v>
      </c>
      <c r="G1653" t="s">
        <v>8743</v>
      </c>
      <c r="H1653" t="s">
        <v>8701</v>
      </c>
      <c r="I1653" s="99">
        <v>43589</v>
      </c>
      <c r="J1653">
        <f>YEAR(I1653)</f>
        <v>2019</v>
      </c>
      <c r="K1653" s="99">
        <v>43597</v>
      </c>
      <c r="L1653" t="s">
        <v>8266</v>
      </c>
      <c r="M1653" t="s">
        <v>8267</v>
      </c>
    </row>
    <row r="1654" spans="2:13" x14ac:dyDescent="0.2">
      <c r="B1654">
        <v>10329</v>
      </c>
      <c r="C1654" t="s">
        <v>8341</v>
      </c>
      <c r="D1654" t="s">
        <v>8244</v>
      </c>
      <c r="E1654" s="225">
        <v>346.56</v>
      </c>
      <c r="F1654" t="s">
        <v>8744</v>
      </c>
      <c r="G1654" t="s">
        <v>8743</v>
      </c>
      <c r="H1654" t="s">
        <v>8701</v>
      </c>
      <c r="I1654" s="99">
        <v>43589</v>
      </c>
      <c r="J1654">
        <f>YEAR(I1654)</f>
        <v>2019</v>
      </c>
      <c r="K1654" s="99">
        <v>43597</v>
      </c>
      <c r="L1654" t="s">
        <v>8266</v>
      </c>
      <c r="M1654" t="s">
        <v>8267</v>
      </c>
    </row>
    <row r="1655" spans="2:13" x14ac:dyDescent="0.2">
      <c r="B1655">
        <v>10369</v>
      </c>
      <c r="C1655" t="s">
        <v>8341</v>
      </c>
      <c r="D1655" t="s">
        <v>8244</v>
      </c>
      <c r="E1655" s="225">
        <v>410.4</v>
      </c>
      <c r="F1655" t="s">
        <v>8744</v>
      </c>
      <c r="G1655" t="s">
        <v>8743</v>
      </c>
      <c r="H1655" t="s">
        <v>8701</v>
      </c>
      <c r="I1655" s="99">
        <v>43637</v>
      </c>
      <c r="J1655">
        <f>YEAR(I1655)</f>
        <v>2019</v>
      </c>
      <c r="K1655" s="99">
        <v>43644</v>
      </c>
      <c r="L1655" t="s">
        <v>8320</v>
      </c>
      <c r="M1655" t="s">
        <v>8321</v>
      </c>
    </row>
    <row r="1656" spans="2:13" x14ac:dyDescent="0.2">
      <c r="B1656">
        <v>10385</v>
      </c>
      <c r="C1656" t="s">
        <v>8334</v>
      </c>
      <c r="D1656" t="s">
        <v>8262</v>
      </c>
      <c r="E1656" s="225">
        <v>64</v>
      </c>
      <c r="F1656" t="s">
        <v>8744</v>
      </c>
      <c r="G1656" t="s">
        <v>8743</v>
      </c>
      <c r="H1656" t="s">
        <v>8701</v>
      </c>
      <c r="I1656" s="99">
        <v>43652</v>
      </c>
      <c r="J1656">
        <f>YEAR(I1656)</f>
        <v>2019</v>
      </c>
      <c r="K1656" s="99">
        <v>43658</v>
      </c>
      <c r="L1656" t="s">
        <v>8285</v>
      </c>
      <c r="M1656" t="s">
        <v>2317</v>
      </c>
    </row>
    <row r="1657" spans="2:13" x14ac:dyDescent="0.2">
      <c r="B1657">
        <v>10385</v>
      </c>
      <c r="C1657" t="s">
        <v>8268</v>
      </c>
      <c r="D1657" t="s">
        <v>8237</v>
      </c>
      <c r="E1657" s="225">
        <v>435.2</v>
      </c>
      <c r="F1657" t="s">
        <v>8744</v>
      </c>
      <c r="G1657" t="s">
        <v>8743</v>
      </c>
      <c r="H1657" t="s">
        <v>8701</v>
      </c>
      <c r="I1657" s="99">
        <v>43652</v>
      </c>
      <c r="J1657">
        <f>YEAR(I1657)</f>
        <v>2019</v>
      </c>
      <c r="K1657" s="99">
        <v>43658</v>
      </c>
      <c r="L1657" t="s">
        <v>8285</v>
      </c>
      <c r="M1657" t="s">
        <v>2317</v>
      </c>
    </row>
    <row r="1658" spans="2:13" x14ac:dyDescent="0.2">
      <c r="B1658">
        <v>10385</v>
      </c>
      <c r="C1658" t="s">
        <v>8415</v>
      </c>
      <c r="D1658" t="s">
        <v>8247</v>
      </c>
      <c r="E1658" s="225">
        <v>192</v>
      </c>
      <c r="F1658" t="s">
        <v>8744</v>
      </c>
      <c r="G1658" t="s">
        <v>8743</v>
      </c>
      <c r="H1658" t="s">
        <v>8701</v>
      </c>
      <c r="I1658" s="99">
        <v>43652</v>
      </c>
      <c r="J1658">
        <f>YEAR(I1658)</f>
        <v>2019</v>
      </c>
      <c r="K1658" s="99">
        <v>43658</v>
      </c>
      <c r="L1658" t="s">
        <v>8285</v>
      </c>
      <c r="M1658" t="s">
        <v>2317</v>
      </c>
    </row>
    <row r="1659" spans="2:13" x14ac:dyDescent="0.2">
      <c r="B1659">
        <v>10432</v>
      </c>
      <c r="C1659" t="s">
        <v>8372</v>
      </c>
      <c r="D1659" t="s">
        <v>8262</v>
      </c>
      <c r="E1659" s="225">
        <v>249</v>
      </c>
      <c r="F1659" t="s">
        <v>8744</v>
      </c>
      <c r="G1659" t="s">
        <v>8743</v>
      </c>
      <c r="H1659" t="s">
        <v>8701</v>
      </c>
      <c r="I1659" s="99">
        <v>43697</v>
      </c>
      <c r="J1659">
        <f>YEAR(I1659)</f>
        <v>2019</v>
      </c>
      <c r="K1659" s="99">
        <v>43704</v>
      </c>
      <c r="L1659" t="s">
        <v>8257</v>
      </c>
      <c r="M1659" t="s">
        <v>6984</v>
      </c>
    </row>
    <row r="1660" spans="2:13" x14ac:dyDescent="0.2">
      <c r="B1660">
        <v>10756</v>
      </c>
      <c r="C1660" t="s">
        <v>8334</v>
      </c>
      <c r="D1660" t="s">
        <v>8262</v>
      </c>
      <c r="E1660" s="225">
        <v>60</v>
      </c>
      <c r="F1660" t="s">
        <v>8744</v>
      </c>
      <c r="G1660" t="s">
        <v>8743</v>
      </c>
      <c r="H1660" t="s">
        <v>8701</v>
      </c>
      <c r="I1660" s="99">
        <v>43997</v>
      </c>
      <c r="J1660">
        <f>YEAR(I1660)</f>
        <v>2020</v>
      </c>
      <c r="K1660" s="99">
        <v>44002</v>
      </c>
      <c r="L1660" t="s">
        <v>8320</v>
      </c>
      <c r="M1660" t="s">
        <v>8321</v>
      </c>
    </row>
    <row r="1661" spans="2:13" x14ac:dyDescent="0.2">
      <c r="B1661">
        <v>10756</v>
      </c>
      <c r="C1661" t="s">
        <v>8353</v>
      </c>
      <c r="D1661" t="s">
        <v>8237</v>
      </c>
      <c r="E1661" s="225">
        <v>576</v>
      </c>
      <c r="F1661" t="s">
        <v>8744</v>
      </c>
      <c r="G1661" t="s">
        <v>8743</v>
      </c>
      <c r="H1661" t="s">
        <v>8701</v>
      </c>
      <c r="I1661" s="99">
        <v>43997</v>
      </c>
      <c r="J1661">
        <f>YEAR(I1661)</f>
        <v>2020</v>
      </c>
      <c r="K1661" s="99">
        <v>44002</v>
      </c>
      <c r="L1661" t="s">
        <v>8320</v>
      </c>
      <c r="M1661" t="s">
        <v>8321</v>
      </c>
    </row>
    <row r="1662" spans="2:13" x14ac:dyDescent="0.2">
      <c r="B1662">
        <v>10821</v>
      </c>
      <c r="C1662" t="s">
        <v>8323</v>
      </c>
      <c r="D1662" t="s">
        <v>8272</v>
      </c>
      <c r="E1662" s="225">
        <v>360</v>
      </c>
      <c r="F1662" t="s">
        <v>8744</v>
      </c>
      <c r="G1662" t="s">
        <v>8743</v>
      </c>
      <c r="H1662" t="s">
        <v>8701</v>
      </c>
      <c r="I1662" s="99">
        <v>44039</v>
      </c>
      <c r="J1662">
        <f>YEAR(I1662)</f>
        <v>2020</v>
      </c>
      <c r="K1662" s="99">
        <v>44046</v>
      </c>
      <c r="L1662" t="s">
        <v>8285</v>
      </c>
      <c r="M1662" t="s">
        <v>2317</v>
      </c>
    </row>
    <row r="1663" spans="2:13" x14ac:dyDescent="0.2">
      <c r="B1663">
        <v>10821</v>
      </c>
      <c r="C1663" t="s">
        <v>8245</v>
      </c>
      <c r="D1663" t="s">
        <v>8247</v>
      </c>
      <c r="E1663" s="225">
        <v>318</v>
      </c>
      <c r="F1663" t="s">
        <v>8744</v>
      </c>
      <c r="G1663" t="s">
        <v>8743</v>
      </c>
      <c r="H1663" t="s">
        <v>8701</v>
      </c>
      <c r="I1663" s="99">
        <v>44039</v>
      </c>
      <c r="J1663">
        <f>YEAR(I1663)</f>
        <v>2020</v>
      </c>
      <c r="K1663" s="99">
        <v>44046</v>
      </c>
      <c r="L1663" t="s">
        <v>8285</v>
      </c>
      <c r="M1663" t="s">
        <v>2317</v>
      </c>
    </row>
    <row r="1664" spans="2:13" x14ac:dyDescent="0.2">
      <c r="B1664">
        <v>10974</v>
      </c>
      <c r="C1664" t="s">
        <v>8317</v>
      </c>
      <c r="D1664" t="s">
        <v>8254</v>
      </c>
      <c r="E1664" s="225">
        <v>439</v>
      </c>
      <c r="F1664" t="s">
        <v>8744</v>
      </c>
      <c r="G1664" t="s">
        <v>8743</v>
      </c>
      <c r="H1664" t="s">
        <v>8701</v>
      </c>
      <c r="I1664" s="99">
        <v>44114</v>
      </c>
      <c r="J1664">
        <f>YEAR(I1664)</f>
        <v>2020</v>
      </c>
      <c r="K1664" s="99">
        <v>44123</v>
      </c>
      <c r="L1664" t="s">
        <v>8257</v>
      </c>
      <c r="M1664" t="s">
        <v>6984</v>
      </c>
    </row>
    <row r="1665" spans="2:13" x14ac:dyDescent="0.2">
      <c r="B1665">
        <v>10252</v>
      </c>
      <c r="C1665" t="s">
        <v>8260</v>
      </c>
      <c r="D1665" t="s">
        <v>8262</v>
      </c>
      <c r="E1665" s="225">
        <v>2462.4</v>
      </c>
      <c r="F1665" t="s">
        <v>8263</v>
      </c>
      <c r="G1665" t="s">
        <v>8264</v>
      </c>
      <c r="H1665" t="s">
        <v>8261</v>
      </c>
      <c r="I1665" s="99">
        <v>43491</v>
      </c>
      <c r="J1665">
        <f>YEAR(I1665)</f>
        <v>2019</v>
      </c>
      <c r="K1665" s="99">
        <v>43493</v>
      </c>
      <c r="L1665" t="s">
        <v>8266</v>
      </c>
      <c r="M1665" t="s">
        <v>8267</v>
      </c>
    </row>
    <row r="1666" spans="2:13" x14ac:dyDescent="0.2">
      <c r="B1666">
        <v>10252</v>
      </c>
      <c r="C1666" t="s">
        <v>8269</v>
      </c>
      <c r="D1666" t="s">
        <v>8237</v>
      </c>
      <c r="E1666" s="225">
        <v>47.5</v>
      </c>
      <c r="F1666" t="s">
        <v>8263</v>
      </c>
      <c r="G1666" t="s">
        <v>8264</v>
      </c>
      <c r="H1666" t="s">
        <v>8261</v>
      </c>
      <c r="I1666" s="99">
        <v>43491</v>
      </c>
      <c r="J1666">
        <f>YEAR(I1666)</f>
        <v>2019</v>
      </c>
      <c r="K1666" s="99">
        <v>43493</v>
      </c>
      <c r="L1666" t="s">
        <v>8266</v>
      </c>
      <c r="M1666" t="s">
        <v>8267</v>
      </c>
    </row>
    <row r="1667" spans="2:13" x14ac:dyDescent="0.2">
      <c r="B1667">
        <v>10252</v>
      </c>
      <c r="C1667" t="s">
        <v>8268</v>
      </c>
      <c r="D1667" t="s">
        <v>8237</v>
      </c>
      <c r="E1667" s="225">
        <v>1088</v>
      </c>
      <c r="F1667" t="s">
        <v>8263</v>
      </c>
      <c r="G1667" t="s">
        <v>8264</v>
      </c>
      <c r="H1667" t="s">
        <v>8261</v>
      </c>
      <c r="I1667" s="99">
        <v>43491</v>
      </c>
      <c r="J1667">
        <f>YEAR(I1667)</f>
        <v>2019</v>
      </c>
      <c r="K1667" s="99">
        <v>43493</v>
      </c>
      <c r="L1667" t="s">
        <v>8266</v>
      </c>
      <c r="M1667" t="s">
        <v>8267</v>
      </c>
    </row>
    <row r="1668" spans="2:13" x14ac:dyDescent="0.2">
      <c r="B1668">
        <v>10302</v>
      </c>
      <c r="C1668" t="s">
        <v>8306</v>
      </c>
      <c r="D1668" t="s">
        <v>8272</v>
      </c>
      <c r="E1668" s="225">
        <v>441.6</v>
      </c>
      <c r="F1668" t="s">
        <v>8263</v>
      </c>
      <c r="G1668" t="s">
        <v>8264</v>
      </c>
      <c r="H1668" t="s">
        <v>8261</v>
      </c>
      <c r="I1668" s="99">
        <v>43554</v>
      </c>
      <c r="J1668">
        <f>YEAR(I1668)</f>
        <v>2019</v>
      </c>
      <c r="K1668" s="99">
        <v>43583</v>
      </c>
      <c r="L1668" t="s">
        <v>8266</v>
      </c>
      <c r="M1668" t="s">
        <v>8267</v>
      </c>
    </row>
    <row r="1669" spans="2:13" x14ac:dyDescent="0.2">
      <c r="B1669">
        <v>10302</v>
      </c>
      <c r="C1669" t="s">
        <v>8316</v>
      </c>
      <c r="D1669" t="s">
        <v>8247</v>
      </c>
      <c r="E1669" s="225">
        <v>1019.2</v>
      </c>
      <c r="F1669" t="s">
        <v>8263</v>
      </c>
      <c r="G1669" t="s">
        <v>8264</v>
      </c>
      <c r="H1669" t="s">
        <v>8261</v>
      </c>
      <c r="I1669" s="99">
        <v>43554</v>
      </c>
      <c r="J1669">
        <f>YEAR(I1669)</f>
        <v>2019</v>
      </c>
      <c r="K1669" s="99">
        <v>43583</v>
      </c>
      <c r="L1669" t="s">
        <v>8266</v>
      </c>
      <c r="M1669" t="s">
        <v>8267</v>
      </c>
    </row>
    <row r="1670" spans="2:13" x14ac:dyDescent="0.2">
      <c r="B1670">
        <v>10458</v>
      </c>
      <c r="C1670" t="s">
        <v>8306</v>
      </c>
      <c r="D1670" t="s">
        <v>8272</v>
      </c>
      <c r="E1670" s="225">
        <v>736</v>
      </c>
      <c r="F1670" t="s">
        <v>8263</v>
      </c>
      <c r="G1670" t="s">
        <v>8264</v>
      </c>
      <c r="H1670" t="s">
        <v>8261</v>
      </c>
      <c r="I1670" s="99">
        <v>43723</v>
      </c>
      <c r="J1670">
        <f>YEAR(I1670)</f>
        <v>2019</v>
      </c>
      <c r="K1670" s="99">
        <v>43729</v>
      </c>
      <c r="L1670" t="s">
        <v>8158</v>
      </c>
      <c r="M1670" t="s">
        <v>861</v>
      </c>
    </row>
    <row r="1671" spans="2:13" x14ac:dyDescent="0.2">
      <c r="B1671">
        <v>10458</v>
      </c>
      <c r="C1671" t="s">
        <v>8372</v>
      </c>
      <c r="D1671" t="s">
        <v>8262</v>
      </c>
      <c r="E1671" s="225">
        <v>747</v>
      </c>
      <c r="F1671" t="s">
        <v>8263</v>
      </c>
      <c r="G1671" t="s">
        <v>8264</v>
      </c>
      <c r="H1671" t="s">
        <v>8261</v>
      </c>
      <c r="I1671" s="99">
        <v>43723</v>
      </c>
      <c r="J1671">
        <f>YEAR(I1671)</f>
        <v>2019</v>
      </c>
      <c r="K1671" s="99">
        <v>43729</v>
      </c>
      <c r="L1671" t="s">
        <v>8158</v>
      </c>
      <c r="M1671" t="s">
        <v>861</v>
      </c>
    </row>
    <row r="1672" spans="2:13" x14ac:dyDescent="0.2">
      <c r="B1672">
        <v>10458</v>
      </c>
      <c r="C1672" t="s">
        <v>8310</v>
      </c>
      <c r="D1672" t="s">
        <v>8237</v>
      </c>
      <c r="E1672" s="225">
        <v>860</v>
      </c>
      <c r="F1672" t="s">
        <v>8263</v>
      </c>
      <c r="G1672" t="s">
        <v>8264</v>
      </c>
      <c r="H1672" t="s">
        <v>8261</v>
      </c>
      <c r="I1672" s="99">
        <v>43723</v>
      </c>
      <c r="J1672">
        <f>YEAR(I1672)</f>
        <v>2019</v>
      </c>
      <c r="K1672" s="99">
        <v>43729</v>
      </c>
      <c r="L1672" t="s">
        <v>8158</v>
      </c>
      <c r="M1672" t="s">
        <v>861</v>
      </c>
    </row>
    <row r="1673" spans="2:13" x14ac:dyDescent="0.2">
      <c r="B1673">
        <v>10458</v>
      </c>
      <c r="C1673" t="s">
        <v>8341</v>
      </c>
      <c r="D1673" t="s">
        <v>8244</v>
      </c>
      <c r="E1673" s="225">
        <v>456</v>
      </c>
      <c r="F1673" t="s">
        <v>8263</v>
      </c>
      <c r="G1673" t="s">
        <v>8264</v>
      </c>
      <c r="H1673" t="s">
        <v>8261</v>
      </c>
      <c r="I1673" s="99">
        <v>43723</v>
      </c>
      <c r="J1673">
        <f>YEAR(I1673)</f>
        <v>2019</v>
      </c>
      <c r="K1673" s="99">
        <v>43729</v>
      </c>
      <c r="L1673" t="s">
        <v>8158</v>
      </c>
      <c r="M1673" t="s">
        <v>861</v>
      </c>
    </row>
    <row r="1674" spans="2:13" x14ac:dyDescent="0.2">
      <c r="B1674">
        <v>10458</v>
      </c>
      <c r="C1674" t="s">
        <v>8316</v>
      </c>
      <c r="D1674" t="s">
        <v>8247</v>
      </c>
      <c r="E1674" s="225">
        <v>1092</v>
      </c>
      <c r="F1674" t="s">
        <v>8263</v>
      </c>
      <c r="G1674" t="s">
        <v>8264</v>
      </c>
      <c r="H1674" t="s">
        <v>8261</v>
      </c>
      <c r="I1674" s="99">
        <v>43723</v>
      </c>
      <c r="J1674">
        <f>YEAR(I1674)</f>
        <v>2019</v>
      </c>
      <c r="K1674" s="99">
        <v>43729</v>
      </c>
      <c r="L1674" t="s">
        <v>8158</v>
      </c>
      <c r="M1674" t="s">
        <v>861</v>
      </c>
    </row>
    <row r="1675" spans="2:13" x14ac:dyDescent="0.2">
      <c r="B1675">
        <v>10463</v>
      </c>
      <c r="C1675" t="s">
        <v>8327</v>
      </c>
      <c r="D1675" t="s">
        <v>8262</v>
      </c>
      <c r="E1675" s="225">
        <v>153.30000000000001</v>
      </c>
      <c r="F1675" t="s">
        <v>8263</v>
      </c>
      <c r="G1675" t="s">
        <v>8264</v>
      </c>
      <c r="H1675" t="s">
        <v>8261</v>
      </c>
      <c r="I1675" s="99">
        <v>43729</v>
      </c>
      <c r="J1675">
        <f>YEAR(I1675)</f>
        <v>2019</v>
      </c>
      <c r="K1675" s="99">
        <v>43731</v>
      </c>
      <c r="L1675" t="s">
        <v>8241</v>
      </c>
      <c r="M1675" t="s">
        <v>6934</v>
      </c>
    </row>
    <row r="1676" spans="2:13" x14ac:dyDescent="0.2">
      <c r="B1676">
        <v>10463</v>
      </c>
      <c r="C1676" t="s">
        <v>8243</v>
      </c>
      <c r="D1676" t="s">
        <v>8244</v>
      </c>
      <c r="E1676" s="225">
        <v>560</v>
      </c>
      <c r="F1676" t="s">
        <v>8263</v>
      </c>
      <c r="G1676" t="s">
        <v>8264</v>
      </c>
      <c r="H1676" t="s">
        <v>8261</v>
      </c>
      <c r="I1676" s="99">
        <v>43729</v>
      </c>
      <c r="J1676">
        <f>YEAR(I1676)</f>
        <v>2019</v>
      </c>
      <c r="K1676" s="99">
        <v>43731</v>
      </c>
      <c r="L1676" t="s">
        <v>8241</v>
      </c>
      <c r="M1676" t="s">
        <v>6934</v>
      </c>
    </row>
    <row r="1677" spans="2:13" x14ac:dyDescent="0.2">
      <c r="B1677">
        <v>10475</v>
      </c>
      <c r="C1677" t="s">
        <v>8303</v>
      </c>
      <c r="D1677" t="s">
        <v>8272</v>
      </c>
      <c r="E1677" s="225">
        <v>514.08000000000004</v>
      </c>
      <c r="F1677" t="s">
        <v>8263</v>
      </c>
      <c r="G1677" t="s">
        <v>8264</v>
      </c>
      <c r="H1677" t="s">
        <v>8261</v>
      </c>
      <c r="I1677" s="99">
        <v>43739</v>
      </c>
      <c r="J1677">
        <f>YEAR(I1677)</f>
        <v>2019</v>
      </c>
      <c r="K1677" s="99">
        <v>43760</v>
      </c>
      <c r="L1677" t="s">
        <v>8279</v>
      </c>
      <c r="M1677" t="s">
        <v>710</v>
      </c>
    </row>
    <row r="1678" spans="2:13" x14ac:dyDescent="0.2">
      <c r="B1678">
        <v>10475</v>
      </c>
      <c r="C1678" t="s">
        <v>8348</v>
      </c>
      <c r="D1678" t="s">
        <v>8254</v>
      </c>
      <c r="E1678" s="225">
        <v>693.6</v>
      </c>
      <c r="F1678" t="s">
        <v>8263</v>
      </c>
      <c r="G1678" t="s">
        <v>8264</v>
      </c>
      <c r="H1678" t="s">
        <v>8261</v>
      </c>
      <c r="I1678" s="99">
        <v>43739</v>
      </c>
      <c r="J1678">
        <f>YEAR(I1678)</f>
        <v>2019</v>
      </c>
      <c r="K1678" s="99">
        <v>43760</v>
      </c>
      <c r="L1678" t="s">
        <v>8279</v>
      </c>
      <c r="M1678" t="s">
        <v>710</v>
      </c>
    </row>
    <row r="1679" spans="2:13" x14ac:dyDescent="0.2">
      <c r="B1679">
        <v>10475</v>
      </c>
      <c r="C1679" t="s">
        <v>8309</v>
      </c>
      <c r="D1679" t="s">
        <v>8237</v>
      </c>
      <c r="E1679" s="225">
        <v>297.5</v>
      </c>
      <c r="F1679" t="s">
        <v>8263</v>
      </c>
      <c r="G1679" t="s">
        <v>8264</v>
      </c>
      <c r="H1679" t="s">
        <v>8261</v>
      </c>
      <c r="I1679" s="99">
        <v>43739</v>
      </c>
      <c r="J1679">
        <f>YEAR(I1679)</f>
        <v>2019</v>
      </c>
      <c r="K1679" s="99">
        <v>43760</v>
      </c>
      <c r="L1679" t="s">
        <v>8279</v>
      </c>
      <c r="M1679" t="s">
        <v>710</v>
      </c>
    </row>
    <row r="1680" spans="2:13" x14ac:dyDescent="0.2">
      <c r="B1680">
        <v>10767</v>
      </c>
      <c r="C1680" t="s">
        <v>8243</v>
      </c>
      <c r="D1680" t="s">
        <v>8244</v>
      </c>
      <c r="E1680" s="225">
        <v>28</v>
      </c>
      <c r="F1680" t="s">
        <v>8263</v>
      </c>
      <c r="G1680" t="s">
        <v>8264</v>
      </c>
      <c r="H1680" t="s">
        <v>8261</v>
      </c>
      <c r="I1680" s="99">
        <v>44005</v>
      </c>
      <c r="J1680">
        <f>YEAR(I1680)</f>
        <v>2020</v>
      </c>
      <c r="K1680" s="99">
        <v>44015</v>
      </c>
      <c r="L1680" t="s">
        <v>8266</v>
      </c>
      <c r="M1680" t="s">
        <v>8267</v>
      </c>
    </row>
    <row r="1681" spans="2:13" x14ac:dyDescent="0.2">
      <c r="B1681">
        <v>10841</v>
      </c>
      <c r="C1681" t="s">
        <v>8397</v>
      </c>
      <c r="D1681" t="s">
        <v>8254</v>
      </c>
      <c r="E1681" s="225">
        <v>195</v>
      </c>
      <c r="F1681" t="s">
        <v>8263</v>
      </c>
      <c r="G1681" t="s">
        <v>8264</v>
      </c>
      <c r="H1681" t="s">
        <v>8261</v>
      </c>
      <c r="I1681" s="99">
        <v>44051</v>
      </c>
      <c r="J1681">
        <f>YEAR(I1681)</f>
        <v>2020</v>
      </c>
      <c r="K1681" s="99">
        <v>44056</v>
      </c>
      <c r="L1681" t="s">
        <v>8241</v>
      </c>
      <c r="M1681" t="s">
        <v>6934</v>
      </c>
    </row>
    <row r="1682" spans="2:13" x14ac:dyDescent="0.2">
      <c r="B1682">
        <v>10841</v>
      </c>
      <c r="C1682" t="s">
        <v>8281</v>
      </c>
      <c r="D1682" t="s">
        <v>8237</v>
      </c>
      <c r="E1682" s="225">
        <v>2750</v>
      </c>
      <c r="F1682" t="s">
        <v>8263</v>
      </c>
      <c r="G1682" t="s">
        <v>8264</v>
      </c>
      <c r="H1682" t="s">
        <v>8261</v>
      </c>
      <c r="I1682" s="99">
        <v>44051</v>
      </c>
      <c r="J1682">
        <f>YEAR(I1682)</f>
        <v>2020</v>
      </c>
      <c r="K1682" s="99">
        <v>44056</v>
      </c>
      <c r="L1682" t="s">
        <v>8241</v>
      </c>
      <c r="M1682" t="s">
        <v>6934</v>
      </c>
    </row>
    <row r="1683" spans="2:13" x14ac:dyDescent="0.2">
      <c r="B1683">
        <v>10841</v>
      </c>
      <c r="C1683" t="s">
        <v>8341</v>
      </c>
      <c r="D1683" t="s">
        <v>8244</v>
      </c>
      <c r="E1683" s="225">
        <v>1140</v>
      </c>
      <c r="F1683" t="s">
        <v>8263</v>
      </c>
      <c r="G1683" t="s">
        <v>8264</v>
      </c>
      <c r="H1683" t="s">
        <v>8261</v>
      </c>
      <c r="I1683" s="99">
        <v>44051</v>
      </c>
      <c r="J1683">
        <f>YEAR(I1683)</f>
        <v>2020</v>
      </c>
      <c r="K1683" s="99">
        <v>44056</v>
      </c>
      <c r="L1683" t="s">
        <v>8241</v>
      </c>
      <c r="M1683" t="s">
        <v>6934</v>
      </c>
    </row>
    <row r="1684" spans="2:13" x14ac:dyDescent="0.2">
      <c r="B1684">
        <v>10846</v>
      </c>
      <c r="C1684" t="s">
        <v>8288</v>
      </c>
      <c r="D1684" t="s">
        <v>8272</v>
      </c>
      <c r="E1684" s="225">
        <v>450</v>
      </c>
      <c r="F1684" t="s">
        <v>8263</v>
      </c>
      <c r="G1684" t="s">
        <v>8264</v>
      </c>
      <c r="H1684" t="s">
        <v>8261</v>
      </c>
      <c r="I1684" s="99">
        <v>44053</v>
      </c>
      <c r="J1684">
        <f>YEAR(I1684)</f>
        <v>2020</v>
      </c>
      <c r="K1684" s="99">
        <v>44054</v>
      </c>
      <c r="L1684" t="s">
        <v>8297</v>
      </c>
      <c r="M1684" t="s">
        <v>8298</v>
      </c>
    </row>
    <row r="1685" spans="2:13" x14ac:dyDescent="0.2">
      <c r="B1685">
        <v>10846</v>
      </c>
      <c r="C1685" t="s">
        <v>8352</v>
      </c>
      <c r="D1685" t="s">
        <v>8254</v>
      </c>
      <c r="E1685" s="225">
        <v>462</v>
      </c>
      <c r="F1685" t="s">
        <v>8263</v>
      </c>
      <c r="G1685" t="s">
        <v>8264</v>
      </c>
      <c r="H1685" t="s">
        <v>8261</v>
      </c>
      <c r="I1685" s="99">
        <v>44053</v>
      </c>
      <c r="J1685">
        <f>YEAR(I1685)</f>
        <v>2020</v>
      </c>
      <c r="K1685" s="99">
        <v>44054</v>
      </c>
      <c r="L1685" t="s">
        <v>8297</v>
      </c>
      <c r="M1685" t="s">
        <v>8298</v>
      </c>
    </row>
    <row r="1686" spans="2:13" x14ac:dyDescent="0.2">
      <c r="B1686">
        <v>10846</v>
      </c>
      <c r="C1686" t="s">
        <v>8275</v>
      </c>
      <c r="D1686" t="s">
        <v>8247</v>
      </c>
      <c r="E1686" s="225">
        <v>200</v>
      </c>
      <c r="F1686" t="s">
        <v>8263</v>
      </c>
      <c r="G1686" t="s">
        <v>8264</v>
      </c>
      <c r="H1686" t="s">
        <v>8261</v>
      </c>
      <c r="I1686" s="99">
        <v>44053</v>
      </c>
      <c r="J1686">
        <f>YEAR(I1686)</f>
        <v>2020</v>
      </c>
      <c r="K1686" s="99">
        <v>44054</v>
      </c>
      <c r="L1686" t="s">
        <v>8297</v>
      </c>
      <c r="M1686" t="s">
        <v>8298</v>
      </c>
    </row>
    <row r="1687" spans="2:13" x14ac:dyDescent="0.2">
      <c r="B1687">
        <v>10885</v>
      </c>
      <c r="C1687" t="s">
        <v>8276</v>
      </c>
      <c r="D1687" t="s">
        <v>8272</v>
      </c>
      <c r="E1687" s="225">
        <v>380</v>
      </c>
      <c r="F1687" t="s">
        <v>8263</v>
      </c>
      <c r="G1687" t="s">
        <v>8264</v>
      </c>
      <c r="H1687" t="s">
        <v>8261</v>
      </c>
      <c r="I1687" s="99">
        <v>44073</v>
      </c>
      <c r="J1687">
        <f>YEAR(I1687)</f>
        <v>2020</v>
      </c>
      <c r="K1687" s="99">
        <v>44079</v>
      </c>
      <c r="L1687" t="s">
        <v>8251</v>
      </c>
      <c r="M1687" t="s">
        <v>269</v>
      </c>
    </row>
    <row r="1688" spans="2:13" x14ac:dyDescent="0.2">
      <c r="B1688">
        <v>10885</v>
      </c>
      <c r="C1688" t="s">
        <v>8270</v>
      </c>
      <c r="D1688" t="s">
        <v>8272</v>
      </c>
      <c r="E1688" s="225">
        <v>54</v>
      </c>
      <c r="F1688" t="s">
        <v>8263</v>
      </c>
      <c r="G1688" t="s">
        <v>8264</v>
      </c>
      <c r="H1688" t="s">
        <v>8261</v>
      </c>
      <c r="I1688" s="99">
        <v>44073</v>
      </c>
      <c r="J1688">
        <f>YEAR(I1688)</f>
        <v>2020</v>
      </c>
      <c r="K1688" s="99">
        <v>44079</v>
      </c>
      <c r="L1688" t="s">
        <v>8251</v>
      </c>
      <c r="M1688" t="s">
        <v>269</v>
      </c>
    </row>
    <row r="1689" spans="2:13" x14ac:dyDescent="0.2">
      <c r="B1689">
        <v>10885</v>
      </c>
      <c r="C1689" t="s">
        <v>8288</v>
      </c>
      <c r="D1689" t="s">
        <v>8272</v>
      </c>
      <c r="E1689" s="225">
        <v>450</v>
      </c>
      <c r="F1689" t="s">
        <v>8263</v>
      </c>
      <c r="G1689" t="s">
        <v>8264</v>
      </c>
      <c r="H1689" t="s">
        <v>8261</v>
      </c>
      <c r="I1689" s="99">
        <v>44073</v>
      </c>
      <c r="J1689">
        <f>YEAR(I1689)</f>
        <v>2020</v>
      </c>
      <c r="K1689" s="99">
        <v>44079</v>
      </c>
      <c r="L1689" t="s">
        <v>8251</v>
      </c>
      <c r="M1689" t="s">
        <v>269</v>
      </c>
    </row>
    <row r="1690" spans="2:13" x14ac:dyDescent="0.2">
      <c r="B1690">
        <v>10885</v>
      </c>
      <c r="C1690" t="s">
        <v>8397</v>
      </c>
      <c r="D1690" t="s">
        <v>8254</v>
      </c>
      <c r="E1690" s="225">
        <v>325</v>
      </c>
      <c r="F1690" t="s">
        <v>8263</v>
      </c>
      <c r="G1690" t="s">
        <v>8264</v>
      </c>
      <c r="H1690" t="s">
        <v>8261</v>
      </c>
      <c r="I1690" s="99">
        <v>44073</v>
      </c>
      <c r="J1690">
        <f>YEAR(I1690)</f>
        <v>2020</v>
      </c>
      <c r="K1690" s="99">
        <v>44079</v>
      </c>
      <c r="L1690" t="s">
        <v>8251</v>
      </c>
      <c r="M1690" t="s">
        <v>269</v>
      </c>
    </row>
    <row r="1691" spans="2:13" x14ac:dyDescent="0.2">
      <c r="B1691">
        <v>10930</v>
      </c>
      <c r="C1691" t="s">
        <v>8368</v>
      </c>
      <c r="D1691" t="s">
        <v>8262</v>
      </c>
      <c r="E1691" s="225">
        <v>360</v>
      </c>
      <c r="F1691" t="s">
        <v>8263</v>
      </c>
      <c r="G1691" t="s">
        <v>8264</v>
      </c>
      <c r="H1691" t="s">
        <v>8261</v>
      </c>
      <c r="I1691" s="99">
        <v>44095</v>
      </c>
      <c r="J1691">
        <f>YEAR(I1691)</f>
        <v>2020</v>
      </c>
      <c r="K1691" s="99">
        <v>44107</v>
      </c>
      <c r="L1691" t="s">
        <v>8266</v>
      </c>
      <c r="M1691" t="s">
        <v>8267</v>
      </c>
    </row>
    <row r="1692" spans="2:13" x14ac:dyDescent="0.2">
      <c r="B1692">
        <v>10930</v>
      </c>
      <c r="C1692" t="s">
        <v>8332</v>
      </c>
      <c r="D1692" t="s">
        <v>8262</v>
      </c>
      <c r="E1692" s="225">
        <v>1097.5</v>
      </c>
      <c r="F1692" t="s">
        <v>8263</v>
      </c>
      <c r="G1692" t="s">
        <v>8264</v>
      </c>
      <c r="H1692" t="s">
        <v>8261</v>
      </c>
      <c r="I1692" s="99">
        <v>44095</v>
      </c>
      <c r="J1692">
        <f>YEAR(I1692)</f>
        <v>2020</v>
      </c>
      <c r="K1692" s="99">
        <v>44107</v>
      </c>
      <c r="L1692" t="s">
        <v>8266</v>
      </c>
      <c r="M1692" t="s">
        <v>8267</v>
      </c>
    </row>
    <row r="1693" spans="2:13" x14ac:dyDescent="0.2">
      <c r="B1693">
        <v>11035</v>
      </c>
      <c r="C1693" t="s">
        <v>8333</v>
      </c>
      <c r="D1693" t="s">
        <v>8272</v>
      </c>
      <c r="E1693" s="225">
        <v>180</v>
      </c>
      <c r="F1693" t="s">
        <v>8263</v>
      </c>
      <c r="G1693" t="s">
        <v>8264</v>
      </c>
      <c r="H1693" t="s">
        <v>8261</v>
      </c>
      <c r="I1693" s="99">
        <v>44140</v>
      </c>
      <c r="J1693">
        <f>YEAR(I1693)</f>
        <v>2020</v>
      </c>
      <c r="K1693" s="99">
        <v>44144</v>
      </c>
      <c r="L1693" t="s">
        <v>8297</v>
      </c>
      <c r="M1693" t="s">
        <v>8298</v>
      </c>
    </row>
    <row r="1694" spans="2:13" x14ac:dyDescent="0.2">
      <c r="B1694">
        <v>11035</v>
      </c>
      <c r="C1694" t="s">
        <v>8323</v>
      </c>
      <c r="D1694" t="s">
        <v>8272</v>
      </c>
      <c r="E1694" s="225">
        <v>1080</v>
      </c>
      <c r="F1694" t="s">
        <v>8263</v>
      </c>
      <c r="G1694" t="s">
        <v>8264</v>
      </c>
      <c r="H1694" t="s">
        <v>8261</v>
      </c>
      <c r="I1694" s="99">
        <v>44140</v>
      </c>
      <c r="J1694">
        <f>YEAR(I1694)</f>
        <v>2020</v>
      </c>
      <c r="K1694" s="99">
        <v>44144</v>
      </c>
      <c r="L1694" t="s">
        <v>8297</v>
      </c>
      <c r="M1694" t="s">
        <v>8298</v>
      </c>
    </row>
    <row r="1695" spans="2:13" x14ac:dyDescent="0.2">
      <c r="B1695">
        <v>11035</v>
      </c>
      <c r="C1695" t="s">
        <v>8243</v>
      </c>
      <c r="D1695" t="s">
        <v>8244</v>
      </c>
      <c r="E1695" s="225">
        <v>420</v>
      </c>
      <c r="F1695" t="s">
        <v>8263</v>
      </c>
      <c r="G1695" t="s">
        <v>8264</v>
      </c>
      <c r="H1695" t="s">
        <v>8261</v>
      </c>
      <c r="I1695" s="99">
        <v>44140</v>
      </c>
      <c r="J1695">
        <f>YEAR(I1695)</f>
        <v>2020</v>
      </c>
      <c r="K1695" s="99">
        <v>44144</v>
      </c>
      <c r="L1695" t="s">
        <v>8297</v>
      </c>
      <c r="M1695" t="s">
        <v>8298</v>
      </c>
    </row>
    <row r="1696" spans="2:13" x14ac:dyDescent="0.2">
      <c r="B1696">
        <v>11038</v>
      </c>
      <c r="C1696" t="s">
        <v>8310</v>
      </c>
      <c r="D1696" t="s">
        <v>8237</v>
      </c>
      <c r="E1696" s="225">
        <v>645</v>
      </c>
      <c r="F1696" t="s">
        <v>8263</v>
      </c>
      <c r="G1696" t="s">
        <v>8264</v>
      </c>
      <c r="H1696" t="s">
        <v>8261</v>
      </c>
      <c r="I1696" s="99">
        <v>44141</v>
      </c>
      <c r="J1696">
        <f>YEAR(I1696)</f>
        <v>2020</v>
      </c>
      <c r="K1696" s="99">
        <v>44150</v>
      </c>
      <c r="L1696" t="s">
        <v>8285</v>
      </c>
      <c r="M1696" t="s">
        <v>2317</v>
      </c>
    </row>
    <row r="1697" spans="2:13" x14ac:dyDescent="0.2">
      <c r="B1697">
        <v>11038</v>
      </c>
      <c r="C1697" t="s">
        <v>8369</v>
      </c>
      <c r="D1697" t="s">
        <v>8244</v>
      </c>
      <c r="E1697" s="225">
        <v>14</v>
      </c>
      <c r="F1697" t="s">
        <v>8263</v>
      </c>
      <c r="G1697" t="s">
        <v>8264</v>
      </c>
      <c r="H1697" t="s">
        <v>8261</v>
      </c>
      <c r="I1697" s="99">
        <v>44141</v>
      </c>
      <c r="J1697">
        <f>YEAR(I1697)</f>
        <v>2020</v>
      </c>
      <c r="K1697" s="99">
        <v>44150</v>
      </c>
      <c r="L1697" t="s">
        <v>8285</v>
      </c>
      <c r="M1697" t="s">
        <v>2317</v>
      </c>
    </row>
    <row r="1698" spans="2:13" x14ac:dyDescent="0.2">
      <c r="B1698">
        <v>10310</v>
      </c>
      <c r="C1698" t="s">
        <v>8280</v>
      </c>
      <c r="D1698" t="s">
        <v>8262</v>
      </c>
      <c r="E1698" s="225">
        <v>139</v>
      </c>
      <c r="F1698" t="s">
        <v>8754</v>
      </c>
      <c r="G1698" t="s">
        <v>8753</v>
      </c>
      <c r="H1698" t="s">
        <v>8701</v>
      </c>
      <c r="I1698" s="99">
        <v>43564</v>
      </c>
      <c r="J1698">
        <f>YEAR(I1698)</f>
        <v>2019</v>
      </c>
      <c r="K1698" s="99">
        <v>43571</v>
      </c>
      <c r="L1698" t="s">
        <v>8320</v>
      </c>
      <c r="M1698" t="s">
        <v>8321</v>
      </c>
    </row>
    <row r="1699" spans="2:13" x14ac:dyDescent="0.2">
      <c r="B1699">
        <v>10310</v>
      </c>
      <c r="C1699" t="s">
        <v>8291</v>
      </c>
      <c r="D1699" t="s">
        <v>8262</v>
      </c>
      <c r="E1699" s="225">
        <v>197</v>
      </c>
      <c r="F1699" t="s">
        <v>8754</v>
      </c>
      <c r="G1699" t="s">
        <v>8753</v>
      </c>
      <c r="H1699" t="s">
        <v>8701</v>
      </c>
      <c r="I1699" s="99">
        <v>43564</v>
      </c>
      <c r="J1699">
        <f>YEAR(I1699)</f>
        <v>2019</v>
      </c>
      <c r="K1699" s="99">
        <v>43571</v>
      </c>
      <c r="L1699" t="s">
        <v>8320</v>
      </c>
      <c r="M1699" t="s">
        <v>8321</v>
      </c>
    </row>
    <row r="1700" spans="2:13" x14ac:dyDescent="0.2">
      <c r="B1700">
        <v>10708</v>
      </c>
      <c r="C1700" t="s">
        <v>8286</v>
      </c>
      <c r="D1700" t="s">
        <v>8254</v>
      </c>
      <c r="E1700" s="225">
        <v>85.4</v>
      </c>
      <c r="F1700" t="s">
        <v>8754</v>
      </c>
      <c r="G1700" t="s">
        <v>8753</v>
      </c>
      <c r="H1700" t="s">
        <v>8701</v>
      </c>
      <c r="I1700" s="99">
        <v>43956</v>
      </c>
      <c r="J1700">
        <f>YEAR(I1700)</f>
        <v>2020</v>
      </c>
      <c r="K1700" s="99">
        <v>43975</v>
      </c>
      <c r="L1700" t="s">
        <v>8251</v>
      </c>
      <c r="M1700" t="s">
        <v>269</v>
      </c>
    </row>
    <row r="1701" spans="2:13" x14ac:dyDescent="0.2">
      <c r="B1701">
        <v>10805</v>
      </c>
      <c r="C1701" t="s">
        <v>8358</v>
      </c>
      <c r="D1701" t="s">
        <v>8272</v>
      </c>
      <c r="E1701" s="225">
        <v>140</v>
      </c>
      <c r="F1701" t="s">
        <v>8754</v>
      </c>
      <c r="G1701" t="s">
        <v>8753</v>
      </c>
      <c r="H1701" t="s">
        <v>8701</v>
      </c>
      <c r="I1701" s="99">
        <v>44030</v>
      </c>
      <c r="J1701">
        <f>YEAR(I1701)</f>
        <v>2020</v>
      </c>
      <c r="K1701" s="99">
        <v>44040</v>
      </c>
      <c r="L1701" t="s">
        <v>8297</v>
      </c>
      <c r="M1701" t="s">
        <v>8298</v>
      </c>
    </row>
    <row r="1702" spans="2:13" x14ac:dyDescent="0.2">
      <c r="B1702">
        <v>10805</v>
      </c>
      <c r="C1702" t="s">
        <v>8380</v>
      </c>
      <c r="D1702" t="s">
        <v>8272</v>
      </c>
      <c r="E1702" s="225">
        <v>2635</v>
      </c>
      <c r="F1702" t="s">
        <v>8754</v>
      </c>
      <c r="G1702" t="s">
        <v>8753</v>
      </c>
      <c r="H1702" t="s">
        <v>8701</v>
      </c>
      <c r="I1702" s="99">
        <v>44030</v>
      </c>
      <c r="J1702">
        <f>YEAR(I1702)</f>
        <v>2020</v>
      </c>
      <c r="K1702" s="99">
        <v>44040</v>
      </c>
      <c r="L1702" t="s">
        <v>8297</v>
      </c>
      <c r="M1702" t="s">
        <v>8298</v>
      </c>
    </row>
    <row r="1703" spans="2:13" x14ac:dyDescent="0.2">
      <c r="B1703">
        <v>10992</v>
      </c>
      <c r="C1703" t="s">
        <v>8235</v>
      </c>
      <c r="D1703" t="s">
        <v>8237</v>
      </c>
      <c r="E1703" s="225">
        <v>69.599999999999994</v>
      </c>
      <c r="F1703" t="s">
        <v>8754</v>
      </c>
      <c r="G1703" t="s">
        <v>8753</v>
      </c>
      <c r="H1703" t="s">
        <v>8701</v>
      </c>
      <c r="I1703" s="99">
        <v>44121</v>
      </c>
      <c r="J1703">
        <f>YEAR(I1703)</f>
        <v>2020</v>
      </c>
      <c r="K1703" s="99">
        <v>44123</v>
      </c>
      <c r="L1703" t="s">
        <v>8285</v>
      </c>
      <c r="M1703" t="s">
        <v>2317</v>
      </c>
    </row>
    <row r="1704" spans="2:13" x14ac:dyDescent="0.2">
      <c r="B1704">
        <v>10624</v>
      </c>
      <c r="C1704" t="s">
        <v>8322</v>
      </c>
      <c r="D1704" t="s">
        <v>8254</v>
      </c>
      <c r="E1704" s="225">
        <v>194.5</v>
      </c>
      <c r="F1704" t="s">
        <v>8780</v>
      </c>
      <c r="G1704" t="s">
        <v>8779</v>
      </c>
      <c r="H1704" t="s">
        <v>8701</v>
      </c>
      <c r="I1704" s="99">
        <v>43885</v>
      </c>
      <c r="J1704">
        <f>YEAR(I1704)</f>
        <v>2020</v>
      </c>
      <c r="K1704" s="99">
        <v>43897</v>
      </c>
      <c r="L1704" t="s">
        <v>8266</v>
      </c>
      <c r="M1704" t="s">
        <v>8267</v>
      </c>
    </row>
    <row r="1705" spans="2:13" x14ac:dyDescent="0.2">
      <c r="B1705">
        <v>10624</v>
      </c>
      <c r="C1705" t="s">
        <v>8316</v>
      </c>
      <c r="D1705" t="s">
        <v>8247</v>
      </c>
      <c r="E1705" s="225">
        <v>456</v>
      </c>
      <c r="F1705" t="s">
        <v>8780</v>
      </c>
      <c r="G1705" t="s">
        <v>8779</v>
      </c>
      <c r="H1705" t="s">
        <v>8701</v>
      </c>
      <c r="I1705" s="99">
        <v>43885</v>
      </c>
      <c r="J1705">
        <f>YEAR(I1705)</f>
        <v>2020</v>
      </c>
      <c r="K1705" s="99">
        <v>43897</v>
      </c>
      <c r="L1705" t="s">
        <v>8266</v>
      </c>
      <c r="M1705" t="s">
        <v>8267</v>
      </c>
    </row>
    <row r="1706" spans="2:13" x14ac:dyDescent="0.2">
      <c r="B1706">
        <v>10775</v>
      </c>
      <c r="C1706" t="s">
        <v>8329</v>
      </c>
      <c r="D1706" t="s">
        <v>8272</v>
      </c>
      <c r="E1706" s="225">
        <v>42</v>
      </c>
      <c r="F1706" t="s">
        <v>8780</v>
      </c>
      <c r="G1706" t="s">
        <v>8779</v>
      </c>
      <c r="H1706" t="s">
        <v>8701</v>
      </c>
      <c r="I1706" s="99">
        <v>44013</v>
      </c>
      <c r="J1706">
        <f>YEAR(I1706)</f>
        <v>2020</v>
      </c>
      <c r="K1706" s="99">
        <v>44026</v>
      </c>
      <c r="L1706" t="s">
        <v>8158</v>
      </c>
      <c r="M1706" t="s">
        <v>861</v>
      </c>
    </row>
    <row r="1707" spans="2:13" x14ac:dyDescent="0.2">
      <c r="B1707">
        <v>11003</v>
      </c>
      <c r="C1707" t="s">
        <v>8333</v>
      </c>
      <c r="D1707" t="s">
        <v>8272</v>
      </c>
      <c r="E1707" s="225">
        <v>72</v>
      </c>
      <c r="F1707" t="s">
        <v>8780</v>
      </c>
      <c r="G1707" t="s">
        <v>8779</v>
      </c>
      <c r="H1707" t="s">
        <v>8701</v>
      </c>
      <c r="I1707" s="99">
        <v>44126</v>
      </c>
      <c r="J1707">
        <f>YEAR(I1707)</f>
        <v>2020</v>
      </c>
      <c r="K1707" s="99">
        <v>44128</v>
      </c>
      <c r="L1707" t="s">
        <v>8257</v>
      </c>
      <c r="M1707" t="s">
        <v>6984</v>
      </c>
    </row>
    <row r="1708" spans="2:13" x14ac:dyDescent="0.2">
      <c r="B1708">
        <v>11003</v>
      </c>
      <c r="C1708" t="s">
        <v>8369</v>
      </c>
      <c r="D1708" t="s">
        <v>8244</v>
      </c>
      <c r="E1708" s="225">
        <v>70</v>
      </c>
      <c r="F1708" t="s">
        <v>8780</v>
      </c>
      <c r="G1708" t="s">
        <v>8779</v>
      </c>
      <c r="H1708" t="s">
        <v>8701</v>
      </c>
      <c r="I1708" s="99">
        <v>44126</v>
      </c>
      <c r="J1708">
        <f>YEAR(I1708)</f>
        <v>2020</v>
      </c>
      <c r="K1708" s="99">
        <v>44128</v>
      </c>
      <c r="L1708" t="s">
        <v>8257</v>
      </c>
      <c r="M1708" t="s">
        <v>6984</v>
      </c>
    </row>
    <row r="1709" spans="2:13" x14ac:dyDescent="0.2">
      <c r="B1709">
        <v>10249</v>
      </c>
      <c r="C1709" t="s">
        <v>8252</v>
      </c>
      <c r="D1709" t="s">
        <v>8247</v>
      </c>
      <c r="E1709" s="225">
        <v>167.4</v>
      </c>
      <c r="F1709" t="s">
        <v>8248</v>
      </c>
      <c r="G1709" t="s">
        <v>8249</v>
      </c>
      <c r="H1709" t="s">
        <v>8246</v>
      </c>
      <c r="I1709" s="99">
        <v>43487</v>
      </c>
      <c r="J1709">
        <f>YEAR(I1709)</f>
        <v>2019</v>
      </c>
      <c r="K1709" s="99">
        <v>43492</v>
      </c>
      <c r="L1709" t="s">
        <v>8251</v>
      </c>
      <c r="M1709" t="s">
        <v>269</v>
      </c>
    </row>
    <row r="1710" spans="2:13" x14ac:dyDescent="0.2">
      <c r="B1710">
        <v>10249</v>
      </c>
      <c r="C1710" t="s">
        <v>8245</v>
      </c>
      <c r="D1710" t="s">
        <v>8247</v>
      </c>
      <c r="E1710" s="225">
        <v>1696</v>
      </c>
      <c r="F1710" t="s">
        <v>8248</v>
      </c>
      <c r="G1710" t="s">
        <v>8249</v>
      </c>
      <c r="H1710" t="s">
        <v>8246</v>
      </c>
      <c r="I1710" s="99">
        <v>43487</v>
      </c>
      <c r="J1710">
        <f>YEAR(I1710)</f>
        <v>2019</v>
      </c>
      <c r="K1710" s="99">
        <v>43492</v>
      </c>
      <c r="L1710" t="s">
        <v>8251</v>
      </c>
      <c r="M1710" t="s">
        <v>269</v>
      </c>
    </row>
    <row r="1711" spans="2:13" x14ac:dyDescent="0.2">
      <c r="B1711">
        <v>10438</v>
      </c>
      <c r="C1711" t="s">
        <v>8358</v>
      </c>
      <c r="D1711" t="s">
        <v>8272</v>
      </c>
      <c r="E1711" s="225">
        <v>179.2</v>
      </c>
      <c r="F1711" t="s">
        <v>8248</v>
      </c>
      <c r="G1711" t="s">
        <v>8249</v>
      </c>
      <c r="H1711" t="s">
        <v>8246</v>
      </c>
      <c r="I1711" s="99">
        <v>43703</v>
      </c>
      <c r="J1711">
        <f>YEAR(I1711)</f>
        <v>2019</v>
      </c>
      <c r="K1711" s="99">
        <v>43711</v>
      </c>
      <c r="L1711" t="s">
        <v>8257</v>
      </c>
      <c r="M1711" t="s">
        <v>6984</v>
      </c>
    </row>
    <row r="1712" spans="2:13" x14ac:dyDescent="0.2">
      <c r="B1712">
        <v>10438</v>
      </c>
      <c r="C1712" t="s">
        <v>8327</v>
      </c>
      <c r="D1712" t="s">
        <v>8262</v>
      </c>
      <c r="E1712" s="225">
        <v>87.6</v>
      </c>
      <c r="F1712" t="s">
        <v>8248</v>
      </c>
      <c r="G1712" t="s">
        <v>8249</v>
      </c>
      <c r="H1712" t="s">
        <v>8246</v>
      </c>
      <c r="I1712" s="99">
        <v>43703</v>
      </c>
      <c r="J1712">
        <f>YEAR(I1712)</f>
        <v>2019</v>
      </c>
      <c r="K1712" s="99">
        <v>43711</v>
      </c>
      <c r="L1712" t="s">
        <v>8257</v>
      </c>
      <c r="M1712" t="s">
        <v>6984</v>
      </c>
    </row>
    <row r="1713" spans="2:13" x14ac:dyDescent="0.2">
      <c r="B1713">
        <v>10438</v>
      </c>
      <c r="C1713" t="s">
        <v>8258</v>
      </c>
      <c r="D1713" t="s">
        <v>8244</v>
      </c>
      <c r="E1713" s="225">
        <v>187.2</v>
      </c>
      <c r="F1713" t="s">
        <v>8248</v>
      </c>
      <c r="G1713" t="s">
        <v>8249</v>
      </c>
      <c r="H1713" t="s">
        <v>8246</v>
      </c>
      <c r="I1713" s="99">
        <v>43703</v>
      </c>
      <c r="J1713">
        <f>YEAR(I1713)</f>
        <v>2019</v>
      </c>
      <c r="K1713" s="99">
        <v>43711</v>
      </c>
      <c r="L1713" t="s">
        <v>8257</v>
      </c>
      <c r="M1713" t="s">
        <v>6984</v>
      </c>
    </row>
    <row r="1714" spans="2:13" x14ac:dyDescent="0.2">
      <c r="B1714">
        <v>10446</v>
      </c>
      <c r="C1714" t="s">
        <v>8270</v>
      </c>
      <c r="D1714" t="s">
        <v>8272</v>
      </c>
      <c r="E1714" s="225">
        <v>64.8</v>
      </c>
      <c r="F1714" t="s">
        <v>8248</v>
      </c>
      <c r="G1714" t="s">
        <v>8249</v>
      </c>
      <c r="H1714" t="s">
        <v>8246</v>
      </c>
      <c r="I1714" s="99">
        <v>43711</v>
      </c>
      <c r="J1714">
        <f>YEAR(I1714)</f>
        <v>2019</v>
      </c>
      <c r="K1714" s="99">
        <v>43716</v>
      </c>
      <c r="L1714" t="s">
        <v>8251</v>
      </c>
      <c r="M1714" t="s">
        <v>269</v>
      </c>
    </row>
    <row r="1715" spans="2:13" x14ac:dyDescent="0.2">
      <c r="B1715">
        <v>10446</v>
      </c>
      <c r="C1715" t="s">
        <v>8327</v>
      </c>
      <c r="D1715" t="s">
        <v>8262</v>
      </c>
      <c r="E1715" s="225">
        <v>78.84</v>
      </c>
      <c r="F1715" t="s">
        <v>8248</v>
      </c>
      <c r="G1715" t="s">
        <v>8249</v>
      </c>
      <c r="H1715" t="s">
        <v>8246</v>
      </c>
      <c r="I1715" s="99">
        <v>43711</v>
      </c>
      <c r="J1715">
        <f>YEAR(I1715)</f>
        <v>2019</v>
      </c>
      <c r="K1715" s="99">
        <v>43716</v>
      </c>
      <c r="L1715" t="s">
        <v>8251</v>
      </c>
      <c r="M1715" t="s">
        <v>269</v>
      </c>
    </row>
    <row r="1716" spans="2:13" x14ac:dyDescent="0.2">
      <c r="B1716">
        <v>10446</v>
      </c>
      <c r="C1716" t="s">
        <v>8309</v>
      </c>
      <c r="D1716" t="s">
        <v>8237</v>
      </c>
      <c r="E1716" s="225">
        <v>27</v>
      </c>
      <c r="F1716" t="s">
        <v>8248</v>
      </c>
      <c r="G1716" t="s">
        <v>8249</v>
      </c>
      <c r="H1716" t="s">
        <v>8246</v>
      </c>
      <c r="I1716" s="99">
        <v>43711</v>
      </c>
      <c r="J1716">
        <f>YEAR(I1716)</f>
        <v>2019</v>
      </c>
      <c r="K1716" s="99">
        <v>43716</v>
      </c>
      <c r="L1716" t="s">
        <v>8251</v>
      </c>
      <c r="M1716" t="s">
        <v>269</v>
      </c>
    </row>
    <row r="1717" spans="2:13" x14ac:dyDescent="0.2">
      <c r="B1717">
        <v>10446</v>
      </c>
      <c r="C1717" t="s">
        <v>8369</v>
      </c>
      <c r="D1717" t="s">
        <v>8244</v>
      </c>
      <c r="E1717" s="225">
        <v>75.599999999999994</v>
      </c>
      <c r="F1717" t="s">
        <v>8248</v>
      </c>
      <c r="G1717" t="s">
        <v>8249</v>
      </c>
      <c r="H1717" t="s">
        <v>8246</v>
      </c>
      <c r="I1717" s="99">
        <v>43711</v>
      </c>
      <c r="J1717">
        <f>YEAR(I1717)</f>
        <v>2019</v>
      </c>
      <c r="K1717" s="99">
        <v>43716</v>
      </c>
      <c r="L1717" t="s">
        <v>8251</v>
      </c>
      <c r="M1717" t="s">
        <v>269</v>
      </c>
    </row>
    <row r="1718" spans="2:13" x14ac:dyDescent="0.2">
      <c r="B1718">
        <v>10548</v>
      </c>
      <c r="C1718" t="s">
        <v>8358</v>
      </c>
      <c r="D1718" t="s">
        <v>8272</v>
      </c>
      <c r="E1718" s="225">
        <v>105</v>
      </c>
      <c r="F1718" t="s">
        <v>8248</v>
      </c>
      <c r="G1718" t="s">
        <v>8249</v>
      </c>
      <c r="H1718" t="s">
        <v>8246</v>
      </c>
      <c r="I1718" s="99">
        <v>43812</v>
      </c>
      <c r="J1718">
        <f>YEAR(I1718)</f>
        <v>2019</v>
      </c>
      <c r="K1718" s="99">
        <v>43819</v>
      </c>
      <c r="L1718" t="s">
        <v>8257</v>
      </c>
      <c r="M1718" t="s">
        <v>6984</v>
      </c>
    </row>
    <row r="1719" spans="2:13" x14ac:dyDescent="0.2">
      <c r="B1719">
        <v>10608</v>
      </c>
      <c r="C1719" t="s">
        <v>8341</v>
      </c>
      <c r="D1719" t="s">
        <v>8244</v>
      </c>
      <c r="E1719" s="225">
        <v>1064</v>
      </c>
      <c r="F1719" t="s">
        <v>8248</v>
      </c>
      <c r="G1719" t="s">
        <v>8249</v>
      </c>
      <c r="H1719" t="s">
        <v>8246</v>
      </c>
      <c r="I1719" s="99">
        <v>43870</v>
      </c>
      <c r="J1719">
        <f>YEAR(I1719)</f>
        <v>2020</v>
      </c>
      <c r="K1719" s="99">
        <v>43879</v>
      </c>
      <c r="L1719" t="s">
        <v>8266</v>
      </c>
      <c r="M1719" t="s">
        <v>8267</v>
      </c>
    </row>
    <row r="1720" spans="2:13" x14ac:dyDescent="0.2">
      <c r="B1720">
        <v>10967</v>
      </c>
      <c r="C1720" t="s">
        <v>8327</v>
      </c>
      <c r="D1720" t="s">
        <v>8262</v>
      </c>
      <c r="E1720" s="225">
        <v>110.4</v>
      </c>
      <c r="F1720" t="s">
        <v>8248</v>
      </c>
      <c r="G1720" t="s">
        <v>8249</v>
      </c>
      <c r="H1720" t="s">
        <v>8246</v>
      </c>
      <c r="I1720" s="99">
        <v>44112</v>
      </c>
      <c r="J1720">
        <f>YEAR(I1720)</f>
        <v>2020</v>
      </c>
      <c r="K1720" s="99">
        <v>44122</v>
      </c>
      <c r="L1720" t="s">
        <v>8297</v>
      </c>
      <c r="M1720" t="s">
        <v>8298</v>
      </c>
    </row>
    <row r="1721" spans="2:13" x14ac:dyDescent="0.2">
      <c r="B1721">
        <v>10967</v>
      </c>
      <c r="C1721" t="s">
        <v>8390</v>
      </c>
      <c r="D1721" t="s">
        <v>8262</v>
      </c>
      <c r="E1721" s="225">
        <v>800</v>
      </c>
      <c r="F1721" t="s">
        <v>8248</v>
      </c>
      <c r="G1721" t="s">
        <v>8249</v>
      </c>
      <c r="H1721" t="s">
        <v>8246</v>
      </c>
      <c r="I1721" s="99">
        <v>44112</v>
      </c>
      <c r="J1721">
        <f>YEAR(I1721)</f>
        <v>2020</v>
      </c>
      <c r="K1721" s="99">
        <v>44122</v>
      </c>
      <c r="L1721" t="s">
        <v>8297</v>
      </c>
      <c r="M1721" t="s">
        <v>8298</v>
      </c>
    </row>
    <row r="1722" spans="2:13" x14ac:dyDescent="0.2">
      <c r="B1722">
        <v>10293</v>
      </c>
      <c r="C1722" t="s">
        <v>8270</v>
      </c>
      <c r="D1722" t="s">
        <v>8272</v>
      </c>
      <c r="E1722" s="225">
        <v>36</v>
      </c>
      <c r="F1722" t="s">
        <v>8742</v>
      </c>
      <c r="G1722" t="s">
        <v>8741</v>
      </c>
      <c r="H1722" t="s">
        <v>8704</v>
      </c>
      <c r="I1722" s="99">
        <v>43542</v>
      </c>
      <c r="J1722">
        <f>YEAR(I1722)</f>
        <v>2019</v>
      </c>
      <c r="K1722" s="99">
        <v>43555</v>
      </c>
      <c r="L1722" t="s">
        <v>8285</v>
      </c>
      <c r="M1722" t="s">
        <v>2317</v>
      </c>
    </row>
    <row r="1723" spans="2:13" x14ac:dyDescent="0.2">
      <c r="B1723">
        <v>10293</v>
      </c>
      <c r="C1723" t="s">
        <v>8328</v>
      </c>
      <c r="D1723" t="s">
        <v>8272</v>
      </c>
      <c r="E1723" s="225">
        <v>37.200000000000003</v>
      </c>
      <c r="F1723" t="s">
        <v>8742</v>
      </c>
      <c r="G1723" t="s">
        <v>8741</v>
      </c>
      <c r="H1723" t="s">
        <v>8704</v>
      </c>
      <c r="I1723" s="99">
        <v>43542</v>
      </c>
      <c r="J1723">
        <f>YEAR(I1723)</f>
        <v>2019</v>
      </c>
      <c r="K1723" s="99">
        <v>43555</v>
      </c>
      <c r="L1723" t="s">
        <v>8285</v>
      </c>
      <c r="M1723" t="s">
        <v>2317</v>
      </c>
    </row>
    <row r="1724" spans="2:13" x14ac:dyDescent="0.2">
      <c r="B1724">
        <v>10293</v>
      </c>
      <c r="C1724" t="s">
        <v>8317</v>
      </c>
      <c r="D1724" t="s">
        <v>8254</v>
      </c>
      <c r="E1724" s="225">
        <v>175.5</v>
      </c>
      <c r="F1724" t="s">
        <v>8742</v>
      </c>
      <c r="G1724" t="s">
        <v>8741</v>
      </c>
      <c r="H1724" t="s">
        <v>8704</v>
      </c>
      <c r="I1724" s="99">
        <v>43542</v>
      </c>
      <c r="J1724">
        <f>YEAR(I1724)</f>
        <v>2019</v>
      </c>
      <c r="K1724" s="99">
        <v>43555</v>
      </c>
      <c r="L1724" t="s">
        <v>8285</v>
      </c>
      <c r="M1724" t="s">
        <v>2317</v>
      </c>
    </row>
    <row r="1725" spans="2:13" x14ac:dyDescent="0.2">
      <c r="B1725">
        <v>10304</v>
      </c>
      <c r="C1725" t="s">
        <v>8390</v>
      </c>
      <c r="D1725" t="s">
        <v>8262</v>
      </c>
      <c r="E1725" s="225">
        <v>480</v>
      </c>
      <c r="F1725" t="s">
        <v>8742</v>
      </c>
      <c r="G1725" t="s">
        <v>8741</v>
      </c>
      <c r="H1725" t="s">
        <v>8704</v>
      </c>
      <c r="I1725" s="99">
        <v>43556</v>
      </c>
      <c r="J1725">
        <f>YEAR(I1725)</f>
        <v>2019</v>
      </c>
      <c r="K1725" s="99">
        <v>43561</v>
      </c>
      <c r="L1725" t="s">
        <v>8285</v>
      </c>
      <c r="M1725" t="s">
        <v>2317</v>
      </c>
    </row>
    <row r="1726" spans="2:13" x14ac:dyDescent="0.2">
      <c r="B1726">
        <v>10304</v>
      </c>
      <c r="C1726" t="s">
        <v>8281</v>
      </c>
      <c r="D1726" t="s">
        <v>8237</v>
      </c>
      <c r="E1726" s="225">
        <v>440</v>
      </c>
      <c r="F1726" t="s">
        <v>8742</v>
      </c>
      <c r="G1726" t="s">
        <v>8741</v>
      </c>
      <c r="H1726" t="s">
        <v>8704</v>
      </c>
      <c r="I1726" s="99">
        <v>43556</v>
      </c>
      <c r="J1726">
        <f>YEAR(I1726)</f>
        <v>2019</v>
      </c>
      <c r="K1726" s="99">
        <v>43561</v>
      </c>
      <c r="L1726" t="s">
        <v>8285</v>
      </c>
      <c r="M1726" t="s">
        <v>2317</v>
      </c>
    </row>
    <row r="1727" spans="2:13" x14ac:dyDescent="0.2">
      <c r="B1727">
        <v>10304</v>
      </c>
      <c r="C1727" t="s">
        <v>8310</v>
      </c>
      <c r="D1727" t="s">
        <v>8237</v>
      </c>
      <c r="E1727" s="225">
        <v>34.4</v>
      </c>
      <c r="F1727" t="s">
        <v>8742</v>
      </c>
      <c r="G1727" t="s">
        <v>8741</v>
      </c>
      <c r="H1727" t="s">
        <v>8704</v>
      </c>
      <c r="I1727" s="99">
        <v>43556</v>
      </c>
      <c r="J1727">
        <f>YEAR(I1727)</f>
        <v>2019</v>
      </c>
      <c r="K1727" s="99">
        <v>43561</v>
      </c>
      <c r="L1727" t="s">
        <v>8285</v>
      </c>
      <c r="M1727" t="s">
        <v>2317</v>
      </c>
    </row>
    <row r="1728" spans="2:13" x14ac:dyDescent="0.2">
      <c r="B1728">
        <v>10319</v>
      </c>
      <c r="C1728" t="s">
        <v>8303</v>
      </c>
      <c r="D1728" t="s">
        <v>8272</v>
      </c>
      <c r="E1728" s="225">
        <v>432</v>
      </c>
      <c r="F1728" t="s">
        <v>8742</v>
      </c>
      <c r="G1728" t="s">
        <v>8741</v>
      </c>
      <c r="H1728" t="s">
        <v>8704</v>
      </c>
      <c r="I1728" s="99">
        <v>43576</v>
      </c>
      <c r="J1728">
        <f>YEAR(I1728)</f>
        <v>2019</v>
      </c>
      <c r="K1728" s="99">
        <v>43585</v>
      </c>
      <c r="L1728" t="s">
        <v>8158</v>
      </c>
      <c r="M1728" t="s">
        <v>861</v>
      </c>
    </row>
    <row r="1729" spans="2:13" x14ac:dyDescent="0.2">
      <c r="B1729">
        <v>10319</v>
      </c>
      <c r="C1729" t="s">
        <v>8316</v>
      </c>
      <c r="D1729" t="s">
        <v>8247</v>
      </c>
      <c r="E1729" s="225">
        <v>509.6</v>
      </c>
      <c r="F1729" t="s">
        <v>8742</v>
      </c>
      <c r="G1729" t="s">
        <v>8741</v>
      </c>
      <c r="H1729" t="s">
        <v>8704</v>
      </c>
      <c r="I1729" s="99">
        <v>43576</v>
      </c>
      <c r="J1729">
        <f>YEAR(I1729)</f>
        <v>2019</v>
      </c>
      <c r="K1729" s="99">
        <v>43585</v>
      </c>
      <c r="L1729" t="s">
        <v>8158</v>
      </c>
      <c r="M1729" t="s">
        <v>861</v>
      </c>
    </row>
    <row r="1730" spans="2:13" x14ac:dyDescent="0.2">
      <c r="B1730">
        <v>10518</v>
      </c>
      <c r="C1730" t="s">
        <v>8270</v>
      </c>
      <c r="D1730" t="s">
        <v>8272</v>
      </c>
      <c r="E1730" s="225">
        <v>22.5</v>
      </c>
      <c r="F1730" t="s">
        <v>8742</v>
      </c>
      <c r="G1730" t="s">
        <v>8741</v>
      </c>
      <c r="H1730" t="s">
        <v>8704</v>
      </c>
      <c r="I1730" s="99">
        <v>43781</v>
      </c>
      <c r="J1730">
        <f>YEAR(I1730)</f>
        <v>2019</v>
      </c>
      <c r="K1730" s="99">
        <v>43791</v>
      </c>
      <c r="L1730" t="s">
        <v>8266</v>
      </c>
      <c r="M1730" t="s">
        <v>8267</v>
      </c>
    </row>
    <row r="1731" spans="2:13" x14ac:dyDescent="0.2">
      <c r="B1731">
        <v>10518</v>
      </c>
      <c r="C1731" t="s">
        <v>8380</v>
      </c>
      <c r="D1731" t="s">
        <v>8272</v>
      </c>
      <c r="E1731" s="225">
        <v>3952.5</v>
      </c>
      <c r="F1731" t="s">
        <v>8742</v>
      </c>
      <c r="G1731" t="s">
        <v>8741</v>
      </c>
      <c r="H1731" t="s">
        <v>8704</v>
      </c>
      <c r="I1731" s="99">
        <v>43781</v>
      </c>
      <c r="J1731">
        <f>YEAR(I1731)</f>
        <v>2019</v>
      </c>
      <c r="K1731" s="99">
        <v>43791</v>
      </c>
      <c r="L1731" t="s">
        <v>8266</v>
      </c>
      <c r="M1731" t="s">
        <v>8267</v>
      </c>
    </row>
    <row r="1732" spans="2:13" x14ac:dyDescent="0.2">
      <c r="B1732">
        <v>10518</v>
      </c>
      <c r="C1732" t="s">
        <v>8322</v>
      </c>
      <c r="D1732" t="s">
        <v>8254</v>
      </c>
      <c r="E1732" s="225">
        <v>175.05</v>
      </c>
      <c r="F1732" t="s">
        <v>8742</v>
      </c>
      <c r="G1732" t="s">
        <v>8741</v>
      </c>
      <c r="H1732" t="s">
        <v>8704</v>
      </c>
      <c r="I1732" s="99">
        <v>43781</v>
      </c>
      <c r="J1732">
        <f>YEAR(I1732)</f>
        <v>2019</v>
      </c>
      <c r="K1732" s="99">
        <v>43791</v>
      </c>
      <c r="L1732" t="s">
        <v>8266</v>
      </c>
      <c r="M1732" t="s">
        <v>8267</v>
      </c>
    </row>
    <row r="1733" spans="2:13" x14ac:dyDescent="0.2">
      <c r="B1733">
        <v>10576</v>
      </c>
      <c r="C1733" t="s">
        <v>8333</v>
      </c>
      <c r="D1733" t="s">
        <v>8272</v>
      </c>
      <c r="E1733" s="225">
        <v>180</v>
      </c>
      <c r="F1733" t="s">
        <v>8742</v>
      </c>
      <c r="G1733" t="s">
        <v>8741</v>
      </c>
      <c r="H1733" t="s">
        <v>8704</v>
      </c>
      <c r="I1733" s="99">
        <v>43840</v>
      </c>
      <c r="J1733">
        <f>YEAR(I1733)</f>
        <v>2020</v>
      </c>
      <c r="K1733" s="99">
        <v>43847</v>
      </c>
      <c r="L1733" t="s">
        <v>8257</v>
      </c>
      <c r="M1733" t="s">
        <v>6984</v>
      </c>
    </row>
    <row r="1734" spans="2:13" x14ac:dyDescent="0.2">
      <c r="B1734">
        <v>10576</v>
      </c>
      <c r="C1734" t="s">
        <v>8322</v>
      </c>
      <c r="D1734" t="s">
        <v>8254</v>
      </c>
      <c r="E1734" s="225">
        <v>408.45</v>
      </c>
      <c r="F1734" t="s">
        <v>8742</v>
      </c>
      <c r="G1734" t="s">
        <v>8741</v>
      </c>
      <c r="H1734" t="s">
        <v>8704</v>
      </c>
      <c r="I1734" s="99">
        <v>43840</v>
      </c>
      <c r="J1734">
        <f>YEAR(I1734)</f>
        <v>2020</v>
      </c>
      <c r="K1734" s="99">
        <v>43847</v>
      </c>
      <c r="L1734" t="s">
        <v>8257</v>
      </c>
      <c r="M1734" t="s">
        <v>6984</v>
      </c>
    </row>
    <row r="1735" spans="2:13" x14ac:dyDescent="0.2">
      <c r="B1735">
        <v>10576</v>
      </c>
      <c r="C1735" t="s">
        <v>8309</v>
      </c>
      <c r="D1735" t="s">
        <v>8237</v>
      </c>
      <c r="E1735" s="225">
        <v>250</v>
      </c>
      <c r="F1735" t="s">
        <v>8742</v>
      </c>
      <c r="G1735" t="s">
        <v>8741</v>
      </c>
      <c r="H1735" t="s">
        <v>8704</v>
      </c>
      <c r="I1735" s="99">
        <v>43840</v>
      </c>
      <c r="J1735">
        <f>YEAR(I1735)</f>
        <v>2020</v>
      </c>
      <c r="K1735" s="99">
        <v>43847</v>
      </c>
      <c r="L1735" t="s">
        <v>8257</v>
      </c>
      <c r="M1735" t="s">
        <v>6984</v>
      </c>
    </row>
    <row r="1736" spans="2:13" x14ac:dyDescent="0.2">
      <c r="B1736">
        <v>10676</v>
      </c>
      <c r="C1736" t="s">
        <v>8322</v>
      </c>
      <c r="D1736" t="s">
        <v>8254</v>
      </c>
      <c r="E1736" s="225">
        <v>408.45</v>
      </c>
      <c r="F1736" t="s">
        <v>8742</v>
      </c>
      <c r="G1736" t="s">
        <v>8741</v>
      </c>
      <c r="H1736" t="s">
        <v>8704</v>
      </c>
      <c r="I1736" s="99">
        <v>43931</v>
      </c>
      <c r="J1736">
        <f>YEAR(I1736)</f>
        <v>2020</v>
      </c>
      <c r="K1736" s="99">
        <v>43938</v>
      </c>
      <c r="L1736" t="s">
        <v>8297</v>
      </c>
      <c r="M1736" t="s">
        <v>8298</v>
      </c>
    </row>
    <row r="1737" spans="2:13" x14ac:dyDescent="0.2">
      <c r="B1737">
        <v>10676</v>
      </c>
      <c r="C1737" t="s">
        <v>8327</v>
      </c>
      <c r="D1737" t="s">
        <v>8262</v>
      </c>
      <c r="E1737" s="225">
        <v>64.400000000000006</v>
      </c>
      <c r="F1737" t="s">
        <v>8742</v>
      </c>
      <c r="G1737" t="s">
        <v>8741</v>
      </c>
      <c r="H1737" t="s">
        <v>8704</v>
      </c>
      <c r="I1737" s="99">
        <v>43931</v>
      </c>
      <c r="J1737">
        <f>YEAR(I1737)</f>
        <v>2020</v>
      </c>
      <c r="K1737" s="99">
        <v>43938</v>
      </c>
      <c r="L1737" t="s">
        <v>8297</v>
      </c>
      <c r="M1737" t="s">
        <v>8298</v>
      </c>
    </row>
    <row r="1738" spans="2:13" x14ac:dyDescent="0.2">
      <c r="B1738">
        <v>10842</v>
      </c>
      <c r="C1738" t="s">
        <v>8306</v>
      </c>
      <c r="D1738" t="s">
        <v>8272</v>
      </c>
      <c r="E1738" s="225">
        <v>230</v>
      </c>
      <c r="F1738" t="s">
        <v>8742</v>
      </c>
      <c r="G1738" t="s">
        <v>8741</v>
      </c>
      <c r="H1738" t="s">
        <v>8704</v>
      </c>
      <c r="I1738" s="99">
        <v>44051</v>
      </c>
      <c r="J1738">
        <f>YEAR(I1738)</f>
        <v>2020</v>
      </c>
      <c r="K1738" s="99">
        <v>44059</v>
      </c>
      <c r="L1738" t="s">
        <v>8285</v>
      </c>
      <c r="M1738" t="s">
        <v>2317</v>
      </c>
    </row>
    <row r="1739" spans="2:13" x14ac:dyDescent="0.2">
      <c r="B1739">
        <v>10842</v>
      </c>
      <c r="C1739" t="s">
        <v>8288</v>
      </c>
      <c r="D1739" t="s">
        <v>8272</v>
      </c>
      <c r="E1739" s="225">
        <v>180</v>
      </c>
      <c r="F1739" t="s">
        <v>8742</v>
      </c>
      <c r="G1739" t="s">
        <v>8741</v>
      </c>
      <c r="H1739" t="s">
        <v>8704</v>
      </c>
      <c r="I1739" s="99">
        <v>44051</v>
      </c>
      <c r="J1739">
        <f>YEAR(I1739)</f>
        <v>2020</v>
      </c>
      <c r="K1739" s="99">
        <v>44059</v>
      </c>
      <c r="L1739" t="s">
        <v>8285</v>
      </c>
      <c r="M1739" t="s">
        <v>2317</v>
      </c>
    </row>
    <row r="1740" spans="2:13" x14ac:dyDescent="0.2">
      <c r="B1740">
        <v>10842</v>
      </c>
      <c r="C1740" t="s">
        <v>8334</v>
      </c>
      <c r="D1740" t="s">
        <v>8262</v>
      </c>
      <c r="E1740" s="225">
        <v>250</v>
      </c>
      <c r="F1740" t="s">
        <v>8742</v>
      </c>
      <c r="G1740" t="s">
        <v>8741</v>
      </c>
      <c r="H1740" t="s">
        <v>8704</v>
      </c>
      <c r="I1740" s="99">
        <v>44051</v>
      </c>
      <c r="J1740">
        <f>YEAR(I1740)</f>
        <v>2020</v>
      </c>
      <c r="K1740" s="99">
        <v>44059</v>
      </c>
      <c r="L1740" t="s">
        <v>8285</v>
      </c>
      <c r="M1740" t="s">
        <v>2317</v>
      </c>
    </row>
    <row r="1741" spans="2:13" x14ac:dyDescent="0.2">
      <c r="B1741">
        <v>10842</v>
      </c>
      <c r="C1741" t="s">
        <v>8242</v>
      </c>
      <c r="D1741" t="s">
        <v>8237</v>
      </c>
      <c r="E1741" s="225">
        <v>315</v>
      </c>
      <c r="F1741" t="s">
        <v>8742</v>
      </c>
      <c r="G1741" t="s">
        <v>8741</v>
      </c>
      <c r="H1741" t="s">
        <v>8704</v>
      </c>
      <c r="I1741" s="99">
        <v>44051</v>
      </c>
      <c r="J1741">
        <f>YEAR(I1741)</f>
        <v>2020</v>
      </c>
      <c r="K1741" s="99">
        <v>44059</v>
      </c>
      <c r="L1741" t="s">
        <v>8285</v>
      </c>
      <c r="M1741" t="s">
        <v>2317</v>
      </c>
    </row>
    <row r="1742" spans="2:13" x14ac:dyDescent="0.2">
      <c r="B1742">
        <v>10915</v>
      </c>
      <c r="C1742" t="s">
        <v>8269</v>
      </c>
      <c r="D1742" t="s">
        <v>8237</v>
      </c>
      <c r="E1742" s="225">
        <v>75</v>
      </c>
      <c r="F1742" t="s">
        <v>8742</v>
      </c>
      <c r="G1742" t="s">
        <v>8741</v>
      </c>
      <c r="H1742" t="s">
        <v>8704</v>
      </c>
      <c r="I1742" s="99">
        <v>44088</v>
      </c>
      <c r="J1742">
        <f>YEAR(I1742)</f>
        <v>2020</v>
      </c>
      <c r="K1742" s="99">
        <v>44091</v>
      </c>
      <c r="L1742" t="s">
        <v>8297</v>
      </c>
      <c r="M1742" t="s">
        <v>8298</v>
      </c>
    </row>
    <row r="1743" spans="2:13" x14ac:dyDescent="0.2">
      <c r="B1743">
        <v>11069</v>
      </c>
      <c r="C1743" t="s">
        <v>8342</v>
      </c>
      <c r="D1743" t="s">
        <v>8272</v>
      </c>
      <c r="E1743" s="225">
        <v>360</v>
      </c>
      <c r="F1743" t="s">
        <v>8742</v>
      </c>
      <c r="G1743" t="s">
        <v>8741</v>
      </c>
      <c r="H1743" t="s">
        <v>8704</v>
      </c>
      <c r="I1743" s="99">
        <v>44154</v>
      </c>
      <c r="J1743">
        <f>YEAR(I1743)</f>
        <v>2020</v>
      </c>
      <c r="K1743" s="99">
        <v>44156</v>
      </c>
      <c r="L1743" t="s">
        <v>8285</v>
      </c>
      <c r="M1743" t="s">
        <v>2317</v>
      </c>
    </row>
    <row r="1744" spans="2:13" x14ac:dyDescent="0.2">
      <c r="B1744">
        <v>10292</v>
      </c>
      <c r="C1744" t="s">
        <v>8260</v>
      </c>
      <c r="D1744" t="s">
        <v>8262</v>
      </c>
      <c r="E1744" s="225">
        <v>1296</v>
      </c>
      <c r="F1744" t="s">
        <v>8746</v>
      </c>
      <c r="G1744" t="s">
        <v>8745</v>
      </c>
      <c r="H1744" t="s">
        <v>8710</v>
      </c>
      <c r="I1744" s="99">
        <v>43541</v>
      </c>
      <c r="J1744">
        <f>YEAR(I1744)</f>
        <v>2019</v>
      </c>
      <c r="K1744" s="99">
        <v>43546</v>
      </c>
      <c r="L1744" t="s">
        <v>8285</v>
      </c>
      <c r="M1744" t="s">
        <v>2317</v>
      </c>
    </row>
    <row r="1745" spans="2:13" x14ac:dyDescent="0.2">
      <c r="B1745">
        <v>10496</v>
      </c>
      <c r="C1745" t="s">
        <v>8309</v>
      </c>
      <c r="D1745" t="s">
        <v>8237</v>
      </c>
      <c r="E1745" s="225">
        <v>190</v>
      </c>
      <c r="F1745" t="s">
        <v>8746</v>
      </c>
      <c r="G1745" t="s">
        <v>8745</v>
      </c>
      <c r="H1745" t="s">
        <v>8710</v>
      </c>
      <c r="I1745" s="99">
        <v>43760</v>
      </c>
      <c r="J1745">
        <f>YEAR(I1745)</f>
        <v>2019</v>
      </c>
      <c r="K1745" s="99">
        <v>43763</v>
      </c>
      <c r="L1745" t="s">
        <v>8158</v>
      </c>
      <c r="M1745" t="s">
        <v>861</v>
      </c>
    </row>
    <row r="1746" spans="2:13" x14ac:dyDescent="0.2">
      <c r="B1746">
        <v>10606</v>
      </c>
      <c r="C1746" t="s">
        <v>8352</v>
      </c>
      <c r="D1746" t="s">
        <v>8254</v>
      </c>
      <c r="E1746" s="225">
        <v>352</v>
      </c>
      <c r="F1746" t="s">
        <v>8746</v>
      </c>
      <c r="G1746" t="s">
        <v>8745</v>
      </c>
      <c r="H1746" t="s">
        <v>8710</v>
      </c>
      <c r="I1746" s="99">
        <v>43869</v>
      </c>
      <c r="J1746">
        <f>YEAR(I1746)</f>
        <v>2020</v>
      </c>
      <c r="K1746" s="99">
        <v>43878</v>
      </c>
      <c r="L1746" t="s">
        <v>8266</v>
      </c>
      <c r="M1746" t="s">
        <v>8267</v>
      </c>
    </row>
    <row r="1747" spans="2:13" x14ac:dyDescent="0.2">
      <c r="B1747">
        <v>10606</v>
      </c>
      <c r="C1747" t="s">
        <v>8291</v>
      </c>
      <c r="D1747" t="s">
        <v>8262</v>
      </c>
      <c r="E1747" s="225">
        <v>394.4</v>
      </c>
      <c r="F1747" t="s">
        <v>8746</v>
      </c>
      <c r="G1747" t="s">
        <v>8745</v>
      </c>
      <c r="H1747" t="s">
        <v>8710</v>
      </c>
      <c r="I1747" s="99">
        <v>43869</v>
      </c>
      <c r="J1747">
        <f>YEAR(I1747)</f>
        <v>2020</v>
      </c>
      <c r="K1747" s="99">
        <v>43878</v>
      </c>
      <c r="L1747" t="s">
        <v>8266</v>
      </c>
      <c r="M1747" t="s">
        <v>8267</v>
      </c>
    </row>
    <row r="1748" spans="2:13" x14ac:dyDescent="0.2">
      <c r="B1748">
        <v>10830</v>
      </c>
      <c r="C1748" t="s">
        <v>8342</v>
      </c>
      <c r="D1748" t="s">
        <v>8272</v>
      </c>
      <c r="E1748" s="225">
        <v>504</v>
      </c>
      <c r="F1748" t="s">
        <v>8746</v>
      </c>
      <c r="G1748" t="s">
        <v>8745</v>
      </c>
      <c r="H1748" t="s">
        <v>8710</v>
      </c>
      <c r="I1748" s="99">
        <v>44044</v>
      </c>
      <c r="J1748">
        <f>YEAR(I1748)</f>
        <v>2020</v>
      </c>
      <c r="K1748" s="99">
        <v>44052</v>
      </c>
      <c r="L1748" t="s">
        <v>8266</v>
      </c>
      <c r="M1748" t="s">
        <v>8267</v>
      </c>
    </row>
    <row r="1749" spans="2:13" x14ac:dyDescent="0.2">
      <c r="B1749">
        <v>10830</v>
      </c>
      <c r="C1749" t="s">
        <v>8351</v>
      </c>
      <c r="D1749" t="s">
        <v>8254</v>
      </c>
      <c r="E1749" s="225">
        <v>150</v>
      </c>
      <c r="F1749" t="s">
        <v>8746</v>
      </c>
      <c r="G1749" t="s">
        <v>8745</v>
      </c>
      <c r="H1749" t="s">
        <v>8710</v>
      </c>
      <c r="I1749" s="99">
        <v>44044</v>
      </c>
      <c r="J1749">
        <f>YEAR(I1749)</f>
        <v>2020</v>
      </c>
      <c r="K1749" s="99">
        <v>44052</v>
      </c>
      <c r="L1749" t="s">
        <v>8266</v>
      </c>
      <c r="M1749" t="s">
        <v>8267</v>
      </c>
    </row>
    <row r="1750" spans="2:13" x14ac:dyDescent="0.2">
      <c r="B1750">
        <v>10830</v>
      </c>
      <c r="C1750" t="s">
        <v>8334</v>
      </c>
      <c r="D1750" t="s">
        <v>8262</v>
      </c>
      <c r="E1750" s="225">
        <v>300</v>
      </c>
      <c r="F1750" t="s">
        <v>8746</v>
      </c>
      <c r="G1750" t="s">
        <v>8745</v>
      </c>
      <c r="H1750" t="s">
        <v>8710</v>
      </c>
      <c r="I1750" s="99">
        <v>44044</v>
      </c>
      <c r="J1750">
        <f>YEAR(I1750)</f>
        <v>2020</v>
      </c>
      <c r="K1750" s="99">
        <v>44052</v>
      </c>
      <c r="L1750" t="s">
        <v>8266</v>
      </c>
      <c r="M1750" t="s">
        <v>8267</v>
      </c>
    </row>
    <row r="1751" spans="2:13" x14ac:dyDescent="0.2">
      <c r="B1751">
        <v>10830</v>
      </c>
      <c r="C1751" t="s">
        <v>8268</v>
      </c>
      <c r="D1751" t="s">
        <v>8237</v>
      </c>
      <c r="E1751" s="225">
        <v>1020</v>
      </c>
      <c r="F1751" t="s">
        <v>8746</v>
      </c>
      <c r="G1751" t="s">
        <v>8745</v>
      </c>
      <c r="H1751" t="s">
        <v>8710</v>
      </c>
      <c r="I1751" s="99">
        <v>44044</v>
      </c>
      <c r="J1751">
        <f>YEAR(I1751)</f>
        <v>2020</v>
      </c>
      <c r="K1751" s="99">
        <v>44052</v>
      </c>
      <c r="L1751" t="s">
        <v>8266</v>
      </c>
      <c r="M1751" t="s">
        <v>8267</v>
      </c>
    </row>
    <row r="1752" spans="2:13" x14ac:dyDescent="0.2">
      <c r="B1752">
        <v>10839</v>
      </c>
      <c r="C1752" t="s">
        <v>8235</v>
      </c>
      <c r="D1752" t="s">
        <v>8237</v>
      </c>
      <c r="E1752" s="225">
        <v>469.8</v>
      </c>
      <c r="F1752" t="s">
        <v>8746</v>
      </c>
      <c r="G1752" t="s">
        <v>8745</v>
      </c>
      <c r="H1752" t="s">
        <v>8710</v>
      </c>
      <c r="I1752" s="99">
        <v>44050</v>
      </c>
      <c r="J1752">
        <f>YEAR(I1752)</f>
        <v>2020</v>
      </c>
      <c r="K1752" s="99">
        <v>44053</v>
      </c>
      <c r="L1752" t="s">
        <v>8257</v>
      </c>
      <c r="M1752" t="s">
        <v>6984</v>
      </c>
    </row>
    <row r="1753" spans="2:13" x14ac:dyDescent="0.2">
      <c r="B1753">
        <v>10574</v>
      </c>
      <c r="C1753" t="s">
        <v>8291</v>
      </c>
      <c r="D1753" t="s">
        <v>8262</v>
      </c>
      <c r="E1753" s="225">
        <v>493</v>
      </c>
      <c r="F1753" t="s">
        <v>8776</v>
      </c>
      <c r="G1753" t="s">
        <v>8775</v>
      </c>
      <c r="H1753" t="s">
        <v>8701</v>
      </c>
      <c r="I1753" s="99">
        <v>43836</v>
      </c>
      <c r="J1753">
        <f>YEAR(I1753)</f>
        <v>2020</v>
      </c>
      <c r="K1753" s="99">
        <v>43847</v>
      </c>
      <c r="L1753" t="s">
        <v>8266</v>
      </c>
      <c r="M1753" t="s">
        <v>8267</v>
      </c>
    </row>
    <row r="1754" spans="2:13" x14ac:dyDescent="0.2">
      <c r="B1754">
        <v>10574</v>
      </c>
      <c r="C1754" t="s">
        <v>8269</v>
      </c>
      <c r="D1754" t="s">
        <v>8237</v>
      </c>
      <c r="E1754" s="225">
        <v>35</v>
      </c>
      <c r="F1754" t="s">
        <v>8776</v>
      </c>
      <c r="G1754" t="s">
        <v>8775</v>
      </c>
      <c r="H1754" t="s">
        <v>8701</v>
      </c>
      <c r="I1754" s="99">
        <v>43836</v>
      </c>
      <c r="J1754">
        <f>YEAR(I1754)</f>
        <v>2020</v>
      </c>
      <c r="K1754" s="99">
        <v>43847</v>
      </c>
      <c r="L1754" t="s">
        <v>8266</v>
      </c>
      <c r="M1754" t="s">
        <v>8267</v>
      </c>
    </row>
    <row r="1755" spans="2:13" x14ac:dyDescent="0.2">
      <c r="B1755">
        <v>10574</v>
      </c>
      <c r="C1755" t="s">
        <v>8340</v>
      </c>
      <c r="D1755" t="s">
        <v>8244</v>
      </c>
      <c r="E1755" s="225">
        <v>199.5</v>
      </c>
      <c r="F1755" t="s">
        <v>8776</v>
      </c>
      <c r="G1755" t="s">
        <v>8775</v>
      </c>
      <c r="H1755" t="s">
        <v>8701</v>
      </c>
      <c r="I1755" s="99">
        <v>43836</v>
      </c>
      <c r="J1755">
        <f>YEAR(I1755)</f>
        <v>2020</v>
      </c>
      <c r="K1755" s="99">
        <v>43847</v>
      </c>
      <c r="L1755" t="s">
        <v>8266</v>
      </c>
      <c r="M1755" t="s">
        <v>8267</v>
      </c>
    </row>
    <row r="1756" spans="2:13" x14ac:dyDescent="0.2">
      <c r="B1756">
        <v>10577</v>
      </c>
      <c r="C1756" t="s">
        <v>8342</v>
      </c>
      <c r="D1756" t="s">
        <v>8272</v>
      </c>
      <c r="E1756" s="225">
        <v>180</v>
      </c>
      <c r="F1756" t="s">
        <v>8776</v>
      </c>
      <c r="G1756" t="s">
        <v>8775</v>
      </c>
      <c r="H1756" t="s">
        <v>8701</v>
      </c>
      <c r="I1756" s="99">
        <v>43840</v>
      </c>
      <c r="J1756">
        <f>YEAR(I1756)</f>
        <v>2020</v>
      </c>
      <c r="K1756" s="99">
        <v>43847</v>
      </c>
      <c r="L1756" t="s">
        <v>8279</v>
      </c>
      <c r="M1756" t="s">
        <v>710</v>
      </c>
    </row>
    <row r="1757" spans="2:13" x14ac:dyDescent="0.2">
      <c r="B1757">
        <v>10577</v>
      </c>
      <c r="C1757" t="s">
        <v>8328</v>
      </c>
      <c r="D1757" t="s">
        <v>8272</v>
      </c>
      <c r="E1757" s="225">
        <v>155</v>
      </c>
      <c r="F1757" t="s">
        <v>8776</v>
      </c>
      <c r="G1757" t="s">
        <v>8775</v>
      </c>
      <c r="H1757" t="s">
        <v>8701</v>
      </c>
      <c r="I1757" s="99">
        <v>43840</v>
      </c>
      <c r="J1757">
        <f>YEAR(I1757)</f>
        <v>2020</v>
      </c>
      <c r="K1757" s="99">
        <v>43847</v>
      </c>
      <c r="L1757" t="s">
        <v>8279</v>
      </c>
      <c r="M1757" t="s">
        <v>710</v>
      </c>
    </row>
    <row r="1758" spans="2:13" x14ac:dyDescent="0.2">
      <c r="B1758">
        <v>10577</v>
      </c>
      <c r="C1758" t="s">
        <v>8397</v>
      </c>
      <c r="D1758" t="s">
        <v>8254</v>
      </c>
      <c r="E1758" s="225">
        <v>234</v>
      </c>
      <c r="F1758" t="s">
        <v>8776</v>
      </c>
      <c r="G1758" t="s">
        <v>8775</v>
      </c>
      <c r="H1758" t="s">
        <v>8701</v>
      </c>
      <c r="I1758" s="99">
        <v>43840</v>
      </c>
      <c r="J1758">
        <f>YEAR(I1758)</f>
        <v>2020</v>
      </c>
      <c r="K1758" s="99">
        <v>43847</v>
      </c>
      <c r="L1758" t="s">
        <v>8279</v>
      </c>
      <c r="M1758" t="s">
        <v>710</v>
      </c>
    </row>
    <row r="1759" spans="2:13" x14ac:dyDescent="0.2">
      <c r="B1759">
        <v>10822</v>
      </c>
      <c r="C1759" t="s">
        <v>8288</v>
      </c>
      <c r="D1759" t="s">
        <v>8272</v>
      </c>
      <c r="E1759" s="225">
        <v>90</v>
      </c>
      <c r="F1759" t="s">
        <v>8776</v>
      </c>
      <c r="G1759" t="s">
        <v>8775</v>
      </c>
      <c r="H1759" t="s">
        <v>8701</v>
      </c>
      <c r="I1759" s="99">
        <v>44039</v>
      </c>
      <c r="J1759">
        <f>YEAR(I1759)</f>
        <v>2020</v>
      </c>
      <c r="K1759" s="99">
        <v>44047</v>
      </c>
      <c r="L1759" t="s">
        <v>8251</v>
      </c>
      <c r="M1759" t="s">
        <v>269</v>
      </c>
    </row>
    <row r="1760" spans="2:13" x14ac:dyDescent="0.2">
      <c r="B1760">
        <v>10822</v>
      </c>
      <c r="C1760" t="s">
        <v>8291</v>
      </c>
      <c r="D1760" t="s">
        <v>8262</v>
      </c>
      <c r="E1760" s="225">
        <v>147.9</v>
      </c>
      <c r="F1760" t="s">
        <v>8776</v>
      </c>
      <c r="G1760" t="s">
        <v>8775</v>
      </c>
      <c r="H1760" t="s">
        <v>8701</v>
      </c>
      <c r="I1760" s="99">
        <v>44039</v>
      </c>
      <c r="J1760">
        <f>YEAR(I1760)</f>
        <v>2020</v>
      </c>
      <c r="K1760" s="99">
        <v>44047</v>
      </c>
      <c r="L1760" t="s">
        <v>8251</v>
      </c>
      <c r="M1760" t="s">
        <v>269</v>
      </c>
    </row>
    <row r="1761" spans="2:13" x14ac:dyDescent="0.2">
      <c r="B1761">
        <v>10367</v>
      </c>
      <c r="C1761" t="s">
        <v>8358</v>
      </c>
      <c r="D1761" t="s">
        <v>8272</v>
      </c>
      <c r="E1761" s="225">
        <v>403.2</v>
      </c>
      <c r="F1761" t="s">
        <v>8395</v>
      </c>
      <c r="G1761" t="s">
        <v>8396</v>
      </c>
      <c r="H1761" t="s">
        <v>8374</v>
      </c>
      <c r="I1761" s="99">
        <v>43633</v>
      </c>
      <c r="J1761">
        <f>YEAR(I1761)</f>
        <v>2019</v>
      </c>
      <c r="K1761" s="99">
        <v>43637</v>
      </c>
      <c r="L1761" t="s">
        <v>8158</v>
      </c>
      <c r="M1761" t="s">
        <v>861</v>
      </c>
    </row>
    <row r="1762" spans="2:13" x14ac:dyDescent="0.2">
      <c r="B1762">
        <v>10367</v>
      </c>
      <c r="C1762" t="s">
        <v>8253</v>
      </c>
      <c r="D1762" t="s">
        <v>8254</v>
      </c>
      <c r="E1762" s="225">
        <v>252</v>
      </c>
      <c r="F1762" t="s">
        <v>8395</v>
      </c>
      <c r="G1762" t="s">
        <v>8396</v>
      </c>
      <c r="H1762" t="s">
        <v>8374</v>
      </c>
      <c r="I1762" s="99">
        <v>43633</v>
      </c>
      <c r="J1762">
        <f>YEAR(I1762)</f>
        <v>2019</v>
      </c>
      <c r="K1762" s="99">
        <v>43637</v>
      </c>
      <c r="L1762" t="s">
        <v>8158</v>
      </c>
      <c r="M1762" t="s">
        <v>861</v>
      </c>
    </row>
    <row r="1763" spans="2:13" x14ac:dyDescent="0.2">
      <c r="B1763">
        <v>10367</v>
      </c>
      <c r="C1763" t="s">
        <v>8397</v>
      </c>
      <c r="D1763" t="s">
        <v>8254</v>
      </c>
      <c r="E1763" s="225">
        <v>72.8</v>
      </c>
      <c r="F1763" t="s">
        <v>8395</v>
      </c>
      <c r="G1763" t="s">
        <v>8396</v>
      </c>
      <c r="H1763" t="s">
        <v>8374</v>
      </c>
      <c r="I1763" s="99">
        <v>43633</v>
      </c>
      <c r="J1763">
        <f>YEAR(I1763)</f>
        <v>2019</v>
      </c>
      <c r="K1763" s="99">
        <v>43637</v>
      </c>
      <c r="L1763" t="s">
        <v>8158</v>
      </c>
      <c r="M1763" t="s">
        <v>861</v>
      </c>
    </row>
    <row r="1764" spans="2:13" x14ac:dyDescent="0.2">
      <c r="B1764">
        <v>10399</v>
      </c>
      <c r="C1764" t="s">
        <v>8303</v>
      </c>
      <c r="D1764" t="s">
        <v>8272</v>
      </c>
      <c r="E1764" s="225">
        <v>504</v>
      </c>
      <c r="F1764" t="s">
        <v>8395</v>
      </c>
      <c r="G1764" t="s">
        <v>8396</v>
      </c>
      <c r="H1764" t="s">
        <v>8374</v>
      </c>
      <c r="I1764" s="99">
        <v>43666</v>
      </c>
      <c r="J1764">
        <f>YEAR(I1764)</f>
        <v>2019</v>
      </c>
      <c r="K1764" s="99">
        <v>43674</v>
      </c>
      <c r="L1764" t="s">
        <v>8320</v>
      </c>
      <c r="M1764" t="s">
        <v>8321</v>
      </c>
    </row>
    <row r="1765" spans="2:13" x14ac:dyDescent="0.2">
      <c r="B1765">
        <v>10399</v>
      </c>
      <c r="C1765" t="s">
        <v>8397</v>
      </c>
      <c r="D1765" t="s">
        <v>8254</v>
      </c>
      <c r="E1765" s="225">
        <v>145.6</v>
      </c>
      <c r="F1765" t="s">
        <v>8395</v>
      </c>
      <c r="G1765" t="s">
        <v>8396</v>
      </c>
      <c r="H1765" t="s">
        <v>8374</v>
      </c>
      <c r="I1765" s="99">
        <v>43666</v>
      </c>
      <c r="J1765">
        <f>YEAR(I1765)</f>
        <v>2019</v>
      </c>
      <c r="K1765" s="99">
        <v>43674</v>
      </c>
      <c r="L1765" t="s">
        <v>8320</v>
      </c>
      <c r="M1765" t="s">
        <v>8321</v>
      </c>
    </row>
    <row r="1766" spans="2:13" x14ac:dyDescent="0.2">
      <c r="B1766">
        <v>10399</v>
      </c>
      <c r="C1766" t="s">
        <v>8334</v>
      </c>
      <c r="D1766" t="s">
        <v>8262</v>
      </c>
      <c r="E1766" s="225">
        <v>600</v>
      </c>
      <c r="F1766" t="s">
        <v>8395</v>
      </c>
      <c r="G1766" t="s">
        <v>8396</v>
      </c>
      <c r="H1766" t="s">
        <v>8374</v>
      </c>
      <c r="I1766" s="99">
        <v>43666</v>
      </c>
      <c r="J1766">
        <f>YEAR(I1766)</f>
        <v>2019</v>
      </c>
      <c r="K1766" s="99">
        <v>43674</v>
      </c>
      <c r="L1766" t="s">
        <v>8320</v>
      </c>
      <c r="M1766" t="s">
        <v>8321</v>
      </c>
    </row>
    <row r="1767" spans="2:13" x14ac:dyDescent="0.2">
      <c r="B1767">
        <v>10399</v>
      </c>
      <c r="C1767" t="s">
        <v>8310</v>
      </c>
      <c r="D1767" t="s">
        <v>8237</v>
      </c>
      <c r="E1767" s="225">
        <v>516</v>
      </c>
      <c r="F1767" t="s">
        <v>8395</v>
      </c>
      <c r="G1767" t="s">
        <v>8396</v>
      </c>
      <c r="H1767" t="s">
        <v>8374</v>
      </c>
      <c r="I1767" s="99">
        <v>43666</v>
      </c>
      <c r="J1767">
        <f>YEAR(I1767)</f>
        <v>2019</v>
      </c>
      <c r="K1767" s="99">
        <v>43674</v>
      </c>
      <c r="L1767" t="s">
        <v>8320</v>
      </c>
      <c r="M1767" t="s">
        <v>8321</v>
      </c>
    </row>
    <row r="1768" spans="2:13" x14ac:dyDescent="0.2">
      <c r="B1768">
        <v>10465</v>
      </c>
      <c r="C1768" t="s">
        <v>8270</v>
      </c>
      <c r="D1768" t="s">
        <v>8272</v>
      </c>
      <c r="E1768" s="225">
        <v>90</v>
      </c>
      <c r="F1768" t="s">
        <v>8395</v>
      </c>
      <c r="G1768" t="s">
        <v>8396</v>
      </c>
      <c r="H1768" t="s">
        <v>8374</v>
      </c>
      <c r="I1768" s="99">
        <v>43730</v>
      </c>
      <c r="J1768">
        <f>YEAR(I1768)</f>
        <v>2019</v>
      </c>
      <c r="K1768" s="99">
        <v>43739</v>
      </c>
      <c r="L1768" t="s">
        <v>8285</v>
      </c>
      <c r="M1768" t="s">
        <v>2317</v>
      </c>
    </row>
    <row r="1769" spans="2:13" x14ac:dyDescent="0.2">
      <c r="B1769">
        <v>10465</v>
      </c>
      <c r="C1769" t="s">
        <v>8381</v>
      </c>
      <c r="D1769" t="s">
        <v>8262</v>
      </c>
      <c r="E1769" s="225">
        <v>325</v>
      </c>
      <c r="F1769" t="s">
        <v>8395</v>
      </c>
      <c r="G1769" t="s">
        <v>8396</v>
      </c>
      <c r="H1769" t="s">
        <v>8374</v>
      </c>
      <c r="I1769" s="99">
        <v>43730</v>
      </c>
      <c r="J1769">
        <f>YEAR(I1769)</f>
        <v>2019</v>
      </c>
      <c r="K1769" s="99">
        <v>43739</v>
      </c>
      <c r="L1769" t="s">
        <v>8285</v>
      </c>
      <c r="M1769" t="s">
        <v>2317</v>
      </c>
    </row>
    <row r="1770" spans="2:13" x14ac:dyDescent="0.2">
      <c r="B1770">
        <v>10591</v>
      </c>
      <c r="C1770" t="s">
        <v>8337</v>
      </c>
      <c r="D1770" t="s">
        <v>8254</v>
      </c>
      <c r="E1770" s="225">
        <v>140</v>
      </c>
      <c r="F1770" t="s">
        <v>8395</v>
      </c>
      <c r="G1770" t="s">
        <v>8396</v>
      </c>
      <c r="H1770" t="s">
        <v>8374</v>
      </c>
      <c r="I1770" s="99">
        <v>43854</v>
      </c>
      <c r="J1770">
        <f>YEAR(I1770)</f>
        <v>2020</v>
      </c>
      <c r="K1770" s="99">
        <v>43863</v>
      </c>
      <c r="L1770" t="s">
        <v>8285</v>
      </c>
      <c r="M1770" t="s">
        <v>2317</v>
      </c>
    </row>
    <row r="1771" spans="2:13" x14ac:dyDescent="0.2">
      <c r="B1771">
        <v>10591</v>
      </c>
      <c r="C1771" t="s">
        <v>8415</v>
      </c>
      <c r="D1771" t="s">
        <v>8247</v>
      </c>
      <c r="E1771" s="225">
        <v>300</v>
      </c>
      <c r="F1771" t="s">
        <v>8395</v>
      </c>
      <c r="G1771" t="s">
        <v>8396</v>
      </c>
      <c r="H1771" t="s">
        <v>8374</v>
      </c>
      <c r="I1771" s="99">
        <v>43854</v>
      </c>
      <c r="J1771">
        <f>YEAR(I1771)</f>
        <v>2020</v>
      </c>
      <c r="K1771" s="99">
        <v>43863</v>
      </c>
      <c r="L1771" t="s">
        <v>8285</v>
      </c>
      <c r="M1771" t="s">
        <v>2317</v>
      </c>
    </row>
    <row r="1772" spans="2:13" x14ac:dyDescent="0.2">
      <c r="B1772">
        <v>10602</v>
      </c>
      <c r="C1772" t="s">
        <v>8397</v>
      </c>
      <c r="D1772" t="s">
        <v>8254</v>
      </c>
      <c r="E1772" s="225">
        <v>48.75</v>
      </c>
      <c r="F1772" t="s">
        <v>8395</v>
      </c>
      <c r="G1772" t="s">
        <v>8396</v>
      </c>
      <c r="H1772" t="s">
        <v>8374</v>
      </c>
      <c r="I1772" s="99">
        <v>43864</v>
      </c>
      <c r="J1772">
        <f>YEAR(I1772)</f>
        <v>2020</v>
      </c>
      <c r="K1772" s="99">
        <v>43869</v>
      </c>
      <c r="L1772" t="s">
        <v>8320</v>
      </c>
      <c r="M1772" t="s">
        <v>8321</v>
      </c>
    </row>
    <row r="1773" spans="2:13" x14ac:dyDescent="0.2">
      <c r="B1773">
        <v>10688</v>
      </c>
      <c r="C1773" t="s">
        <v>8358</v>
      </c>
      <c r="D1773" t="s">
        <v>8272</v>
      </c>
      <c r="E1773" s="225">
        <v>196</v>
      </c>
      <c r="F1773" t="s">
        <v>8395</v>
      </c>
      <c r="G1773" t="s">
        <v>8396</v>
      </c>
      <c r="H1773" t="s">
        <v>8374</v>
      </c>
      <c r="I1773" s="99">
        <v>43940</v>
      </c>
      <c r="J1773">
        <f>YEAR(I1773)</f>
        <v>2020</v>
      </c>
      <c r="K1773" s="99">
        <v>43946</v>
      </c>
      <c r="L1773" t="s">
        <v>8266</v>
      </c>
      <c r="M1773" t="s">
        <v>8267</v>
      </c>
    </row>
    <row r="1774" spans="2:13" x14ac:dyDescent="0.2">
      <c r="B1774">
        <v>10688</v>
      </c>
      <c r="C1774" t="s">
        <v>8316</v>
      </c>
      <c r="D1774" t="s">
        <v>8247</v>
      </c>
      <c r="E1774" s="225">
        <v>2462.4</v>
      </c>
      <c r="F1774" t="s">
        <v>8395</v>
      </c>
      <c r="G1774" t="s">
        <v>8396</v>
      </c>
      <c r="H1774" t="s">
        <v>8374</v>
      </c>
      <c r="I1774" s="99">
        <v>43940</v>
      </c>
      <c r="J1774">
        <f>YEAR(I1774)</f>
        <v>2020</v>
      </c>
      <c r="K1774" s="99">
        <v>43946</v>
      </c>
      <c r="L1774" t="s">
        <v>8266</v>
      </c>
      <c r="M1774" t="s">
        <v>8267</v>
      </c>
    </row>
    <row r="1775" spans="2:13" x14ac:dyDescent="0.2">
      <c r="B1775">
        <v>10769</v>
      </c>
      <c r="C1775" t="s">
        <v>8409</v>
      </c>
      <c r="D1775" t="s">
        <v>8254</v>
      </c>
      <c r="E1775" s="225">
        <v>570</v>
      </c>
      <c r="F1775" t="s">
        <v>8395</v>
      </c>
      <c r="G1775" t="s">
        <v>8396</v>
      </c>
      <c r="H1775" t="s">
        <v>8374</v>
      </c>
      <c r="I1775" s="99">
        <v>44008</v>
      </c>
      <c r="J1775">
        <f>YEAR(I1775)</f>
        <v>2020</v>
      </c>
      <c r="K1775" s="99">
        <v>44013</v>
      </c>
      <c r="L1775" t="s">
        <v>8257</v>
      </c>
      <c r="M1775" t="s">
        <v>6984</v>
      </c>
    </row>
    <row r="1776" spans="2:13" x14ac:dyDescent="0.2">
      <c r="B1776">
        <v>10769</v>
      </c>
      <c r="C1776" t="s">
        <v>8291</v>
      </c>
      <c r="D1776" t="s">
        <v>8262</v>
      </c>
      <c r="E1776" s="225">
        <v>739.5</v>
      </c>
      <c r="F1776" t="s">
        <v>8395</v>
      </c>
      <c r="G1776" t="s">
        <v>8396</v>
      </c>
      <c r="H1776" t="s">
        <v>8374</v>
      </c>
      <c r="I1776" s="99">
        <v>44008</v>
      </c>
      <c r="J1776">
        <f>YEAR(I1776)</f>
        <v>2020</v>
      </c>
      <c r="K1776" s="99">
        <v>44013</v>
      </c>
      <c r="L1776" t="s">
        <v>8257</v>
      </c>
      <c r="M1776" t="s">
        <v>6984</v>
      </c>
    </row>
    <row r="1777" spans="2:13" x14ac:dyDescent="0.2">
      <c r="B1777">
        <v>10769</v>
      </c>
      <c r="C1777" t="s">
        <v>8369</v>
      </c>
      <c r="D1777" t="s">
        <v>8244</v>
      </c>
      <c r="E1777" s="225">
        <v>99.75</v>
      </c>
      <c r="F1777" t="s">
        <v>8395</v>
      </c>
      <c r="G1777" t="s">
        <v>8396</v>
      </c>
      <c r="H1777" t="s">
        <v>8374</v>
      </c>
      <c r="I1777" s="99">
        <v>44008</v>
      </c>
      <c r="J1777">
        <f>YEAR(I1777)</f>
        <v>2020</v>
      </c>
      <c r="K1777" s="99">
        <v>44013</v>
      </c>
      <c r="L1777" t="s">
        <v>8257</v>
      </c>
      <c r="M1777" t="s">
        <v>6984</v>
      </c>
    </row>
    <row r="1778" spans="2:13" x14ac:dyDescent="0.2">
      <c r="B1778">
        <v>10921</v>
      </c>
      <c r="C1778" t="s">
        <v>8323</v>
      </c>
      <c r="D1778" t="s">
        <v>8272</v>
      </c>
      <c r="E1778" s="225">
        <v>180</v>
      </c>
      <c r="F1778" t="s">
        <v>8395</v>
      </c>
      <c r="G1778" t="s">
        <v>8396</v>
      </c>
      <c r="H1778" t="s">
        <v>8374</v>
      </c>
      <c r="I1778" s="99">
        <v>44092</v>
      </c>
      <c r="J1778">
        <f>YEAR(I1778)</f>
        <v>2020</v>
      </c>
      <c r="K1778" s="99">
        <v>44098</v>
      </c>
      <c r="L1778" t="s">
        <v>8285</v>
      </c>
      <c r="M1778" t="s">
        <v>2317</v>
      </c>
    </row>
    <row r="1779" spans="2:13" x14ac:dyDescent="0.2">
      <c r="B1779">
        <v>10921</v>
      </c>
      <c r="C1779" t="s">
        <v>8317</v>
      </c>
      <c r="D1779" t="s">
        <v>8254</v>
      </c>
      <c r="E1779" s="225">
        <v>1756</v>
      </c>
      <c r="F1779" t="s">
        <v>8395</v>
      </c>
      <c r="G1779" t="s">
        <v>8396</v>
      </c>
      <c r="H1779" t="s">
        <v>8374</v>
      </c>
      <c r="I1779" s="99">
        <v>44092</v>
      </c>
      <c r="J1779">
        <f>YEAR(I1779)</f>
        <v>2020</v>
      </c>
      <c r="K1779" s="99">
        <v>44098</v>
      </c>
      <c r="L1779" t="s">
        <v>8285</v>
      </c>
      <c r="M1779" t="s">
        <v>2317</v>
      </c>
    </row>
    <row r="1780" spans="2:13" x14ac:dyDescent="0.2">
      <c r="B1780">
        <v>10946</v>
      </c>
      <c r="C1780" t="s">
        <v>8270</v>
      </c>
      <c r="D1780" t="s">
        <v>8272</v>
      </c>
      <c r="E1780" s="225">
        <v>112.5</v>
      </c>
      <c r="F1780" t="s">
        <v>8395</v>
      </c>
      <c r="G1780" t="s">
        <v>8396</v>
      </c>
      <c r="H1780" t="s">
        <v>8374</v>
      </c>
      <c r="I1780" s="99">
        <v>44101</v>
      </c>
      <c r="J1780">
        <f>YEAR(I1780)</f>
        <v>2020</v>
      </c>
      <c r="K1780" s="99">
        <v>44108</v>
      </c>
      <c r="L1780" t="s">
        <v>8285</v>
      </c>
      <c r="M1780" t="s">
        <v>2317</v>
      </c>
    </row>
    <row r="1781" spans="2:13" x14ac:dyDescent="0.2">
      <c r="B1781">
        <v>10946</v>
      </c>
      <c r="C1781" t="s">
        <v>8397</v>
      </c>
      <c r="D1781" t="s">
        <v>8254</v>
      </c>
      <c r="E1781" s="225">
        <v>520</v>
      </c>
      <c r="F1781" t="s">
        <v>8395</v>
      </c>
      <c r="G1781" t="s">
        <v>8396</v>
      </c>
      <c r="H1781" t="s">
        <v>8374</v>
      </c>
      <c r="I1781" s="99">
        <v>44101</v>
      </c>
      <c r="J1781">
        <f>YEAR(I1781)</f>
        <v>2020</v>
      </c>
      <c r="K1781" s="99">
        <v>44108</v>
      </c>
      <c r="L1781" t="s">
        <v>8285</v>
      </c>
      <c r="M1781" t="s">
        <v>2317</v>
      </c>
    </row>
    <row r="1782" spans="2:13" x14ac:dyDescent="0.2">
      <c r="B1782">
        <v>10994</v>
      </c>
      <c r="C1782" t="s">
        <v>8281</v>
      </c>
      <c r="D1782" t="s">
        <v>8237</v>
      </c>
      <c r="E1782" s="225">
        <v>940.5</v>
      </c>
      <c r="F1782" t="s">
        <v>8395</v>
      </c>
      <c r="G1782" t="s">
        <v>8396</v>
      </c>
      <c r="H1782" t="s">
        <v>8374</v>
      </c>
      <c r="I1782" s="99">
        <v>44122</v>
      </c>
      <c r="J1782">
        <f>YEAR(I1782)</f>
        <v>2020</v>
      </c>
      <c r="K1782" s="99">
        <v>44129</v>
      </c>
      <c r="L1782" t="s">
        <v>8297</v>
      </c>
      <c r="M1782" t="s">
        <v>8298</v>
      </c>
    </row>
    <row r="1783" spans="2:13" x14ac:dyDescent="0.2">
      <c r="B1783">
        <v>10251</v>
      </c>
      <c r="C1783" t="s">
        <v>8253</v>
      </c>
      <c r="D1783" t="s">
        <v>8254</v>
      </c>
      <c r="E1783" s="225">
        <v>336</v>
      </c>
      <c r="F1783" t="s">
        <v>8255</v>
      </c>
      <c r="G1783" t="s">
        <v>8256</v>
      </c>
      <c r="H1783" t="s">
        <v>8236</v>
      </c>
      <c r="I1783" s="99">
        <v>43490</v>
      </c>
      <c r="J1783">
        <f>YEAR(I1783)</f>
        <v>2019</v>
      </c>
      <c r="K1783" s="99">
        <v>43497</v>
      </c>
      <c r="L1783" t="s">
        <v>8257</v>
      </c>
      <c r="M1783" t="s">
        <v>6984</v>
      </c>
    </row>
    <row r="1784" spans="2:13" x14ac:dyDescent="0.2">
      <c r="B1784">
        <v>10251</v>
      </c>
      <c r="C1784" t="s">
        <v>8259</v>
      </c>
      <c r="D1784" t="s">
        <v>8244</v>
      </c>
      <c r="E1784" s="225">
        <v>95.76</v>
      </c>
      <c r="F1784" t="s">
        <v>8255</v>
      </c>
      <c r="G1784" t="s">
        <v>8256</v>
      </c>
      <c r="H1784" t="s">
        <v>8236</v>
      </c>
      <c r="I1784" s="99">
        <v>43490</v>
      </c>
      <c r="J1784">
        <f>YEAR(I1784)</f>
        <v>2019</v>
      </c>
      <c r="K1784" s="99">
        <v>43497</v>
      </c>
      <c r="L1784" t="s">
        <v>8257</v>
      </c>
      <c r="M1784" t="s">
        <v>6984</v>
      </c>
    </row>
    <row r="1785" spans="2:13" x14ac:dyDescent="0.2">
      <c r="B1785">
        <v>10251</v>
      </c>
      <c r="C1785" t="s">
        <v>8258</v>
      </c>
      <c r="D1785" t="s">
        <v>8244</v>
      </c>
      <c r="E1785" s="225">
        <v>222.3</v>
      </c>
      <c r="F1785" t="s">
        <v>8255</v>
      </c>
      <c r="G1785" t="s">
        <v>8256</v>
      </c>
      <c r="H1785" t="s">
        <v>8236</v>
      </c>
      <c r="I1785" s="99">
        <v>43490</v>
      </c>
      <c r="J1785">
        <f>YEAR(I1785)</f>
        <v>2019</v>
      </c>
      <c r="K1785" s="99">
        <v>43497</v>
      </c>
      <c r="L1785" t="s">
        <v>8257</v>
      </c>
      <c r="M1785" t="s">
        <v>6984</v>
      </c>
    </row>
    <row r="1786" spans="2:13" x14ac:dyDescent="0.2">
      <c r="B1786">
        <v>10334</v>
      </c>
      <c r="C1786" t="s">
        <v>8334</v>
      </c>
      <c r="D1786" t="s">
        <v>8262</v>
      </c>
      <c r="E1786" s="225">
        <v>100</v>
      </c>
      <c r="F1786" t="s">
        <v>8255</v>
      </c>
      <c r="G1786" t="s">
        <v>8256</v>
      </c>
      <c r="H1786" t="s">
        <v>8236</v>
      </c>
      <c r="I1786" s="99">
        <v>43595</v>
      </c>
      <c r="J1786">
        <f>YEAR(I1786)</f>
        <v>2019</v>
      </c>
      <c r="K1786" s="99">
        <v>43602</v>
      </c>
      <c r="L1786" t="s">
        <v>8320</v>
      </c>
      <c r="M1786" t="s">
        <v>8321</v>
      </c>
    </row>
    <row r="1787" spans="2:13" x14ac:dyDescent="0.2">
      <c r="B1787">
        <v>10334</v>
      </c>
      <c r="C1787" t="s">
        <v>8369</v>
      </c>
      <c r="D1787" t="s">
        <v>8244</v>
      </c>
      <c r="E1787" s="225">
        <v>44.8</v>
      </c>
      <c r="F1787" t="s">
        <v>8255</v>
      </c>
      <c r="G1787" t="s">
        <v>8256</v>
      </c>
      <c r="H1787" t="s">
        <v>8236</v>
      </c>
      <c r="I1787" s="99">
        <v>43595</v>
      </c>
      <c r="J1787">
        <f>YEAR(I1787)</f>
        <v>2019</v>
      </c>
      <c r="K1787" s="99">
        <v>43602</v>
      </c>
      <c r="L1787" t="s">
        <v>8320</v>
      </c>
      <c r="M1787" t="s">
        <v>8321</v>
      </c>
    </row>
    <row r="1788" spans="2:13" x14ac:dyDescent="0.2">
      <c r="B1788">
        <v>10459</v>
      </c>
      <c r="C1788" t="s">
        <v>8235</v>
      </c>
      <c r="D1788" t="s">
        <v>8237</v>
      </c>
      <c r="E1788" s="225">
        <v>1112</v>
      </c>
      <c r="F1788" t="s">
        <v>8255</v>
      </c>
      <c r="G1788" t="s">
        <v>8256</v>
      </c>
      <c r="H1788" t="s">
        <v>8236</v>
      </c>
      <c r="I1788" s="99">
        <v>43724</v>
      </c>
      <c r="J1788">
        <f>YEAR(I1788)</f>
        <v>2019</v>
      </c>
      <c r="K1788" s="99">
        <v>43725</v>
      </c>
      <c r="L1788" t="s">
        <v>8266</v>
      </c>
      <c r="M1788" t="s">
        <v>8267</v>
      </c>
    </row>
    <row r="1789" spans="2:13" x14ac:dyDescent="0.2">
      <c r="B1789">
        <v>10459</v>
      </c>
      <c r="C1789" t="s">
        <v>8415</v>
      </c>
      <c r="D1789" t="s">
        <v>8247</v>
      </c>
      <c r="E1789" s="225">
        <v>364.8</v>
      </c>
      <c r="F1789" t="s">
        <v>8255</v>
      </c>
      <c r="G1789" t="s">
        <v>8256</v>
      </c>
      <c r="H1789" t="s">
        <v>8236</v>
      </c>
      <c r="I1789" s="99">
        <v>43724</v>
      </c>
      <c r="J1789">
        <f>YEAR(I1789)</f>
        <v>2019</v>
      </c>
      <c r="K1789" s="99">
        <v>43725</v>
      </c>
      <c r="L1789" t="s">
        <v>8266</v>
      </c>
      <c r="M1789" t="s">
        <v>8267</v>
      </c>
    </row>
    <row r="1790" spans="2:13" x14ac:dyDescent="0.2">
      <c r="B1790">
        <v>10546</v>
      </c>
      <c r="C1790" t="s">
        <v>8323</v>
      </c>
      <c r="D1790" t="s">
        <v>8272</v>
      </c>
      <c r="E1790" s="225">
        <v>540</v>
      </c>
      <c r="F1790" t="s">
        <v>8255</v>
      </c>
      <c r="G1790" t="s">
        <v>8256</v>
      </c>
      <c r="H1790" t="s">
        <v>8236</v>
      </c>
      <c r="I1790" s="99">
        <v>43809</v>
      </c>
      <c r="J1790">
        <f>YEAR(I1790)</f>
        <v>2019</v>
      </c>
      <c r="K1790" s="99">
        <v>43813</v>
      </c>
      <c r="L1790" t="s">
        <v>8285</v>
      </c>
      <c r="M1790" t="s">
        <v>2317</v>
      </c>
    </row>
    <row r="1791" spans="2:13" x14ac:dyDescent="0.2">
      <c r="B1791">
        <v>10546</v>
      </c>
      <c r="C1791" t="s">
        <v>8291</v>
      </c>
      <c r="D1791" t="s">
        <v>8262</v>
      </c>
      <c r="E1791" s="225">
        <v>1972</v>
      </c>
      <c r="F1791" t="s">
        <v>8255</v>
      </c>
      <c r="G1791" t="s">
        <v>8256</v>
      </c>
      <c r="H1791" t="s">
        <v>8236</v>
      </c>
      <c r="I1791" s="99">
        <v>43809</v>
      </c>
      <c r="J1791">
        <f>YEAR(I1791)</f>
        <v>2019</v>
      </c>
      <c r="K1791" s="99">
        <v>43813</v>
      </c>
      <c r="L1791" t="s">
        <v>8285</v>
      </c>
      <c r="M1791" t="s">
        <v>2317</v>
      </c>
    </row>
    <row r="1792" spans="2:13" x14ac:dyDescent="0.2">
      <c r="B1792">
        <v>10546</v>
      </c>
      <c r="C1792" t="s">
        <v>8415</v>
      </c>
      <c r="D1792" t="s">
        <v>8247</v>
      </c>
      <c r="E1792" s="225">
        <v>300</v>
      </c>
      <c r="F1792" t="s">
        <v>8255</v>
      </c>
      <c r="G1792" t="s">
        <v>8256</v>
      </c>
      <c r="H1792" t="s">
        <v>8236</v>
      </c>
      <c r="I1792" s="99">
        <v>43809</v>
      </c>
      <c r="J1792">
        <f>YEAR(I1792)</f>
        <v>2019</v>
      </c>
      <c r="K1792" s="99">
        <v>43813</v>
      </c>
      <c r="L1792" t="s">
        <v>8285</v>
      </c>
      <c r="M1792" t="s">
        <v>2317</v>
      </c>
    </row>
    <row r="1793" spans="2:13" x14ac:dyDescent="0.2">
      <c r="B1793">
        <v>10806</v>
      </c>
      <c r="C1793" t="s">
        <v>8276</v>
      </c>
      <c r="D1793" t="s">
        <v>8272</v>
      </c>
      <c r="E1793" s="225">
        <v>285</v>
      </c>
      <c r="F1793" t="s">
        <v>8255</v>
      </c>
      <c r="G1793" t="s">
        <v>8256</v>
      </c>
      <c r="H1793" t="s">
        <v>8236</v>
      </c>
      <c r="I1793" s="99">
        <v>44031</v>
      </c>
      <c r="J1793">
        <f>YEAR(I1793)</f>
        <v>2020</v>
      </c>
      <c r="K1793" s="99">
        <v>44036</v>
      </c>
      <c r="L1793" t="s">
        <v>8257</v>
      </c>
      <c r="M1793" t="s">
        <v>6984</v>
      </c>
    </row>
    <row r="1794" spans="2:13" x14ac:dyDescent="0.2">
      <c r="B1794">
        <v>10806</v>
      </c>
      <c r="C1794" t="s">
        <v>8253</v>
      </c>
      <c r="D1794" t="s">
        <v>8254</v>
      </c>
      <c r="E1794" s="225">
        <v>42.1</v>
      </c>
      <c r="F1794" t="s">
        <v>8255</v>
      </c>
      <c r="G1794" t="s">
        <v>8256</v>
      </c>
      <c r="H1794" t="s">
        <v>8236</v>
      </c>
      <c r="I1794" s="99">
        <v>44031</v>
      </c>
      <c r="J1794">
        <f>YEAR(I1794)</f>
        <v>2020</v>
      </c>
      <c r="K1794" s="99">
        <v>44036</v>
      </c>
      <c r="L1794" t="s">
        <v>8257</v>
      </c>
      <c r="M1794" t="s">
        <v>6984</v>
      </c>
    </row>
    <row r="1795" spans="2:13" x14ac:dyDescent="0.2">
      <c r="B1795">
        <v>10806</v>
      </c>
      <c r="C1795" t="s">
        <v>8275</v>
      </c>
      <c r="D1795" t="s">
        <v>8247</v>
      </c>
      <c r="E1795" s="225">
        <v>112.5</v>
      </c>
      <c r="F1795" t="s">
        <v>8255</v>
      </c>
      <c r="G1795" t="s">
        <v>8256</v>
      </c>
      <c r="H1795" t="s">
        <v>8236</v>
      </c>
      <c r="I1795" s="99">
        <v>44031</v>
      </c>
      <c r="J1795">
        <f>YEAR(I1795)</f>
        <v>2020</v>
      </c>
      <c r="K1795" s="99">
        <v>44036</v>
      </c>
      <c r="L1795" t="s">
        <v>8257</v>
      </c>
      <c r="M1795" t="s">
        <v>6984</v>
      </c>
    </row>
    <row r="1796" spans="2:13" x14ac:dyDescent="0.2">
      <c r="B1796">
        <v>10814</v>
      </c>
      <c r="C1796" t="s">
        <v>8306</v>
      </c>
      <c r="D1796" t="s">
        <v>8272</v>
      </c>
      <c r="E1796" s="225">
        <v>782</v>
      </c>
      <c r="F1796" t="s">
        <v>8255</v>
      </c>
      <c r="G1796" t="s">
        <v>8256</v>
      </c>
      <c r="H1796" t="s">
        <v>8236</v>
      </c>
      <c r="I1796" s="99">
        <v>44036</v>
      </c>
      <c r="J1796">
        <f>YEAR(I1796)</f>
        <v>2020</v>
      </c>
      <c r="K1796" s="99">
        <v>44045</v>
      </c>
      <c r="L1796" t="s">
        <v>8257</v>
      </c>
      <c r="M1796" t="s">
        <v>6984</v>
      </c>
    </row>
    <row r="1797" spans="2:13" x14ac:dyDescent="0.2">
      <c r="B1797">
        <v>10814</v>
      </c>
      <c r="C1797" t="s">
        <v>8409</v>
      </c>
      <c r="D1797" t="s">
        <v>8254</v>
      </c>
      <c r="E1797" s="225">
        <v>726.75</v>
      </c>
      <c r="F1797" t="s">
        <v>8255</v>
      </c>
      <c r="G1797" t="s">
        <v>8256</v>
      </c>
      <c r="H1797" t="s">
        <v>8236</v>
      </c>
      <c r="I1797" s="99">
        <v>44036</v>
      </c>
      <c r="J1797">
        <f>YEAR(I1797)</f>
        <v>2020</v>
      </c>
      <c r="K1797" s="99">
        <v>44045</v>
      </c>
      <c r="L1797" t="s">
        <v>8257</v>
      </c>
      <c r="M1797" t="s">
        <v>6984</v>
      </c>
    </row>
    <row r="1798" spans="2:13" x14ac:dyDescent="0.2">
      <c r="B1798">
        <v>10814</v>
      </c>
      <c r="C1798" t="s">
        <v>8406</v>
      </c>
      <c r="D1798" t="s">
        <v>8262</v>
      </c>
      <c r="E1798" s="225">
        <v>86.7</v>
      </c>
      <c r="F1798" t="s">
        <v>8255</v>
      </c>
      <c r="G1798" t="s">
        <v>8256</v>
      </c>
      <c r="H1798" t="s">
        <v>8236</v>
      </c>
      <c r="I1798" s="99">
        <v>44036</v>
      </c>
      <c r="J1798">
        <f>YEAR(I1798)</f>
        <v>2020</v>
      </c>
      <c r="K1798" s="99">
        <v>44045</v>
      </c>
      <c r="L1798" t="s">
        <v>8257</v>
      </c>
      <c r="M1798" t="s">
        <v>6984</v>
      </c>
    </row>
    <row r="1799" spans="2:13" x14ac:dyDescent="0.2">
      <c r="B1799">
        <v>10843</v>
      </c>
      <c r="C1799" t="s">
        <v>8245</v>
      </c>
      <c r="D1799" t="s">
        <v>8247</v>
      </c>
      <c r="E1799" s="225">
        <v>159</v>
      </c>
      <c r="F1799" t="s">
        <v>8255</v>
      </c>
      <c r="G1799" t="s">
        <v>8256</v>
      </c>
      <c r="H1799" t="s">
        <v>8236</v>
      </c>
      <c r="I1799" s="99">
        <v>44052</v>
      </c>
      <c r="J1799">
        <f>YEAR(I1799)</f>
        <v>2020</v>
      </c>
      <c r="K1799" s="99">
        <v>44057</v>
      </c>
      <c r="L1799" t="s">
        <v>8266</v>
      </c>
      <c r="M1799" t="s">
        <v>8267</v>
      </c>
    </row>
    <row r="1800" spans="2:13" x14ac:dyDescent="0.2">
      <c r="B1800">
        <v>10850</v>
      </c>
      <c r="C1800" t="s">
        <v>8288</v>
      </c>
      <c r="D1800" t="s">
        <v>8272</v>
      </c>
      <c r="E1800" s="225">
        <v>382.5</v>
      </c>
      <c r="F1800" t="s">
        <v>8255</v>
      </c>
      <c r="G1800" t="s">
        <v>8256</v>
      </c>
      <c r="H1800" t="s">
        <v>8236</v>
      </c>
      <c r="I1800" s="99">
        <v>44054</v>
      </c>
      <c r="J1800">
        <f>YEAR(I1800)</f>
        <v>2020</v>
      </c>
      <c r="K1800" s="99">
        <v>44060</v>
      </c>
      <c r="L1800" t="s">
        <v>8285</v>
      </c>
      <c r="M1800" t="s">
        <v>2317</v>
      </c>
    </row>
    <row r="1801" spans="2:13" x14ac:dyDescent="0.2">
      <c r="B1801">
        <v>10850</v>
      </c>
      <c r="C1801" t="s">
        <v>8362</v>
      </c>
      <c r="D1801" t="s">
        <v>8262</v>
      </c>
      <c r="E1801" s="225">
        <v>238</v>
      </c>
      <c r="F1801" t="s">
        <v>8255</v>
      </c>
      <c r="G1801" t="s">
        <v>8256</v>
      </c>
      <c r="H1801" t="s">
        <v>8236</v>
      </c>
      <c r="I1801" s="99">
        <v>44054</v>
      </c>
      <c r="J1801">
        <f>YEAR(I1801)</f>
        <v>2020</v>
      </c>
      <c r="K1801" s="99">
        <v>44060</v>
      </c>
      <c r="L1801" t="s">
        <v>8285</v>
      </c>
      <c r="M1801" t="s">
        <v>2317</v>
      </c>
    </row>
    <row r="1802" spans="2:13" x14ac:dyDescent="0.2">
      <c r="B1802">
        <v>10850</v>
      </c>
      <c r="C1802" t="s">
        <v>8269</v>
      </c>
      <c r="D1802" t="s">
        <v>8237</v>
      </c>
      <c r="E1802" s="225">
        <v>8.5</v>
      </c>
      <c r="F1802" t="s">
        <v>8255</v>
      </c>
      <c r="G1802" t="s">
        <v>8256</v>
      </c>
      <c r="H1802" t="s">
        <v>8236</v>
      </c>
      <c r="I1802" s="99">
        <v>44054</v>
      </c>
      <c r="J1802">
        <f>YEAR(I1802)</f>
        <v>2020</v>
      </c>
      <c r="K1802" s="99">
        <v>44060</v>
      </c>
      <c r="L1802" t="s">
        <v>8285</v>
      </c>
      <c r="M1802" t="s">
        <v>2317</v>
      </c>
    </row>
    <row r="1803" spans="2:13" x14ac:dyDescent="0.2">
      <c r="B1803">
        <v>11078</v>
      </c>
      <c r="C1803" t="s">
        <v>8253</v>
      </c>
      <c r="D1803" t="s">
        <v>8254</v>
      </c>
      <c r="E1803" s="225">
        <v>336</v>
      </c>
      <c r="F1803" t="s">
        <v>8255</v>
      </c>
      <c r="G1803" t="s">
        <v>8256</v>
      </c>
      <c r="H1803" t="s">
        <v>8236</v>
      </c>
      <c r="I1803" s="99">
        <v>43690</v>
      </c>
      <c r="J1803">
        <f>YEAR(I1803)</f>
        <v>2019</v>
      </c>
      <c r="K1803" s="99">
        <v>43697</v>
      </c>
      <c r="L1803" t="s">
        <v>8257</v>
      </c>
      <c r="M1803" t="s">
        <v>6984</v>
      </c>
    </row>
    <row r="1804" spans="2:13" x14ac:dyDescent="0.2">
      <c r="B1804">
        <v>11078</v>
      </c>
      <c r="C1804" t="s">
        <v>8259</v>
      </c>
      <c r="D1804" t="s">
        <v>8244</v>
      </c>
      <c r="E1804" s="225">
        <v>95.76</v>
      </c>
      <c r="F1804" t="s">
        <v>8255</v>
      </c>
      <c r="G1804" t="s">
        <v>8256</v>
      </c>
      <c r="H1804" t="s">
        <v>8236</v>
      </c>
      <c r="I1804" s="99">
        <v>43690</v>
      </c>
      <c r="J1804">
        <f>YEAR(I1804)</f>
        <v>2019</v>
      </c>
      <c r="K1804" s="99">
        <v>43697</v>
      </c>
      <c r="L1804" t="s">
        <v>8257</v>
      </c>
      <c r="M1804" t="s">
        <v>6984</v>
      </c>
    </row>
    <row r="1805" spans="2:13" x14ac:dyDescent="0.2">
      <c r="B1805">
        <v>11078</v>
      </c>
      <c r="C1805" t="s">
        <v>8258</v>
      </c>
      <c r="D1805" t="s">
        <v>8244</v>
      </c>
      <c r="E1805" s="225">
        <v>222.3</v>
      </c>
      <c r="F1805" t="s">
        <v>8255</v>
      </c>
      <c r="G1805" t="s">
        <v>8256</v>
      </c>
      <c r="H1805" t="s">
        <v>8236</v>
      </c>
      <c r="I1805" s="99">
        <v>43690</v>
      </c>
      <c r="J1805">
        <f>YEAR(I1805)</f>
        <v>2019</v>
      </c>
      <c r="K1805" s="99">
        <v>43697</v>
      </c>
      <c r="L1805" t="s">
        <v>8257</v>
      </c>
      <c r="M1805" t="s">
        <v>6984</v>
      </c>
    </row>
    <row r="1806" spans="2:13" x14ac:dyDescent="0.2">
      <c r="B1806">
        <v>11095</v>
      </c>
      <c r="C1806" t="s">
        <v>8334</v>
      </c>
      <c r="D1806" t="s">
        <v>8262</v>
      </c>
      <c r="E1806" s="225">
        <v>100</v>
      </c>
      <c r="F1806" t="s">
        <v>8255</v>
      </c>
      <c r="G1806" t="s">
        <v>8256</v>
      </c>
      <c r="H1806" t="s">
        <v>8236</v>
      </c>
      <c r="I1806" s="99">
        <v>43795</v>
      </c>
      <c r="J1806">
        <f>YEAR(I1806)</f>
        <v>2019</v>
      </c>
      <c r="K1806" s="99">
        <v>43802</v>
      </c>
      <c r="L1806" t="s">
        <v>8320</v>
      </c>
      <c r="M1806" t="s">
        <v>8321</v>
      </c>
    </row>
    <row r="1807" spans="2:13" x14ac:dyDescent="0.2">
      <c r="B1807">
        <v>11095</v>
      </c>
      <c r="C1807" t="s">
        <v>8369</v>
      </c>
      <c r="D1807" t="s">
        <v>8244</v>
      </c>
      <c r="E1807" s="225">
        <v>44.8</v>
      </c>
      <c r="F1807" t="s">
        <v>8255</v>
      </c>
      <c r="G1807" t="s">
        <v>8256</v>
      </c>
      <c r="H1807" t="s">
        <v>8236</v>
      </c>
      <c r="I1807" s="99">
        <v>43795</v>
      </c>
      <c r="J1807">
        <f>YEAR(I1807)</f>
        <v>2019</v>
      </c>
      <c r="K1807" s="99">
        <v>43802</v>
      </c>
      <c r="L1807" t="s">
        <v>8320</v>
      </c>
      <c r="M1807" t="s">
        <v>8321</v>
      </c>
    </row>
    <row r="1808" spans="2:13" x14ac:dyDescent="0.2">
      <c r="B1808">
        <v>11166</v>
      </c>
      <c r="C1808" t="s">
        <v>8235</v>
      </c>
      <c r="D1808" t="s">
        <v>8237</v>
      </c>
      <c r="E1808" s="225">
        <v>1112</v>
      </c>
      <c r="F1808" t="s">
        <v>8255</v>
      </c>
      <c r="G1808" t="s">
        <v>8256</v>
      </c>
      <c r="H1808" t="s">
        <v>8236</v>
      </c>
      <c r="I1808" s="99">
        <v>43924</v>
      </c>
      <c r="J1808">
        <f>YEAR(I1808)</f>
        <v>2020</v>
      </c>
      <c r="K1808" s="99">
        <v>43925</v>
      </c>
      <c r="L1808" t="s">
        <v>8266</v>
      </c>
      <c r="M1808" t="s">
        <v>8267</v>
      </c>
    </row>
    <row r="1809" spans="2:13" x14ac:dyDescent="0.2">
      <c r="B1809">
        <v>11166</v>
      </c>
      <c r="C1809" t="s">
        <v>8415</v>
      </c>
      <c r="D1809" t="s">
        <v>8247</v>
      </c>
      <c r="E1809" s="225">
        <v>364.8</v>
      </c>
      <c r="F1809" t="s">
        <v>8255</v>
      </c>
      <c r="G1809" t="s">
        <v>8256</v>
      </c>
      <c r="H1809" t="s">
        <v>8236</v>
      </c>
      <c r="I1809" s="99">
        <v>43924</v>
      </c>
      <c r="J1809">
        <f>YEAR(I1809)</f>
        <v>2020</v>
      </c>
      <c r="K1809" s="99">
        <v>43925</v>
      </c>
      <c r="L1809" t="s">
        <v>8266</v>
      </c>
      <c r="M1809" t="s">
        <v>8267</v>
      </c>
    </row>
    <row r="1810" spans="2:13" x14ac:dyDescent="0.2">
      <c r="B1810">
        <v>11199</v>
      </c>
      <c r="C1810" t="s">
        <v>8323</v>
      </c>
      <c r="D1810" t="s">
        <v>8272</v>
      </c>
      <c r="E1810" s="225">
        <v>540</v>
      </c>
      <c r="F1810" t="s">
        <v>8255</v>
      </c>
      <c r="G1810" t="s">
        <v>8256</v>
      </c>
      <c r="H1810" t="s">
        <v>8236</v>
      </c>
      <c r="I1810" s="99">
        <v>44009</v>
      </c>
      <c r="J1810">
        <f>YEAR(I1810)</f>
        <v>2020</v>
      </c>
      <c r="K1810" s="99">
        <v>44013</v>
      </c>
      <c r="L1810" t="s">
        <v>8285</v>
      </c>
      <c r="M1810" t="s">
        <v>2317</v>
      </c>
    </row>
    <row r="1811" spans="2:13" x14ac:dyDescent="0.2">
      <c r="B1811">
        <v>11199</v>
      </c>
      <c r="C1811" t="s">
        <v>8291</v>
      </c>
      <c r="D1811" t="s">
        <v>8262</v>
      </c>
      <c r="E1811" s="225">
        <v>1972</v>
      </c>
      <c r="F1811" t="s">
        <v>8255</v>
      </c>
      <c r="G1811" t="s">
        <v>8256</v>
      </c>
      <c r="H1811" t="s">
        <v>8236</v>
      </c>
      <c r="I1811" s="99">
        <v>44009</v>
      </c>
      <c r="J1811">
        <f>YEAR(I1811)</f>
        <v>2020</v>
      </c>
      <c r="K1811" s="99">
        <v>44013</v>
      </c>
      <c r="L1811" t="s">
        <v>8285</v>
      </c>
      <c r="M1811" t="s">
        <v>2317</v>
      </c>
    </row>
    <row r="1812" spans="2:13" x14ac:dyDescent="0.2">
      <c r="B1812">
        <v>11199</v>
      </c>
      <c r="C1812" t="s">
        <v>8415</v>
      </c>
      <c r="D1812" t="s">
        <v>8247</v>
      </c>
      <c r="E1812" s="225">
        <v>300</v>
      </c>
      <c r="F1812" t="s">
        <v>8255</v>
      </c>
      <c r="G1812" t="s">
        <v>8256</v>
      </c>
      <c r="H1812" t="s">
        <v>8236</v>
      </c>
      <c r="I1812" s="99">
        <v>44009</v>
      </c>
      <c r="J1812">
        <f>YEAR(I1812)</f>
        <v>2020</v>
      </c>
      <c r="K1812" s="99">
        <v>44013</v>
      </c>
      <c r="L1812" t="s">
        <v>8285</v>
      </c>
      <c r="M1812" t="s">
        <v>2317</v>
      </c>
    </row>
    <row r="1813" spans="2:13" x14ac:dyDescent="0.2">
      <c r="B1813">
        <v>11346</v>
      </c>
      <c r="C1813" t="s">
        <v>8306</v>
      </c>
      <c r="D1813" t="s">
        <v>8272</v>
      </c>
      <c r="E1813" s="225">
        <v>782</v>
      </c>
      <c r="F1813" t="s">
        <v>8255</v>
      </c>
      <c r="G1813" t="s">
        <v>8256</v>
      </c>
      <c r="H1813" t="s">
        <v>8236</v>
      </c>
      <c r="I1813" s="99">
        <v>44236</v>
      </c>
      <c r="J1813">
        <f>YEAR(I1813)</f>
        <v>2021</v>
      </c>
      <c r="K1813" s="99">
        <v>44245</v>
      </c>
      <c r="L1813" t="s">
        <v>8257</v>
      </c>
      <c r="M1813" t="s">
        <v>6984</v>
      </c>
    </row>
    <row r="1814" spans="2:13" x14ac:dyDescent="0.2">
      <c r="B1814">
        <v>11346</v>
      </c>
      <c r="C1814" t="s">
        <v>8409</v>
      </c>
      <c r="D1814" t="s">
        <v>8254</v>
      </c>
      <c r="E1814" s="225">
        <v>726.75</v>
      </c>
      <c r="F1814" t="s">
        <v>8255</v>
      </c>
      <c r="G1814" t="s">
        <v>8256</v>
      </c>
      <c r="H1814" t="s">
        <v>8236</v>
      </c>
      <c r="I1814" s="99">
        <v>44236</v>
      </c>
      <c r="J1814">
        <f>YEAR(I1814)</f>
        <v>2021</v>
      </c>
      <c r="K1814" s="99">
        <v>44245</v>
      </c>
      <c r="L1814" t="s">
        <v>8257</v>
      </c>
      <c r="M1814" t="s">
        <v>6984</v>
      </c>
    </row>
    <row r="1815" spans="2:13" x14ac:dyDescent="0.2">
      <c r="B1815">
        <v>11346</v>
      </c>
      <c r="C1815" t="s">
        <v>8406</v>
      </c>
      <c r="D1815" t="s">
        <v>8262</v>
      </c>
      <c r="E1815" s="225">
        <v>86.7</v>
      </c>
      <c r="F1815" t="s">
        <v>8255</v>
      </c>
      <c r="G1815" t="s">
        <v>8256</v>
      </c>
      <c r="H1815" t="s">
        <v>8236</v>
      </c>
      <c r="I1815" s="99">
        <v>44236</v>
      </c>
      <c r="J1815">
        <f>YEAR(I1815)</f>
        <v>2021</v>
      </c>
      <c r="K1815" s="99">
        <v>44245</v>
      </c>
      <c r="L1815" t="s">
        <v>8257</v>
      </c>
      <c r="M1815" t="s">
        <v>6984</v>
      </c>
    </row>
    <row r="1816" spans="2:13" x14ac:dyDescent="0.2">
      <c r="B1816">
        <v>11354</v>
      </c>
      <c r="C1816" t="s">
        <v>8288</v>
      </c>
      <c r="D1816" t="s">
        <v>8272</v>
      </c>
      <c r="E1816" s="225">
        <v>382.5</v>
      </c>
      <c r="F1816" t="s">
        <v>8255</v>
      </c>
      <c r="G1816" t="s">
        <v>8256</v>
      </c>
      <c r="H1816" t="s">
        <v>8236</v>
      </c>
      <c r="I1816" s="99">
        <v>44254</v>
      </c>
      <c r="J1816">
        <f>YEAR(I1816)</f>
        <v>2021</v>
      </c>
      <c r="K1816" s="99">
        <v>44260</v>
      </c>
      <c r="L1816" t="s">
        <v>8285</v>
      </c>
      <c r="M1816" t="s">
        <v>2317</v>
      </c>
    </row>
    <row r="1817" spans="2:13" x14ac:dyDescent="0.2">
      <c r="B1817">
        <v>11354</v>
      </c>
      <c r="C1817" t="s">
        <v>8362</v>
      </c>
      <c r="D1817" t="s">
        <v>8262</v>
      </c>
      <c r="E1817" s="225">
        <v>238</v>
      </c>
      <c r="F1817" t="s">
        <v>8255</v>
      </c>
      <c r="G1817" t="s">
        <v>8256</v>
      </c>
      <c r="H1817" t="s">
        <v>8236</v>
      </c>
      <c r="I1817" s="99">
        <v>44254</v>
      </c>
      <c r="J1817">
        <f>YEAR(I1817)</f>
        <v>2021</v>
      </c>
      <c r="K1817" s="99">
        <v>44260</v>
      </c>
      <c r="L1817" t="s">
        <v>8285</v>
      </c>
      <c r="M1817" t="s">
        <v>2317</v>
      </c>
    </row>
    <row r="1818" spans="2:13" x14ac:dyDescent="0.2">
      <c r="B1818">
        <v>11354</v>
      </c>
      <c r="C1818" t="s">
        <v>8269</v>
      </c>
      <c r="D1818" t="s">
        <v>8237</v>
      </c>
      <c r="E1818" s="225">
        <v>8.5</v>
      </c>
      <c r="F1818" t="s">
        <v>8255</v>
      </c>
      <c r="G1818" t="s">
        <v>8256</v>
      </c>
      <c r="H1818" t="s">
        <v>8236</v>
      </c>
      <c r="I1818" s="99">
        <v>44254</v>
      </c>
      <c r="J1818">
        <f>YEAR(I1818)</f>
        <v>2021</v>
      </c>
      <c r="K1818" s="99">
        <v>44260</v>
      </c>
      <c r="L1818" t="s">
        <v>8285</v>
      </c>
      <c r="M1818" t="s">
        <v>2317</v>
      </c>
    </row>
    <row r="1819" spans="2:13" x14ac:dyDescent="0.2">
      <c r="B1819">
        <v>11354</v>
      </c>
      <c r="C1819" t="s">
        <v>8245</v>
      </c>
      <c r="D1819" t="s">
        <v>8247</v>
      </c>
      <c r="E1819" s="225">
        <v>159</v>
      </c>
      <c r="F1819" t="s">
        <v>8255</v>
      </c>
      <c r="G1819" t="s">
        <v>8256</v>
      </c>
      <c r="H1819" t="s">
        <v>8236</v>
      </c>
      <c r="I1819" s="99">
        <v>44252</v>
      </c>
      <c r="J1819">
        <f>YEAR(I1819)</f>
        <v>2021</v>
      </c>
      <c r="K1819" s="99">
        <v>44257</v>
      </c>
      <c r="L1819" t="s">
        <v>8266</v>
      </c>
      <c r="M1819" t="s">
        <v>8267</v>
      </c>
    </row>
    <row r="1820" spans="2:13" x14ac:dyDescent="0.2">
      <c r="B1820">
        <v>10248</v>
      </c>
      <c r="C1820" t="s">
        <v>8242</v>
      </c>
      <c r="D1820" t="s">
        <v>8237</v>
      </c>
      <c r="E1820" s="225">
        <v>168</v>
      </c>
      <c r="F1820" t="s">
        <v>8238</v>
      </c>
      <c r="G1820" t="s">
        <v>8239</v>
      </c>
      <c r="H1820" t="s">
        <v>8236</v>
      </c>
      <c r="I1820" s="99">
        <v>43486</v>
      </c>
      <c r="J1820">
        <f>YEAR(I1820)</f>
        <v>2019</v>
      </c>
      <c r="K1820" s="99">
        <v>43498</v>
      </c>
      <c r="L1820" t="s">
        <v>8241</v>
      </c>
      <c r="M1820" t="s">
        <v>6934</v>
      </c>
    </row>
    <row r="1821" spans="2:13" x14ac:dyDescent="0.2">
      <c r="B1821">
        <v>10248</v>
      </c>
      <c r="C1821" t="s">
        <v>8235</v>
      </c>
      <c r="D1821" t="s">
        <v>8237</v>
      </c>
      <c r="E1821" s="225">
        <v>174</v>
      </c>
      <c r="F1821" t="s">
        <v>8238</v>
      </c>
      <c r="G1821" t="s">
        <v>8239</v>
      </c>
      <c r="H1821" t="s">
        <v>8236</v>
      </c>
      <c r="I1821" s="99">
        <v>43486</v>
      </c>
      <c r="J1821">
        <f>YEAR(I1821)</f>
        <v>2019</v>
      </c>
      <c r="K1821" s="99">
        <v>43498</v>
      </c>
      <c r="L1821" t="s">
        <v>8241</v>
      </c>
      <c r="M1821" t="s">
        <v>6934</v>
      </c>
    </row>
    <row r="1822" spans="2:13" x14ac:dyDescent="0.2">
      <c r="B1822">
        <v>10248</v>
      </c>
      <c r="C1822" t="s">
        <v>8243</v>
      </c>
      <c r="D1822" t="s">
        <v>8244</v>
      </c>
      <c r="E1822" s="225">
        <v>98</v>
      </c>
      <c r="F1822" t="s">
        <v>8238</v>
      </c>
      <c r="G1822" t="s">
        <v>8239</v>
      </c>
      <c r="H1822" t="s">
        <v>8236</v>
      </c>
      <c r="I1822" s="99">
        <v>43486</v>
      </c>
      <c r="J1822">
        <f>YEAR(I1822)</f>
        <v>2019</v>
      </c>
      <c r="K1822" s="99">
        <v>43498</v>
      </c>
      <c r="L1822" t="s">
        <v>8241</v>
      </c>
      <c r="M1822" t="s">
        <v>6934</v>
      </c>
    </row>
    <row r="1823" spans="2:13" x14ac:dyDescent="0.2">
      <c r="B1823">
        <v>10274</v>
      </c>
      <c r="C1823" t="s">
        <v>8310</v>
      </c>
      <c r="D1823" t="s">
        <v>8237</v>
      </c>
      <c r="E1823" s="225">
        <v>344</v>
      </c>
      <c r="F1823" t="s">
        <v>8238</v>
      </c>
      <c r="G1823" t="s">
        <v>8239</v>
      </c>
      <c r="H1823" t="s">
        <v>8236</v>
      </c>
      <c r="I1823" s="99">
        <v>43519</v>
      </c>
      <c r="J1823">
        <f>YEAR(I1823)</f>
        <v>2019</v>
      </c>
      <c r="K1823" s="99">
        <v>43529</v>
      </c>
      <c r="L1823" t="s">
        <v>8251</v>
      </c>
      <c r="M1823" t="s">
        <v>269</v>
      </c>
    </row>
    <row r="1824" spans="2:13" x14ac:dyDescent="0.2">
      <c r="B1824">
        <v>10274</v>
      </c>
      <c r="C1824" t="s">
        <v>8235</v>
      </c>
      <c r="D1824" t="s">
        <v>8237</v>
      </c>
      <c r="E1824" s="225">
        <v>194.6</v>
      </c>
      <c r="F1824" t="s">
        <v>8238</v>
      </c>
      <c r="G1824" t="s">
        <v>8239</v>
      </c>
      <c r="H1824" t="s">
        <v>8236</v>
      </c>
      <c r="I1824" s="99">
        <v>43519</v>
      </c>
      <c r="J1824">
        <f>YEAR(I1824)</f>
        <v>2019</v>
      </c>
      <c r="K1824" s="99">
        <v>43529</v>
      </c>
      <c r="L1824" t="s">
        <v>8251</v>
      </c>
      <c r="M1824" t="s">
        <v>269</v>
      </c>
    </row>
    <row r="1825" spans="2:13" x14ac:dyDescent="0.2">
      <c r="B1825">
        <v>10295</v>
      </c>
      <c r="C1825" t="s">
        <v>8341</v>
      </c>
      <c r="D1825" t="s">
        <v>8244</v>
      </c>
      <c r="E1825" s="225">
        <v>121.6</v>
      </c>
      <c r="F1825" t="s">
        <v>8238</v>
      </c>
      <c r="G1825" t="s">
        <v>8239</v>
      </c>
      <c r="H1825" t="s">
        <v>8236</v>
      </c>
      <c r="I1825" s="99">
        <v>43546</v>
      </c>
      <c r="J1825">
        <f>YEAR(I1825)</f>
        <v>2019</v>
      </c>
      <c r="K1825" s="99">
        <v>43554</v>
      </c>
      <c r="L1825" t="s">
        <v>8297</v>
      </c>
      <c r="M1825" t="s">
        <v>8298</v>
      </c>
    </row>
    <row r="1826" spans="2:13" x14ac:dyDescent="0.2">
      <c r="B1826">
        <v>10739</v>
      </c>
      <c r="C1826" t="s">
        <v>8369</v>
      </c>
      <c r="D1826" t="s">
        <v>8244</v>
      </c>
      <c r="E1826" s="225">
        <v>126</v>
      </c>
      <c r="F1826" t="s">
        <v>8238</v>
      </c>
      <c r="G1826" t="s">
        <v>8239</v>
      </c>
      <c r="H1826" t="s">
        <v>8236</v>
      </c>
      <c r="I1826" s="99">
        <v>43982</v>
      </c>
      <c r="J1826">
        <f>YEAR(I1826)</f>
        <v>2020</v>
      </c>
      <c r="K1826" s="99">
        <v>43987</v>
      </c>
      <c r="L1826" t="s">
        <v>8257</v>
      </c>
      <c r="M1826" t="s">
        <v>6984</v>
      </c>
    </row>
    <row r="1827" spans="2:13" x14ac:dyDescent="0.2">
      <c r="B1827">
        <v>10266</v>
      </c>
      <c r="C1827" t="s">
        <v>8299</v>
      </c>
      <c r="D1827" t="s">
        <v>8237</v>
      </c>
      <c r="E1827" s="225">
        <v>346.56</v>
      </c>
      <c r="F1827" t="s">
        <v>8301</v>
      </c>
      <c r="G1827" t="s">
        <v>8302</v>
      </c>
      <c r="H1827" t="s">
        <v>8300</v>
      </c>
      <c r="I1827" s="99">
        <v>43508</v>
      </c>
      <c r="J1827">
        <f>YEAR(I1827)</f>
        <v>2019</v>
      </c>
      <c r="K1827" s="99">
        <v>43513</v>
      </c>
      <c r="L1827" t="s">
        <v>8257</v>
      </c>
      <c r="M1827" t="s">
        <v>6984</v>
      </c>
    </row>
    <row r="1828" spans="2:13" x14ac:dyDescent="0.2">
      <c r="B1828">
        <v>10270</v>
      </c>
      <c r="C1828" t="s">
        <v>8306</v>
      </c>
      <c r="D1828" t="s">
        <v>8272</v>
      </c>
      <c r="E1828" s="225">
        <v>920</v>
      </c>
      <c r="F1828" t="s">
        <v>8301</v>
      </c>
      <c r="G1828" t="s">
        <v>8302</v>
      </c>
      <c r="H1828" t="s">
        <v>8300</v>
      </c>
      <c r="I1828" s="99">
        <v>43514</v>
      </c>
      <c r="J1828">
        <f>YEAR(I1828)</f>
        <v>2019</v>
      </c>
      <c r="K1828" s="99">
        <v>43515</v>
      </c>
      <c r="L1828" t="s">
        <v>8285</v>
      </c>
      <c r="M1828" t="s">
        <v>2317</v>
      </c>
    </row>
    <row r="1829" spans="2:13" x14ac:dyDescent="0.2">
      <c r="B1829">
        <v>10320</v>
      </c>
      <c r="C1829" t="s">
        <v>8310</v>
      </c>
      <c r="D1829" t="s">
        <v>8237</v>
      </c>
      <c r="E1829" s="225">
        <v>516</v>
      </c>
      <c r="F1829" t="s">
        <v>8301</v>
      </c>
      <c r="G1829" t="s">
        <v>8302</v>
      </c>
      <c r="H1829" t="s">
        <v>8300</v>
      </c>
      <c r="I1829" s="99">
        <v>43577</v>
      </c>
      <c r="J1829">
        <f>YEAR(I1829)</f>
        <v>2019</v>
      </c>
      <c r="K1829" s="99">
        <v>43592</v>
      </c>
      <c r="L1829" t="s">
        <v>8241</v>
      </c>
      <c r="M1829" t="s">
        <v>6934</v>
      </c>
    </row>
    <row r="1830" spans="2:13" x14ac:dyDescent="0.2">
      <c r="B1830">
        <v>10333</v>
      </c>
      <c r="C1830" t="s">
        <v>8368</v>
      </c>
      <c r="D1830" t="s">
        <v>8262</v>
      </c>
      <c r="E1830" s="225">
        <v>72</v>
      </c>
      <c r="F1830" t="s">
        <v>8301</v>
      </c>
      <c r="G1830" t="s">
        <v>8302</v>
      </c>
      <c r="H1830" t="s">
        <v>8300</v>
      </c>
      <c r="I1830" s="99">
        <v>43592</v>
      </c>
      <c r="J1830">
        <f>YEAR(I1830)</f>
        <v>2019</v>
      </c>
      <c r="K1830" s="99">
        <v>43599</v>
      </c>
      <c r="L1830" t="s">
        <v>8241</v>
      </c>
      <c r="M1830" t="s">
        <v>6934</v>
      </c>
    </row>
    <row r="1831" spans="2:13" x14ac:dyDescent="0.2">
      <c r="B1831">
        <v>10333</v>
      </c>
      <c r="C1831" t="s">
        <v>8310</v>
      </c>
      <c r="D1831" t="s">
        <v>8237</v>
      </c>
      <c r="E1831" s="225">
        <v>619.20000000000005</v>
      </c>
      <c r="F1831" t="s">
        <v>8301</v>
      </c>
      <c r="G1831" t="s">
        <v>8302</v>
      </c>
      <c r="H1831" t="s">
        <v>8300</v>
      </c>
      <c r="I1831" s="99">
        <v>43592</v>
      </c>
      <c r="J1831">
        <f>YEAR(I1831)</f>
        <v>2019</v>
      </c>
      <c r="K1831" s="99">
        <v>43599</v>
      </c>
      <c r="L1831" t="s">
        <v>8241</v>
      </c>
      <c r="M1831" t="s">
        <v>6934</v>
      </c>
    </row>
    <row r="1832" spans="2:13" x14ac:dyDescent="0.2">
      <c r="B1832">
        <v>10333</v>
      </c>
      <c r="C1832" t="s">
        <v>8252</v>
      </c>
      <c r="D1832" t="s">
        <v>8247</v>
      </c>
      <c r="E1832" s="225">
        <v>186</v>
      </c>
      <c r="F1832" t="s">
        <v>8301</v>
      </c>
      <c r="G1832" t="s">
        <v>8302</v>
      </c>
      <c r="H1832" t="s">
        <v>8300</v>
      </c>
      <c r="I1832" s="99">
        <v>43592</v>
      </c>
      <c r="J1832">
        <f>YEAR(I1832)</f>
        <v>2019</v>
      </c>
      <c r="K1832" s="99">
        <v>43599</v>
      </c>
      <c r="L1832" t="s">
        <v>8241</v>
      </c>
      <c r="M1832" t="s">
        <v>6934</v>
      </c>
    </row>
    <row r="1833" spans="2:13" x14ac:dyDescent="0.2">
      <c r="B1833">
        <v>10412</v>
      </c>
      <c r="C1833" t="s">
        <v>8252</v>
      </c>
      <c r="D1833" t="s">
        <v>8247</v>
      </c>
      <c r="E1833" s="225">
        <v>334.8</v>
      </c>
      <c r="F1833" t="s">
        <v>8301</v>
      </c>
      <c r="G1833" t="s">
        <v>8302</v>
      </c>
      <c r="H1833" t="s">
        <v>8300</v>
      </c>
      <c r="I1833" s="99">
        <v>43679</v>
      </c>
      <c r="J1833">
        <f>YEAR(I1833)</f>
        <v>2019</v>
      </c>
      <c r="K1833" s="99">
        <v>43681</v>
      </c>
      <c r="L1833" t="s">
        <v>8320</v>
      </c>
      <c r="M1833" t="s">
        <v>8321</v>
      </c>
    </row>
    <row r="1834" spans="2:13" x14ac:dyDescent="0.2">
      <c r="B1834">
        <v>10416</v>
      </c>
      <c r="C1834" t="s">
        <v>8327</v>
      </c>
      <c r="D1834" t="s">
        <v>8262</v>
      </c>
      <c r="E1834" s="225">
        <v>146</v>
      </c>
      <c r="F1834" t="s">
        <v>8301</v>
      </c>
      <c r="G1834" t="s">
        <v>8302</v>
      </c>
      <c r="H1834" t="s">
        <v>8300</v>
      </c>
      <c r="I1834" s="99">
        <v>43682</v>
      </c>
      <c r="J1834">
        <f>YEAR(I1834)</f>
        <v>2019</v>
      </c>
      <c r="K1834" s="99">
        <v>43693</v>
      </c>
      <c r="L1834" t="s">
        <v>8320</v>
      </c>
      <c r="M1834" t="s">
        <v>8321</v>
      </c>
    </row>
    <row r="1835" spans="2:13" x14ac:dyDescent="0.2">
      <c r="B1835">
        <v>10416</v>
      </c>
      <c r="C1835" t="s">
        <v>8258</v>
      </c>
      <c r="D1835" t="s">
        <v>8244</v>
      </c>
      <c r="E1835" s="225">
        <v>312</v>
      </c>
      <c r="F1835" t="s">
        <v>8301</v>
      </c>
      <c r="G1835" t="s">
        <v>8302</v>
      </c>
      <c r="H1835" t="s">
        <v>8300</v>
      </c>
      <c r="I1835" s="99">
        <v>43682</v>
      </c>
      <c r="J1835">
        <f>YEAR(I1835)</f>
        <v>2019</v>
      </c>
      <c r="K1835" s="99">
        <v>43693</v>
      </c>
      <c r="L1835" t="s">
        <v>8320</v>
      </c>
      <c r="M1835" t="s">
        <v>8321</v>
      </c>
    </row>
    <row r="1836" spans="2:13" x14ac:dyDescent="0.2">
      <c r="B1836">
        <v>10455</v>
      </c>
      <c r="C1836" t="s">
        <v>8342</v>
      </c>
      <c r="D1836" t="s">
        <v>8272</v>
      </c>
      <c r="E1836" s="225">
        <v>288</v>
      </c>
      <c r="F1836" t="s">
        <v>8301</v>
      </c>
      <c r="G1836" t="s">
        <v>8302</v>
      </c>
      <c r="H1836" t="s">
        <v>8300</v>
      </c>
      <c r="I1836" s="99">
        <v>43721</v>
      </c>
      <c r="J1836">
        <f>YEAR(I1836)</f>
        <v>2019</v>
      </c>
      <c r="K1836" s="99">
        <v>43728</v>
      </c>
      <c r="L1836" t="s">
        <v>8320</v>
      </c>
      <c r="M1836" t="s">
        <v>8321</v>
      </c>
    </row>
    <row r="1837" spans="2:13" x14ac:dyDescent="0.2">
      <c r="B1837">
        <v>10455</v>
      </c>
      <c r="C1837" t="s">
        <v>8409</v>
      </c>
      <c r="D1837" t="s">
        <v>8254</v>
      </c>
      <c r="E1837" s="225">
        <v>570</v>
      </c>
      <c r="F1837" t="s">
        <v>8301</v>
      </c>
      <c r="G1837" t="s">
        <v>8302</v>
      </c>
      <c r="H1837" t="s">
        <v>8300</v>
      </c>
      <c r="I1837" s="99">
        <v>43721</v>
      </c>
      <c r="J1837">
        <f>YEAR(I1837)</f>
        <v>2019</v>
      </c>
      <c r="K1837" s="99">
        <v>43728</v>
      </c>
      <c r="L1837" t="s">
        <v>8320</v>
      </c>
      <c r="M1837" t="s">
        <v>8321</v>
      </c>
    </row>
    <row r="1838" spans="2:13" x14ac:dyDescent="0.2">
      <c r="B1838">
        <v>10455</v>
      </c>
      <c r="C1838" t="s">
        <v>8310</v>
      </c>
      <c r="D1838" t="s">
        <v>8237</v>
      </c>
      <c r="E1838" s="225">
        <v>516</v>
      </c>
      <c r="F1838" t="s">
        <v>8301</v>
      </c>
      <c r="G1838" t="s">
        <v>8302</v>
      </c>
      <c r="H1838" t="s">
        <v>8300</v>
      </c>
      <c r="I1838" s="99">
        <v>43721</v>
      </c>
      <c r="J1838">
        <f>YEAR(I1838)</f>
        <v>2019</v>
      </c>
      <c r="K1838" s="99">
        <v>43728</v>
      </c>
      <c r="L1838" t="s">
        <v>8320</v>
      </c>
      <c r="M1838" t="s">
        <v>8321</v>
      </c>
    </row>
    <row r="1839" spans="2:13" x14ac:dyDescent="0.2">
      <c r="B1839">
        <v>10526</v>
      </c>
      <c r="C1839" t="s">
        <v>8333</v>
      </c>
      <c r="D1839" t="s">
        <v>8272</v>
      </c>
      <c r="E1839" s="225">
        <v>122.4</v>
      </c>
      <c r="F1839" t="s">
        <v>8301</v>
      </c>
      <c r="G1839" t="s">
        <v>8302</v>
      </c>
      <c r="H1839" t="s">
        <v>8300</v>
      </c>
      <c r="I1839" s="99">
        <v>43791</v>
      </c>
      <c r="J1839">
        <f>YEAR(I1839)</f>
        <v>2019</v>
      </c>
      <c r="K1839" s="99">
        <v>43801</v>
      </c>
      <c r="L1839" t="s">
        <v>8266</v>
      </c>
      <c r="M1839" t="s">
        <v>8267</v>
      </c>
    </row>
    <row r="1840" spans="2:13" x14ac:dyDescent="0.2">
      <c r="B1840">
        <v>10526</v>
      </c>
      <c r="C1840" t="s">
        <v>8341</v>
      </c>
      <c r="D1840" t="s">
        <v>8244</v>
      </c>
      <c r="E1840" s="225">
        <v>969</v>
      </c>
      <c r="F1840" t="s">
        <v>8301</v>
      </c>
      <c r="G1840" t="s">
        <v>8302</v>
      </c>
      <c r="H1840" t="s">
        <v>8300</v>
      </c>
      <c r="I1840" s="99">
        <v>43791</v>
      </c>
      <c r="J1840">
        <f>YEAR(I1840)</f>
        <v>2019</v>
      </c>
      <c r="K1840" s="99">
        <v>43801</v>
      </c>
      <c r="L1840" t="s">
        <v>8266</v>
      </c>
      <c r="M1840" t="s">
        <v>8267</v>
      </c>
    </row>
    <row r="1841" spans="2:13" x14ac:dyDescent="0.2">
      <c r="B1841">
        <v>10553</v>
      </c>
      <c r="C1841" t="s">
        <v>8323</v>
      </c>
      <c r="D1841" t="s">
        <v>8272</v>
      </c>
      <c r="E1841" s="225">
        <v>108</v>
      </c>
      <c r="F1841" t="s">
        <v>8301</v>
      </c>
      <c r="G1841" t="s">
        <v>8302</v>
      </c>
      <c r="H1841" t="s">
        <v>8300</v>
      </c>
      <c r="I1841" s="99">
        <v>43816</v>
      </c>
      <c r="J1841">
        <f>YEAR(I1841)</f>
        <v>2019</v>
      </c>
      <c r="K1841" s="99">
        <v>43820</v>
      </c>
      <c r="L1841" t="s">
        <v>8297</v>
      </c>
      <c r="M1841" t="s">
        <v>8298</v>
      </c>
    </row>
    <row r="1842" spans="2:13" x14ac:dyDescent="0.2">
      <c r="B1842">
        <v>10553</v>
      </c>
      <c r="C1842" t="s">
        <v>8280</v>
      </c>
      <c r="D1842" t="s">
        <v>8262</v>
      </c>
      <c r="E1842" s="225">
        <v>244.3</v>
      </c>
      <c r="F1842" t="s">
        <v>8301</v>
      </c>
      <c r="G1842" t="s">
        <v>8302</v>
      </c>
      <c r="H1842" t="s">
        <v>8300</v>
      </c>
      <c r="I1842" s="99">
        <v>43816</v>
      </c>
      <c r="J1842">
        <f>YEAR(I1842)</f>
        <v>2019</v>
      </c>
      <c r="K1842" s="99">
        <v>43820</v>
      </c>
      <c r="L1842" t="s">
        <v>8297</v>
      </c>
      <c r="M1842" t="s">
        <v>8298</v>
      </c>
    </row>
    <row r="1843" spans="2:13" x14ac:dyDescent="0.2">
      <c r="B1843">
        <v>10553</v>
      </c>
      <c r="C1843" t="s">
        <v>8242</v>
      </c>
      <c r="D1843" t="s">
        <v>8237</v>
      </c>
      <c r="E1843" s="225">
        <v>315</v>
      </c>
      <c r="F1843" t="s">
        <v>8301</v>
      </c>
      <c r="G1843" t="s">
        <v>8302</v>
      </c>
      <c r="H1843" t="s">
        <v>8300</v>
      </c>
      <c r="I1843" s="99">
        <v>43816</v>
      </c>
      <c r="J1843">
        <f>YEAR(I1843)</f>
        <v>2019</v>
      </c>
      <c r="K1843" s="99">
        <v>43820</v>
      </c>
      <c r="L1843" t="s">
        <v>8297</v>
      </c>
      <c r="M1843" t="s">
        <v>8298</v>
      </c>
    </row>
    <row r="1844" spans="2:13" x14ac:dyDescent="0.2">
      <c r="B1844">
        <v>10553</v>
      </c>
      <c r="C1844" t="s">
        <v>8309</v>
      </c>
      <c r="D1844" t="s">
        <v>8237</v>
      </c>
      <c r="E1844" s="225">
        <v>375</v>
      </c>
      <c r="F1844" t="s">
        <v>8301</v>
      </c>
      <c r="G1844" t="s">
        <v>8302</v>
      </c>
      <c r="H1844" t="s">
        <v>8300</v>
      </c>
      <c r="I1844" s="99">
        <v>43816</v>
      </c>
      <c r="J1844">
        <f>YEAR(I1844)</f>
        <v>2019</v>
      </c>
      <c r="K1844" s="99">
        <v>43820</v>
      </c>
      <c r="L1844" t="s">
        <v>8297</v>
      </c>
      <c r="M1844" t="s">
        <v>8298</v>
      </c>
    </row>
    <row r="1845" spans="2:13" x14ac:dyDescent="0.2">
      <c r="B1845">
        <v>10553</v>
      </c>
      <c r="C1845" t="s">
        <v>8259</v>
      </c>
      <c r="D1845" t="s">
        <v>8244</v>
      </c>
      <c r="E1845" s="225">
        <v>504</v>
      </c>
      <c r="F1845" t="s">
        <v>8301</v>
      </c>
      <c r="G1845" t="s">
        <v>8302</v>
      </c>
      <c r="H1845" t="s">
        <v>8300</v>
      </c>
      <c r="I1845" s="99">
        <v>43816</v>
      </c>
      <c r="J1845">
        <f>YEAR(I1845)</f>
        <v>2019</v>
      </c>
      <c r="K1845" s="99">
        <v>43820</v>
      </c>
      <c r="L1845" t="s">
        <v>8297</v>
      </c>
      <c r="M1845" t="s">
        <v>8298</v>
      </c>
    </row>
    <row r="1846" spans="2:13" x14ac:dyDescent="0.2">
      <c r="B1846">
        <v>10583</v>
      </c>
      <c r="C1846" t="s">
        <v>8268</v>
      </c>
      <c r="D1846" t="s">
        <v>8237</v>
      </c>
      <c r="E1846" s="225">
        <v>693.6</v>
      </c>
      <c r="F1846" t="s">
        <v>8301</v>
      </c>
      <c r="G1846" t="s">
        <v>8302</v>
      </c>
      <c r="H1846" t="s">
        <v>8300</v>
      </c>
      <c r="I1846" s="99">
        <v>43847</v>
      </c>
      <c r="J1846">
        <f>YEAR(I1846)</f>
        <v>2020</v>
      </c>
      <c r="K1846" s="99">
        <v>43851</v>
      </c>
      <c r="L1846" t="s">
        <v>8297</v>
      </c>
      <c r="M1846" t="s">
        <v>8298</v>
      </c>
    </row>
    <row r="1847" spans="2:13" x14ac:dyDescent="0.2">
      <c r="B1847">
        <v>10583</v>
      </c>
      <c r="C1847" t="s">
        <v>8353</v>
      </c>
      <c r="D1847" t="s">
        <v>8237</v>
      </c>
      <c r="E1847" s="225">
        <v>306</v>
      </c>
      <c r="F1847" t="s">
        <v>8301</v>
      </c>
      <c r="G1847" t="s">
        <v>8302</v>
      </c>
      <c r="H1847" t="s">
        <v>8300</v>
      </c>
      <c r="I1847" s="99">
        <v>43847</v>
      </c>
      <c r="J1847">
        <f>YEAR(I1847)</f>
        <v>2020</v>
      </c>
      <c r="K1847" s="99">
        <v>43851</v>
      </c>
      <c r="L1847" t="s">
        <v>8297</v>
      </c>
      <c r="M1847" t="s">
        <v>8298</v>
      </c>
    </row>
    <row r="1848" spans="2:13" x14ac:dyDescent="0.2">
      <c r="B1848">
        <v>10636</v>
      </c>
      <c r="C1848" t="s">
        <v>8352</v>
      </c>
      <c r="D1848" t="s">
        <v>8254</v>
      </c>
      <c r="E1848" s="225">
        <v>550</v>
      </c>
      <c r="F1848" t="s">
        <v>8301</v>
      </c>
      <c r="G1848" t="s">
        <v>8302</v>
      </c>
      <c r="H1848" t="s">
        <v>8300</v>
      </c>
      <c r="I1848" s="99">
        <v>43897</v>
      </c>
      <c r="J1848">
        <f>YEAR(I1848)</f>
        <v>2020</v>
      </c>
      <c r="K1848" s="99">
        <v>43904</v>
      </c>
      <c r="L1848" t="s">
        <v>8266</v>
      </c>
      <c r="M1848" t="s">
        <v>8267</v>
      </c>
    </row>
    <row r="1849" spans="2:13" x14ac:dyDescent="0.2">
      <c r="B1849">
        <v>10750</v>
      </c>
      <c r="C1849" t="s">
        <v>8281</v>
      </c>
      <c r="D1849" t="s">
        <v>8237</v>
      </c>
      <c r="E1849" s="225">
        <v>1168.75</v>
      </c>
      <c r="F1849" t="s">
        <v>8301</v>
      </c>
      <c r="G1849" t="s">
        <v>8302</v>
      </c>
      <c r="H1849" t="s">
        <v>8300</v>
      </c>
      <c r="I1849" s="99">
        <v>43991</v>
      </c>
      <c r="J1849">
        <f>YEAR(I1849)</f>
        <v>2020</v>
      </c>
      <c r="K1849" s="99">
        <v>43994</v>
      </c>
      <c r="L1849" t="s">
        <v>8279</v>
      </c>
      <c r="M1849" t="s">
        <v>710</v>
      </c>
    </row>
    <row r="1850" spans="2:13" x14ac:dyDescent="0.2">
      <c r="B1850">
        <v>10750</v>
      </c>
      <c r="C1850" t="s">
        <v>8252</v>
      </c>
      <c r="D1850" t="s">
        <v>8247</v>
      </c>
      <c r="E1850" s="225">
        <v>98.81</v>
      </c>
      <c r="F1850" t="s">
        <v>8301</v>
      </c>
      <c r="G1850" t="s">
        <v>8302</v>
      </c>
      <c r="H1850" t="s">
        <v>8300</v>
      </c>
      <c r="I1850" s="99">
        <v>43991</v>
      </c>
      <c r="J1850">
        <f>YEAR(I1850)</f>
        <v>2020</v>
      </c>
      <c r="K1850" s="99">
        <v>43994</v>
      </c>
      <c r="L1850" t="s">
        <v>8279</v>
      </c>
      <c r="M1850" t="s">
        <v>710</v>
      </c>
    </row>
    <row r="1851" spans="2:13" x14ac:dyDescent="0.2">
      <c r="B1851">
        <v>10781</v>
      </c>
      <c r="C1851" t="s">
        <v>8341</v>
      </c>
      <c r="D1851" t="s">
        <v>8244</v>
      </c>
      <c r="E1851" s="225">
        <v>608</v>
      </c>
      <c r="F1851" t="s">
        <v>8301</v>
      </c>
      <c r="G1851" t="s">
        <v>8302</v>
      </c>
      <c r="H1851" t="s">
        <v>8300</v>
      </c>
      <c r="I1851" s="99">
        <v>44017</v>
      </c>
      <c r="J1851">
        <f>YEAR(I1851)</f>
        <v>2020</v>
      </c>
      <c r="K1851" s="99">
        <v>44019</v>
      </c>
      <c r="L1851" t="s">
        <v>8297</v>
      </c>
      <c r="M1851" t="s">
        <v>8298</v>
      </c>
    </row>
    <row r="1852" spans="2:13" x14ac:dyDescent="0.2">
      <c r="B1852">
        <v>10781</v>
      </c>
      <c r="C1852" t="s">
        <v>8275</v>
      </c>
      <c r="D1852" t="s">
        <v>8247</v>
      </c>
      <c r="E1852" s="225">
        <v>350</v>
      </c>
      <c r="F1852" t="s">
        <v>8301</v>
      </c>
      <c r="G1852" t="s">
        <v>8302</v>
      </c>
      <c r="H1852" t="s">
        <v>8300</v>
      </c>
      <c r="I1852" s="99">
        <v>44017</v>
      </c>
      <c r="J1852">
        <f>YEAR(I1852)</f>
        <v>2020</v>
      </c>
      <c r="K1852" s="99">
        <v>44019</v>
      </c>
      <c r="L1852" t="s">
        <v>8297</v>
      </c>
      <c r="M1852" t="s">
        <v>8298</v>
      </c>
    </row>
    <row r="1853" spans="2:13" x14ac:dyDescent="0.2">
      <c r="B1853">
        <v>11025</v>
      </c>
      <c r="C1853" t="s">
        <v>8333</v>
      </c>
      <c r="D1853" t="s">
        <v>8272</v>
      </c>
      <c r="E1853" s="225">
        <v>162</v>
      </c>
      <c r="F1853" t="s">
        <v>8301</v>
      </c>
      <c r="G1853" t="s">
        <v>8302</v>
      </c>
      <c r="H1853" t="s">
        <v>8300</v>
      </c>
      <c r="I1853" s="99">
        <v>44135</v>
      </c>
      <c r="J1853">
        <f>YEAR(I1853)</f>
        <v>2020</v>
      </c>
      <c r="K1853" s="99">
        <v>44144</v>
      </c>
      <c r="L1853" t="s">
        <v>8251</v>
      </c>
      <c r="M1853" t="s">
        <v>269</v>
      </c>
    </row>
    <row r="1854" spans="2:13" x14ac:dyDescent="0.2">
      <c r="B1854">
        <v>10256</v>
      </c>
      <c r="C1854" t="s">
        <v>8397</v>
      </c>
      <c r="D1854" t="s">
        <v>8254</v>
      </c>
      <c r="E1854" s="225">
        <v>124.8</v>
      </c>
      <c r="F1854" t="s">
        <v>8730</v>
      </c>
      <c r="G1854" t="s">
        <v>8729</v>
      </c>
      <c r="H1854" t="s">
        <v>8710</v>
      </c>
      <c r="I1854" s="99">
        <v>43497</v>
      </c>
      <c r="J1854">
        <f>YEAR(I1854)</f>
        <v>2019</v>
      </c>
      <c r="K1854" s="99">
        <v>43499</v>
      </c>
      <c r="L1854" t="s">
        <v>8257</v>
      </c>
      <c r="M1854" t="s">
        <v>6984</v>
      </c>
    </row>
    <row r="1855" spans="2:13" x14ac:dyDescent="0.2">
      <c r="B1855">
        <v>10420</v>
      </c>
      <c r="C1855" t="s">
        <v>8288</v>
      </c>
      <c r="D1855" t="s">
        <v>8272</v>
      </c>
      <c r="E1855" s="225">
        <v>86.4</v>
      </c>
      <c r="F1855" t="s">
        <v>8730</v>
      </c>
      <c r="G1855" t="s">
        <v>8729</v>
      </c>
      <c r="H1855" t="s">
        <v>8710</v>
      </c>
      <c r="I1855" s="99">
        <v>43687</v>
      </c>
      <c r="J1855">
        <f>YEAR(I1855)</f>
        <v>2019</v>
      </c>
      <c r="K1855" s="99">
        <v>43693</v>
      </c>
      <c r="L1855" t="s">
        <v>8257</v>
      </c>
      <c r="M1855" t="s">
        <v>6984</v>
      </c>
    </row>
    <row r="1856" spans="2:13" x14ac:dyDescent="0.2">
      <c r="B1856">
        <v>10585</v>
      </c>
      <c r="C1856" t="s">
        <v>8410</v>
      </c>
      <c r="D1856" t="s">
        <v>8262</v>
      </c>
      <c r="E1856" s="225">
        <v>142.5</v>
      </c>
      <c r="F1856" t="s">
        <v>8730</v>
      </c>
      <c r="G1856" t="s">
        <v>8729</v>
      </c>
      <c r="H1856" t="s">
        <v>8710</v>
      </c>
      <c r="I1856" s="99">
        <v>43848</v>
      </c>
      <c r="J1856">
        <f>YEAR(I1856)</f>
        <v>2020</v>
      </c>
      <c r="K1856" s="99">
        <v>43857</v>
      </c>
      <c r="L1856" t="s">
        <v>8158</v>
      </c>
      <c r="M1856" t="s">
        <v>861</v>
      </c>
    </row>
    <row r="1857" spans="2:13" x14ac:dyDescent="0.2">
      <c r="B1857">
        <v>10644</v>
      </c>
      <c r="C1857" t="s">
        <v>8306</v>
      </c>
      <c r="D1857" t="s">
        <v>8272</v>
      </c>
      <c r="E1857" s="225">
        <v>920</v>
      </c>
      <c r="F1857" t="s">
        <v>8730</v>
      </c>
      <c r="G1857" t="s">
        <v>8729</v>
      </c>
      <c r="H1857" t="s">
        <v>8710</v>
      </c>
      <c r="I1857" s="99">
        <v>43903</v>
      </c>
      <c r="J1857">
        <f>YEAR(I1857)</f>
        <v>2020</v>
      </c>
      <c r="K1857" s="99">
        <v>43910</v>
      </c>
      <c r="L1857" t="s">
        <v>8257</v>
      </c>
      <c r="M1857" t="s">
        <v>6984</v>
      </c>
    </row>
    <row r="1858" spans="2:13" x14ac:dyDescent="0.2">
      <c r="B1858">
        <v>10803</v>
      </c>
      <c r="C1858" t="s">
        <v>8327</v>
      </c>
      <c r="D1858" t="s">
        <v>8262</v>
      </c>
      <c r="E1858" s="225">
        <v>209.76</v>
      </c>
      <c r="F1858" t="s">
        <v>8730</v>
      </c>
      <c r="G1858" t="s">
        <v>8729</v>
      </c>
      <c r="H1858" t="s">
        <v>8710</v>
      </c>
      <c r="I1858" s="99">
        <v>44030</v>
      </c>
      <c r="J1858">
        <f>YEAR(I1858)</f>
        <v>2020</v>
      </c>
      <c r="K1858" s="99">
        <v>44037</v>
      </c>
      <c r="L1858" t="s">
        <v>8266</v>
      </c>
      <c r="M1858" t="s">
        <v>8267</v>
      </c>
    </row>
    <row r="1859" spans="2:13" x14ac:dyDescent="0.2">
      <c r="B1859">
        <v>10803</v>
      </c>
      <c r="C1859" t="s">
        <v>8362</v>
      </c>
      <c r="D1859" t="s">
        <v>8262</v>
      </c>
      <c r="E1859" s="225">
        <v>199.5</v>
      </c>
      <c r="F1859" t="s">
        <v>8730</v>
      </c>
      <c r="G1859" t="s">
        <v>8729</v>
      </c>
      <c r="H1859" t="s">
        <v>8710</v>
      </c>
      <c r="I1859" s="99">
        <v>44030</v>
      </c>
      <c r="J1859">
        <f>YEAR(I1859)</f>
        <v>2020</v>
      </c>
      <c r="K1859" s="99">
        <v>44037</v>
      </c>
      <c r="L1859" t="s">
        <v>8266</v>
      </c>
      <c r="M1859" t="s">
        <v>8267</v>
      </c>
    </row>
    <row r="1860" spans="2:13" x14ac:dyDescent="0.2">
      <c r="B1860">
        <v>10803</v>
      </c>
      <c r="C1860" t="s">
        <v>8281</v>
      </c>
      <c r="D1860" t="s">
        <v>8237</v>
      </c>
      <c r="E1860" s="225">
        <v>783.75</v>
      </c>
      <c r="F1860" t="s">
        <v>8730</v>
      </c>
      <c r="G1860" t="s">
        <v>8729</v>
      </c>
      <c r="H1860" t="s">
        <v>8710</v>
      </c>
      <c r="I1860" s="99">
        <v>44030</v>
      </c>
      <c r="J1860">
        <f>YEAR(I1860)</f>
        <v>2020</v>
      </c>
      <c r="K1860" s="99">
        <v>44037</v>
      </c>
      <c r="L1860" t="s">
        <v>8266</v>
      </c>
      <c r="M1860" t="s">
        <v>8267</v>
      </c>
    </row>
    <row r="1861" spans="2:13" x14ac:dyDescent="0.2">
      <c r="B1861">
        <v>10809</v>
      </c>
      <c r="C1861" t="s">
        <v>8369</v>
      </c>
      <c r="D1861" t="s">
        <v>8244</v>
      </c>
      <c r="E1861" s="225">
        <v>140</v>
      </c>
      <c r="F1861" t="s">
        <v>8730</v>
      </c>
      <c r="G1861" t="s">
        <v>8729</v>
      </c>
      <c r="H1861" t="s">
        <v>8710</v>
      </c>
      <c r="I1861" s="99">
        <v>44032</v>
      </c>
      <c r="J1861">
        <f>YEAR(I1861)</f>
        <v>2020</v>
      </c>
      <c r="K1861" s="99">
        <v>44038</v>
      </c>
      <c r="L1861" t="s">
        <v>8158</v>
      </c>
      <c r="M1861" t="s">
        <v>861</v>
      </c>
    </row>
    <row r="1862" spans="2:13" x14ac:dyDescent="0.2">
      <c r="B1862">
        <v>10900</v>
      </c>
      <c r="C1862" t="s">
        <v>8288</v>
      </c>
      <c r="D1862" t="s">
        <v>8272</v>
      </c>
      <c r="E1862" s="225">
        <v>33.75</v>
      </c>
      <c r="F1862" t="s">
        <v>8730</v>
      </c>
      <c r="G1862" t="s">
        <v>8729</v>
      </c>
      <c r="H1862" t="s">
        <v>8710</v>
      </c>
      <c r="I1862" s="99">
        <v>44081</v>
      </c>
      <c r="J1862">
        <f>YEAR(I1862)</f>
        <v>2020</v>
      </c>
      <c r="K1862" s="99">
        <v>44093</v>
      </c>
      <c r="L1862" t="s">
        <v>8285</v>
      </c>
      <c r="M1862" t="s">
        <v>2317</v>
      </c>
    </row>
    <row r="1863" spans="2:13" x14ac:dyDescent="0.2">
      <c r="B1863">
        <v>10905</v>
      </c>
      <c r="C1863" t="s">
        <v>8333</v>
      </c>
      <c r="D1863" t="s">
        <v>8272</v>
      </c>
      <c r="E1863" s="225">
        <v>342</v>
      </c>
      <c r="F1863" t="s">
        <v>8730</v>
      </c>
      <c r="G1863" t="s">
        <v>8729</v>
      </c>
      <c r="H1863" t="s">
        <v>8710</v>
      </c>
      <c r="I1863" s="99">
        <v>44085</v>
      </c>
      <c r="J1863">
        <f>YEAR(I1863)</f>
        <v>2020</v>
      </c>
      <c r="K1863" s="99">
        <v>44095</v>
      </c>
      <c r="L1863" t="s">
        <v>8279</v>
      </c>
      <c r="M1863" t="s">
        <v>710</v>
      </c>
    </row>
    <row r="1864" spans="2:13" x14ac:dyDescent="0.2">
      <c r="B1864">
        <v>10935</v>
      </c>
      <c r="C1864" t="s">
        <v>8333</v>
      </c>
      <c r="D1864" t="s">
        <v>8272</v>
      </c>
      <c r="E1864" s="225">
        <v>378</v>
      </c>
      <c r="F1864" t="s">
        <v>8730</v>
      </c>
      <c r="G1864" t="s">
        <v>8729</v>
      </c>
      <c r="H1864" t="s">
        <v>8710</v>
      </c>
      <c r="I1864" s="99">
        <v>44098</v>
      </c>
      <c r="J1864">
        <f>YEAR(I1864)</f>
        <v>2020</v>
      </c>
      <c r="K1864" s="99">
        <v>44107</v>
      </c>
      <c r="L1864" t="s">
        <v>8266</v>
      </c>
      <c r="M1864" t="s">
        <v>8267</v>
      </c>
    </row>
    <row r="1865" spans="2:13" x14ac:dyDescent="0.2">
      <c r="B1865">
        <v>10935</v>
      </c>
      <c r="C1865" t="s">
        <v>8373</v>
      </c>
      <c r="D1865" t="s">
        <v>8244</v>
      </c>
      <c r="E1865" s="225">
        <v>54</v>
      </c>
      <c r="F1865" t="s">
        <v>8730</v>
      </c>
      <c r="G1865" t="s">
        <v>8729</v>
      </c>
      <c r="H1865" t="s">
        <v>8710</v>
      </c>
      <c r="I1865" s="99">
        <v>44098</v>
      </c>
      <c r="J1865">
        <f>YEAR(I1865)</f>
        <v>2020</v>
      </c>
      <c r="K1865" s="99">
        <v>44107</v>
      </c>
      <c r="L1865" t="s">
        <v>8266</v>
      </c>
      <c r="M1865" t="s">
        <v>8267</v>
      </c>
    </row>
    <row r="1866" spans="2:13" x14ac:dyDescent="0.2">
      <c r="B1866">
        <v>10269</v>
      </c>
      <c r="C1866" t="s">
        <v>8269</v>
      </c>
      <c r="D1866" t="s">
        <v>8237</v>
      </c>
      <c r="E1866" s="225">
        <v>114</v>
      </c>
      <c r="F1866" t="s">
        <v>8740</v>
      </c>
      <c r="G1866" t="s">
        <v>8739</v>
      </c>
      <c r="H1866" t="s">
        <v>8701</v>
      </c>
      <c r="I1866" s="99">
        <v>43513</v>
      </c>
      <c r="J1866">
        <f>YEAR(I1866)</f>
        <v>2019</v>
      </c>
      <c r="K1866" s="99">
        <v>43522</v>
      </c>
      <c r="L1866" t="s">
        <v>8241</v>
      </c>
      <c r="M1866" t="s">
        <v>6934</v>
      </c>
    </row>
    <row r="1867" spans="2:13" x14ac:dyDescent="0.2">
      <c r="B1867">
        <v>10269</v>
      </c>
      <c r="C1867" t="s">
        <v>8235</v>
      </c>
      <c r="D1867" t="s">
        <v>8237</v>
      </c>
      <c r="E1867" s="225">
        <v>528.20000000000005</v>
      </c>
      <c r="F1867" t="s">
        <v>8740</v>
      </c>
      <c r="G1867" t="s">
        <v>8739</v>
      </c>
      <c r="H1867" t="s">
        <v>8701</v>
      </c>
      <c r="I1867" s="99">
        <v>43513</v>
      </c>
      <c r="J1867">
        <f>YEAR(I1867)</f>
        <v>2019</v>
      </c>
      <c r="K1867" s="99">
        <v>43522</v>
      </c>
      <c r="L1867" t="s">
        <v>8241</v>
      </c>
      <c r="M1867" t="s">
        <v>6934</v>
      </c>
    </row>
    <row r="1868" spans="2:13" x14ac:dyDescent="0.2">
      <c r="B1868">
        <v>10344</v>
      </c>
      <c r="C1868" t="s">
        <v>8352</v>
      </c>
      <c r="D1868" t="s">
        <v>8254</v>
      </c>
      <c r="E1868" s="225">
        <v>616</v>
      </c>
      <c r="F1868" t="s">
        <v>8740</v>
      </c>
      <c r="G1868" t="s">
        <v>8739</v>
      </c>
      <c r="H1868" t="s">
        <v>8701</v>
      </c>
      <c r="I1868" s="99">
        <v>43606</v>
      </c>
      <c r="J1868">
        <f>YEAR(I1868)</f>
        <v>2019</v>
      </c>
      <c r="K1868" s="99">
        <v>43610</v>
      </c>
      <c r="L1868" t="s">
        <v>8266</v>
      </c>
      <c r="M1868" t="s">
        <v>8267</v>
      </c>
    </row>
    <row r="1869" spans="2:13" x14ac:dyDescent="0.2">
      <c r="B1869">
        <v>10344</v>
      </c>
      <c r="C1869" t="s">
        <v>8379</v>
      </c>
      <c r="D1869" t="s">
        <v>8254</v>
      </c>
      <c r="E1869" s="225">
        <v>1680</v>
      </c>
      <c r="F1869" t="s">
        <v>8740</v>
      </c>
      <c r="G1869" t="s">
        <v>8739</v>
      </c>
      <c r="H1869" t="s">
        <v>8701</v>
      </c>
      <c r="I1869" s="99">
        <v>43606</v>
      </c>
      <c r="J1869">
        <f>YEAR(I1869)</f>
        <v>2019</v>
      </c>
      <c r="K1869" s="99">
        <v>43610</v>
      </c>
      <c r="L1869" t="s">
        <v>8266</v>
      </c>
      <c r="M1869" t="s">
        <v>8267</v>
      </c>
    </row>
    <row r="1870" spans="2:13" x14ac:dyDescent="0.2">
      <c r="B1870">
        <v>10469</v>
      </c>
      <c r="C1870" t="s">
        <v>8276</v>
      </c>
      <c r="D1870" t="s">
        <v>8272</v>
      </c>
      <c r="E1870" s="225">
        <v>516.79999999999995</v>
      </c>
      <c r="F1870" t="s">
        <v>8740</v>
      </c>
      <c r="G1870" t="s">
        <v>8739</v>
      </c>
      <c r="H1870" t="s">
        <v>8701</v>
      </c>
      <c r="I1870" s="99">
        <v>43735</v>
      </c>
      <c r="J1870">
        <f>YEAR(I1870)</f>
        <v>2019</v>
      </c>
      <c r="K1870" s="99">
        <v>43739</v>
      </c>
      <c r="L1870" t="s">
        <v>8285</v>
      </c>
      <c r="M1870" t="s">
        <v>2317</v>
      </c>
    </row>
    <row r="1871" spans="2:13" x14ac:dyDescent="0.2">
      <c r="B1871">
        <v>10469</v>
      </c>
      <c r="C1871" t="s">
        <v>8322</v>
      </c>
      <c r="D1871" t="s">
        <v>8254</v>
      </c>
      <c r="E1871" s="225">
        <v>26.35</v>
      </c>
      <c r="F1871" t="s">
        <v>8740</v>
      </c>
      <c r="G1871" t="s">
        <v>8739</v>
      </c>
      <c r="H1871" t="s">
        <v>8701</v>
      </c>
      <c r="I1871" s="99">
        <v>43735</v>
      </c>
      <c r="J1871">
        <f>YEAR(I1871)</f>
        <v>2019</v>
      </c>
      <c r="K1871" s="99">
        <v>43739</v>
      </c>
      <c r="L1871" t="s">
        <v>8285</v>
      </c>
      <c r="M1871" t="s">
        <v>2317</v>
      </c>
    </row>
    <row r="1872" spans="2:13" x14ac:dyDescent="0.2">
      <c r="B1872">
        <v>10469</v>
      </c>
      <c r="C1872" t="s">
        <v>8280</v>
      </c>
      <c r="D1872" t="s">
        <v>8262</v>
      </c>
      <c r="E1872" s="225">
        <v>413.52</v>
      </c>
      <c r="F1872" t="s">
        <v>8740</v>
      </c>
      <c r="G1872" t="s">
        <v>8739</v>
      </c>
      <c r="H1872" t="s">
        <v>8701</v>
      </c>
      <c r="I1872" s="99">
        <v>43735</v>
      </c>
      <c r="J1872">
        <f>YEAR(I1872)</f>
        <v>2019</v>
      </c>
      <c r="K1872" s="99">
        <v>43739</v>
      </c>
      <c r="L1872" t="s">
        <v>8285</v>
      </c>
      <c r="M1872" t="s">
        <v>2317</v>
      </c>
    </row>
    <row r="1873" spans="2:13" x14ac:dyDescent="0.2">
      <c r="B1873">
        <v>10483</v>
      </c>
      <c r="C1873" t="s">
        <v>8358</v>
      </c>
      <c r="D1873" t="s">
        <v>8272</v>
      </c>
      <c r="E1873" s="225">
        <v>372.4</v>
      </c>
      <c r="F1873" t="s">
        <v>8740</v>
      </c>
      <c r="G1873" t="s">
        <v>8739</v>
      </c>
      <c r="H1873" t="s">
        <v>8701</v>
      </c>
      <c r="I1873" s="99">
        <v>43749</v>
      </c>
      <c r="J1873">
        <f>YEAR(I1873)</f>
        <v>2019</v>
      </c>
      <c r="K1873" s="99">
        <v>43781</v>
      </c>
      <c r="L1873" t="s">
        <v>8158</v>
      </c>
      <c r="M1873" t="s">
        <v>861</v>
      </c>
    </row>
    <row r="1874" spans="2:13" x14ac:dyDescent="0.2">
      <c r="B1874">
        <v>10483</v>
      </c>
      <c r="C1874" t="s">
        <v>8397</v>
      </c>
      <c r="D1874" t="s">
        <v>8254</v>
      </c>
      <c r="E1874" s="225">
        <v>296.39999999999998</v>
      </c>
      <c r="F1874" t="s">
        <v>8740</v>
      </c>
      <c r="G1874" t="s">
        <v>8739</v>
      </c>
      <c r="H1874" t="s">
        <v>8701</v>
      </c>
      <c r="I1874" s="99">
        <v>43749</v>
      </c>
      <c r="J1874">
        <f>YEAR(I1874)</f>
        <v>2019</v>
      </c>
      <c r="K1874" s="99">
        <v>43781</v>
      </c>
      <c r="L1874" t="s">
        <v>8158</v>
      </c>
      <c r="M1874" t="s">
        <v>861</v>
      </c>
    </row>
    <row r="1875" spans="2:13" x14ac:dyDescent="0.2">
      <c r="B1875">
        <v>10504</v>
      </c>
      <c r="C1875" t="s">
        <v>8276</v>
      </c>
      <c r="D1875" t="s">
        <v>8272</v>
      </c>
      <c r="E1875" s="225">
        <v>228</v>
      </c>
      <c r="F1875" t="s">
        <v>8740</v>
      </c>
      <c r="G1875" t="s">
        <v>8739</v>
      </c>
      <c r="H1875" t="s">
        <v>8701</v>
      </c>
      <c r="I1875" s="99">
        <v>43767</v>
      </c>
      <c r="J1875">
        <f>YEAR(I1875)</f>
        <v>2019</v>
      </c>
      <c r="K1875" s="99">
        <v>43774</v>
      </c>
      <c r="L1875" t="s">
        <v>8266</v>
      </c>
      <c r="M1875" t="s">
        <v>8267</v>
      </c>
    </row>
    <row r="1876" spans="2:13" x14ac:dyDescent="0.2">
      <c r="B1876">
        <v>10504</v>
      </c>
      <c r="C1876" t="s">
        <v>8409</v>
      </c>
      <c r="D1876" t="s">
        <v>8254</v>
      </c>
      <c r="E1876" s="225">
        <v>712.5</v>
      </c>
      <c r="F1876" t="s">
        <v>8740</v>
      </c>
      <c r="G1876" t="s">
        <v>8739</v>
      </c>
      <c r="H1876" t="s">
        <v>8701</v>
      </c>
      <c r="I1876" s="99">
        <v>43767</v>
      </c>
      <c r="J1876">
        <f>YEAR(I1876)</f>
        <v>2019</v>
      </c>
      <c r="K1876" s="99">
        <v>43774</v>
      </c>
      <c r="L1876" t="s">
        <v>8266</v>
      </c>
      <c r="M1876" t="s">
        <v>8267</v>
      </c>
    </row>
    <row r="1877" spans="2:13" x14ac:dyDescent="0.2">
      <c r="B1877">
        <v>10504</v>
      </c>
      <c r="C1877" t="s">
        <v>8368</v>
      </c>
      <c r="D1877" t="s">
        <v>8262</v>
      </c>
      <c r="E1877" s="225">
        <v>120</v>
      </c>
      <c r="F1877" t="s">
        <v>8740</v>
      </c>
      <c r="G1877" t="s">
        <v>8739</v>
      </c>
      <c r="H1877" t="s">
        <v>8701</v>
      </c>
      <c r="I1877" s="99">
        <v>43767</v>
      </c>
      <c r="J1877">
        <f>YEAR(I1877)</f>
        <v>2019</v>
      </c>
      <c r="K1877" s="99">
        <v>43774</v>
      </c>
      <c r="L1877" t="s">
        <v>8266</v>
      </c>
      <c r="M1877" t="s">
        <v>8267</v>
      </c>
    </row>
    <row r="1878" spans="2:13" x14ac:dyDescent="0.2">
      <c r="B1878">
        <v>10596</v>
      </c>
      <c r="C1878" t="s">
        <v>8328</v>
      </c>
      <c r="D1878" t="s">
        <v>8272</v>
      </c>
      <c r="E1878" s="225">
        <v>186</v>
      </c>
      <c r="F1878" t="s">
        <v>8740</v>
      </c>
      <c r="G1878" t="s">
        <v>8739</v>
      </c>
      <c r="H1878" t="s">
        <v>8701</v>
      </c>
      <c r="I1878" s="99">
        <v>43858</v>
      </c>
      <c r="J1878">
        <f>YEAR(I1878)</f>
        <v>2020</v>
      </c>
      <c r="K1878" s="99">
        <v>43890</v>
      </c>
      <c r="L1878" t="s">
        <v>8320</v>
      </c>
      <c r="M1878" t="s">
        <v>8321</v>
      </c>
    </row>
    <row r="1879" spans="2:13" x14ac:dyDescent="0.2">
      <c r="B1879">
        <v>10596</v>
      </c>
      <c r="C1879" t="s">
        <v>8317</v>
      </c>
      <c r="D1879" t="s">
        <v>8254</v>
      </c>
      <c r="E1879" s="225">
        <v>842.88</v>
      </c>
      <c r="F1879" t="s">
        <v>8740</v>
      </c>
      <c r="G1879" t="s">
        <v>8739</v>
      </c>
      <c r="H1879" t="s">
        <v>8701</v>
      </c>
      <c r="I1879" s="99">
        <v>43858</v>
      </c>
      <c r="J1879">
        <f>YEAR(I1879)</f>
        <v>2020</v>
      </c>
      <c r="K1879" s="99">
        <v>43890</v>
      </c>
      <c r="L1879" t="s">
        <v>8320</v>
      </c>
      <c r="M1879" t="s">
        <v>8321</v>
      </c>
    </row>
    <row r="1880" spans="2:13" x14ac:dyDescent="0.2">
      <c r="B1880">
        <v>10596</v>
      </c>
      <c r="C1880" t="s">
        <v>8341</v>
      </c>
      <c r="D1880" t="s">
        <v>8244</v>
      </c>
      <c r="E1880" s="225">
        <v>152</v>
      </c>
      <c r="F1880" t="s">
        <v>8740</v>
      </c>
      <c r="G1880" t="s">
        <v>8739</v>
      </c>
      <c r="H1880" t="s">
        <v>8701</v>
      </c>
      <c r="I1880" s="99">
        <v>43858</v>
      </c>
      <c r="J1880">
        <f>YEAR(I1880)</f>
        <v>2020</v>
      </c>
      <c r="K1880" s="99">
        <v>43890</v>
      </c>
      <c r="L1880" t="s">
        <v>8320</v>
      </c>
      <c r="M1880" t="s">
        <v>8321</v>
      </c>
    </row>
    <row r="1881" spans="2:13" x14ac:dyDescent="0.2">
      <c r="B1881">
        <v>10693</v>
      </c>
      <c r="C1881" t="s">
        <v>8353</v>
      </c>
      <c r="D1881" t="s">
        <v>8237</v>
      </c>
      <c r="E1881" s="225">
        <v>918</v>
      </c>
      <c r="F1881" t="s">
        <v>8740</v>
      </c>
      <c r="G1881" t="s">
        <v>8739</v>
      </c>
      <c r="H1881" t="s">
        <v>8701</v>
      </c>
      <c r="I1881" s="99">
        <v>43945</v>
      </c>
      <c r="J1881">
        <f>YEAR(I1881)</f>
        <v>2020</v>
      </c>
      <c r="K1881" s="99">
        <v>43949</v>
      </c>
      <c r="L1881" t="s">
        <v>8257</v>
      </c>
      <c r="M1881" t="s">
        <v>6984</v>
      </c>
    </row>
    <row r="1882" spans="2:13" x14ac:dyDescent="0.2">
      <c r="B1882">
        <v>10723</v>
      </c>
      <c r="C1882" t="s">
        <v>8372</v>
      </c>
      <c r="D1882" t="s">
        <v>8262</v>
      </c>
      <c r="E1882" s="225">
        <v>468.45</v>
      </c>
      <c r="F1882" t="s">
        <v>8740</v>
      </c>
      <c r="G1882" t="s">
        <v>8739</v>
      </c>
      <c r="H1882" t="s">
        <v>8701</v>
      </c>
      <c r="I1882" s="99">
        <v>43969</v>
      </c>
      <c r="J1882">
        <f>YEAR(I1882)</f>
        <v>2020</v>
      </c>
      <c r="K1882" s="99">
        <v>43995</v>
      </c>
      <c r="L1882" t="s">
        <v>8257</v>
      </c>
      <c r="M1882" t="s">
        <v>6984</v>
      </c>
    </row>
    <row r="1883" spans="2:13" x14ac:dyDescent="0.2">
      <c r="B1883">
        <v>10740</v>
      </c>
      <c r="C1883" t="s">
        <v>8323</v>
      </c>
      <c r="D1883" t="s">
        <v>8272</v>
      </c>
      <c r="E1883" s="225">
        <v>504</v>
      </c>
      <c r="F1883" t="s">
        <v>8740</v>
      </c>
      <c r="G1883" t="s">
        <v>8739</v>
      </c>
      <c r="H1883" t="s">
        <v>8701</v>
      </c>
      <c r="I1883" s="99">
        <v>43983</v>
      </c>
      <c r="J1883">
        <f>YEAR(I1883)</f>
        <v>2020</v>
      </c>
      <c r="K1883" s="99">
        <v>43995</v>
      </c>
      <c r="L1883" t="s">
        <v>8266</v>
      </c>
      <c r="M1883" t="s">
        <v>8267</v>
      </c>
    </row>
    <row r="1884" spans="2:13" x14ac:dyDescent="0.2">
      <c r="B1884">
        <v>10740</v>
      </c>
      <c r="C1884" t="s">
        <v>8341</v>
      </c>
      <c r="D1884" t="s">
        <v>8244</v>
      </c>
      <c r="E1884" s="225">
        <v>425.6</v>
      </c>
      <c r="F1884" t="s">
        <v>8740</v>
      </c>
      <c r="G1884" t="s">
        <v>8739</v>
      </c>
      <c r="H1884" t="s">
        <v>8701</v>
      </c>
      <c r="I1884" s="99">
        <v>43983</v>
      </c>
      <c r="J1884">
        <f>YEAR(I1884)</f>
        <v>2020</v>
      </c>
      <c r="K1884" s="99">
        <v>43995</v>
      </c>
      <c r="L1884" t="s">
        <v>8266</v>
      </c>
      <c r="M1884" t="s">
        <v>8267</v>
      </c>
    </row>
    <row r="1885" spans="2:13" x14ac:dyDescent="0.2">
      <c r="B1885">
        <v>10740</v>
      </c>
      <c r="C1885" t="s">
        <v>8316</v>
      </c>
      <c r="D1885" t="s">
        <v>8247</v>
      </c>
      <c r="E1885" s="225">
        <v>182.4</v>
      </c>
      <c r="F1885" t="s">
        <v>8740</v>
      </c>
      <c r="G1885" t="s">
        <v>8739</v>
      </c>
      <c r="H1885" t="s">
        <v>8701</v>
      </c>
      <c r="I1885" s="99">
        <v>43983</v>
      </c>
      <c r="J1885">
        <f>YEAR(I1885)</f>
        <v>2020</v>
      </c>
      <c r="K1885" s="99">
        <v>43995</v>
      </c>
      <c r="L1885" t="s">
        <v>8266</v>
      </c>
      <c r="M1885" t="s">
        <v>8267</v>
      </c>
    </row>
    <row r="1886" spans="2:13" x14ac:dyDescent="0.2">
      <c r="B1886">
        <v>10861</v>
      </c>
      <c r="C1886" t="s">
        <v>8368</v>
      </c>
      <c r="D1886" t="s">
        <v>8262</v>
      </c>
      <c r="E1886" s="225">
        <v>400</v>
      </c>
      <c r="F1886" t="s">
        <v>8740</v>
      </c>
      <c r="G1886" t="s">
        <v>8739</v>
      </c>
      <c r="H1886" t="s">
        <v>8701</v>
      </c>
      <c r="I1886" s="99">
        <v>44060</v>
      </c>
      <c r="J1886">
        <f>YEAR(I1886)</f>
        <v>2020</v>
      </c>
      <c r="K1886" s="99">
        <v>44078</v>
      </c>
      <c r="L1886" t="s">
        <v>8266</v>
      </c>
      <c r="M1886" t="s">
        <v>8267</v>
      </c>
    </row>
    <row r="1887" spans="2:13" x14ac:dyDescent="0.2">
      <c r="B1887">
        <v>10861</v>
      </c>
      <c r="C1887" t="s">
        <v>8291</v>
      </c>
      <c r="D1887" t="s">
        <v>8262</v>
      </c>
      <c r="E1887" s="225">
        <v>147.9</v>
      </c>
      <c r="F1887" t="s">
        <v>8740</v>
      </c>
      <c r="G1887" t="s">
        <v>8739</v>
      </c>
      <c r="H1887" t="s">
        <v>8701</v>
      </c>
      <c r="I1887" s="99">
        <v>44060</v>
      </c>
      <c r="J1887">
        <f>YEAR(I1887)</f>
        <v>2020</v>
      </c>
      <c r="K1887" s="99">
        <v>44078</v>
      </c>
      <c r="L1887" t="s">
        <v>8266</v>
      </c>
      <c r="M1887" t="s">
        <v>8267</v>
      </c>
    </row>
    <row r="1888" spans="2:13" x14ac:dyDescent="0.2">
      <c r="B1888">
        <v>10861</v>
      </c>
      <c r="C1888" t="s">
        <v>8269</v>
      </c>
      <c r="D1888" t="s">
        <v>8237</v>
      </c>
      <c r="E1888" s="225">
        <v>87.5</v>
      </c>
      <c r="F1888" t="s">
        <v>8740</v>
      </c>
      <c r="G1888" t="s">
        <v>8739</v>
      </c>
      <c r="H1888" t="s">
        <v>8701</v>
      </c>
      <c r="I1888" s="99">
        <v>44060</v>
      </c>
      <c r="J1888">
        <f>YEAR(I1888)</f>
        <v>2020</v>
      </c>
      <c r="K1888" s="99">
        <v>44078</v>
      </c>
      <c r="L1888" t="s">
        <v>8266</v>
      </c>
      <c r="M1888" t="s">
        <v>8267</v>
      </c>
    </row>
    <row r="1889" spans="2:13" x14ac:dyDescent="0.2">
      <c r="B1889">
        <v>10904</v>
      </c>
      <c r="C1889" t="s">
        <v>8291</v>
      </c>
      <c r="D1889" t="s">
        <v>8262</v>
      </c>
      <c r="E1889" s="225">
        <v>1725.5</v>
      </c>
      <c r="F1889" t="s">
        <v>8740</v>
      </c>
      <c r="G1889" t="s">
        <v>8739</v>
      </c>
      <c r="H1889" t="s">
        <v>8701</v>
      </c>
      <c r="I1889" s="99">
        <v>44085</v>
      </c>
      <c r="J1889">
        <f>YEAR(I1889)</f>
        <v>2020</v>
      </c>
      <c r="K1889" s="99">
        <v>44088</v>
      </c>
      <c r="L1889" t="s">
        <v>8257</v>
      </c>
      <c r="M1889" t="s">
        <v>6984</v>
      </c>
    </row>
    <row r="1890" spans="2:13" x14ac:dyDescent="0.2">
      <c r="B1890">
        <v>11032</v>
      </c>
      <c r="C1890" t="s">
        <v>8380</v>
      </c>
      <c r="D1890" t="s">
        <v>8272</v>
      </c>
      <c r="E1890" s="225">
        <v>6587.5</v>
      </c>
      <c r="F1890" t="s">
        <v>8740</v>
      </c>
      <c r="G1890" t="s">
        <v>8739</v>
      </c>
      <c r="H1890" t="s">
        <v>8701</v>
      </c>
      <c r="I1890" s="99">
        <v>44137</v>
      </c>
      <c r="J1890">
        <f>YEAR(I1890)</f>
        <v>2020</v>
      </c>
      <c r="K1890" s="99">
        <v>44143</v>
      </c>
      <c r="L1890" t="s">
        <v>8297</v>
      </c>
      <c r="M1890" t="s">
        <v>8298</v>
      </c>
    </row>
    <row r="1891" spans="2:13" x14ac:dyDescent="0.2">
      <c r="B1891">
        <v>11032</v>
      </c>
      <c r="C1891" t="s">
        <v>8281</v>
      </c>
      <c r="D1891" t="s">
        <v>8237</v>
      </c>
      <c r="E1891" s="225">
        <v>1650</v>
      </c>
      <c r="F1891" t="s">
        <v>8740</v>
      </c>
      <c r="G1891" t="s">
        <v>8739</v>
      </c>
      <c r="H1891" t="s">
        <v>8701</v>
      </c>
      <c r="I1891" s="99">
        <v>44137</v>
      </c>
      <c r="J1891">
        <f>YEAR(I1891)</f>
        <v>2020</v>
      </c>
      <c r="K1891" s="99">
        <v>44143</v>
      </c>
      <c r="L1891" t="s">
        <v>8297</v>
      </c>
      <c r="M1891" t="s">
        <v>8298</v>
      </c>
    </row>
    <row r="1892" spans="2:13" x14ac:dyDescent="0.2">
      <c r="B1892">
        <v>11066</v>
      </c>
      <c r="C1892" t="s">
        <v>8358</v>
      </c>
      <c r="D1892" t="s">
        <v>8272</v>
      </c>
      <c r="E1892" s="225">
        <v>490</v>
      </c>
      <c r="F1892" t="s">
        <v>8740</v>
      </c>
      <c r="G1892" t="s">
        <v>8739</v>
      </c>
      <c r="H1892" t="s">
        <v>8701</v>
      </c>
      <c r="I1892" s="99">
        <v>44151</v>
      </c>
      <c r="J1892">
        <f>YEAR(I1892)</f>
        <v>2020</v>
      </c>
      <c r="K1892" s="99">
        <v>44154</v>
      </c>
      <c r="L1892" t="s">
        <v>8158</v>
      </c>
      <c r="M1892" t="s">
        <v>861</v>
      </c>
    </row>
    <row r="1893" spans="2:13" x14ac:dyDescent="0.2">
      <c r="B1893">
        <v>11066</v>
      </c>
      <c r="C1893" t="s">
        <v>8280</v>
      </c>
      <c r="D1893" t="s">
        <v>8262</v>
      </c>
      <c r="E1893" s="225">
        <v>52.35</v>
      </c>
      <c r="F1893" t="s">
        <v>8740</v>
      </c>
      <c r="G1893" t="s">
        <v>8739</v>
      </c>
      <c r="H1893" t="s">
        <v>8701</v>
      </c>
      <c r="I1893" s="99">
        <v>44151</v>
      </c>
      <c r="J1893">
        <f>YEAR(I1893)</f>
        <v>2020</v>
      </c>
      <c r="K1893" s="99">
        <v>44154</v>
      </c>
      <c r="L1893" t="s">
        <v>8158</v>
      </c>
      <c r="M1893" t="s">
        <v>861</v>
      </c>
    </row>
    <row r="1894" spans="2:13" x14ac:dyDescent="0.2">
      <c r="B1894">
        <v>11066</v>
      </c>
      <c r="C1894" t="s">
        <v>8327</v>
      </c>
      <c r="D1894" t="s">
        <v>8262</v>
      </c>
      <c r="E1894" s="225">
        <v>386.4</v>
      </c>
      <c r="F1894" t="s">
        <v>8740</v>
      </c>
      <c r="G1894" t="s">
        <v>8739</v>
      </c>
      <c r="H1894" t="s">
        <v>8701</v>
      </c>
      <c r="I1894" s="99">
        <v>44151</v>
      </c>
      <c r="J1894">
        <f>YEAR(I1894)</f>
        <v>2020</v>
      </c>
      <c r="K1894" s="99">
        <v>44154</v>
      </c>
      <c r="L1894" t="s">
        <v>8158</v>
      </c>
      <c r="M1894" t="s">
        <v>861</v>
      </c>
    </row>
    <row r="1895" spans="2:13" x14ac:dyDescent="0.2">
      <c r="B1895">
        <v>10673</v>
      </c>
      <c r="C1895" t="s">
        <v>8306</v>
      </c>
      <c r="D1895" t="s">
        <v>8272</v>
      </c>
      <c r="E1895" s="225">
        <v>276</v>
      </c>
      <c r="F1895" t="s">
        <v>8426</v>
      </c>
      <c r="G1895" t="s">
        <v>8427</v>
      </c>
      <c r="H1895" t="s">
        <v>8300</v>
      </c>
      <c r="I1895" s="99">
        <v>43927</v>
      </c>
      <c r="J1895">
        <f>YEAR(I1895)</f>
        <v>2020</v>
      </c>
      <c r="K1895" s="99">
        <v>43928</v>
      </c>
      <c r="L1895" t="s">
        <v>8297</v>
      </c>
      <c r="M1895" t="s">
        <v>8298</v>
      </c>
    </row>
    <row r="1896" spans="2:13" x14ac:dyDescent="0.2">
      <c r="B1896">
        <v>10673</v>
      </c>
      <c r="C1896" t="s">
        <v>8280</v>
      </c>
      <c r="D1896" t="s">
        <v>8262</v>
      </c>
      <c r="E1896" s="225">
        <v>52.35</v>
      </c>
      <c r="F1896" t="s">
        <v>8426</v>
      </c>
      <c r="G1896" t="s">
        <v>8427</v>
      </c>
      <c r="H1896" t="s">
        <v>8300</v>
      </c>
      <c r="I1896" s="99">
        <v>43927</v>
      </c>
      <c r="J1896">
        <f>YEAR(I1896)</f>
        <v>2020</v>
      </c>
      <c r="K1896" s="99">
        <v>43928</v>
      </c>
      <c r="L1896" t="s">
        <v>8297</v>
      </c>
      <c r="M1896" t="s">
        <v>8298</v>
      </c>
    </row>
    <row r="1897" spans="2:13" x14ac:dyDescent="0.2">
      <c r="B1897">
        <v>10673</v>
      </c>
      <c r="C1897" t="s">
        <v>8243</v>
      </c>
      <c r="D1897" t="s">
        <v>8244</v>
      </c>
      <c r="E1897" s="225">
        <v>84</v>
      </c>
      <c r="F1897" t="s">
        <v>8426</v>
      </c>
      <c r="G1897" t="s">
        <v>8427</v>
      </c>
      <c r="H1897" t="s">
        <v>8300</v>
      </c>
      <c r="I1897" s="99">
        <v>43927</v>
      </c>
      <c r="J1897">
        <f>YEAR(I1897)</f>
        <v>2020</v>
      </c>
      <c r="K1897" s="99">
        <v>43928</v>
      </c>
      <c r="L1897" t="s">
        <v>8297</v>
      </c>
      <c r="M1897" t="s">
        <v>8298</v>
      </c>
    </row>
    <row r="1898" spans="2:13" x14ac:dyDescent="0.2">
      <c r="B1898">
        <v>10695</v>
      </c>
      <c r="C1898" t="s">
        <v>8270</v>
      </c>
      <c r="D1898" t="s">
        <v>8272</v>
      </c>
      <c r="E1898" s="225">
        <v>90</v>
      </c>
      <c r="F1898" t="s">
        <v>8426</v>
      </c>
      <c r="G1898" t="s">
        <v>8427</v>
      </c>
      <c r="H1898" t="s">
        <v>8300</v>
      </c>
      <c r="I1898" s="99">
        <v>43946</v>
      </c>
      <c r="J1898">
        <f>YEAR(I1898)</f>
        <v>2020</v>
      </c>
      <c r="K1898" s="99">
        <v>43953</v>
      </c>
      <c r="L1898" t="s">
        <v>8158</v>
      </c>
      <c r="M1898" t="s">
        <v>861</v>
      </c>
    </row>
    <row r="1899" spans="2:13" x14ac:dyDescent="0.2">
      <c r="B1899">
        <v>10695</v>
      </c>
      <c r="C1899" t="s">
        <v>8379</v>
      </c>
      <c r="D1899" t="s">
        <v>8254</v>
      </c>
      <c r="E1899" s="225">
        <v>400</v>
      </c>
      <c r="F1899" t="s">
        <v>8426</v>
      </c>
      <c r="G1899" t="s">
        <v>8427</v>
      </c>
      <c r="H1899" t="s">
        <v>8300</v>
      </c>
      <c r="I1899" s="99">
        <v>43946</v>
      </c>
      <c r="J1899">
        <f>YEAR(I1899)</f>
        <v>2020</v>
      </c>
      <c r="K1899" s="99">
        <v>43953</v>
      </c>
      <c r="L1899" t="s">
        <v>8158</v>
      </c>
      <c r="M1899" t="s">
        <v>861</v>
      </c>
    </row>
    <row r="1900" spans="2:13" x14ac:dyDescent="0.2">
      <c r="B1900">
        <v>10695</v>
      </c>
      <c r="C1900" t="s">
        <v>8299</v>
      </c>
      <c r="D1900" t="s">
        <v>8237</v>
      </c>
      <c r="E1900" s="225">
        <v>152</v>
      </c>
      <c r="F1900" t="s">
        <v>8426</v>
      </c>
      <c r="G1900" t="s">
        <v>8427</v>
      </c>
      <c r="H1900" t="s">
        <v>8300</v>
      </c>
      <c r="I1900" s="99">
        <v>43946</v>
      </c>
      <c r="J1900">
        <f>YEAR(I1900)</f>
        <v>2020</v>
      </c>
      <c r="K1900" s="99">
        <v>43953</v>
      </c>
      <c r="L1900" t="s">
        <v>8158</v>
      </c>
      <c r="M1900" t="s">
        <v>861</v>
      </c>
    </row>
    <row r="1901" spans="2:13" x14ac:dyDescent="0.2">
      <c r="B1901">
        <v>10873</v>
      </c>
      <c r="C1901" t="s">
        <v>8368</v>
      </c>
      <c r="D1901" t="s">
        <v>8262</v>
      </c>
      <c r="E1901" s="225">
        <v>200</v>
      </c>
      <c r="F1901" t="s">
        <v>8426</v>
      </c>
      <c r="G1901" t="s">
        <v>8427</v>
      </c>
      <c r="H1901" t="s">
        <v>8300</v>
      </c>
      <c r="I1901" s="99">
        <v>44067</v>
      </c>
      <c r="J1901">
        <f>YEAR(I1901)</f>
        <v>2020</v>
      </c>
      <c r="K1901" s="99">
        <v>44070</v>
      </c>
      <c r="L1901" t="s">
        <v>8266</v>
      </c>
      <c r="M1901" t="s">
        <v>8267</v>
      </c>
    </row>
    <row r="1902" spans="2:13" x14ac:dyDescent="0.2">
      <c r="B1902">
        <v>10873</v>
      </c>
      <c r="C1902" t="s">
        <v>8316</v>
      </c>
      <c r="D1902" t="s">
        <v>8247</v>
      </c>
      <c r="E1902" s="225">
        <v>136.80000000000001</v>
      </c>
      <c r="F1902" t="s">
        <v>8426</v>
      </c>
      <c r="G1902" t="s">
        <v>8427</v>
      </c>
      <c r="H1902" t="s">
        <v>8300</v>
      </c>
      <c r="I1902" s="99">
        <v>44067</v>
      </c>
      <c r="J1902">
        <f>YEAR(I1902)</f>
        <v>2020</v>
      </c>
      <c r="K1902" s="99">
        <v>44070</v>
      </c>
      <c r="L1902" t="s">
        <v>8266</v>
      </c>
      <c r="M1902" t="s">
        <v>8267</v>
      </c>
    </row>
    <row r="1903" spans="2:13" x14ac:dyDescent="0.2">
      <c r="B1903">
        <v>10879</v>
      </c>
      <c r="C1903" t="s">
        <v>8303</v>
      </c>
      <c r="D1903" t="s">
        <v>8272</v>
      </c>
      <c r="E1903" s="225">
        <v>180</v>
      </c>
      <c r="F1903" t="s">
        <v>8426</v>
      </c>
      <c r="G1903" t="s">
        <v>8427</v>
      </c>
      <c r="H1903" t="s">
        <v>8300</v>
      </c>
      <c r="I1903" s="99">
        <v>44072</v>
      </c>
      <c r="J1903">
        <f>YEAR(I1903)</f>
        <v>2020</v>
      </c>
      <c r="K1903" s="99">
        <v>44073</v>
      </c>
      <c r="L1903" t="s">
        <v>8257</v>
      </c>
      <c r="M1903" t="s">
        <v>6984</v>
      </c>
    </row>
    <row r="1904" spans="2:13" x14ac:dyDescent="0.2">
      <c r="B1904">
        <v>10879</v>
      </c>
      <c r="C1904" t="s">
        <v>8253</v>
      </c>
      <c r="D1904" t="s">
        <v>8254</v>
      </c>
      <c r="E1904" s="225">
        <v>210.5</v>
      </c>
      <c r="F1904" t="s">
        <v>8426</v>
      </c>
      <c r="G1904" t="s">
        <v>8427</v>
      </c>
      <c r="H1904" t="s">
        <v>8300</v>
      </c>
      <c r="I1904" s="99">
        <v>44072</v>
      </c>
      <c r="J1904">
        <f>YEAR(I1904)</f>
        <v>2020</v>
      </c>
      <c r="K1904" s="99">
        <v>44073</v>
      </c>
      <c r="L1904" t="s">
        <v>8257</v>
      </c>
      <c r="M1904" t="s">
        <v>6984</v>
      </c>
    </row>
    <row r="1905" spans="2:13" x14ac:dyDescent="0.2">
      <c r="B1905">
        <v>10910</v>
      </c>
      <c r="C1905" t="s">
        <v>8409</v>
      </c>
      <c r="D1905" t="s">
        <v>8254</v>
      </c>
      <c r="E1905" s="225">
        <v>142.5</v>
      </c>
      <c r="F1905" t="s">
        <v>8426</v>
      </c>
      <c r="G1905" t="s">
        <v>8427</v>
      </c>
      <c r="H1905" t="s">
        <v>8300</v>
      </c>
      <c r="I1905" s="99">
        <v>44087</v>
      </c>
      <c r="J1905">
        <f>YEAR(I1905)</f>
        <v>2020</v>
      </c>
      <c r="K1905" s="99">
        <v>44093</v>
      </c>
      <c r="L1905" t="s">
        <v>8285</v>
      </c>
      <c r="M1905" t="s">
        <v>2317</v>
      </c>
    </row>
    <row r="1906" spans="2:13" x14ac:dyDescent="0.2">
      <c r="B1906">
        <v>10910</v>
      </c>
      <c r="C1906" t="s">
        <v>8327</v>
      </c>
      <c r="D1906" t="s">
        <v>8262</v>
      </c>
      <c r="E1906" s="225">
        <v>110.4</v>
      </c>
      <c r="F1906" t="s">
        <v>8426</v>
      </c>
      <c r="G1906" t="s">
        <v>8427</v>
      </c>
      <c r="H1906" t="s">
        <v>8300</v>
      </c>
      <c r="I1906" s="99">
        <v>44087</v>
      </c>
      <c r="J1906">
        <f>YEAR(I1906)</f>
        <v>2020</v>
      </c>
      <c r="K1906" s="99">
        <v>44093</v>
      </c>
      <c r="L1906" t="s">
        <v>8285</v>
      </c>
      <c r="M1906" t="s">
        <v>2317</v>
      </c>
    </row>
    <row r="1907" spans="2:13" x14ac:dyDescent="0.2">
      <c r="B1907">
        <v>10910</v>
      </c>
      <c r="C1907" t="s">
        <v>8390</v>
      </c>
      <c r="D1907" t="s">
        <v>8262</v>
      </c>
      <c r="E1907" s="225">
        <v>200</v>
      </c>
      <c r="F1907" t="s">
        <v>8426</v>
      </c>
      <c r="G1907" t="s">
        <v>8427</v>
      </c>
      <c r="H1907" t="s">
        <v>8300</v>
      </c>
      <c r="I1907" s="99">
        <v>44087</v>
      </c>
      <c r="J1907">
        <f>YEAR(I1907)</f>
        <v>2020</v>
      </c>
      <c r="K1907" s="99">
        <v>44093</v>
      </c>
      <c r="L1907" t="s">
        <v>8285</v>
      </c>
      <c r="M1907" t="s">
        <v>2317</v>
      </c>
    </row>
    <row r="1908" spans="2:13" x14ac:dyDescent="0.2">
      <c r="B1908">
        <v>11005</v>
      </c>
      <c r="C1908" t="s">
        <v>8333</v>
      </c>
      <c r="D1908" t="s">
        <v>8272</v>
      </c>
      <c r="E1908" s="225">
        <v>36</v>
      </c>
      <c r="F1908" t="s">
        <v>8426</v>
      </c>
      <c r="G1908" t="s">
        <v>8427</v>
      </c>
      <c r="H1908" t="s">
        <v>8300</v>
      </c>
      <c r="I1908" s="99">
        <v>44127</v>
      </c>
      <c r="J1908">
        <f>YEAR(I1908)</f>
        <v>2020</v>
      </c>
      <c r="K1908" s="99">
        <v>44130</v>
      </c>
      <c r="L1908" t="s">
        <v>8297</v>
      </c>
      <c r="M1908" t="s">
        <v>8298</v>
      </c>
    </row>
    <row r="1909" spans="2:13" x14ac:dyDescent="0.2">
      <c r="B1909">
        <v>11005</v>
      </c>
      <c r="C1909" t="s">
        <v>8281</v>
      </c>
      <c r="D1909" t="s">
        <v>8237</v>
      </c>
      <c r="E1909" s="225">
        <v>550</v>
      </c>
      <c r="F1909" t="s">
        <v>8426</v>
      </c>
      <c r="G1909" t="s">
        <v>8427</v>
      </c>
      <c r="H1909" t="s">
        <v>8300</v>
      </c>
      <c r="I1909" s="99">
        <v>44127</v>
      </c>
      <c r="J1909">
        <f>YEAR(I1909)</f>
        <v>2020</v>
      </c>
      <c r="K1909" s="99">
        <v>44130</v>
      </c>
      <c r="L1909" t="s">
        <v>8297</v>
      </c>
      <c r="M1909" t="s">
        <v>8298</v>
      </c>
    </row>
    <row r="1910" spans="2:13" x14ac:dyDescent="0.2">
      <c r="B1910">
        <v>10374</v>
      </c>
      <c r="C1910" t="s">
        <v>8309</v>
      </c>
      <c r="D1910" t="s">
        <v>8237</v>
      </c>
      <c r="E1910" s="225">
        <v>300</v>
      </c>
      <c r="F1910" t="s">
        <v>8401</v>
      </c>
      <c r="G1910" t="s">
        <v>8402</v>
      </c>
      <c r="H1910" t="s">
        <v>8400</v>
      </c>
      <c r="I1910" s="99">
        <v>43640</v>
      </c>
      <c r="J1910">
        <f>YEAR(I1910)</f>
        <v>2019</v>
      </c>
      <c r="K1910" s="99">
        <v>43644</v>
      </c>
      <c r="L1910" t="s">
        <v>8285</v>
      </c>
      <c r="M1910" t="s">
        <v>2317</v>
      </c>
    </row>
    <row r="1911" spans="2:13" x14ac:dyDescent="0.2">
      <c r="B1911">
        <v>10611</v>
      </c>
      <c r="C1911" t="s">
        <v>8333</v>
      </c>
      <c r="D1911" t="s">
        <v>8272</v>
      </c>
      <c r="E1911" s="225">
        <v>108</v>
      </c>
      <c r="F1911" t="s">
        <v>8401</v>
      </c>
      <c r="G1911" t="s">
        <v>8402</v>
      </c>
      <c r="H1911" t="s">
        <v>8400</v>
      </c>
      <c r="I1911" s="99">
        <v>43872</v>
      </c>
      <c r="J1911">
        <f>YEAR(I1911)</f>
        <v>2020</v>
      </c>
      <c r="K1911" s="99">
        <v>43879</v>
      </c>
      <c r="L1911" t="s">
        <v>8251</v>
      </c>
      <c r="M1911" t="s">
        <v>269</v>
      </c>
    </row>
    <row r="1912" spans="2:13" x14ac:dyDescent="0.2">
      <c r="B1912">
        <v>10611</v>
      </c>
      <c r="C1912" t="s">
        <v>8276</v>
      </c>
      <c r="D1912" t="s">
        <v>8272</v>
      </c>
      <c r="E1912" s="225">
        <v>190</v>
      </c>
      <c r="F1912" t="s">
        <v>8401</v>
      </c>
      <c r="G1912" t="s">
        <v>8402</v>
      </c>
      <c r="H1912" t="s">
        <v>8400</v>
      </c>
      <c r="I1912" s="99">
        <v>43872</v>
      </c>
      <c r="J1912">
        <f>YEAR(I1912)</f>
        <v>2020</v>
      </c>
      <c r="K1912" s="99">
        <v>43879</v>
      </c>
      <c r="L1912" t="s">
        <v>8251</v>
      </c>
      <c r="M1912" t="s">
        <v>269</v>
      </c>
    </row>
    <row r="1913" spans="2:13" x14ac:dyDescent="0.2">
      <c r="B1913">
        <v>10611</v>
      </c>
      <c r="C1913" t="s">
        <v>8268</v>
      </c>
      <c r="D1913" t="s">
        <v>8237</v>
      </c>
      <c r="E1913" s="225">
        <v>510</v>
      </c>
      <c r="F1913" t="s">
        <v>8401</v>
      </c>
      <c r="G1913" t="s">
        <v>8402</v>
      </c>
      <c r="H1913" t="s">
        <v>8400</v>
      </c>
      <c r="I1913" s="99">
        <v>43872</v>
      </c>
      <c r="J1913">
        <f>YEAR(I1913)</f>
        <v>2020</v>
      </c>
      <c r="K1913" s="99">
        <v>43879</v>
      </c>
      <c r="L1913" t="s">
        <v>8251</v>
      </c>
      <c r="M1913" t="s">
        <v>269</v>
      </c>
    </row>
    <row r="1914" spans="2:13" x14ac:dyDescent="0.2">
      <c r="B1914">
        <v>10792</v>
      </c>
      <c r="C1914" t="s">
        <v>8276</v>
      </c>
      <c r="D1914" t="s">
        <v>8272</v>
      </c>
      <c r="E1914" s="225">
        <v>190</v>
      </c>
      <c r="F1914" t="s">
        <v>8401</v>
      </c>
      <c r="G1914" t="s">
        <v>8402</v>
      </c>
      <c r="H1914" t="s">
        <v>8400</v>
      </c>
      <c r="I1914" s="99">
        <v>44023</v>
      </c>
      <c r="J1914">
        <f>YEAR(I1914)</f>
        <v>2020</v>
      </c>
      <c r="K1914" s="99">
        <v>44031</v>
      </c>
      <c r="L1914" t="s">
        <v>8285</v>
      </c>
      <c r="M1914" t="s">
        <v>2317</v>
      </c>
    </row>
    <row r="1915" spans="2:13" x14ac:dyDescent="0.2">
      <c r="B1915">
        <v>10792</v>
      </c>
      <c r="C1915" t="s">
        <v>8334</v>
      </c>
      <c r="D1915" t="s">
        <v>8262</v>
      </c>
      <c r="E1915" s="225">
        <v>187.5</v>
      </c>
      <c r="F1915" t="s">
        <v>8401</v>
      </c>
      <c r="G1915" t="s">
        <v>8402</v>
      </c>
      <c r="H1915" t="s">
        <v>8400</v>
      </c>
      <c r="I1915" s="99">
        <v>44023</v>
      </c>
      <c r="J1915">
        <f>YEAR(I1915)</f>
        <v>2020</v>
      </c>
      <c r="K1915" s="99">
        <v>44031</v>
      </c>
      <c r="L1915" t="s">
        <v>8285</v>
      </c>
      <c r="M1915" t="s">
        <v>2317</v>
      </c>
    </row>
    <row r="1916" spans="2:13" x14ac:dyDescent="0.2">
      <c r="B1916">
        <v>10870</v>
      </c>
      <c r="C1916" t="s">
        <v>8323</v>
      </c>
      <c r="D1916" t="s">
        <v>8272</v>
      </c>
      <c r="E1916" s="225">
        <v>54</v>
      </c>
      <c r="F1916" t="s">
        <v>8401</v>
      </c>
      <c r="G1916" t="s">
        <v>8402</v>
      </c>
      <c r="H1916" t="s">
        <v>8400</v>
      </c>
      <c r="I1916" s="99">
        <v>44065</v>
      </c>
      <c r="J1916">
        <f>YEAR(I1916)</f>
        <v>2020</v>
      </c>
      <c r="K1916" s="99">
        <v>44074</v>
      </c>
      <c r="L1916" t="s">
        <v>8241</v>
      </c>
      <c r="M1916" t="s">
        <v>6934</v>
      </c>
    </row>
    <row r="1917" spans="2:13" x14ac:dyDescent="0.2">
      <c r="B1917">
        <v>10870</v>
      </c>
      <c r="C1917" t="s">
        <v>8245</v>
      </c>
      <c r="D1917" t="s">
        <v>8247</v>
      </c>
      <c r="E1917" s="225">
        <v>106</v>
      </c>
      <c r="F1917" t="s">
        <v>8401</v>
      </c>
      <c r="G1917" t="s">
        <v>8402</v>
      </c>
      <c r="H1917" t="s">
        <v>8400</v>
      </c>
      <c r="I1917" s="99">
        <v>44065</v>
      </c>
      <c r="J1917">
        <f>YEAR(I1917)</f>
        <v>2020</v>
      </c>
      <c r="K1917" s="99">
        <v>44074</v>
      </c>
      <c r="L1917" t="s">
        <v>8241</v>
      </c>
      <c r="M1917" t="s">
        <v>6934</v>
      </c>
    </row>
    <row r="1918" spans="2:13" x14ac:dyDescent="0.2">
      <c r="B1918">
        <v>10906</v>
      </c>
      <c r="C1918" t="s">
        <v>8409</v>
      </c>
      <c r="D1918" t="s">
        <v>8254</v>
      </c>
      <c r="E1918" s="225">
        <v>427.5</v>
      </c>
      <c r="F1918" t="s">
        <v>8401</v>
      </c>
      <c r="G1918" t="s">
        <v>8402</v>
      </c>
      <c r="H1918" t="s">
        <v>8400</v>
      </c>
      <c r="I1918" s="99">
        <v>44086</v>
      </c>
      <c r="J1918">
        <f>YEAR(I1918)</f>
        <v>2020</v>
      </c>
      <c r="K1918" s="99">
        <v>44092</v>
      </c>
      <c r="L1918" t="s">
        <v>8266</v>
      </c>
      <c r="M1918" t="s">
        <v>8267</v>
      </c>
    </row>
    <row r="1919" spans="2:13" x14ac:dyDescent="0.2">
      <c r="B1919">
        <v>10998</v>
      </c>
      <c r="C1919" t="s">
        <v>8270</v>
      </c>
      <c r="D1919" t="s">
        <v>8272</v>
      </c>
      <c r="E1919" s="225">
        <v>54</v>
      </c>
      <c r="F1919" t="s">
        <v>8401</v>
      </c>
      <c r="G1919" t="s">
        <v>8402</v>
      </c>
      <c r="H1919" t="s">
        <v>8400</v>
      </c>
      <c r="I1919" s="99">
        <v>44123</v>
      </c>
      <c r="J1919">
        <f>YEAR(I1919)</f>
        <v>2020</v>
      </c>
      <c r="K1919" s="99">
        <v>44137</v>
      </c>
      <c r="L1919" t="s">
        <v>8320</v>
      </c>
      <c r="M1919" t="s">
        <v>8321</v>
      </c>
    </row>
    <row r="1920" spans="2:13" x14ac:dyDescent="0.2">
      <c r="B1920">
        <v>10998</v>
      </c>
      <c r="C1920" t="s">
        <v>8328</v>
      </c>
      <c r="D1920" t="s">
        <v>8272</v>
      </c>
      <c r="E1920" s="225">
        <v>232.5</v>
      </c>
      <c r="F1920" t="s">
        <v>8401</v>
      </c>
      <c r="G1920" t="s">
        <v>8402</v>
      </c>
      <c r="H1920" t="s">
        <v>8400</v>
      </c>
      <c r="I1920" s="99">
        <v>44123</v>
      </c>
      <c r="J1920">
        <f>YEAR(I1920)</f>
        <v>2020</v>
      </c>
      <c r="K1920" s="99">
        <v>44137</v>
      </c>
      <c r="L1920" t="s">
        <v>8320</v>
      </c>
      <c r="M1920" t="s">
        <v>8321</v>
      </c>
    </row>
    <row r="1921" spans="2:13" x14ac:dyDescent="0.2">
      <c r="B1921">
        <v>10998</v>
      </c>
      <c r="C1921" t="s">
        <v>8409</v>
      </c>
      <c r="D1921" t="s">
        <v>8254</v>
      </c>
      <c r="E1921" s="225">
        <v>199.5</v>
      </c>
      <c r="F1921" t="s">
        <v>8401</v>
      </c>
      <c r="G1921" t="s">
        <v>8402</v>
      </c>
      <c r="H1921" t="s">
        <v>8400</v>
      </c>
      <c r="I1921" s="99">
        <v>44123</v>
      </c>
      <c r="J1921">
        <f>YEAR(I1921)</f>
        <v>2020</v>
      </c>
      <c r="K1921" s="99">
        <v>44137</v>
      </c>
      <c r="L1921" t="s">
        <v>8320</v>
      </c>
      <c r="M1921" t="s">
        <v>8321</v>
      </c>
    </row>
    <row r="1922" spans="2:13" x14ac:dyDescent="0.2">
      <c r="B1922">
        <v>10998</v>
      </c>
      <c r="C1922" t="s">
        <v>8275</v>
      </c>
      <c r="D1922" t="s">
        <v>8247</v>
      </c>
      <c r="E1922" s="225">
        <v>200</v>
      </c>
      <c r="F1922" t="s">
        <v>8401</v>
      </c>
      <c r="G1922" t="s">
        <v>8402</v>
      </c>
      <c r="H1922" t="s">
        <v>8400</v>
      </c>
      <c r="I1922" s="99">
        <v>44123</v>
      </c>
      <c r="J1922">
        <f>YEAR(I1922)</f>
        <v>2020</v>
      </c>
      <c r="K1922" s="99">
        <v>44137</v>
      </c>
      <c r="L1922" t="s">
        <v>8320</v>
      </c>
      <c r="M1922" t="s">
        <v>8321</v>
      </c>
    </row>
    <row r="1923" spans="2:13" x14ac:dyDescent="0.2">
      <c r="B1923">
        <v>11044</v>
      </c>
      <c r="C1923" t="s">
        <v>8291</v>
      </c>
      <c r="D1923" t="s">
        <v>8262</v>
      </c>
      <c r="E1923" s="225">
        <v>591.6</v>
      </c>
      <c r="F1923" t="s">
        <v>8401</v>
      </c>
      <c r="G1923" t="s">
        <v>8402</v>
      </c>
      <c r="H1923" t="s">
        <v>8400</v>
      </c>
      <c r="I1923" s="99">
        <v>44143</v>
      </c>
      <c r="J1923">
        <f>YEAR(I1923)</f>
        <v>2020</v>
      </c>
      <c r="K1923" s="99">
        <v>44151</v>
      </c>
      <c r="L1923" t="s">
        <v>8266</v>
      </c>
      <c r="M1923" t="s">
        <v>8267</v>
      </c>
    </row>
    <row r="1924" spans="2:13" x14ac:dyDescent="0.2">
      <c r="E1924" s="225"/>
      <c r="I1924" s="99"/>
      <c r="K1924" s="99"/>
    </row>
    <row r="1925" spans="2:13" x14ac:dyDescent="0.2">
      <c r="E1925" s="225"/>
      <c r="I1925" s="99"/>
      <c r="K1925" s="99"/>
    </row>
    <row r="1926" spans="2:13" x14ac:dyDescent="0.2">
      <c r="E1926" s="225"/>
      <c r="I1926" s="99"/>
      <c r="K1926" s="99"/>
    </row>
    <row r="1927" spans="2:13" x14ac:dyDescent="0.2">
      <c r="E1927" s="225"/>
      <c r="I1927" s="99"/>
      <c r="K1927" s="99"/>
    </row>
    <row r="1928" spans="2:13" x14ac:dyDescent="0.2">
      <c r="E1928" s="225"/>
      <c r="I1928" s="99"/>
      <c r="K1928" s="99"/>
    </row>
    <row r="1929" spans="2:13" x14ac:dyDescent="0.2">
      <c r="E1929" s="225"/>
      <c r="I1929" s="99"/>
      <c r="K1929" s="99"/>
    </row>
    <row r="1930" spans="2:13" x14ac:dyDescent="0.2">
      <c r="E1930" s="225"/>
      <c r="I1930" s="99"/>
      <c r="K1930" s="99"/>
    </row>
    <row r="1931" spans="2:13" x14ac:dyDescent="0.2">
      <c r="E1931" s="225"/>
      <c r="I1931" s="99"/>
      <c r="K1931" s="99"/>
    </row>
    <row r="1932" spans="2:13" x14ac:dyDescent="0.2">
      <c r="E1932" s="225"/>
      <c r="I1932" s="99"/>
      <c r="K1932" s="99"/>
    </row>
    <row r="1933" spans="2:13" x14ac:dyDescent="0.2">
      <c r="E1933" s="225"/>
      <c r="I1933" s="99"/>
      <c r="K1933" s="99"/>
    </row>
    <row r="1934" spans="2:13" x14ac:dyDescent="0.2">
      <c r="E1934" s="225"/>
      <c r="I1934" s="99"/>
      <c r="K1934" s="99"/>
    </row>
    <row r="1935" spans="2:13" x14ac:dyDescent="0.2">
      <c r="E1935" s="225"/>
      <c r="I1935" s="99"/>
      <c r="K1935" s="99"/>
    </row>
    <row r="1936" spans="2:13" x14ac:dyDescent="0.2">
      <c r="E1936" s="225"/>
      <c r="I1936" s="99"/>
      <c r="K1936" s="99"/>
    </row>
    <row r="1937" spans="5:11" x14ac:dyDescent="0.2">
      <c r="E1937" s="225"/>
      <c r="I1937" s="99"/>
      <c r="K1937" s="99"/>
    </row>
    <row r="1938" spans="5:11" x14ac:dyDescent="0.2">
      <c r="E1938" s="225"/>
      <c r="I1938" s="99"/>
      <c r="K1938" s="99"/>
    </row>
    <row r="1939" spans="5:11" x14ac:dyDescent="0.2">
      <c r="E1939" s="225"/>
      <c r="I1939" s="99"/>
      <c r="K1939" s="99"/>
    </row>
    <row r="1940" spans="5:11" x14ac:dyDescent="0.2">
      <c r="E1940" s="225"/>
      <c r="I1940" s="99"/>
      <c r="K1940" s="99"/>
    </row>
    <row r="1941" spans="5:11" x14ac:dyDescent="0.2">
      <c r="E1941" s="225"/>
      <c r="I1941" s="99"/>
      <c r="K1941" s="99"/>
    </row>
    <row r="1942" spans="5:11" x14ac:dyDescent="0.2">
      <c r="E1942" s="225"/>
      <c r="I1942" s="99"/>
      <c r="K1942" s="99"/>
    </row>
    <row r="1943" spans="5:11" x14ac:dyDescent="0.2">
      <c r="E1943" s="225"/>
      <c r="I1943" s="99"/>
      <c r="K1943" s="99"/>
    </row>
    <row r="1944" spans="5:11" x14ac:dyDescent="0.2">
      <c r="E1944" s="225"/>
      <c r="I1944" s="99"/>
      <c r="K1944" s="99"/>
    </row>
    <row r="1945" spans="5:11" x14ac:dyDescent="0.2">
      <c r="E1945" s="225"/>
      <c r="I1945" s="99"/>
      <c r="K1945" s="99"/>
    </row>
    <row r="1946" spans="5:11" x14ac:dyDescent="0.2">
      <c r="E1946" s="225"/>
      <c r="I1946" s="99"/>
      <c r="K1946" s="99"/>
    </row>
    <row r="1947" spans="5:11" x14ac:dyDescent="0.2">
      <c r="E1947" s="225"/>
      <c r="I1947" s="99"/>
      <c r="K1947" s="99"/>
    </row>
    <row r="1948" spans="5:11" x14ac:dyDescent="0.2">
      <c r="E1948" s="225"/>
      <c r="I1948" s="99"/>
      <c r="K1948" s="99"/>
    </row>
    <row r="1949" spans="5:11" x14ac:dyDescent="0.2">
      <c r="E1949" s="225"/>
      <c r="I1949" s="99"/>
      <c r="K1949" s="99"/>
    </row>
    <row r="1950" spans="5:11" x14ac:dyDescent="0.2">
      <c r="E1950" s="225"/>
      <c r="I1950" s="99"/>
      <c r="K1950" s="99"/>
    </row>
    <row r="1951" spans="5:11" x14ac:dyDescent="0.2">
      <c r="E1951" s="225"/>
      <c r="I1951" s="99"/>
      <c r="K1951" s="99"/>
    </row>
    <row r="1952" spans="5:11" x14ac:dyDescent="0.2">
      <c r="E1952" s="225"/>
      <c r="I1952" s="99"/>
      <c r="K1952" s="99"/>
    </row>
    <row r="1953" spans="5:11" x14ac:dyDescent="0.2">
      <c r="E1953" s="225"/>
      <c r="I1953" s="99"/>
      <c r="K1953" s="99"/>
    </row>
    <row r="1954" spans="5:11" x14ac:dyDescent="0.2">
      <c r="E1954" s="225"/>
      <c r="I1954" s="99"/>
      <c r="K1954" s="99"/>
    </row>
    <row r="1955" spans="5:11" x14ac:dyDescent="0.2">
      <c r="E1955" s="225"/>
      <c r="I1955" s="99"/>
      <c r="K1955" s="99"/>
    </row>
    <row r="1956" spans="5:11" x14ac:dyDescent="0.2">
      <c r="E1956" s="225"/>
      <c r="I1956" s="99"/>
      <c r="K1956" s="99"/>
    </row>
    <row r="1957" spans="5:11" x14ac:dyDescent="0.2">
      <c r="E1957" s="225"/>
      <c r="I1957" s="99"/>
      <c r="K1957" s="99"/>
    </row>
    <row r="1958" spans="5:11" x14ac:dyDescent="0.2">
      <c r="E1958" s="225"/>
      <c r="I1958" s="99"/>
      <c r="K1958" s="99"/>
    </row>
    <row r="1959" spans="5:11" x14ac:dyDescent="0.2">
      <c r="E1959" s="225"/>
      <c r="I1959" s="99"/>
      <c r="K1959" s="99"/>
    </row>
    <row r="1960" spans="5:11" x14ac:dyDescent="0.2">
      <c r="E1960" s="225"/>
      <c r="I1960" s="99"/>
      <c r="K1960" s="99"/>
    </row>
    <row r="1961" spans="5:11" x14ac:dyDescent="0.2">
      <c r="E1961" s="225"/>
      <c r="I1961" s="99"/>
      <c r="K1961" s="99"/>
    </row>
    <row r="1962" spans="5:11" x14ac:dyDescent="0.2">
      <c r="E1962" s="225"/>
      <c r="I1962" s="99"/>
      <c r="K1962" s="99"/>
    </row>
    <row r="1963" spans="5:11" x14ac:dyDescent="0.2">
      <c r="E1963" s="225"/>
      <c r="I1963" s="99"/>
      <c r="K1963" s="99"/>
    </row>
    <row r="1964" spans="5:11" x14ac:dyDescent="0.2">
      <c r="E1964" s="225"/>
      <c r="I1964" s="99"/>
      <c r="K1964" s="99"/>
    </row>
    <row r="1965" spans="5:11" x14ac:dyDescent="0.2">
      <c r="E1965" s="225"/>
      <c r="I1965" s="99"/>
      <c r="K1965" s="99"/>
    </row>
    <row r="1966" spans="5:11" x14ac:dyDescent="0.2">
      <c r="E1966" s="225"/>
      <c r="I1966" s="99"/>
      <c r="K1966" s="99"/>
    </row>
    <row r="1967" spans="5:11" x14ac:dyDescent="0.2">
      <c r="E1967" s="225"/>
      <c r="I1967" s="99"/>
      <c r="K1967" s="99"/>
    </row>
    <row r="1968" spans="5:11" x14ac:dyDescent="0.2">
      <c r="E1968" s="225"/>
      <c r="I1968" s="99"/>
      <c r="K1968" s="99"/>
    </row>
    <row r="1969" spans="5:11" x14ac:dyDescent="0.2">
      <c r="E1969" s="225"/>
      <c r="I1969" s="99"/>
      <c r="K1969" s="99"/>
    </row>
    <row r="1970" spans="5:11" x14ac:dyDescent="0.2">
      <c r="E1970" s="225"/>
      <c r="I1970" s="99"/>
      <c r="K1970" s="99"/>
    </row>
    <row r="1971" spans="5:11" x14ac:dyDescent="0.2">
      <c r="E1971" s="225"/>
      <c r="I1971" s="99"/>
      <c r="K1971" s="99"/>
    </row>
    <row r="1972" spans="5:11" x14ac:dyDescent="0.2">
      <c r="E1972" s="225"/>
      <c r="I1972" s="99"/>
      <c r="K1972" s="99"/>
    </row>
    <row r="1973" spans="5:11" x14ac:dyDescent="0.2">
      <c r="E1973" s="225"/>
      <c r="I1973" s="99"/>
      <c r="K1973" s="99"/>
    </row>
    <row r="1974" spans="5:11" x14ac:dyDescent="0.2">
      <c r="E1974" s="225"/>
      <c r="I1974" s="99"/>
      <c r="K1974" s="99"/>
    </row>
    <row r="1975" spans="5:11" x14ac:dyDescent="0.2">
      <c r="E1975" s="225"/>
      <c r="I1975" s="99"/>
      <c r="K1975" s="99"/>
    </row>
    <row r="1976" spans="5:11" x14ac:dyDescent="0.2">
      <c r="E1976" s="225"/>
      <c r="I1976" s="99"/>
      <c r="K1976" s="99"/>
    </row>
    <row r="1977" spans="5:11" x14ac:dyDescent="0.2">
      <c r="E1977" s="225"/>
      <c r="I1977" s="99"/>
      <c r="K1977" s="99"/>
    </row>
    <row r="1978" spans="5:11" x14ac:dyDescent="0.2">
      <c r="E1978" s="225"/>
      <c r="I1978" s="99"/>
      <c r="K1978" s="99"/>
    </row>
    <row r="1979" spans="5:11" x14ac:dyDescent="0.2">
      <c r="E1979" s="225"/>
      <c r="I1979" s="99"/>
      <c r="K1979" s="99"/>
    </row>
    <row r="1980" spans="5:11" x14ac:dyDescent="0.2">
      <c r="E1980" s="225"/>
      <c r="I1980" s="99"/>
      <c r="K1980" s="99"/>
    </row>
    <row r="1981" spans="5:11" x14ac:dyDescent="0.2">
      <c r="E1981" s="225"/>
      <c r="I1981" s="99"/>
      <c r="K1981" s="99"/>
    </row>
    <row r="1982" spans="5:11" x14ac:dyDescent="0.2">
      <c r="E1982" s="225"/>
      <c r="I1982" s="99"/>
      <c r="K1982" s="99"/>
    </row>
    <row r="1983" spans="5:11" x14ac:dyDescent="0.2">
      <c r="E1983" s="225"/>
      <c r="I1983" s="99"/>
      <c r="K1983" s="99"/>
    </row>
    <row r="1984" spans="5:11" x14ac:dyDescent="0.2">
      <c r="E1984" s="225"/>
      <c r="I1984" s="99"/>
      <c r="K1984" s="99"/>
    </row>
    <row r="1985" spans="5:11" x14ac:dyDescent="0.2">
      <c r="E1985" s="225"/>
      <c r="I1985" s="99"/>
      <c r="K1985" s="99"/>
    </row>
    <row r="1986" spans="5:11" x14ac:dyDescent="0.2">
      <c r="E1986" s="225"/>
      <c r="I1986" s="99"/>
      <c r="K1986" s="99"/>
    </row>
    <row r="1987" spans="5:11" x14ac:dyDescent="0.2">
      <c r="E1987" s="225"/>
      <c r="I1987" s="99"/>
      <c r="K1987" s="99"/>
    </row>
    <row r="1988" spans="5:11" x14ac:dyDescent="0.2">
      <c r="E1988" s="225"/>
      <c r="I1988" s="99"/>
      <c r="K1988" s="99"/>
    </row>
    <row r="1989" spans="5:11" x14ac:dyDescent="0.2">
      <c r="E1989" s="225"/>
      <c r="I1989" s="99"/>
      <c r="K1989" s="99"/>
    </row>
    <row r="1990" spans="5:11" x14ac:dyDescent="0.2">
      <c r="E1990" s="225"/>
      <c r="I1990" s="99"/>
      <c r="K1990" s="99"/>
    </row>
    <row r="1991" spans="5:11" x14ac:dyDescent="0.2">
      <c r="E1991" s="225"/>
      <c r="I1991" s="99"/>
      <c r="K1991" s="99"/>
    </row>
    <row r="1992" spans="5:11" x14ac:dyDescent="0.2">
      <c r="E1992" s="225"/>
      <c r="I1992" s="99"/>
      <c r="K1992" s="99"/>
    </row>
    <row r="1993" spans="5:11" x14ac:dyDescent="0.2">
      <c r="E1993" s="225"/>
      <c r="I1993" s="99"/>
      <c r="K1993" s="99"/>
    </row>
    <row r="1994" spans="5:11" x14ac:dyDescent="0.2">
      <c r="E1994" s="225"/>
      <c r="I1994" s="99"/>
      <c r="K1994" s="99"/>
    </row>
    <row r="1995" spans="5:11" x14ac:dyDescent="0.2">
      <c r="E1995" s="225"/>
      <c r="I1995" s="99"/>
      <c r="K1995" s="99"/>
    </row>
    <row r="1996" spans="5:11" x14ac:dyDescent="0.2">
      <c r="E1996" s="225"/>
      <c r="I1996" s="99"/>
      <c r="K1996" s="99"/>
    </row>
    <row r="1997" spans="5:11" x14ac:dyDescent="0.2">
      <c r="E1997" s="225"/>
      <c r="I1997" s="99"/>
      <c r="K1997" s="99"/>
    </row>
    <row r="1998" spans="5:11" x14ac:dyDescent="0.2">
      <c r="E1998" s="225"/>
      <c r="I1998" s="99"/>
      <c r="K1998" s="99"/>
    </row>
    <row r="1999" spans="5:11" x14ac:dyDescent="0.2">
      <c r="E1999" s="225"/>
      <c r="I1999" s="99"/>
      <c r="K1999" s="99"/>
    </row>
    <row r="2000" spans="5:11" x14ac:dyDescent="0.2">
      <c r="E2000" s="225"/>
      <c r="I2000" s="99"/>
      <c r="K2000" s="99"/>
    </row>
    <row r="2001" spans="5:11" x14ac:dyDescent="0.2">
      <c r="E2001" s="225"/>
      <c r="I2001" s="99"/>
      <c r="K2001" s="99"/>
    </row>
    <row r="2002" spans="5:11" x14ac:dyDescent="0.2">
      <c r="E2002" s="225"/>
      <c r="I2002" s="99"/>
      <c r="K2002" s="99"/>
    </row>
    <row r="2003" spans="5:11" x14ac:dyDescent="0.2">
      <c r="E2003" s="225"/>
      <c r="I2003" s="99"/>
      <c r="K2003" s="99"/>
    </row>
    <row r="2004" spans="5:11" x14ac:dyDescent="0.2">
      <c r="E2004" s="225"/>
      <c r="I2004" s="99"/>
      <c r="K2004" s="99"/>
    </row>
    <row r="2005" spans="5:11" x14ac:dyDescent="0.2">
      <c r="E2005" s="225"/>
      <c r="I2005" s="99"/>
      <c r="K2005" s="99"/>
    </row>
    <row r="2006" spans="5:11" x14ac:dyDescent="0.2">
      <c r="E2006" s="225"/>
      <c r="I2006" s="99"/>
      <c r="K2006" s="99"/>
    </row>
    <row r="2007" spans="5:11" x14ac:dyDescent="0.2">
      <c r="E2007" s="225"/>
      <c r="I2007" s="99"/>
      <c r="K2007" s="99"/>
    </row>
    <row r="2008" spans="5:11" x14ac:dyDescent="0.2">
      <c r="E2008" s="225"/>
      <c r="I2008" s="99"/>
      <c r="K2008" s="99"/>
    </row>
    <row r="2009" spans="5:11" x14ac:dyDescent="0.2">
      <c r="E2009" s="225"/>
      <c r="I2009" s="99"/>
      <c r="K2009" s="99"/>
    </row>
    <row r="2010" spans="5:11" x14ac:dyDescent="0.2">
      <c r="E2010" s="225"/>
      <c r="I2010" s="99"/>
      <c r="K2010" s="99"/>
    </row>
    <row r="2011" spans="5:11" x14ac:dyDescent="0.2">
      <c r="E2011" s="225"/>
      <c r="I2011" s="99"/>
      <c r="K2011" s="99"/>
    </row>
    <row r="2012" spans="5:11" x14ac:dyDescent="0.2">
      <c r="E2012" s="225"/>
      <c r="I2012" s="99"/>
      <c r="K2012" s="99"/>
    </row>
    <row r="2013" spans="5:11" x14ac:dyDescent="0.2">
      <c r="E2013" s="225"/>
      <c r="I2013" s="99"/>
      <c r="K2013" s="99"/>
    </row>
    <row r="2014" spans="5:11" x14ac:dyDescent="0.2">
      <c r="E2014" s="225"/>
      <c r="I2014" s="99"/>
      <c r="K2014" s="99"/>
    </row>
    <row r="2015" spans="5:11" x14ac:dyDescent="0.2">
      <c r="E2015" s="225"/>
      <c r="I2015" s="99"/>
      <c r="K2015" s="99"/>
    </row>
    <row r="2016" spans="5:11" x14ac:dyDescent="0.2">
      <c r="E2016" s="225"/>
      <c r="I2016" s="99"/>
      <c r="K2016" s="99"/>
    </row>
    <row r="2017" spans="5:11" x14ac:dyDescent="0.2">
      <c r="E2017" s="225"/>
      <c r="I2017" s="99"/>
      <c r="K2017" s="99"/>
    </row>
    <row r="2018" spans="5:11" x14ac:dyDescent="0.2">
      <c r="E2018" s="225"/>
      <c r="I2018" s="99"/>
      <c r="K2018" s="99"/>
    </row>
    <row r="2019" spans="5:11" x14ac:dyDescent="0.2">
      <c r="E2019" s="225"/>
      <c r="I2019" s="99"/>
      <c r="K2019" s="99"/>
    </row>
    <row r="2020" spans="5:11" x14ac:dyDescent="0.2">
      <c r="E2020" s="225"/>
      <c r="I2020" s="99"/>
      <c r="K2020" s="99"/>
    </row>
    <row r="2021" spans="5:11" x14ac:dyDescent="0.2">
      <c r="E2021" s="225"/>
      <c r="I2021" s="99"/>
      <c r="K2021" s="99"/>
    </row>
    <row r="2022" spans="5:11" x14ac:dyDescent="0.2">
      <c r="E2022" s="225"/>
      <c r="I2022" s="99"/>
      <c r="K2022" s="99"/>
    </row>
    <row r="2023" spans="5:11" x14ac:dyDescent="0.2">
      <c r="E2023" s="225"/>
      <c r="I2023" s="99"/>
      <c r="K2023" s="99"/>
    </row>
    <row r="2024" spans="5:11" x14ac:dyDescent="0.2">
      <c r="E2024" s="225"/>
      <c r="I2024" s="99"/>
      <c r="K2024" s="99"/>
    </row>
    <row r="2025" spans="5:11" x14ac:dyDescent="0.2">
      <c r="E2025" s="225"/>
      <c r="I2025" s="99"/>
      <c r="K2025" s="99"/>
    </row>
    <row r="2026" spans="5:11" x14ac:dyDescent="0.2">
      <c r="E2026" s="225"/>
      <c r="I2026" s="99"/>
      <c r="K2026" s="99"/>
    </row>
    <row r="2027" spans="5:11" x14ac:dyDescent="0.2">
      <c r="E2027" s="225"/>
      <c r="I2027" s="99"/>
      <c r="K2027" s="99"/>
    </row>
    <row r="2028" spans="5:11" x14ac:dyDescent="0.2">
      <c r="E2028" s="225"/>
      <c r="I2028" s="99"/>
      <c r="K2028" s="99"/>
    </row>
    <row r="2029" spans="5:11" x14ac:dyDescent="0.2">
      <c r="E2029" s="225"/>
      <c r="I2029" s="99"/>
      <c r="K2029" s="99"/>
    </row>
    <row r="2030" spans="5:11" x14ac:dyDescent="0.2">
      <c r="E2030" s="225"/>
      <c r="I2030" s="99"/>
      <c r="K2030" s="99"/>
    </row>
    <row r="2031" spans="5:11" x14ac:dyDescent="0.2">
      <c r="E2031" s="225"/>
      <c r="I2031" s="99"/>
      <c r="K2031" s="99"/>
    </row>
    <row r="2032" spans="5:11" x14ac:dyDescent="0.2">
      <c r="E2032" s="225"/>
      <c r="I2032" s="99"/>
      <c r="K2032" s="99"/>
    </row>
    <row r="2033" spans="5:11" x14ac:dyDescent="0.2">
      <c r="E2033" s="225"/>
      <c r="I2033" s="99"/>
      <c r="K2033" s="99"/>
    </row>
    <row r="2034" spans="5:11" x14ac:dyDescent="0.2">
      <c r="E2034" s="225"/>
      <c r="I2034" s="99"/>
      <c r="K2034" s="99"/>
    </row>
    <row r="2035" spans="5:11" x14ac:dyDescent="0.2">
      <c r="E2035" s="225"/>
      <c r="I2035" s="99"/>
      <c r="K2035" s="99"/>
    </row>
    <row r="2036" spans="5:11" x14ac:dyDescent="0.2">
      <c r="E2036" s="225"/>
      <c r="I2036" s="99"/>
      <c r="K2036" s="99"/>
    </row>
    <row r="2037" spans="5:11" x14ac:dyDescent="0.2">
      <c r="E2037" s="225"/>
      <c r="I2037" s="99"/>
      <c r="K2037" s="99"/>
    </row>
    <row r="2038" spans="5:11" x14ac:dyDescent="0.2">
      <c r="E2038" s="225"/>
      <c r="I2038" s="99"/>
      <c r="K2038" s="99"/>
    </row>
    <row r="2039" spans="5:11" x14ac:dyDescent="0.2">
      <c r="E2039" s="225"/>
      <c r="I2039" s="99"/>
      <c r="K2039" s="99"/>
    </row>
    <row r="2040" spans="5:11" x14ac:dyDescent="0.2">
      <c r="E2040" s="225"/>
      <c r="I2040" s="99"/>
      <c r="K2040" s="99"/>
    </row>
    <row r="2041" spans="5:11" x14ac:dyDescent="0.2">
      <c r="E2041" s="225"/>
      <c r="I2041" s="99"/>
      <c r="K2041" s="99"/>
    </row>
    <row r="2042" spans="5:11" x14ac:dyDescent="0.2">
      <c r="E2042" s="225"/>
      <c r="I2042" s="99"/>
      <c r="K2042" s="99"/>
    </row>
    <row r="2043" spans="5:11" x14ac:dyDescent="0.2">
      <c r="E2043" s="225"/>
      <c r="I2043" s="99"/>
      <c r="K2043" s="99"/>
    </row>
    <row r="2044" spans="5:11" x14ac:dyDescent="0.2">
      <c r="E2044" s="225"/>
      <c r="I2044" s="99"/>
      <c r="K2044" s="99"/>
    </row>
    <row r="2045" spans="5:11" x14ac:dyDescent="0.2">
      <c r="E2045" s="225"/>
      <c r="I2045" s="99"/>
      <c r="K2045" s="99"/>
    </row>
    <row r="2046" spans="5:11" x14ac:dyDescent="0.2">
      <c r="E2046" s="225"/>
      <c r="I2046" s="99"/>
      <c r="K2046" s="99"/>
    </row>
    <row r="2047" spans="5:11" x14ac:dyDescent="0.2">
      <c r="E2047" s="225"/>
      <c r="I2047" s="99"/>
      <c r="K2047" s="99"/>
    </row>
    <row r="2048" spans="5:11" x14ac:dyDescent="0.2">
      <c r="E2048" s="225"/>
      <c r="I2048" s="99"/>
      <c r="K2048" s="99"/>
    </row>
    <row r="2049" spans="5:11" x14ac:dyDescent="0.2">
      <c r="E2049" s="225"/>
      <c r="I2049" s="99"/>
      <c r="K2049" s="99"/>
    </row>
    <row r="2050" spans="5:11" x14ac:dyDescent="0.2">
      <c r="E2050" s="225"/>
      <c r="I2050" s="99"/>
      <c r="K2050" s="99"/>
    </row>
    <row r="2051" spans="5:11" x14ac:dyDescent="0.2">
      <c r="E2051" s="225"/>
      <c r="I2051" s="99"/>
      <c r="K2051" s="99"/>
    </row>
    <row r="2052" spans="5:11" x14ac:dyDescent="0.2">
      <c r="E2052" s="225"/>
      <c r="I2052" s="99"/>
      <c r="K2052" s="99"/>
    </row>
    <row r="2053" spans="5:11" x14ac:dyDescent="0.2">
      <c r="E2053" s="225"/>
      <c r="I2053" s="99"/>
      <c r="K2053" s="99"/>
    </row>
    <row r="2054" spans="5:11" x14ac:dyDescent="0.2">
      <c r="E2054" s="225"/>
      <c r="I2054" s="99"/>
      <c r="K2054" s="99"/>
    </row>
    <row r="2055" spans="5:11" x14ac:dyDescent="0.2">
      <c r="E2055" s="225"/>
      <c r="I2055" s="99"/>
      <c r="K2055" s="99"/>
    </row>
    <row r="2056" spans="5:11" x14ac:dyDescent="0.2">
      <c r="E2056" s="225"/>
      <c r="I2056" s="99"/>
      <c r="K2056" s="99"/>
    </row>
    <row r="2057" spans="5:11" x14ac:dyDescent="0.2">
      <c r="E2057" s="225"/>
      <c r="I2057" s="99"/>
      <c r="K2057" s="99"/>
    </row>
    <row r="2058" spans="5:11" x14ac:dyDescent="0.2">
      <c r="E2058" s="225"/>
      <c r="I2058" s="99"/>
      <c r="K2058" s="99"/>
    </row>
    <row r="2059" spans="5:11" x14ac:dyDescent="0.2">
      <c r="E2059" s="225"/>
      <c r="I2059" s="99"/>
      <c r="K2059" s="99"/>
    </row>
    <row r="2060" spans="5:11" x14ac:dyDescent="0.2">
      <c r="E2060" s="225"/>
      <c r="I2060" s="99"/>
      <c r="K2060" s="99"/>
    </row>
    <row r="2061" spans="5:11" x14ac:dyDescent="0.2">
      <c r="E2061" s="225"/>
      <c r="I2061" s="99"/>
      <c r="K2061" s="99"/>
    </row>
    <row r="2062" spans="5:11" x14ac:dyDescent="0.2">
      <c r="E2062" s="225"/>
      <c r="I2062" s="99"/>
      <c r="K2062" s="99"/>
    </row>
    <row r="2063" spans="5:11" x14ac:dyDescent="0.2">
      <c r="E2063" s="225"/>
      <c r="I2063" s="99"/>
      <c r="K2063" s="99"/>
    </row>
    <row r="2064" spans="5:11" x14ac:dyDescent="0.2">
      <c r="E2064" s="225"/>
      <c r="I2064" s="99"/>
      <c r="K2064" s="99"/>
    </row>
    <row r="2065" spans="5:11" x14ac:dyDescent="0.2">
      <c r="E2065" s="225"/>
      <c r="I2065" s="99"/>
      <c r="K2065" s="99"/>
    </row>
    <row r="2066" spans="5:11" x14ac:dyDescent="0.2">
      <c r="E2066" s="225"/>
      <c r="I2066" s="99"/>
      <c r="K2066" s="99"/>
    </row>
    <row r="2067" spans="5:11" x14ac:dyDescent="0.2">
      <c r="E2067" s="225"/>
      <c r="I2067" s="99"/>
      <c r="K2067" s="99"/>
    </row>
    <row r="2068" spans="5:11" x14ac:dyDescent="0.2">
      <c r="E2068" s="225"/>
      <c r="I2068" s="99"/>
      <c r="K2068" s="99"/>
    </row>
    <row r="2069" spans="5:11" x14ac:dyDescent="0.2">
      <c r="E2069" s="225"/>
      <c r="I2069" s="99"/>
      <c r="K2069" s="99"/>
    </row>
    <row r="2070" spans="5:11" x14ac:dyDescent="0.2">
      <c r="E2070" s="225"/>
      <c r="I2070" s="99"/>
      <c r="K2070" s="99"/>
    </row>
    <row r="2071" spans="5:11" x14ac:dyDescent="0.2">
      <c r="E2071" s="225"/>
      <c r="I2071" s="99"/>
      <c r="K2071" s="99"/>
    </row>
    <row r="2072" spans="5:11" x14ac:dyDescent="0.2">
      <c r="E2072" s="225"/>
      <c r="I2072" s="99"/>
      <c r="K2072" s="99"/>
    </row>
    <row r="2073" spans="5:11" x14ac:dyDescent="0.2">
      <c r="E2073" s="225"/>
      <c r="I2073" s="99"/>
      <c r="K2073" s="99"/>
    </row>
    <row r="2074" spans="5:11" x14ac:dyDescent="0.2">
      <c r="E2074" s="225"/>
      <c r="I2074" s="99"/>
      <c r="K2074" s="99"/>
    </row>
    <row r="2075" spans="5:11" x14ac:dyDescent="0.2">
      <c r="E2075" s="225"/>
      <c r="I2075" s="99"/>
      <c r="K2075" s="99"/>
    </row>
    <row r="2076" spans="5:11" x14ac:dyDescent="0.2">
      <c r="E2076" s="225"/>
      <c r="I2076" s="99"/>
      <c r="K2076" s="99"/>
    </row>
    <row r="2077" spans="5:11" x14ac:dyDescent="0.2">
      <c r="E2077" s="225"/>
      <c r="I2077" s="99"/>
      <c r="K2077" s="99"/>
    </row>
    <row r="2078" spans="5:11" x14ac:dyDescent="0.2">
      <c r="E2078" s="225"/>
      <c r="I2078" s="99"/>
      <c r="K2078" s="99"/>
    </row>
    <row r="2079" spans="5:11" x14ac:dyDescent="0.2">
      <c r="E2079" s="225"/>
      <c r="I2079" s="99"/>
      <c r="K2079" s="99"/>
    </row>
    <row r="2080" spans="5:11" x14ac:dyDescent="0.2">
      <c r="E2080" s="225"/>
      <c r="I2080" s="99"/>
      <c r="K2080" s="99"/>
    </row>
    <row r="2081" spans="5:11" x14ac:dyDescent="0.2">
      <c r="E2081" s="225"/>
      <c r="I2081" s="99"/>
      <c r="K2081" s="99"/>
    </row>
    <row r="2082" spans="5:11" x14ac:dyDescent="0.2">
      <c r="E2082" s="225"/>
      <c r="I2082" s="99"/>
      <c r="K2082" s="99"/>
    </row>
    <row r="2083" spans="5:11" x14ac:dyDescent="0.2">
      <c r="E2083" s="225"/>
      <c r="I2083" s="99"/>
      <c r="K2083" s="99"/>
    </row>
    <row r="2084" spans="5:11" x14ac:dyDescent="0.2">
      <c r="E2084" s="225"/>
      <c r="I2084" s="99"/>
      <c r="K2084" s="99"/>
    </row>
    <row r="2085" spans="5:11" x14ac:dyDescent="0.2">
      <c r="E2085" s="225"/>
      <c r="I2085" s="99"/>
      <c r="K2085" s="99"/>
    </row>
    <row r="2086" spans="5:11" x14ac:dyDescent="0.2">
      <c r="E2086" s="225"/>
      <c r="I2086" s="99"/>
      <c r="K2086" s="99"/>
    </row>
    <row r="2087" spans="5:11" x14ac:dyDescent="0.2">
      <c r="E2087" s="225"/>
      <c r="I2087" s="99"/>
      <c r="K2087" s="99"/>
    </row>
    <row r="2088" spans="5:11" x14ac:dyDescent="0.2">
      <c r="E2088" s="225"/>
      <c r="I2088" s="99"/>
      <c r="K2088" s="99"/>
    </row>
    <row r="2089" spans="5:11" x14ac:dyDescent="0.2">
      <c r="E2089" s="225"/>
      <c r="I2089" s="99"/>
      <c r="K2089" s="99"/>
    </row>
    <row r="2090" spans="5:11" x14ac:dyDescent="0.2">
      <c r="E2090" s="225"/>
      <c r="I2090" s="99"/>
      <c r="K2090" s="99"/>
    </row>
    <row r="2091" spans="5:11" x14ac:dyDescent="0.2">
      <c r="E2091" s="225"/>
      <c r="I2091" s="99"/>
      <c r="K2091" s="99"/>
    </row>
    <row r="2092" spans="5:11" x14ac:dyDescent="0.2">
      <c r="E2092" s="225"/>
      <c r="I2092" s="99"/>
      <c r="K2092" s="99"/>
    </row>
    <row r="2093" spans="5:11" x14ac:dyDescent="0.2">
      <c r="E2093" s="225"/>
      <c r="I2093" s="99"/>
      <c r="K2093" s="99"/>
    </row>
    <row r="2094" spans="5:11" x14ac:dyDescent="0.2">
      <c r="E2094" s="225"/>
      <c r="I2094" s="99"/>
      <c r="K2094" s="99"/>
    </row>
    <row r="2095" spans="5:11" x14ac:dyDescent="0.2">
      <c r="E2095" s="225"/>
      <c r="I2095" s="99"/>
      <c r="K2095" s="99"/>
    </row>
    <row r="2096" spans="5:11" x14ac:dyDescent="0.2">
      <c r="E2096" s="225"/>
      <c r="I2096" s="99"/>
      <c r="K2096" s="99"/>
    </row>
    <row r="2097" spans="5:11" x14ac:dyDescent="0.2">
      <c r="E2097" s="225"/>
      <c r="I2097" s="99"/>
      <c r="K2097" s="99"/>
    </row>
    <row r="2098" spans="5:11" x14ac:dyDescent="0.2">
      <c r="E2098" s="225"/>
      <c r="I2098" s="99"/>
      <c r="K2098" s="99"/>
    </row>
    <row r="2099" spans="5:11" x14ac:dyDescent="0.2">
      <c r="E2099" s="225"/>
      <c r="I2099" s="99"/>
      <c r="K2099" s="99"/>
    </row>
    <row r="2100" spans="5:11" x14ac:dyDescent="0.2">
      <c r="E2100" s="225"/>
      <c r="I2100" s="99"/>
      <c r="K2100" s="99"/>
    </row>
    <row r="2101" spans="5:11" x14ac:dyDescent="0.2">
      <c r="E2101" s="225"/>
      <c r="I2101" s="99"/>
      <c r="K2101" s="99"/>
    </row>
    <row r="2102" spans="5:11" x14ac:dyDescent="0.2">
      <c r="E2102" s="225"/>
      <c r="I2102" s="99"/>
      <c r="K2102" s="99"/>
    </row>
    <row r="2103" spans="5:11" x14ac:dyDescent="0.2">
      <c r="E2103" s="225"/>
      <c r="I2103" s="99"/>
      <c r="K2103" s="99"/>
    </row>
    <row r="2104" spans="5:11" x14ac:dyDescent="0.2">
      <c r="E2104" s="225"/>
      <c r="I2104" s="99"/>
      <c r="K2104" s="99"/>
    </row>
    <row r="2105" spans="5:11" x14ac:dyDescent="0.2">
      <c r="E2105" s="225"/>
      <c r="I2105" s="99"/>
      <c r="K2105" s="99"/>
    </row>
    <row r="2106" spans="5:11" x14ac:dyDescent="0.2">
      <c r="E2106" s="225"/>
      <c r="I2106" s="99"/>
      <c r="K2106" s="99"/>
    </row>
    <row r="2107" spans="5:11" x14ac:dyDescent="0.2">
      <c r="E2107" s="225"/>
      <c r="I2107" s="99"/>
      <c r="K2107" s="99"/>
    </row>
    <row r="2108" spans="5:11" x14ac:dyDescent="0.2">
      <c r="E2108" s="225"/>
      <c r="I2108" s="99"/>
      <c r="K2108" s="99"/>
    </row>
    <row r="2109" spans="5:11" x14ac:dyDescent="0.2">
      <c r="E2109" s="225"/>
      <c r="I2109" s="99"/>
      <c r="K2109" s="99"/>
    </row>
    <row r="2110" spans="5:11" x14ac:dyDescent="0.2">
      <c r="E2110" s="225"/>
      <c r="I2110" s="99"/>
      <c r="K2110" s="99"/>
    </row>
    <row r="2111" spans="5:11" x14ac:dyDescent="0.2">
      <c r="E2111" s="225"/>
      <c r="I2111" s="99"/>
      <c r="K2111" s="99"/>
    </row>
    <row r="2112" spans="5:11" x14ac:dyDescent="0.2">
      <c r="E2112" s="225"/>
      <c r="I2112" s="99"/>
      <c r="K2112" s="99"/>
    </row>
    <row r="2113" spans="5:11" x14ac:dyDescent="0.2">
      <c r="E2113" s="225"/>
      <c r="I2113" s="99"/>
      <c r="K2113" s="99"/>
    </row>
    <row r="2114" spans="5:11" x14ac:dyDescent="0.2">
      <c r="E2114" s="225"/>
      <c r="I2114" s="99"/>
      <c r="K2114" s="99"/>
    </row>
    <row r="2115" spans="5:11" x14ac:dyDescent="0.2">
      <c r="E2115" s="225"/>
      <c r="I2115" s="99"/>
      <c r="K2115" s="99"/>
    </row>
    <row r="2116" spans="5:11" x14ac:dyDescent="0.2">
      <c r="E2116" s="225"/>
      <c r="I2116" s="99"/>
      <c r="K2116" s="99"/>
    </row>
    <row r="2117" spans="5:11" x14ac:dyDescent="0.2">
      <c r="E2117" s="225"/>
      <c r="I2117" s="99"/>
      <c r="K2117" s="99"/>
    </row>
    <row r="2118" spans="5:11" x14ac:dyDescent="0.2">
      <c r="E2118" s="225"/>
      <c r="I2118" s="99"/>
      <c r="K2118" s="99"/>
    </row>
    <row r="2119" spans="5:11" x14ac:dyDescent="0.2">
      <c r="E2119" s="225"/>
      <c r="I2119" s="99"/>
      <c r="K2119" s="99"/>
    </row>
    <row r="2120" spans="5:11" x14ac:dyDescent="0.2">
      <c r="E2120" s="225"/>
      <c r="I2120" s="99"/>
      <c r="K2120" s="99"/>
    </row>
    <row r="2121" spans="5:11" x14ac:dyDescent="0.2">
      <c r="E2121" s="225"/>
      <c r="I2121" s="99"/>
      <c r="K2121" s="99"/>
    </row>
    <row r="2122" spans="5:11" x14ac:dyDescent="0.2">
      <c r="E2122" s="225"/>
      <c r="I2122" s="99"/>
      <c r="K2122" s="99"/>
    </row>
    <row r="2123" spans="5:11" x14ac:dyDescent="0.2">
      <c r="E2123" s="225"/>
      <c r="I2123" s="99"/>
      <c r="K2123" s="99"/>
    </row>
    <row r="2124" spans="5:11" x14ac:dyDescent="0.2">
      <c r="E2124" s="225"/>
      <c r="I2124" s="99"/>
      <c r="K2124" s="99"/>
    </row>
    <row r="2125" spans="5:11" x14ac:dyDescent="0.2">
      <c r="E2125" s="225"/>
      <c r="I2125" s="99"/>
      <c r="K2125" s="99"/>
    </row>
    <row r="2126" spans="5:11" x14ac:dyDescent="0.2">
      <c r="E2126" s="225"/>
      <c r="I2126" s="99"/>
      <c r="K2126" s="99"/>
    </row>
    <row r="2127" spans="5:11" x14ac:dyDescent="0.2">
      <c r="E2127" s="225"/>
      <c r="I2127" s="99"/>
      <c r="K2127" s="99"/>
    </row>
    <row r="2128" spans="5:11" x14ac:dyDescent="0.2">
      <c r="E2128" s="225"/>
      <c r="I2128" s="99"/>
      <c r="K2128" s="99"/>
    </row>
    <row r="2129" spans="5:11" x14ac:dyDescent="0.2">
      <c r="E2129" s="225"/>
      <c r="I2129" s="99"/>
      <c r="K2129" s="99"/>
    </row>
    <row r="2130" spans="5:11" x14ac:dyDescent="0.2">
      <c r="E2130" s="225"/>
      <c r="I2130" s="99"/>
      <c r="K2130" s="99"/>
    </row>
    <row r="2131" spans="5:11" x14ac:dyDescent="0.2">
      <c r="E2131" s="225"/>
      <c r="I2131" s="99"/>
      <c r="K2131" s="99"/>
    </row>
    <row r="2132" spans="5:11" x14ac:dyDescent="0.2">
      <c r="E2132" s="225"/>
      <c r="I2132" s="99"/>
      <c r="K2132" s="99"/>
    </row>
    <row r="2133" spans="5:11" x14ac:dyDescent="0.2">
      <c r="E2133" s="225"/>
      <c r="I2133" s="99"/>
      <c r="K2133" s="99"/>
    </row>
    <row r="2134" spans="5:11" x14ac:dyDescent="0.2">
      <c r="E2134" s="225"/>
      <c r="I2134" s="99"/>
      <c r="K2134" s="99"/>
    </row>
    <row r="2135" spans="5:11" x14ac:dyDescent="0.2">
      <c r="E2135" s="225"/>
      <c r="I2135" s="99"/>
      <c r="K2135" s="99"/>
    </row>
    <row r="2136" spans="5:11" x14ac:dyDescent="0.2">
      <c r="E2136" s="225"/>
      <c r="I2136" s="99"/>
      <c r="K2136" s="99"/>
    </row>
    <row r="2137" spans="5:11" x14ac:dyDescent="0.2">
      <c r="E2137" s="225"/>
      <c r="I2137" s="99"/>
      <c r="K2137" s="99"/>
    </row>
    <row r="2138" spans="5:11" x14ac:dyDescent="0.2">
      <c r="E2138" s="225"/>
      <c r="I2138" s="99"/>
      <c r="K2138" s="99"/>
    </row>
    <row r="2139" spans="5:11" x14ac:dyDescent="0.2">
      <c r="E2139" s="225"/>
      <c r="I2139" s="99"/>
      <c r="K2139" s="99"/>
    </row>
    <row r="2140" spans="5:11" x14ac:dyDescent="0.2">
      <c r="E2140" s="225"/>
      <c r="I2140" s="99"/>
      <c r="K2140" s="99"/>
    </row>
    <row r="2141" spans="5:11" x14ac:dyDescent="0.2">
      <c r="E2141" s="225"/>
      <c r="I2141" s="99"/>
      <c r="K2141" s="99"/>
    </row>
    <row r="2142" spans="5:11" x14ac:dyDescent="0.2">
      <c r="E2142" s="225"/>
      <c r="I2142" s="99"/>
      <c r="K2142" s="99"/>
    </row>
    <row r="2143" spans="5:11" x14ac:dyDescent="0.2">
      <c r="E2143" s="225"/>
      <c r="I2143" s="99"/>
      <c r="K2143" s="99"/>
    </row>
    <row r="2144" spans="5:11" x14ac:dyDescent="0.2">
      <c r="E2144" s="225"/>
      <c r="I2144" s="99"/>
      <c r="K2144" s="99"/>
    </row>
    <row r="2145" spans="5:11" x14ac:dyDescent="0.2">
      <c r="E2145" s="225"/>
      <c r="I2145" s="99"/>
      <c r="K2145" s="99"/>
    </row>
    <row r="2146" spans="5:11" x14ac:dyDescent="0.2">
      <c r="E2146" s="225"/>
      <c r="I2146" s="99"/>
      <c r="K2146" s="99"/>
    </row>
    <row r="2147" spans="5:11" x14ac:dyDescent="0.2">
      <c r="E2147" s="225"/>
      <c r="I2147" s="99"/>
      <c r="K2147" s="99"/>
    </row>
    <row r="2148" spans="5:11" x14ac:dyDescent="0.2">
      <c r="E2148" s="225"/>
      <c r="I2148" s="99"/>
      <c r="K2148" s="99"/>
    </row>
    <row r="2149" spans="5:11" x14ac:dyDescent="0.2">
      <c r="E2149" s="225"/>
      <c r="I2149" s="99"/>
      <c r="K2149" s="99"/>
    </row>
    <row r="2150" spans="5:11" x14ac:dyDescent="0.2">
      <c r="E2150" s="225"/>
      <c r="I2150" s="99"/>
      <c r="K2150" s="99"/>
    </row>
    <row r="2151" spans="5:11" x14ac:dyDescent="0.2">
      <c r="E2151" s="225"/>
      <c r="I2151" s="99"/>
      <c r="K2151" s="99"/>
    </row>
    <row r="2152" spans="5:11" x14ac:dyDescent="0.2">
      <c r="E2152" s="225"/>
      <c r="I2152" s="99"/>
      <c r="K2152" s="99"/>
    </row>
    <row r="2153" spans="5:11" x14ac:dyDescent="0.2">
      <c r="E2153" s="225"/>
      <c r="I2153" s="99"/>
      <c r="K2153" s="99"/>
    </row>
    <row r="2154" spans="5:11" x14ac:dyDescent="0.2">
      <c r="E2154" s="225"/>
      <c r="I2154" s="99"/>
      <c r="K2154" s="99"/>
    </row>
    <row r="2155" spans="5:11" x14ac:dyDescent="0.2">
      <c r="E2155" s="225"/>
      <c r="I2155" s="99"/>
      <c r="K2155" s="99"/>
    </row>
    <row r="2156" spans="5:11" x14ac:dyDescent="0.2">
      <c r="E2156" s="225"/>
      <c r="I2156" s="99"/>
      <c r="K2156" s="99"/>
    </row>
    <row r="2157" spans="5:11" x14ac:dyDescent="0.2">
      <c r="E2157" s="225"/>
      <c r="I2157" s="99"/>
      <c r="K2157" s="99"/>
    </row>
    <row r="2158" spans="5:11" x14ac:dyDescent="0.2">
      <c r="E2158" s="225"/>
      <c r="I2158" s="99"/>
      <c r="K2158" s="99"/>
    </row>
    <row r="2159" spans="5:11" x14ac:dyDescent="0.2">
      <c r="E2159" s="225"/>
      <c r="I2159" s="99"/>
      <c r="K2159" s="99"/>
    </row>
    <row r="2160" spans="5:11" x14ac:dyDescent="0.2">
      <c r="E2160" s="225"/>
      <c r="I2160" s="99"/>
      <c r="K2160" s="99"/>
    </row>
    <row r="2161" spans="5:11" x14ac:dyDescent="0.2">
      <c r="E2161" s="225"/>
      <c r="I2161" s="99"/>
      <c r="K2161" s="99"/>
    </row>
    <row r="2162" spans="5:11" x14ac:dyDescent="0.2">
      <c r="E2162" s="225"/>
      <c r="I2162" s="99"/>
      <c r="K2162" s="99"/>
    </row>
    <row r="2163" spans="5:11" x14ac:dyDescent="0.2">
      <c r="E2163" s="225"/>
      <c r="I2163" s="99"/>
      <c r="K2163" s="99"/>
    </row>
    <row r="2164" spans="5:11" x14ac:dyDescent="0.2">
      <c r="E2164" s="225"/>
      <c r="I2164" s="99"/>
      <c r="K2164" s="99"/>
    </row>
    <row r="2165" spans="5:11" x14ac:dyDescent="0.2">
      <c r="E2165" s="225"/>
      <c r="I2165" s="99"/>
      <c r="K2165" s="99"/>
    </row>
    <row r="2166" spans="5:11" x14ac:dyDescent="0.2">
      <c r="E2166" s="225"/>
      <c r="I2166" s="99"/>
      <c r="K2166" s="99"/>
    </row>
    <row r="2167" spans="5:11" x14ac:dyDescent="0.2">
      <c r="E2167" s="225"/>
      <c r="I2167" s="99"/>
      <c r="K2167" s="99"/>
    </row>
    <row r="2168" spans="5:11" x14ac:dyDescent="0.2">
      <c r="E2168" s="225"/>
      <c r="I2168" s="99"/>
      <c r="K2168" s="99"/>
    </row>
    <row r="2169" spans="5:11" x14ac:dyDescent="0.2">
      <c r="E2169" s="225"/>
      <c r="I2169" s="99"/>
      <c r="K2169" s="99"/>
    </row>
    <row r="2170" spans="5:11" x14ac:dyDescent="0.2">
      <c r="E2170" s="225"/>
      <c r="I2170" s="99"/>
      <c r="K2170" s="99"/>
    </row>
    <row r="2171" spans="5:11" x14ac:dyDescent="0.2">
      <c r="E2171" s="225"/>
      <c r="I2171" s="99"/>
      <c r="K2171" s="99"/>
    </row>
    <row r="2172" spans="5:11" x14ac:dyDescent="0.2">
      <c r="E2172" s="225"/>
      <c r="I2172" s="99"/>
      <c r="K2172" s="99"/>
    </row>
    <row r="2173" spans="5:11" x14ac:dyDescent="0.2">
      <c r="E2173" s="225"/>
      <c r="I2173" s="99"/>
      <c r="K2173" s="99"/>
    </row>
    <row r="2174" spans="5:11" x14ac:dyDescent="0.2">
      <c r="E2174" s="225"/>
      <c r="I2174" s="99"/>
      <c r="K2174" s="99"/>
    </row>
    <row r="2175" spans="5:11" x14ac:dyDescent="0.2">
      <c r="E2175" s="225"/>
      <c r="I2175" s="99"/>
      <c r="K2175" s="99"/>
    </row>
    <row r="2176" spans="5:11" x14ac:dyDescent="0.2">
      <c r="E2176" s="225"/>
      <c r="I2176" s="99"/>
      <c r="K2176" s="99"/>
    </row>
    <row r="2177" spans="5:11" x14ac:dyDescent="0.2">
      <c r="E2177" s="225"/>
      <c r="I2177" s="99"/>
      <c r="K2177" s="99"/>
    </row>
    <row r="2178" spans="5:11" x14ac:dyDescent="0.2">
      <c r="E2178" s="225"/>
      <c r="I2178" s="99"/>
      <c r="K2178" s="99"/>
    </row>
    <row r="2179" spans="5:11" x14ac:dyDescent="0.2">
      <c r="E2179" s="225"/>
      <c r="I2179" s="99"/>
      <c r="K2179" s="99"/>
    </row>
    <row r="2180" spans="5:11" x14ac:dyDescent="0.2">
      <c r="E2180" s="225"/>
      <c r="I2180" s="99"/>
      <c r="K2180" s="99"/>
    </row>
    <row r="2181" spans="5:11" x14ac:dyDescent="0.2">
      <c r="E2181" s="225"/>
      <c r="I2181" s="99"/>
      <c r="K2181" s="99"/>
    </row>
    <row r="2182" spans="5:11" x14ac:dyDescent="0.2">
      <c r="E2182" s="225"/>
      <c r="I2182" s="99"/>
      <c r="K2182" s="99"/>
    </row>
    <row r="2183" spans="5:11" x14ac:dyDescent="0.2">
      <c r="E2183" s="225"/>
      <c r="I2183" s="99"/>
      <c r="K2183" s="99"/>
    </row>
    <row r="2184" spans="5:11" x14ac:dyDescent="0.2">
      <c r="E2184" s="225"/>
      <c r="I2184" s="99"/>
      <c r="K2184" s="99"/>
    </row>
    <row r="2185" spans="5:11" x14ac:dyDescent="0.2">
      <c r="E2185" s="225"/>
      <c r="I2185" s="99"/>
      <c r="K2185" s="99"/>
    </row>
    <row r="2186" spans="5:11" x14ac:dyDescent="0.2">
      <c r="E2186" s="225"/>
      <c r="I2186" s="99"/>
      <c r="K2186" s="99"/>
    </row>
    <row r="2187" spans="5:11" x14ac:dyDescent="0.2">
      <c r="E2187" s="225"/>
      <c r="I2187" s="99"/>
      <c r="K2187" s="99"/>
    </row>
    <row r="2188" spans="5:11" x14ac:dyDescent="0.2">
      <c r="E2188" s="225"/>
      <c r="I2188" s="99"/>
      <c r="K2188" s="99"/>
    </row>
    <row r="2189" spans="5:11" x14ac:dyDescent="0.2">
      <c r="E2189" s="225"/>
      <c r="I2189" s="99"/>
      <c r="K2189" s="99"/>
    </row>
    <row r="2190" spans="5:11" x14ac:dyDescent="0.2">
      <c r="E2190" s="225"/>
      <c r="I2190" s="99"/>
      <c r="K2190" s="99"/>
    </row>
    <row r="2191" spans="5:11" x14ac:dyDescent="0.2">
      <c r="E2191" s="225"/>
      <c r="I2191" s="99"/>
      <c r="K2191" s="99"/>
    </row>
    <row r="2192" spans="5:11" x14ac:dyDescent="0.2">
      <c r="E2192" s="225"/>
      <c r="I2192" s="99"/>
      <c r="K2192" s="99"/>
    </row>
    <row r="2193" spans="5:11" x14ac:dyDescent="0.2">
      <c r="E2193" s="225"/>
      <c r="I2193" s="99"/>
      <c r="K2193" s="99"/>
    </row>
    <row r="2194" spans="5:11" x14ac:dyDescent="0.2">
      <c r="E2194" s="225"/>
      <c r="I2194" s="99"/>
      <c r="K2194" s="99"/>
    </row>
    <row r="2195" spans="5:11" x14ac:dyDescent="0.2">
      <c r="E2195" s="225"/>
      <c r="I2195" s="99"/>
      <c r="K2195" s="99"/>
    </row>
    <row r="2196" spans="5:11" x14ac:dyDescent="0.2">
      <c r="E2196" s="225"/>
      <c r="I2196" s="99"/>
      <c r="K2196" s="99"/>
    </row>
    <row r="2197" spans="5:11" x14ac:dyDescent="0.2">
      <c r="E2197" s="225"/>
      <c r="I2197" s="99"/>
      <c r="K2197" s="99"/>
    </row>
    <row r="2198" spans="5:11" x14ac:dyDescent="0.2">
      <c r="E2198" s="225"/>
      <c r="I2198" s="99"/>
      <c r="K2198" s="99"/>
    </row>
    <row r="2199" spans="5:11" x14ac:dyDescent="0.2">
      <c r="E2199" s="225"/>
      <c r="I2199" s="99"/>
      <c r="K2199" s="99"/>
    </row>
    <row r="2200" spans="5:11" x14ac:dyDescent="0.2">
      <c r="E2200" s="225"/>
      <c r="I2200" s="99"/>
      <c r="K2200" s="99"/>
    </row>
    <row r="2201" spans="5:11" x14ac:dyDescent="0.2">
      <c r="E2201" s="225"/>
      <c r="I2201" s="99"/>
      <c r="K2201" s="99"/>
    </row>
    <row r="2202" spans="5:11" x14ac:dyDescent="0.2">
      <c r="E2202" s="225"/>
      <c r="I2202" s="99"/>
      <c r="K2202" s="99"/>
    </row>
    <row r="2203" spans="5:11" x14ac:dyDescent="0.2">
      <c r="E2203" s="225"/>
      <c r="I2203" s="99"/>
      <c r="K2203" s="99"/>
    </row>
    <row r="2204" spans="5:11" x14ac:dyDescent="0.2">
      <c r="E2204" s="225"/>
      <c r="I2204" s="99"/>
      <c r="K2204" s="99"/>
    </row>
    <row r="2205" spans="5:11" x14ac:dyDescent="0.2">
      <c r="E2205" s="225"/>
      <c r="I2205" s="99"/>
      <c r="K2205" s="99"/>
    </row>
    <row r="2206" spans="5:11" x14ac:dyDescent="0.2">
      <c r="E2206" s="225"/>
      <c r="I2206" s="99"/>
      <c r="K2206" s="99"/>
    </row>
    <row r="2207" spans="5:11" x14ac:dyDescent="0.2">
      <c r="E2207" s="225"/>
      <c r="I2207" s="99"/>
      <c r="K2207" s="99"/>
    </row>
    <row r="2208" spans="5:11" x14ac:dyDescent="0.2">
      <c r="E2208" s="225"/>
      <c r="I2208" s="99"/>
      <c r="K2208" s="99"/>
    </row>
    <row r="2209" spans="5:11" x14ac:dyDescent="0.2">
      <c r="E2209" s="225"/>
      <c r="I2209" s="99"/>
      <c r="K2209" s="99"/>
    </row>
    <row r="2210" spans="5:11" x14ac:dyDescent="0.2">
      <c r="E2210" s="225"/>
      <c r="I2210" s="99"/>
      <c r="K2210" s="99"/>
    </row>
    <row r="2211" spans="5:11" x14ac:dyDescent="0.2">
      <c r="E2211" s="225"/>
      <c r="I2211" s="99"/>
      <c r="K2211" s="99"/>
    </row>
    <row r="2212" spans="5:11" x14ac:dyDescent="0.2">
      <c r="E2212" s="225"/>
      <c r="I2212" s="99"/>
      <c r="K2212" s="99"/>
    </row>
    <row r="2213" spans="5:11" x14ac:dyDescent="0.2">
      <c r="E2213" s="225"/>
      <c r="I2213" s="99"/>
      <c r="K2213" s="99"/>
    </row>
    <row r="2214" spans="5:11" x14ac:dyDescent="0.2">
      <c r="E2214" s="225"/>
      <c r="I2214" s="99"/>
      <c r="K2214" s="99"/>
    </row>
    <row r="2215" spans="5:11" x14ac:dyDescent="0.2">
      <c r="E2215" s="225"/>
      <c r="I2215" s="99"/>
      <c r="K2215" s="99"/>
    </row>
    <row r="2216" spans="5:11" x14ac:dyDescent="0.2">
      <c r="E2216" s="225"/>
      <c r="I2216" s="99"/>
      <c r="K2216" s="99"/>
    </row>
    <row r="2217" spans="5:11" x14ac:dyDescent="0.2">
      <c r="E2217" s="225"/>
      <c r="I2217" s="99"/>
      <c r="K2217" s="99"/>
    </row>
    <row r="2218" spans="5:11" x14ac:dyDescent="0.2">
      <c r="E2218" s="225"/>
      <c r="I2218" s="99"/>
      <c r="K2218" s="99"/>
    </row>
    <row r="2219" spans="5:11" x14ac:dyDescent="0.2">
      <c r="E2219" s="225"/>
      <c r="I2219" s="99"/>
      <c r="K2219" s="99"/>
    </row>
    <row r="2220" spans="5:11" x14ac:dyDescent="0.2">
      <c r="E2220" s="225"/>
      <c r="I2220" s="99"/>
      <c r="K2220" s="99"/>
    </row>
    <row r="2221" spans="5:11" x14ac:dyDescent="0.2">
      <c r="E2221" s="225"/>
      <c r="I2221" s="99"/>
      <c r="K2221" s="99"/>
    </row>
    <row r="2222" spans="5:11" x14ac:dyDescent="0.2">
      <c r="E2222" s="225"/>
      <c r="I2222" s="99"/>
      <c r="K2222" s="99"/>
    </row>
    <row r="2223" spans="5:11" x14ac:dyDescent="0.2">
      <c r="E2223" s="225"/>
      <c r="I2223" s="99"/>
      <c r="K2223" s="99"/>
    </row>
    <row r="2224" spans="5:11" x14ac:dyDescent="0.2">
      <c r="E2224" s="225"/>
      <c r="I2224" s="99"/>
      <c r="K2224" s="99"/>
    </row>
    <row r="2225" spans="5:11" x14ac:dyDescent="0.2">
      <c r="E2225" s="225"/>
      <c r="I2225" s="99"/>
      <c r="K2225" s="99"/>
    </row>
    <row r="2226" spans="5:11" x14ac:dyDescent="0.2">
      <c r="E2226" s="225"/>
      <c r="I2226" s="99"/>
      <c r="K2226" s="99"/>
    </row>
    <row r="2227" spans="5:11" x14ac:dyDescent="0.2">
      <c r="E2227" s="225"/>
      <c r="I2227" s="99"/>
      <c r="K2227" s="99"/>
    </row>
    <row r="2228" spans="5:11" x14ac:dyDescent="0.2">
      <c r="E2228" s="225"/>
      <c r="I2228" s="99"/>
      <c r="K2228" s="99"/>
    </row>
    <row r="2229" spans="5:11" x14ac:dyDescent="0.2">
      <c r="E2229" s="225"/>
      <c r="I2229" s="99"/>
      <c r="K2229" s="99"/>
    </row>
    <row r="2230" spans="5:11" x14ac:dyDescent="0.2">
      <c r="E2230" s="225"/>
      <c r="I2230" s="99"/>
      <c r="K2230" s="99"/>
    </row>
    <row r="2231" spans="5:11" x14ac:dyDescent="0.2">
      <c r="E2231" s="225"/>
      <c r="I2231" s="99"/>
      <c r="K2231" s="99"/>
    </row>
    <row r="2232" spans="5:11" x14ac:dyDescent="0.2">
      <c r="E2232" s="225"/>
      <c r="I2232" s="99"/>
      <c r="K2232" s="99"/>
    </row>
    <row r="2233" spans="5:11" x14ac:dyDescent="0.2">
      <c r="E2233" s="225"/>
      <c r="I2233" s="99"/>
      <c r="K2233" s="99"/>
    </row>
    <row r="2234" spans="5:11" x14ac:dyDescent="0.2">
      <c r="E2234" s="225"/>
      <c r="I2234" s="99"/>
      <c r="K2234" s="99"/>
    </row>
    <row r="2235" spans="5:11" x14ac:dyDescent="0.2">
      <c r="E2235" s="225"/>
      <c r="I2235" s="99"/>
      <c r="K2235" s="99"/>
    </row>
    <row r="2236" spans="5:11" x14ac:dyDescent="0.2">
      <c r="E2236" s="225"/>
      <c r="I2236" s="99"/>
      <c r="K2236" s="99"/>
    </row>
    <row r="2237" spans="5:11" x14ac:dyDescent="0.2">
      <c r="E2237" s="225"/>
      <c r="I2237" s="99"/>
      <c r="K2237" s="99"/>
    </row>
    <row r="2238" spans="5:11" x14ac:dyDescent="0.2">
      <c r="E2238" s="225"/>
      <c r="I2238" s="99"/>
      <c r="K2238" s="99"/>
    </row>
    <row r="2239" spans="5:11" x14ac:dyDescent="0.2">
      <c r="E2239" s="225"/>
      <c r="I2239" s="99"/>
      <c r="K2239" s="99"/>
    </row>
    <row r="2240" spans="5:11" x14ac:dyDescent="0.2">
      <c r="E2240" s="225"/>
      <c r="I2240" s="99"/>
      <c r="K2240" s="99"/>
    </row>
    <row r="2241" spans="5:11" x14ac:dyDescent="0.2">
      <c r="E2241" s="225"/>
      <c r="I2241" s="99"/>
      <c r="K2241" s="99"/>
    </row>
    <row r="2242" spans="5:11" x14ac:dyDescent="0.2">
      <c r="E2242" s="225"/>
      <c r="I2242" s="99"/>
      <c r="K2242" s="99"/>
    </row>
    <row r="2243" spans="5:11" x14ac:dyDescent="0.2">
      <c r="E2243" s="225"/>
      <c r="I2243" s="99"/>
      <c r="K2243" s="99"/>
    </row>
    <row r="2244" spans="5:11" x14ac:dyDescent="0.2">
      <c r="E2244" s="225"/>
      <c r="I2244" s="99"/>
      <c r="K2244" s="99"/>
    </row>
    <row r="2245" spans="5:11" x14ac:dyDescent="0.2">
      <c r="E2245" s="225"/>
      <c r="I2245" s="99"/>
      <c r="K2245" s="99"/>
    </row>
    <row r="2246" spans="5:11" x14ac:dyDescent="0.2">
      <c r="E2246" s="225"/>
      <c r="I2246" s="99"/>
      <c r="K2246" s="99"/>
    </row>
    <row r="2247" spans="5:11" x14ac:dyDescent="0.2">
      <c r="E2247" s="225"/>
      <c r="I2247" s="99"/>
      <c r="K2247" s="99"/>
    </row>
    <row r="2248" spans="5:11" x14ac:dyDescent="0.2">
      <c r="E2248" s="225"/>
      <c r="I2248" s="99"/>
      <c r="K2248" s="99"/>
    </row>
    <row r="2249" spans="5:11" x14ac:dyDescent="0.2">
      <c r="E2249" s="225"/>
      <c r="I2249" s="99"/>
      <c r="K2249" s="99"/>
    </row>
    <row r="2250" spans="5:11" x14ac:dyDescent="0.2">
      <c r="E2250" s="225"/>
      <c r="I2250" s="99"/>
      <c r="K2250" s="99"/>
    </row>
    <row r="2251" spans="5:11" x14ac:dyDescent="0.2">
      <c r="E2251" s="225"/>
      <c r="I2251" s="99"/>
      <c r="K2251" s="99"/>
    </row>
    <row r="2252" spans="5:11" x14ac:dyDescent="0.2">
      <c r="E2252" s="225"/>
      <c r="I2252" s="99"/>
      <c r="K2252" s="99"/>
    </row>
    <row r="2253" spans="5:11" x14ac:dyDescent="0.2">
      <c r="E2253" s="225"/>
      <c r="I2253" s="99"/>
      <c r="K2253" s="99"/>
    </row>
    <row r="2254" spans="5:11" x14ac:dyDescent="0.2">
      <c r="E2254" s="225"/>
      <c r="I2254" s="99"/>
      <c r="K2254" s="99"/>
    </row>
    <row r="2255" spans="5:11" x14ac:dyDescent="0.2">
      <c r="E2255" s="225"/>
      <c r="I2255" s="99"/>
      <c r="K2255" s="99"/>
    </row>
    <row r="2256" spans="5:11" x14ac:dyDescent="0.2">
      <c r="E2256" s="225"/>
      <c r="I2256" s="99"/>
      <c r="K2256" s="99"/>
    </row>
    <row r="2257" spans="5:11" x14ac:dyDescent="0.2">
      <c r="E2257" s="225"/>
      <c r="I2257" s="99"/>
      <c r="K2257" s="99"/>
    </row>
    <row r="2258" spans="5:11" x14ac:dyDescent="0.2">
      <c r="E2258" s="225"/>
      <c r="I2258" s="99"/>
      <c r="K2258" s="99"/>
    </row>
    <row r="2259" spans="5:11" x14ac:dyDescent="0.2">
      <c r="E2259" s="225"/>
      <c r="I2259" s="99"/>
      <c r="K2259" s="99"/>
    </row>
    <row r="2260" spans="5:11" x14ac:dyDescent="0.2">
      <c r="E2260" s="225"/>
      <c r="I2260" s="99"/>
      <c r="K2260" s="99"/>
    </row>
    <row r="2261" spans="5:11" x14ac:dyDescent="0.2">
      <c r="E2261" s="225"/>
      <c r="I2261" s="99"/>
      <c r="K2261" s="99"/>
    </row>
    <row r="2262" spans="5:11" x14ac:dyDescent="0.2">
      <c r="E2262" s="225"/>
      <c r="I2262" s="99"/>
      <c r="K2262" s="99"/>
    </row>
    <row r="2263" spans="5:11" x14ac:dyDescent="0.2">
      <c r="E2263" s="225"/>
      <c r="I2263" s="99"/>
      <c r="K2263" s="99"/>
    </row>
    <row r="2264" spans="5:11" x14ac:dyDescent="0.2">
      <c r="E2264" s="225"/>
      <c r="I2264" s="99"/>
      <c r="K2264" s="99"/>
    </row>
    <row r="2265" spans="5:11" x14ac:dyDescent="0.2">
      <c r="E2265" s="225"/>
      <c r="I2265" s="99"/>
      <c r="K2265" s="99"/>
    </row>
    <row r="2266" spans="5:11" x14ac:dyDescent="0.2">
      <c r="E2266" s="225"/>
      <c r="I2266" s="99"/>
      <c r="K2266" s="99"/>
    </row>
    <row r="2267" spans="5:11" x14ac:dyDescent="0.2">
      <c r="E2267" s="225"/>
      <c r="I2267" s="99"/>
      <c r="K2267" s="99"/>
    </row>
    <row r="2268" spans="5:11" x14ac:dyDescent="0.2">
      <c r="E2268" s="225"/>
      <c r="I2268" s="99"/>
      <c r="K2268" s="99"/>
    </row>
    <row r="2269" spans="5:11" x14ac:dyDescent="0.2">
      <c r="E2269" s="225"/>
      <c r="I2269" s="99"/>
      <c r="K2269" s="99"/>
    </row>
    <row r="2270" spans="5:11" x14ac:dyDescent="0.2">
      <c r="E2270" s="225"/>
      <c r="I2270" s="99"/>
      <c r="K2270" s="99"/>
    </row>
    <row r="2271" spans="5:11" x14ac:dyDescent="0.2">
      <c r="E2271" s="225"/>
      <c r="I2271" s="99"/>
      <c r="K2271" s="99"/>
    </row>
    <row r="2272" spans="5:11" x14ac:dyDescent="0.2">
      <c r="E2272" s="225"/>
      <c r="I2272" s="99"/>
      <c r="K2272" s="99"/>
    </row>
    <row r="2273" spans="5:11" x14ac:dyDescent="0.2">
      <c r="E2273" s="225"/>
      <c r="I2273" s="99"/>
      <c r="K2273" s="99"/>
    </row>
    <row r="2274" spans="5:11" x14ac:dyDescent="0.2">
      <c r="E2274" s="225"/>
      <c r="I2274" s="99"/>
      <c r="K2274" s="99"/>
    </row>
    <row r="2275" spans="5:11" x14ac:dyDescent="0.2">
      <c r="E2275" s="225"/>
      <c r="I2275" s="99"/>
      <c r="K2275" s="99"/>
    </row>
    <row r="2276" spans="5:11" x14ac:dyDescent="0.2">
      <c r="E2276" s="225"/>
      <c r="I2276" s="99"/>
      <c r="K2276" s="99"/>
    </row>
    <row r="2277" spans="5:11" x14ac:dyDescent="0.2">
      <c r="E2277" s="225"/>
      <c r="I2277" s="99"/>
      <c r="K2277" s="99"/>
    </row>
    <row r="2278" spans="5:11" x14ac:dyDescent="0.2">
      <c r="E2278" s="225"/>
      <c r="I2278" s="99"/>
      <c r="K2278" s="99"/>
    </row>
    <row r="2279" spans="5:11" x14ac:dyDescent="0.2">
      <c r="E2279" s="225"/>
      <c r="I2279" s="99"/>
      <c r="K2279" s="99"/>
    </row>
    <row r="2280" spans="5:11" x14ac:dyDescent="0.2">
      <c r="E2280" s="225"/>
      <c r="I2280" s="99"/>
      <c r="K2280" s="99"/>
    </row>
    <row r="2281" spans="5:11" x14ac:dyDescent="0.2">
      <c r="E2281" s="225"/>
      <c r="I2281" s="99"/>
      <c r="K2281" s="99"/>
    </row>
    <row r="2282" spans="5:11" x14ac:dyDescent="0.2">
      <c r="E2282" s="225"/>
      <c r="I2282" s="99"/>
      <c r="K2282" s="99"/>
    </row>
    <row r="2283" spans="5:11" x14ac:dyDescent="0.2">
      <c r="E2283" s="225"/>
      <c r="I2283" s="99"/>
      <c r="K2283" s="99"/>
    </row>
    <row r="2284" spans="5:11" x14ac:dyDescent="0.2">
      <c r="E2284" s="225"/>
      <c r="I2284" s="99"/>
      <c r="K2284" s="99"/>
    </row>
    <row r="2285" spans="5:11" x14ac:dyDescent="0.2">
      <c r="E2285" s="225"/>
      <c r="I2285" s="99"/>
      <c r="K2285" s="99"/>
    </row>
    <row r="2286" spans="5:11" x14ac:dyDescent="0.2">
      <c r="E2286" s="225"/>
      <c r="I2286" s="99"/>
      <c r="K2286" s="99"/>
    </row>
    <row r="2287" spans="5:11" x14ac:dyDescent="0.2">
      <c r="E2287" s="225"/>
      <c r="I2287" s="99"/>
      <c r="K2287" s="99"/>
    </row>
    <row r="2288" spans="5:11" x14ac:dyDescent="0.2">
      <c r="E2288" s="225"/>
      <c r="I2288" s="99"/>
      <c r="K2288" s="99"/>
    </row>
    <row r="2289" spans="5:11" x14ac:dyDescent="0.2">
      <c r="E2289" s="225"/>
      <c r="I2289" s="99"/>
      <c r="K2289" s="99"/>
    </row>
    <row r="2290" spans="5:11" x14ac:dyDescent="0.2">
      <c r="E2290" s="225"/>
      <c r="I2290" s="99"/>
      <c r="K2290" s="99"/>
    </row>
    <row r="2291" spans="5:11" x14ac:dyDescent="0.2">
      <c r="E2291" s="225"/>
      <c r="I2291" s="99"/>
      <c r="K2291" s="99"/>
    </row>
    <row r="2292" spans="5:11" x14ac:dyDescent="0.2">
      <c r="E2292" s="225"/>
      <c r="I2292" s="99"/>
      <c r="K2292" s="99"/>
    </row>
    <row r="2293" spans="5:11" x14ac:dyDescent="0.2">
      <c r="E2293" s="225"/>
      <c r="I2293" s="99"/>
      <c r="K2293" s="99"/>
    </row>
    <row r="2294" spans="5:11" x14ac:dyDescent="0.2">
      <c r="E2294" s="225"/>
      <c r="I2294" s="99"/>
      <c r="K2294" s="99"/>
    </row>
    <row r="2295" spans="5:11" x14ac:dyDescent="0.2">
      <c r="E2295" s="225"/>
      <c r="I2295" s="99"/>
      <c r="K2295" s="99"/>
    </row>
    <row r="2296" spans="5:11" x14ac:dyDescent="0.2">
      <c r="E2296" s="225"/>
      <c r="I2296" s="99"/>
      <c r="K2296" s="99"/>
    </row>
    <row r="2297" spans="5:11" x14ac:dyDescent="0.2">
      <c r="E2297" s="225"/>
      <c r="I2297" s="99"/>
      <c r="K2297" s="99"/>
    </row>
    <row r="2298" spans="5:11" x14ac:dyDescent="0.2">
      <c r="E2298" s="225"/>
      <c r="I2298" s="99"/>
      <c r="K2298" s="99"/>
    </row>
    <row r="2299" spans="5:11" x14ac:dyDescent="0.2">
      <c r="E2299" s="225"/>
      <c r="I2299" s="99"/>
      <c r="K2299" s="99"/>
    </row>
    <row r="2300" spans="5:11" x14ac:dyDescent="0.2">
      <c r="E2300" s="225"/>
      <c r="I2300" s="99"/>
      <c r="K2300" s="99"/>
    </row>
    <row r="2301" spans="5:11" x14ac:dyDescent="0.2">
      <c r="E2301" s="225"/>
      <c r="I2301" s="99"/>
      <c r="K2301" s="99"/>
    </row>
    <row r="2302" spans="5:11" x14ac:dyDescent="0.2">
      <c r="E2302" s="225"/>
      <c r="I2302" s="99"/>
      <c r="K2302" s="99"/>
    </row>
    <row r="2303" spans="5:11" x14ac:dyDescent="0.2">
      <c r="E2303" s="225"/>
      <c r="I2303" s="99"/>
      <c r="K2303" s="99"/>
    </row>
    <row r="2304" spans="5:11" x14ac:dyDescent="0.2">
      <c r="E2304" s="225"/>
      <c r="I2304" s="99"/>
      <c r="K2304" s="99"/>
    </row>
    <row r="2305" spans="5:9" x14ac:dyDescent="0.2">
      <c r="E2305" s="225"/>
      <c r="I2305" s="99"/>
    </row>
    <row r="2306" spans="5:9" x14ac:dyDescent="0.2">
      <c r="E2306" s="225"/>
      <c r="I2306" s="99"/>
    </row>
    <row r="2307" spans="5:9" x14ac:dyDescent="0.2">
      <c r="E2307" s="225"/>
      <c r="I2307" s="99"/>
    </row>
    <row r="2308" spans="5:9" x14ac:dyDescent="0.2">
      <c r="E2308" s="225"/>
      <c r="I2308" s="99"/>
    </row>
    <row r="2309" spans="5:9" x14ac:dyDescent="0.2">
      <c r="E2309" s="225"/>
      <c r="I2309" s="99"/>
    </row>
    <row r="2310" spans="5:9" x14ac:dyDescent="0.2">
      <c r="E2310" s="225"/>
      <c r="I2310" s="99"/>
    </row>
    <row r="2311" spans="5:9" x14ac:dyDescent="0.2">
      <c r="E2311" s="225"/>
      <c r="I2311" s="99"/>
    </row>
    <row r="2312" spans="5:9" x14ac:dyDescent="0.2">
      <c r="E2312" s="225"/>
      <c r="I2312" s="99"/>
    </row>
    <row r="2313" spans="5:9" x14ac:dyDescent="0.2">
      <c r="E2313" s="225"/>
      <c r="I2313" s="99"/>
    </row>
    <row r="2314" spans="5:9" x14ac:dyDescent="0.2">
      <c r="E2314" s="225"/>
      <c r="I2314" s="99"/>
    </row>
    <row r="2315" spans="5:9" x14ac:dyDescent="0.2">
      <c r="E2315" s="225"/>
      <c r="I2315" s="99"/>
    </row>
  </sheetData>
  <sortState xmlns:xlrd2="http://schemas.microsoft.com/office/spreadsheetml/2017/richdata2" ref="B5:M1923">
    <sortCondition ref="G7:G1923"/>
  </sortState>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1:Q491"/>
  <sheetViews>
    <sheetView showGridLines="0" zoomScale="88" zoomScaleNormal="88" workbookViewId="0"/>
  </sheetViews>
  <sheetFormatPr defaultColWidth="9" defaultRowHeight="14.25" x14ac:dyDescent="0.2"/>
  <cols>
    <col min="1" max="1" width="13.125" style="6" customWidth="1"/>
    <col min="2" max="2" width="7" style="6" customWidth="1"/>
    <col min="3" max="3" width="20.75" style="6" customWidth="1"/>
    <col min="4" max="4" width="19.75" style="6" customWidth="1"/>
    <col min="5" max="5" width="9" style="6"/>
    <col min="6" max="6" width="13.375" style="6" customWidth="1"/>
    <col min="7" max="7" width="9" style="6"/>
    <col min="8" max="9" width="17.5" style="6" customWidth="1"/>
    <col min="10" max="10" width="16.625" style="6" customWidth="1"/>
    <col min="11" max="11" width="24" style="6" customWidth="1"/>
    <col min="12" max="12" width="12.875" customWidth="1"/>
    <col min="13" max="13" width="7" customWidth="1"/>
    <col min="14" max="14" width="38.875" style="6" bestFit="1" customWidth="1"/>
    <col min="15" max="15" width="5.25" customWidth="1"/>
    <col min="16" max="16" width="17.75" style="6" customWidth="1"/>
    <col min="17" max="17" width="14.25" style="6" customWidth="1"/>
    <col min="18" max="18" width="7.125" style="6" customWidth="1"/>
    <col min="19" max="19" width="27.5" style="6" bestFit="1" customWidth="1"/>
    <col min="20" max="16384" width="9" style="6"/>
  </cols>
  <sheetData>
    <row r="1" spans="2:17" ht="33" customHeight="1" x14ac:dyDescent="0.2"/>
    <row r="6" spans="2:17" ht="15" thickBot="1" x14ac:dyDescent="0.25"/>
    <row r="7" spans="2:17" ht="21.75" customHeight="1" thickTop="1" thickBot="1" x14ac:dyDescent="0.25">
      <c r="B7" s="200" t="s">
        <v>6814</v>
      </c>
      <c r="C7" s="200" t="s">
        <v>2422</v>
      </c>
      <c r="D7" s="200" t="s">
        <v>48</v>
      </c>
      <c r="E7" s="199" t="s">
        <v>47</v>
      </c>
      <c r="F7" s="199" t="s">
        <v>2423</v>
      </c>
      <c r="G7" s="199" t="s">
        <v>46</v>
      </c>
      <c r="H7" s="199" t="s">
        <v>2424</v>
      </c>
      <c r="I7" s="199" t="s">
        <v>8131</v>
      </c>
      <c r="J7" s="199" t="s">
        <v>2425</v>
      </c>
      <c r="K7" s="199" t="s">
        <v>44</v>
      </c>
      <c r="M7" s="411" t="s">
        <v>2425</v>
      </c>
      <c r="N7" s="411"/>
      <c r="P7" s="411" t="s">
        <v>8124</v>
      </c>
      <c r="Q7" s="411"/>
    </row>
    <row r="8" spans="2:17" ht="15" x14ac:dyDescent="0.2">
      <c r="B8" s="196">
        <v>1</v>
      </c>
      <c r="C8" s="195" t="s">
        <v>8132</v>
      </c>
      <c r="D8" s="195" t="s">
        <v>102</v>
      </c>
      <c r="E8" s="196" t="s">
        <v>21</v>
      </c>
      <c r="F8" s="196" t="s">
        <v>157</v>
      </c>
      <c r="G8" s="196">
        <v>181</v>
      </c>
      <c r="H8" s="202">
        <v>33228</v>
      </c>
      <c r="I8" s="198">
        <v>4</v>
      </c>
      <c r="J8" s="196">
        <v>3</v>
      </c>
      <c r="K8" s="196"/>
      <c r="M8" s="203">
        <v>1</v>
      </c>
      <c r="N8" s="204" t="s">
        <v>2426</v>
      </c>
      <c r="P8" s="201" t="str">
        <f>REPT("|",G8-150)</f>
        <v>|||||||||||||||||||||||||||||||</v>
      </c>
    </row>
    <row r="9" spans="2:17" ht="15" x14ac:dyDescent="0.2">
      <c r="B9" s="196">
        <v>2</v>
      </c>
      <c r="C9" s="195" t="s">
        <v>8133</v>
      </c>
      <c r="D9" s="195" t="s">
        <v>713</v>
      </c>
      <c r="E9" s="196" t="s">
        <v>17</v>
      </c>
      <c r="F9" s="196" t="s">
        <v>157</v>
      </c>
      <c r="G9" s="196">
        <v>180</v>
      </c>
      <c r="H9" s="202">
        <v>36152</v>
      </c>
      <c r="I9" s="198">
        <v>3</v>
      </c>
      <c r="J9" s="196">
        <v>2</v>
      </c>
      <c r="K9" s="196"/>
      <c r="M9" s="203">
        <v>2</v>
      </c>
      <c r="N9" s="204" t="s">
        <v>2427</v>
      </c>
      <c r="P9" s="201" t="str">
        <f t="shared" ref="P9:P72" si="0">REPT("|",G9-150)</f>
        <v>||||||||||||||||||||||||||||||</v>
      </c>
    </row>
    <row r="10" spans="2:17" ht="15" x14ac:dyDescent="0.2">
      <c r="B10" s="196">
        <v>3</v>
      </c>
      <c r="C10" s="195" t="s">
        <v>8134</v>
      </c>
      <c r="D10" s="195" t="s">
        <v>8135</v>
      </c>
      <c r="E10" s="196" t="s">
        <v>21</v>
      </c>
      <c r="F10" s="196" t="s">
        <v>157</v>
      </c>
      <c r="G10" s="196">
        <v>172</v>
      </c>
      <c r="H10" s="202">
        <v>30538</v>
      </c>
      <c r="I10" s="198">
        <v>5</v>
      </c>
      <c r="J10" s="196">
        <v>2</v>
      </c>
      <c r="K10" s="196"/>
      <c r="M10" s="203">
        <v>3</v>
      </c>
      <c r="N10" s="204" t="s">
        <v>2428</v>
      </c>
      <c r="P10" s="201" t="str">
        <f t="shared" si="0"/>
        <v>||||||||||||||||||||||</v>
      </c>
    </row>
    <row r="11" spans="2:17" ht="15" x14ac:dyDescent="0.2">
      <c r="B11" s="196">
        <v>4</v>
      </c>
      <c r="C11" s="195" t="s">
        <v>8136</v>
      </c>
      <c r="D11" s="195" t="s">
        <v>8137</v>
      </c>
      <c r="E11" s="196" t="s">
        <v>17</v>
      </c>
      <c r="F11" s="196" t="s">
        <v>157</v>
      </c>
      <c r="G11" s="196">
        <v>182</v>
      </c>
      <c r="H11" s="202">
        <v>30722</v>
      </c>
      <c r="I11" s="198">
        <v>1</v>
      </c>
      <c r="J11" s="196">
        <v>3</v>
      </c>
      <c r="K11" s="196"/>
      <c r="P11" s="201" t="str">
        <f t="shared" si="0"/>
        <v>||||||||||||||||||||||||||||||||</v>
      </c>
    </row>
    <row r="12" spans="2:17" ht="15.75" thickBot="1" x14ac:dyDescent="0.25">
      <c r="B12" s="196">
        <v>5</v>
      </c>
      <c r="C12" s="195" t="s">
        <v>8138</v>
      </c>
      <c r="D12" s="195" t="s">
        <v>7141</v>
      </c>
      <c r="E12" s="196" t="s">
        <v>21</v>
      </c>
      <c r="F12" s="196" t="s">
        <v>157</v>
      </c>
      <c r="G12" s="196">
        <v>170</v>
      </c>
      <c r="H12" s="202">
        <v>35487</v>
      </c>
      <c r="I12" s="198">
        <v>4</v>
      </c>
      <c r="J12" s="196">
        <v>2</v>
      </c>
      <c r="K12" s="196"/>
      <c r="P12" s="201" t="str">
        <f t="shared" si="0"/>
        <v>||||||||||||||||||||</v>
      </c>
    </row>
    <row r="13" spans="2:17" ht="16.5" thickTop="1" x14ac:dyDescent="0.2">
      <c r="B13" s="196">
        <v>6</v>
      </c>
      <c r="C13" s="195" t="s">
        <v>8139</v>
      </c>
      <c r="D13" s="195" t="s">
        <v>8140</v>
      </c>
      <c r="E13" s="196" t="s">
        <v>17</v>
      </c>
      <c r="F13" s="196" t="s">
        <v>157</v>
      </c>
      <c r="G13" s="196">
        <v>170</v>
      </c>
      <c r="H13" s="202">
        <v>24832</v>
      </c>
      <c r="I13" s="198">
        <v>5</v>
      </c>
      <c r="J13" s="196">
        <v>1</v>
      </c>
      <c r="K13" s="196"/>
      <c r="M13" s="411" t="s">
        <v>8131</v>
      </c>
      <c r="N13" s="411" t="s">
        <v>8125</v>
      </c>
      <c r="P13" s="201" t="str">
        <f t="shared" si="0"/>
        <v>||||||||||||||||||||</v>
      </c>
    </row>
    <row r="14" spans="2:17" ht="15" x14ac:dyDescent="0.2">
      <c r="B14" s="196">
        <v>7</v>
      </c>
      <c r="C14" s="195" t="s">
        <v>8141</v>
      </c>
      <c r="D14" s="195" t="s">
        <v>6983</v>
      </c>
      <c r="E14" s="196" t="s">
        <v>21</v>
      </c>
      <c r="F14" s="196" t="s">
        <v>157</v>
      </c>
      <c r="G14" s="196">
        <v>158</v>
      </c>
      <c r="H14" s="202">
        <v>34573</v>
      </c>
      <c r="I14" s="198">
        <v>5</v>
      </c>
      <c r="J14" s="196">
        <v>2</v>
      </c>
      <c r="K14" s="196"/>
      <c r="M14" s="203">
        <v>1</v>
      </c>
      <c r="N14" s="204" t="s">
        <v>8127</v>
      </c>
      <c r="P14" s="201" t="str">
        <f t="shared" si="0"/>
        <v>||||||||</v>
      </c>
    </row>
    <row r="15" spans="2:17" ht="15" x14ac:dyDescent="0.2">
      <c r="B15" s="196">
        <v>8</v>
      </c>
      <c r="C15" s="195" t="s">
        <v>8142</v>
      </c>
      <c r="D15" s="195" t="s">
        <v>6962</v>
      </c>
      <c r="E15" s="196" t="s">
        <v>17</v>
      </c>
      <c r="F15" s="196" t="s">
        <v>157</v>
      </c>
      <c r="G15" s="196">
        <v>181</v>
      </c>
      <c r="H15" s="202">
        <v>24705</v>
      </c>
      <c r="I15" s="198">
        <v>5</v>
      </c>
      <c r="J15" s="196">
        <v>1</v>
      </c>
      <c r="K15" s="196"/>
      <c r="M15" s="203">
        <v>2</v>
      </c>
      <c r="N15" s="204" t="s">
        <v>8128</v>
      </c>
      <c r="P15" s="201" t="str">
        <f t="shared" si="0"/>
        <v>|||||||||||||||||||||||||||||||</v>
      </c>
    </row>
    <row r="16" spans="2:17" ht="15" x14ac:dyDescent="0.2">
      <c r="B16" s="196">
        <v>9</v>
      </c>
      <c r="C16" s="195" t="s">
        <v>8143</v>
      </c>
      <c r="D16" s="195" t="s">
        <v>6944</v>
      </c>
      <c r="E16" s="196" t="s">
        <v>21</v>
      </c>
      <c r="F16" s="196" t="s">
        <v>157</v>
      </c>
      <c r="G16" s="196">
        <v>191</v>
      </c>
      <c r="H16" s="202">
        <v>28466</v>
      </c>
      <c r="I16" s="198">
        <v>1</v>
      </c>
      <c r="J16" s="196">
        <v>1</v>
      </c>
      <c r="K16" s="196"/>
      <c r="M16" s="203">
        <v>3</v>
      </c>
      <c r="N16" s="204" t="s">
        <v>8126</v>
      </c>
      <c r="P16" s="201" t="str">
        <f t="shared" si="0"/>
        <v>|||||||||||||||||||||||||||||||||||||||||</v>
      </c>
    </row>
    <row r="17" spans="2:16" ht="15" x14ac:dyDescent="0.2">
      <c r="B17" s="196">
        <v>10</v>
      </c>
      <c r="C17" s="195" t="s">
        <v>8144</v>
      </c>
      <c r="D17" s="195" t="s">
        <v>8145</v>
      </c>
      <c r="E17" s="196" t="s">
        <v>17</v>
      </c>
      <c r="F17" s="196" t="s">
        <v>157</v>
      </c>
      <c r="G17" s="196">
        <v>180</v>
      </c>
      <c r="H17" s="202">
        <v>33790</v>
      </c>
      <c r="I17" s="198">
        <v>2</v>
      </c>
      <c r="J17" s="196">
        <v>2</v>
      </c>
      <c r="K17" s="196"/>
      <c r="M17" s="203">
        <v>4</v>
      </c>
      <c r="N17" s="204" t="s">
        <v>8129</v>
      </c>
      <c r="P17" s="201" t="str">
        <f t="shared" si="0"/>
        <v>||||||||||||||||||||||||||||||</v>
      </c>
    </row>
    <row r="18" spans="2:16" ht="15" x14ac:dyDescent="0.2">
      <c r="B18" s="196">
        <v>11</v>
      </c>
      <c r="C18" s="195" t="s">
        <v>8146</v>
      </c>
      <c r="D18" s="195" t="s">
        <v>8147</v>
      </c>
      <c r="E18" s="196" t="s">
        <v>21</v>
      </c>
      <c r="F18" s="196" t="s">
        <v>157</v>
      </c>
      <c r="G18" s="196">
        <v>188</v>
      </c>
      <c r="H18" s="202">
        <v>24062</v>
      </c>
      <c r="I18" s="198">
        <v>2</v>
      </c>
      <c r="J18" s="196">
        <v>1</v>
      </c>
      <c r="K18" s="196"/>
      <c r="M18" s="203">
        <v>5</v>
      </c>
      <c r="N18" s="204" t="s">
        <v>8130</v>
      </c>
      <c r="P18" s="201" t="str">
        <f t="shared" si="0"/>
        <v>||||||||||||||||||||||||||||||||||||||</v>
      </c>
    </row>
    <row r="19" spans="2:16" ht="15" x14ac:dyDescent="0.2">
      <c r="B19" s="196">
        <v>12</v>
      </c>
      <c r="C19" s="195" t="s">
        <v>8148</v>
      </c>
      <c r="D19" s="195" t="s">
        <v>8149</v>
      </c>
      <c r="E19" s="196" t="s">
        <v>17</v>
      </c>
      <c r="F19" s="196" t="s">
        <v>157</v>
      </c>
      <c r="G19" s="196">
        <v>183</v>
      </c>
      <c r="H19" s="202">
        <v>26631</v>
      </c>
      <c r="I19" s="198">
        <v>2</v>
      </c>
      <c r="J19" s="196">
        <v>2</v>
      </c>
      <c r="K19" s="196"/>
      <c r="P19" s="201" t="str">
        <f t="shared" si="0"/>
        <v>|||||||||||||||||||||||||||||||||</v>
      </c>
    </row>
    <row r="20" spans="2:16" ht="15" x14ac:dyDescent="0.2">
      <c r="B20" s="196">
        <v>13</v>
      </c>
      <c r="C20" s="195" t="s">
        <v>8150</v>
      </c>
      <c r="D20" s="195" t="s">
        <v>8151</v>
      </c>
      <c r="E20" s="196" t="s">
        <v>21</v>
      </c>
      <c r="F20" s="196" t="s">
        <v>157</v>
      </c>
      <c r="G20" s="196">
        <v>163</v>
      </c>
      <c r="H20" s="202">
        <v>26107</v>
      </c>
      <c r="I20" s="198">
        <v>4</v>
      </c>
      <c r="J20" s="196">
        <v>1</v>
      </c>
      <c r="K20" s="196"/>
      <c r="P20" s="201" t="str">
        <f t="shared" si="0"/>
        <v>|||||||||||||</v>
      </c>
    </row>
    <row r="21" spans="2:16" ht="15" x14ac:dyDescent="0.2">
      <c r="B21" s="196">
        <v>14</v>
      </c>
      <c r="C21" s="195" t="s">
        <v>8152</v>
      </c>
      <c r="D21" s="195" t="s">
        <v>8153</v>
      </c>
      <c r="E21" s="196" t="s">
        <v>17</v>
      </c>
      <c r="F21" s="196" t="s">
        <v>2677</v>
      </c>
      <c r="G21" s="196">
        <v>184</v>
      </c>
      <c r="H21" s="202">
        <v>33516</v>
      </c>
      <c r="I21" s="198">
        <v>2</v>
      </c>
      <c r="J21" s="196">
        <v>2</v>
      </c>
      <c r="K21" s="196"/>
      <c r="P21" s="201" t="str">
        <f t="shared" si="0"/>
        <v>||||||||||||||||||||||||||||||||||</v>
      </c>
    </row>
    <row r="22" spans="2:16" ht="15" x14ac:dyDescent="0.2">
      <c r="B22" s="196">
        <v>15</v>
      </c>
      <c r="C22" s="195" t="s">
        <v>8154</v>
      </c>
      <c r="D22" s="195" t="s">
        <v>8155</v>
      </c>
      <c r="E22" s="196" t="s">
        <v>21</v>
      </c>
      <c r="F22" s="196" t="s">
        <v>157</v>
      </c>
      <c r="G22" s="196">
        <v>192</v>
      </c>
      <c r="H22" s="202">
        <v>33050</v>
      </c>
      <c r="I22" s="198">
        <v>3</v>
      </c>
      <c r="J22" s="196">
        <v>1</v>
      </c>
      <c r="K22" s="196"/>
      <c r="P22" s="201" t="str">
        <f t="shared" si="0"/>
        <v>||||||||||||||||||||||||||||||||||||||||||</v>
      </c>
    </row>
    <row r="23" spans="2:16" ht="15" x14ac:dyDescent="0.2">
      <c r="B23" s="196">
        <v>16</v>
      </c>
      <c r="C23" s="195" t="s">
        <v>8156</v>
      </c>
      <c r="D23" s="195" t="s">
        <v>8157</v>
      </c>
      <c r="E23" s="196" t="s">
        <v>17</v>
      </c>
      <c r="F23" s="196" t="s">
        <v>157</v>
      </c>
      <c r="G23" s="196">
        <v>162</v>
      </c>
      <c r="H23" s="202">
        <v>26740</v>
      </c>
      <c r="I23" s="198">
        <v>2</v>
      </c>
      <c r="J23" s="196">
        <v>1</v>
      </c>
      <c r="K23" s="196"/>
      <c r="P23" s="201" t="str">
        <f t="shared" si="0"/>
        <v>||||||||||||</v>
      </c>
    </row>
    <row r="24" spans="2:16" ht="15" x14ac:dyDescent="0.2">
      <c r="B24" s="196">
        <v>17</v>
      </c>
      <c r="C24" s="195" t="s">
        <v>1508</v>
      </c>
      <c r="D24" s="195" t="s">
        <v>8158</v>
      </c>
      <c r="E24" s="196" t="s">
        <v>21</v>
      </c>
      <c r="F24" s="196" t="s">
        <v>157</v>
      </c>
      <c r="G24" s="196">
        <v>195</v>
      </c>
      <c r="H24" s="202">
        <v>30084</v>
      </c>
      <c r="I24" s="198">
        <v>5</v>
      </c>
      <c r="J24" s="196">
        <v>2</v>
      </c>
      <c r="K24" s="196"/>
      <c r="P24" s="201" t="str">
        <f t="shared" si="0"/>
        <v>|||||||||||||||||||||||||||||||||||||||||||||</v>
      </c>
    </row>
    <row r="25" spans="2:16" ht="15" x14ac:dyDescent="0.2">
      <c r="B25" s="196">
        <v>18</v>
      </c>
      <c r="C25" s="195" t="s">
        <v>8159</v>
      </c>
      <c r="D25" s="195" t="s">
        <v>107</v>
      </c>
      <c r="E25" s="196" t="s">
        <v>17</v>
      </c>
      <c r="F25" s="196" t="s">
        <v>157</v>
      </c>
      <c r="G25" s="196">
        <v>180</v>
      </c>
      <c r="H25" s="202">
        <v>30964</v>
      </c>
      <c r="I25" s="198">
        <v>1</v>
      </c>
      <c r="J25" s="196">
        <v>1</v>
      </c>
      <c r="K25" s="196"/>
      <c r="P25" s="201" t="str">
        <f t="shared" si="0"/>
        <v>||||||||||||||||||||||||||||||</v>
      </c>
    </row>
    <row r="26" spans="2:16" ht="15" x14ac:dyDescent="0.2">
      <c r="B26" s="196">
        <v>19</v>
      </c>
      <c r="C26" s="195" t="s">
        <v>8160</v>
      </c>
      <c r="D26" s="195" t="s">
        <v>8161</v>
      </c>
      <c r="E26" s="196" t="s">
        <v>21</v>
      </c>
      <c r="F26" s="196" t="s">
        <v>157</v>
      </c>
      <c r="G26" s="196">
        <v>163</v>
      </c>
      <c r="H26" s="202">
        <v>30320</v>
      </c>
      <c r="I26" s="198">
        <v>3</v>
      </c>
      <c r="J26" s="196">
        <v>1</v>
      </c>
      <c r="K26" s="196"/>
      <c r="P26" s="201" t="str">
        <f t="shared" si="0"/>
        <v>|||||||||||||</v>
      </c>
    </row>
    <row r="27" spans="2:16" ht="15" x14ac:dyDescent="0.2">
      <c r="B27" s="196">
        <v>20</v>
      </c>
      <c r="C27" s="195" t="s">
        <v>6966</v>
      </c>
      <c r="D27" s="195" t="s">
        <v>8162</v>
      </c>
      <c r="E27" s="196" t="s">
        <v>17</v>
      </c>
      <c r="F27" s="196" t="s">
        <v>157</v>
      </c>
      <c r="G27" s="196">
        <v>192</v>
      </c>
      <c r="H27" s="202">
        <v>35610</v>
      </c>
      <c r="I27" s="198">
        <v>3</v>
      </c>
      <c r="J27" s="196">
        <v>2</v>
      </c>
      <c r="K27" s="196"/>
      <c r="P27" s="201" t="str">
        <f t="shared" si="0"/>
        <v>||||||||||||||||||||||||||||||||||||||||||</v>
      </c>
    </row>
    <row r="28" spans="2:16" ht="15" x14ac:dyDescent="0.2">
      <c r="B28" s="196">
        <v>21</v>
      </c>
      <c r="C28" s="195" t="s">
        <v>8163</v>
      </c>
      <c r="D28" s="195" t="s">
        <v>6954</v>
      </c>
      <c r="E28" s="196" t="s">
        <v>21</v>
      </c>
      <c r="F28" s="196" t="s">
        <v>157</v>
      </c>
      <c r="G28" s="196">
        <v>162</v>
      </c>
      <c r="H28" s="202">
        <v>25004</v>
      </c>
      <c r="I28" s="198">
        <v>1</v>
      </c>
      <c r="J28" s="196">
        <v>1</v>
      </c>
      <c r="K28" s="196"/>
      <c r="P28" s="201" t="str">
        <f t="shared" si="0"/>
        <v>||||||||||||</v>
      </c>
    </row>
    <row r="29" spans="2:16" ht="15" x14ac:dyDescent="0.2">
      <c r="B29" s="196">
        <v>22</v>
      </c>
      <c r="C29" s="195" t="s">
        <v>8164</v>
      </c>
      <c r="D29" s="195" t="s">
        <v>8165</v>
      </c>
      <c r="E29" s="196" t="s">
        <v>17</v>
      </c>
      <c r="F29" s="196" t="s">
        <v>157</v>
      </c>
      <c r="G29" s="196">
        <v>175</v>
      </c>
      <c r="H29" s="202">
        <v>28718</v>
      </c>
      <c r="I29" s="198">
        <v>5</v>
      </c>
      <c r="J29" s="196">
        <v>2</v>
      </c>
      <c r="K29" s="196"/>
      <c r="P29" s="201" t="str">
        <f t="shared" si="0"/>
        <v>|||||||||||||||||||||||||</v>
      </c>
    </row>
    <row r="30" spans="2:16" ht="15" x14ac:dyDescent="0.2">
      <c r="B30" s="196">
        <v>23</v>
      </c>
      <c r="C30" s="195" t="s">
        <v>8166</v>
      </c>
      <c r="D30" s="195" t="s">
        <v>56</v>
      </c>
      <c r="E30" s="196" t="s">
        <v>21</v>
      </c>
      <c r="F30" s="196" t="s">
        <v>157</v>
      </c>
      <c r="G30" s="196">
        <v>173</v>
      </c>
      <c r="H30" s="202">
        <v>35202</v>
      </c>
      <c r="I30" s="198">
        <v>2</v>
      </c>
      <c r="J30" s="196">
        <v>3</v>
      </c>
      <c r="K30" s="196"/>
      <c r="P30" s="201" t="str">
        <f t="shared" si="0"/>
        <v>|||||||||||||||||||||||</v>
      </c>
    </row>
    <row r="31" spans="2:16" ht="15" x14ac:dyDescent="0.2">
      <c r="B31" s="196">
        <v>24</v>
      </c>
      <c r="C31" s="195" t="s">
        <v>8167</v>
      </c>
      <c r="D31" s="195" t="s">
        <v>8168</v>
      </c>
      <c r="E31" s="196" t="s">
        <v>17</v>
      </c>
      <c r="F31" s="196" t="s">
        <v>17</v>
      </c>
      <c r="G31" s="196">
        <v>190</v>
      </c>
      <c r="H31" s="202">
        <v>24629</v>
      </c>
      <c r="I31" s="198">
        <v>4</v>
      </c>
      <c r="J31" s="196">
        <v>2</v>
      </c>
      <c r="K31" s="196"/>
      <c r="P31" s="201" t="str">
        <f t="shared" si="0"/>
        <v>||||||||||||||||||||||||||||||||||||||||</v>
      </c>
    </row>
    <row r="32" spans="2:16" ht="15" x14ac:dyDescent="0.2">
      <c r="B32" s="196">
        <v>25</v>
      </c>
      <c r="C32" s="195" t="s">
        <v>269</v>
      </c>
      <c r="D32" s="195" t="s">
        <v>8169</v>
      </c>
      <c r="E32" s="196" t="s">
        <v>21</v>
      </c>
      <c r="F32" s="196" t="s">
        <v>157</v>
      </c>
      <c r="G32" s="196">
        <v>181</v>
      </c>
      <c r="H32" s="202">
        <v>32148</v>
      </c>
      <c r="I32" s="198">
        <v>1</v>
      </c>
      <c r="J32" s="196">
        <v>2</v>
      </c>
      <c r="K32" s="196"/>
      <c r="P32" s="201" t="str">
        <f t="shared" si="0"/>
        <v>|||||||||||||||||||||||||||||||</v>
      </c>
    </row>
    <row r="33" spans="2:16" ht="15" x14ac:dyDescent="0.2">
      <c r="B33" s="196">
        <v>26</v>
      </c>
      <c r="C33" s="195" t="s">
        <v>8170</v>
      </c>
      <c r="D33" s="195" t="s">
        <v>6914</v>
      </c>
      <c r="E33" s="196" t="s">
        <v>17</v>
      </c>
      <c r="F33" s="196" t="s">
        <v>157</v>
      </c>
      <c r="G33" s="196">
        <v>183</v>
      </c>
      <c r="H33" s="202">
        <v>29734</v>
      </c>
      <c r="I33" s="198">
        <v>4</v>
      </c>
      <c r="J33" s="196">
        <v>3</v>
      </c>
      <c r="K33" s="196"/>
      <c r="P33" s="201" t="str">
        <f t="shared" si="0"/>
        <v>|||||||||||||||||||||||||||||||||</v>
      </c>
    </row>
    <row r="34" spans="2:16" ht="15" x14ac:dyDescent="0.2">
      <c r="B34" s="196">
        <v>27</v>
      </c>
      <c r="C34" s="195" t="s">
        <v>231</v>
      </c>
      <c r="D34" s="195" t="s">
        <v>8171</v>
      </c>
      <c r="E34" s="196" t="s">
        <v>21</v>
      </c>
      <c r="F34" s="196" t="s">
        <v>157</v>
      </c>
      <c r="G34" s="196">
        <v>186</v>
      </c>
      <c r="H34" s="202">
        <v>25256</v>
      </c>
      <c r="I34" s="198">
        <v>5</v>
      </c>
      <c r="J34" s="196">
        <v>2</v>
      </c>
      <c r="K34" s="196"/>
      <c r="P34" s="201" t="str">
        <f t="shared" si="0"/>
        <v>||||||||||||||||||||||||||||||||||||</v>
      </c>
    </row>
    <row r="35" spans="2:16" ht="15" x14ac:dyDescent="0.2">
      <c r="B35" s="196">
        <v>28</v>
      </c>
      <c r="C35" s="195" t="s">
        <v>8172</v>
      </c>
      <c r="D35" s="195" t="s">
        <v>8173</v>
      </c>
      <c r="E35" s="196" t="s">
        <v>17</v>
      </c>
      <c r="F35" s="196" t="s">
        <v>17</v>
      </c>
      <c r="G35" s="196">
        <v>188</v>
      </c>
      <c r="H35" s="202">
        <v>29040</v>
      </c>
      <c r="I35" s="198">
        <v>5</v>
      </c>
      <c r="J35" s="196">
        <v>2</v>
      </c>
      <c r="K35" s="196"/>
      <c r="P35" s="201" t="str">
        <f t="shared" si="0"/>
        <v>||||||||||||||||||||||||||||||||||||||</v>
      </c>
    </row>
    <row r="36" spans="2:16" ht="15" x14ac:dyDescent="0.2">
      <c r="B36" s="196">
        <v>29</v>
      </c>
      <c r="C36" s="195" t="s">
        <v>8174</v>
      </c>
      <c r="D36" s="195" t="s">
        <v>8175</v>
      </c>
      <c r="E36" s="196" t="s">
        <v>21</v>
      </c>
      <c r="F36" s="196" t="s">
        <v>17</v>
      </c>
      <c r="G36" s="196">
        <v>174</v>
      </c>
      <c r="H36" s="202">
        <v>31052</v>
      </c>
      <c r="I36" s="198">
        <v>5</v>
      </c>
      <c r="J36" s="196">
        <v>3</v>
      </c>
      <c r="K36" s="196"/>
      <c r="P36" s="201" t="str">
        <f t="shared" si="0"/>
        <v>||||||||||||||||||||||||</v>
      </c>
    </row>
    <row r="37" spans="2:16" ht="15" x14ac:dyDescent="0.2">
      <c r="B37" s="196">
        <v>30</v>
      </c>
      <c r="C37" s="195" t="s">
        <v>8176</v>
      </c>
      <c r="D37" s="195" t="s">
        <v>8177</v>
      </c>
      <c r="E37" s="196" t="s">
        <v>17</v>
      </c>
      <c r="F37" s="196" t="s">
        <v>157</v>
      </c>
      <c r="G37" s="196">
        <v>164</v>
      </c>
      <c r="H37" s="202">
        <v>25016</v>
      </c>
      <c r="I37" s="198">
        <v>1</v>
      </c>
      <c r="J37" s="196">
        <v>3</v>
      </c>
      <c r="K37" s="196"/>
      <c r="P37" s="201" t="str">
        <f t="shared" si="0"/>
        <v>||||||||||||||</v>
      </c>
    </row>
    <row r="38" spans="2:16" ht="15" x14ac:dyDescent="0.2">
      <c r="B38" s="196">
        <v>31</v>
      </c>
      <c r="C38" s="195" t="s">
        <v>8178</v>
      </c>
      <c r="D38" s="195" t="s">
        <v>8155</v>
      </c>
      <c r="E38" s="196" t="s">
        <v>21</v>
      </c>
      <c r="F38" s="196" t="s">
        <v>157</v>
      </c>
      <c r="G38" s="196">
        <v>165</v>
      </c>
      <c r="H38" s="202">
        <v>25208</v>
      </c>
      <c r="I38" s="198">
        <v>3</v>
      </c>
      <c r="J38" s="196">
        <v>2</v>
      </c>
      <c r="K38" s="196"/>
      <c r="P38" s="201" t="str">
        <f t="shared" si="0"/>
        <v>|||||||||||||||</v>
      </c>
    </row>
    <row r="39" spans="2:16" ht="15" x14ac:dyDescent="0.2">
      <c r="B39" s="196">
        <v>32</v>
      </c>
      <c r="C39" s="195" t="s">
        <v>8179</v>
      </c>
      <c r="D39" s="195" t="s">
        <v>102</v>
      </c>
      <c r="E39" s="196" t="s">
        <v>17</v>
      </c>
      <c r="F39" s="196" t="s">
        <v>17</v>
      </c>
      <c r="G39" s="196">
        <v>180</v>
      </c>
      <c r="H39" s="202">
        <v>31042</v>
      </c>
      <c r="I39" s="198">
        <v>2</v>
      </c>
      <c r="J39" s="196">
        <v>3</v>
      </c>
      <c r="K39" s="196"/>
      <c r="P39" s="201" t="str">
        <f t="shared" si="0"/>
        <v>||||||||||||||||||||||||||||||</v>
      </c>
    </row>
    <row r="40" spans="2:16" ht="15" x14ac:dyDescent="0.2">
      <c r="B40" s="196">
        <v>33</v>
      </c>
      <c r="C40" s="195" t="s">
        <v>91</v>
      </c>
      <c r="D40" s="195" t="s">
        <v>6944</v>
      </c>
      <c r="E40" s="196" t="s">
        <v>21</v>
      </c>
      <c r="F40" s="196" t="s">
        <v>17</v>
      </c>
      <c r="G40" s="196">
        <v>182</v>
      </c>
      <c r="H40" s="202">
        <v>35019</v>
      </c>
      <c r="I40" s="198">
        <v>2</v>
      </c>
      <c r="J40" s="196">
        <v>2</v>
      </c>
      <c r="K40" s="196"/>
      <c r="P40" s="201" t="str">
        <f t="shared" si="0"/>
        <v>||||||||||||||||||||||||||||||||</v>
      </c>
    </row>
    <row r="41" spans="2:16" ht="15" x14ac:dyDescent="0.2">
      <c r="B41" s="196">
        <v>34</v>
      </c>
      <c r="C41" s="195" t="s">
        <v>8180</v>
      </c>
      <c r="D41" s="195" t="s">
        <v>713</v>
      </c>
      <c r="E41" s="196" t="s">
        <v>17</v>
      </c>
      <c r="F41" s="196" t="s">
        <v>17</v>
      </c>
      <c r="G41" s="196">
        <v>188</v>
      </c>
      <c r="H41" s="202">
        <v>26739</v>
      </c>
      <c r="I41" s="198">
        <v>2</v>
      </c>
      <c r="J41" s="196">
        <v>1</v>
      </c>
      <c r="K41" s="196"/>
      <c r="P41" s="201" t="str">
        <f t="shared" si="0"/>
        <v>||||||||||||||||||||||||||||||||||||||</v>
      </c>
    </row>
    <row r="42" spans="2:16" ht="15" x14ac:dyDescent="0.2">
      <c r="B42" s="196">
        <v>35</v>
      </c>
      <c r="C42" s="195" t="s">
        <v>8181</v>
      </c>
      <c r="D42" s="195" t="s">
        <v>8137</v>
      </c>
      <c r="E42" s="196" t="s">
        <v>21</v>
      </c>
      <c r="F42" s="196" t="s">
        <v>157</v>
      </c>
      <c r="G42" s="196">
        <v>194</v>
      </c>
      <c r="H42" s="202">
        <v>26086</v>
      </c>
      <c r="I42" s="198">
        <v>1</v>
      </c>
      <c r="J42" s="196">
        <v>3</v>
      </c>
      <c r="K42" s="196"/>
      <c r="P42" s="201" t="str">
        <f t="shared" si="0"/>
        <v>||||||||||||||||||||||||||||||||||||||||||||</v>
      </c>
    </row>
    <row r="43" spans="2:16" ht="15" x14ac:dyDescent="0.2">
      <c r="B43" s="196">
        <v>36</v>
      </c>
      <c r="C43" s="195" t="s">
        <v>8182</v>
      </c>
      <c r="D43" s="195" t="s">
        <v>7141</v>
      </c>
      <c r="E43" s="196" t="s">
        <v>17</v>
      </c>
      <c r="F43" s="196" t="s">
        <v>17</v>
      </c>
      <c r="G43" s="196">
        <v>163</v>
      </c>
      <c r="H43" s="202">
        <v>25652</v>
      </c>
      <c r="I43" s="198">
        <v>3</v>
      </c>
      <c r="J43" s="196">
        <v>1</v>
      </c>
      <c r="K43" s="196"/>
      <c r="P43" s="201" t="str">
        <f t="shared" si="0"/>
        <v>|||||||||||||</v>
      </c>
    </row>
    <row r="44" spans="2:16" ht="15" x14ac:dyDescent="0.2">
      <c r="B44" s="196">
        <v>37</v>
      </c>
      <c r="C44" s="195" t="s">
        <v>8183</v>
      </c>
      <c r="D44" s="195" t="s">
        <v>6962</v>
      </c>
      <c r="E44" s="196" t="s">
        <v>21</v>
      </c>
      <c r="F44" s="196" t="s">
        <v>157</v>
      </c>
      <c r="G44" s="196">
        <v>156</v>
      </c>
      <c r="H44" s="202">
        <v>31253</v>
      </c>
      <c r="I44" s="198">
        <v>2</v>
      </c>
      <c r="J44" s="196">
        <v>3</v>
      </c>
      <c r="K44" s="196"/>
      <c r="P44" s="201" t="str">
        <f t="shared" si="0"/>
        <v>||||||</v>
      </c>
    </row>
    <row r="45" spans="2:16" ht="15" x14ac:dyDescent="0.2">
      <c r="B45" s="196">
        <v>38</v>
      </c>
      <c r="C45" s="195" t="s">
        <v>8184</v>
      </c>
      <c r="D45" s="195" t="s">
        <v>8135</v>
      </c>
      <c r="E45" s="196" t="s">
        <v>17</v>
      </c>
      <c r="F45" s="196" t="s">
        <v>17</v>
      </c>
      <c r="G45" s="196">
        <v>174</v>
      </c>
      <c r="H45" s="202">
        <v>35020</v>
      </c>
      <c r="I45" s="198">
        <v>5</v>
      </c>
      <c r="J45" s="196">
        <v>2</v>
      </c>
      <c r="K45" s="196"/>
      <c r="P45" s="201" t="str">
        <f t="shared" si="0"/>
        <v>||||||||||||||||||||||||</v>
      </c>
    </row>
    <row r="46" spans="2:16" ht="15" x14ac:dyDescent="0.2">
      <c r="B46" s="196">
        <v>39</v>
      </c>
      <c r="C46" s="195" t="s">
        <v>8185</v>
      </c>
      <c r="D46" s="195" t="s">
        <v>8140</v>
      </c>
      <c r="E46" s="196" t="s">
        <v>21</v>
      </c>
      <c r="F46" s="196" t="s">
        <v>157</v>
      </c>
      <c r="G46" s="196">
        <v>195</v>
      </c>
      <c r="H46" s="202">
        <v>27693</v>
      </c>
      <c r="I46" s="198">
        <v>2</v>
      </c>
      <c r="J46" s="196">
        <v>1</v>
      </c>
      <c r="K46" s="196"/>
      <c r="P46" s="201" t="str">
        <f t="shared" si="0"/>
        <v>|||||||||||||||||||||||||||||||||||||||||||||</v>
      </c>
    </row>
    <row r="47" spans="2:16" ht="15" x14ac:dyDescent="0.2">
      <c r="B47" s="196">
        <v>40</v>
      </c>
      <c r="C47" s="195" t="s">
        <v>8186</v>
      </c>
      <c r="D47" s="195" t="s">
        <v>6983</v>
      </c>
      <c r="E47" s="196" t="s">
        <v>17</v>
      </c>
      <c r="F47" s="196" t="s">
        <v>17</v>
      </c>
      <c r="G47" s="196">
        <v>176</v>
      </c>
      <c r="H47" s="202">
        <v>28349</v>
      </c>
      <c r="I47" s="198">
        <v>3</v>
      </c>
      <c r="J47" s="196">
        <v>1</v>
      </c>
      <c r="K47" s="196"/>
      <c r="P47" s="201" t="str">
        <f t="shared" si="0"/>
        <v>||||||||||||||||||||||||||</v>
      </c>
    </row>
    <row r="48" spans="2:16" ht="15" x14ac:dyDescent="0.2">
      <c r="B48" s="196">
        <v>41</v>
      </c>
      <c r="C48" s="195" t="s">
        <v>8187</v>
      </c>
      <c r="D48" s="195" t="s">
        <v>8145</v>
      </c>
      <c r="E48" s="196" t="s">
        <v>21</v>
      </c>
      <c r="F48" s="196" t="s">
        <v>17</v>
      </c>
      <c r="G48" s="196">
        <v>185</v>
      </c>
      <c r="H48" s="202">
        <v>32219</v>
      </c>
      <c r="I48" s="198">
        <v>3</v>
      </c>
      <c r="J48" s="196">
        <v>2</v>
      </c>
      <c r="K48" s="196"/>
      <c r="P48" s="201" t="str">
        <f t="shared" si="0"/>
        <v>|||||||||||||||||||||||||||||||||||</v>
      </c>
    </row>
    <row r="49" spans="2:16" ht="15" x14ac:dyDescent="0.2">
      <c r="B49" s="196">
        <v>42</v>
      </c>
      <c r="C49" s="195" t="s">
        <v>8188</v>
      </c>
      <c r="D49" s="195" t="s">
        <v>8149</v>
      </c>
      <c r="E49" s="196" t="s">
        <v>17</v>
      </c>
      <c r="F49" s="196" t="s">
        <v>17</v>
      </c>
      <c r="G49" s="196">
        <v>164</v>
      </c>
      <c r="H49" s="202">
        <v>35898</v>
      </c>
      <c r="I49" s="198">
        <v>5</v>
      </c>
      <c r="J49" s="196">
        <v>2</v>
      </c>
      <c r="K49" s="196"/>
      <c r="P49" s="201" t="str">
        <f t="shared" si="0"/>
        <v>||||||||||||||</v>
      </c>
    </row>
    <row r="50" spans="2:16" ht="15" x14ac:dyDescent="0.2">
      <c r="B50" s="196">
        <v>43</v>
      </c>
      <c r="C50" s="195" t="s">
        <v>8189</v>
      </c>
      <c r="D50" s="195" t="s">
        <v>8153</v>
      </c>
      <c r="E50" s="196" t="s">
        <v>21</v>
      </c>
      <c r="F50" s="196" t="s">
        <v>17</v>
      </c>
      <c r="G50" s="196">
        <v>183</v>
      </c>
      <c r="H50" s="202">
        <v>24222</v>
      </c>
      <c r="I50" s="198">
        <v>3</v>
      </c>
      <c r="J50" s="196">
        <v>1</v>
      </c>
      <c r="K50" s="196"/>
      <c r="P50" s="201" t="str">
        <f t="shared" si="0"/>
        <v>|||||||||||||||||||||||||||||||||</v>
      </c>
    </row>
    <row r="51" spans="2:16" ht="15" x14ac:dyDescent="0.2">
      <c r="B51" s="196">
        <v>44</v>
      </c>
      <c r="C51" s="195" t="s">
        <v>8190</v>
      </c>
      <c r="D51" s="195" t="s">
        <v>8155</v>
      </c>
      <c r="E51" s="196" t="s">
        <v>17</v>
      </c>
      <c r="F51" s="196" t="s">
        <v>2677</v>
      </c>
      <c r="G51" s="196">
        <v>190</v>
      </c>
      <c r="H51" s="202">
        <v>34812</v>
      </c>
      <c r="I51" s="198">
        <v>3</v>
      </c>
      <c r="J51" s="196">
        <v>3</v>
      </c>
      <c r="K51" s="196"/>
      <c r="P51" s="201" t="str">
        <f t="shared" si="0"/>
        <v>||||||||||||||||||||||||||||||||||||||||</v>
      </c>
    </row>
    <row r="52" spans="2:16" ht="15" x14ac:dyDescent="0.2">
      <c r="B52" s="196">
        <v>45</v>
      </c>
      <c r="C52" s="195" t="s">
        <v>8191</v>
      </c>
      <c r="D52" s="195" t="s">
        <v>8157</v>
      </c>
      <c r="E52" s="196" t="s">
        <v>21</v>
      </c>
      <c r="F52" s="196" t="s">
        <v>17</v>
      </c>
      <c r="G52" s="196">
        <v>179</v>
      </c>
      <c r="H52" s="202">
        <v>28588</v>
      </c>
      <c r="I52" s="198">
        <v>3</v>
      </c>
      <c r="J52" s="196">
        <v>2</v>
      </c>
      <c r="K52" s="196"/>
      <c r="P52" s="201" t="str">
        <f t="shared" si="0"/>
        <v>|||||||||||||||||||||||||||||</v>
      </c>
    </row>
    <row r="53" spans="2:16" ht="15" x14ac:dyDescent="0.2">
      <c r="B53" s="196">
        <v>46</v>
      </c>
      <c r="C53" s="195" t="s">
        <v>8192</v>
      </c>
      <c r="D53" s="195" t="s">
        <v>8158</v>
      </c>
      <c r="E53" s="196" t="s">
        <v>17</v>
      </c>
      <c r="F53" s="196" t="s">
        <v>17</v>
      </c>
      <c r="G53" s="196">
        <v>184</v>
      </c>
      <c r="H53" s="202">
        <v>36162</v>
      </c>
      <c r="I53" s="198">
        <v>2</v>
      </c>
      <c r="J53" s="196">
        <v>3</v>
      </c>
      <c r="K53" s="196"/>
      <c r="P53" s="201" t="str">
        <f t="shared" si="0"/>
        <v>||||||||||||||||||||||||||||||||||</v>
      </c>
    </row>
    <row r="54" spans="2:16" ht="15" x14ac:dyDescent="0.2">
      <c r="B54" s="196">
        <v>47</v>
      </c>
      <c r="C54" s="195" t="s">
        <v>8193</v>
      </c>
      <c r="D54" s="195" t="s">
        <v>107</v>
      </c>
      <c r="E54" s="196" t="s">
        <v>21</v>
      </c>
      <c r="F54" s="196" t="s">
        <v>17</v>
      </c>
      <c r="G54" s="196">
        <v>182</v>
      </c>
      <c r="H54" s="202">
        <v>25326</v>
      </c>
      <c r="I54" s="198">
        <v>4</v>
      </c>
      <c r="J54" s="196">
        <v>1</v>
      </c>
      <c r="K54" s="196"/>
      <c r="P54" s="201" t="str">
        <f t="shared" si="0"/>
        <v>||||||||||||||||||||||||||||||||</v>
      </c>
    </row>
    <row r="55" spans="2:16" ht="15" x14ac:dyDescent="0.2">
      <c r="B55" s="196">
        <v>48</v>
      </c>
      <c r="C55" s="195" t="s">
        <v>8194</v>
      </c>
      <c r="D55" s="195" t="s">
        <v>8161</v>
      </c>
      <c r="E55" s="196" t="s">
        <v>17</v>
      </c>
      <c r="F55" s="196" t="s">
        <v>17</v>
      </c>
      <c r="G55" s="196">
        <v>167</v>
      </c>
      <c r="H55" s="202">
        <v>34308</v>
      </c>
      <c r="I55" s="198">
        <v>2</v>
      </c>
      <c r="J55" s="196">
        <v>1</v>
      </c>
      <c r="K55" s="196"/>
      <c r="P55" s="201" t="str">
        <f t="shared" si="0"/>
        <v>|||||||||||||||||</v>
      </c>
    </row>
    <row r="56" spans="2:16" ht="15" x14ac:dyDescent="0.2">
      <c r="B56" s="196">
        <v>49</v>
      </c>
      <c r="C56" s="195" t="s">
        <v>296</v>
      </c>
      <c r="D56" s="195" t="s">
        <v>8162</v>
      </c>
      <c r="E56" s="196" t="s">
        <v>21</v>
      </c>
      <c r="F56" s="196" t="s">
        <v>17</v>
      </c>
      <c r="G56" s="196">
        <v>170</v>
      </c>
      <c r="H56" s="202">
        <v>32629</v>
      </c>
      <c r="I56" s="198">
        <v>3</v>
      </c>
      <c r="J56" s="196">
        <v>3</v>
      </c>
      <c r="K56" s="196"/>
      <c r="P56" s="201" t="str">
        <f t="shared" si="0"/>
        <v>||||||||||||||||||||</v>
      </c>
    </row>
    <row r="57" spans="2:16" ht="15" x14ac:dyDescent="0.2">
      <c r="B57" s="196">
        <v>50</v>
      </c>
      <c r="C57" s="195" t="s">
        <v>8195</v>
      </c>
      <c r="D57" s="195" t="s">
        <v>6954</v>
      </c>
      <c r="E57" s="196" t="s">
        <v>17</v>
      </c>
      <c r="F57" s="196" t="s">
        <v>17</v>
      </c>
      <c r="G57" s="196">
        <v>181</v>
      </c>
      <c r="H57" s="202">
        <v>24666</v>
      </c>
      <c r="I57" s="198">
        <v>2</v>
      </c>
      <c r="J57" s="196">
        <v>3</v>
      </c>
      <c r="K57" s="196"/>
      <c r="P57" s="201" t="str">
        <f t="shared" si="0"/>
        <v>|||||||||||||||||||||||||||||||</v>
      </c>
    </row>
    <row r="58" spans="2:16" ht="15" x14ac:dyDescent="0.2">
      <c r="B58" s="196">
        <v>51</v>
      </c>
      <c r="C58" s="195" t="s">
        <v>8141</v>
      </c>
      <c r="D58" s="195" t="s">
        <v>8165</v>
      </c>
      <c r="E58" s="196" t="s">
        <v>21</v>
      </c>
      <c r="F58" s="196" t="s">
        <v>17</v>
      </c>
      <c r="G58" s="196">
        <v>158</v>
      </c>
      <c r="H58" s="202">
        <v>25342</v>
      </c>
      <c r="I58" s="198">
        <v>5</v>
      </c>
      <c r="J58" s="196">
        <v>1</v>
      </c>
      <c r="K58" s="196"/>
      <c r="P58" s="201" t="str">
        <f t="shared" si="0"/>
        <v>||||||||</v>
      </c>
    </row>
    <row r="59" spans="2:16" ht="15" x14ac:dyDescent="0.2">
      <c r="B59" s="196">
        <v>52</v>
      </c>
      <c r="C59" s="195" t="s">
        <v>8196</v>
      </c>
      <c r="D59" s="195" t="s">
        <v>8169</v>
      </c>
      <c r="E59" s="196" t="s">
        <v>17</v>
      </c>
      <c r="F59" s="196" t="s">
        <v>17</v>
      </c>
      <c r="G59" s="196">
        <v>187</v>
      </c>
      <c r="H59" s="202">
        <v>28354</v>
      </c>
      <c r="I59" s="198">
        <v>2</v>
      </c>
      <c r="J59" s="196">
        <v>2</v>
      </c>
      <c r="K59" s="196"/>
      <c r="P59" s="201" t="str">
        <f t="shared" si="0"/>
        <v>|||||||||||||||||||||||||||||||||||||</v>
      </c>
    </row>
    <row r="60" spans="2:16" ht="15" x14ac:dyDescent="0.2">
      <c r="B60" s="196">
        <v>53</v>
      </c>
      <c r="C60" s="195" t="s">
        <v>8132</v>
      </c>
      <c r="D60" s="195" t="s">
        <v>8173</v>
      </c>
      <c r="E60" s="196" t="s">
        <v>21</v>
      </c>
      <c r="F60" s="196" t="s">
        <v>17</v>
      </c>
      <c r="G60" s="196">
        <v>178</v>
      </c>
      <c r="H60" s="202">
        <v>33771</v>
      </c>
      <c r="I60" s="198">
        <v>5</v>
      </c>
      <c r="J60" s="196">
        <v>1</v>
      </c>
      <c r="K60" s="196"/>
      <c r="P60" s="201" t="str">
        <f t="shared" si="0"/>
        <v>||||||||||||||||||||||||||||</v>
      </c>
    </row>
    <row r="61" spans="2:16" ht="15" x14ac:dyDescent="0.2">
      <c r="B61" s="196">
        <v>54</v>
      </c>
      <c r="C61" s="195" t="s">
        <v>8148</v>
      </c>
      <c r="D61" s="195" t="s">
        <v>8175</v>
      </c>
      <c r="E61" s="196" t="s">
        <v>17</v>
      </c>
      <c r="F61" s="196" t="s">
        <v>17</v>
      </c>
      <c r="G61" s="196">
        <v>159</v>
      </c>
      <c r="H61" s="202">
        <v>32613</v>
      </c>
      <c r="I61" s="198">
        <v>1</v>
      </c>
      <c r="J61" s="196">
        <v>3</v>
      </c>
      <c r="K61" s="196"/>
      <c r="P61" s="201" t="str">
        <f t="shared" si="0"/>
        <v>|||||||||</v>
      </c>
    </row>
    <row r="62" spans="2:16" ht="15" x14ac:dyDescent="0.2">
      <c r="B62" s="196">
        <v>55</v>
      </c>
      <c r="C62" s="195" t="s">
        <v>8138</v>
      </c>
      <c r="D62" s="195" t="s">
        <v>8177</v>
      </c>
      <c r="E62" s="196" t="s">
        <v>21</v>
      </c>
      <c r="F62" s="196" t="s">
        <v>157</v>
      </c>
      <c r="G62" s="196">
        <v>177</v>
      </c>
      <c r="H62" s="202">
        <v>24311</v>
      </c>
      <c r="I62" s="198">
        <v>3</v>
      </c>
      <c r="J62" s="196">
        <v>3</v>
      </c>
      <c r="K62" s="196"/>
      <c r="P62" s="201" t="str">
        <f t="shared" si="0"/>
        <v>|||||||||||||||||||||||||||</v>
      </c>
    </row>
    <row r="63" spans="2:16" ht="15" x14ac:dyDescent="0.2">
      <c r="B63" s="196">
        <v>56</v>
      </c>
      <c r="C63" s="195" t="s">
        <v>8139</v>
      </c>
      <c r="D63" s="195" t="s">
        <v>102</v>
      </c>
      <c r="E63" s="196" t="s">
        <v>17</v>
      </c>
      <c r="F63" s="196" t="s">
        <v>17</v>
      </c>
      <c r="G63" s="196">
        <v>166</v>
      </c>
      <c r="H63" s="202">
        <v>29941</v>
      </c>
      <c r="I63" s="198">
        <v>1</v>
      </c>
      <c r="J63" s="196">
        <v>2</v>
      </c>
      <c r="K63" s="196"/>
      <c r="P63" s="201" t="str">
        <f t="shared" si="0"/>
        <v>||||||||||||||||</v>
      </c>
    </row>
    <row r="64" spans="2:16" ht="15" x14ac:dyDescent="0.2">
      <c r="B64" s="196">
        <v>57</v>
      </c>
      <c r="C64" s="195" t="s">
        <v>8134</v>
      </c>
      <c r="D64" s="195" t="s">
        <v>8137</v>
      </c>
      <c r="E64" s="196" t="s">
        <v>21</v>
      </c>
      <c r="F64" s="196" t="s">
        <v>17</v>
      </c>
      <c r="G64" s="196">
        <v>181</v>
      </c>
      <c r="H64" s="202">
        <v>31668</v>
      </c>
      <c r="I64" s="198">
        <v>5</v>
      </c>
      <c r="J64" s="196">
        <v>3</v>
      </c>
      <c r="K64" s="196"/>
      <c r="P64" s="201" t="str">
        <f t="shared" si="0"/>
        <v>|||||||||||||||||||||||||||||||</v>
      </c>
    </row>
    <row r="65" spans="2:16" ht="15" x14ac:dyDescent="0.2">
      <c r="B65" s="196">
        <v>58</v>
      </c>
      <c r="C65" s="195" t="s">
        <v>8144</v>
      </c>
      <c r="D65" s="195" t="s">
        <v>7141</v>
      </c>
      <c r="E65" s="196" t="s">
        <v>17</v>
      </c>
      <c r="F65" s="196" t="s">
        <v>157</v>
      </c>
      <c r="G65" s="196">
        <v>167</v>
      </c>
      <c r="H65" s="202">
        <v>34148</v>
      </c>
      <c r="I65" s="198">
        <v>1</v>
      </c>
      <c r="J65" s="196">
        <v>1</v>
      </c>
      <c r="K65" s="196"/>
      <c r="P65" s="201" t="str">
        <f t="shared" si="0"/>
        <v>|||||||||||||||||</v>
      </c>
    </row>
    <row r="66" spans="2:16" ht="15" x14ac:dyDescent="0.2">
      <c r="B66" s="196">
        <v>59</v>
      </c>
      <c r="C66" s="195" t="s">
        <v>8141</v>
      </c>
      <c r="D66" s="195" t="s">
        <v>6962</v>
      </c>
      <c r="E66" s="196" t="s">
        <v>21</v>
      </c>
      <c r="F66" s="196" t="s">
        <v>17</v>
      </c>
      <c r="G66" s="196">
        <v>155</v>
      </c>
      <c r="H66" s="202">
        <v>35416</v>
      </c>
      <c r="I66" s="198">
        <v>2</v>
      </c>
      <c r="J66" s="196">
        <v>3</v>
      </c>
      <c r="K66" s="196"/>
      <c r="P66" s="201" t="str">
        <f t="shared" si="0"/>
        <v>|||||</v>
      </c>
    </row>
    <row r="67" spans="2:16" ht="15" x14ac:dyDescent="0.2">
      <c r="B67" s="196">
        <v>60</v>
      </c>
      <c r="C67" s="195" t="s">
        <v>8142</v>
      </c>
      <c r="D67" s="195" t="s">
        <v>8135</v>
      </c>
      <c r="E67" s="196" t="s">
        <v>17</v>
      </c>
      <c r="F67" s="196" t="s">
        <v>157</v>
      </c>
      <c r="G67" s="196">
        <v>191</v>
      </c>
      <c r="H67" s="202">
        <v>34866</v>
      </c>
      <c r="I67" s="198">
        <v>4</v>
      </c>
      <c r="J67" s="196">
        <v>1</v>
      </c>
      <c r="K67" s="196"/>
      <c r="P67" s="201" t="str">
        <f t="shared" si="0"/>
        <v>|||||||||||||||||||||||||||||||||||||||||</v>
      </c>
    </row>
    <row r="68" spans="2:16" ht="15" x14ac:dyDescent="0.2">
      <c r="B68" s="196">
        <v>61</v>
      </c>
      <c r="C68" s="195" t="s">
        <v>8143</v>
      </c>
      <c r="D68" s="195" t="s">
        <v>8140</v>
      </c>
      <c r="E68" s="196" t="s">
        <v>21</v>
      </c>
      <c r="F68" s="196" t="s">
        <v>17</v>
      </c>
      <c r="G68" s="196">
        <v>167</v>
      </c>
      <c r="H68" s="202">
        <v>35578</v>
      </c>
      <c r="I68" s="198">
        <v>2</v>
      </c>
      <c r="J68" s="196">
        <v>3</v>
      </c>
      <c r="K68" s="196"/>
      <c r="P68" s="201" t="str">
        <f t="shared" si="0"/>
        <v>|||||||||||||||||</v>
      </c>
    </row>
    <row r="69" spans="2:16" ht="15" x14ac:dyDescent="0.2">
      <c r="B69" s="196">
        <v>62</v>
      </c>
      <c r="C69" s="195" t="s">
        <v>8136</v>
      </c>
      <c r="D69" s="195" t="s">
        <v>6983</v>
      </c>
      <c r="E69" s="196" t="s">
        <v>17</v>
      </c>
      <c r="F69" s="196" t="s">
        <v>17</v>
      </c>
      <c r="G69" s="196">
        <v>155</v>
      </c>
      <c r="H69" s="202">
        <v>28582</v>
      </c>
      <c r="I69" s="198">
        <v>5</v>
      </c>
      <c r="J69" s="196">
        <v>1</v>
      </c>
      <c r="K69" s="196"/>
      <c r="P69" s="201" t="str">
        <f t="shared" si="0"/>
        <v>|||||</v>
      </c>
    </row>
    <row r="70" spans="2:16" ht="15" x14ac:dyDescent="0.2">
      <c r="B70" s="196">
        <v>63</v>
      </c>
      <c r="C70" s="195" t="s">
        <v>8146</v>
      </c>
      <c r="D70" s="195" t="s">
        <v>8145</v>
      </c>
      <c r="E70" s="196" t="s">
        <v>21</v>
      </c>
      <c r="F70" s="196" t="s">
        <v>17</v>
      </c>
      <c r="G70" s="196">
        <v>189</v>
      </c>
      <c r="H70" s="202">
        <v>32457</v>
      </c>
      <c r="I70" s="198">
        <v>1</v>
      </c>
      <c r="J70" s="196">
        <v>1</v>
      </c>
      <c r="K70" s="196"/>
      <c r="P70" s="201" t="str">
        <f t="shared" si="0"/>
        <v>|||||||||||||||||||||||||||||||||||||||</v>
      </c>
    </row>
    <row r="71" spans="2:16" ht="15" x14ac:dyDescent="0.2">
      <c r="B71" s="196">
        <v>64</v>
      </c>
      <c r="C71" s="195" t="s">
        <v>8133</v>
      </c>
      <c r="D71" s="195" t="s">
        <v>8149</v>
      </c>
      <c r="E71" s="196" t="s">
        <v>17</v>
      </c>
      <c r="F71" s="196" t="s">
        <v>17</v>
      </c>
      <c r="G71" s="196">
        <v>158</v>
      </c>
      <c r="H71" s="202">
        <v>25768</v>
      </c>
      <c r="I71" s="198">
        <v>3</v>
      </c>
      <c r="J71" s="196">
        <v>2</v>
      </c>
      <c r="K71" s="196"/>
      <c r="P71" s="201" t="str">
        <f t="shared" si="0"/>
        <v>||||||||</v>
      </c>
    </row>
    <row r="72" spans="2:16" ht="15" x14ac:dyDescent="0.2">
      <c r="B72" s="196">
        <v>65</v>
      </c>
      <c r="C72" s="195" t="s">
        <v>8150</v>
      </c>
      <c r="D72" s="195" t="s">
        <v>8153</v>
      </c>
      <c r="E72" s="196" t="s">
        <v>21</v>
      </c>
      <c r="F72" s="196" t="s">
        <v>17</v>
      </c>
      <c r="G72" s="196">
        <v>180</v>
      </c>
      <c r="H72" s="202">
        <v>25323</v>
      </c>
      <c r="I72" s="198">
        <v>1</v>
      </c>
      <c r="J72" s="196">
        <v>1</v>
      </c>
      <c r="K72" s="196"/>
      <c r="P72" s="201" t="str">
        <f t="shared" si="0"/>
        <v>||||||||||||||||||||||||||||||</v>
      </c>
    </row>
    <row r="73" spans="2:16" ht="15" x14ac:dyDescent="0.2">
      <c r="B73" s="196">
        <v>66</v>
      </c>
      <c r="C73" s="195" t="s">
        <v>8152</v>
      </c>
      <c r="D73" s="195" t="s">
        <v>8155</v>
      </c>
      <c r="E73" s="196" t="s">
        <v>17</v>
      </c>
      <c r="F73" s="196" t="s">
        <v>17</v>
      </c>
      <c r="G73" s="196">
        <v>161</v>
      </c>
      <c r="H73" s="202">
        <v>27632</v>
      </c>
      <c r="I73" s="198">
        <v>5</v>
      </c>
      <c r="J73" s="196">
        <v>2</v>
      </c>
      <c r="K73" s="196"/>
      <c r="P73" s="201" t="str">
        <f t="shared" ref="P73:P136" si="1">REPT("|",G73-150)</f>
        <v>|||||||||||</v>
      </c>
    </row>
    <row r="74" spans="2:16" ht="15" x14ac:dyDescent="0.2">
      <c r="B74" s="196">
        <v>67</v>
      </c>
      <c r="C74" s="195" t="s">
        <v>8154</v>
      </c>
      <c r="D74" s="195" t="s">
        <v>8157</v>
      </c>
      <c r="E74" s="196" t="s">
        <v>21</v>
      </c>
      <c r="F74" s="196" t="s">
        <v>17</v>
      </c>
      <c r="G74" s="196">
        <v>170</v>
      </c>
      <c r="H74" s="202">
        <v>31933</v>
      </c>
      <c r="I74" s="198">
        <v>1</v>
      </c>
      <c r="J74" s="196">
        <v>1</v>
      </c>
      <c r="K74" s="196"/>
      <c r="P74" s="201" t="str">
        <f t="shared" si="1"/>
        <v>||||||||||||||||||||</v>
      </c>
    </row>
    <row r="75" spans="2:16" ht="15" x14ac:dyDescent="0.2">
      <c r="B75" s="196">
        <v>68</v>
      </c>
      <c r="C75" s="195" t="s">
        <v>8156</v>
      </c>
      <c r="D75" s="195" t="s">
        <v>8158</v>
      </c>
      <c r="E75" s="196" t="s">
        <v>17</v>
      </c>
      <c r="F75" s="196" t="s">
        <v>17</v>
      </c>
      <c r="G75" s="196">
        <v>176</v>
      </c>
      <c r="H75" s="202">
        <v>24961</v>
      </c>
      <c r="I75" s="198">
        <v>5</v>
      </c>
      <c r="J75" s="196">
        <v>2</v>
      </c>
      <c r="K75" s="196"/>
      <c r="P75" s="201" t="str">
        <f t="shared" si="1"/>
        <v>||||||||||||||||||||||||||</v>
      </c>
    </row>
    <row r="76" spans="2:16" ht="15" x14ac:dyDescent="0.2">
      <c r="B76" s="196">
        <v>69</v>
      </c>
      <c r="C76" s="195" t="s">
        <v>1508</v>
      </c>
      <c r="D76" s="195" t="s">
        <v>107</v>
      </c>
      <c r="E76" s="196" t="s">
        <v>21</v>
      </c>
      <c r="F76" s="196" t="s">
        <v>17</v>
      </c>
      <c r="G76" s="196">
        <v>155</v>
      </c>
      <c r="H76" s="202">
        <v>26674</v>
      </c>
      <c r="I76" s="198">
        <v>5</v>
      </c>
      <c r="J76" s="196">
        <v>2</v>
      </c>
      <c r="K76" s="196"/>
      <c r="P76" s="201" t="str">
        <f t="shared" si="1"/>
        <v>|||||</v>
      </c>
    </row>
    <row r="77" spans="2:16" ht="15" x14ac:dyDescent="0.2">
      <c r="B77" s="196">
        <v>70</v>
      </c>
      <c r="C77" s="195" t="s">
        <v>8159</v>
      </c>
      <c r="D77" s="195" t="s">
        <v>8161</v>
      </c>
      <c r="E77" s="196" t="s">
        <v>17</v>
      </c>
      <c r="F77" s="196" t="s">
        <v>17</v>
      </c>
      <c r="G77" s="196">
        <v>191</v>
      </c>
      <c r="H77" s="202">
        <v>28009</v>
      </c>
      <c r="I77" s="198">
        <v>2</v>
      </c>
      <c r="J77" s="196">
        <v>2</v>
      </c>
      <c r="K77" s="196"/>
      <c r="P77" s="201" t="str">
        <f t="shared" si="1"/>
        <v>|||||||||||||||||||||||||||||||||||||||||</v>
      </c>
    </row>
    <row r="78" spans="2:16" ht="15" x14ac:dyDescent="0.2">
      <c r="B78" s="196">
        <v>71</v>
      </c>
      <c r="C78" s="195" t="s">
        <v>8160</v>
      </c>
      <c r="D78" s="195" t="s">
        <v>8162</v>
      </c>
      <c r="E78" s="196" t="s">
        <v>21</v>
      </c>
      <c r="F78" s="196" t="s">
        <v>157</v>
      </c>
      <c r="G78" s="196">
        <v>188</v>
      </c>
      <c r="H78" s="202">
        <v>30340</v>
      </c>
      <c r="I78" s="198">
        <v>1</v>
      </c>
      <c r="J78" s="196">
        <v>2</v>
      </c>
      <c r="K78" s="196"/>
      <c r="P78" s="201" t="str">
        <f t="shared" si="1"/>
        <v>||||||||||||||||||||||||||||||||||||||</v>
      </c>
    </row>
    <row r="79" spans="2:16" ht="15" x14ac:dyDescent="0.2">
      <c r="B79" s="196">
        <v>72</v>
      </c>
      <c r="C79" s="195" t="s">
        <v>8163</v>
      </c>
      <c r="D79" s="195" t="s">
        <v>6954</v>
      </c>
      <c r="E79" s="196" t="s">
        <v>17</v>
      </c>
      <c r="F79" s="196" t="s">
        <v>157</v>
      </c>
      <c r="G79" s="196">
        <v>180</v>
      </c>
      <c r="H79" s="202">
        <v>32690</v>
      </c>
      <c r="I79" s="198">
        <v>3</v>
      </c>
      <c r="J79" s="196">
        <v>1</v>
      </c>
      <c r="K79" s="196"/>
      <c r="P79" s="201" t="str">
        <f t="shared" si="1"/>
        <v>||||||||||||||||||||||||||||||</v>
      </c>
    </row>
    <row r="80" spans="2:16" ht="15" x14ac:dyDescent="0.2">
      <c r="B80" s="196">
        <v>73</v>
      </c>
      <c r="C80" s="195" t="s">
        <v>8166</v>
      </c>
      <c r="D80" s="195" t="s">
        <v>8165</v>
      </c>
      <c r="E80" s="196" t="s">
        <v>21</v>
      </c>
      <c r="F80" s="196" t="s">
        <v>17</v>
      </c>
      <c r="G80" s="196">
        <v>164</v>
      </c>
      <c r="H80" s="202">
        <v>25656</v>
      </c>
      <c r="I80" s="198">
        <v>5</v>
      </c>
      <c r="J80" s="196">
        <v>3</v>
      </c>
      <c r="K80" s="196"/>
      <c r="P80" s="201" t="str">
        <f t="shared" si="1"/>
        <v>||||||||||||||</v>
      </c>
    </row>
    <row r="81" spans="2:16" ht="15" x14ac:dyDescent="0.2">
      <c r="B81" s="196">
        <v>74</v>
      </c>
      <c r="C81" s="195" t="s">
        <v>8167</v>
      </c>
      <c r="D81" s="195" t="s">
        <v>8169</v>
      </c>
      <c r="E81" s="196" t="s">
        <v>17</v>
      </c>
      <c r="F81" s="196" t="s">
        <v>17</v>
      </c>
      <c r="G81" s="196">
        <v>181</v>
      </c>
      <c r="H81" s="202">
        <v>26858</v>
      </c>
      <c r="I81" s="198">
        <v>2</v>
      </c>
      <c r="J81" s="196">
        <v>1</v>
      </c>
      <c r="K81" s="196"/>
      <c r="P81" s="201" t="str">
        <f t="shared" si="1"/>
        <v>|||||||||||||||||||||||||||||||</v>
      </c>
    </row>
    <row r="82" spans="2:16" ht="15" x14ac:dyDescent="0.2">
      <c r="B82" s="196">
        <v>75</v>
      </c>
      <c r="C82" s="195" t="s">
        <v>269</v>
      </c>
      <c r="D82" s="195" t="s">
        <v>8173</v>
      </c>
      <c r="E82" s="196" t="s">
        <v>21</v>
      </c>
      <c r="F82" s="196" t="s">
        <v>17</v>
      </c>
      <c r="G82" s="196">
        <v>181</v>
      </c>
      <c r="H82" s="202">
        <v>35798</v>
      </c>
      <c r="I82" s="198">
        <v>4</v>
      </c>
      <c r="J82" s="196">
        <v>2</v>
      </c>
      <c r="K82" s="196"/>
      <c r="P82" s="201" t="str">
        <f t="shared" si="1"/>
        <v>|||||||||||||||||||||||||||||||</v>
      </c>
    </row>
    <row r="83" spans="2:16" ht="15" x14ac:dyDescent="0.2">
      <c r="B83" s="196">
        <v>76</v>
      </c>
      <c r="C83" s="195" t="s">
        <v>8170</v>
      </c>
      <c r="D83" s="195" t="s">
        <v>8175</v>
      </c>
      <c r="E83" s="196" t="s">
        <v>17</v>
      </c>
      <c r="F83" s="196" t="s">
        <v>17</v>
      </c>
      <c r="G83" s="196">
        <v>156</v>
      </c>
      <c r="H83" s="202">
        <v>32251</v>
      </c>
      <c r="I83" s="198">
        <v>3</v>
      </c>
      <c r="J83" s="196">
        <v>3</v>
      </c>
      <c r="K83" s="196"/>
      <c r="P83" s="201" t="str">
        <f t="shared" si="1"/>
        <v>||||||</v>
      </c>
    </row>
    <row r="84" spans="2:16" ht="15" x14ac:dyDescent="0.2">
      <c r="B84" s="196">
        <v>77</v>
      </c>
      <c r="C84" s="195" t="s">
        <v>231</v>
      </c>
      <c r="D84" s="195" t="s">
        <v>8177</v>
      </c>
      <c r="E84" s="196" t="s">
        <v>21</v>
      </c>
      <c r="F84" s="196" t="s">
        <v>17</v>
      </c>
      <c r="G84" s="196">
        <v>181</v>
      </c>
      <c r="H84" s="202">
        <v>27106</v>
      </c>
      <c r="I84" s="198">
        <v>5</v>
      </c>
      <c r="J84" s="196">
        <v>1</v>
      </c>
      <c r="K84" s="196"/>
      <c r="P84" s="201" t="str">
        <f t="shared" si="1"/>
        <v>|||||||||||||||||||||||||||||||</v>
      </c>
    </row>
    <row r="85" spans="2:16" ht="15" x14ac:dyDescent="0.2">
      <c r="B85" s="196">
        <v>78</v>
      </c>
      <c r="C85" s="195" t="s">
        <v>8172</v>
      </c>
      <c r="D85" s="195" t="s">
        <v>102</v>
      </c>
      <c r="E85" s="196" t="s">
        <v>17</v>
      </c>
      <c r="F85" s="196" t="s">
        <v>157</v>
      </c>
      <c r="G85" s="196">
        <v>186</v>
      </c>
      <c r="H85" s="202">
        <v>25307</v>
      </c>
      <c r="I85" s="198">
        <v>2</v>
      </c>
      <c r="J85" s="196">
        <v>3</v>
      </c>
      <c r="K85" s="196"/>
      <c r="P85" s="201" t="str">
        <f t="shared" si="1"/>
        <v>||||||||||||||||||||||||||||||||||||</v>
      </c>
    </row>
    <row r="86" spans="2:16" ht="15" x14ac:dyDescent="0.2">
      <c r="B86" s="196">
        <v>79</v>
      </c>
      <c r="C86" s="195" t="s">
        <v>8174</v>
      </c>
      <c r="D86" s="195" t="s">
        <v>8137</v>
      </c>
      <c r="E86" s="196" t="s">
        <v>21</v>
      </c>
      <c r="F86" s="196" t="s">
        <v>157</v>
      </c>
      <c r="G86" s="196">
        <v>178</v>
      </c>
      <c r="H86" s="202">
        <v>35856</v>
      </c>
      <c r="I86" s="198">
        <v>3</v>
      </c>
      <c r="J86" s="196">
        <v>1</v>
      </c>
      <c r="K86" s="196"/>
      <c r="P86" s="201" t="str">
        <f t="shared" si="1"/>
        <v>||||||||||||||||||||||||||||</v>
      </c>
    </row>
    <row r="87" spans="2:16" ht="15" x14ac:dyDescent="0.2">
      <c r="B87" s="196">
        <v>80</v>
      </c>
      <c r="C87" s="195" t="s">
        <v>8176</v>
      </c>
      <c r="D87" s="195" t="s">
        <v>7141</v>
      </c>
      <c r="E87" s="196" t="s">
        <v>17</v>
      </c>
      <c r="F87" s="196" t="s">
        <v>157</v>
      </c>
      <c r="G87" s="196">
        <v>179</v>
      </c>
      <c r="H87" s="202">
        <v>30898</v>
      </c>
      <c r="I87" s="198">
        <v>1</v>
      </c>
      <c r="J87" s="196">
        <v>2</v>
      </c>
      <c r="K87" s="196"/>
      <c r="P87" s="201" t="str">
        <f t="shared" si="1"/>
        <v>|||||||||||||||||||||||||||||</v>
      </c>
    </row>
    <row r="88" spans="2:16" ht="15" x14ac:dyDescent="0.2">
      <c r="B88" s="196">
        <v>81</v>
      </c>
      <c r="C88" s="195" t="s">
        <v>8178</v>
      </c>
      <c r="D88" s="195" t="s">
        <v>6962</v>
      </c>
      <c r="E88" s="196" t="s">
        <v>21</v>
      </c>
      <c r="F88" s="196" t="s">
        <v>157</v>
      </c>
      <c r="G88" s="196">
        <v>166</v>
      </c>
      <c r="H88" s="202">
        <v>28463</v>
      </c>
      <c r="I88" s="198">
        <v>1</v>
      </c>
      <c r="J88" s="196">
        <v>2</v>
      </c>
      <c r="K88" s="196"/>
      <c r="P88" s="201" t="str">
        <f t="shared" si="1"/>
        <v>||||||||||||||||</v>
      </c>
    </row>
    <row r="89" spans="2:16" ht="15" x14ac:dyDescent="0.2">
      <c r="B89" s="196">
        <v>82</v>
      </c>
      <c r="C89" s="195" t="s">
        <v>8179</v>
      </c>
      <c r="D89" s="195" t="s">
        <v>8135</v>
      </c>
      <c r="E89" s="196" t="s">
        <v>17</v>
      </c>
      <c r="F89" s="196" t="s">
        <v>157</v>
      </c>
      <c r="G89" s="196">
        <v>165</v>
      </c>
      <c r="H89" s="202">
        <v>26356</v>
      </c>
      <c r="I89" s="198">
        <v>4</v>
      </c>
      <c r="J89" s="196">
        <v>2</v>
      </c>
      <c r="K89" s="196"/>
      <c r="P89" s="201" t="str">
        <f t="shared" si="1"/>
        <v>|||||||||||||||</v>
      </c>
    </row>
    <row r="90" spans="2:16" ht="15" x14ac:dyDescent="0.2">
      <c r="B90" s="196">
        <v>83</v>
      </c>
      <c r="C90" s="195" t="s">
        <v>91</v>
      </c>
      <c r="D90" s="195" t="s">
        <v>8140</v>
      </c>
      <c r="E90" s="196" t="s">
        <v>21</v>
      </c>
      <c r="F90" s="196" t="s">
        <v>157</v>
      </c>
      <c r="G90" s="196">
        <v>168</v>
      </c>
      <c r="H90" s="202">
        <v>26741</v>
      </c>
      <c r="I90" s="198">
        <v>1</v>
      </c>
      <c r="J90" s="196">
        <v>2</v>
      </c>
      <c r="K90" s="196"/>
      <c r="P90" s="201" t="str">
        <f t="shared" si="1"/>
        <v>||||||||||||||||||</v>
      </c>
    </row>
    <row r="91" spans="2:16" ht="15" x14ac:dyDescent="0.2">
      <c r="B91" s="196">
        <v>84</v>
      </c>
      <c r="C91" s="195" t="s">
        <v>8180</v>
      </c>
      <c r="D91" s="195" t="s">
        <v>6983</v>
      </c>
      <c r="E91" s="196" t="s">
        <v>17</v>
      </c>
      <c r="F91" s="196" t="s">
        <v>17</v>
      </c>
      <c r="G91" s="196">
        <v>168</v>
      </c>
      <c r="H91" s="202">
        <v>32982</v>
      </c>
      <c r="I91" s="198">
        <v>2</v>
      </c>
      <c r="J91" s="196">
        <v>3</v>
      </c>
      <c r="K91" s="196"/>
      <c r="P91" s="201" t="str">
        <f t="shared" si="1"/>
        <v>||||||||||||||||||</v>
      </c>
    </row>
    <row r="92" spans="2:16" ht="15" x14ac:dyDescent="0.2">
      <c r="B92" s="196">
        <v>85</v>
      </c>
      <c r="C92" s="195" t="s">
        <v>8181</v>
      </c>
      <c r="D92" s="195" t="s">
        <v>8145</v>
      </c>
      <c r="E92" s="196" t="s">
        <v>21</v>
      </c>
      <c r="F92" s="196" t="s">
        <v>157</v>
      </c>
      <c r="G92" s="196">
        <v>161</v>
      </c>
      <c r="H92" s="202">
        <v>36316</v>
      </c>
      <c r="I92" s="198">
        <v>5</v>
      </c>
      <c r="J92" s="196">
        <v>2</v>
      </c>
      <c r="K92" s="196"/>
      <c r="P92" s="201" t="str">
        <f t="shared" si="1"/>
        <v>|||||||||||</v>
      </c>
    </row>
    <row r="93" spans="2:16" ht="15" x14ac:dyDescent="0.2">
      <c r="B93" s="196">
        <v>86</v>
      </c>
      <c r="C93" s="195" t="s">
        <v>8182</v>
      </c>
      <c r="D93" s="195" t="s">
        <v>8149</v>
      </c>
      <c r="E93" s="196" t="s">
        <v>17</v>
      </c>
      <c r="F93" s="196" t="s">
        <v>157</v>
      </c>
      <c r="G93" s="196">
        <v>190</v>
      </c>
      <c r="H93" s="202">
        <v>33990</v>
      </c>
      <c r="I93" s="198">
        <v>4</v>
      </c>
      <c r="J93" s="196">
        <v>1</v>
      </c>
      <c r="K93" s="196"/>
      <c r="P93" s="201" t="str">
        <f t="shared" si="1"/>
        <v>||||||||||||||||||||||||||||||||||||||||</v>
      </c>
    </row>
    <row r="94" spans="2:16" ht="15" x14ac:dyDescent="0.2">
      <c r="B94" s="196">
        <v>87</v>
      </c>
      <c r="C94" s="195" t="s">
        <v>8183</v>
      </c>
      <c r="D94" s="195" t="s">
        <v>8153</v>
      </c>
      <c r="E94" s="196" t="s">
        <v>21</v>
      </c>
      <c r="F94" s="196" t="s">
        <v>157</v>
      </c>
      <c r="G94" s="196">
        <v>179</v>
      </c>
      <c r="H94" s="202">
        <v>28059</v>
      </c>
      <c r="I94" s="198">
        <v>4</v>
      </c>
      <c r="J94" s="196">
        <v>1</v>
      </c>
      <c r="K94" s="196"/>
      <c r="P94" s="201" t="str">
        <f t="shared" si="1"/>
        <v>|||||||||||||||||||||||||||||</v>
      </c>
    </row>
    <row r="95" spans="2:16" ht="15" x14ac:dyDescent="0.2">
      <c r="B95" s="196">
        <v>88</v>
      </c>
      <c r="C95" s="195" t="s">
        <v>8184</v>
      </c>
      <c r="D95" s="195" t="s">
        <v>8155</v>
      </c>
      <c r="E95" s="196" t="s">
        <v>17</v>
      </c>
      <c r="F95" s="196" t="s">
        <v>157</v>
      </c>
      <c r="G95" s="196">
        <v>194</v>
      </c>
      <c r="H95" s="202">
        <v>36136</v>
      </c>
      <c r="I95" s="198">
        <v>1</v>
      </c>
      <c r="J95" s="196">
        <v>1</v>
      </c>
      <c r="K95" s="196"/>
      <c r="P95" s="201" t="str">
        <f t="shared" si="1"/>
        <v>||||||||||||||||||||||||||||||||||||||||||||</v>
      </c>
    </row>
    <row r="96" spans="2:16" ht="15" x14ac:dyDescent="0.2">
      <c r="B96" s="196">
        <v>89</v>
      </c>
      <c r="C96" s="195" t="s">
        <v>8185</v>
      </c>
      <c r="D96" s="195" t="s">
        <v>8157</v>
      </c>
      <c r="E96" s="196" t="s">
        <v>21</v>
      </c>
      <c r="F96" s="196" t="s">
        <v>157</v>
      </c>
      <c r="G96" s="196">
        <v>169</v>
      </c>
      <c r="H96" s="202">
        <v>32142</v>
      </c>
      <c r="I96" s="198">
        <v>4</v>
      </c>
      <c r="J96" s="196">
        <v>3</v>
      </c>
      <c r="K96" s="196"/>
      <c r="P96" s="201" t="str">
        <f t="shared" si="1"/>
        <v>|||||||||||||||||||</v>
      </c>
    </row>
    <row r="97" spans="2:16" ht="15" x14ac:dyDescent="0.2">
      <c r="B97" s="196">
        <v>90</v>
      </c>
      <c r="C97" s="195" t="s">
        <v>8186</v>
      </c>
      <c r="D97" s="195" t="s">
        <v>8158</v>
      </c>
      <c r="E97" s="196" t="s">
        <v>17</v>
      </c>
      <c r="F97" s="196" t="s">
        <v>157</v>
      </c>
      <c r="G97" s="196">
        <v>169</v>
      </c>
      <c r="H97" s="202">
        <v>31854</v>
      </c>
      <c r="I97" s="198">
        <v>2</v>
      </c>
      <c r="J97" s="196">
        <v>3</v>
      </c>
      <c r="K97" s="196"/>
      <c r="P97" s="201" t="str">
        <f t="shared" si="1"/>
        <v>|||||||||||||||||||</v>
      </c>
    </row>
    <row r="98" spans="2:16" ht="15" x14ac:dyDescent="0.2">
      <c r="B98" s="196">
        <v>91</v>
      </c>
      <c r="C98" s="195" t="s">
        <v>8187</v>
      </c>
      <c r="D98" s="195" t="s">
        <v>107</v>
      </c>
      <c r="E98" s="196" t="s">
        <v>21</v>
      </c>
      <c r="F98" s="196" t="s">
        <v>17</v>
      </c>
      <c r="G98" s="196">
        <v>168</v>
      </c>
      <c r="H98" s="202">
        <v>24436</v>
      </c>
      <c r="I98" s="198">
        <v>1</v>
      </c>
      <c r="J98" s="196">
        <v>1</v>
      </c>
      <c r="K98" s="196"/>
      <c r="P98" s="201" t="str">
        <f t="shared" si="1"/>
        <v>||||||||||||||||||</v>
      </c>
    </row>
    <row r="99" spans="2:16" ht="15" x14ac:dyDescent="0.2">
      <c r="B99" s="196">
        <v>92</v>
      </c>
      <c r="C99" s="195" t="s">
        <v>8188</v>
      </c>
      <c r="D99" s="195" t="s">
        <v>8161</v>
      </c>
      <c r="E99" s="196" t="s">
        <v>17</v>
      </c>
      <c r="F99" s="196" t="s">
        <v>17</v>
      </c>
      <c r="G99" s="196">
        <v>156</v>
      </c>
      <c r="H99" s="202">
        <v>30951</v>
      </c>
      <c r="I99" s="198">
        <v>3</v>
      </c>
      <c r="J99" s="196">
        <v>2</v>
      </c>
      <c r="K99" s="196"/>
      <c r="P99" s="201" t="str">
        <f t="shared" si="1"/>
        <v>||||||</v>
      </c>
    </row>
    <row r="100" spans="2:16" ht="15" x14ac:dyDescent="0.2">
      <c r="B100" s="196">
        <v>93</v>
      </c>
      <c r="C100" s="195" t="s">
        <v>8189</v>
      </c>
      <c r="D100" s="195" t="s">
        <v>8162</v>
      </c>
      <c r="E100" s="196" t="s">
        <v>21</v>
      </c>
      <c r="F100" s="196" t="s">
        <v>157</v>
      </c>
      <c r="G100" s="196">
        <v>190</v>
      </c>
      <c r="H100" s="202">
        <v>26264</v>
      </c>
      <c r="I100" s="198">
        <v>1</v>
      </c>
      <c r="J100" s="196">
        <v>3</v>
      </c>
      <c r="K100" s="196"/>
      <c r="P100" s="201" t="str">
        <f t="shared" si="1"/>
        <v>||||||||||||||||||||||||||||||||||||||||</v>
      </c>
    </row>
    <row r="101" spans="2:16" ht="15" x14ac:dyDescent="0.2">
      <c r="B101" s="196">
        <v>94</v>
      </c>
      <c r="C101" s="195" t="s">
        <v>8190</v>
      </c>
      <c r="D101" s="195" t="s">
        <v>6954</v>
      </c>
      <c r="E101" s="196" t="s">
        <v>17</v>
      </c>
      <c r="F101" s="196" t="s">
        <v>157</v>
      </c>
      <c r="G101" s="196">
        <v>169</v>
      </c>
      <c r="H101" s="202">
        <v>26725</v>
      </c>
      <c r="I101" s="198">
        <v>5</v>
      </c>
      <c r="J101" s="196">
        <v>2</v>
      </c>
      <c r="K101" s="196"/>
      <c r="P101" s="201" t="str">
        <f t="shared" si="1"/>
        <v>|||||||||||||||||||</v>
      </c>
    </row>
    <row r="102" spans="2:16" ht="15" x14ac:dyDescent="0.2">
      <c r="B102" s="196">
        <v>95</v>
      </c>
      <c r="C102" s="195" t="s">
        <v>8191</v>
      </c>
      <c r="D102" s="195" t="s">
        <v>8165</v>
      </c>
      <c r="E102" s="196" t="s">
        <v>21</v>
      </c>
      <c r="F102" s="196" t="s">
        <v>157</v>
      </c>
      <c r="G102" s="196">
        <v>162</v>
      </c>
      <c r="H102" s="202">
        <v>28648</v>
      </c>
      <c r="I102" s="198">
        <v>1</v>
      </c>
      <c r="J102" s="196">
        <v>2</v>
      </c>
      <c r="K102" s="196"/>
      <c r="P102" s="201" t="str">
        <f t="shared" si="1"/>
        <v>||||||||||||</v>
      </c>
    </row>
    <row r="103" spans="2:16" ht="15" x14ac:dyDescent="0.2">
      <c r="B103" s="196">
        <v>96</v>
      </c>
      <c r="C103" s="195" t="s">
        <v>8192</v>
      </c>
      <c r="D103" s="195" t="s">
        <v>8169</v>
      </c>
      <c r="E103" s="196" t="s">
        <v>17</v>
      </c>
      <c r="F103" s="196" t="s">
        <v>157</v>
      </c>
      <c r="G103" s="196">
        <v>156</v>
      </c>
      <c r="H103" s="202">
        <v>32732</v>
      </c>
      <c r="I103" s="198">
        <v>2</v>
      </c>
      <c r="J103" s="196">
        <v>3</v>
      </c>
      <c r="K103" s="196"/>
      <c r="P103" s="201" t="str">
        <f t="shared" si="1"/>
        <v>||||||</v>
      </c>
    </row>
    <row r="104" spans="2:16" ht="15" x14ac:dyDescent="0.2">
      <c r="B104" s="196">
        <v>97</v>
      </c>
      <c r="C104" s="195" t="s">
        <v>8193</v>
      </c>
      <c r="D104" s="195" t="s">
        <v>8173</v>
      </c>
      <c r="E104" s="196" t="s">
        <v>21</v>
      </c>
      <c r="F104" s="196" t="s">
        <v>157</v>
      </c>
      <c r="G104" s="196">
        <v>176</v>
      </c>
      <c r="H104" s="202">
        <v>35039</v>
      </c>
      <c r="I104" s="198">
        <v>3</v>
      </c>
      <c r="J104" s="196">
        <v>1</v>
      </c>
      <c r="K104" s="196"/>
      <c r="P104" s="201" t="str">
        <f t="shared" si="1"/>
        <v>||||||||||||||||||||||||||</v>
      </c>
    </row>
    <row r="105" spans="2:16" ht="15" x14ac:dyDescent="0.2">
      <c r="B105" s="196">
        <v>98</v>
      </c>
      <c r="C105" s="195" t="s">
        <v>8194</v>
      </c>
      <c r="D105" s="195" t="s">
        <v>8175</v>
      </c>
      <c r="E105" s="196" t="s">
        <v>17</v>
      </c>
      <c r="F105" s="196" t="s">
        <v>17</v>
      </c>
      <c r="G105" s="196">
        <v>188</v>
      </c>
      <c r="H105" s="202">
        <v>33002</v>
      </c>
      <c r="I105" s="198">
        <v>1</v>
      </c>
      <c r="J105" s="196">
        <v>2</v>
      </c>
      <c r="K105" s="196"/>
      <c r="P105" s="201" t="str">
        <f t="shared" si="1"/>
        <v>||||||||||||||||||||||||||||||||||||||</v>
      </c>
    </row>
    <row r="106" spans="2:16" ht="15" x14ac:dyDescent="0.2">
      <c r="B106" s="196">
        <v>99</v>
      </c>
      <c r="C106" s="195" t="s">
        <v>296</v>
      </c>
      <c r="D106" s="195" t="s">
        <v>8177</v>
      </c>
      <c r="E106" s="196" t="s">
        <v>21</v>
      </c>
      <c r="F106" s="196" t="s">
        <v>157</v>
      </c>
      <c r="G106" s="196">
        <v>170</v>
      </c>
      <c r="H106" s="202">
        <v>28614</v>
      </c>
      <c r="I106" s="198">
        <v>5</v>
      </c>
      <c r="J106" s="196">
        <v>3</v>
      </c>
      <c r="K106" s="196"/>
      <c r="P106" s="201" t="str">
        <f t="shared" si="1"/>
        <v>||||||||||||||||||||</v>
      </c>
    </row>
    <row r="107" spans="2:16" ht="15" x14ac:dyDescent="0.2">
      <c r="B107" s="196">
        <v>100</v>
      </c>
      <c r="C107" s="195" t="s">
        <v>8195</v>
      </c>
      <c r="D107" s="195" t="s">
        <v>102</v>
      </c>
      <c r="E107" s="196" t="s">
        <v>17</v>
      </c>
      <c r="F107" s="196" t="s">
        <v>157</v>
      </c>
      <c r="G107" s="196">
        <v>157</v>
      </c>
      <c r="H107" s="202">
        <v>27172</v>
      </c>
      <c r="I107" s="198">
        <v>3</v>
      </c>
      <c r="J107" s="196">
        <v>1</v>
      </c>
      <c r="K107" s="196"/>
      <c r="P107" s="201" t="str">
        <f t="shared" si="1"/>
        <v>|||||||</v>
      </c>
    </row>
    <row r="108" spans="2:16" ht="15" x14ac:dyDescent="0.2">
      <c r="B108" s="196">
        <v>101</v>
      </c>
      <c r="C108" s="195" t="s">
        <v>8141</v>
      </c>
      <c r="D108" s="195" t="s">
        <v>8137</v>
      </c>
      <c r="E108" s="196" t="s">
        <v>21</v>
      </c>
      <c r="F108" s="196" t="s">
        <v>17</v>
      </c>
      <c r="G108" s="196">
        <v>179</v>
      </c>
      <c r="H108" s="202">
        <v>24546</v>
      </c>
      <c r="I108" s="198">
        <v>3</v>
      </c>
      <c r="J108" s="196">
        <v>2</v>
      </c>
      <c r="K108" s="196"/>
      <c r="P108" s="201" t="str">
        <f t="shared" si="1"/>
        <v>|||||||||||||||||||||||||||||</v>
      </c>
    </row>
    <row r="109" spans="2:16" ht="15" x14ac:dyDescent="0.2">
      <c r="B109" s="196">
        <v>102</v>
      </c>
      <c r="C109" s="195" t="s">
        <v>8196</v>
      </c>
      <c r="D109" s="195" t="s">
        <v>7141</v>
      </c>
      <c r="E109" s="196" t="s">
        <v>17</v>
      </c>
      <c r="F109" s="196" t="s">
        <v>157</v>
      </c>
      <c r="G109" s="196">
        <v>178</v>
      </c>
      <c r="H109" s="202">
        <v>35424</v>
      </c>
      <c r="I109" s="198">
        <v>4</v>
      </c>
      <c r="J109" s="196">
        <v>1</v>
      </c>
      <c r="K109" s="196"/>
      <c r="P109" s="201" t="str">
        <f t="shared" si="1"/>
        <v>||||||||||||||||||||||||||||</v>
      </c>
    </row>
    <row r="110" spans="2:16" ht="15" x14ac:dyDescent="0.2">
      <c r="B110" s="196">
        <v>103</v>
      </c>
      <c r="C110" s="195" t="s">
        <v>8132</v>
      </c>
      <c r="D110" s="195" t="s">
        <v>6962</v>
      </c>
      <c r="E110" s="196" t="s">
        <v>21</v>
      </c>
      <c r="F110" s="196" t="s">
        <v>157</v>
      </c>
      <c r="G110" s="196">
        <v>174</v>
      </c>
      <c r="H110" s="202">
        <v>24320</v>
      </c>
      <c r="I110" s="198">
        <v>2</v>
      </c>
      <c r="J110" s="196">
        <v>2</v>
      </c>
      <c r="K110" s="196"/>
      <c r="P110" s="201" t="str">
        <f t="shared" si="1"/>
        <v>||||||||||||||||||||||||</v>
      </c>
    </row>
    <row r="111" spans="2:16" ht="15" x14ac:dyDescent="0.2">
      <c r="B111" s="196">
        <v>104</v>
      </c>
      <c r="C111" s="195" t="s">
        <v>8148</v>
      </c>
      <c r="D111" s="195" t="s">
        <v>8135</v>
      </c>
      <c r="E111" s="196" t="s">
        <v>17</v>
      </c>
      <c r="F111" s="196" t="s">
        <v>17</v>
      </c>
      <c r="G111" s="196">
        <v>184</v>
      </c>
      <c r="H111" s="202">
        <v>30128</v>
      </c>
      <c r="I111" s="198">
        <v>2</v>
      </c>
      <c r="J111" s="196">
        <v>1</v>
      </c>
      <c r="K111" s="196"/>
      <c r="P111" s="201" t="str">
        <f t="shared" si="1"/>
        <v>||||||||||||||||||||||||||||||||||</v>
      </c>
    </row>
    <row r="112" spans="2:16" ht="15" x14ac:dyDescent="0.2">
      <c r="B112" s="196">
        <v>105</v>
      </c>
      <c r="C112" s="195" t="s">
        <v>8138</v>
      </c>
      <c r="D112" s="195" t="s">
        <v>8140</v>
      </c>
      <c r="E112" s="196" t="s">
        <v>21</v>
      </c>
      <c r="F112" s="196" t="s">
        <v>17</v>
      </c>
      <c r="G112" s="196">
        <v>189</v>
      </c>
      <c r="H112" s="202">
        <v>25972</v>
      </c>
      <c r="I112" s="198">
        <v>3</v>
      </c>
      <c r="J112" s="196">
        <v>3</v>
      </c>
      <c r="K112" s="196"/>
      <c r="P112" s="201" t="str">
        <f t="shared" si="1"/>
        <v>|||||||||||||||||||||||||||||||||||||||</v>
      </c>
    </row>
    <row r="113" spans="2:16" ht="15" x14ac:dyDescent="0.2">
      <c r="B113" s="196">
        <v>106</v>
      </c>
      <c r="C113" s="195" t="s">
        <v>8139</v>
      </c>
      <c r="D113" s="195" t="s">
        <v>6983</v>
      </c>
      <c r="E113" s="196" t="s">
        <v>17</v>
      </c>
      <c r="F113" s="196" t="s">
        <v>157</v>
      </c>
      <c r="G113" s="196">
        <v>158</v>
      </c>
      <c r="H113" s="202">
        <v>33635</v>
      </c>
      <c r="I113" s="198">
        <v>5</v>
      </c>
      <c r="J113" s="196">
        <v>3</v>
      </c>
      <c r="K113" s="196"/>
      <c r="P113" s="201" t="str">
        <f t="shared" si="1"/>
        <v>||||||||</v>
      </c>
    </row>
    <row r="114" spans="2:16" ht="15" x14ac:dyDescent="0.2">
      <c r="B114" s="196">
        <v>107</v>
      </c>
      <c r="C114" s="195" t="s">
        <v>8134</v>
      </c>
      <c r="D114" s="195" t="s">
        <v>8145</v>
      </c>
      <c r="E114" s="196" t="s">
        <v>21</v>
      </c>
      <c r="F114" s="196" t="s">
        <v>17</v>
      </c>
      <c r="G114" s="196">
        <v>171</v>
      </c>
      <c r="H114" s="202">
        <v>25578</v>
      </c>
      <c r="I114" s="198">
        <v>3</v>
      </c>
      <c r="J114" s="196">
        <v>2</v>
      </c>
      <c r="K114" s="196"/>
      <c r="P114" s="201" t="str">
        <f t="shared" si="1"/>
        <v>|||||||||||||||||||||</v>
      </c>
    </row>
    <row r="115" spans="2:16" ht="15" x14ac:dyDescent="0.2">
      <c r="B115" s="196">
        <v>108</v>
      </c>
      <c r="C115" s="195" t="s">
        <v>8144</v>
      </c>
      <c r="D115" s="195" t="s">
        <v>8149</v>
      </c>
      <c r="E115" s="196" t="s">
        <v>17</v>
      </c>
      <c r="F115" s="196" t="s">
        <v>157</v>
      </c>
      <c r="G115" s="196">
        <v>186</v>
      </c>
      <c r="H115" s="202">
        <v>23736</v>
      </c>
      <c r="I115" s="198">
        <v>5</v>
      </c>
      <c r="J115" s="196">
        <v>3</v>
      </c>
      <c r="K115" s="196"/>
      <c r="P115" s="201" t="str">
        <f t="shared" si="1"/>
        <v>||||||||||||||||||||||||||||||||||||</v>
      </c>
    </row>
    <row r="116" spans="2:16" ht="15" x14ac:dyDescent="0.2">
      <c r="B116" s="196">
        <v>109</v>
      </c>
      <c r="C116" s="195" t="s">
        <v>8141</v>
      </c>
      <c r="D116" s="195" t="s">
        <v>8153</v>
      </c>
      <c r="E116" s="196" t="s">
        <v>21</v>
      </c>
      <c r="F116" s="196" t="s">
        <v>157</v>
      </c>
      <c r="G116" s="196">
        <v>160</v>
      </c>
      <c r="H116" s="202">
        <v>24542</v>
      </c>
      <c r="I116" s="198">
        <v>1</v>
      </c>
      <c r="J116" s="196">
        <v>2</v>
      </c>
      <c r="K116" s="196"/>
      <c r="P116" s="201" t="str">
        <f t="shared" si="1"/>
        <v>||||||||||</v>
      </c>
    </row>
    <row r="117" spans="2:16" ht="15" x14ac:dyDescent="0.2">
      <c r="B117" s="196">
        <v>110</v>
      </c>
      <c r="C117" s="195" t="s">
        <v>8142</v>
      </c>
      <c r="D117" s="195" t="s">
        <v>8155</v>
      </c>
      <c r="E117" s="196" t="s">
        <v>17</v>
      </c>
      <c r="F117" s="196" t="s">
        <v>17</v>
      </c>
      <c r="G117" s="196">
        <v>158</v>
      </c>
      <c r="H117" s="202">
        <v>24484</v>
      </c>
      <c r="I117" s="198">
        <v>3</v>
      </c>
      <c r="J117" s="196">
        <v>1</v>
      </c>
      <c r="K117" s="196"/>
      <c r="P117" s="201" t="str">
        <f t="shared" si="1"/>
        <v>||||||||</v>
      </c>
    </row>
    <row r="118" spans="2:16" ht="15" x14ac:dyDescent="0.2">
      <c r="B118" s="196">
        <v>111</v>
      </c>
      <c r="C118" s="195" t="s">
        <v>8143</v>
      </c>
      <c r="D118" s="195" t="s">
        <v>8157</v>
      </c>
      <c r="E118" s="196" t="s">
        <v>21</v>
      </c>
      <c r="F118" s="196" t="s">
        <v>17</v>
      </c>
      <c r="G118" s="196">
        <v>157</v>
      </c>
      <c r="H118" s="202">
        <v>27268</v>
      </c>
      <c r="I118" s="198">
        <v>3</v>
      </c>
      <c r="J118" s="196">
        <v>2</v>
      </c>
      <c r="K118" s="196"/>
      <c r="P118" s="201" t="str">
        <f t="shared" si="1"/>
        <v>|||||||</v>
      </c>
    </row>
    <row r="119" spans="2:16" ht="15" x14ac:dyDescent="0.2">
      <c r="B119" s="196">
        <v>112</v>
      </c>
      <c r="C119" s="195" t="s">
        <v>8136</v>
      </c>
      <c r="D119" s="195" t="s">
        <v>8158</v>
      </c>
      <c r="E119" s="196" t="s">
        <v>17</v>
      </c>
      <c r="F119" s="196" t="s">
        <v>2677</v>
      </c>
      <c r="G119" s="196">
        <v>159</v>
      </c>
      <c r="H119" s="202">
        <v>26292</v>
      </c>
      <c r="I119" s="198">
        <v>1</v>
      </c>
      <c r="J119" s="196">
        <v>3</v>
      </c>
      <c r="K119" s="196"/>
      <c r="P119" s="201" t="str">
        <f t="shared" si="1"/>
        <v>|||||||||</v>
      </c>
    </row>
    <row r="120" spans="2:16" ht="15" x14ac:dyDescent="0.2">
      <c r="B120" s="196">
        <v>113</v>
      </c>
      <c r="C120" s="195" t="s">
        <v>8146</v>
      </c>
      <c r="D120" s="195" t="s">
        <v>107</v>
      </c>
      <c r="E120" s="196" t="s">
        <v>21</v>
      </c>
      <c r="F120" s="196" t="s">
        <v>157</v>
      </c>
      <c r="G120" s="196">
        <v>166</v>
      </c>
      <c r="H120" s="202">
        <v>27756</v>
      </c>
      <c r="I120" s="198">
        <v>3</v>
      </c>
      <c r="J120" s="196">
        <v>1</v>
      </c>
      <c r="K120" s="196"/>
      <c r="P120" s="201" t="str">
        <f t="shared" si="1"/>
        <v>||||||||||||||||</v>
      </c>
    </row>
    <row r="121" spans="2:16" ht="15" x14ac:dyDescent="0.2">
      <c r="B121" s="196">
        <v>114</v>
      </c>
      <c r="C121" s="195" t="s">
        <v>8133</v>
      </c>
      <c r="D121" s="195" t="s">
        <v>8161</v>
      </c>
      <c r="E121" s="196" t="s">
        <v>17</v>
      </c>
      <c r="F121" s="196" t="s">
        <v>157</v>
      </c>
      <c r="G121" s="196">
        <v>183</v>
      </c>
      <c r="H121" s="202">
        <v>29368</v>
      </c>
      <c r="I121" s="198">
        <v>3</v>
      </c>
      <c r="J121" s="196">
        <v>3</v>
      </c>
      <c r="K121" s="196"/>
      <c r="P121" s="201" t="str">
        <f t="shared" si="1"/>
        <v>|||||||||||||||||||||||||||||||||</v>
      </c>
    </row>
    <row r="122" spans="2:16" ht="15" x14ac:dyDescent="0.2">
      <c r="B122" s="196">
        <v>115</v>
      </c>
      <c r="C122" s="195" t="s">
        <v>8150</v>
      </c>
      <c r="D122" s="195" t="s">
        <v>8162</v>
      </c>
      <c r="E122" s="196" t="s">
        <v>21</v>
      </c>
      <c r="F122" s="196" t="s">
        <v>17</v>
      </c>
      <c r="G122" s="196">
        <v>169</v>
      </c>
      <c r="H122" s="202">
        <v>30750</v>
      </c>
      <c r="I122" s="198">
        <v>2</v>
      </c>
      <c r="J122" s="196">
        <v>3</v>
      </c>
      <c r="K122" s="196"/>
      <c r="P122" s="201" t="str">
        <f t="shared" si="1"/>
        <v>|||||||||||||||||||</v>
      </c>
    </row>
    <row r="123" spans="2:16" ht="15" x14ac:dyDescent="0.2">
      <c r="B123" s="196">
        <v>116</v>
      </c>
      <c r="C123" s="195" t="s">
        <v>8152</v>
      </c>
      <c r="D123" s="195" t="s">
        <v>6954</v>
      </c>
      <c r="E123" s="196" t="s">
        <v>17</v>
      </c>
      <c r="F123" s="196" t="s">
        <v>17</v>
      </c>
      <c r="G123" s="196">
        <v>177</v>
      </c>
      <c r="H123" s="202">
        <v>30484</v>
      </c>
      <c r="I123" s="198">
        <v>1</v>
      </c>
      <c r="J123" s="196">
        <v>2</v>
      </c>
      <c r="K123" s="196"/>
      <c r="P123" s="201" t="str">
        <f t="shared" si="1"/>
        <v>|||||||||||||||||||||||||||</v>
      </c>
    </row>
    <row r="124" spans="2:16" ht="15" x14ac:dyDescent="0.2">
      <c r="B124" s="196">
        <v>117</v>
      </c>
      <c r="C124" s="195" t="s">
        <v>8154</v>
      </c>
      <c r="D124" s="195" t="s">
        <v>8165</v>
      </c>
      <c r="E124" s="196" t="s">
        <v>21</v>
      </c>
      <c r="F124" s="196" t="s">
        <v>17</v>
      </c>
      <c r="G124" s="196">
        <v>160</v>
      </c>
      <c r="H124" s="202">
        <v>28501</v>
      </c>
      <c r="I124" s="198">
        <v>2</v>
      </c>
      <c r="J124" s="196">
        <v>3</v>
      </c>
      <c r="K124" s="196"/>
      <c r="P124" s="201" t="str">
        <f t="shared" si="1"/>
        <v>||||||||||</v>
      </c>
    </row>
    <row r="125" spans="2:16" ht="15" x14ac:dyDescent="0.2">
      <c r="B125" s="196">
        <v>118</v>
      </c>
      <c r="C125" s="195" t="s">
        <v>8156</v>
      </c>
      <c r="D125" s="195" t="s">
        <v>8169</v>
      </c>
      <c r="E125" s="196" t="s">
        <v>17</v>
      </c>
      <c r="F125" s="196" t="s">
        <v>157</v>
      </c>
      <c r="G125" s="196">
        <v>191</v>
      </c>
      <c r="H125" s="202">
        <v>35636</v>
      </c>
      <c r="I125" s="198">
        <v>5</v>
      </c>
      <c r="J125" s="196">
        <v>1</v>
      </c>
      <c r="K125" s="196"/>
      <c r="P125" s="201" t="str">
        <f t="shared" si="1"/>
        <v>|||||||||||||||||||||||||||||||||||||||||</v>
      </c>
    </row>
    <row r="126" spans="2:16" ht="15" x14ac:dyDescent="0.2">
      <c r="B126" s="196">
        <v>119</v>
      </c>
      <c r="C126" s="195" t="s">
        <v>1508</v>
      </c>
      <c r="D126" s="195" t="s">
        <v>8173</v>
      </c>
      <c r="E126" s="196" t="s">
        <v>21</v>
      </c>
      <c r="F126" s="196" t="s">
        <v>157</v>
      </c>
      <c r="G126" s="196">
        <v>173</v>
      </c>
      <c r="H126" s="202">
        <v>25270</v>
      </c>
      <c r="I126" s="198">
        <v>4</v>
      </c>
      <c r="J126" s="196">
        <v>3</v>
      </c>
      <c r="K126" s="196"/>
      <c r="P126" s="201" t="str">
        <f t="shared" si="1"/>
        <v>|||||||||||||||||||||||</v>
      </c>
    </row>
    <row r="127" spans="2:16" ht="15" x14ac:dyDescent="0.2">
      <c r="B127" s="196">
        <v>120</v>
      </c>
      <c r="C127" s="195" t="s">
        <v>8159</v>
      </c>
      <c r="D127" s="195" t="s">
        <v>8175</v>
      </c>
      <c r="E127" s="196" t="s">
        <v>17</v>
      </c>
      <c r="F127" s="196" t="s">
        <v>157</v>
      </c>
      <c r="G127" s="196">
        <v>186</v>
      </c>
      <c r="H127" s="202">
        <v>29267</v>
      </c>
      <c r="I127" s="198">
        <v>2</v>
      </c>
      <c r="J127" s="196">
        <v>3</v>
      </c>
      <c r="K127" s="196"/>
      <c r="P127" s="201" t="str">
        <f t="shared" si="1"/>
        <v>||||||||||||||||||||||||||||||||||||</v>
      </c>
    </row>
    <row r="128" spans="2:16" ht="15" x14ac:dyDescent="0.2">
      <c r="B128" s="196">
        <v>121</v>
      </c>
      <c r="C128" s="195" t="s">
        <v>8160</v>
      </c>
      <c r="D128" s="195" t="s">
        <v>8177</v>
      </c>
      <c r="E128" s="196" t="s">
        <v>21</v>
      </c>
      <c r="F128" s="196" t="s">
        <v>157</v>
      </c>
      <c r="G128" s="196">
        <v>187</v>
      </c>
      <c r="H128" s="202">
        <v>28415</v>
      </c>
      <c r="I128" s="198">
        <v>5</v>
      </c>
      <c r="J128" s="196">
        <v>1</v>
      </c>
      <c r="K128" s="196"/>
      <c r="P128" s="201" t="str">
        <f t="shared" si="1"/>
        <v>|||||||||||||||||||||||||||||||||||||</v>
      </c>
    </row>
    <row r="129" spans="2:16" ht="15" x14ac:dyDescent="0.2">
      <c r="B129" s="196">
        <v>122</v>
      </c>
      <c r="C129" s="195" t="s">
        <v>8163</v>
      </c>
      <c r="D129" s="195" t="s">
        <v>102</v>
      </c>
      <c r="E129" s="196" t="s">
        <v>17</v>
      </c>
      <c r="F129" s="196" t="s">
        <v>17</v>
      </c>
      <c r="G129" s="196">
        <v>156</v>
      </c>
      <c r="H129" s="202">
        <v>34530</v>
      </c>
      <c r="I129" s="198">
        <v>5</v>
      </c>
      <c r="J129" s="196">
        <v>2</v>
      </c>
      <c r="K129" s="196"/>
      <c r="P129" s="201" t="str">
        <f t="shared" si="1"/>
        <v>||||||</v>
      </c>
    </row>
    <row r="130" spans="2:16" ht="15" x14ac:dyDescent="0.2">
      <c r="B130" s="196">
        <v>123</v>
      </c>
      <c r="C130" s="195" t="s">
        <v>8166</v>
      </c>
      <c r="D130" s="195" t="s">
        <v>8137</v>
      </c>
      <c r="E130" s="196" t="s">
        <v>21</v>
      </c>
      <c r="F130" s="196" t="s">
        <v>17</v>
      </c>
      <c r="G130" s="196">
        <v>162</v>
      </c>
      <c r="H130" s="202">
        <v>24058</v>
      </c>
      <c r="I130" s="198">
        <v>4</v>
      </c>
      <c r="J130" s="196">
        <v>1</v>
      </c>
      <c r="K130" s="196"/>
      <c r="P130" s="201" t="str">
        <f t="shared" si="1"/>
        <v>||||||||||||</v>
      </c>
    </row>
    <row r="131" spans="2:16" ht="15" x14ac:dyDescent="0.2">
      <c r="B131" s="196">
        <v>124</v>
      </c>
      <c r="C131" s="195" t="s">
        <v>8167</v>
      </c>
      <c r="D131" s="195" t="s">
        <v>7141</v>
      </c>
      <c r="E131" s="196" t="s">
        <v>17</v>
      </c>
      <c r="F131" s="196" t="s">
        <v>17</v>
      </c>
      <c r="G131" s="196">
        <v>190</v>
      </c>
      <c r="H131" s="202">
        <v>32042</v>
      </c>
      <c r="I131" s="198">
        <v>4</v>
      </c>
      <c r="J131" s="196">
        <v>3</v>
      </c>
      <c r="K131" s="196"/>
      <c r="P131" s="201" t="str">
        <f t="shared" si="1"/>
        <v>||||||||||||||||||||||||||||||||||||||||</v>
      </c>
    </row>
    <row r="132" spans="2:16" ht="15" x14ac:dyDescent="0.2">
      <c r="B132" s="196">
        <v>125</v>
      </c>
      <c r="C132" s="195" t="s">
        <v>269</v>
      </c>
      <c r="D132" s="195" t="s">
        <v>6962</v>
      </c>
      <c r="E132" s="196" t="s">
        <v>21</v>
      </c>
      <c r="F132" s="196" t="s">
        <v>157</v>
      </c>
      <c r="G132" s="196">
        <v>173</v>
      </c>
      <c r="H132" s="202">
        <v>26570</v>
      </c>
      <c r="I132" s="198">
        <v>5</v>
      </c>
      <c r="J132" s="196">
        <v>2</v>
      </c>
      <c r="K132" s="196"/>
      <c r="P132" s="201" t="str">
        <f t="shared" si="1"/>
        <v>|||||||||||||||||||||||</v>
      </c>
    </row>
    <row r="133" spans="2:16" ht="15" x14ac:dyDescent="0.2">
      <c r="B133" s="196">
        <v>126</v>
      </c>
      <c r="C133" s="195" t="s">
        <v>8170</v>
      </c>
      <c r="D133" s="195" t="s">
        <v>8135</v>
      </c>
      <c r="E133" s="196" t="s">
        <v>17</v>
      </c>
      <c r="F133" s="196" t="s">
        <v>157</v>
      </c>
      <c r="G133" s="196">
        <v>195</v>
      </c>
      <c r="H133" s="202">
        <v>32230</v>
      </c>
      <c r="I133" s="198">
        <v>1</v>
      </c>
      <c r="J133" s="196">
        <v>3</v>
      </c>
      <c r="K133" s="196"/>
      <c r="P133" s="201" t="str">
        <f t="shared" si="1"/>
        <v>|||||||||||||||||||||||||||||||||||||||||||||</v>
      </c>
    </row>
    <row r="134" spans="2:16" ht="15" x14ac:dyDescent="0.2">
      <c r="B134" s="196">
        <v>127</v>
      </c>
      <c r="C134" s="195" t="s">
        <v>231</v>
      </c>
      <c r="D134" s="195" t="s">
        <v>8140</v>
      </c>
      <c r="E134" s="196" t="s">
        <v>21</v>
      </c>
      <c r="F134" s="196" t="s">
        <v>157</v>
      </c>
      <c r="G134" s="196">
        <v>180</v>
      </c>
      <c r="H134" s="202">
        <v>27486</v>
      </c>
      <c r="I134" s="198">
        <v>1</v>
      </c>
      <c r="J134" s="196">
        <v>2</v>
      </c>
      <c r="K134" s="196"/>
      <c r="P134" s="201" t="str">
        <f t="shared" si="1"/>
        <v>||||||||||||||||||||||||||||||</v>
      </c>
    </row>
    <row r="135" spans="2:16" ht="15" x14ac:dyDescent="0.2">
      <c r="B135" s="196">
        <v>128</v>
      </c>
      <c r="C135" s="195" t="s">
        <v>8172</v>
      </c>
      <c r="D135" s="195" t="s">
        <v>6983</v>
      </c>
      <c r="E135" s="196" t="s">
        <v>17</v>
      </c>
      <c r="F135" s="196" t="s">
        <v>17</v>
      </c>
      <c r="G135" s="196">
        <v>176</v>
      </c>
      <c r="H135" s="202">
        <v>32207</v>
      </c>
      <c r="I135" s="198">
        <v>5</v>
      </c>
      <c r="J135" s="196">
        <v>1</v>
      </c>
      <c r="K135" s="196"/>
      <c r="P135" s="201" t="str">
        <f t="shared" si="1"/>
        <v>||||||||||||||||||||||||||</v>
      </c>
    </row>
    <row r="136" spans="2:16" ht="15" x14ac:dyDescent="0.2">
      <c r="B136" s="196">
        <v>129</v>
      </c>
      <c r="C136" s="195" t="s">
        <v>8174</v>
      </c>
      <c r="D136" s="195" t="s">
        <v>8145</v>
      </c>
      <c r="E136" s="196" t="s">
        <v>21</v>
      </c>
      <c r="F136" s="196" t="s">
        <v>157</v>
      </c>
      <c r="G136" s="196">
        <v>173</v>
      </c>
      <c r="H136" s="202">
        <v>36073</v>
      </c>
      <c r="I136" s="198">
        <v>5</v>
      </c>
      <c r="J136" s="196">
        <v>1</v>
      </c>
      <c r="K136" s="196"/>
      <c r="P136" s="201" t="str">
        <f t="shared" si="1"/>
        <v>|||||||||||||||||||||||</v>
      </c>
    </row>
    <row r="137" spans="2:16" ht="15" x14ac:dyDescent="0.2">
      <c r="B137" s="196">
        <v>130</v>
      </c>
      <c r="C137" s="195" t="s">
        <v>8176</v>
      </c>
      <c r="D137" s="195" t="s">
        <v>8149</v>
      </c>
      <c r="E137" s="196" t="s">
        <v>17</v>
      </c>
      <c r="F137" s="196" t="s">
        <v>157</v>
      </c>
      <c r="G137" s="196">
        <v>173</v>
      </c>
      <c r="H137" s="202">
        <v>26456</v>
      </c>
      <c r="I137" s="198">
        <v>2</v>
      </c>
      <c r="J137" s="196">
        <v>2</v>
      </c>
      <c r="K137" s="196"/>
      <c r="P137" s="201" t="str">
        <f t="shared" ref="P137:P200" si="2">REPT("|",G137-150)</f>
        <v>|||||||||||||||||||||||</v>
      </c>
    </row>
    <row r="138" spans="2:16" ht="15" x14ac:dyDescent="0.2">
      <c r="B138" s="196">
        <v>131</v>
      </c>
      <c r="C138" s="195" t="s">
        <v>8178</v>
      </c>
      <c r="D138" s="195" t="s">
        <v>8153</v>
      </c>
      <c r="E138" s="196" t="s">
        <v>21</v>
      </c>
      <c r="F138" s="196" t="s">
        <v>157</v>
      </c>
      <c r="G138" s="196">
        <v>195</v>
      </c>
      <c r="H138" s="202">
        <v>29160</v>
      </c>
      <c r="I138" s="198">
        <v>2</v>
      </c>
      <c r="J138" s="196">
        <v>2</v>
      </c>
      <c r="K138" s="196"/>
      <c r="P138" s="201" t="str">
        <f t="shared" si="2"/>
        <v>|||||||||||||||||||||||||||||||||||||||||||||</v>
      </c>
    </row>
    <row r="139" spans="2:16" ht="15" x14ac:dyDescent="0.2">
      <c r="B139" s="196">
        <v>132</v>
      </c>
      <c r="C139" s="195" t="s">
        <v>8179</v>
      </c>
      <c r="D139" s="195" t="s">
        <v>8155</v>
      </c>
      <c r="E139" s="196" t="s">
        <v>17</v>
      </c>
      <c r="F139" s="196" t="s">
        <v>17</v>
      </c>
      <c r="G139" s="196">
        <v>172</v>
      </c>
      <c r="H139" s="202">
        <v>33918</v>
      </c>
      <c r="I139" s="198">
        <v>5</v>
      </c>
      <c r="J139" s="196">
        <v>2</v>
      </c>
      <c r="K139" s="196"/>
      <c r="P139" s="201" t="str">
        <f t="shared" si="2"/>
        <v>||||||||||||||||||||||</v>
      </c>
    </row>
    <row r="140" spans="2:16" ht="15" x14ac:dyDescent="0.2">
      <c r="B140" s="196">
        <v>133</v>
      </c>
      <c r="C140" s="195" t="s">
        <v>91</v>
      </c>
      <c r="D140" s="195" t="s">
        <v>8157</v>
      </c>
      <c r="E140" s="196" t="s">
        <v>21</v>
      </c>
      <c r="F140" s="196" t="s">
        <v>17</v>
      </c>
      <c r="G140" s="196">
        <v>179</v>
      </c>
      <c r="H140" s="202">
        <v>28735</v>
      </c>
      <c r="I140" s="198">
        <v>5</v>
      </c>
      <c r="J140" s="196">
        <v>2</v>
      </c>
      <c r="K140" s="196"/>
      <c r="P140" s="201" t="str">
        <f t="shared" si="2"/>
        <v>|||||||||||||||||||||||||||||</v>
      </c>
    </row>
    <row r="141" spans="2:16" ht="15" x14ac:dyDescent="0.2">
      <c r="B141" s="196">
        <v>134</v>
      </c>
      <c r="C141" s="195" t="s">
        <v>8180</v>
      </c>
      <c r="D141" s="195" t="s">
        <v>8158</v>
      </c>
      <c r="E141" s="196" t="s">
        <v>17</v>
      </c>
      <c r="F141" s="196" t="s">
        <v>17</v>
      </c>
      <c r="G141" s="196">
        <v>191</v>
      </c>
      <c r="H141" s="202">
        <v>24101</v>
      </c>
      <c r="I141" s="198">
        <v>1</v>
      </c>
      <c r="J141" s="196">
        <v>2</v>
      </c>
      <c r="K141" s="196"/>
      <c r="P141" s="201" t="str">
        <f t="shared" si="2"/>
        <v>|||||||||||||||||||||||||||||||||||||||||</v>
      </c>
    </row>
    <row r="142" spans="2:16" ht="15" x14ac:dyDescent="0.2">
      <c r="B142" s="196">
        <v>135</v>
      </c>
      <c r="C142" s="195" t="s">
        <v>8181</v>
      </c>
      <c r="D142" s="195" t="s">
        <v>107</v>
      </c>
      <c r="E142" s="196" t="s">
        <v>21</v>
      </c>
      <c r="F142" s="196" t="s">
        <v>157</v>
      </c>
      <c r="G142" s="196">
        <v>177</v>
      </c>
      <c r="H142" s="202">
        <v>33432</v>
      </c>
      <c r="I142" s="198">
        <v>3</v>
      </c>
      <c r="J142" s="196">
        <v>2</v>
      </c>
      <c r="K142" s="196"/>
      <c r="P142" s="201" t="str">
        <f t="shared" si="2"/>
        <v>|||||||||||||||||||||||||||</v>
      </c>
    </row>
    <row r="143" spans="2:16" ht="15" x14ac:dyDescent="0.2">
      <c r="B143" s="196">
        <v>136</v>
      </c>
      <c r="C143" s="195" t="s">
        <v>8182</v>
      </c>
      <c r="D143" s="195" t="s">
        <v>8161</v>
      </c>
      <c r="E143" s="196" t="s">
        <v>2705</v>
      </c>
      <c r="F143" s="196" t="s">
        <v>157</v>
      </c>
      <c r="G143" s="196">
        <v>188</v>
      </c>
      <c r="H143" s="202">
        <v>33093</v>
      </c>
      <c r="I143" s="198">
        <v>2</v>
      </c>
      <c r="J143" s="196">
        <v>1</v>
      </c>
      <c r="K143" s="196"/>
      <c r="P143" s="201" t="str">
        <f t="shared" si="2"/>
        <v>||||||||||||||||||||||||||||||||||||||</v>
      </c>
    </row>
    <row r="144" spans="2:16" ht="15" x14ac:dyDescent="0.2">
      <c r="B144" s="196">
        <v>137</v>
      </c>
      <c r="C144" s="195" t="s">
        <v>8183</v>
      </c>
      <c r="D144" s="195" t="s">
        <v>8162</v>
      </c>
      <c r="E144" s="196" t="s">
        <v>21</v>
      </c>
      <c r="F144" s="196" t="s">
        <v>157</v>
      </c>
      <c r="G144" s="196">
        <v>159</v>
      </c>
      <c r="H144" s="202">
        <v>25694</v>
      </c>
      <c r="I144" s="198">
        <v>3</v>
      </c>
      <c r="J144" s="196">
        <v>3</v>
      </c>
      <c r="K144" s="196"/>
      <c r="P144" s="201" t="str">
        <f t="shared" si="2"/>
        <v>|||||||||</v>
      </c>
    </row>
    <row r="145" spans="2:16" ht="15" x14ac:dyDescent="0.2">
      <c r="B145" s="196">
        <v>138</v>
      </c>
      <c r="C145" s="195" t="s">
        <v>8184</v>
      </c>
      <c r="D145" s="195" t="s">
        <v>6954</v>
      </c>
      <c r="E145" s="196" t="s">
        <v>17</v>
      </c>
      <c r="F145" s="196" t="s">
        <v>17</v>
      </c>
      <c r="G145" s="196">
        <v>195</v>
      </c>
      <c r="H145" s="202">
        <v>31651</v>
      </c>
      <c r="I145" s="198">
        <v>2</v>
      </c>
      <c r="J145" s="196">
        <v>2</v>
      </c>
      <c r="K145" s="196"/>
      <c r="P145" s="201" t="str">
        <f t="shared" si="2"/>
        <v>|||||||||||||||||||||||||||||||||||||||||||||</v>
      </c>
    </row>
    <row r="146" spans="2:16" ht="15" x14ac:dyDescent="0.2">
      <c r="B146" s="196">
        <v>139</v>
      </c>
      <c r="C146" s="195" t="s">
        <v>8185</v>
      </c>
      <c r="D146" s="195" t="s">
        <v>8165</v>
      </c>
      <c r="E146" s="196" t="s">
        <v>21</v>
      </c>
      <c r="F146" s="196" t="s">
        <v>17</v>
      </c>
      <c r="G146" s="196">
        <v>180</v>
      </c>
      <c r="H146" s="202">
        <v>29116</v>
      </c>
      <c r="I146" s="198">
        <v>5</v>
      </c>
      <c r="J146" s="196">
        <v>2</v>
      </c>
      <c r="K146" s="196"/>
      <c r="P146" s="201" t="str">
        <f t="shared" si="2"/>
        <v>||||||||||||||||||||||||||||||</v>
      </c>
    </row>
    <row r="147" spans="2:16" ht="15" x14ac:dyDescent="0.2">
      <c r="B147" s="196">
        <v>140</v>
      </c>
      <c r="C147" s="195" t="s">
        <v>8186</v>
      </c>
      <c r="D147" s="195" t="s">
        <v>8169</v>
      </c>
      <c r="E147" s="196" t="s">
        <v>17</v>
      </c>
      <c r="F147" s="196" t="s">
        <v>157</v>
      </c>
      <c r="G147" s="196">
        <v>191</v>
      </c>
      <c r="H147" s="202">
        <v>28752</v>
      </c>
      <c r="I147" s="198">
        <v>2</v>
      </c>
      <c r="J147" s="196">
        <v>2</v>
      </c>
      <c r="K147" s="196"/>
      <c r="P147" s="201" t="str">
        <f t="shared" si="2"/>
        <v>|||||||||||||||||||||||||||||||||||||||||</v>
      </c>
    </row>
    <row r="148" spans="2:16" ht="15" x14ac:dyDescent="0.2">
      <c r="B148" s="196">
        <v>141</v>
      </c>
      <c r="C148" s="195" t="s">
        <v>8187</v>
      </c>
      <c r="D148" s="195" t="s">
        <v>8173</v>
      </c>
      <c r="E148" s="196" t="s">
        <v>21</v>
      </c>
      <c r="F148" s="196" t="s">
        <v>157</v>
      </c>
      <c r="G148" s="196">
        <v>184</v>
      </c>
      <c r="H148" s="202">
        <v>33832</v>
      </c>
      <c r="I148" s="198">
        <v>3</v>
      </c>
      <c r="J148" s="196">
        <v>2</v>
      </c>
      <c r="K148" s="196"/>
      <c r="P148" s="201" t="str">
        <f t="shared" si="2"/>
        <v>||||||||||||||||||||||||||||||||||</v>
      </c>
    </row>
    <row r="149" spans="2:16" ht="15" x14ac:dyDescent="0.2">
      <c r="B149" s="196">
        <v>142</v>
      </c>
      <c r="C149" s="195" t="s">
        <v>8188</v>
      </c>
      <c r="D149" s="195" t="s">
        <v>8175</v>
      </c>
      <c r="E149" s="196" t="s">
        <v>17</v>
      </c>
      <c r="F149" s="196" t="s">
        <v>17</v>
      </c>
      <c r="G149" s="196">
        <v>193</v>
      </c>
      <c r="H149" s="202">
        <v>28968</v>
      </c>
      <c r="I149" s="198">
        <v>2</v>
      </c>
      <c r="J149" s="196">
        <v>1</v>
      </c>
      <c r="K149" s="196"/>
      <c r="P149" s="201" t="str">
        <f t="shared" si="2"/>
        <v>|||||||||||||||||||||||||||||||||||||||||||</v>
      </c>
    </row>
    <row r="150" spans="2:16" ht="15" x14ac:dyDescent="0.2">
      <c r="B150" s="196">
        <v>143</v>
      </c>
      <c r="C150" s="195" t="s">
        <v>8189</v>
      </c>
      <c r="D150" s="195" t="s">
        <v>8177</v>
      </c>
      <c r="E150" s="196" t="s">
        <v>21</v>
      </c>
      <c r="F150" s="196" t="s">
        <v>157</v>
      </c>
      <c r="G150" s="196">
        <v>185</v>
      </c>
      <c r="H150" s="202">
        <v>28610</v>
      </c>
      <c r="I150" s="198">
        <v>2</v>
      </c>
      <c r="J150" s="196">
        <v>1</v>
      </c>
      <c r="K150" s="196"/>
      <c r="P150" s="201" t="str">
        <f t="shared" si="2"/>
        <v>|||||||||||||||||||||||||||||||||||</v>
      </c>
    </row>
    <row r="151" spans="2:16" ht="15" x14ac:dyDescent="0.2">
      <c r="B151" s="196">
        <v>144</v>
      </c>
      <c r="C151" s="195" t="s">
        <v>8190</v>
      </c>
      <c r="D151" s="195" t="s">
        <v>102</v>
      </c>
      <c r="E151" s="196" t="s">
        <v>17</v>
      </c>
      <c r="F151" s="196" t="s">
        <v>157</v>
      </c>
      <c r="G151" s="196">
        <v>161</v>
      </c>
      <c r="H151" s="202">
        <v>35811</v>
      </c>
      <c r="I151" s="198">
        <v>4</v>
      </c>
      <c r="J151" s="196">
        <v>3</v>
      </c>
      <c r="K151" s="196"/>
      <c r="P151" s="201" t="str">
        <f t="shared" si="2"/>
        <v>|||||||||||</v>
      </c>
    </row>
    <row r="152" spans="2:16" ht="15" x14ac:dyDescent="0.2">
      <c r="B152" s="196">
        <v>145</v>
      </c>
      <c r="C152" s="195" t="s">
        <v>8191</v>
      </c>
      <c r="D152" s="195" t="s">
        <v>8137</v>
      </c>
      <c r="E152" s="196" t="s">
        <v>21</v>
      </c>
      <c r="F152" s="196" t="s">
        <v>157</v>
      </c>
      <c r="G152" s="196">
        <v>175</v>
      </c>
      <c r="H152" s="202">
        <v>24828</v>
      </c>
      <c r="I152" s="198">
        <v>3</v>
      </c>
      <c r="J152" s="196">
        <v>1</v>
      </c>
      <c r="K152" s="196"/>
      <c r="P152" s="201" t="str">
        <f t="shared" si="2"/>
        <v>|||||||||||||||||||||||||</v>
      </c>
    </row>
    <row r="153" spans="2:16" ht="15" x14ac:dyDescent="0.2">
      <c r="B153" s="196">
        <v>146</v>
      </c>
      <c r="C153" s="195" t="s">
        <v>8192</v>
      </c>
      <c r="D153" s="195" t="s">
        <v>7141</v>
      </c>
      <c r="E153" s="196" t="s">
        <v>17</v>
      </c>
      <c r="F153" s="196" t="s">
        <v>157</v>
      </c>
      <c r="G153" s="196">
        <v>155</v>
      </c>
      <c r="H153" s="202">
        <v>25682</v>
      </c>
      <c r="I153" s="198">
        <v>5</v>
      </c>
      <c r="J153" s="196">
        <v>1</v>
      </c>
      <c r="K153" s="196"/>
      <c r="P153" s="201" t="str">
        <f t="shared" si="2"/>
        <v>|||||</v>
      </c>
    </row>
    <row r="154" spans="2:16" ht="15" x14ac:dyDescent="0.2">
      <c r="B154" s="196">
        <v>147</v>
      </c>
      <c r="C154" s="195" t="s">
        <v>8193</v>
      </c>
      <c r="D154" s="195" t="s">
        <v>6962</v>
      </c>
      <c r="E154" s="196" t="s">
        <v>21</v>
      </c>
      <c r="F154" s="196" t="s">
        <v>157</v>
      </c>
      <c r="G154" s="196">
        <v>155</v>
      </c>
      <c r="H154" s="202">
        <v>36070</v>
      </c>
      <c r="I154" s="198">
        <v>2</v>
      </c>
      <c r="J154" s="196">
        <v>2</v>
      </c>
      <c r="K154" s="196"/>
      <c r="P154" s="201" t="str">
        <f t="shared" si="2"/>
        <v>|||||</v>
      </c>
    </row>
    <row r="155" spans="2:16" ht="15" x14ac:dyDescent="0.2">
      <c r="B155" s="196">
        <v>148</v>
      </c>
      <c r="C155" s="195" t="s">
        <v>296</v>
      </c>
      <c r="D155" s="195" t="s">
        <v>8135</v>
      </c>
      <c r="E155" s="196" t="s">
        <v>17</v>
      </c>
      <c r="F155" s="196" t="s">
        <v>157</v>
      </c>
      <c r="G155" s="196">
        <v>164</v>
      </c>
      <c r="H155" s="202">
        <v>32991</v>
      </c>
      <c r="I155" s="198">
        <v>5</v>
      </c>
      <c r="J155" s="196">
        <v>3</v>
      </c>
      <c r="K155" s="196"/>
      <c r="P155" s="201" t="str">
        <f t="shared" si="2"/>
        <v>||||||||||||||</v>
      </c>
    </row>
    <row r="156" spans="2:16" ht="15" x14ac:dyDescent="0.2">
      <c r="B156" s="196">
        <v>149</v>
      </c>
      <c r="C156" s="195" t="s">
        <v>8195</v>
      </c>
      <c r="D156" s="195" t="s">
        <v>8140</v>
      </c>
      <c r="E156" s="196" t="s">
        <v>17</v>
      </c>
      <c r="F156" s="196" t="s">
        <v>157</v>
      </c>
      <c r="G156" s="196">
        <v>163</v>
      </c>
      <c r="H156" s="202">
        <v>33248</v>
      </c>
      <c r="I156" s="198">
        <v>4</v>
      </c>
      <c r="J156" s="196">
        <v>3</v>
      </c>
      <c r="K156" s="196"/>
      <c r="P156" s="201" t="str">
        <f t="shared" si="2"/>
        <v>|||||||||||||</v>
      </c>
    </row>
    <row r="157" spans="2:16" ht="15" x14ac:dyDescent="0.2">
      <c r="B157" s="196">
        <v>150</v>
      </c>
      <c r="C157" s="195" t="s">
        <v>8136</v>
      </c>
      <c r="D157" s="195" t="s">
        <v>713</v>
      </c>
      <c r="E157" s="196" t="s">
        <v>17</v>
      </c>
      <c r="F157" s="196" t="s">
        <v>157</v>
      </c>
      <c r="G157" s="196">
        <v>185</v>
      </c>
      <c r="H157" s="202">
        <v>28385</v>
      </c>
      <c r="I157" s="198">
        <v>2</v>
      </c>
      <c r="J157" s="196">
        <v>1</v>
      </c>
      <c r="K157" s="196"/>
      <c r="P157" s="201" t="str">
        <f t="shared" si="2"/>
        <v>|||||||||||||||||||||||||||||||||||</v>
      </c>
    </row>
    <row r="158" spans="2:16" ht="15" x14ac:dyDescent="0.2">
      <c r="B158" s="196">
        <v>151</v>
      </c>
      <c r="C158" s="195" t="s">
        <v>8138</v>
      </c>
      <c r="D158" s="195" t="s">
        <v>7141</v>
      </c>
      <c r="E158" s="196" t="s">
        <v>21</v>
      </c>
      <c r="F158" s="196" t="s">
        <v>2677</v>
      </c>
      <c r="G158" s="196">
        <v>186</v>
      </c>
      <c r="H158" s="202">
        <v>33612</v>
      </c>
      <c r="I158" s="198">
        <v>3</v>
      </c>
      <c r="J158" s="196">
        <v>3</v>
      </c>
      <c r="K158" s="196"/>
      <c r="P158" s="201" t="str">
        <f t="shared" si="2"/>
        <v>||||||||||||||||||||||||||||||||||||</v>
      </c>
    </row>
    <row r="159" spans="2:16" ht="15" x14ac:dyDescent="0.2">
      <c r="B159" s="196">
        <v>152</v>
      </c>
      <c r="C159" s="195" t="s">
        <v>8139</v>
      </c>
      <c r="D159" s="195" t="s">
        <v>8137</v>
      </c>
      <c r="E159" s="196" t="s">
        <v>17</v>
      </c>
      <c r="F159" s="196" t="s">
        <v>157</v>
      </c>
      <c r="G159" s="196">
        <v>194</v>
      </c>
      <c r="H159" s="202">
        <v>31138</v>
      </c>
      <c r="I159" s="198">
        <v>1</v>
      </c>
      <c r="J159" s="196">
        <v>2</v>
      </c>
      <c r="K159" s="196"/>
      <c r="P159" s="201" t="str">
        <f t="shared" si="2"/>
        <v>||||||||||||||||||||||||||||||||||||||||||||</v>
      </c>
    </row>
    <row r="160" spans="2:16" ht="15" x14ac:dyDescent="0.2">
      <c r="B160" s="196">
        <v>153</v>
      </c>
      <c r="C160" s="195" t="s">
        <v>8141</v>
      </c>
      <c r="D160" s="195" t="s">
        <v>6983</v>
      </c>
      <c r="E160" s="196" t="s">
        <v>21</v>
      </c>
      <c r="F160" s="196" t="s">
        <v>17</v>
      </c>
      <c r="G160" s="196">
        <v>175</v>
      </c>
      <c r="H160" s="202">
        <v>34640</v>
      </c>
      <c r="I160" s="198">
        <v>5</v>
      </c>
      <c r="J160" s="196">
        <v>2</v>
      </c>
      <c r="K160" s="196"/>
      <c r="P160" s="201" t="str">
        <f t="shared" si="2"/>
        <v>|||||||||||||||||||||||||</v>
      </c>
    </row>
    <row r="161" spans="2:16" ht="15" x14ac:dyDescent="0.2">
      <c r="B161" s="196">
        <v>154</v>
      </c>
      <c r="C161" s="195" t="s">
        <v>8142</v>
      </c>
      <c r="D161" s="195" t="s">
        <v>6962</v>
      </c>
      <c r="E161" s="196" t="s">
        <v>17</v>
      </c>
      <c r="F161" s="196" t="s">
        <v>157</v>
      </c>
      <c r="G161" s="196">
        <v>184</v>
      </c>
      <c r="H161" s="202">
        <v>30626</v>
      </c>
      <c r="I161" s="198">
        <v>5</v>
      </c>
      <c r="J161" s="196">
        <v>1</v>
      </c>
      <c r="K161" s="196"/>
      <c r="P161" s="201" t="str">
        <f t="shared" si="2"/>
        <v>||||||||||||||||||||||||||||||||||</v>
      </c>
    </row>
    <row r="162" spans="2:16" ht="15" x14ac:dyDescent="0.2">
      <c r="B162" s="196">
        <v>155</v>
      </c>
      <c r="C162" s="195" t="s">
        <v>8143</v>
      </c>
      <c r="D162" s="195" t="s">
        <v>6944</v>
      </c>
      <c r="E162" s="196" t="s">
        <v>21</v>
      </c>
      <c r="F162" s="196" t="s">
        <v>157</v>
      </c>
      <c r="G162" s="196">
        <v>187</v>
      </c>
      <c r="H162" s="202">
        <v>28483</v>
      </c>
      <c r="I162" s="198">
        <v>5</v>
      </c>
      <c r="J162" s="196">
        <v>3</v>
      </c>
      <c r="K162" s="196"/>
      <c r="P162" s="201" t="str">
        <f t="shared" si="2"/>
        <v>|||||||||||||||||||||||||||||||||||||</v>
      </c>
    </row>
    <row r="163" spans="2:16" ht="15" x14ac:dyDescent="0.2">
      <c r="B163" s="196">
        <v>156</v>
      </c>
      <c r="C163" s="195" t="s">
        <v>8144</v>
      </c>
      <c r="D163" s="195" t="s">
        <v>8145</v>
      </c>
      <c r="E163" s="196" t="s">
        <v>17</v>
      </c>
      <c r="F163" s="196" t="s">
        <v>157</v>
      </c>
      <c r="G163" s="196">
        <v>161</v>
      </c>
      <c r="H163" s="202">
        <v>30728</v>
      </c>
      <c r="I163" s="198">
        <v>3</v>
      </c>
      <c r="J163" s="196">
        <v>3</v>
      </c>
      <c r="K163" s="196"/>
      <c r="P163" s="201" t="str">
        <f t="shared" si="2"/>
        <v>|||||||||||</v>
      </c>
    </row>
    <row r="164" spans="2:16" ht="15" x14ac:dyDescent="0.2">
      <c r="B164" s="196">
        <v>157</v>
      </c>
      <c r="C164" s="195" t="s">
        <v>8146</v>
      </c>
      <c r="D164" s="195" t="s">
        <v>8147</v>
      </c>
      <c r="E164" s="196" t="s">
        <v>21</v>
      </c>
      <c r="F164" s="196" t="s">
        <v>157</v>
      </c>
      <c r="G164" s="196">
        <v>175</v>
      </c>
      <c r="H164" s="202">
        <v>24973</v>
      </c>
      <c r="I164" s="198">
        <v>3</v>
      </c>
      <c r="J164" s="196">
        <v>2</v>
      </c>
      <c r="K164" s="196"/>
      <c r="P164" s="201" t="str">
        <f t="shared" si="2"/>
        <v>|||||||||||||||||||||||||</v>
      </c>
    </row>
    <row r="165" spans="2:16" ht="15" x14ac:dyDescent="0.2">
      <c r="B165" s="196">
        <v>158</v>
      </c>
      <c r="C165" s="195" t="s">
        <v>8148</v>
      </c>
      <c r="D165" s="195" t="s">
        <v>8149</v>
      </c>
      <c r="E165" s="196" t="s">
        <v>17</v>
      </c>
      <c r="F165" s="196" t="s">
        <v>157</v>
      </c>
      <c r="G165" s="196">
        <v>178</v>
      </c>
      <c r="H165" s="202">
        <v>30778</v>
      </c>
      <c r="I165" s="198">
        <v>2</v>
      </c>
      <c r="J165" s="196">
        <v>2</v>
      </c>
      <c r="K165" s="196"/>
      <c r="P165" s="201" t="str">
        <f t="shared" si="2"/>
        <v>||||||||||||||||||||||||||||</v>
      </c>
    </row>
    <row r="166" spans="2:16" ht="15" x14ac:dyDescent="0.2">
      <c r="B166" s="196">
        <v>159</v>
      </c>
      <c r="C166" s="195" t="s">
        <v>8150</v>
      </c>
      <c r="D166" s="195" t="s">
        <v>8151</v>
      </c>
      <c r="E166" s="196" t="s">
        <v>21</v>
      </c>
      <c r="F166" s="196" t="s">
        <v>157</v>
      </c>
      <c r="G166" s="196">
        <v>166</v>
      </c>
      <c r="H166" s="202">
        <v>30670</v>
      </c>
      <c r="I166" s="198">
        <v>4</v>
      </c>
      <c r="J166" s="196">
        <v>3</v>
      </c>
      <c r="K166" s="196"/>
      <c r="P166" s="201" t="str">
        <f t="shared" si="2"/>
        <v>||||||||||||||||</v>
      </c>
    </row>
    <row r="167" spans="2:16" ht="15" x14ac:dyDescent="0.2">
      <c r="B167" s="196">
        <v>160</v>
      </c>
      <c r="C167" s="195" t="s">
        <v>8152</v>
      </c>
      <c r="D167" s="195" t="s">
        <v>8153</v>
      </c>
      <c r="E167" s="196" t="s">
        <v>17</v>
      </c>
      <c r="F167" s="196" t="s">
        <v>157</v>
      </c>
      <c r="G167" s="196">
        <v>167</v>
      </c>
      <c r="H167" s="202">
        <v>29294</v>
      </c>
      <c r="I167" s="198">
        <v>3</v>
      </c>
      <c r="J167" s="196">
        <v>2</v>
      </c>
      <c r="K167" s="196"/>
      <c r="P167" s="201" t="str">
        <f t="shared" si="2"/>
        <v>|||||||||||||||||</v>
      </c>
    </row>
    <row r="168" spans="2:16" ht="15" x14ac:dyDescent="0.2">
      <c r="B168" s="196">
        <v>161</v>
      </c>
      <c r="C168" s="195" t="s">
        <v>8154</v>
      </c>
      <c r="D168" s="195" t="s">
        <v>8155</v>
      </c>
      <c r="E168" s="196" t="s">
        <v>21</v>
      </c>
      <c r="F168" s="196" t="s">
        <v>17</v>
      </c>
      <c r="G168" s="196">
        <v>162</v>
      </c>
      <c r="H168" s="202">
        <v>35533</v>
      </c>
      <c r="I168" s="198">
        <v>2</v>
      </c>
      <c r="J168" s="196">
        <v>2</v>
      </c>
      <c r="K168" s="196"/>
      <c r="P168" s="201" t="str">
        <f t="shared" si="2"/>
        <v>||||||||||||</v>
      </c>
    </row>
    <row r="169" spans="2:16" ht="15" x14ac:dyDescent="0.2">
      <c r="B169" s="196">
        <v>162</v>
      </c>
      <c r="C169" s="195" t="s">
        <v>8156</v>
      </c>
      <c r="D169" s="195" t="s">
        <v>8157</v>
      </c>
      <c r="E169" s="196" t="s">
        <v>17</v>
      </c>
      <c r="F169" s="196" t="s">
        <v>17</v>
      </c>
      <c r="G169" s="196">
        <v>157</v>
      </c>
      <c r="H169" s="202">
        <v>35654</v>
      </c>
      <c r="I169" s="198">
        <v>1</v>
      </c>
      <c r="J169" s="196">
        <v>3</v>
      </c>
      <c r="K169" s="196"/>
      <c r="P169" s="201" t="str">
        <f t="shared" si="2"/>
        <v>|||||||</v>
      </c>
    </row>
    <row r="170" spans="2:16" ht="15" x14ac:dyDescent="0.2">
      <c r="B170" s="196">
        <v>163</v>
      </c>
      <c r="C170" s="195" t="s">
        <v>1508</v>
      </c>
      <c r="D170" s="195" t="s">
        <v>8158</v>
      </c>
      <c r="E170" s="196" t="s">
        <v>21</v>
      </c>
      <c r="F170" s="196" t="s">
        <v>17</v>
      </c>
      <c r="G170" s="196">
        <v>168</v>
      </c>
      <c r="H170" s="202">
        <v>26281</v>
      </c>
      <c r="I170" s="198">
        <v>4</v>
      </c>
      <c r="J170" s="196">
        <v>2</v>
      </c>
      <c r="K170" s="196"/>
      <c r="P170" s="201" t="str">
        <f t="shared" si="2"/>
        <v>||||||||||||||||||</v>
      </c>
    </row>
    <row r="171" spans="2:16" ht="15" x14ac:dyDescent="0.2">
      <c r="B171" s="196">
        <v>164</v>
      </c>
      <c r="C171" s="195" t="s">
        <v>8159</v>
      </c>
      <c r="D171" s="195" t="s">
        <v>107</v>
      </c>
      <c r="E171" s="196" t="s">
        <v>17</v>
      </c>
      <c r="F171" s="196" t="s">
        <v>157</v>
      </c>
      <c r="G171" s="196">
        <v>172</v>
      </c>
      <c r="H171" s="202">
        <v>27100</v>
      </c>
      <c r="I171" s="198">
        <v>5</v>
      </c>
      <c r="J171" s="196">
        <v>3</v>
      </c>
      <c r="K171" s="196"/>
      <c r="P171" s="201" t="str">
        <f t="shared" si="2"/>
        <v>||||||||||||||||||||||</v>
      </c>
    </row>
    <row r="172" spans="2:16" ht="15" x14ac:dyDescent="0.2">
      <c r="B172" s="196">
        <v>165</v>
      </c>
      <c r="C172" s="195" t="s">
        <v>8160</v>
      </c>
      <c r="D172" s="195" t="s">
        <v>8161</v>
      </c>
      <c r="E172" s="196" t="s">
        <v>21</v>
      </c>
      <c r="F172" s="196" t="s">
        <v>157</v>
      </c>
      <c r="G172" s="196">
        <v>192</v>
      </c>
      <c r="H172" s="202">
        <v>30006</v>
      </c>
      <c r="I172" s="198">
        <v>3</v>
      </c>
      <c r="J172" s="196">
        <v>1</v>
      </c>
      <c r="K172" s="196"/>
      <c r="P172" s="201" t="str">
        <f t="shared" si="2"/>
        <v>||||||||||||||||||||||||||||||||||||||||||</v>
      </c>
    </row>
    <row r="173" spans="2:16" ht="15" x14ac:dyDescent="0.2">
      <c r="B173" s="196">
        <v>166</v>
      </c>
      <c r="C173" s="195" t="s">
        <v>6966</v>
      </c>
      <c r="D173" s="195" t="s">
        <v>8162</v>
      </c>
      <c r="E173" s="196" t="s">
        <v>17</v>
      </c>
      <c r="F173" s="196" t="s">
        <v>157</v>
      </c>
      <c r="G173" s="196">
        <v>172</v>
      </c>
      <c r="H173" s="202">
        <v>25541</v>
      </c>
      <c r="I173" s="198">
        <v>4</v>
      </c>
      <c r="J173" s="196">
        <v>1</v>
      </c>
      <c r="K173" s="196"/>
      <c r="P173" s="201" t="str">
        <f t="shared" si="2"/>
        <v>||||||||||||||||||||||</v>
      </c>
    </row>
    <row r="174" spans="2:16" ht="15" x14ac:dyDescent="0.2">
      <c r="B174" s="196">
        <v>167</v>
      </c>
      <c r="C174" s="195" t="s">
        <v>8163</v>
      </c>
      <c r="D174" s="195" t="s">
        <v>6954</v>
      </c>
      <c r="E174" s="196" t="s">
        <v>21</v>
      </c>
      <c r="F174" s="196" t="s">
        <v>17</v>
      </c>
      <c r="G174" s="196">
        <v>184</v>
      </c>
      <c r="H174" s="202">
        <v>33340</v>
      </c>
      <c r="I174" s="198">
        <v>5</v>
      </c>
      <c r="J174" s="196">
        <v>3</v>
      </c>
      <c r="K174" s="196"/>
      <c r="P174" s="201" t="str">
        <f t="shared" si="2"/>
        <v>||||||||||||||||||||||||||||||||||</v>
      </c>
    </row>
    <row r="175" spans="2:16" ht="15" x14ac:dyDescent="0.2">
      <c r="B175" s="196">
        <v>168</v>
      </c>
      <c r="C175" s="195" t="s">
        <v>8164</v>
      </c>
      <c r="D175" s="195" t="s">
        <v>8165</v>
      </c>
      <c r="E175" s="196" t="s">
        <v>17</v>
      </c>
      <c r="F175" s="196" t="s">
        <v>17</v>
      </c>
      <c r="G175" s="196">
        <v>181</v>
      </c>
      <c r="H175" s="202">
        <v>35778</v>
      </c>
      <c r="I175" s="198">
        <v>4</v>
      </c>
      <c r="J175" s="196">
        <v>3</v>
      </c>
      <c r="K175" s="196"/>
      <c r="P175" s="201" t="str">
        <f t="shared" si="2"/>
        <v>|||||||||||||||||||||||||||||||</v>
      </c>
    </row>
    <row r="176" spans="2:16" ht="15" x14ac:dyDescent="0.2">
      <c r="B176" s="196">
        <v>169</v>
      </c>
      <c r="C176" s="195" t="s">
        <v>8166</v>
      </c>
      <c r="D176" s="195" t="s">
        <v>56</v>
      </c>
      <c r="E176" s="196" t="s">
        <v>21</v>
      </c>
      <c r="F176" s="196" t="s">
        <v>157</v>
      </c>
      <c r="G176" s="196">
        <v>160</v>
      </c>
      <c r="H176" s="202">
        <v>27348</v>
      </c>
      <c r="I176" s="198">
        <v>1</v>
      </c>
      <c r="J176" s="196">
        <v>3</v>
      </c>
      <c r="K176" s="196"/>
      <c r="P176" s="201" t="str">
        <f t="shared" si="2"/>
        <v>||||||||||</v>
      </c>
    </row>
    <row r="177" spans="2:16" ht="15" x14ac:dyDescent="0.2">
      <c r="B177" s="196">
        <v>170</v>
      </c>
      <c r="C177" s="195" t="s">
        <v>8167</v>
      </c>
      <c r="D177" s="195" t="s">
        <v>8168</v>
      </c>
      <c r="E177" s="196" t="s">
        <v>17</v>
      </c>
      <c r="F177" s="196" t="s">
        <v>157</v>
      </c>
      <c r="G177" s="196">
        <v>155</v>
      </c>
      <c r="H177" s="202">
        <v>23962</v>
      </c>
      <c r="I177" s="198">
        <v>4</v>
      </c>
      <c r="J177" s="196">
        <v>3</v>
      </c>
      <c r="K177" s="196"/>
      <c r="P177" s="201" t="str">
        <f t="shared" si="2"/>
        <v>|||||</v>
      </c>
    </row>
    <row r="178" spans="2:16" ht="15" x14ac:dyDescent="0.2">
      <c r="B178" s="196">
        <v>171</v>
      </c>
      <c r="C178" s="195" t="s">
        <v>269</v>
      </c>
      <c r="D178" s="195" t="s">
        <v>8169</v>
      </c>
      <c r="E178" s="196" t="s">
        <v>21</v>
      </c>
      <c r="F178" s="196" t="s">
        <v>157</v>
      </c>
      <c r="G178" s="196">
        <v>193</v>
      </c>
      <c r="H178" s="202">
        <v>25302</v>
      </c>
      <c r="I178" s="198">
        <v>5</v>
      </c>
      <c r="J178" s="196">
        <v>2</v>
      </c>
      <c r="K178" s="196"/>
      <c r="P178" s="201" t="str">
        <f t="shared" si="2"/>
        <v>|||||||||||||||||||||||||||||||||||||||||||</v>
      </c>
    </row>
    <row r="179" spans="2:16" ht="15" x14ac:dyDescent="0.2">
      <c r="B179" s="196">
        <v>172</v>
      </c>
      <c r="C179" s="195" t="s">
        <v>8170</v>
      </c>
      <c r="D179" s="195" t="s">
        <v>6914</v>
      </c>
      <c r="E179" s="196" t="s">
        <v>17</v>
      </c>
      <c r="F179" s="196" t="s">
        <v>157</v>
      </c>
      <c r="G179" s="196">
        <v>157</v>
      </c>
      <c r="H179" s="202">
        <v>31540</v>
      </c>
      <c r="I179" s="198">
        <v>3</v>
      </c>
      <c r="J179" s="196">
        <v>1</v>
      </c>
      <c r="K179" s="196"/>
      <c r="P179" s="201" t="str">
        <f t="shared" si="2"/>
        <v>|||||||</v>
      </c>
    </row>
    <row r="180" spans="2:16" ht="15" x14ac:dyDescent="0.2">
      <c r="B180" s="196">
        <v>173</v>
      </c>
      <c r="C180" s="195" t="s">
        <v>231</v>
      </c>
      <c r="D180" s="195" t="s">
        <v>8171</v>
      </c>
      <c r="E180" s="196" t="s">
        <v>21</v>
      </c>
      <c r="F180" s="196" t="s">
        <v>17</v>
      </c>
      <c r="G180" s="196">
        <v>157</v>
      </c>
      <c r="H180" s="202">
        <v>30674</v>
      </c>
      <c r="I180" s="198">
        <v>2</v>
      </c>
      <c r="J180" s="196">
        <v>2</v>
      </c>
      <c r="K180" s="196"/>
      <c r="P180" s="201" t="str">
        <f t="shared" si="2"/>
        <v>|||||||</v>
      </c>
    </row>
    <row r="181" spans="2:16" ht="15" x14ac:dyDescent="0.2">
      <c r="B181" s="196">
        <v>174</v>
      </c>
      <c r="C181" s="195" t="s">
        <v>8172</v>
      </c>
      <c r="D181" s="195" t="s">
        <v>8173</v>
      </c>
      <c r="E181" s="196" t="s">
        <v>2705</v>
      </c>
      <c r="F181" s="196" t="s">
        <v>17</v>
      </c>
      <c r="G181" s="196">
        <v>159</v>
      </c>
      <c r="H181" s="202">
        <v>29926</v>
      </c>
      <c r="I181" s="198">
        <v>1</v>
      </c>
      <c r="J181" s="196">
        <v>2</v>
      </c>
      <c r="K181" s="196"/>
      <c r="P181" s="201" t="str">
        <f t="shared" si="2"/>
        <v>|||||||||</v>
      </c>
    </row>
    <row r="182" spans="2:16" ht="15" x14ac:dyDescent="0.2">
      <c r="B182" s="196">
        <v>175</v>
      </c>
      <c r="C182" s="195" t="s">
        <v>8174</v>
      </c>
      <c r="D182" s="195" t="s">
        <v>8175</v>
      </c>
      <c r="E182" s="196" t="s">
        <v>21</v>
      </c>
      <c r="F182" s="196" t="s">
        <v>17</v>
      </c>
      <c r="G182" s="196">
        <v>186</v>
      </c>
      <c r="H182" s="202">
        <v>32312</v>
      </c>
      <c r="I182" s="198">
        <v>5</v>
      </c>
      <c r="J182" s="196">
        <v>1</v>
      </c>
      <c r="K182" s="196"/>
      <c r="P182" s="201" t="str">
        <f t="shared" si="2"/>
        <v>||||||||||||||||||||||||||||||||||||</v>
      </c>
    </row>
    <row r="183" spans="2:16" ht="15" x14ac:dyDescent="0.2">
      <c r="B183" s="196">
        <v>176</v>
      </c>
      <c r="C183" s="195" t="s">
        <v>8176</v>
      </c>
      <c r="D183" s="195" t="s">
        <v>8177</v>
      </c>
      <c r="E183" s="196" t="s">
        <v>17</v>
      </c>
      <c r="F183" s="196" t="s">
        <v>17</v>
      </c>
      <c r="G183" s="196">
        <v>177</v>
      </c>
      <c r="H183" s="202">
        <v>34260</v>
      </c>
      <c r="I183" s="198">
        <v>3</v>
      </c>
      <c r="J183" s="196">
        <v>2</v>
      </c>
      <c r="K183" s="196"/>
      <c r="P183" s="201" t="str">
        <f t="shared" si="2"/>
        <v>|||||||||||||||||||||||||||</v>
      </c>
    </row>
    <row r="184" spans="2:16" ht="15" x14ac:dyDescent="0.2">
      <c r="B184" s="196">
        <v>177</v>
      </c>
      <c r="C184" s="195" t="s">
        <v>8178</v>
      </c>
      <c r="D184" s="195" t="s">
        <v>8155</v>
      </c>
      <c r="E184" s="196" t="s">
        <v>21</v>
      </c>
      <c r="F184" s="196" t="s">
        <v>17</v>
      </c>
      <c r="G184" s="196">
        <v>189</v>
      </c>
      <c r="H184" s="202">
        <v>32391</v>
      </c>
      <c r="I184" s="198">
        <v>4</v>
      </c>
      <c r="J184" s="196">
        <v>2</v>
      </c>
      <c r="K184" s="196"/>
      <c r="P184" s="201" t="str">
        <f t="shared" si="2"/>
        <v>|||||||||||||||||||||||||||||||||||||||</v>
      </c>
    </row>
    <row r="185" spans="2:16" ht="15" x14ac:dyDescent="0.2">
      <c r="B185" s="196">
        <v>178</v>
      </c>
      <c r="C185" s="195" t="s">
        <v>8179</v>
      </c>
      <c r="D185" s="195" t="s">
        <v>102</v>
      </c>
      <c r="E185" s="196" t="s">
        <v>17</v>
      </c>
      <c r="F185" s="196" t="s">
        <v>157</v>
      </c>
      <c r="G185" s="196">
        <v>155</v>
      </c>
      <c r="H185" s="202">
        <v>30379</v>
      </c>
      <c r="I185" s="198">
        <v>5</v>
      </c>
      <c r="J185" s="196">
        <v>3</v>
      </c>
      <c r="K185" s="196"/>
      <c r="P185" s="201" t="str">
        <f t="shared" si="2"/>
        <v>|||||</v>
      </c>
    </row>
    <row r="186" spans="2:16" ht="15" x14ac:dyDescent="0.2">
      <c r="B186" s="196">
        <v>179</v>
      </c>
      <c r="C186" s="195" t="s">
        <v>91</v>
      </c>
      <c r="D186" s="195" t="s">
        <v>6944</v>
      </c>
      <c r="E186" s="196" t="s">
        <v>21</v>
      </c>
      <c r="F186" s="196" t="s">
        <v>17</v>
      </c>
      <c r="G186" s="196">
        <v>159</v>
      </c>
      <c r="H186" s="202">
        <v>31499</v>
      </c>
      <c r="I186" s="198">
        <v>1</v>
      </c>
      <c r="J186" s="196">
        <v>3</v>
      </c>
      <c r="K186" s="196"/>
      <c r="P186" s="201" t="str">
        <f t="shared" si="2"/>
        <v>|||||||||</v>
      </c>
    </row>
    <row r="187" spans="2:16" ht="15" x14ac:dyDescent="0.2">
      <c r="B187" s="196">
        <v>180</v>
      </c>
      <c r="C187" s="195" t="s">
        <v>8180</v>
      </c>
      <c r="D187" s="195" t="s">
        <v>713</v>
      </c>
      <c r="E187" s="196" t="s">
        <v>17</v>
      </c>
      <c r="F187" s="196" t="s">
        <v>17</v>
      </c>
      <c r="G187" s="196">
        <v>155</v>
      </c>
      <c r="H187" s="202">
        <v>26622</v>
      </c>
      <c r="I187" s="198">
        <v>4</v>
      </c>
      <c r="J187" s="196">
        <v>3</v>
      </c>
      <c r="K187" s="196"/>
      <c r="P187" s="201" t="str">
        <f t="shared" si="2"/>
        <v>|||||</v>
      </c>
    </row>
    <row r="188" spans="2:16" ht="15" x14ac:dyDescent="0.2">
      <c r="B188" s="196">
        <v>181</v>
      </c>
      <c r="C188" s="195" t="s">
        <v>8181</v>
      </c>
      <c r="D188" s="195" t="s">
        <v>8137</v>
      </c>
      <c r="E188" s="196" t="s">
        <v>21</v>
      </c>
      <c r="F188" s="196" t="s">
        <v>157</v>
      </c>
      <c r="G188" s="196">
        <v>159</v>
      </c>
      <c r="H188" s="202">
        <v>25579</v>
      </c>
      <c r="I188" s="198">
        <v>5</v>
      </c>
      <c r="J188" s="196">
        <v>1</v>
      </c>
      <c r="K188" s="196"/>
      <c r="P188" s="201" t="str">
        <f t="shared" si="2"/>
        <v>|||||||||</v>
      </c>
    </row>
    <row r="189" spans="2:16" ht="15" x14ac:dyDescent="0.2">
      <c r="B189" s="196">
        <v>182</v>
      </c>
      <c r="C189" s="195" t="s">
        <v>8182</v>
      </c>
      <c r="D189" s="195" t="s">
        <v>7141</v>
      </c>
      <c r="E189" s="196" t="s">
        <v>17</v>
      </c>
      <c r="F189" s="196" t="s">
        <v>17</v>
      </c>
      <c r="G189" s="196">
        <v>175</v>
      </c>
      <c r="H189" s="202">
        <v>29954</v>
      </c>
      <c r="I189" s="198">
        <v>4</v>
      </c>
      <c r="J189" s="196">
        <v>3</v>
      </c>
      <c r="K189" s="196"/>
      <c r="P189" s="201" t="str">
        <f t="shared" si="2"/>
        <v>|||||||||||||||||||||||||</v>
      </c>
    </row>
    <row r="190" spans="2:16" ht="15" x14ac:dyDescent="0.2">
      <c r="B190" s="196">
        <v>183</v>
      </c>
      <c r="C190" s="195" t="s">
        <v>8183</v>
      </c>
      <c r="D190" s="195" t="s">
        <v>6962</v>
      </c>
      <c r="E190" s="196" t="s">
        <v>21</v>
      </c>
      <c r="F190" s="196" t="s">
        <v>2677</v>
      </c>
      <c r="G190" s="196">
        <v>159</v>
      </c>
      <c r="H190" s="202">
        <v>23910</v>
      </c>
      <c r="I190" s="198">
        <v>4</v>
      </c>
      <c r="J190" s="196">
        <v>2</v>
      </c>
      <c r="K190" s="196"/>
      <c r="P190" s="201" t="str">
        <f t="shared" si="2"/>
        <v>|||||||||</v>
      </c>
    </row>
    <row r="191" spans="2:16" ht="15" x14ac:dyDescent="0.2">
      <c r="B191" s="196">
        <v>184</v>
      </c>
      <c r="C191" s="195" t="s">
        <v>8184</v>
      </c>
      <c r="D191" s="195" t="s">
        <v>8135</v>
      </c>
      <c r="E191" s="196" t="s">
        <v>17</v>
      </c>
      <c r="F191" s="196" t="s">
        <v>17</v>
      </c>
      <c r="G191" s="196">
        <v>178</v>
      </c>
      <c r="H191" s="202">
        <v>34478</v>
      </c>
      <c r="I191" s="198">
        <v>3</v>
      </c>
      <c r="J191" s="196">
        <v>2</v>
      </c>
      <c r="K191" s="196"/>
      <c r="P191" s="201" t="str">
        <f t="shared" si="2"/>
        <v>||||||||||||||||||||||||||||</v>
      </c>
    </row>
    <row r="192" spans="2:16" ht="15" x14ac:dyDescent="0.2">
      <c r="B192" s="196">
        <v>185</v>
      </c>
      <c r="C192" s="195" t="s">
        <v>8185</v>
      </c>
      <c r="D192" s="195" t="s">
        <v>8140</v>
      </c>
      <c r="E192" s="196" t="s">
        <v>21</v>
      </c>
      <c r="F192" s="196" t="s">
        <v>2677</v>
      </c>
      <c r="G192" s="196">
        <v>161</v>
      </c>
      <c r="H192" s="202">
        <v>24625</v>
      </c>
      <c r="I192" s="198">
        <v>1</v>
      </c>
      <c r="J192" s="196">
        <v>3</v>
      </c>
      <c r="K192" s="196"/>
      <c r="P192" s="201" t="str">
        <f t="shared" si="2"/>
        <v>|||||||||||</v>
      </c>
    </row>
    <row r="193" spans="2:16" ht="15" x14ac:dyDescent="0.2">
      <c r="B193" s="196">
        <v>186</v>
      </c>
      <c r="C193" s="195" t="s">
        <v>8186</v>
      </c>
      <c r="D193" s="195" t="s">
        <v>6983</v>
      </c>
      <c r="E193" s="196" t="s">
        <v>17</v>
      </c>
      <c r="F193" s="196" t="s">
        <v>157</v>
      </c>
      <c r="G193" s="196">
        <v>188</v>
      </c>
      <c r="H193" s="202">
        <v>33233</v>
      </c>
      <c r="I193" s="198">
        <v>3</v>
      </c>
      <c r="J193" s="196">
        <v>2</v>
      </c>
      <c r="K193" s="196"/>
      <c r="P193" s="201" t="str">
        <f t="shared" si="2"/>
        <v>||||||||||||||||||||||||||||||||||||||</v>
      </c>
    </row>
    <row r="194" spans="2:16" ht="15" x14ac:dyDescent="0.2">
      <c r="B194" s="196">
        <v>187</v>
      </c>
      <c r="C194" s="195" t="s">
        <v>8187</v>
      </c>
      <c r="D194" s="195" t="s">
        <v>8145</v>
      </c>
      <c r="E194" s="196" t="s">
        <v>21</v>
      </c>
      <c r="F194" s="196" t="s">
        <v>17</v>
      </c>
      <c r="G194" s="196">
        <v>178</v>
      </c>
      <c r="H194" s="202">
        <v>30833</v>
      </c>
      <c r="I194" s="198">
        <v>1</v>
      </c>
      <c r="J194" s="196">
        <v>1</v>
      </c>
      <c r="K194" s="196"/>
      <c r="P194" s="201" t="str">
        <f t="shared" si="2"/>
        <v>||||||||||||||||||||||||||||</v>
      </c>
    </row>
    <row r="195" spans="2:16" ht="15" x14ac:dyDescent="0.2">
      <c r="B195" s="196">
        <v>188</v>
      </c>
      <c r="C195" s="195" t="s">
        <v>8188</v>
      </c>
      <c r="D195" s="195" t="s">
        <v>8149</v>
      </c>
      <c r="E195" s="196" t="s">
        <v>17</v>
      </c>
      <c r="F195" s="196" t="s">
        <v>17</v>
      </c>
      <c r="G195" s="196">
        <v>174</v>
      </c>
      <c r="H195" s="202">
        <v>32142</v>
      </c>
      <c r="I195" s="198">
        <v>3</v>
      </c>
      <c r="J195" s="196">
        <v>1</v>
      </c>
      <c r="K195" s="196"/>
      <c r="P195" s="201" t="str">
        <f t="shared" si="2"/>
        <v>||||||||||||||||||||||||</v>
      </c>
    </row>
    <row r="196" spans="2:16" ht="15" x14ac:dyDescent="0.2">
      <c r="B196" s="196">
        <v>189</v>
      </c>
      <c r="C196" s="195" t="s">
        <v>8189</v>
      </c>
      <c r="D196" s="195" t="s">
        <v>8153</v>
      </c>
      <c r="E196" s="196" t="s">
        <v>21</v>
      </c>
      <c r="F196" s="196" t="s">
        <v>17</v>
      </c>
      <c r="G196" s="196">
        <v>167</v>
      </c>
      <c r="H196" s="202">
        <v>29380</v>
      </c>
      <c r="I196" s="198">
        <v>5</v>
      </c>
      <c r="J196" s="196">
        <v>1</v>
      </c>
      <c r="K196" s="196"/>
      <c r="P196" s="201" t="str">
        <f t="shared" si="2"/>
        <v>|||||||||||||||||</v>
      </c>
    </row>
    <row r="197" spans="2:16" ht="15" x14ac:dyDescent="0.2">
      <c r="B197" s="196">
        <v>190</v>
      </c>
      <c r="C197" s="195" t="s">
        <v>8190</v>
      </c>
      <c r="D197" s="195" t="s">
        <v>8155</v>
      </c>
      <c r="E197" s="196" t="s">
        <v>17</v>
      </c>
      <c r="F197" s="196" t="s">
        <v>157</v>
      </c>
      <c r="G197" s="196">
        <v>170</v>
      </c>
      <c r="H197" s="202">
        <v>27628</v>
      </c>
      <c r="I197" s="198">
        <v>4</v>
      </c>
      <c r="J197" s="196">
        <v>3</v>
      </c>
      <c r="K197" s="196"/>
      <c r="P197" s="201" t="str">
        <f t="shared" si="2"/>
        <v>||||||||||||||||||||</v>
      </c>
    </row>
    <row r="198" spans="2:16" ht="15" x14ac:dyDescent="0.2">
      <c r="B198" s="196">
        <v>191</v>
      </c>
      <c r="C198" s="195" t="s">
        <v>8191</v>
      </c>
      <c r="D198" s="195" t="s">
        <v>8157</v>
      </c>
      <c r="E198" s="196" t="s">
        <v>21</v>
      </c>
      <c r="F198" s="196" t="s">
        <v>157</v>
      </c>
      <c r="G198" s="196">
        <v>186</v>
      </c>
      <c r="H198" s="202">
        <v>35180</v>
      </c>
      <c r="I198" s="198">
        <v>1</v>
      </c>
      <c r="J198" s="196">
        <v>3</v>
      </c>
      <c r="K198" s="196"/>
      <c r="P198" s="201" t="str">
        <f t="shared" si="2"/>
        <v>||||||||||||||||||||||||||||||||||||</v>
      </c>
    </row>
    <row r="199" spans="2:16" ht="15" x14ac:dyDescent="0.2">
      <c r="B199" s="196">
        <v>192</v>
      </c>
      <c r="C199" s="195" t="s">
        <v>8192</v>
      </c>
      <c r="D199" s="195" t="s">
        <v>8158</v>
      </c>
      <c r="E199" s="196" t="s">
        <v>17</v>
      </c>
      <c r="F199" s="196" t="s">
        <v>157</v>
      </c>
      <c r="G199" s="196">
        <v>178</v>
      </c>
      <c r="H199" s="202">
        <v>32580</v>
      </c>
      <c r="I199" s="198">
        <v>4</v>
      </c>
      <c r="J199" s="196">
        <v>1</v>
      </c>
      <c r="K199" s="196"/>
      <c r="P199" s="201" t="str">
        <f t="shared" si="2"/>
        <v>||||||||||||||||||||||||||||</v>
      </c>
    </row>
    <row r="200" spans="2:16" ht="15" x14ac:dyDescent="0.2">
      <c r="B200" s="196">
        <v>193</v>
      </c>
      <c r="C200" s="195" t="s">
        <v>8193</v>
      </c>
      <c r="D200" s="195" t="s">
        <v>107</v>
      </c>
      <c r="E200" s="196" t="s">
        <v>21</v>
      </c>
      <c r="F200" s="196" t="s">
        <v>17</v>
      </c>
      <c r="G200" s="196">
        <v>159</v>
      </c>
      <c r="H200" s="202">
        <v>35948</v>
      </c>
      <c r="I200" s="198">
        <v>2</v>
      </c>
      <c r="J200" s="196">
        <v>2</v>
      </c>
      <c r="K200" s="196"/>
      <c r="P200" s="201" t="str">
        <f t="shared" si="2"/>
        <v>|||||||||</v>
      </c>
    </row>
    <row r="201" spans="2:16" ht="15" x14ac:dyDescent="0.2">
      <c r="B201" s="196">
        <v>194</v>
      </c>
      <c r="C201" s="195" t="s">
        <v>8194</v>
      </c>
      <c r="D201" s="195" t="s">
        <v>8161</v>
      </c>
      <c r="E201" s="196" t="s">
        <v>17</v>
      </c>
      <c r="F201" s="196" t="s">
        <v>17</v>
      </c>
      <c r="G201" s="196">
        <v>186</v>
      </c>
      <c r="H201" s="202">
        <v>28481</v>
      </c>
      <c r="I201" s="198">
        <v>3</v>
      </c>
      <c r="J201" s="196">
        <v>1</v>
      </c>
      <c r="K201" s="196"/>
      <c r="P201" s="201" t="str">
        <f t="shared" ref="P201:P264" si="3">REPT("|",G201-150)</f>
        <v>||||||||||||||||||||||||||||||||||||</v>
      </c>
    </row>
    <row r="202" spans="2:16" ht="15" x14ac:dyDescent="0.2">
      <c r="B202" s="196">
        <v>195</v>
      </c>
      <c r="C202" s="195" t="s">
        <v>296</v>
      </c>
      <c r="D202" s="195" t="s">
        <v>8162</v>
      </c>
      <c r="E202" s="196" t="s">
        <v>21</v>
      </c>
      <c r="F202" s="196" t="s">
        <v>157</v>
      </c>
      <c r="G202" s="196">
        <v>162</v>
      </c>
      <c r="H202" s="202">
        <v>29806</v>
      </c>
      <c r="I202" s="198">
        <v>1</v>
      </c>
      <c r="J202" s="196">
        <v>2</v>
      </c>
      <c r="K202" s="196"/>
      <c r="P202" s="201" t="str">
        <f t="shared" si="3"/>
        <v>||||||||||||</v>
      </c>
    </row>
    <row r="203" spans="2:16" ht="15" x14ac:dyDescent="0.2">
      <c r="B203" s="196">
        <v>196</v>
      </c>
      <c r="C203" s="195" t="s">
        <v>8195</v>
      </c>
      <c r="D203" s="195" t="s">
        <v>6954</v>
      </c>
      <c r="E203" s="196" t="s">
        <v>17</v>
      </c>
      <c r="F203" s="196" t="s">
        <v>157</v>
      </c>
      <c r="G203" s="196">
        <v>163</v>
      </c>
      <c r="H203" s="202">
        <v>35728</v>
      </c>
      <c r="I203" s="198">
        <v>4</v>
      </c>
      <c r="J203" s="196">
        <v>3</v>
      </c>
      <c r="K203" s="196"/>
      <c r="P203" s="201" t="str">
        <f t="shared" si="3"/>
        <v>|||||||||||||</v>
      </c>
    </row>
    <row r="204" spans="2:16" ht="15" x14ac:dyDescent="0.2">
      <c r="B204" s="196">
        <v>197</v>
      </c>
      <c r="C204" s="195" t="s">
        <v>8141</v>
      </c>
      <c r="D204" s="195" t="s">
        <v>8165</v>
      </c>
      <c r="E204" s="196" t="s">
        <v>21</v>
      </c>
      <c r="F204" s="196" t="s">
        <v>157</v>
      </c>
      <c r="G204" s="196">
        <v>181</v>
      </c>
      <c r="H204" s="202">
        <v>29108</v>
      </c>
      <c r="I204" s="198">
        <v>4</v>
      </c>
      <c r="J204" s="196">
        <v>3</v>
      </c>
      <c r="K204" s="196"/>
      <c r="P204" s="201" t="str">
        <f t="shared" si="3"/>
        <v>|||||||||||||||||||||||||||||||</v>
      </c>
    </row>
    <row r="205" spans="2:16" ht="15" x14ac:dyDescent="0.2">
      <c r="B205" s="196">
        <v>198</v>
      </c>
      <c r="C205" s="195" t="s">
        <v>8196</v>
      </c>
      <c r="D205" s="195" t="s">
        <v>8169</v>
      </c>
      <c r="E205" s="196" t="s">
        <v>17</v>
      </c>
      <c r="F205" s="196" t="s">
        <v>17</v>
      </c>
      <c r="G205" s="196">
        <v>170</v>
      </c>
      <c r="H205" s="202">
        <v>28390</v>
      </c>
      <c r="I205" s="198">
        <v>4</v>
      </c>
      <c r="J205" s="196">
        <v>1</v>
      </c>
      <c r="K205" s="196"/>
      <c r="P205" s="201" t="str">
        <f t="shared" si="3"/>
        <v>||||||||||||||||||||</v>
      </c>
    </row>
    <row r="206" spans="2:16" ht="15" x14ac:dyDescent="0.2">
      <c r="B206" s="196">
        <v>199</v>
      </c>
      <c r="C206" s="195" t="s">
        <v>8132</v>
      </c>
      <c r="D206" s="195" t="s">
        <v>8173</v>
      </c>
      <c r="E206" s="196" t="s">
        <v>21</v>
      </c>
      <c r="F206" s="196" t="s">
        <v>17</v>
      </c>
      <c r="G206" s="196">
        <v>191</v>
      </c>
      <c r="H206" s="202">
        <v>23775</v>
      </c>
      <c r="I206" s="198">
        <v>2</v>
      </c>
      <c r="J206" s="196">
        <v>2</v>
      </c>
      <c r="K206" s="196"/>
      <c r="P206" s="201" t="str">
        <f t="shared" si="3"/>
        <v>|||||||||||||||||||||||||||||||||||||||||</v>
      </c>
    </row>
    <row r="207" spans="2:16" ht="15" x14ac:dyDescent="0.2">
      <c r="B207" s="196">
        <v>200</v>
      </c>
      <c r="C207" s="195" t="s">
        <v>8148</v>
      </c>
      <c r="D207" s="195" t="s">
        <v>8175</v>
      </c>
      <c r="E207" s="196" t="s">
        <v>17</v>
      </c>
      <c r="F207" s="196" t="s">
        <v>157</v>
      </c>
      <c r="G207" s="196">
        <v>190</v>
      </c>
      <c r="H207" s="202">
        <v>28478</v>
      </c>
      <c r="I207" s="198">
        <v>3</v>
      </c>
      <c r="J207" s="196">
        <v>2</v>
      </c>
      <c r="K207" s="196"/>
      <c r="P207" s="201" t="str">
        <f t="shared" si="3"/>
        <v>||||||||||||||||||||||||||||||||||||||||</v>
      </c>
    </row>
    <row r="208" spans="2:16" ht="15" x14ac:dyDescent="0.2">
      <c r="B208" s="196">
        <v>201</v>
      </c>
      <c r="C208" s="195" t="s">
        <v>8138</v>
      </c>
      <c r="D208" s="195" t="s">
        <v>8177</v>
      </c>
      <c r="E208" s="196" t="s">
        <v>21</v>
      </c>
      <c r="F208" s="196" t="s">
        <v>17</v>
      </c>
      <c r="G208" s="196">
        <v>181</v>
      </c>
      <c r="H208" s="202">
        <v>30005</v>
      </c>
      <c r="I208" s="198">
        <v>1</v>
      </c>
      <c r="J208" s="196">
        <v>1</v>
      </c>
      <c r="K208" s="196"/>
      <c r="P208" s="201" t="str">
        <f t="shared" si="3"/>
        <v>|||||||||||||||||||||||||||||||</v>
      </c>
    </row>
    <row r="209" spans="2:16" ht="15" x14ac:dyDescent="0.2">
      <c r="B209" s="196">
        <v>202</v>
      </c>
      <c r="C209" s="195" t="s">
        <v>8139</v>
      </c>
      <c r="D209" s="195" t="s">
        <v>102</v>
      </c>
      <c r="E209" s="196" t="s">
        <v>17</v>
      </c>
      <c r="F209" s="196" t="s">
        <v>17</v>
      </c>
      <c r="G209" s="196">
        <v>195</v>
      </c>
      <c r="H209" s="202">
        <v>29086</v>
      </c>
      <c r="I209" s="198">
        <v>2</v>
      </c>
      <c r="J209" s="196">
        <v>2</v>
      </c>
      <c r="K209" s="196"/>
      <c r="P209" s="201" t="str">
        <f t="shared" si="3"/>
        <v>|||||||||||||||||||||||||||||||||||||||||||||</v>
      </c>
    </row>
    <row r="210" spans="2:16" ht="15" x14ac:dyDescent="0.2">
      <c r="B210" s="196">
        <v>203</v>
      </c>
      <c r="C210" s="195" t="s">
        <v>8134</v>
      </c>
      <c r="D210" s="195" t="s">
        <v>8137</v>
      </c>
      <c r="E210" s="196" t="s">
        <v>21</v>
      </c>
      <c r="F210" s="196" t="s">
        <v>17</v>
      </c>
      <c r="G210" s="196">
        <v>157</v>
      </c>
      <c r="H210" s="202">
        <v>31164</v>
      </c>
      <c r="I210" s="198">
        <v>2</v>
      </c>
      <c r="J210" s="196">
        <v>1</v>
      </c>
      <c r="K210" s="196"/>
      <c r="P210" s="201" t="str">
        <f t="shared" si="3"/>
        <v>|||||||</v>
      </c>
    </row>
    <row r="211" spans="2:16" ht="15" x14ac:dyDescent="0.2">
      <c r="B211" s="196">
        <v>204</v>
      </c>
      <c r="C211" s="195" t="s">
        <v>8144</v>
      </c>
      <c r="D211" s="195" t="s">
        <v>7141</v>
      </c>
      <c r="E211" s="196" t="s">
        <v>17</v>
      </c>
      <c r="F211" s="196" t="s">
        <v>157</v>
      </c>
      <c r="G211" s="196">
        <v>188</v>
      </c>
      <c r="H211" s="202">
        <v>33488</v>
      </c>
      <c r="I211" s="198">
        <v>5</v>
      </c>
      <c r="J211" s="196">
        <v>3</v>
      </c>
      <c r="K211" s="196"/>
      <c r="P211" s="201" t="str">
        <f t="shared" si="3"/>
        <v>||||||||||||||||||||||||||||||||||||||</v>
      </c>
    </row>
    <row r="212" spans="2:16" ht="15" x14ac:dyDescent="0.2">
      <c r="B212" s="196">
        <v>205</v>
      </c>
      <c r="C212" s="195" t="s">
        <v>8141</v>
      </c>
      <c r="D212" s="195" t="s">
        <v>6962</v>
      </c>
      <c r="E212" s="196" t="s">
        <v>21</v>
      </c>
      <c r="F212" s="196" t="s">
        <v>17</v>
      </c>
      <c r="G212" s="196">
        <v>159</v>
      </c>
      <c r="H212" s="202">
        <v>35331</v>
      </c>
      <c r="I212" s="198">
        <v>4</v>
      </c>
      <c r="J212" s="196">
        <v>3</v>
      </c>
      <c r="K212" s="196"/>
      <c r="P212" s="201" t="str">
        <f t="shared" si="3"/>
        <v>|||||||||</v>
      </c>
    </row>
    <row r="213" spans="2:16" ht="15" x14ac:dyDescent="0.2">
      <c r="B213" s="196">
        <v>206</v>
      </c>
      <c r="C213" s="195" t="s">
        <v>8142</v>
      </c>
      <c r="D213" s="195" t="s">
        <v>8135</v>
      </c>
      <c r="E213" s="196" t="s">
        <v>17</v>
      </c>
      <c r="F213" s="196" t="s">
        <v>157</v>
      </c>
      <c r="G213" s="196">
        <v>190</v>
      </c>
      <c r="H213" s="202">
        <v>35063</v>
      </c>
      <c r="I213" s="198">
        <v>2</v>
      </c>
      <c r="J213" s="196">
        <v>2</v>
      </c>
      <c r="K213" s="196"/>
      <c r="P213" s="201" t="str">
        <f t="shared" si="3"/>
        <v>||||||||||||||||||||||||||||||||||||||||</v>
      </c>
    </row>
    <row r="214" spans="2:16" ht="15" x14ac:dyDescent="0.2">
      <c r="B214" s="196">
        <v>207</v>
      </c>
      <c r="C214" s="195" t="s">
        <v>8143</v>
      </c>
      <c r="D214" s="195" t="s">
        <v>8140</v>
      </c>
      <c r="E214" s="196" t="s">
        <v>21</v>
      </c>
      <c r="F214" s="196" t="s">
        <v>157</v>
      </c>
      <c r="G214" s="196">
        <v>176</v>
      </c>
      <c r="H214" s="202">
        <v>24820</v>
      </c>
      <c r="I214" s="198">
        <v>1</v>
      </c>
      <c r="J214" s="196">
        <v>3</v>
      </c>
      <c r="K214" s="196"/>
      <c r="P214" s="201" t="str">
        <f t="shared" si="3"/>
        <v>||||||||||||||||||||||||||</v>
      </c>
    </row>
    <row r="215" spans="2:16" ht="15" x14ac:dyDescent="0.2">
      <c r="B215" s="196">
        <v>208</v>
      </c>
      <c r="C215" s="195" t="s">
        <v>8136</v>
      </c>
      <c r="D215" s="195" t="s">
        <v>6983</v>
      </c>
      <c r="E215" s="196" t="s">
        <v>17</v>
      </c>
      <c r="F215" s="196" t="s">
        <v>17</v>
      </c>
      <c r="G215" s="196">
        <v>162</v>
      </c>
      <c r="H215" s="202">
        <v>30547</v>
      </c>
      <c r="I215" s="198">
        <v>1</v>
      </c>
      <c r="J215" s="196">
        <v>1</v>
      </c>
      <c r="K215" s="196"/>
      <c r="P215" s="201" t="str">
        <f t="shared" si="3"/>
        <v>||||||||||||</v>
      </c>
    </row>
    <row r="216" spans="2:16" ht="15" x14ac:dyDescent="0.2">
      <c r="B216" s="196">
        <v>209</v>
      </c>
      <c r="C216" s="195" t="s">
        <v>8146</v>
      </c>
      <c r="D216" s="195" t="s">
        <v>8145</v>
      </c>
      <c r="E216" s="196" t="s">
        <v>21</v>
      </c>
      <c r="F216" s="196" t="s">
        <v>157</v>
      </c>
      <c r="G216" s="196">
        <v>172</v>
      </c>
      <c r="H216" s="202">
        <v>34858</v>
      </c>
      <c r="I216" s="198">
        <v>3</v>
      </c>
      <c r="J216" s="196">
        <v>3</v>
      </c>
      <c r="K216" s="196"/>
      <c r="P216" s="201" t="str">
        <f t="shared" si="3"/>
        <v>||||||||||||||||||||||</v>
      </c>
    </row>
    <row r="217" spans="2:16" ht="15" x14ac:dyDescent="0.2">
      <c r="B217" s="196">
        <v>210</v>
      </c>
      <c r="C217" s="195" t="s">
        <v>8133</v>
      </c>
      <c r="D217" s="195" t="s">
        <v>8149</v>
      </c>
      <c r="E217" s="196" t="s">
        <v>17</v>
      </c>
      <c r="F217" s="196" t="s">
        <v>157</v>
      </c>
      <c r="G217" s="196">
        <v>195</v>
      </c>
      <c r="H217" s="202">
        <v>27179</v>
      </c>
      <c r="I217" s="198">
        <v>5</v>
      </c>
      <c r="J217" s="196">
        <v>3</v>
      </c>
      <c r="K217" s="196"/>
      <c r="P217" s="201" t="str">
        <f t="shared" si="3"/>
        <v>|||||||||||||||||||||||||||||||||||||||||||||</v>
      </c>
    </row>
    <row r="218" spans="2:16" ht="15" x14ac:dyDescent="0.2">
      <c r="B218" s="196">
        <v>211</v>
      </c>
      <c r="C218" s="195" t="s">
        <v>8150</v>
      </c>
      <c r="D218" s="195" t="s">
        <v>8153</v>
      </c>
      <c r="E218" s="196" t="s">
        <v>21</v>
      </c>
      <c r="F218" s="196" t="s">
        <v>17</v>
      </c>
      <c r="G218" s="196">
        <v>184</v>
      </c>
      <c r="H218" s="202">
        <v>29716</v>
      </c>
      <c r="I218" s="198">
        <v>2</v>
      </c>
      <c r="J218" s="196">
        <v>2</v>
      </c>
      <c r="K218" s="196"/>
      <c r="P218" s="201" t="str">
        <f t="shared" si="3"/>
        <v>||||||||||||||||||||||||||||||||||</v>
      </c>
    </row>
    <row r="219" spans="2:16" ht="15" x14ac:dyDescent="0.2">
      <c r="B219" s="196">
        <v>212</v>
      </c>
      <c r="C219" s="195" t="s">
        <v>8152</v>
      </c>
      <c r="D219" s="195" t="s">
        <v>8155</v>
      </c>
      <c r="E219" s="196" t="s">
        <v>17</v>
      </c>
      <c r="F219" s="196" t="s">
        <v>17</v>
      </c>
      <c r="G219" s="196">
        <v>168</v>
      </c>
      <c r="H219" s="202">
        <v>25990</v>
      </c>
      <c r="I219" s="198">
        <v>4</v>
      </c>
      <c r="J219" s="196">
        <v>3</v>
      </c>
      <c r="K219" s="196"/>
      <c r="P219" s="201" t="str">
        <f t="shared" si="3"/>
        <v>||||||||||||||||||</v>
      </c>
    </row>
    <row r="220" spans="2:16" ht="15" x14ac:dyDescent="0.2">
      <c r="B220" s="196">
        <v>213</v>
      </c>
      <c r="C220" s="195" t="s">
        <v>8154</v>
      </c>
      <c r="D220" s="195" t="s">
        <v>8157</v>
      </c>
      <c r="E220" s="196" t="s">
        <v>21</v>
      </c>
      <c r="F220" s="196" t="s">
        <v>157</v>
      </c>
      <c r="G220" s="196">
        <v>184</v>
      </c>
      <c r="H220" s="202">
        <v>35044</v>
      </c>
      <c r="I220" s="198">
        <v>1</v>
      </c>
      <c r="J220" s="196">
        <v>2</v>
      </c>
      <c r="K220" s="196"/>
      <c r="P220" s="201" t="str">
        <f t="shared" si="3"/>
        <v>||||||||||||||||||||||||||||||||||</v>
      </c>
    </row>
    <row r="221" spans="2:16" ht="15" x14ac:dyDescent="0.2">
      <c r="B221" s="196">
        <v>214</v>
      </c>
      <c r="C221" s="195" t="s">
        <v>8156</v>
      </c>
      <c r="D221" s="195" t="s">
        <v>8158</v>
      </c>
      <c r="E221" s="196" t="s">
        <v>17</v>
      </c>
      <c r="F221" s="196" t="s">
        <v>157</v>
      </c>
      <c r="G221" s="196">
        <v>165</v>
      </c>
      <c r="H221" s="202">
        <v>31508</v>
      </c>
      <c r="I221" s="198">
        <v>3</v>
      </c>
      <c r="J221" s="196">
        <v>2</v>
      </c>
      <c r="K221" s="196"/>
      <c r="P221" s="201" t="str">
        <f t="shared" si="3"/>
        <v>|||||||||||||||</v>
      </c>
    </row>
    <row r="222" spans="2:16" ht="15" x14ac:dyDescent="0.2">
      <c r="B222" s="196">
        <v>215</v>
      </c>
      <c r="C222" s="195" t="s">
        <v>1508</v>
      </c>
      <c r="D222" s="195" t="s">
        <v>107</v>
      </c>
      <c r="E222" s="196" t="s">
        <v>21</v>
      </c>
      <c r="F222" s="196" t="s">
        <v>157</v>
      </c>
      <c r="G222" s="196">
        <v>191</v>
      </c>
      <c r="H222" s="202">
        <v>35426</v>
      </c>
      <c r="I222" s="198">
        <v>5</v>
      </c>
      <c r="J222" s="196">
        <v>2</v>
      </c>
      <c r="K222" s="196"/>
      <c r="P222" s="201" t="str">
        <f t="shared" si="3"/>
        <v>|||||||||||||||||||||||||||||||||||||||||</v>
      </c>
    </row>
    <row r="223" spans="2:16" ht="15" x14ac:dyDescent="0.2">
      <c r="B223" s="196">
        <v>216</v>
      </c>
      <c r="C223" s="195" t="s">
        <v>8159</v>
      </c>
      <c r="D223" s="195" t="s">
        <v>8161</v>
      </c>
      <c r="E223" s="196" t="s">
        <v>17</v>
      </c>
      <c r="F223" s="196" t="s">
        <v>17</v>
      </c>
      <c r="G223" s="196">
        <v>175</v>
      </c>
      <c r="H223" s="202">
        <v>32540</v>
      </c>
      <c r="I223" s="198">
        <v>2</v>
      </c>
      <c r="J223" s="196">
        <v>2</v>
      </c>
      <c r="K223" s="196"/>
      <c r="P223" s="201" t="str">
        <f t="shared" si="3"/>
        <v>|||||||||||||||||||||||||</v>
      </c>
    </row>
    <row r="224" spans="2:16" ht="15" x14ac:dyDescent="0.2">
      <c r="B224" s="196">
        <v>217</v>
      </c>
      <c r="C224" s="195" t="s">
        <v>8160</v>
      </c>
      <c r="D224" s="195" t="s">
        <v>8162</v>
      </c>
      <c r="E224" s="196" t="s">
        <v>21</v>
      </c>
      <c r="F224" s="196" t="s">
        <v>157</v>
      </c>
      <c r="G224" s="196">
        <v>194</v>
      </c>
      <c r="H224" s="202">
        <v>32925</v>
      </c>
      <c r="I224" s="198">
        <v>5</v>
      </c>
      <c r="J224" s="196">
        <v>3</v>
      </c>
      <c r="K224" s="196"/>
      <c r="P224" s="201" t="str">
        <f t="shared" si="3"/>
        <v>||||||||||||||||||||||||||||||||||||||||||||</v>
      </c>
    </row>
    <row r="225" spans="2:16" ht="15" x14ac:dyDescent="0.2">
      <c r="B225" s="196">
        <v>218</v>
      </c>
      <c r="C225" s="195" t="s">
        <v>8163</v>
      </c>
      <c r="D225" s="195" t="s">
        <v>6954</v>
      </c>
      <c r="E225" s="196" t="s">
        <v>17</v>
      </c>
      <c r="F225" s="196" t="s">
        <v>17</v>
      </c>
      <c r="G225" s="196">
        <v>174</v>
      </c>
      <c r="H225" s="202">
        <v>27584</v>
      </c>
      <c r="I225" s="198">
        <v>3</v>
      </c>
      <c r="J225" s="196">
        <v>3</v>
      </c>
      <c r="K225" s="196"/>
      <c r="P225" s="201" t="str">
        <f t="shared" si="3"/>
        <v>||||||||||||||||||||||||</v>
      </c>
    </row>
    <row r="226" spans="2:16" ht="15" x14ac:dyDescent="0.2">
      <c r="B226" s="196">
        <v>219</v>
      </c>
      <c r="C226" s="195" t="s">
        <v>8166</v>
      </c>
      <c r="D226" s="195" t="s">
        <v>8165</v>
      </c>
      <c r="E226" s="196" t="s">
        <v>21</v>
      </c>
      <c r="F226" s="196" t="s">
        <v>17</v>
      </c>
      <c r="G226" s="196">
        <v>178</v>
      </c>
      <c r="H226" s="202">
        <v>29136</v>
      </c>
      <c r="I226" s="198">
        <v>3</v>
      </c>
      <c r="J226" s="196">
        <v>2</v>
      </c>
      <c r="K226" s="196"/>
      <c r="P226" s="201" t="str">
        <f t="shared" si="3"/>
        <v>||||||||||||||||||||||||||||</v>
      </c>
    </row>
    <row r="227" spans="2:16" ht="15" x14ac:dyDescent="0.2">
      <c r="B227" s="196">
        <v>220</v>
      </c>
      <c r="C227" s="195" t="s">
        <v>8167</v>
      </c>
      <c r="D227" s="195" t="s">
        <v>8169</v>
      </c>
      <c r="E227" s="196" t="s">
        <v>17</v>
      </c>
      <c r="F227" s="196" t="s">
        <v>17</v>
      </c>
      <c r="G227" s="196">
        <v>180</v>
      </c>
      <c r="H227" s="202">
        <v>36476</v>
      </c>
      <c r="I227" s="198">
        <v>2</v>
      </c>
      <c r="J227" s="196">
        <v>2</v>
      </c>
      <c r="K227" s="196"/>
      <c r="P227" s="201" t="str">
        <f t="shared" si="3"/>
        <v>||||||||||||||||||||||||||||||</v>
      </c>
    </row>
    <row r="228" spans="2:16" ht="15" x14ac:dyDescent="0.2">
      <c r="B228" s="196">
        <v>221</v>
      </c>
      <c r="C228" s="195" t="s">
        <v>269</v>
      </c>
      <c r="D228" s="195" t="s">
        <v>8173</v>
      </c>
      <c r="E228" s="196" t="s">
        <v>21</v>
      </c>
      <c r="F228" s="196" t="s">
        <v>17</v>
      </c>
      <c r="G228" s="196">
        <v>187</v>
      </c>
      <c r="H228" s="202">
        <v>26792</v>
      </c>
      <c r="I228" s="198">
        <v>5</v>
      </c>
      <c r="J228" s="196">
        <v>3</v>
      </c>
      <c r="K228" s="196"/>
      <c r="P228" s="201" t="str">
        <f t="shared" si="3"/>
        <v>|||||||||||||||||||||||||||||||||||||</v>
      </c>
    </row>
    <row r="229" spans="2:16" ht="15" x14ac:dyDescent="0.2">
      <c r="B229" s="196">
        <v>222</v>
      </c>
      <c r="C229" s="195" t="s">
        <v>8170</v>
      </c>
      <c r="D229" s="195" t="s">
        <v>8175</v>
      </c>
      <c r="E229" s="196" t="s">
        <v>17</v>
      </c>
      <c r="F229" s="196" t="s">
        <v>17</v>
      </c>
      <c r="G229" s="196">
        <v>162</v>
      </c>
      <c r="H229" s="202">
        <v>32913</v>
      </c>
      <c r="I229" s="198">
        <v>5</v>
      </c>
      <c r="J229" s="196">
        <v>1</v>
      </c>
      <c r="K229" s="196"/>
      <c r="P229" s="201" t="str">
        <f t="shared" si="3"/>
        <v>||||||||||||</v>
      </c>
    </row>
    <row r="230" spans="2:16" ht="15" x14ac:dyDescent="0.2">
      <c r="B230" s="196">
        <v>223</v>
      </c>
      <c r="C230" s="195" t="s">
        <v>231</v>
      </c>
      <c r="D230" s="195" t="s">
        <v>8177</v>
      </c>
      <c r="E230" s="196" t="s">
        <v>21</v>
      </c>
      <c r="F230" s="196" t="s">
        <v>157</v>
      </c>
      <c r="G230" s="196">
        <v>181</v>
      </c>
      <c r="H230" s="202">
        <v>27412</v>
      </c>
      <c r="I230" s="198">
        <v>1</v>
      </c>
      <c r="J230" s="196">
        <v>1</v>
      </c>
      <c r="K230" s="196"/>
      <c r="P230" s="201" t="str">
        <f t="shared" si="3"/>
        <v>|||||||||||||||||||||||||||||||</v>
      </c>
    </row>
    <row r="231" spans="2:16" ht="15" x14ac:dyDescent="0.2">
      <c r="B231" s="196">
        <v>224</v>
      </c>
      <c r="C231" s="195" t="s">
        <v>8172</v>
      </c>
      <c r="D231" s="195" t="s">
        <v>102</v>
      </c>
      <c r="E231" s="196" t="s">
        <v>17</v>
      </c>
      <c r="F231" s="196" t="s">
        <v>157</v>
      </c>
      <c r="G231" s="196">
        <v>162</v>
      </c>
      <c r="H231" s="202">
        <v>33463</v>
      </c>
      <c r="I231" s="198">
        <v>4</v>
      </c>
      <c r="J231" s="196">
        <v>1</v>
      </c>
      <c r="K231" s="196"/>
      <c r="P231" s="201" t="str">
        <f t="shared" si="3"/>
        <v>||||||||||||</v>
      </c>
    </row>
    <row r="232" spans="2:16" ht="15" x14ac:dyDescent="0.2">
      <c r="B232" s="196">
        <v>225</v>
      </c>
      <c r="C232" s="195" t="s">
        <v>8174</v>
      </c>
      <c r="D232" s="195" t="s">
        <v>8137</v>
      </c>
      <c r="E232" s="196" t="s">
        <v>21</v>
      </c>
      <c r="F232" s="196" t="s">
        <v>17</v>
      </c>
      <c r="G232" s="196">
        <v>190</v>
      </c>
      <c r="H232" s="202">
        <v>33308</v>
      </c>
      <c r="I232" s="198">
        <v>2</v>
      </c>
      <c r="J232" s="196">
        <v>3</v>
      </c>
      <c r="K232" s="196"/>
      <c r="P232" s="201" t="str">
        <f t="shared" si="3"/>
        <v>||||||||||||||||||||||||||||||||||||||||</v>
      </c>
    </row>
    <row r="233" spans="2:16" ht="15" x14ac:dyDescent="0.2">
      <c r="B233" s="196">
        <v>226</v>
      </c>
      <c r="C233" s="195" t="s">
        <v>8176</v>
      </c>
      <c r="D233" s="195" t="s">
        <v>7141</v>
      </c>
      <c r="E233" s="196" t="s">
        <v>17</v>
      </c>
      <c r="F233" s="196" t="s">
        <v>17</v>
      </c>
      <c r="G233" s="196">
        <v>172</v>
      </c>
      <c r="H233" s="202">
        <v>28278</v>
      </c>
      <c r="I233" s="198">
        <v>1</v>
      </c>
      <c r="J233" s="196">
        <v>1</v>
      </c>
      <c r="K233" s="196"/>
      <c r="P233" s="201" t="str">
        <f t="shared" si="3"/>
        <v>||||||||||||||||||||||</v>
      </c>
    </row>
    <row r="234" spans="2:16" ht="15" x14ac:dyDescent="0.2">
      <c r="B234" s="196">
        <v>227</v>
      </c>
      <c r="C234" s="195" t="s">
        <v>8178</v>
      </c>
      <c r="D234" s="195" t="s">
        <v>6962</v>
      </c>
      <c r="E234" s="196" t="s">
        <v>21</v>
      </c>
      <c r="F234" s="196" t="s">
        <v>17</v>
      </c>
      <c r="G234" s="196">
        <v>191</v>
      </c>
      <c r="H234" s="202">
        <v>26878</v>
      </c>
      <c r="I234" s="198">
        <v>1</v>
      </c>
      <c r="J234" s="196">
        <v>1</v>
      </c>
      <c r="K234" s="196"/>
      <c r="P234" s="201" t="str">
        <f t="shared" si="3"/>
        <v>|||||||||||||||||||||||||||||||||||||||||</v>
      </c>
    </row>
    <row r="235" spans="2:16" ht="15" x14ac:dyDescent="0.2">
      <c r="B235" s="196">
        <v>228</v>
      </c>
      <c r="C235" s="195" t="s">
        <v>8179</v>
      </c>
      <c r="D235" s="195" t="s">
        <v>8135</v>
      </c>
      <c r="E235" s="196" t="s">
        <v>17</v>
      </c>
      <c r="F235" s="196" t="s">
        <v>157</v>
      </c>
      <c r="G235" s="196">
        <v>194</v>
      </c>
      <c r="H235" s="202">
        <v>24236</v>
      </c>
      <c r="I235" s="198">
        <v>3</v>
      </c>
      <c r="J235" s="196">
        <v>3</v>
      </c>
      <c r="K235" s="196"/>
      <c r="P235" s="201" t="str">
        <f t="shared" si="3"/>
        <v>||||||||||||||||||||||||||||||||||||||||||||</v>
      </c>
    </row>
    <row r="236" spans="2:16" ht="15" x14ac:dyDescent="0.2">
      <c r="B236" s="196">
        <v>229</v>
      </c>
      <c r="C236" s="195" t="s">
        <v>91</v>
      </c>
      <c r="D236" s="195" t="s">
        <v>8140</v>
      </c>
      <c r="E236" s="196" t="s">
        <v>21</v>
      </c>
      <c r="F236" s="196" t="s">
        <v>157</v>
      </c>
      <c r="G236" s="196">
        <v>192</v>
      </c>
      <c r="H236" s="202">
        <v>30630</v>
      </c>
      <c r="I236" s="198">
        <v>1</v>
      </c>
      <c r="J236" s="196">
        <v>2</v>
      </c>
      <c r="K236" s="196"/>
      <c r="P236" s="201" t="str">
        <f t="shared" si="3"/>
        <v>||||||||||||||||||||||||||||||||||||||||||</v>
      </c>
    </row>
    <row r="237" spans="2:16" ht="15" x14ac:dyDescent="0.2">
      <c r="B237" s="196">
        <v>230</v>
      </c>
      <c r="C237" s="195" t="s">
        <v>8180</v>
      </c>
      <c r="D237" s="195" t="s">
        <v>6983</v>
      </c>
      <c r="E237" s="196" t="s">
        <v>17</v>
      </c>
      <c r="F237" s="196" t="s">
        <v>17</v>
      </c>
      <c r="G237" s="196">
        <v>179</v>
      </c>
      <c r="H237" s="202">
        <v>25238</v>
      </c>
      <c r="I237" s="198">
        <v>5</v>
      </c>
      <c r="J237" s="196">
        <v>2</v>
      </c>
      <c r="K237" s="196"/>
      <c r="P237" s="201" t="str">
        <f t="shared" si="3"/>
        <v>|||||||||||||||||||||||||||||</v>
      </c>
    </row>
    <row r="238" spans="2:16" ht="15" x14ac:dyDescent="0.2">
      <c r="B238" s="196">
        <v>231</v>
      </c>
      <c r="C238" s="195" t="s">
        <v>8181</v>
      </c>
      <c r="D238" s="195" t="s">
        <v>8145</v>
      </c>
      <c r="E238" s="196" t="s">
        <v>21</v>
      </c>
      <c r="F238" s="196" t="s">
        <v>17</v>
      </c>
      <c r="G238" s="196">
        <v>181</v>
      </c>
      <c r="H238" s="202">
        <v>29802</v>
      </c>
      <c r="I238" s="198">
        <v>3</v>
      </c>
      <c r="J238" s="196">
        <v>1</v>
      </c>
      <c r="K238" s="196"/>
      <c r="P238" s="201" t="str">
        <f t="shared" si="3"/>
        <v>|||||||||||||||||||||||||||||||</v>
      </c>
    </row>
    <row r="239" spans="2:16" ht="15" x14ac:dyDescent="0.2">
      <c r="B239" s="196">
        <v>232</v>
      </c>
      <c r="C239" s="195" t="s">
        <v>8182</v>
      </c>
      <c r="D239" s="195" t="s">
        <v>8149</v>
      </c>
      <c r="E239" s="196" t="s">
        <v>17</v>
      </c>
      <c r="F239" s="196" t="s">
        <v>157</v>
      </c>
      <c r="G239" s="196">
        <v>182</v>
      </c>
      <c r="H239" s="202">
        <v>24758</v>
      </c>
      <c r="I239" s="198">
        <v>3</v>
      </c>
      <c r="J239" s="196">
        <v>1</v>
      </c>
      <c r="K239" s="196"/>
      <c r="P239" s="201" t="str">
        <f t="shared" si="3"/>
        <v>||||||||||||||||||||||||||||||||</v>
      </c>
    </row>
    <row r="240" spans="2:16" ht="15" x14ac:dyDescent="0.2">
      <c r="B240" s="196">
        <v>233</v>
      </c>
      <c r="C240" s="195" t="s">
        <v>8183</v>
      </c>
      <c r="D240" s="195" t="s">
        <v>8153</v>
      </c>
      <c r="E240" s="196" t="s">
        <v>21</v>
      </c>
      <c r="F240" s="196" t="s">
        <v>157</v>
      </c>
      <c r="G240" s="196">
        <v>192</v>
      </c>
      <c r="H240" s="202">
        <v>34614</v>
      </c>
      <c r="I240" s="198">
        <v>4</v>
      </c>
      <c r="J240" s="196">
        <v>2</v>
      </c>
      <c r="K240" s="196"/>
      <c r="P240" s="201" t="str">
        <f t="shared" si="3"/>
        <v>||||||||||||||||||||||||||||||||||||||||||</v>
      </c>
    </row>
    <row r="241" spans="2:16" ht="15" x14ac:dyDescent="0.2">
      <c r="B241" s="196">
        <v>234</v>
      </c>
      <c r="C241" s="195" t="s">
        <v>8184</v>
      </c>
      <c r="D241" s="195" t="s">
        <v>8155</v>
      </c>
      <c r="E241" s="196" t="s">
        <v>17</v>
      </c>
      <c r="F241" s="196" t="s">
        <v>157</v>
      </c>
      <c r="G241" s="196">
        <v>178</v>
      </c>
      <c r="H241" s="202">
        <v>31850</v>
      </c>
      <c r="I241" s="198">
        <v>5</v>
      </c>
      <c r="J241" s="196">
        <v>3</v>
      </c>
      <c r="K241" s="196"/>
      <c r="P241" s="201" t="str">
        <f t="shared" si="3"/>
        <v>||||||||||||||||||||||||||||</v>
      </c>
    </row>
    <row r="242" spans="2:16" ht="15" x14ac:dyDescent="0.2">
      <c r="B242" s="196">
        <v>235</v>
      </c>
      <c r="C242" s="195" t="s">
        <v>8185</v>
      </c>
      <c r="D242" s="195" t="s">
        <v>8157</v>
      </c>
      <c r="E242" s="196" t="s">
        <v>21</v>
      </c>
      <c r="F242" s="196" t="s">
        <v>157</v>
      </c>
      <c r="G242" s="196">
        <v>187</v>
      </c>
      <c r="H242" s="202">
        <v>24323</v>
      </c>
      <c r="I242" s="198">
        <v>4</v>
      </c>
      <c r="J242" s="196">
        <v>3</v>
      </c>
      <c r="K242" s="196"/>
      <c r="P242" s="201" t="str">
        <f t="shared" si="3"/>
        <v>|||||||||||||||||||||||||||||||||||||</v>
      </c>
    </row>
    <row r="243" spans="2:16" ht="15" x14ac:dyDescent="0.2">
      <c r="B243" s="196">
        <v>236</v>
      </c>
      <c r="C243" s="195" t="s">
        <v>8186</v>
      </c>
      <c r="D243" s="195" t="s">
        <v>8158</v>
      </c>
      <c r="E243" s="196" t="s">
        <v>17</v>
      </c>
      <c r="F243" s="196" t="s">
        <v>157</v>
      </c>
      <c r="G243" s="196">
        <v>166</v>
      </c>
      <c r="H243" s="202">
        <v>35923</v>
      </c>
      <c r="I243" s="198">
        <v>4</v>
      </c>
      <c r="J243" s="196">
        <v>2</v>
      </c>
      <c r="K243" s="196"/>
      <c r="P243" s="201" t="str">
        <f t="shared" si="3"/>
        <v>||||||||||||||||</v>
      </c>
    </row>
    <row r="244" spans="2:16" ht="15" x14ac:dyDescent="0.2">
      <c r="B244" s="196">
        <v>237</v>
      </c>
      <c r="C244" s="195" t="s">
        <v>8187</v>
      </c>
      <c r="D244" s="195" t="s">
        <v>107</v>
      </c>
      <c r="E244" s="196" t="s">
        <v>21</v>
      </c>
      <c r="F244" s="196" t="s">
        <v>157</v>
      </c>
      <c r="G244" s="196">
        <v>191</v>
      </c>
      <c r="H244" s="202">
        <v>30324</v>
      </c>
      <c r="I244" s="198">
        <v>3</v>
      </c>
      <c r="J244" s="196">
        <v>2</v>
      </c>
      <c r="K244" s="196"/>
      <c r="P244" s="201" t="str">
        <f t="shared" si="3"/>
        <v>|||||||||||||||||||||||||||||||||||||||||</v>
      </c>
    </row>
    <row r="245" spans="2:16" ht="15" x14ac:dyDescent="0.2">
      <c r="B245" s="196">
        <v>238</v>
      </c>
      <c r="C245" s="195" t="s">
        <v>8188</v>
      </c>
      <c r="D245" s="195" t="s">
        <v>8161</v>
      </c>
      <c r="E245" s="196" t="s">
        <v>17</v>
      </c>
      <c r="F245" s="196" t="s">
        <v>17</v>
      </c>
      <c r="G245" s="196">
        <v>192</v>
      </c>
      <c r="H245" s="202">
        <v>34952</v>
      </c>
      <c r="I245" s="198">
        <v>5</v>
      </c>
      <c r="J245" s="196">
        <v>2</v>
      </c>
      <c r="K245" s="196"/>
      <c r="P245" s="201" t="str">
        <f t="shared" si="3"/>
        <v>||||||||||||||||||||||||||||||||||||||||||</v>
      </c>
    </row>
    <row r="246" spans="2:16" ht="15" x14ac:dyDescent="0.2">
      <c r="B246" s="196">
        <v>239</v>
      </c>
      <c r="C246" s="195" t="s">
        <v>8189</v>
      </c>
      <c r="D246" s="195" t="s">
        <v>8162</v>
      </c>
      <c r="E246" s="196" t="s">
        <v>21</v>
      </c>
      <c r="F246" s="196" t="s">
        <v>17</v>
      </c>
      <c r="G246" s="196">
        <v>194</v>
      </c>
      <c r="H246" s="202">
        <v>27926</v>
      </c>
      <c r="I246" s="198">
        <v>4</v>
      </c>
      <c r="J246" s="196">
        <v>1</v>
      </c>
      <c r="K246" s="196"/>
      <c r="P246" s="201" t="str">
        <f t="shared" si="3"/>
        <v>||||||||||||||||||||||||||||||||||||||||||||</v>
      </c>
    </row>
    <row r="247" spans="2:16" ht="15" x14ac:dyDescent="0.2">
      <c r="B247" s="196">
        <v>240</v>
      </c>
      <c r="C247" s="195" t="s">
        <v>8190</v>
      </c>
      <c r="D247" s="195" t="s">
        <v>6954</v>
      </c>
      <c r="E247" s="196" t="s">
        <v>17</v>
      </c>
      <c r="F247" s="196" t="s">
        <v>17</v>
      </c>
      <c r="G247" s="196">
        <v>181</v>
      </c>
      <c r="H247" s="202">
        <v>33848</v>
      </c>
      <c r="I247" s="198">
        <v>3</v>
      </c>
      <c r="J247" s="196">
        <v>3</v>
      </c>
      <c r="K247" s="196"/>
      <c r="P247" s="201" t="str">
        <f t="shared" si="3"/>
        <v>|||||||||||||||||||||||||||||||</v>
      </c>
    </row>
    <row r="248" spans="2:16" ht="15" x14ac:dyDescent="0.2">
      <c r="B248" s="196">
        <v>241</v>
      </c>
      <c r="C248" s="195" t="s">
        <v>8191</v>
      </c>
      <c r="D248" s="195" t="s">
        <v>8165</v>
      </c>
      <c r="E248" s="196" t="s">
        <v>21</v>
      </c>
      <c r="F248" s="196" t="s">
        <v>157</v>
      </c>
      <c r="G248" s="196">
        <v>166</v>
      </c>
      <c r="H248" s="202">
        <v>32755</v>
      </c>
      <c r="I248" s="198">
        <v>2</v>
      </c>
      <c r="J248" s="196">
        <v>2</v>
      </c>
      <c r="K248" s="196"/>
      <c r="P248" s="201" t="str">
        <f t="shared" si="3"/>
        <v>||||||||||||||||</v>
      </c>
    </row>
    <row r="249" spans="2:16" ht="15" x14ac:dyDescent="0.2">
      <c r="B249" s="196">
        <v>242</v>
      </c>
      <c r="C249" s="195" t="s">
        <v>8192</v>
      </c>
      <c r="D249" s="195" t="s">
        <v>8169</v>
      </c>
      <c r="E249" s="196" t="s">
        <v>17</v>
      </c>
      <c r="F249" s="196" t="s">
        <v>17</v>
      </c>
      <c r="G249" s="196">
        <v>163</v>
      </c>
      <c r="H249" s="202">
        <v>30740</v>
      </c>
      <c r="I249" s="198">
        <v>1</v>
      </c>
      <c r="J249" s="196">
        <v>2</v>
      </c>
      <c r="K249" s="196"/>
      <c r="P249" s="201" t="str">
        <f t="shared" si="3"/>
        <v>|||||||||||||</v>
      </c>
    </row>
    <row r="250" spans="2:16" ht="15" x14ac:dyDescent="0.2">
      <c r="B250" s="196">
        <v>243</v>
      </c>
      <c r="C250" s="195" t="s">
        <v>8193</v>
      </c>
      <c r="D250" s="195" t="s">
        <v>8173</v>
      </c>
      <c r="E250" s="196" t="s">
        <v>21</v>
      </c>
      <c r="F250" s="196" t="s">
        <v>157</v>
      </c>
      <c r="G250" s="196">
        <v>183</v>
      </c>
      <c r="H250" s="202">
        <v>35657</v>
      </c>
      <c r="I250" s="198">
        <v>1</v>
      </c>
      <c r="J250" s="196">
        <v>3</v>
      </c>
      <c r="K250" s="196"/>
      <c r="P250" s="201" t="str">
        <f t="shared" si="3"/>
        <v>|||||||||||||||||||||||||||||||||</v>
      </c>
    </row>
    <row r="251" spans="2:16" ht="15" x14ac:dyDescent="0.2">
      <c r="B251" s="196">
        <v>244</v>
      </c>
      <c r="C251" s="195" t="s">
        <v>8194</v>
      </c>
      <c r="D251" s="195" t="s">
        <v>8175</v>
      </c>
      <c r="E251" s="196" t="s">
        <v>17</v>
      </c>
      <c r="F251" s="196" t="s">
        <v>17</v>
      </c>
      <c r="G251" s="196">
        <v>174</v>
      </c>
      <c r="H251" s="202">
        <v>30605</v>
      </c>
      <c r="I251" s="198">
        <v>3</v>
      </c>
      <c r="J251" s="196">
        <v>2</v>
      </c>
      <c r="K251" s="196"/>
      <c r="P251" s="201" t="str">
        <f t="shared" si="3"/>
        <v>||||||||||||||||||||||||</v>
      </c>
    </row>
    <row r="252" spans="2:16" ht="15" x14ac:dyDescent="0.2">
      <c r="B252" s="196">
        <v>245</v>
      </c>
      <c r="C252" s="195" t="s">
        <v>296</v>
      </c>
      <c r="D252" s="195" t="s">
        <v>8177</v>
      </c>
      <c r="E252" s="196" t="s">
        <v>21</v>
      </c>
      <c r="F252" s="196" t="s">
        <v>2677</v>
      </c>
      <c r="G252" s="196">
        <v>168</v>
      </c>
      <c r="H252" s="202">
        <v>31160</v>
      </c>
      <c r="I252" s="198">
        <v>3</v>
      </c>
      <c r="J252" s="196">
        <v>3</v>
      </c>
      <c r="K252" s="196"/>
      <c r="P252" s="201" t="str">
        <f t="shared" si="3"/>
        <v>||||||||||||||||||</v>
      </c>
    </row>
    <row r="253" spans="2:16" ht="15" x14ac:dyDescent="0.2">
      <c r="B253" s="196">
        <v>246</v>
      </c>
      <c r="C253" s="195" t="s">
        <v>8195</v>
      </c>
      <c r="D253" s="195" t="s">
        <v>102</v>
      </c>
      <c r="E253" s="196" t="s">
        <v>17</v>
      </c>
      <c r="F253" s="196" t="s">
        <v>17</v>
      </c>
      <c r="G253" s="196">
        <v>156</v>
      </c>
      <c r="H253" s="202">
        <v>31304</v>
      </c>
      <c r="I253" s="198">
        <v>5</v>
      </c>
      <c r="J253" s="196">
        <v>2</v>
      </c>
      <c r="K253" s="196"/>
      <c r="P253" s="201" t="str">
        <f t="shared" si="3"/>
        <v>||||||</v>
      </c>
    </row>
    <row r="254" spans="2:16" ht="15" x14ac:dyDescent="0.2">
      <c r="B254" s="196">
        <v>247</v>
      </c>
      <c r="C254" s="195" t="s">
        <v>8141</v>
      </c>
      <c r="D254" s="195" t="s">
        <v>8137</v>
      </c>
      <c r="E254" s="196" t="s">
        <v>21</v>
      </c>
      <c r="F254" s="196" t="s">
        <v>157</v>
      </c>
      <c r="G254" s="196">
        <v>185</v>
      </c>
      <c r="H254" s="202">
        <v>28491</v>
      </c>
      <c r="I254" s="198">
        <v>5</v>
      </c>
      <c r="J254" s="196">
        <v>2</v>
      </c>
      <c r="K254" s="196"/>
      <c r="P254" s="201" t="str">
        <f t="shared" si="3"/>
        <v>|||||||||||||||||||||||||||||||||||</v>
      </c>
    </row>
    <row r="255" spans="2:16" ht="15" x14ac:dyDescent="0.2">
      <c r="B255" s="196">
        <v>248</v>
      </c>
      <c r="C255" s="195" t="s">
        <v>8196</v>
      </c>
      <c r="D255" s="195" t="s">
        <v>7141</v>
      </c>
      <c r="E255" s="196" t="s">
        <v>17</v>
      </c>
      <c r="F255" s="196" t="s">
        <v>17</v>
      </c>
      <c r="G255" s="196">
        <v>180</v>
      </c>
      <c r="H255" s="202">
        <v>30072</v>
      </c>
      <c r="I255" s="198">
        <v>1</v>
      </c>
      <c r="J255" s="196">
        <v>3</v>
      </c>
      <c r="K255" s="196"/>
      <c r="P255" s="201" t="str">
        <f t="shared" si="3"/>
        <v>||||||||||||||||||||||||||||||</v>
      </c>
    </row>
    <row r="256" spans="2:16" ht="15" x14ac:dyDescent="0.2">
      <c r="B256" s="196">
        <v>249</v>
      </c>
      <c r="C256" s="195" t="s">
        <v>8132</v>
      </c>
      <c r="D256" s="195" t="s">
        <v>6962</v>
      </c>
      <c r="E256" s="196" t="s">
        <v>21</v>
      </c>
      <c r="F256" s="196" t="s">
        <v>17</v>
      </c>
      <c r="G256" s="196">
        <v>189</v>
      </c>
      <c r="H256" s="202">
        <v>31979</v>
      </c>
      <c r="I256" s="198">
        <v>1</v>
      </c>
      <c r="J256" s="196">
        <v>2</v>
      </c>
      <c r="K256" s="196"/>
      <c r="P256" s="201" t="str">
        <f t="shared" si="3"/>
        <v>|||||||||||||||||||||||||||||||||||||||</v>
      </c>
    </row>
    <row r="257" spans="2:16" ht="15" x14ac:dyDescent="0.2">
      <c r="B257" s="196">
        <v>250</v>
      </c>
      <c r="C257" s="195" t="s">
        <v>8148</v>
      </c>
      <c r="D257" s="195" t="s">
        <v>8135</v>
      </c>
      <c r="E257" s="196" t="s">
        <v>17</v>
      </c>
      <c r="F257" s="196" t="s">
        <v>17</v>
      </c>
      <c r="G257" s="196">
        <v>165</v>
      </c>
      <c r="H257" s="202">
        <v>34671</v>
      </c>
      <c r="I257" s="198">
        <v>3</v>
      </c>
      <c r="J257" s="196">
        <v>3</v>
      </c>
      <c r="K257" s="196"/>
      <c r="P257" s="201" t="str">
        <f t="shared" si="3"/>
        <v>|||||||||||||||</v>
      </c>
    </row>
    <row r="258" spans="2:16" ht="15" x14ac:dyDescent="0.2">
      <c r="B258" s="196">
        <v>251</v>
      </c>
      <c r="C258" s="195" t="s">
        <v>8138</v>
      </c>
      <c r="D258" s="195" t="s">
        <v>8140</v>
      </c>
      <c r="E258" s="196" t="s">
        <v>21</v>
      </c>
      <c r="F258" s="196" t="s">
        <v>17</v>
      </c>
      <c r="G258" s="196">
        <v>186</v>
      </c>
      <c r="H258" s="202">
        <v>35856</v>
      </c>
      <c r="I258" s="198">
        <v>3</v>
      </c>
      <c r="J258" s="196">
        <v>1</v>
      </c>
      <c r="K258" s="196"/>
      <c r="P258" s="201" t="str">
        <f t="shared" si="3"/>
        <v>||||||||||||||||||||||||||||||||||||</v>
      </c>
    </row>
    <row r="259" spans="2:16" ht="15" x14ac:dyDescent="0.2">
      <c r="B259" s="196">
        <v>252</v>
      </c>
      <c r="C259" s="195" t="s">
        <v>8139</v>
      </c>
      <c r="D259" s="195" t="s">
        <v>6983</v>
      </c>
      <c r="E259" s="196" t="s">
        <v>17</v>
      </c>
      <c r="F259" s="196" t="s">
        <v>157</v>
      </c>
      <c r="G259" s="196">
        <v>155</v>
      </c>
      <c r="H259" s="202">
        <v>35492</v>
      </c>
      <c r="I259" s="198">
        <v>5</v>
      </c>
      <c r="J259" s="196">
        <v>1</v>
      </c>
      <c r="K259" s="196"/>
      <c r="P259" s="201" t="str">
        <f t="shared" si="3"/>
        <v>|||||</v>
      </c>
    </row>
    <row r="260" spans="2:16" ht="15" x14ac:dyDescent="0.2">
      <c r="B260" s="196">
        <v>253</v>
      </c>
      <c r="C260" s="195" t="s">
        <v>8134</v>
      </c>
      <c r="D260" s="195" t="s">
        <v>8145</v>
      </c>
      <c r="E260" s="196" t="s">
        <v>21</v>
      </c>
      <c r="F260" s="196" t="s">
        <v>157</v>
      </c>
      <c r="G260" s="196">
        <v>179</v>
      </c>
      <c r="H260" s="202">
        <v>35662</v>
      </c>
      <c r="I260" s="198">
        <v>3</v>
      </c>
      <c r="J260" s="196">
        <v>3</v>
      </c>
      <c r="K260" s="196"/>
      <c r="P260" s="201" t="str">
        <f t="shared" si="3"/>
        <v>|||||||||||||||||||||||||||||</v>
      </c>
    </row>
    <row r="261" spans="2:16" ht="15" x14ac:dyDescent="0.2">
      <c r="B261" s="196">
        <v>254</v>
      </c>
      <c r="C261" s="195" t="s">
        <v>8144</v>
      </c>
      <c r="D261" s="195" t="s">
        <v>8149</v>
      </c>
      <c r="E261" s="196" t="s">
        <v>17</v>
      </c>
      <c r="F261" s="196" t="s">
        <v>157</v>
      </c>
      <c r="G261" s="196">
        <v>180</v>
      </c>
      <c r="H261" s="202">
        <v>28311</v>
      </c>
      <c r="I261" s="198">
        <v>2</v>
      </c>
      <c r="J261" s="196">
        <v>1</v>
      </c>
      <c r="K261" s="196"/>
      <c r="P261" s="201" t="str">
        <f t="shared" si="3"/>
        <v>||||||||||||||||||||||||||||||</v>
      </c>
    </row>
    <row r="262" spans="2:16" ht="15" x14ac:dyDescent="0.2">
      <c r="B262" s="196">
        <v>255</v>
      </c>
      <c r="C262" s="195" t="s">
        <v>8141</v>
      </c>
      <c r="D262" s="195" t="s">
        <v>8153</v>
      </c>
      <c r="E262" s="196" t="s">
        <v>21</v>
      </c>
      <c r="F262" s="196" t="s">
        <v>157</v>
      </c>
      <c r="G262" s="196">
        <v>172</v>
      </c>
      <c r="H262" s="202">
        <v>32167</v>
      </c>
      <c r="I262" s="198">
        <v>5</v>
      </c>
      <c r="J262" s="196">
        <v>3</v>
      </c>
      <c r="K262" s="196"/>
      <c r="P262" s="201" t="str">
        <f t="shared" si="3"/>
        <v>||||||||||||||||||||||</v>
      </c>
    </row>
    <row r="263" spans="2:16" ht="15" x14ac:dyDescent="0.2">
      <c r="B263" s="196">
        <v>256</v>
      </c>
      <c r="C263" s="195" t="s">
        <v>8142</v>
      </c>
      <c r="D263" s="195" t="s">
        <v>8155</v>
      </c>
      <c r="E263" s="196" t="s">
        <v>17</v>
      </c>
      <c r="F263" s="196" t="s">
        <v>157</v>
      </c>
      <c r="G263" s="196">
        <v>161</v>
      </c>
      <c r="H263" s="202">
        <v>27976</v>
      </c>
      <c r="I263" s="198">
        <v>4</v>
      </c>
      <c r="J263" s="196">
        <v>2</v>
      </c>
      <c r="K263" s="196"/>
      <c r="P263" s="201" t="str">
        <f t="shared" si="3"/>
        <v>|||||||||||</v>
      </c>
    </row>
    <row r="264" spans="2:16" ht="15" x14ac:dyDescent="0.2">
      <c r="B264" s="196">
        <v>257</v>
      </c>
      <c r="C264" s="195" t="s">
        <v>8143</v>
      </c>
      <c r="D264" s="195" t="s">
        <v>8157</v>
      </c>
      <c r="E264" s="196" t="s">
        <v>2705</v>
      </c>
      <c r="F264" s="196" t="s">
        <v>157</v>
      </c>
      <c r="G264" s="196">
        <v>164</v>
      </c>
      <c r="H264" s="202">
        <v>27128</v>
      </c>
      <c r="I264" s="198">
        <v>2</v>
      </c>
      <c r="J264" s="196">
        <v>1</v>
      </c>
      <c r="K264" s="196"/>
      <c r="P264" s="201" t="str">
        <f t="shared" si="3"/>
        <v>||||||||||||||</v>
      </c>
    </row>
    <row r="265" spans="2:16" ht="15" x14ac:dyDescent="0.2">
      <c r="B265" s="196">
        <v>258</v>
      </c>
      <c r="C265" s="195" t="s">
        <v>8136</v>
      </c>
      <c r="D265" s="195" t="s">
        <v>8158</v>
      </c>
      <c r="E265" s="196" t="s">
        <v>17</v>
      </c>
      <c r="F265" s="196" t="s">
        <v>157</v>
      </c>
      <c r="G265" s="196">
        <v>162</v>
      </c>
      <c r="H265" s="202">
        <v>34191</v>
      </c>
      <c r="I265" s="198">
        <v>2</v>
      </c>
      <c r="J265" s="196">
        <v>1</v>
      </c>
      <c r="K265" s="196"/>
      <c r="P265" s="201" t="str">
        <f t="shared" ref="P265:P328" si="4">REPT("|",G265-150)</f>
        <v>||||||||||||</v>
      </c>
    </row>
    <row r="266" spans="2:16" ht="15" x14ac:dyDescent="0.2">
      <c r="B266" s="196">
        <v>259</v>
      </c>
      <c r="C266" s="195" t="s">
        <v>8146</v>
      </c>
      <c r="D266" s="195" t="s">
        <v>107</v>
      </c>
      <c r="E266" s="196" t="s">
        <v>21</v>
      </c>
      <c r="F266" s="196" t="s">
        <v>157</v>
      </c>
      <c r="G266" s="196">
        <v>173</v>
      </c>
      <c r="H266" s="202">
        <v>27892</v>
      </c>
      <c r="I266" s="198">
        <v>4</v>
      </c>
      <c r="J266" s="196">
        <v>1</v>
      </c>
      <c r="K266" s="196"/>
      <c r="P266" s="201" t="str">
        <f t="shared" si="4"/>
        <v>|||||||||||||||||||||||</v>
      </c>
    </row>
    <row r="267" spans="2:16" ht="15" x14ac:dyDescent="0.2">
      <c r="B267" s="196">
        <v>260</v>
      </c>
      <c r="C267" s="195" t="s">
        <v>8133</v>
      </c>
      <c r="D267" s="195" t="s">
        <v>8161</v>
      </c>
      <c r="E267" s="196" t="s">
        <v>17</v>
      </c>
      <c r="F267" s="196" t="s">
        <v>157</v>
      </c>
      <c r="G267" s="196">
        <v>175</v>
      </c>
      <c r="H267" s="202">
        <v>33742</v>
      </c>
      <c r="I267" s="198">
        <v>5</v>
      </c>
      <c r="J267" s="196">
        <v>1</v>
      </c>
      <c r="K267" s="196"/>
      <c r="P267" s="201" t="str">
        <f t="shared" si="4"/>
        <v>|||||||||||||||||||||||||</v>
      </c>
    </row>
    <row r="268" spans="2:16" ht="15" x14ac:dyDescent="0.2">
      <c r="B268" s="196">
        <v>261</v>
      </c>
      <c r="C268" s="195" t="s">
        <v>8150</v>
      </c>
      <c r="D268" s="195" t="s">
        <v>8162</v>
      </c>
      <c r="E268" s="196" t="s">
        <v>21</v>
      </c>
      <c r="F268" s="196" t="s">
        <v>157</v>
      </c>
      <c r="G268" s="196">
        <v>184</v>
      </c>
      <c r="H268" s="202">
        <v>34698</v>
      </c>
      <c r="I268" s="198">
        <v>2</v>
      </c>
      <c r="J268" s="196">
        <v>2</v>
      </c>
      <c r="K268" s="196"/>
      <c r="P268" s="201" t="str">
        <f t="shared" si="4"/>
        <v>||||||||||||||||||||||||||||||||||</v>
      </c>
    </row>
    <row r="269" spans="2:16" ht="15" x14ac:dyDescent="0.2">
      <c r="B269" s="196">
        <v>262</v>
      </c>
      <c r="C269" s="195" t="s">
        <v>8152</v>
      </c>
      <c r="D269" s="195" t="s">
        <v>6954</v>
      </c>
      <c r="E269" s="196" t="s">
        <v>17</v>
      </c>
      <c r="F269" s="196" t="s">
        <v>157</v>
      </c>
      <c r="G269" s="196">
        <v>174</v>
      </c>
      <c r="H269" s="202">
        <v>29739</v>
      </c>
      <c r="I269" s="198">
        <v>2</v>
      </c>
      <c r="J269" s="196">
        <v>1</v>
      </c>
      <c r="K269" s="196"/>
      <c r="P269" s="201" t="str">
        <f t="shared" si="4"/>
        <v>||||||||||||||||||||||||</v>
      </c>
    </row>
    <row r="270" spans="2:16" ht="15" x14ac:dyDescent="0.2">
      <c r="B270" s="196">
        <v>263</v>
      </c>
      <c r="C270" s="195" t="s">
        <v>8154</v>
      </c>
      <c r="D270" s="195" t="s">
        <v>8165</v>
      </c>
      <c r="E270" s="196" t="s">
        <v>21</v>
      </c>
      <c r="F270" s="196" t="s">
        <v>157</v>
      </c>
      <c r="G270" s="196">
        <v>161</v>
      </c>
      <c r="H270" s="202">
        <v>29078</v>
      </c>
      <c r="I270" s="198">
        <v>1</v>
      </c>
      <c r="J270" s="196">
        <v>3</v>
      </c>
      <c r="K270" s="196"/>
      <c r="P270" s="201" t="str">
        <f t="shared" si="4"/>
        <v>|||||||||||</v>
      </c>
    </row>
    <row r="271" spans="2:16" ht="15" x14ac:dyDescent="0.2">
      <c r="B271" s="196">
        <v>264</v>
      </c>
      <c r="C271" s="195" t="s">
        <v>8156</v>
      </c>
      <c r="D271" s="195" t="s">
        <v>8169</v>
      </c>
      <c r="E271" s="196" t="s">
        <v>17</v>
      </c>
      <c r="F271" s="196" t="s">
        <v>17</v>
      </c>
      <c r="G271" s="196">
        <v>194</v>
      </c>
      <c r="H271" s="202">
        <v>34914</v>
      </c>
      <c r="I271" s="198">
        <v>2</v>
      </c>
      <c r="J271" s="196">
        <v>2</v>
      </c>
      <c r="K271" s="196"/>
      <c r="P271" s="201" t="str">
        <f t="shared" si="4"/>
        <v>||||||||||||||||||||||||||||||||||||||||||||</v>
      </c>
    </row>
    <row r="272" spans="2:16" ht="15" x14ac:dyDescent="0.2">
      <c r="B272" s="196">
        <v>265</v>
      </c>
      <c r="C272" s="195" t="s">
        <v>1508</v>
      </c>
      <c r="D272" s="195" t="s">
        <v>8173</v>
      </c>
      <c r="E272" s="196" t="s">
        <v>21</v>
      </c>
      <c r="F272" s="196" t="s">
        <v>157</v>
      </c>
      <c r="G272" s="196">
        <v>190</v>
      </c>
      <c r="H272" s="202">
        <v>33512</v>
      </c>
      <c r="I272" s="198">
        <v>1</v>
      </c>
      <c r="J272" s="196">
        <v>2</v>
      </c>
      <c r="K272" s="196"/>
      <c r="P272" s="201" t="str">
        <f t="shared" si="4"/>
        <v>||||||||||||||||||||||||||||||||||||||||</v>
      </c>
    </row>
    <row r="273" spans="2:16" ht="15" x14ac:dyDescent="0.2">
      <c r="B273" s="196">
        <v>266</v>
      </c>
      <c r="C273" s="195" t="s">
        <v>8159</v>
      </c>
      <c r="D273" s="195" t="s">
        <v>8175</v>
      </c>
      <c r="E273" s="196" t="s">
        <v>17</v>
      </c>
      <c r="F273" s="196" t="s">
        <v>157</v>
      </c>
      <c r="G273" s="196">
        <v>189</v>
      </c>
      <c r="H273" s="202">
        <v>34681</v>
      </c>
      <c r="I273" s="198">
        <v>3</v>
      </c>
      <c r="J273" s="196">
        <v>2</v>
      </c>
      <c r="K273" s="196"/>
      <c r="P273" s="201" t="str">
        <f t="shared" si="4"/>
        <v>|||||||||||||||||||||||||||||||||||||||</v>
      </c>
    </row>
    <row r="274" spans="2:16" ht="15" x14ac:dyDescent="0.2">
      <c r="B274" s="196">
        <v>267</v>
      </c>
      <c r="C274" s="195" t="s">
        <v>8160</v>
      </c>
      <c r="D274" s="195" t="s">
        <v>8177</v>
      </c>
      <c r="E274" s="196" t="s">
        <v>21</v>
      </c>
      <c r="F274" s="196" t="s">
        <v>157</v>
      </c>
      <c r="G274" s="196">
        <v>159</v>
      </c>
      <c r="H274" s="202">
        <v>29657</v>
      </c>
      <c r="I274" s="198">
        <v>3</v>
      </c>
      <c r="J274" s="196">
        <v>2</v>
      </c>
      <c r="K274" s="196"/>
      <c r="P274" s="201" t="str">
        <f t="shared" si="4"/>
        <v>|||||||||</v>
      </c>
    </row>
    <row r="275" spans="2:16" ht="15" x14ac:dyDescent="0.2">
      <c r="B275" s="196">
        <v>268</v>
      </c>
      <c r="C275" s="195" t="s">
        <v>8163</v>
      </c>
      <c r="D275" s="195" t="s">
        <v>102</v>
      </c>
      <c r="E275" s="196" t="s">
        <v>17</v>
      </c>
      <c r="F275" s="196" t="s">
        <v>17</v>
      </c>
      <c r="G275" s="196">
        <v>163</v>
      </c>
      <c r="H275" s="202">
        <v>27012</v>
      </c>
      <c r="I275" s="198">
        <v>1</v>
      </c>
      <c r="J275" s="196">
        <v>1</v>
      </c>
      <c r="K275" s="196"/>
      <c r="P275" s="201" t="str">
        <f t="shared" si="4"/>
        <v>|||||||||||||</v>
      </c>
    </row>
    <row r="276" spans="2:16" ht="15" x14ac:dyDescent="0.2">
      <c r="B276" s="196">
        <v>269</v>
      </c>
      <c r="C276" s="195" t="s">
        <v>8166</v>
      </c>
      <c r="D276" s="195" t="s">
        <v>8137</v>
      </c>
      <c r="E276" s="196" t="s">
        <v>21</v>
      </c>
      <c r="F276" s="196" t="s">
        <v>157</v>
      </c>
      <c r="G276" s="196">
        <v>171</v>
      </c>
      <c r="H276" s="202">
        <v>32086</v>
      </c>
      <c r="I276" s="198">
        <v>3</v>
      </c>
      <c r="J276" s="196">
        <v>3</v>
      </c>
      <c r="K276" s="196"/>
      <c r="P276" s="201" t="str">
        <f t="shared" si="4"/>
        <v>|||||||||||||||||||||</v>
      </c>
    </row>
    <row r="277" spans="2:16" ht="15" x14ac:dyDescent="0.2">
      <c r="B277" s="196">
        <v>270</v>
      </c>
      <c r="C277" s="195" t="s">
        <v>8167</v>
      </c>
      <c r="D277" s="195" t="s">
        <v>7141</v>
      </c>
      <c r="E277" s="196" t="s">
        <v>17</v>
      </c>
      <c r="F277" s="196" t="s">
        <v>17</v>
      </c>
      <c r="G277" s="196">
        <v>186</v>
      </c>
      <c r="H277" s="202">
        <v>27318</v>
      </c>
      <c r="I277" s="198">
        <v>5</v>
      </c>
      <c r="J277" s="196">
        <v>3</v>
      </c>
      <c r="K277" s="196"/>
      <c r="P277" s="201" t="str">
        <f t="shared" si="4"/>
        <v>||||||||||||||||||||||||||||||||||||</v>
      </c>
    </row>
    <row r="278" spans="2:16" ht="15" x14ac:dyDescent="0.2">
      <c r="B278" s="196">
        <v>271</v>
      </c>
      <c r="C278" s="195" t="s">
        <v>269</v>
      </c>
      <c r="D278" s="195" t="s">
        <v>6962</v>
      </c>
      <c r="E278" s="196" t="s">
        <v>21</v>
      </c>
      <c r="F278" s="196" t="s">
        <v>157</v>
      </c>
      <c r="G278" s="196">
        <v>181</v>
      </c>
      <c r="H278" s="202">
        <v>24815</v>
      </c>
      <c r="I278" s="198">
        <v>3</v>
      </c>
      <c r="J278" s="196">
        <v>2</v>
      </c>
      <c r="K278" s="196"/>
      <c r="P278" s="201" t="str">
        <f t="shared" si="4"/>
        <v>|||||||||||||||||||||||||||||||</v>
      </c>
    </row>
    <row r="279" spans="2:16" ht="15" x14ac:dyDescent="0.2">
      <c r="B279" s="196">
        <v>272</v>
      </c>
      <c r="C279" s="195" t="s">
        <v>8170</v>
      </c>
      <c r="D279" s="195" t="s">
        <v>8135</v>
      </c>
      <c r="E279" s="196" t="s">
        <v>17</v>
      </c>
      <c r="F279" s="196" t="s">
        <v>157</v>
      </c>
      <c r="G279" s="196">
        <v>186</v>
      </c>
      <c r="H279" s="202">
        <v>34679</v>
      </c>
      <c r="I279" s="198">
        <v>4</v>
      </c>
      <c r="J279" s="196">
        <v>1</v>
      </c>
      <c r="K279" s="196"/>
      <c r="P279" s="201" t="str">
        <f t="shared" si="4"/>
        <v>||||||||||||||||||||||||||||||||||||</v>
      </c>
    </row>
    <row r="280" spans="2:16" ht="15" x14ac:dyDescent="0.2">
      <c r="B280" s="196">
        <v>273</v>
      </c>
      <c r="C280" s="195" t="s">
        <v>231</v>
      </c>
      <c r="D280" s="195" t="s">
        <v>8140</v>
      </c>
      <c r="E280" s="196" t="s">
        <v>21</v>
      </c>
      <c r="F280" s="196" t="s">
        <v>157</v>
      </c>
      <c r="G280" s="196">
        <v>190</v>
      </c>
      <c r="H280" s="202">
        <v>25739</v>
      </c>
      <c r="I280" s="198">
        <v>2</v>
      </c>
      <c r="J280" s="196">
        <v>1</v>
      </c>
      <c r="K280" s="196"/>
      <c r="P280" s="201" t="str">
        <f t="shared" si="4"/>
        <v>||||||||||||||||||||||||||||||||||||||||</v>
      </c>
    </row>
    <row r="281" spans="2:16" ht="15" x14ac:dyDescent="0.2">
      <c r="B281" s="196">
        <v>274</v>
      </c>
      <c r="C281" s="195" t="s">
        <v>8172</v>
      </c>
      <c r="D281" s="195" t="s">
        <v>6983</v>
      </c>
      <c r="E281" s="196" t="s">
        <v>17</v>
      </c>
      <c r="F281" s="196" t="s">
        <v>157</v>
      </c>
      <c r="G281" s="196">
        <v>187</v>
      </c>
      <c r="H281" s="202">
        <v>25112</v>
      </c>
      <c r="I281" s="198">
        <v>4</v>
      </c>
      <c r="J281" s="196">
        <v>2</v>
      </c>
      <c r="K281" s="196"/>
      <c r="P281" s="201" t="str">
        <f t="shared" si="4"/>
        <v>|||||||||||||||||||||||||||||||||||||</v>
      </c>
    </row>
    <row r="282" spans="2:16" ht="15" x14ac:dyDescent="0.2">
      <c r="B282" s="196">
        <v>275</v>
      </c>
      <c r="C282" s="195" t="s">
        <v>8174</v>
      </c>
      <c r="D282" s="195" t="s">
        <v>8145</v>
      </c>
      <c r="E282" s="196" t="s">
        <v>21</v>
      </c>
      <c r="F282" s="196" t="s">
        <v>157</v>
      </c>
      <c r="G282" s="196">
        <v>185</v>
      </c>
      <c r="H282" s="202">
        <v>30542</v>
      </c>
      <c r="I282" s="198">
        <v>1</v>
      </c>
      <c r="J282" s="196">
        <v>2</v>
      </c>
      <c r="K282" s="196"/>
      <c r="P282" s="201" t="str">
        <f t="shared" si="4"/>
        <v>|||||||||||||||||||||||||||||||||||</v>
      </c>
    </row>
    <row r="283" spans="2:16" ht="15" x14ac:dyDescent="0.2">
      <c r="B283" s="196">
        <v>276</v>
      </c>
      <c r="C283" s="195" t="s">
        <v>8176</v>
      </c>
      <c r="D283" s="195" t="s">
        <v>8149</v>
      </c>
      <c r="E283" s="196" t="s">
        <v>17</v>
      </c>
      <c r="F283" s="196" t="s">
        <v>157</v>
      </c>
      <c r="G283" s="196">
        <v>179</v>
      </c>
      <c r="H283" s="202">
        <v>27280</v>
      </c>
      <c r="I283" s="198">
        <v>4</v>
      </c>
      <c r="J283" s="196">
        <v>3</v>
      </c>
      <c r="K283" s="196"/>
      <c r="P283" s="201" t="str">
        <f t="shared" si="4"/>
        <v>|||||||||||||||||||||||||||||</v>
      </c>
    </row>
    <row r="284" spans="2:16" ht="15" x14ac:dyDescent="0.2">
      <c r="B284" s="196">
        <v>277</v>
      </c>
      <c r="C284" s="195" t="s">
        <v>8178</v>
      </c>
      <c r="D284" s="195" t="s">
        <v>8153</v>
      </c>
      <c r="E284" s="196" t="s">
        <v>21</v>
      </c>
      <c r="F284" s="196" t="s">
        <v>157</v>
      </c>
      <c r="G284" s="196">
        <v>190</v>
      </c>
      <c r="H284" s="202">
        <v>28663</v>
      </c>
      <c r="I284" s="198">
        <v>3</v>
      </c>
      <c r="J284" s="196">
        <v>1</v>
      </c>
      <c r="K284" s="196"/>
      <c r="P284" s="201" t="str">
        <f t="shared" si="4"/>
        <v>||||||||||||||||||||||||||||||||||||||||</v>
      </c>
    </row>
    <row r="285" spans="2:16" ht="15" x14ac:dyDescent="0.2">
      <c r="B285" s="196">
        <v>278</v>
      </c>
      <c r="C285" s="195" t="s">
        <v>8179</v>
      </c>
      <c r="D285" s="195" t="s">
        <v>8155</v>
      </c>
      <c r="E285" s="196" t="s">
        <v>17</v>
      </c>
      <c r="F285" s="196" t="s">
        <v>157</v>
      </c>
      <c r="G285" s="196">
        <v>183</v>
      </c>
      <c r="H285" s="202">
        <v>34613</v>
      </c>
      <c r="I285" s="198">
        <v>3</v>
      </c>
      <c r="J285" s="196">
        <v>1</v>
      </c>
      <c r="K285" s="196"/>
      <c r="P285" s="201" t="str">
        <f t="shared" si="4"/>
        <v>|||||||||||||||||||||||||||||||||</v>
      </c>
    </row>
    <row r="286" spans="2:16" ht="15" x14ac:dyDescent="0.2">
      <c r="B286" s="196">
        <v>279</v>
      </c>
      <c r="C286" s="195" t="s">
        <v>91</v>
      </c>
      <c r="D286" s="195" t="s">
        <v>8157</v>
      </c>
      <c r="E286" s="196" t="s">
        <v>21</v>
      </c>
      <c r="F286" s="196" t="s">
        <v>157</v>
      </c>
      <c r="G286" s="196">
        <v>180</v>
      </c>
      <c r="H286" s="202">
        <v>30744</v>
      </c>
      <c r="I286" s="198">
        <v>4</v>
      </c>
      <c r="J286" s="196">
        <v>1</v>
      </c>
      <c r="K286" s="196"/>
      <c r="P286" s="201" t="str">
        <f t="shared" si="4"/>
        <v>||||||||||||||||||||||||||||||</v>
      </c>
    </row>
    <row r="287" spans="2:16" ht="15" x14ac:dyDescent="0.2">
      <c r="B287" s="196">
        <v>280</v>
      </c>
      <c r="C287" s="195" t="s">
        <v>8180</v>
      </c>
      <c r="D287" s="195" t="s">
        <v>8158</v>
      </c>
      <c r="E287" s="196" t="s">
        <v>17</v>
      </c>
      <c r="F287" s="196" t="s">
        <v>157</v>
      </c>
      <c r="G287" s="196">
        <v>193</v>
      </c>
      <c r="H287" s="202">
        <v>24671</v>
      </c>
      <c r="I287" s="198">
        <v>2</v>
      </c>
      <c r="J287" s="196">
        <v>3</v>
      </c>
      <c r="K287" s="196"/>
      <c r="P287" s="201" t="str">
        <f t="shared" si="4"/>
        <v>|||||||||||||||||||||||||||||||||||||||||||</v>
      </c>
    </row>
    <row r="288" spans="2:16" ht="15" x14ac:dyDescent="0.2">
      <c r="B288" s="196">
        <v>281</v>
      </c>
      <c r="C288" s="195" t="s">
        <v>8181</v>
      </c>
      <c r="D288" s="195" t="s">
        <v>107</v>
      </c>
      <c r="E288" s="196" t="s">
        <v>21</v>
      </c>
      <c r="F288" s="196" t="s">
        <v>157</v>
      </c>
      <c r="G288" s="196">
        <v>158</v>
      </c>
      <c r="H288" s="202">
        <v>34322</v>
      </c>
      <c r="I288" s="198">
        <v>1</v>
      </c>
      <c r="J288" s="196">
        <v>1</v>
      </c>
      <c r="K288" s="196"/>
      <c r="P288" s="201" t="str">
        <f t="shared" si="4"/>
        <v>||||||||</v>
      </c>
    </row>
    <row r="289" spans="2:16" ht="15" x14ac:dyDescent="0.2">
      <c r="B289" s="196">
        <v>282</v>
      </c>
      <c r="C289" s="195" t="s">
        <v>8182</v>
      </c>
      <c r="D289" s="195" t="s">
        <v>8161</v>
      </c>
      <c r="E289" s="196" t="s">
        <v>17</v>
      </c>
      <c r="F289" s="196" t="s">
        <v>17</v>
      </c>
      <c r="G289" s="196">
        <v>173</v>
      </c>
      <c r="H289" s="202">
        <v>34845</v>
      </c>
      <c r="I289" s="198">
        <v>3</v>
      </c>
      <c r="J289" s="196">
        <v>3</v>
      </c>
      <c r="K289" s="196"/>
      <c r="P289" s="201" t="str">
        <f t="shared" si="4"/>
        <v>|||||||||||||||||||||||</v>
      </c>
    </row>
    <row r="290" spans="2:16" ht="15" x14ac:dyDescent="0.2">
      <c r="B290" s="196">
        <v>283</v>
      </c>
      <c r="C290" s="195" t="s">
        <v>8183</v>
      </c>
      <c r="D290" s="195" t="s">
        <v>8162</v>
      </c>
      <c r="E290" s="196" t="s">
        <v>21</v>
      </c>
      <c r="F290" s="196" t="s">
        <v>17</v>
      </c>
      <c r="G290" s="196">
        <v>194</v>
      </c>
      <c r="H290" s="202">
        <v>31716</v>
      </c>
      <c r="I290" s="198">
        <v>2</v>
      </c>
      <c r="J290" s="196">
        <v>1</v>
      </c>
      <c r="K290" s="196"/>
      <c r="P290" s="201" t="str">
        <f t="shared" si="4"/>
        <v>||||||||||||||||||||||||||||||||||||||||||||</v>
      </c>
    </row>
    <row r="291" spans="2:16" ht="15" x14ac:dyDescent="0.2">
      <c r="B291" s="196">
        <v>284</v>
      </c>
      <c r="C291" s="195" t="s">
        <v>8184</v>
      </c>
      <c r="D291" s="195" t="s">
        <v>6954</v>
      </c>
      <c r="E291" s="196" t="s">
        <v>17</v>
      </c>
      <c r="F291" s="196" t="s">
        <v>17</v>
      </c>
      <c r="G291" s="196">
        <v>194</v>
      </c>
      <c r="H291" s="202">
        <v>28546</v>
      </c>
      <c r="I291" s="198">
        <v>4</v>
      </c>
      <c r="J291" s="196">
        <v>2</v>
      </c>
      <c r="K291" s="196"/>
      <c r="P291" s="201" t="str">
        <f t="shared" si="4"/>
        <v>||||||||||||||||||||||||||||||||||||||||||||</v>
      </c>
    </row>
    <row r="292" spans="2:16" ht="15" x14ac:dyDescent="0.2">
      <c r="B292" s="196">
        <v>285</v>
      </c>
      <c r="C292" s="195" t="s">
        <v>8185</v>
      </c>
      <c r="D292" s="195" t="s">
        <v>8165</v>
      </c>
      <c r="E292" s="196" t="s">
        <v>21</v>
      </c>
      <c r="F292" s="196" t="s">
        <v>157</v>
      </c>
      <c r="G292" s="196">
        <v>165</v>
      </c>
      <c r="H292" s="202">
        <v>28684</v>
      </c>
      <c r="I292" s="198">
        <v>2</v>
      </c>
      <c r="J292" s="196">
        <v>1</v>
      </c>
      <c r="K292" s="196"/>
      <c r="P292" s="201" t="str">
        <f t="shared" si="4"/>
        <v>|||||||||||||||</v>
      </c>
    </row>
    <row r="293" spans="2:16" ht="15" x14ac:dyDescent="0.2">
      <c r="B293" s="196">
        <v>286</v>
      </c>
      <c r="C293" s="195" t="s">
        <v>8186</v>
      </c>
      <c r="D293" s="195" t="s">
        <v>8169</v>
      </c>
      <c r="E293" s="196" t="s">
        <v>17</v>
      </c>
      <c r="F293" s="196" t="s">
        <v>157</v>
      </c>
      <c r="G293" s="196">
        <v>165</v>
      </c>
      <c r="H293" s="202">
        <v>34033</v>
      </c>
      <c r="I293" s="198">
        <v>4</v>
      </c>
      <c r="J293" s="196">
        <v>1</v>
      </c>
      <c r="K293" s="196"/>
      <c r="P293" s="201" t="str">
        <f t="shared" si="4"/>
        <v>|||||||||||||||</v>
      </c>
    </row>
    <row r="294" spans="2:16" ht="15" x14ac:dyDescent="0.2">
      <c r="B294" s="196">
        <v>287</v>
      </c>
      <c r="C294" s="195" t="s">
        <v>8187</v>
      </c>
      <c r="D294" s="195" t="s">
        <v>8173</v>
      </c>
      <c r="E294" s="196" t="s">
        <v>21</v>
      </c>
      <c r="F294" s="196" t="s">
        <v>157</v>
      </c>
      <c r="G294" s="196">
        <v>188</v>
      </c>
      <c r="H294" s="202">
        <v>25768</v>
      </c>
      <c r="I294" s="198">
        <v>4</v>
      </c>
      <c r="J294" s="196">
        <v>3</v>
      </c>
      <c r="K294" s="196"/>
      <c r="P294" s="201" t="str">
        <f t="shared" si="4"/>
        <v>||||||||||||||||||||||||||||||||||||||</v>
      </c>
    </row>
    <row r="295" spans="2:16" ht="15" x14ac:dyDescent="0.2">
      <c r="B295" s="196">
        <v>288</v>
      </c>
      <c r="C295" s="195" t="s">
        <v>8188</v>
      </c>
      <c r="D295" s="195" t="s">
        <v>8175</v>
      </c>
      <c r="E295" s="196" t="s">
        <v>17</v>
      </c>
      <c r="F295" s="196" t="s">
        <v>17</v>
      </c>
      <c r="G295" s="196">
        <v>170</v>
      </c>
      <c r="H295" s="202">
        <v>33546</v>
      </c>
      <c r="I295" s="198">
        <v>4</v>
      </c>
      <c r="J295" s="196">
        <v>1</v>
      </c>
      <c r="K295" s="196"/>
      <c r="P295" s="201" t="str">
        <f t="shared" si="4"/>
        <v>||||||||||||||||||||</v>
      </c>
    </row>
    <row r="296" spans="2:16" ht="15" x14ac:dyDescent="0.2">
      <c r="B296" s="196">
        <v>289</v>
      </c>
      <c r="C296" s="195" t="s">
        <v>8189</v>
      </c>
      <c r="D296" s="195" t="s">
        <v>8177</v>
      </c>
      <c r="E296" s="196" t="s">
        <v>21</v>
      </c>
      <c r="F296" s="196" t="s">
        <v>17</v>
      </c>
      <c r="G296" s="196">
        <v>175</v>
      </c>
      <c r="H296" s="202">
        <v>36032</v>
      </c>
      <c r="I296" s="198">
        <v>3</v>
      </c>
      <c r="J296" s="196">
        <v>2</v>
      </c>
      <c r="K296" s="196"/>
      <c r="P296" s="201" t="str">
        <f t="shared" si="4"/>
        <v>|||||||||||||||||||||||||</v>
      </c>
    </row>
    <row r="297" spans="2:16" ht="15" x14ac:dyDescent="0.2">
      <c r="B297" s="196">
        <v>290</v>
      </c>
      <c r="C297" s="195" t="s">
        <v>8190</v>
      </c>
      <c r="D297" s="195" t="s">
        <v>102</v>
      </c>
      <c r="E297" s="196" t="s">
        <v>17</v>
      </c>
      <c r="F297" s="196" t="s">
        <v>157</v>
      </c>
      <c r="G297" s="196">
        <v>191</v>
      </c>
      <c r="H297" s="202">
        <v>27066</v>
      </c>
      <c r="I297" s="198">
        <v>2</v>
      </c>
      <c r="J297" s="196">
        <v>1</v>
      </c>
      <c r="K297" s="196"/>
      <c r="P297" s="201" t="str">
        <f t="shared" si="4"/>
        <v>|||||||||||||||||||||||||||||||||||||||||</v>
      </c>
    </row>
    <row r="298" spans="2:16" ht="15" x14ac:dyDescent="0.2">
      <c r="B298" s="196">
        <v>291</v>
      </c>
      <c r="C298" s="195" t="s">
        <v>8191</v>
      </c>
      <c r="D298" s="195" t="s">
        <v>8137</v>
      </c>
      <c r="E298" s="196" t="s">
        <v>21</v>
      </c>
      <c r="F298" s="196" t="s">
        <v>17</v>
      </c>
      <c r="G298" s="196">
        <v>159</v>
      </c>
      <c r="H298" s="202">
        <v>25200</v>
      </c>
      <c r="I298" s="198">
        <v>5</v>
      </c>
      <c r="J298" s="196">
        <v>1</v>
      </c>
      <c r="K298" s="196"/>
      <c r="P298" s="201" t="str">
        <f t="shared" si="4"/>
        <v>|||||||||</v>
      </c>
    </row>
    <row r="299" spans="2:16" ht="15" x14ac:dyDescent="0.2">
      <c r="B299" s="196">
        <v>292</v>
      </c>
      <c r="C299" s="195" t="s">
        <v>8192</v>
      </c>
      <c r="D299" s="195" t="s">
        <v>7141</v>
      </c>
      <c r="E299" s="196" t="s">
        <v>17</v>
      </c>
      <c r="F299" s="196" t="s">
        <v>17</v>
      </c>
      <c r="G299" s="196">
        <v>183</v>
      </c>
      <c r="H299" s="202">
        <v>35164</v>
      </c>
      <c r="I299" s="198">
        <v>4</v>
      </c>
      <c r="J299" s="196">
        <v>3</v>
      </c>
      <c r="K299" s="196"/>
      <c r="P299" s="201" t="str">
        <f t="shared" si="4"/>
        <v>|||||||||||||||||||||||||||||||||</v>
      </c>
    </row>
    <row r="300" spans="2:16" ht="15" x14ac:dyDescent="0.2">
      <c r="B300" s="196">
        <v>293</v>
      </c>
      <c r="C300" s="195" t="s">
        <v>8193</v>
      </c>
      <c r="D300" s="195" t="s">
        <v>6962</v>
      </c>
      <c r="E300" s="196" t="s">
        <v>2705</v>
      </c>
      <c r="F300" s="196" t="s">
        <v>17</v>
      </c>
      <c r="G300" s="196">
        <v>187</v>
      </c>
      <c r="H300" s="202">
        <v>24975</v>
      </c>
      <c r="I300" s="198">
        <v>1</v>
      </c>
      <c r="J300" s="196">
        <v>2</v>
      </c>
      <c r="K300" s="196"/>
      <c r="P300" s="201" t="str">
        <f t="shared" si="4"/>
        <v>|||||||||||||||||||||||||||||||||||||</v>
      </c>
    </row>
    <row r="301" spans="2:16" ht="15" x14ac:dyDescent="0.2">
      <c r="B301" s="196">
        <v>294</v>
      </c>
      <c r="C301" s="195" t="s">
        <v>296</v>
      </c>
      <c r="D301" s="195" t="s">
        <v>8135</v>
      </c>
      <c r="E301" s="196" t="s">
        <v>17</v>
      </c>
      <c r="F301" s="196" t="s">
        <v>17</v>
      </c>
      <c r="G301" s="196">
        <v>164</v>
      </c>
      <c r="H301" s="202">
        <v>24564</v>
      </c>
      <c r="I301" s="198">
        <v>5</v>
      </c>
      <c r="J301" s="196">
        <v>3</v>
      </c>
      <c r="K301" s="196"/>
      <c r="P301" s="201" t="str">
        <f t="shared" si="4"/>
        <v>||||||||||||||</v>
      </c>
    </row>
    <row r="302" spans="2:16" ht="15" x14ac:dyDescent="0.2">
      <c r="B302" s="196">
        <v>295</v>
      </c>
      <c r="C302" s="195" t="s">
        <v>8195</v>
      </c>
      <c r="D302" s="195" t="s">
        <v>8140</v>
      </c>
      <c r="E302" s="196" t="s">
        <v>17</v>
      </c>
      <c r="F302" s="196" t="s">
        <v>17</v>
      </c>
      <c r="G302" s="196">
        <v>155</v>
      </c>
      <c r="H302" s="202">
        <v>26562</v>
      </c>
      <c r="I302" s="198">
        <v>3</v>
      </c>
      <c r="J302" s="196">
        <v>2</v>
      </c>
      <c r="K302" s="196"/>
      <c r="P302" s="201" t="str">
        <f t="shared" si="4"/>
        <v>|||||</v>
      </c>
    </row>
    <row r="303" spans="2:16" ht="15" x14ac:dyDescent="0.2">
      <c r="B303" s="196">
        <v>296</v>
      </c>
      <c r="C303" s="195" t="s">
        <v>8136</v>
      </c>
      <c r="D303" s="195" t="s">
        <v>713</v>
      </c>
      <c r="E303" s="196" t="s">
        <v>17</v>
      </c>
      <c r="F303" s="196" t="s">
        <v>157</v>
      </c>
      <c r="G303" s="196">
        <v>191</v>
      </c>
      <c r="H303" s="202">
        <v>32544</v>
      </c>
      <c r="I303" s="198">
        <v>2</v>
      </c>
      <c r="J303" s="196">
        <v>1</v>
      </c>
      <c r="K303" s="196"/>
      <c r="P303" s="201" t="str">
        <f t="shared" si="4"/>
        <v>|||||||||||||||||||||||||||||||||||||||||</v>
      </c>
    </row>
    <row r="304" spans="2:16" ht="15" x14ac:dyDescent="0.2">
      <c r="B304" s="196">
        <v>297</v>
      </c>
      <c r="C304" s="195" t="s">
        <v>8138</v>
      </c>
      <c r="D304" s="195" t="s">
        <v>7141</v>
      </c>
      <c r="E304" s="196" t="s">
        <v>21</v>
      </c>
      <c r="F304" s="196" t="s">
        <v>157</v>
      </c>
      <c r="G304" s="196">
        <v>191</v>
      </c>
      <c r="H304" s="202">
        <v>24448</v>
      </c>
      <c r="I304" s="198">
        <v>5</v>
      </c>
      <c r="J304" s="196">
        <v>1</v>
      </c>
      <c r="K304" s="196"/>
      <c r="P304" s="201" t="str">
        <f t="shared" si="4"/>
        <v>|||||||||||||||||||||||||||||||||||||||||</v>
      </c>
    </row>
    <row r="305" spans="2:16" ht="15" x14ac:dyDescent="0.2">
      <c r="B305" s="196">
        <v>298</v>
      </c>
      <c r="C305" s="195" t="s">
        <v>8139</v>
      </c>
      <c r="D305" s="195" t="s">
        <v>8137</v>
      </c>
      <c r="E305" s="196" t="s">
        <v>17</v>
      </c>
      <c r="F305" s="196" t="s">
        <v>2677</v>
      </c>
      <c r="G305" s="196">
        <v>172</v>
      </c>
      <c r="H305" s="202">
        <v>33344</v>
      </c>
      <c r="I305" s="198">
        <v>2</v>
      </c>
      <c r="J305" s="196">
        <v>3</v>
      </c>
      <c r="K305" s="196"/>
      <c r="P305" s="201" t="str">
        <f t="shared" si="4"/>
        <v>||||||||||||||||||||||</v>
      </c>
    </row>
    <row r="306" spans="2:16" ht="15" x14ac:dyDescent="0.2">
      <c r="B306" s="196">
        <v>299</v>
      </c>
      <c r="C306" s="195" t="s">
        <v>8141</v>
      </c>
      <c r="D306" s="195" t="s">
        <v>6983</v>
      </c>
      <c r="E306" s="196" t="s">
        <v>21</v>
      </c>
      <c r="F306" s="196" t="s">
        <v>17</v>
      </c>
      <c r="G306" s="196">
        <v>186</v>
      </c>
      <c r="H306" s="202">
        <v>35964</v>
      </c>
      <c r="I306" s="198">
        <v>4</v>
      </c>
      <c r="J306" s="196">
        <v>2</v>
      </c>
      <c r="K306" s="196"/>
      <c r="P306" s="201" t="str">
        <f t="shared" si="4"/>
        <v>||||||||||||||||||||||||||||||||||||</v>
      </c>
    </row>
    <row r="307" spans="2:16" ht="15" x14ac:dyDescent="0.2">
      <c r="B307" s="196">
        <v>300</v>
      </c>
      <c r="C307" s="195" t="s">
        <v>8142</v>
      </c>
      <c r="D307" s="195" t="s">
        <v>6962</v>
      </c>
      <c r="E307" s="196" t="s">
        <v>17</v>
      </c>
      <c r="F307" s="196" t="s">
        <v>17</v>
      </c>
      <c r="G307" s="196">
        <v>190</v>
      </c>
      <c r="H307" s="202">
        <v>35357</v>
      </c>
      <c r="I307" s="198">
        <v>3</v>
      </c>
      <c r="J307" s="196">
        <v>2</v>
      </c>
      <c r="K307" s="196"/>
      <c r="P307" s="201" t="str">
        <f t="shared" si="4"/>
        <v>||||||||||||||||||||||||||||||||||||||||</v>
      </c>
    </row>
    <row r="308" spans="2:16" ht="15" x14ac:dyDescent="0.2">
      <c r="B308" s="196">
        <v>301</v>
      </c>
      <c r="C308" s="195" t="s">
        <v>8143</v>
      </c>
      <c r="D308" s="195" t="s">
        <v>6944</v>
      </c>
      <c r="E308" s="196" t="s">
        <v>21</v>
      </c>
      <c r="F308" s="196" t="s">
        <v>157</v>
      </c>
      <c r="G308" s="196">
        <v>182</v>
      </c>
      <c r="H308" s="202">
        <v>28480</v>
      </c>
      <c r="I308" s="198">
        <v>5</v>
      </c>
      <c r="J308" s="196">
        <v>1</v>
      </c>
      <c r="K308" s="196"/>
      <c r="P308" s="201" t="str">
        <f t="shared" si="4"/>
        <v>||||||||||||||||||||||||||||||||</v>
      </c>
    </row>
    <row r="309" spans="2:16" ht="15" x14ac:dyDescent="0.2">
      <c r="B309" s="196">
        <v>302</v>
      </c>
      <c r="C309" s="195" t="s">
        <v>8144</v>
      </c>
      <c r="D309" s="195" t="s">
        <v>8145</v>
      </c>
      <c r="E309" s="196" t="s">
        <v>17</v>
      </c>
      <c r="F309" s="196" t="s">
        <v>157</v>
      </c>
      <c r="G309" s="196">
        <v>194</v>
      </c>
      <c r="H309" s="202">
        <v>27176</v>
      </c>
      <c r="I309" s="198">
        <v>4</v>
      </c>
      <c r="J309" s="196">
        <v>3</v>
      </c>
      <c r="K309" s="196"/>
      <c r="P309" s="201" t="str">
        <f t="shared" si="4"/>
        <v>||||||||||||||||||||||||||||||||||||||||||||</v>
      </c>
    </row>
    <row r="310" spans="2:16" ht="15" x14ac:dyDescent="0.2">
      <c r="B310" s="196">
        <v>303</v>
      </c>
      <c r="C310" s="195" t="s">
        <v>8146</v>
      </c>
      <c r="D310" s="195" t="s">
        <v>8147</v>
      </c>
      <c r="E310" s="196" t="s">
        <v>21</v>
      </c>
      <c r="F310" s="196" t="s">
        <v>157</v>
      </c>
      <c r="G310" s="196">
        <v>167</v>
      </c>
      <c r="H310" s="202">
        <v>34734</v>
      </c>
      <c r="I310" s="198">
        <v>5</v>
      </c>
      <c r="J310" s="196">
        <v>2</v>
      </c>
      <c r="K310" s="196"/>
      <c r="P310" s="201" t="str">
        <f t="shared" si="4"/>
        <v>|||||||||||||||||</v>
      </c>
    </row>
    <row r="311" spans="2:16" ht="15" x14ac:dyDescent="0.2">
      <c r="B311" s="196">
        <v>304</v>
      </c>
      <c r="C311" s="195" t="s">
        <v>8148</v>
      </c>
      <c r="D311" s="195" t="s">
        <v>8149</v>
      </c>
      <c r="E311" s="196" t="s">
        <v>17</v>
      </c>
      <c r="F311" s="196" t="s">
        <v>157</v>
      </c>
      <c r="G311" s="196">
        <v>188</v>
      </c>
      <c r="H311" s="202">
        <v>34212</v>
      </c>
      <c r="I311" s="198">
        <v>4</v>
      </c>
      <c r="J311" s="196">
        <v>2</v>
      </c>
      <c r="K311" s="196"/>
      <c r="P311" s="201" t="str">
        <f t="shared" si="4"/>
        <v>||||||||||||||||||||||||||||||||||||||</v>
      </c>
    </row>
    <row r="312" spans="2:16" ht="15" x14ac:dyDescent="0.2">
      <c r="B312" s="196">
        <v>305</v>
      </c>
      <c r="C312" s="195" t="s">
        <v>8150</v>
      </c>
      <c r="D312" s="195" t="s">
        <v>8151</v>
      </c>
      <c r="E312" s="196" t="s">
        <v>21</v>
      </c>
      <c r="F312" s="196" t="s">
        <v>17</v>
      </c>
      <c r="G312" s="196">
        <v>177</v>
      </c>
      <c r="H312" s="202">
        <v>27689</v>
      </c>
      <c r="I312" s="198">
        <v>4</v>
      </c>
      <c r="J312" s="196">
        <v>3</v>
      </c>
      <c r="K312" s="196"/>
      <c r="P312" s="201" t="str">
        <f t="shared" si="4"/>
        <v>|||||||||||||||||||||||||||</v>
      </c>
    </row>
    <row r="313" spans="2:16" ht="15" x14ac:dyDescent="0.2">
      <c r="B313" s="196">
        <v>306</v>
      </c>
      <c r="C313" s="195" t="s">
        <v>8152</v>
      </c>
      <c r="D313" s="195" t="s">
        <v>8153</v>
      </c>
      <c r="E313" s="196" t="s">
        <v>17</v>
      </c>
      <c r="F313" s="196" t="s">
        <v>157</v>
      </c>
      <c r="G313" s="196">
        <v>187</v>
      </c>
      <c r="H313" s="202">
        <v>25792</v>
      </c>
      <c r="I313" s="198">
        <v>2</v>
      </c>
      <c r="J313" s="196">
        <v>2</v>
      </c>
      <c r="K313" s="196"/>
      <c r="P313" s="201" t="str">
        <f t="shared" si="4"/>
        <v>|||||||||||||||||||||||||||||||||||||</v>
      </c>
    </row>
    <row r="314" spans="2:16" ht="15" x14ac:dyDescent="0.2">
      <c r="B314" s="196">
        <v>307</v>
      </c>
      <c r="C314" s="195" t="s">
        <v>8154</v>
      </c>
      <c r="D314" s="195" t="s">
        <v>8155</v>
      </c>
      <c r="E314" s="196" t="s">
        <v>21</v>
      </c>
      <c r="F314" s="196" t="s">
        <v>157</v>
      </c>
      <c r="G314" s="196">
        <v>166</v>
      </c>
      <c r="H314" s="202">
        <v>34774</v>
      </c>
      <c r="I314" s="198">
        <v>2</v>
      </c>
      <c r="J314" s="196">
        <v>1</v>
      </c>
      <c r="K314" s="196"/>
      <c r="P314" s="201" t="str">
        <f t="shared" si="4"/>
        <v>||||||||||||||||</v>
      </c>
    </row>
    <row r="315" spans="2:16" ht="15" x14ac:dyDescent="0.2">
      <c r="B315" s="196">
        <v>308</v>
      </c>
      <c r="C315" s="195" t="s">
        <v>8156</v>
      </c>
      <c r="D315" s="195" t="s">
        <v>8157</v>
      </c>
      <c r="E315" s="196" t="s">
        <v>17</v>
      </c>
      <c r="F315" s="196" t="s">
        <v>157</v>
      </c>
      <c r="G315" s="196">
        <v>159</v>
      </c>
      <c r="H315" s="202">
        <v>26556</v>
      </c>
      <c r="I315" s="198">
        <v>4</v>
      </c>
      <c r="J315" s="196">
        <v>1</v>
      </c>
      <c r="K315" s="196"/>
      <c r="P315" s="201" t="str">
        <f t="shared" si="4"/>
        <v>|||||||||</v>
      </c>
    </row>
    <row r="316" spans="2:16" ht="15" x14ac:dyDescent="0.2">
      <c r="B316" s="196">
        <v>309</v>
      </c>
      <c r="C316" s="195" t="s">
        <v>1508</v>
      </c>
      <c r="D316" s="195" t="s">
        <v>8158</v>
      </c>
      <c r="E316" s="196" t="s">
        <v>21</v>
      </c>
      <c r="F316" s="196" t="s">
        <v>157</v>
      </c>
      <c r="G316" s="196">
        <v>177</v>
      </c>
      <c r="H316" s="202">
        <v>30999</v>
      </c>
      <c r="I316" s="198">
        <v>5</v>
      </c>
      <c r="J316" s="196">
        <v>3</v>
      </c>
      <c r="K316" s="196"/>
      <c r="P316" s="201" t="str">
        <f t="shared" si="4"/>
        <v>|||||||||||||||||||||||||||</v>
      </c>
    </row>
    <row r="317" spans="2:16" ht="15" x14ac:dyDescent="0.2">
      <c r="B317" s="196">
        <v>310</v>
      </c>
      <c r="C317" s="195" t="s">
        <v>8159</v>
      </c>
      <c r="D317" s="195" t="s">
        <v>107</v>
      </c>
      <c r="E317" s="196" t="s">
        <v>17</v>
      </c>
      <c r="F317" s="196" t="s">
        <v>17</v>
      </c>
      <c r="G317" s="196">
        <v>177</v>
      </c>
      <c r="H317" s="202">
        <v>33668</v>
      </c>
      <c r="I317" s="198">
        <v>4</v>
      </c>
      <c r="J317" s="196">
        <v>3</v>
      </c>
      <c r="K317" s="196"/>
      <c r="P317" s="201" t="str">
        <f t="shared" si="4"/>
        <v>|||||||||||||||||||||||||||</v>
      </c>
    </row>
    <row r="318" spans="2:16" ht="15" x14ac:dyDescent="0.2">
      <c r="B318" s="196">
        <v>311</v>
      </c>
      <c r="C318" s="195" t="s">
        <v>8160</v>
      </c>
      <c r="D318" s="195" t="s">
        <v>8161</v>
      </c>
      <c r="E318" s="196" t="s">
        <v>21</v>
      </c>
      <c r="F318" s="196" t="s">
        <v>17</v>
      </c>
      <c r="G318" s="196">
        <v>176</v>
      </c>
      <c r="H318" s="202">
        <v>30578</v>
      </c>
      <c r="I318" s="198">
        <v>5</v>
      </c>
      <c r="J318" s="196">
        <v>1</v>
      </c>
      <c r="K318" s="196"/>
      <c r="P318" s="201" t="str">
        <f t="shared" si="4"/>
        <v>||||||||||||||||||||||||||</v>
      </c>
    </row>
    <row r="319" spans="2:16" ht="15" x14ac:dyDescent="0.2">
      <c r="B319" s="196">
        <v>312</v>
      </c>
      <c r="C319" s="195" t="s">
        <v>6966</v>
      </c>
      <c r="D319" s="195" t="s">
        <v>8162</v>
      </c>
      <c r="E319" s="196" t="s">
        <v>17</v>
      </c>
      <c r="F319" s="196" t="s">
        <v>157</v>
      </c>
      <c r="G319" s="196">
        <v>185</v>
      </c>
      <c r="H319" s="202">
        <v>25040</v>
      </c>
      <c r="I319" s="198">
        <v>1</v>
      </c>
      <c r="J319" s="196">
        <v>2</v>
      </c>
      <c r="K319" s="196"/>
      <c r="P319" s="201" t="str">
        <f t="shared" si="4"/>
        <v>|||||||||||||||||||||||||||||||||||</v>
      </c>
    </row>
    <row r="320" spans="2:16" ht="15" x14ac:dyDescent="0.2">
      <c r="B320" s="196">
        <v>313</v>
      </c>
      <c r="C320" s="195" t="s">
        <v>8163</v>
      </c>
      <c r="D320" s="195" t="s">
        <v>6954</v>
      </c>
      <c r="E320" s="196" t="s">
        <v>21</v>
      </c>
      <c r="F320" s="196" t="s">
        <v>17</v>
      </c>
      <c r="G320" s="196">
        <v>156</v>
      </c>
      <c r="H320" s="202">
        <v>35684</v>
      </c>
      <c r="I320" s="198">
        <v>4</v>
      </c>
      <c r="J320" s="196">
        <v>2</v>
      </c>
      <c r="K320" s="196"/>
      <c r="P320" s="201" t="str">
        <f t="shared" si="4"/>
        <v>||||||</v>
      </c>
    </row>
    <row r="321" spans="2:16" ht="15" x14ac:dyDescent="0.2">
      <c r="B321" s="196">
        <v>314</v>
      </c>
      <c r="C321" s="195" t="s">
        <v>8164</v>
      </c>
      <c r="D321" s="195" t="s">
        <v>8165</v>
      </c>
      <c r="E321" s="196" t="s">
        <v>17</v>
      </c>
      <c r="F321" s="196" t="s">
        <v>157</v>
      </c>
      <c r="G321" s="196">
        <v>166</v>
      </c>
      <c r="H321" s="202">
        <v>34388</v>
      </c>
      <c r="I321" s="198">
        <v>1</v>
      </c>
      <c r="J321" s="196">
        <v>1</v>
      </c>
      <c r="K321" s="196"/>
      <c r="P321" s="201" t="str">
        <f t="shared" si="4"/>
        <v>||||||||||||||||</v>
      </c>
    </row>
    <row r="322" spans="2:16" ht="15" x14ac:dyDescent="0.2">
      <c r="B322" s="196">
        <v>315</v>
      </c>
      <c r="C322" s="195" t="s">
        <v>8166</v>
      </c>
      <c r="D322" s="195" t="s">
        <v>56</v>
      </c>
      <c r="E322" s="196" t="s">
        <v>21</v>
      </c>
      <c r="F322" s="196" t="s">
        <v>157</v>
      </c>
      <c r="G322" s="196">
        <v>184</v>
      </c>
      <c r="H322" s="202">
        <v>25060</v>
      </c>
      <c r="I322" s="198">
        <v>5</v>
      </c>
      <c r="J322" s="196">
        <v>1</v>
      </c>
      <c r="K322" s="196"/>
      <c r="P322" s="201" t="str">
        <f t="shared" si="4"/>
        <v>||||||||||||||||||||||||||||||||||</v>
      </c>
    </row>
    <row r="323" spans="2:16" ht="15" x14ac:dyDescent="0.2">
      <c r="B323" s="196">
        <v>316</v>
      </c>
      <c r="C323" s="195" t="s">
        <v>8167</v>
      </c>
      <c r="D323" s="195" t="s">
        <v>8168</v>
      </c>
      <c r="E323" s="196" t="s">
        <v>17</v>
      </c>
      <c r="F323" s="196" t="s">
        <v>157</v>
      </c>
      <c r="G323" s="196">
        <v>160</v>
      </c>
      <c r="H323" s="202">
        <v>27183</v>
      </c>
      <c r="I323" s="198">
        <v>3</v>
      </c>
      <c r="J323" s="196">
        <v>3</v>
      </c>
      <c r="K323" s="196"/>
      <c r="P323" s="201" t="str">
        <f t="shared" si="4"/>
        <v>||||||||||</v>
      </c>
    </row>
    <row r="324" spans="2:16" ht="15" x14ac:dyDescent="0.2">
      <c r="B324" s="196">
        <v>317</v>
      </c>
      <c r="C324" s="195" t="s">
        <v>269</v>
      </c>
      <c r="D324" s="195" t="s">
        <v>8169</v>
      </c>
      <c r="E324" s="196" t="s">
        <v>21</v>
      </c>
      <c r="F324" s="196" t="s">
        <v>2677</v>
      </c>
      <c r="G324" s="196">
        <v>162</v>
      </c>
      <c r="H324" s="202">
        <v>35228</v>
      </c>
      <c r="I324" s="198">
        <v>2</v>
      </c>
      <c r="J324" s="196">
        <v>1</v>
      </c>
      <c r="K324" s="196"/>
      <c r="P324" s="201" t="str">
        <f t="shared" si="4"/>
        <v>||||||||||||</v>
      </c>
    </row>
    <row r="325" spans="2:16" ht="15" x14ac:dyDescent="0.2">
      <c r="B325" s="196">
        <v>318</v>
      </c>
      <c r="C325" s="195" t="s">
        <v>8170</v>
      </c>
      <c r="D325" s="195" t="s">
        <v>6914</v>
      </c>
      <c r="E325" s="196" t="s">
        <v>17</v>
      </c>
      <c r="F325" s="196" t="s">
        <v>17</v>
      </c>
      <c r="G325" s="196">
        <v>156</v>
      </c>
      <c r="H325" s="202">
        <v>25223</v>
      </c>
      <c r="I325" s="198">
        <v>1</v>
      </c>
      <c r="J325" s="196">
        <v>3</v>
      </c>
      <c r="K325" s="196"/>
      <c r="P325" s="201" t="str">
        <f t="shared" si="4"/>
        <v>||||||</v>
      </c>
    </row>
    <row r="326" spans="2:16" ht="15" x14ac:dyDescent="0.2">
      <c r="B326" s="196">
        <v>319</v>
      </c>
      <c r="C326" s="195" t="s">
        <v>231</v>
      </c>
      <c r="D326" s="195" t="s">
        <v>8171</v>
      </c>
      <c r="E326" s="196" t="s">
        <v>21</v>
      </c>
      <c r="F326" s="196" t="s">
        <v>157</v>
      </c>
      <c r="G326" s="196">
        <v>181</v>
      </c>
      <c r="H326" s="202">
        <v>24595</v>
      </c>
      <c r="I326" s="198">
        <v>2</v>
      </c>
      <c r="J326" s="196">
        <v>1</v>
      </c>
      <c r="K326" s="196"/>
      <c r="P326" s="201" t="str">
        <f t="shared" si="4"/>
        <v>|||||||||||||||||||||||||||||||</v>
      </c>
    </row>
    <row r="327" spans="2:16" ht="15" x14ac:dyDescent="0.2">
      <c r="B327" s="196">
        <v>320</v>
      </c>
      <c r="C327" s="195" t="s">
        <v>8172</v>
      </c>
      <c r="D327" s="195" t="s">
        <v>8173</v>
      </c>
      <c r="E327" s="196" t="s">
        <v>17</v>
      </c>
      <c r="F327" s="196" t="s">
        <v>17</v>
      </c>
      <c r="G327" s="196">
        <v>178</v>
      </c>
      <c r="H327" s="202">
        <v>26374</v>
      </c>
      <c r="I327" s="198">
        <v>3</v>
      </c>
      <c r="J327" s="196">
        <v>3</v>
      </c>
      <c r="K327" s="196"/>
      <c r="P327" s="201" t="str">
        <f t="shared" si="4"/>
        <v>||||||||||||||||||||||||||||</v>
      </c>
    </row>
    <row r="328" spans="2:16" ht="15" x14ac:dyDescent="0.2">
      <c r="B328" s="196">
        <v>321</v>
      </c>
      <c r="C328" s="195" t="s">
        <v>8174</v>
      </c>
      <c r="D328" s="195" t="s">
        <v>8175</v>
      </c>
      <c r="E328" s="196" t="s">
        <v>21</v>
      </c>
      <c r="F328" s="196" t="s">
        <v>157</v>
      </c>
      <c r="G328" s="196">
        <v>171</v>
      </c>
      <c r="H328" s="202">
        <v>29850</v>
      </c>
      <c r="I328" s="198">
        <v>4</v>
      </c>
      <c r="J328" s="196">
        <v>3</v>
      </c>
      <c r="K328" s="196"/>
      <c r="P328" s="201" t="str">
        <f t="shared" si="4"/>
        <v>|||||||||||||||||||||</v>
      </c>
    </row>
    <row r="329" spans="2:16" ht="15" x14ac:dyDescent="0.2">
      <c r="B329" s="196">
        <v>322</v>
      </c>
      <c r="C329" s="195" t="s">
        <v>8176</v>
      </c>
      <c r="D329" s="195" t="s">
        <v>8177</v>
      </c>
      <c r="E329" s="196" t="s">
        <v>17</v>
      </c>
      <c r="F329" s="196" t="s">
        <v>17</v>
      </c>
      <c r="G329" s="196">
        <v>171</v>
      </c>
      <c r="H329" s="202">
        <v>30156</v>
      </c>
      <c r="I329" s="198">
        <v>3</v>
      </c>
      <c r="J329" s="196">
        <v>1</v>
      </c>
      <c r="K329" s="196"/>
      <c r="P329" s="201" t="str">
        <f t="shared" ref="P329:P392" si="5">REPT("|",G329-150)</f>
        <v>|||||||||||||||||||||</v>
      </c>
    </row>
    <row r="330" spans="2:16" ht="15" x14ac:dyDescent="0.2">
      <c r="B330" s="196">
        <v>323</v>
      </c>
      <c r="C330" s="195" t="s">
        <v>8178</v>
      </c>
      <c r="D330" s="195" t="s">
        <v>8155</v>
      </c>
      <c r="E330" s="196" t="s">
        <v>21</v>
      </c>
      <c r="F330" s="196" t="s">
        <v>17</v>
      </c>
      <c r="G330" s="196">
        <v>182</v>
      </c>
      <c r="H330" s="202">
        <v>28716</v>
      </c>
      <c r="I330" s="198">
        <v>4</v>
      </c>
      <c r="J330" s="196">
        <v>3</v>
      </c>
      <c r="K330" s="196"/>
      <c r="P330" s="201" t="str">
        <f t="shared" si="5"/>
        <v>||||||||||||||||||||||||||||||||</v>
      </c>
    </row>
    <row r="331" spans="2:16" ht="15" x14ac:dyDescent="0.2">
      <c r="B331" s="196">
        <v>324</v>
      </c>
      <c r="C331" s="195" t="s">
        <v>8179</v>
      </c>
      <c r="D331" s="195" t="s">
        <v>102</v>
      </c>
      <c r="E331" s="196" t="s">
        <v>17</v>
      </c>
      <c r="F331" s="196" t="s">
        <v>17</v>
      </c>
      <c r="G331" s="196">
        <v>161</v>
      </c>
      <c r="H331" s="202">
        <v>34684</v>
      </c>
      <c r="I331" s="198">
        <v>2</v>
      </c>
      <c r="J331" s="196">
        <v>1</v>
      </c>
      <c r="K331" s="196"/>
      <c r="P331" s="201" t="str">
        <f t="shared" si="5"/>
        <v>|||||||||||</v>
      </c>
    </row>
    <row r="332" spans="2:16" ht="15" x14ac:dyDescent="0.2">
      <c r="B332" s="196">
        <v>325</v>
      </c>
      <c r="C332" s="195" t="s">
        <v>91</v>
      </c>
      <c r="D332" s="195" t="s">
        <v>6944</v>
      </c>
      <c r="E332" s="196" t="s">
        <v>21</v>
      </c>
      <c r="F332" s="196" t="s">
        <v>157</v>
      </c>
      <c r="G332" s="196">
        <v>187</v>
      </c>
      <c r="H332" s="202">
        <v>26547</v>
      </c>
      <c r="I332" s="198">
        <v>4</v>
      </c>
      <c r="J332" s="196">
        <v>1</v>
      </c>
      <c r="K332" s="196"/>
      <c r="P332" s="201" t="str">
        <f t="shared" si="5"/>
        <v>|||||||||||||||||||||||||||||||||||||</v>
      </c>
    </row>
    <row r="333" spans="2:16" ht="15" x14ac:dyDescent="0.2">
      <c r="B333" s="196">
        <v>326</v>
      </c>
      <c r="C333" s="195" t="s">
        <v>8180</v>
      </c>
      <c r="D333" s="195" t="s">
        <v>713</v>
      </c>
      <c r="E333" s="196" t="s">
        <v>17</v>
      </c>
      <c r="F333" s="196" t="s">
        <v>157</v>
      </c>
      <c r="G333" s="196">
        <v>187</v>
      </c>
      <c r="H333" s="202">
        <v>26870</v>
      </c>
      <c r="I333" s="198">
        <v>5</v>
      </c>
      <c r="J333" s="196">
        <v>3</v>
      </c>
      <c r="K333" s="196"/>
      <c r="P333" s="201" t="str">
        <f t="shared" si="5"/>
        <v>|||||||||||||||||||||||||||||||||||||</v>
      </c>
    </row>
    <row r="334" spans="2:16" ht="15" x14ac:dyDescent="0.2">
      <c r="B334" s="196">
        <v>327</v>
      </c>
      <c r="C334" s="195" t="s">
        <v>8181</v>
      </c>
      <c r="D334" s="195" t="s">
        <v>8137</v>
      </c>
      <c r="E334" s="196" t="s">
        <v>21</v>
      </c>
      <c r="F334" s="196" t="s">
        <v>17</v>
      </c>
      <c r="G334" s="196">
        <v>176</v>
      </c>
      <c r="H334" s="202">
        <v>32654</v>
      </c>
      <c r="I334" s="198">
        <v>4</v>
      </c>
      <c r="J334" s="196">
        <v>3</v>
      </c>
      <c r="K334" s="196"/>
      <c r="P334" s="201" t="str">
        <f t="shared" si="5"/>
        <v>||||||||||||||||||||||||||</v>
      </c>
    </row>
    <row r="335" spans="2:16" ht="15" x14ac:dyDescent="0.2">
      <c r="B335" s="196">
        <v>328</v>
      </c>
      <c r="C335" s="195" t="s">
        <v>8182</v>
      </c>
      <c r="D335" s="195" t="s">
        <v>7141</v>
      </c>
      <c r="E335" s="196" t="s">
        <v>17</v>
      </c>
      <c r="F335" s="196" t="s">
        <v>157</v>
      </c>
      <c r="G335" s="196">
        <v>186</v>
      </c>
      <c r="H335" s="202">
        <v>28818</v>
      </c>
      <c r="I335" s="198">
        <v>4</v>
      </c>
      <c r="J335" s="196">
        <v>3</v>
      </c>
      <c r="K335" s="196"/>
      <c r="P335" s="201" t="str">
        <f t="shared" si="5"/>
        <v>||||||||||||||||||||||||||||||||||||</v>
      </c>
    </row>
    <row r="336" spans="2:16" ht="15" x14ac:dyDescent="0.2">
      <c r="B336" s="196">
        <v>329</v>
      </c>
      <c r="C336" s="195" t="s">
        <v>8183</v>
      </c>
      <c r="D336" s="195" t="s">
        <v>6962</v>
      </c>
      <c r="E336" s="196" t="s">
        <v>21</v>
      </c>
      <c r="F336" s="196" t="s">
        <v>17</v>
      </c>
      <c r="G336" s="196">
        <v>189</v>
      </c>
      <c r="H336" s="202">
        <v>27752</v>
      </c>
      <c r="I336" s="198">
        <v>3</v>
      </c>
      <c r="J336" s="196">
        <v>3</v>
      </c>
      <c r="K336" s="196"/>
      <c r="P336" s="201" t="str">
        <f t="shared" si="5"/>
        <v>|||||||||||||||||||||||||||||||||||||||</v>
      </c>
    </row>
    <row r="337" spans="2:16" ht="15" x14ac:dyDescent="0.2">
      <c r="B337" s="196">
        <v>330</v>
      </c>
      <c r="C337" s="195" t="s">
        <v>8184</v>
      </c>
      <c r="D337" s="195" t="s">
        <v>8135</v>
      </c>
      <c r="E337" s="196" t="s">
        <v>17</v>
      </c>
      <c r="F337" s="196" t="s">
        <v>157</v>
      </c>
      <c r="G337" s="196">
        <v>183</v>
      </c>
      <c r="H337" s="202">
        <v>35400</v>
      </c>
      <c r="I337" s="198">
        <v>5</v>
      </c>
      <c r="J337" s="196">
        <v>3</v>
      </c>
      <c r="K337" s="196"/>
      <c r="P337" s="201" t="str">
        <f t="shared" si="5"/>
        <v>|||||||||||||||||||||||||||||||||</v>
      </c>
    </row>
    <row r="338" spans="2:16" ht="15" x14ac:dyDescent="0.2">
      <c r="B338" s="196">
        <v>331</v>
      </c>
      <c r="C338" s="195" t="s">
        <v>8185</v>
      </c>
      <c r="D338" s="195" t="s">
        <v>8140</v>
      </c>
      <c r="E338" s="196" t="s">
        <v>21</v>
      </c>
      <c r="F338" s="196" t="s">
        <v>157</v>
      </c>
      <c r="G338" s="196">
        <v>184</v>
      </c>
      <c r="H338" s="202">
        <v>28320</v>
      </c>
      <c r="I338" s="198">
        <v>1</v>
      </c>
      <c r="J338" s="196">
        <v>3</v>
      </c>
      <c r="K338" s="196"/>
      <c r="P338" s="201" t="str">
        <f t="shared" si="5"/>
        <v>||||||||||||||||||||||||||||||||||</v>
      </c>
    </row>
    <row r="339" spans="2:16" ht="15" x14ac:dyDescent="0.2">
      <c r="B339" s="196">
        <v>332</v>
      </c>
      <c r="C339" s="195" t="s">
        <v>8186</v>
      </c>
      <c r="D339" s="195" t="s">
        <v>6983</v>
      </c>
      <c r="E339" s="196" t="s">
        <v>17</v>
      </c>
      <c r="F339" s="196" t="s">
        <v>17</v>
      </c>
      <c r="G339" s="196">
        <v>185</v>
      </c>
      <c r="H339" s="202">
        <v>24641</v>
      </c>
      <c r="I339" s="198">
        <v>5</v>
      </c>
      <c r="J339" s="196">
        <v>3</v>
      </c>
      <c r="K339" s="196"/>
      <c r="P339" s="201" t="str">
        <f t="shared" si="5"/>
        <v>|||||||||||||||||||||||||||||||||||</v>
      </c>
    </row>
    <row r="340" spans="2:16" ht="15" x14ac:dyDescent="0.2">
      <c r="B340" s="196">
        <v>333</v>
      </c>
      <c r="C340" s="195" t="s">
        <v>8187</v>
      </c>
      <c r="D340" s="195" t="s">
        <v>8145</v>
      </c>
      <c r="E340" s="196" t="s">
        <v>21</v>
      </c>
      <c r="F340" s="196" t="s">
        <v>17</v>
      </c>
      <c r="G340" s="196">
        <v>193</v>
      </c>
      <c r="H340" s="202">
        <v>31276</v>
      </c>
      <c r="I340" s="198">
        <v>3</v>
      </c>
      <c r="J340" s="196">
        <v>2</v>
      </c>
      <c r="K340" s="196"/>
      <c r="P340" s="201" t="str">
        <f t="shared" si="5"/>
        <v>|||||||||||||||||||||||||||||||||||||||||||</v>
      </c>
    </row>
    <row r="341" spans="2:16" ht="15" x14ac:dyDescent="0.2">
      <c r="B341" s="196">
        <v>334</v>
      </c>
      <c r="C341" s="195" t="s">
        <v>8188</v>
      </c>
      <c r="D341" s="195" t="s">
        <v>8149</v>
      </c>
      <c r="E341" s="196" t="s">
        <v>17</v>
      </c>
      <c r="F341" s="196" t="s">
        <v>2677</v>
      </c>
      <c r="G341" s="196">
        <v>184</v>
      </c>
      <c r="H341" s="202">
        <v>27840</v>
      </c>
      <c r="I341" s="198">
        <v>4</v>
      </c>
      <c r="J341" s="196">
        <v>2</v>
      </c>
      <c r="K341" s="196"/>
      <c r="P341" s="201" t="str">
        <f t="shared" si="5"/>
        <v>||||||||||||||||||||||||||||||||||</v>
      </c>
    </row>
    <row r="342" spans="2:16" ht="15" x14ac:dyDescent="0.2">
      <c r="B342" s="196">
        <v>335</v>
      </c>
      <c r="C342" s="195" t="s">
        <v>8189</v>
      </c>
      <c r="D342" s="195" t="s">
        <v>8153</v>
      </c>
      <c r="E342" s="196" t="s">
        <v>21</v>
      </c>
      <c r="F342" s="196" t="s">
        <v>157</v>
      </c>
      <c r="G342" s="196">
        <v>189</v>
      </c>
      <c r="H342" s="202">
        <v>27736</v>
      </c>
      <c r="I342" s="198">
        <v>1</v>
      </c>
      <c r="J342" s="196">
        <v>1</v>
      </c>
      <c r="K342" s="196"/>
      <c r="P342" s="201" t="str">
        <f t="shared" si="5"/>
        <v>|||||||||||||||||||||||||||||||||||||||</v>
      </c>
    </row>
    <row r="343" spans="2:16" ht="15" x14ac:dyDescent="0.2">
      <c r="B343" s="196">
        <v>336</v>
      </c>
      <c r="C343" s="195" t="s">
        <v>8190</v>
      </c>
      <c r="D343" s="195" t="s">
        <v>8155</v>
      </c>
      <c r="E343" s="196" t="s">
        <v>17</v>
      </c>
      <c r="F343" s="196" t="s">
        <v>17</v>
      </c>
      <c r="G343" s="196">
        <v>168</v>
      </c>
      <c r="H343" s="202">
        <v>31860</v>
      </c>
      <c r="I343" s="198">
        <v>5</v>
      </c>
      <c r="J343" s="196">
        <v>3</v>
      </c>
      <c r="K343" s="196"/>
      <c r="P343" s="201" t="str">
        <f t="shared" si="5"/>
        <v>||||||||||||||||||</v>
      </c>
    </row>
    <row r="344" spans="2:16" ht="15" x14ac:dyDescent="0.2">
      <c r="B344" s="196">
        <v>337</v>
      </c>
      <c r="C344" s="195" t="s">
        <v>8191</v>
      </c>
      <c r="D344" s="195" t="s">
        <v>8157</v>
      </c>
      <c r="E344" s="196" t="s">
        <v>21</v>
      </c>
      <c r="F344" s="196" t="s">
        <v>17</v>
      </c>
      <c r="G344" s="196">
        <v>159</v>
      </c>
      <c r="H344" s="202">
        <v>27711</v>
      </c>
      <c r="I344" s="198">
        <v>2</v>
      </c>
      <c r="J344" s="196">
        <v>2</v>
      </c>
      <c r="K344" s="196"/>
      <c r="P344" s="201" t="str">
        <f t="shared" si="5"/>
        <v>|||||||||</v>
      </c>
    </row>
    <row r="345" spans="2:16" ht="15" x14ac:dyDescent="0.2">
      <c r="B345" s="196">
        <v>338</v>
      </c>
      <c r="C345" s="195" t="s">
        <v>8192</v>
      </c>
      <c r="D345" s="195" t="s">
        <v>8158</v>
      </c>
      <c r="E345" s="196" t="s">
        <v>17</v>
      </c>
      <c r="F345" s="196" t="s">
        <v>157</v>
      </c>
      <c r="G345" s="196">
        <v>179</v>
      </c>
      <c r="H345" s="202">
        <v>32524</v>
      </c>
      <c r="I345" s="198">
        <v>3</v>
      </c>
      <c r="J345" s="196">
        <v>1</v>
      </c>
      <c r="K345" s="196"/>
      <c r="P345" s="201" t="str">
        <f t="shared" si="5"/>
        <v>|||||||||||||||||||||||||||||</v>
      </c>
    </row>
    <row r="346" spans="2:16" ht="15" x14ac:dyDescent="0.2">
      <c r="B346" s="196">
        <v>339</v>
      </c>
      <c r="C346" s="195" t="s">
        <v>8193</v>
      </c>
      <c r="D346" s="195" t="s">
        <v>107</v>
      </c>
      <c r="E346" s="196" t="s">
        <v>21</v>
      </c>
      <c r="F346" s="196" t="s">
        <v>17</v>
      </c>
      <c r="G346" s="196">
        <v>163</v>
      </c>
      <c r="H346" s="202">
        <v>32116</v>
      </c>
      <c r="I346" s="198">
        <v>4</v>
      </c>
      <c r="J346" s="196">
        <v>2</v>
      </c>
      <c r="K346" s="196"/>
      <c r="P346" s="201" t="str">
        <f t="shared" si="5"/>
        <v>|||||||||||||</v>
      </c>
    </row>
    <row r="347" spans="2:16" ht="15" x14ac:dyDescent="0.2">
      <c r="B347" s="196">
        <v>340</v>
      </c>
      <c r="C347" s="195" t="s">
        <v>8194</v>
      </c>
      <c r="D347" s="195" t="s">
        <v>8161</v>
      </c>
      <c r="E347" s="196" t="s">
        <v>17</v>
      </c>
      <c r="F347" s="196" t="s">
        <v>17</v>
      </c>
      <c r="G347" s="196">
        <v>180</v>
      </c>
      <c r="H347" s="202">
        <v>33781</v>
      </c>
      <c r="I347" s="198">
        <v>4</v>
      </c>
      <c r="J347" s="196">
        <v>3</v>
      </c>
      <c r="K347" s="196"/>
      <c r="P347" s="201" t="str">
        <f t="shared" si="5"/>
        <v>||||||||||||||||||||||||||||||</v>
      </c>
    </row>
    <row r="348" spans="2:16" ht="15" x14ac:dyDescent="0.2">
      <c r="B348" s="196">
        <v>341</v>
      </c>
      <c r="C348" s="195" t="s">
        <v>296</v>
      </c>
      <c r="D348" s="195" t="s">
        <v>8162</v>
      </c>
      <c r="E348" s="196" t="s">
        <v>21</v>
      </c>
      <c r="F348" s="196" t="s">
        <v>17</v>
      </c>
      <c r="G348" s="196">
        <v>161</v>
      </c>
      <c r="H348" s="202">
        <v>26072</v>
      </c>
      <c r="I348" s="198">
        <v>2</v>
      </c>
      <c r="J348" s="196">
        <v>3</v>
      </c>
      <c r="K348" s="196"/>
      <c r="P348" s="201" t="str">
        <f t="shared" si="5"/>
        <v>|||||||||||</v>
      </c>
    </row>
    <row r="349" spans="2:16" ht="15" x14ac:dyDescent="0.2">
      <c r="B349" s="196">
        <v>342</v>
      </c>
      <c r="C349" s="195" t="s">
        <v>8195</v>
      </c>
      <c r="D349" s="195" t="s">
        <v>6954</v>
      </c>
      <c r="E349" s="196" t="s">
        <v>17</v>
      </c>
      <c r="F349" s="196" t="s">
        <v>17</v>
      </c>
      <c r="G349" s="196">
        <v>187</v>
      </c>
      <c r="H349" s="202">
        <v>28339</v>
      </c>
      <c r="I349" s="198">
        <v>1</v>
      </c>
      <c r="J349" s="196">
        <v>2</v>
      </c>
      <c r="K349" s="196"/>
      <c r="P349" s="201" t="str">
        <f t="shared" si="5"/>
        <v>|||||||||||||||||||||||||||||||||||||</v>
      </c>
    </row>
    <row r="350" spans="2:16" ht="15" x14ac:dyDescent="0.2">
      <c r="B350" s="196">
        <v>343</v>
      </c>
      <c r="C350" s="195" t="s">
        <v>8141</v>
      </c>
      <c r="D350" s="195" t="s">
        <v>8165</v>
      </c>
      <c r="E350" s="196" t="s">
        <v>21</v>
      </c>
      <c r="F350" s="196" t="s">
        <v>157</v>
      </c>
      <c r="G350" s="196">
        <v>184</v>
      </c>
      <c r="H350" s="202">
        <v>30308</v>
      </c>
      <c r="I350" s="198">
        <v>4</v>
      </c>
      <c r="J350" s="196">
        <v>1</v>
      </c>
      <c r="K350" s="196"/>
      <c r="P350" s="201" t="str">
        <f t="shared" si="5"/>
        <v>||||||||||||||||||||||||||||||||||</v>
      </c>
    </row>
    <row r="351" spans="2:16" ht="15" x14ac:dyDescent="0.2">
      <c r="B351" s="196">
        <v>344</v>
      </c>
      <c r="C351" s="195" t="s">
        <v>8196</v>
      </c>
      <c r="D351" s="195" t="s">
        <v>8169</v>
      </c>
      <c r="E351" s="196" t="s">
        <v>17</v>
      </c>
      <c r="F351" s="196" t="s">
        <v>157</v>
      </c>
      <c r="G351" s="196">
        <v>166</v>
      </c>
      <c r="H351" s="202">
        <v>33712</v>
      </c>
      <c r="I351" s="198">
        <v>4</v>
      </c>
      <c r="J351" s="196">
        <v>3</v>
      </c>
      <c r="K351" s="196"/>
      <c r="P351" s="201" t="str">
        <f t="shared" si="5"/>
        <v>||||||||||||||||</v>
      </c>
    </row>
    <row r="352" spans="2:16" ht="15" x14ac:dyDescent="0.2">
      <c r="B352" s="196">
        <v>345</v>
      </c>
      <c r="C352" s="195" t="s">
        <v>8132</v>
      </c>
      <c r="D352" s="195" t="s">
        <v>8173</v>
      </c>
      <c r="E352" s="196" t="s">
        <v>21</v>
      </c>
      <c r="F352" s="196" t="s">
        <v>17</v>
      </c>
      <c r="G352" s="196">
        <v>184</v>
      </c>
      <c r="H352" s="202">
        <v>27025</v>
      </c>
      <c r="I352" s="198">
        <v>1</v>
      </c>
      <c r="J352" s="196">
        <v>2</v>
      </c>
      <c r="K352" s="196"/>
      <c r="P352" s="201" t="str">
        <f t="shared" si="5"/>
        <v>||||||||||||||||||||||||||||||||||</v>
      </c>
    </row>
    <row r="353" spans="2:16" ht="15" x14ac:dyDescent="0.2">
      <c r="B353" s="196">
        <v>346</v>
      </c>
      <c r="C353" s="195" t="s">
        <v>8148</v>
      </c>
      <c r="D353" s="195" t="s">
        <v>8175</v>
      </c>
      <c r="E353" s="196" t="s">
        <v>17</v>
      </c>
      <c r="F353" s="196" t="s">
        <v>17</v>
      </c>
      <c r="G353" s="196">
        <v>183</v>
      </c>
      <c r="H353" s="202">
        <v>31223</v>
      </c>
      <c r="I353" s="198">
        <v>1</v>
      </c>
      <c r="J353" s="196">
        <v>3</v>
      </c>
      <c r="K353" s="196"/>
      <c r="P353" s="201" t="str">
        <f t="shared" si="5"/>
        <v>|||||||||||||||||||||||||||||||||</v>
      </c>
    </row>
    <row r="354" spans="2:16" ht="15" x14ac:dyDescent="0.2">
      <c r="B354" s="196">
        <v>347</v>
      </c>
      <c r="C354" s="195" t="s">
        <v>8138</v>
      </c>
      <c r="D354" s="195" t="s">
        <v>8177</v>
      </c>
      <c r="E354" s="196" t="s">
        <v>21</v>
      </c>
      <c r="F354" s="196" t="s">
        <v>17</v>
      </c>
      <c r="G354" s="196">
        <v>177</v>
      </c>
      <c r="H354" s="202">
        <v>34882</v>
      </c>
      <c r="I354" s="198">
        <v>3</v>
      </c>
      <c r="J354" s="196">
        <v>3</v>
      </c>
      <c r="K354" s="196"/>
      <c r="P354" s="201" t="str">
        <f t="shared" si="5"/>
        <v>|||||||||||||||||||||||||||</v>
      </c>
    </row>
    <row r="355" spans="2:16" ht="15" x14ac:dyDescent="0.2">
      <c r="B355" s="196">
        <v>348</v>
      </c>
      <c r="C355" s="195" t="s">
        <v>8139</v>
      </c>
      <c r="D355" s="195" t="s">
        <v>102</v>
      </c>
      <c r="E355" s="196" t="s">
        <v>17</v>
      </c>
      <c r="F355" s="196" t="s">
        <v>17</v>
      </c>
      <c r="G355" s="196">
        <v>183</v>
      </c>
      <c r="H355" s="202">
        <v>24968</v>
      </c>
      <c r="I355" s="198">
        <v>5</v>
      </c>
      <c r="J355" s="196">
        <v>3</v>
      </c>
      <c r="K355" s="196"/>
      <c r="P355" s="201" t="str">
        <f t="shared" si="5"/>
        <v>|||||||||||||||||||||||||||||||||</v>
      </c>
    </row>
    <row r="356" spans="2:16" ht="15" x14ac:dyDescent="0.2">
      <c r="B356" s="196">
        <v>349</v>
      </c>
      <c r="C356" s="195" t="s">
        <v>8134</v>
      </c>
      <c r="D356" s="195" t="s">
        <v>8137</v>
      </c>
      <c r="E356" s="196" t="s">
        <v>21</v>
      </c>
      <c r="F356" s="196" t="s">
        <v>17</v>
      </c>
      <c r="G356" s="196">
        <v>164</v>
      </c>
      <c r="H356" s="202">
        <v>35606</v>
      </c>
      <c r="I356" s="198">
        <v>4</v>
      </c>
      <c r="J356" s="196">
        <v>3</v>
      </c>
      <c r="K356" s="196"/>
      <c r="P356" s="201" t="str">
        <f t="shared" si="5"/>
        <v>||||||||||||||</v>
      </c>
    </row>
    <row r="357" spans="2:16" ht="15" x14ac:dyDescent="0.2">
      <c r="B357" s="196">
        <v>350</v>
      </c>
      <c r="C357" s="195" t="s">
        <v>8144</v>
      </c>
      <c r="D357" s="195" t="s">
        <v>7141</v>
      </c>
      <c r="E357" s="196" t="s">
        <v>17</v>
      </c>
      <c r="F357" s="196" t="s">
        <v>17</v>
      </c>
      <c r="G357" s="196">
        <v>184</v>
      </c>
      <c r="H357" s="202">
        <v>24638</v>
      </c>
      <c r="I357" s="198">
        <v>1</v>
      </c>
      <c r="J357" s="196">
        <v>3</v>
      </c>
      <c r="K357" s="196"/>
      <c r="P357" s="201" t="str">
        <f t="shared" si="5"/>
        <v>||||||||||||||||||||||||||||||||||</v>
      </c>
    </row>
    <row r="358" spans="2:16" ht="15" x14ac:dyDescent="0.2">
      <c r="B358" s="196">
        <v>351</v>
      </c>
      <c r="C358" s="195" t="s">
        <v>8141</v>
      </c>
      <c r="D358" s="195" t="s">
        <v>6962</v>
      </c>
      <c r="E358" s="196" t="s">
        <v>21</v>
      </c>
      <c r="F358" s="196" t="s">
        <v>157</v>
      </c>
      <c r="G358" s="196">
        <v>195</v>
      </c>
      <c r="H358" s="202">
        <v>27296</v>
      </c>
      <c r="I358" s="198">
        <v>3</v>
      </c>
      <c r="J358" s="196">
        <v>2</v>
      </c>
      <c r="K358" s="196"/>
      <c r="P358" s="201" t="str">
        <f t="shared" si="5"/>
        <v>|||||||||||||||||||||||||||||||||||||||||||||</v>
      </c>
    </row>
    <row r="359" spans="2:16" ht="15" x14ac:dyDescent="0.2">
      <c r="B359" s="196">
        <v>352</v>
      </c>
      <c r="C359" s="195" t="s">
        <v>8142</v>
      </c>
      <c r="D359" s="195" t="s">
        <v>8135</v>
      </c>
      <c r="E359" s="196" t="s">
        <v>17</v>
      </c>
      <c r="F359" s="196" t="s">
        <v>157</v>
      </c>
      <c r="G359" s="196">
        <v>183</v>
      </c>
      <c r="H359" s="202">
        <v>26908</v>
      </c>
      <c r="I359" s="198">
        <v>3</v>
      </c>
      <c r="J359" s="196">
        <v>3</v>
      </c>
      <c r="K359" s="196"/>
      <c r="P359" s="201" t="str">
        <f t="shared" si="5"/>
        <v>|||||||||||||||||||||||||||||||||</v>
      </c>
    </row>
    <row r="360" spans="2:16" ht="15" x14ac:dyDescent="0.2">
      <c r="B360" s="196">
        <v>353</v>
      </c>
      <c r="C360" s="195" t="s">
        <v>8143</v>
      </c>
      <c r="D360" s="195" t="s">
        <v>8140</v>
      </c>
      <c r="E360" s="196" t="s">
        <v>21</v>
      </c>
      <c r="F360" s="196" t="s">
        <v>17</v>
      </c>
      <c r="G360" s="196">
        <v>177</v>
      </c>
      <c r="H360" s="202">
        <v>28898</v>
      </c>
      <c r="I360" s="198">
        <v>3</v>
      </c>
      <c r="J360" s="196">
        <v>2</v>
      </c>
      <c r="K360" s="196"/>
      <c r="P360" s="201" t="str">
        <f t="shared" si="5"/>
        <v>|||||||||||||||||||||||||||</v>
      </c>
    </row>
    <row r="361" spans="2:16" ht="15" x14ac:dyDescent="0.2">
      <c r="B361" s="196">
        <v>354</v>
      </c>
      <c r="C361" s="195" t="s">
        <v>8136</v>
      </c>
      <c r="D361" s="195" t="s">
        <v>6983</v>
      </c>
      <c r="E361" s="196" t="s">
        <v>17</v>
      </c>
      <c r="F361" s="196" t="s">
        <v>17</v>
      </c>
      <c r="G361" s="196">
        <v>188</v>
      </c>
      <c r="H361" s="202">
        <v>35988</v>
      </c>
      <c r="I361" s="198">
        <v>4</v>
      </c>
      <c r="J361" s="196">
        <v>2</v>
      </c>
      <c r="K361" s="196"/>
      <c r="P361" s="201" t="str">
        <f t="shared" si="5"/>
        <v>||||||||||||||||||||||||||||||||||||||</v>
      </c>
    </row>
    <row r="362" spans="2:16" ht="15" x14ac:dyDescent="0.2">
      <c r="B362" s="196">
        <v>355</v>
      </c>
      <c r="C362" s="195" t="s">
        <v>8146</v>
      </c>
      <c r="D362" s="195" t="s">
        <v>8145</v>
      </c>
      <c r="E362" s="196" t="s">
        <v>21</v>
      </c>
      <c r="F362" s="196" t="s">
        <v>17</v>
      </c>
      <c r="G362" s="196">
        <v>189</v>
      </c>
      <c r="H362" s="202">
        <v>34286</v>
      </c>
      <c r="I362" s="198">
        <v>3</v>
      </c>
      <c r="J362" s="196">
        <v>3</v>
      </c>
      <c r="K362" s="196"/>
      <c r="P362" s="201" t="str">
        <f t="shared" si="5"/>
        <v>|||||||||||||||||||||||||||||||||||||||</v>
      </c>
    </row>
    <row r="363" spans="2:16" ht="15" x14ac:dyDescent="0.2">
      <c r="B363" s="196">
        <v>356</v>
      </c>
      <c r="C363" s="195" t="s">
        <v>8133</v>
      </c>
      <c r="D363" s="195" t="s">
        <v>8149</v>
      </c>
      <c r="E363" s="196" t="s">
        <v>17</v>
      </c>
      <c r="F363" s="196" t="s">
        <v>17</v>
      </c>
      <c r="G363" s="196">
        <v>180</v>
      </c>
      <c r="H363" s="202">
        <v>24859</v>
      </c>
      <c r="I363" s="198">
        <v>4</v>
      </c>
      <c r="J363" s="196">
        <v>3</v>
      </c>
      <c r="K363" s="196"/>
      <c r="P363" s="201" t="str">
        <f t="shared" si="5"/>
        <v>||||||||||||||||||||||||||||||</v>
      </c>
    </row>
    <row r="364" spans="2:16" ht="15" x14ac:dyDescent="0.2">
      <c r="B364" s="196">
        <v>357</v>
      </c>
      <c r="C364" s="195" t="s">
        <v>8150</v>
      </c>
      <c r="D364" s="195" t="s">
        <v>8153</v>
      </c>
      <c r="E364" s="196" t="s">
        <v>21</v>
      </c>
      <c r="F364" s="196" t="s">
        <v>17</v>
      </c>
      <c r="G364" s="196">
        <v>162</v>
      </c>
      <c r="H364" s="202">
        <v>26882</v>
      </c>
      <c r="I364" s="198">
        <v>1</v>
      </c>
      <c r="J364" s="196">
        <v>1</v>
      </c>
      <c r="K364" s="196"/>
      <c r="P364" s="201" t="str">
        <f t="shared" si="5"/>
        <v>||||||||||||</v>
      </c>
    </row>
    <row r="365" spans="2:16" ht="15" x14ac:dyDescent="0.2">
      <c r="B365" s="196">
        <v>358</v>
      </c>
      <c r="C365" s="195" t="s">
        <v>8152</v>
      </c>
      <c r="D365" s="195" t="s">
        <v>8155</v>
      </c>
      <c r="E365" s="196" t="s">
        <v>17</v>
      </c>
      <c r="F365" s="196" t="s">
        <v>157</v>
      </c>
      <c r="G365" s="196">
        <v>176</v>
      </c>
      <c r="H365" s="202">
        <v>27178</v>
      </c>
      <c r="I365" s="198">
        <v>3</v>
      </c>
      <c r="J365" s="196">
        <v>3</v>
      </c>
      <c r="K365" s="196"/>
      <c r="P365" s="201" t="str">
        <f t="shared" si="5"/>
        <v>||||||||||||||||||||||||||</v>
      </c>
    </row>
    <row r="366" spans="2:16" ht="15" x14ac:dyDescent="0.2">
      <c r="B366" s="196">
        <v>359</v>
      </c>
      <c r="C366" s="195" t="s">
        <v>8154</v>
      </c>
      <c r="D366" s="195" t="s">
        <v>8157</v>
      </c>
      <c r="E366" s="196" t="s">
        <v>21</v>
      </c>
      <c r="F366" s="196" t="s">
        <v>157</v>
      </c>
      <c r="G366" s="196">
        <v>173</v>
      </c>
      <c r="H366" s="202">
        <v>27789</v>
      </c>
      <c r="I366" s="198">
        <v>3</v>
      </c>
      <c r="J366" s="196">
        <v>3</v>
      </c>
      <c r="K366" s="196"/>
      <c r="P366" s="201" t="str">
        <f t="shared" si="5"/>
        <v>|||||||||||||||||||||||</v>
      </c>
    </row>
    <row r="367" spans="2:16" ht="15" x14ac:dyDescent="0.2">
      <c r="B367" s="196">
        <v>360</v>
      </c>
      <c r="C367" s="195" t="s">
        <v>8156</v>
      </c>
      <c r="D367" s="195" t="s">
        <v>8158</v>
      </c>
      <c r="E367" s="196" t="s">
        <v>17</v>
      </c>
      <c r="F367" s="196" t="s">
        <v>157</v>
      </c>
      <c r="G367" s="196">
        <v>161</v>
      </c>
      <c r="H367" s="202">
        <v>32454</v>
      </c>
      <c r="I367" s="198">
        <v>4</v>
      </c>
      <c r="J367" s="196">
        <v>2</v>
      </c>
      <c r="K367" s="196"/>
      <c r="P367" s="201" t="str">
        <f t="shared" si="5"/>
        <v>|||||||||||</v>
      </c>
    </row>
    <row r="368" spans="2:16" ht="15" x14ac:dyDescent="0.2">
      <c r="B368" s="196">
        <v>361</v>
      </c>
      <c r="C368" s="195" t="s">
        <v>1508</v>
      </c>
      <c r="D368" s="195" t="s">
        <v>107</v>
      </c>
      <c r="E368" s="196" t="s">
        <v>21</v>
      </c>
      <c r="F368" s="196" t="s">
        <v>17</v>
      </c>
      <c r="G368" s="196">
        <v>192</v>
      </c>
      <c r="H368" s="202">
        <v>28272</v>
      </c>
      <c r="I368" s="198">
        <v>5</v>
      </c>
      <c r="J368" s="196">
        <v>1</v>
      </c>
      <c r="K368" s="196"/>
      <c r="P368" s="201" t="str">
        <f t="shared" si="5"/>
        <v>||||||||||||||||||||||||||||||||||||||||||</v>
      </c>
    </row>
    <row r="369" spans="2:16" ht="15" x14ac:dyDescent="0.2">
      <c r="B369" s="196">
        <v>362</v>
      </c>
      <c r="C369" s="195" t="s">
        <v>8159</v>
      </c>
      <c r="D369" s="195" t="s">
        <v>8161</v>
      </c>
      <c r="E369" s="196" t="s">
        <v>17</v>
      </c>
      <c r="F369" s="196" t="s">
        <v>157</v>
      </c>
      <c r="G369" s="196">
        <v>192</v>
      </c>
      <c r="H369" s="202">
        <v>29591</v>
      </c>
      <c r="I369" s="198">
        <v>4</v>
      </c>
      <c r="J369" s="196">
        <v>2</v>
      </c>
      <c r="K369" s="196"/>
      <c r="P369" s="201" t="str">
        <f t="shared" si="5"/>
        <v>||||||||||||||||||||||||||||||||||||||||||</v>
      </c>
    </row>
    <row r="370" spans="2:16" ht="15" x14ac:dyDescent="0.2">
      <c r="B370" s="196">
        <v>363</v>
      </c>
      <c r="C370" s="195" t="s">
        <v>8160</v>
      </c>
      <c r="D370" s="195" t="s">
        <v>8162</v>
      </c>
      <c r="E370" s="196" t="s">
        <v>21</v>
      </c>
      <c r="F370" s="196" t="s">
        <v>17</v>
      </c>
      <c r="G370" s="196">
        <v>173</v>
      </c>
      <c r="H370" s="202">
        <v>33356</v>
      </c>
      <c r="I370" s="198">
        <v>3</v>
      </c>
      <c r="J370" s="196">
        <v>2</v>
      </c>
      <c r="K370" s="196"/>
      <c r="P370" s="201" t="str">
        <f t="shared" si="5"/>
        <v>|||||||||||||||||||||||</v>
      </c>
    </row>
    <row r="371" spans="2:16" ht="15" x14ac:dyDescent="0.2">
      <c r="B371" s="196">
        <v>364</v>
      </c>
      <c r="C371" s="195" t="s">
        <v>8163</v>
      </c>
      <c r="D371" s="195" t="s">
        <v>6954</v>
      </c>
      <c r="E371" s="196" t="s">
        <v>17</v>
      </c>
      <c r="F371" s="196" t="s">
        <v>17</v>
      </c>
      <c r="G371" s="196">
        <v>158</v>
      </c>
      <c r="H371" s="202">
        <v>34894</v>
      </c>
      <c r="I371" s="198">
        <v>4</v>
      </c>
      <c r="J371" s="196">
        <v>1</v>
      </c>
      <c r="K371" s="196"/>
      <c r="P371" s="201" t="str">
        <f t="shared" si="5"/>
        <v>||||||||</v>
      </c>
    </row>
    <row r="372" spans="2:16" ht="15" x14ac:dyDescent="0.2">
      <c r="B372" s="196">
        <v>365</v>
      </c>
      <c r="C372" s="195" t="s">
        <v>8166</v>
      </c>
      <c r="D372" s="195" t="s">
        <v>8165</v>
      </c>
      <c r="E372" s="196" t="s">
        <v>21</v>
      </c>
      <c r="F372" s="196" t="s">
        <v>157</v>
      </c>
      <c r="G372" s="196">
        <v>162</v>
      </c>
      <c r="H372" s="202">
        <v>29494</v>
      </c>
      <c r="I372" s="198">
        <v>2</v>
      </c>
      <c r="J372" s="196">
        <v>2</v>
      </c>
      <c r="K372" s="196"/>
      <c r="P372" s="201" t="str">
        <f t="shared" si="5"/>
        <v>||||||||||||</v>
      </c>
    </row>
    <row r="373" spans="2:16" ht="15" x14ac:dyDescent="0.2">
      <c r="B373" s="196">
        <v>366</v>
      </c>
      <c r="C373" s="195" t="s">
        <v>8167</v>
      </c>
      <c r="D373" s="195" t="s">
        <v>8169</v>
      </c>
      <c r="E373" s="196" t="s">
        <v>17</v>
      </c>
      <c r="F373" s="196" t="s">
        <v>17</v>
      </c>
      <c r="G373" s="196">
        <v>175</v>
      </c>
      <c r="H373" s="202">
        <v>35739</v>
      </c>
      <c r="I373" s="198">
        <v>1</v>
      </c>
      <c r="J373" s="196">
        <v>2</v>
      </c>
      <c r="K373" s="196"/>
      <c r="P373" s="201" t="str">
        <f t="shared" si="5"/>
        <v>|||||||||||||||||||||||||</v>
      </c>
    </row>
    <row r="374" spans="2:16" ht="15" x14ac:dyDescent="0.2">
      <c r="B374" s="196">
        <v>367</v>
      </c>
      <c r="C374" s="195" t="s">
        <v>269</v>
      </c>
      <c r="D374" s="195" t="s">
        <v>8173</v>
      </c>
      <c r="E374" s="196" t="s">
        <v>21</v>
      </c>
      <c r="F374" s="196" t="s">
        <v>157</v>
      </c>
      <c r="G374" s="196">
        <v>187</v>
      </c>
      <c r="H374" s="202">
        <v>28748</v>
      </c>
      <c r="I374" s="198">
        <v>4</v>
      </c>
      <c r="J374" s="196">
        <v>1</v>
      </c>
      <c r="K374" s="196"/>
      <c r="P374" s="201" t="str">
        <f t="shared" si="5"/>
        <v>|||||||||||||||||||||||||||||||||||||</v>
      </c>
    </row>
    <row r="375" spans="2:16" ht="15" x14ac:dyDescent="0.2">
      <c r="B375" s="196">
        <v>368</v>
      </c>
      <c r="C375" s="195" t="s">
        <v>8170</v>
      </c>
      <c r="D375" s="195" t="s">
        <v>8175</v>
      </c>
      <c r="E375" s="196" t="s">
        <v>17</v>
      </c>
      <c r="F375" s="196" t="s">
        <v>17</v>
      </c>
      <c r="G375" s="196">
        <v>180</v>
      </c>
      <c r="H375" s="202">
        <v>28948</v>
      </c>
      <c r="I375" s="198">
        <v>3</v>
      </c>
      <c r="J375" s="196">
        <v>2</v>
      </c>
      <c r="K375" s="196"/>
      <c r="P375" s="201" t="str">
        <f t="shared" si="5"/>
        <v>||||||||||||||||||||||||||||||</v>
      </c>
    </row>
    <row r="376" spans="2:16" ht="15" x14ac:dyDescent="0.2">
      <c r="B376" s="196">
        <v>369</v>
      </c>
      <c r="C376" s="195" t="s">
        <v>231</v>
      </c>
      <c r="D376" s="195" t="s">
        <v>8177</v>
      </c>
      <c r="E376" s="196" t="s">
        <v>21</v>
      </c>
      <c r="F376" s="196" t="s">
        <v>157</v>
      </c>
      <c r="G376" s="196">
        <v>194</v>
      </c>
      <c r="H376" s="202">
        <v>32650</v>
      </c>
      <c r="I376" s="198">
        <v>4</v>
      </c>
      <c r="J376" s="196">
        <v>3</v>
      </c>
      <c r="K376" s="196"/>
      <c r="P376" s="201" t="str">
        <f t="shared" si="5"/>
        <v>||||||||||||||||||||||||||||||||||||||||||||</v>
      </c>
    </row>
    <row r="377" spans="2:16" ht="15" x14ac:dyDescent="0.2">
      <c r="B377" s="196">
        <v>370</v>
      </c>
      <c r="C377" s="195" t="s">
        <v>8172</v>
      </c>
      <c r="D377" s="195" t="s">
        <v>102</v>
      </c>
      <c r="E377" s="196" t="s">
        <v>17</v>
      </c>
      <c r="F377" s="196" t="s">
        <v>17</v>
      </c>
      <c r="G377" s="196">
        <v>163</v>
      </c>
      <c r="H377" s="202">
        <v>26201</v>
      </c>
      <c r="I377" s="198">
        <v>1</v>
      </c>
      <c r="J377" s="196">
        <v>3</v>
      </c>
      <c r="K377" s="196"/>
      <c r="P377" s="201" t="str">
        <f t="shared" si="5"/>
        <v>|||||||||||||</v>
      </c>
    </row>
    <row r="378" spans="2:16" ht="15" x14ac:dyDescent="0.2">
      <c r="B378" s="196">
        <v>371</v>
      </c>
      <c r="C378" s="195" t="s">
        <v>8174</v>
      </c>
      <c r="D378" s="195" t="s">
        <v>8137</v>
      </c>
      <c r="E378" s="196" t="s">
        <v>21</v>
      </c>
      <c r="F378" s="196" t="s">
        <v>17</v>
      </c>
      <c r="G378" s="196">
        <v>172</v>
      </c>
      <c r="H378" s="202">
        <v>30930</v>
      </c>
      <c r="I378" s="198">
        <v>1</v>
      </c>
      <c r="J378" s="196">
        <v>3</v>
      </c>
      <c r="K378" s="196"/>
      <c r="P378" s="201" t="str">
        <f t="shared" si="5"/>
        <v>||||||||||||||||||||||</v>
      </c>
    </row>
    <row r="379" spans="2:16" ht="15" x14ac:dyDescent="0.2">
      <c r="B379" s="196">
        <v>372</v>
      </c>
      <c r="C379" s="195" t="s">
        <v>8176</v>
      </c>
      <c r="D379" s="195" t="s">
        <v>7141</v>
      </c>
      <c r="E379" s="196" t="s">
        <v>17</v>
      </c>
      <c r="F379" s="196" t="s">
        <v>17</v>
      </c>
      <c r="G379" s="196">
        <v>178</v>
      </c>
      <c r="H379" s="202">
        <v>35846</v>
      </c>
      <c r="I379" s="198">
        <v>4</v>
      </c>
      <c r="J379" s="196">
        <v>3</v>
      </c>
      <c r="K379" s="196"/>
      <c r="P379" s="201" t="str">
        <f t="shared" si="5"/>
        <v>||||||||||||||||||||||||||||</v>
      </c>
    </row>
    <row r="380" spans="2:16" ht="15" x14ac:dyDescent="0.2">
      <c r="B380" s="196">
        <v>373</v>
      </c>
      <c r="C380" s="195" t="s">
        <v>8178</v>
      </c>
      <c r="D380" s="195" t="s">
        <v>6962</v>
      </c>
      <c r="E380" s="196" t="s">
        <v>21</v>
      </c>
      <c r="F380" s="196" t="s">
        <v>17</v>
      </c>
      <c r="G380" s="196">
        <v>162</v>
      </c>
      <c r="H380" s="202">
        <v>24634</v>
      </c>
      <c r="I380" s="198">
        <v>4</v>
      </c>
      <c r="J380" s="196">
        <v>3</v>
      </c>
      <c r="K380" s="196"/>
      <c r="P380" s="201" t="str">
        <f t="shared" si="5"/>
        <v>||||||||||||</v>
      </c>
    </row>
    <row r="381" spans="2:16" ht="15" x14ac:dyDescent="0.2">
      <c r="B381" s="196">
        <v>374</v>
      </c>
      <c r="C381" s="195" t="s">
        <v>8179</v>
      </c>
      <c r="D381" s="195" t="s">
        <v>8135</v>
      </c>
      <c r="E381" s="196" t="s">
        <v>17</v>
      </c>
      <c r="F381" s="196" t="s">
        <v>17</v>
      </c>
      <c r="G381" s="196">
        <v>187</v>
      </c>
      <c r="H381" s="202">
        <v>24118</v>
      </c>
      <c r="I381" s="198">
        <v>4</v>
      </c>
      <c r="J381" s="196">
        <v>1</v>
      </c>
      <c r="K381" s="196"/>
      <c r="P381" s="201" t="str">
        <f t="shared" si="5"/>
        <v>|||||||||||||||||||||||||||||||||||||</v>
      </c>
    </row>
    <row r="382" spans="2:16" ht="15" x14ac:dyDescent="0.2">
      <c r="B382" s="196">
        <v>375</v>
      </c>
      <c r="C382" s="195" t="s">
        <v>91</v>
      </c>
      <c r="D382" s="195" t="s">
        <v>8140</v>
      </c>
      <c r="E382" s="196" t="s">
        <v>21</v>
      </c>
      <c r="F382" s="196" t="s">
        <v>17</v>
      </c>
      <c r="G382" s="196">
        <v>190</v>
      </c>
      <c r="H382" s="202">
        <v>28572</v>
      </c>
      <c r="I382" s="198">
        <v>3</v>
      </c>
      <c r="J382" s="196">
        <v>3</v>
      </c>
      <c r="K382" s="196"/>
      <c r="P382" s="201" t="str">
        <f t="shared" si="5"/>
        <v>||||||||||||||||||||||||||||||||||||||||</v>
      </c>
    </row>
    <row r="383" spans="2:16" ht="15" x14ac:dyDescent="0.2">
      <c r="B383" s="196">
        <v>376</v>
      </c>
      <c r="C383" s="195" t="s">
        <v>8180</v>
      </c>
      <c r="D383" s="195" t="s">
        <v>6983</v>
      </c>
      <c r="E383" s="196" t="s">
        <v>17</v>
      </c>
      <c r="F383" s="196" t="s">
        <v>17</v>
      </c>
      <c r="G383" s="196">
        <v>159</v>
      </c>
      <c r="H383" s="202">
        <v>34584</v>
      </c>
      <c r="I383" s="198">
        <v>5</v>
      </c>
      <c r="J383" s="196">
        <v>2</v>
      </c>
      <c r="K383" s="196"/>
      <c r="P383" s="201" t="str">
        <f t="shared" si="5"/>
        <v>|||||||||</v>
      </c>
    </row>
    <row r="384" spans="2:16" ht="15" x14ac:dyDescent="0.2">
      <c r="B384" s="196">
        <v>377</v>
      </c>
      <c r="C384" s="195" t="s">
        <v>8181</v>
      </c>
      <c r="D384" s="195" t="s">
        <v>8145</v>
      </c>
      <c r="E384" s="196" t="s">
        <v>21</v>
      </c>
      <c r="F384" s="196" t="s">
        <v>17</v>
      </c>
      <c r="G384" s="196">
        <v>181</v>
      </c>
      <c r="H384" s="202">
        <v>35314</v>
      </c>
      <c r="I384" s="198">
        <v>5</v>
      </c>
      <c r="J384" s="196">
        <v>2</v>
      </c>
      <c r="K384" s="196"/>
      <c r="P384" s="201" t="str">
        <f t="shared" si="5"/>
        <v>|||||||||||||||||||||||||||||||</v>
      </c>
    </row>
    <row r="385" spans="2:16" ht="15" x14ac:dyDescent="0.2">
      <c r="B385" s="196">
        <v>378</v>
      </c>
      <c r="C385" s="195" t="s">
        <v>8182</v>
      </c>
      <c r="D385" s="195" t="s">
        <v>8149</v>
      </c>
      <c r="E385" s="196" t="s">
        <v>17</v>
      </c>
      <c r="F385" s="196" t="s">
        <v>157</v>
      </c>
      <c r="G385" s="196">
        <v>173</v>
      </c>
      <c r="H385" s="202">
        <v>28614</v>
      </c>
      <c r="I385" s="198">
        <v>5</v>
      </c>
      <c r="J385" s="196">
        <v>2</v>
      </c>
      <c r="K385" s="196"/>
      <c r="P385" s="201" t="str">
        <f t="shared" si="5"/>
        <v>|||||||||||||||||||||||</v>
      </c>
    </row>
    <row r="386" spans="2:16" ht="15" x14ac:dyDescent="0.2">
      <c r="B386" s="196">
        <v>379</v>
      </c>
      <c r="C386" s="195" t="s">
        <v>8183</v>
      </c>
      <c r="D386" s="195" t="s">
        <v>8153</v>
      </c>
      <c r="E386" s="196" t="s">
        <v>21</v>
      </c>
      <c r="F386" s="196" t="s">
        <v>157</v>
      </c>
      <c r="G386" s="196">
        <v>184</v>
      </c>
      <c r="H386" s="202">
        <v>25438</v>
      </c>
      <c r="I386" s="198">
        <v>5</v>
      </c>
      <c r="J386" s="196">
        <v>3</v>
      </c>
      <c r="K386" s="196"/>
      <c r="P386" s="201" t="str">
        <f t="shared" si="5"/>
        <v>||||||||||||||||||||||||||||||||||</v>
      </c>
    </row>
    <row r="387" spans="2:16" ht="15" x14ac:dyDescent="0.2">
      <c r="B387" s="196">
        <v>380</v>
      </c>
      <c r="C387" s="195" t="s">
        <v>8184</v>
      </c>
      <c r="D387" s="195" t="s">
        <v>8155</v>
      </c>
      <c r="E387" s="196" t="s">
        <v>17</v>
      </c>
      <c r="F387" s="196" t="s">
        <v>157</v>
      </c>
      <c r="G387" s="196">
        <v>163</v>
      </c>
      <c r="H387" s="202">
        <v>26444</v>
      </c>
      <c r="I387" s="198">
        <v>5</v>
      </c>
      <c r="J387" s="196">
        <v>2</v>
      </c>
      <c r="K387" s="196"/>
      <c r="P387" s="201" t="str">
        <f t="shared" si="5"/>
        <v>|||||||||||||</v>
      </c>
    </row>
    <row r="388" spans="2:16" ht="15" x14ac:dyDescent="0.2">
      <c r="B388" s="196">
        <v>381</v>
      </c>
      <c r="C388" s="195" t="s">
        <v>8185</v>
      </c>
      <c r="D388" s="195" t="s">
        <v>8157</v>
      </c>
      <c r="E388" s="196" t="s">
        <v>21</v>
      </c>
      <c r="F388" s="196" t="s">
        <v>157</v>
      </c>
      <c r="G388" s="196">
        <v>194</v>
      </c>
      <c r="H388" s="202">
        <v>31070</v>
      </c>
      <c r="I388" s="198">
        <v>1</v>
      </c>
      <c r="J388" s="196">
        <v>2</v>
      </c>
      <c r="K388" s="196"/>
      <c r="P388" s="201" t="str">
        <f t="shared" si="5"/>
        <v>||||||||||||||||||||||||||||||||||||||||||||</v>
      </c>
    </row>
    <row r="389" spans="2:16" ht="15" x14ac:dyDescent="0.2">
      <c r="B389" s="196">
        <v>382</v>
      </c>
      <c r="C389" s="195" t="s">
        <v>8186</v>
      </c>
      <c r="D389" s="195" t="s">
        <v>8158</v>
      </c>
      <c r="E389" s="196" t="s">
        <v>17</v>
      </c>
      <c r="F389" s="196" t="s">
        <v>17</v>
      </c>
      <c r="G389" s="196">
        <v>158</v>
      </c>
      <c r="H389" s="202">
        <v>30280</v>
      </c>
      <c r="I389" s="198">
        <v>3</v>
      </c>
      <c r="J389" s="196">
        <v>3</v>
      </c>
      <c r="K389" s="196"/>
      <c r="P389" s="201" t="str">
        <f t="shared" si="5"/>
        <v>||||||||</v>
      </c>
    </row>
    <row r="390" spans="2:16" ht="15" x14ac:dyDescent="0.2">
      <c r="B390" s="196">
        <v>383</v>
      </c>
      <c r="C390" s="195" t="s">
        <v>8187</v>
      </c>
      <c r="D390" s="195" t="s">
        <v>107</v>
      </c>
      <c r="E390" s="196" t="s">
        <v>21</v>
      </c>
      <c r="F390" s="196" t="s">
        <v>17</v>
      </c>
      <c r="G390" s="196">
        <v>165</v>
      </c>
      <c r="H390" s="202">
        <v>26516</v>
      </c>
      <c r="I390" s="198">
        <v>2</v>
      </c>
      <c r="J390" s="196">
        <v>2</v>
      </c>
      <c r="K390" s="196"/>
      <c r="P390" s="201" t="str">
        <f t="shared" si="5"/>
        <v>|||||||||||||||</v>
      </c>
    </row>
    <row r="391" spans="2:16" ht="15" x14ac:dyDescent="0.2">
      <c r="B391" s="196">
        <v>384</v>
      </c>
      <c r="C391" s="195" t="s">
        <v>8188</v>
      </c>
      <c r="D391" s="195" t="s">
        <v>8161</v>
      </c>
      <c r="E391" s="196" t="s">
        <v>17</v>
      </c>
      <c r="F391" s="196" t="s">
        <v>2677</v>
      </c>
      <c r="G391" s="196">
        <v>160</v>
      </c>
      <c r="H391" s="202">
        <v>27161</v>
      </c>
      <c r="I391" s="198">
        <v>3</v>
      </c>
      <c r="J391" s="196">
        <v>3</v>
      </c>
      <c r="K391" s="196"/>
      <c r="P391" s="201" t="str">
        <f t="shared" si="5"/>
        <v>||||||||||</v>
      </c>
    </row>
    <row r="392" spans="2:16" ht="15" x14ac:dyDescent="0.2">
      <c r="B392" s="196">
        <v>385</v>
      </c>
      <c r="C392" s="195" t="s">
        <v>8189</v>
      </c>
      <c r="D392" s="195" t="s">
        <v>8162</v>
      </c>
      <c r="E392" s="196" t="s">
        <v>21</v>
      </c>
      <c r="F392" s="196" t="s">
        <v>17</v>
      </c>
      <c r="G392" s="196">
        <v>183</v>
      </c>
      <c r="H392" s="202">
        <v>28056</v>
      </c>
      <c r="I392" s="198">
        <v>5</v>
      </c>
      <c r="J392" s="196">
        <v>1</v>
      </c>
      <c r="K392" s="196"/>
      <c r="P392" s="201" t="str">
        <f t="shared" si="5"/>
        <v>|||||||||||||||||||||||||||||||||</v>
      </c>
    </row>
    <row r="393" spans="2:16" ht="15" x14ac:dyDescent="0.2">
      <c r="B393" s="196">
        <v>386</v>
      </c>
      <c r="C393" s="195" t="s">
        <v>8190</v>
      </c>
      <c r="D393" s="195" t="s">
        <v>6954</v>
      </c>
      <c r="E393" s="196" t="s">
        <v>17</v>
      </c>
      <c r="F393" s="196" t="s">
        <v>157</v>
      </c>
      <c r="G393" s="196">
        <v>164</v>
      </c>
      <c r="H393" s="202">
        <v>28707</v>
      </c>
      <c r="I393" s="198">
        <v>4</v>
      </c>
      <c r="J393" s="196">
        <v>2</v>
      </c>
      <c r="K393" s="196"/>
      <c r="P393" s="201" t="str">
        <f t="shared" ref="P393:P456" si="6">REPT("|",G393-150)</f>
        <v>||||||||||||||</v>
      </c>
    </row>
    <row r="394" spans="2:16" ht="15" x14ac:dyDescent="0.2">
      <c r="B394" s="196">
        <v>387</v>
      </c>
      <c r="C394" s="195" t="s">
        <v>8191</v>
      </c>
      <c r="D394" s="195" t="s">
        <v>8165</v>
      </c>
      <c r="E394" s="196" t="s">
        <v>21</v>
      </c>
      <c r="F394" s="196" t="s">
        <v>17</v>
      </c>
      <c r="G394" s="196">
        <v>194</v>
      </c>
      <c r="H394" s="202">
        <v>34388</v>
      </c>
      <c r="I394" s="198">
        <v>2</v>
      </c>
      <c r="J394" s="196">
        <v>2</v>
      </c>
      <c r="K394" s="196"/>
      <c r="P394" s="201" t="str">
        <f t="shared" si="6"/>
        <v>||||||||||||||||||||||||||||||||||||||||||||</v>
      </c>
    </row>
    <row r="395" spans="2:16" ht="15" x14ac:dyDescent="0.2">
      <c r="B395" s="196">
        <v>388</v>
      </c>
      <c r="C395" s="195" t="s">
        <v>8192</v>
      </c>
      <c r="D395" s="195" t="s">
        <v>8169</v>
      </c>
      <c r="E395" s="196" t="s">
        <v>17</v>
      </c>
      <c r="F395" s="196" t="s">
        <v>17</v>
      </c>
      <c r="G395" s="196">
        <v>181</v>
      </c>
      <c r="H395" s="202">
        <v>29820</v>
      </c>
      <c r="I395" s="198">
        <v>4</v>
      </c>
      <c r="J395" s="196">
        <v>1</v>
      </c>
      <c r="K395" s="196"/>
      <c r="P395" s="201" t="str">
        <f t="shared" si="6"/>
        <v>|||||||||||||||||||||||||||||||</v>
      </c>
    </row>
    <row r="396" spans="2:16" ht="15" x14ac:dyDescent="0.2">
      <c r="B396" s="196">
        <v>389</v>
      </c>
      <c r="C396" s="195" t="s">
        <v>8193</v>
      </c>
      <c r="D396" s="195" t="s">
        <v>8173</v>
      </c>
      <c r="E396" s="196" t="s">
        <v>21</v>
      </c>
      <c r="F396" s="196" t="s">
        <v>17</v>
      </c>
      <c r="G396" s="196">
        <v>176</v>
      </c>
      <c r="H396" s="202">
        <v>26959</v>
      </c>
      <c r="I396" s="198">
        <v>5</v>
      </c>
      <c r="J396" s="196">
        <v>1</v>
      </c>
      <c r="K396" s="196"/>
      <c r="P396" s="201" t="str">
        <f t="shared" si="6"/>
        <v>||||||||||||||||||||||||||</v>
      </c>
    </row>
    <row r="397" spans="2:16" ht="15" x14ac:dyDescent="0.2">
      <c r="B397" s="196">
        <v>390</v>
      </c>
      <c r="C397" s="195" t="s">
        <v>8194</v>
      </c>
      <c r="D397" s="195" t="s">
        <v>8175</v>
      </c>
      <c r="E397" s="196" t="s">
        <v>17</v>
      </c>
      <c r="F397" s="196" t="s">
        <v>17</v>
      </c>
      <c r="G397" s="196">
        <v>192</v>
      </c>
      <c r="H397" s="202">
        <v>34760</v>
      </c>
      <c r="I397" s="198">
        <v>1</v>
      </c>
      <c r="J397" s="196">
        <v>1</v>
      </c>
      <c r="K397" s="196"/>
      <c r="P397" s="201" t="str">
        <f t="shared" si="6"/>
        <v>||||||||||||||||||||||||||||||||||||||||||</v>
      </c>
    </row>
    <row r="398" spans="2:16" ht="15" x14ac:dyDescent="0.2">
      <c r="B398" s="196">
        <v>391</v>
      </c>
      <c r="C398" s="195" t="s">
        <v>296</v>
      </c>
      <c r="D398" s="195" t="s">
        <v>8177</v>
      </c>
      <c r="E398" s="196" t="s">
        <v>21</v>
      </c>
      <c r="F398" s="196" t="s">
        <v>157</v>
      </c>
      <c r="G398" s="196">
        <v>175</v>
      </c>
      <c r="H398" s="202">
        <v>25500</v>
      </c>
      <c r="I398" s="198">
        <v>3</v>
      </c>
      <c r="J398" s="196">
        <v>1</v>
      </c>
      <c r="K398" s="196"/>
      <c r="P398" s="201" t="str">
        <f t="shared" si="6"/>
        <v>|||||||||||||||||||||||||</v>
      </c>
    </row>
    <row r="399" spans="2:16" ht="15" x14ac:dyDescent="0.2">
      <c r="B399" s="196">
        <v>392</v>
      </c>
      <c r="C399" s="195" t="s">
        <v>8195</v>
      </c>
      <c r="D399" s="195" t="s">
        <v>102</v>
      </c>
      <c r="E399" s="196" t="s">
        <v>17</v>
      </c>
      <c r="F399" s="196" t="s">
        <v>17</v>
      </c>
      <c r="G399" s="196">
        <v>155</v>
      </c>
      <c r="H399" s="202">
        <v>32362</v>
      </c>
      <c r="I399" s="198">
        <v>5</v>
      </c>
      <c r="J399" s="196">
        <v>2</v>
      </c>
      <c r="K399" s="196"/>
      <c r="P399" s="201" t="str">
        <f t="shared" si="6"/>
        <v>|||||</v>
      </c>
    </row>
    <row r="400" spans="2:16" ht="15" x14ac:dyDescent="0.2">
      <c r="B400" s="196">
        <v>393</v>
      </c>
      <c r="C400" s="195" t="s">
        <v>8141</v>
      </c>
      <c r="D400" s="195" t="s">
        <v>8137</v>
      </c>
      <c r="E400" s="196" t="s">
        <v>21</v>
      </c>
      <c r="F400" s="196" t="s">
        <v>17</v>
      </c>
      <c r="G400" s="196">
        <v>194</v>
      </c>
      <c r="H400" s="202">
        <v>29275</v>
      </c>
      <c r="I400" s="198">
        <v>5</v>
      </c>
      <c r="J400" s="196">
        <v>2</v>
      </c>
      <c r="K400" s="196"/>
      <c r="P400" s="201" t="str">
        <f t="shared" si="6"/>
        <v>||||||||||||||||||||||||||||||||||||||||||||</v>
      </c>
    </row>
    <row r="401" spans="2:16" ht="15" x14ac:dyDescent="0.2">
      <c r="B401" s="196">
        <v>394</v>
      </c>
      <c r="C401" s="195" t="s">
        <v>8196</v>
      </c>
      <c r="D401" s="195" t="s">
        <v>7141</v>
      </c>
      <c r="E401" s="196" t="s">
        <v>17</v>
      </c>
      <c r="F401" s="196" t="s">
        <v>17</v>
      </c>
      <c r="G401" s="196">
        <v>188</v>
      </c>
      <c r="H401" s="202">
        <v>33716</v>
      </c>
      <c r="I401" s="198">
        <v>3</v>
      </c>
      <c r="J401" s="196">
        <v>1</v>
      </c>
      <c r="K401" s="196"/>
      <c r="P401" s="201" t="str">
        <f t="shared" si="6"/>
        <v>||||||||||||||||||||||||||||||||||||||</v>
      </c>
    </row>
    <row r="402" spans="2:16" ht="15" x14ac:dyDescent="0.2">
      <c r="B402" s="196">
        <v>395</v>
      </c>
      <c r="C402" s="195" t="s">
        <v>8132</v>
      </c>
      <c r="D402" s="195" t="s">
        <v>6962</v>
      </c>
      <c r="E402" s="196" t="s">
        <v>21</v>
      </c>
      <c r="F402" s="196" t="s">
        <v>157</v>
      </c>
      <c r="G402" s="196">
        <v>181</v>
      </c>
      <c r="H402" s="202">
        <v>31604</v>
      </c>
      <c r="I402" s="198">
        <v>5</v>
      </c>
      <c r="J402" s="196">
        <v>1</v>
      </c>
      <c r="K402" s="196"/>
      <c r="P402" s="201" t="str">
        <f t="shared" si="6"/>
        <v>|||||||||||||||||||||||||||||||</v>
      </c>
    </row>
    <row r="403" spans="2:16" ht="15" x14ac:dyDescent="0.2">
      <c r="B403" s="196">
        <v>396</v>
      </c>
      <c r="C403" s="195" t="s">
        <v>8148</v>
      </c>
      <c r="D403" s="195" t="s">
        <v>8135</v>
      </c>
      <c r="E403" s="196" t="s">
        <v>17</v>
      </c>
      <c r="F403" s="196" t="s">
        <v>17</v>
      </c>
      <c r="G403" s="196">
        <v>184</v>
      </c>
      <c r="H403" s="202">
        <v>29468</v>
      </c>
      <c r="I403" s="198">
        <v>5</v>
      </c>
      <c r="J403" s="196">
        <v>2</v>
      </c>
      <c r="K403" s="196"/>
      <c r="P403" s="201" t="str">
        <f t="shared" si="6"/>
        <v>||||||||||||||||||||||||||||||||||</v>
      </c>
    </row>
    <row r="404" spans="2:16" ht="15" x14ac:dyDescent="0.2">
      <c r="B404" s="196">
        <v>397</v>
      </c>
      <c r="C404" s="195" t="s">
        <v>8138</v>
      </c>
      <c r="D404" s="195" t="s">
        <v>8140</v>
      </c>
      <c r="E404" s="196" t="s">
        <v>21</v>
      </c>
      <c r="F404" s="196" t="s">
        <v>157</v>
      </c>
      <c r="G404" s="196">
        <v>187</v>
      </c>
      <c r="H404" s="202">
        <v>30317</v>
      </c>
      <c r="I404" s="198">
        <v>2</v>
      </c>
      <c r="J404" s="196">
        <v>3</v>
      </c>
      <c r="K404" s="196"/>
      <c r="P404" s="201" t="str">
        <f t="shared" si="6"/>
        <v>|||||||||||||||||||||||||||||||||||||</v>
      </c>
    </row>
    <row r="405" spans="2:16" ht="15" x14ac:dyDescent="0.2">
      <c r="B405" s="196">
        <v>398</v>
      </c>
      <c r="C405" s="195" t="s">
        <v>8139</v>
      </c>
      <c r="D405" s="195" t="s">
        <v>6983</v>
      </c>
      <c r="E405" s="196" t="s">
        <v>17</v>
      </c>
      <c r="F405" s="196" t="s">
        <v>157</v>
      </c>
      <c r="G405" s="196">
        <v>189</v>
      </c>
      <c r="H405" s="202">
        <v>29201</v>
      </c>
      <c r="I405" s="198">
        <v>4</v>
      </c>
      <c r="J405" s="196">
        <v>1</v>
      </c>
      <c r="K405" s="196"/>
      <c r="P405" s="201" t="str">
        <f t="shared" si="6"/>
        <v>|||||||||||||||||||||||||||||||||||||||</v>
      </c>
    </row>
    <row r="406" spans="2:16" ht="15" x14ac:dyDescent="0.2">
      <c r="B406" s="196">
        <v>399</v>
      </c>
      <c r="C406" s="195" t="s">
        <v>8134</v>
      </c>
      <c r="D406" s="195" t="s">
        <v>8145</v>
      </c>
      <c r="E406" s="196" t="s">
        <v>21</v>
      </c>
      <c r="F406" s="196" t="s">
        <v>17</v>
      </c>
      <c r="G406" s="196">
        <v>190</v>
      </c>
      <c r="H406" s="202">
        <v>24036</v>
      </c>
      <c r="I406" s="198">
        <v>1</v>
      </c>
      <c r="J406" s="196">
        <v>3</v>
      </c>
      <c r="K406" s="196"/>
      <c r="P406" s="201" t="str">
        <f t="shared" si="6"/>
        <v>||||||||||||||||||||||||||||||||||||||||</v>
      </c>
    </row>
    <row r="407" spans="2:16" ht="15" x14ac:dyDescent="0.2">
      <c r="B407" s="196">
        <v>400</v>
      </c>
      <c r="C407" s="195" t="s">
        <v>8144</v>
      </c>
      <c r="D407" s="195" t="s">
        <v>8149</v>
      </c>
      <c r="E407" s="196" t="s">
        <v>17</v>
      </c>
      <c r="F407" s="196" t="s">
        <v>17</v>
      </c>
      <c r="G407" s="196">
        <v>168</v>
      </c>
      <c r="H407" s="202">
        <v>35722</v>
      </c>
      <c r="I407" s="198">
        <v>1</v>
      </c>
      <c r="J407" s="196">
        <v>3</v>
      </c>
      <c r="K407" s="196"/>
      <c r="P407" s="201" t="str">
        <f t="shared" si="6"/>
        <v>||||||||||||||||||</v>
      </c>
    </row>
    <row r="408" spans="2:16" ht="15" x14ac:dyDescent="0.2">
      <c r="B408" s="196">
        <v>401</v>
      </c>
      <c r="C408" s="195" t="s">
        <v>8141</v>
      </c>
      <c r="D408" s="195" t="s">
        <v>8153</v>
      </c>
      <c r="E408" s="196" t="s">
        <v>21</v>
      </c>
      <c r="F408" s="196" t="s">
        <v>17</v>
      </c>
      <c r="G408" s="196">
        <v>166</v>
      </c>
      <c r="H408" s="202">
        <v>26884</v>
      </c>
      <c r="I408" s="198">
        <v>3</v>
      </c>
      <c r="J408" s="196">
        <v>2</v>
      </c>
      <c r="K408" s="196"/>
      <c r="P408" s="201" t="str">
        <f t="shared" si="6"/>
        <v>||||||||||||||||</v>
      </c>
    </row>
    <row r="409" spans="2:16" ht="15" x14ac:dyDescent="0.2">
      <c r="B409" s="196">
        <v>402</v>
      </c>
      <c r="C409" s="195" t="s">
        <v>8142</v>
      </c>
      <c r="D409" s="195" t="s">
        <v>8155</v>
      </c>
      <c r="E409" s="196" t="s">
        <v>17</v>
      </c>
      <c r="F409" s="196" t="s">
        <v>157</v>
      </c>
      <c r="G409" s="196">
        <v>167</v>
      </c>
      <c r="H409" s="202">
        <v>31216</v>
      </c>
      <c r="I409" s="198">
        <v>4</v>
      </c>
      <c r="J409" s="196">
        <v>3</v>
      </c>
      <c r="K409" s="196"/>
      <c r="P409" s="201" t="str">
        <f t="shared" si="6"/>
        <v>|||||||||||||||||</v>
      </c>
    </row>
    <row r="410" spans="2:16" ht="15" x14ac:dyDescent="0.2">
      <c r="B410" s="196">
        <v>403</v>
      </c>
      <c r="C410" s="195" t="s">
        <v>8143</v>
      </c>
      <c r="D410" s="195" t="s">
        <v>8157</v>
      </c>
      <c r="E410" s="196" t="s">
        <v>21</v>
      </c>
      <c r="F410" s="196" t="s">
        <v>157</v>
      </c>
      <c r="G410" s="196">
        <v>157</v>
      </c>
      <c r="H410" s="202">
        <v>26264</v>
      </c>
      <c r="I410" s="198">
        <v>4</v>
      </c>
      <c r="J410" s="196">
        <v>2</v>
      </c>
      <c r="K410" s="196"/>
      <c r="P410" s="201" t="str">
        <f t="shared" si="6"/>
        <v>|||||||</v>
      </c>
    </row>
    <row r="411" spans="2:16" ht="15" x14ac:dyDescent="0.2">
      <c r="B411" s="196">
        <v>404</v>
      </c>
      <c r="C411" s="195" t="s">
        <v>8136</v>
      </c>
      <c r="D411" s="195" t="s">
        <v>8158</v>
      </c>
      <c r="E411" s="196" t="s">
        <v>17</v>
      </c>
      <c r="F411" s="196" t="s">
        <v>157</v>
      </c>
      <c r="G411" s="196">
        <v>167</v>
      </c>
      <c r="H411" s="202">
        <v>35073</v>
      </c>
      <c r="I411" s="198">
        <v>4</v>
      </c>
      <c r="J411" s="196">
        <v>2</v>
      </c>
      <c r="K411" s="196"/>
      <c r="P411" s="201" t="str">
        <f t="shared" si="6"/>
        <v>|||||||||||||||||</v>
      </c>
    </row>
    <row r="412" spans="2:16" ht="15" x14ac:dyDescent="0.2">
      <c r="B412" s="196">
        <v>405</v>
      </c>
      <c r="C412" s="195" t="s">
        <v>8146</v>
      </c>
      <c r="D412" s="195" t="s">
        <v>107</v>
      </c>
      <c r="E412" s="196" t="s">
        <v>21</v>
      </c>
      <c r="F412" s="196" t="s">
        <v>157</v>
      </c>
      <c r="G412" s="196">
        <v>195</v>
      </c>
      <c r="H412" s="202">
        <v>29396</v>
      </c>
      <c r="I412" s="198">
        <v>3</v>
      </c>
      <c r="J412" s="196">
        <v>2</v>
      </c>
      <c r="K412" s="196"/>
      <c r="P412" s="201" t="str">
        <f t="shared" si="6"/>
        <v>|||||||||||||||||||||||||||||||||||||||||||||</v>
      </c>
    </row>
    <row r="413" spans="2:16" ht="15" x14ac:dyDescent="0.2">
      <c r="B413" s="196">
        <v>406</v>
      </c>
      <c r="C413" s="195" t="s">
        <v>8133</v>
      </c>
      <c r="D413" s="195" t="s">
        <v>8161</v>
      </c>
      <c r="E413" s="196" t="s">
        <v>17</v>
      </c>
      <c r="F413" s="196" t="s">
        <v>157</v>
      </c>
      <c r="G413" s="196">
        <v>170</v>
      </c>
      <c r="H413" s="202">
        <v>33777</v>
      </c>
      <c r="I413" s="198">
        <v>4</v>
      </c>
      <c r="J413" s="196">
        <v>1</v>
      </c>
      <c r="K413" s="196"/>
      <c r="P413" s="201" t="str">
        <f t="shared" si="6"/>
        <v>||||||||||||||||||||</v>
      </c>
    </row>
    <row r="414" spans="2:16" ht="15" x14ac:dyDescent="0.2">
      <c r="B414" s="196">
        <v>407</v>
      </c>
      <c r="C414" s="195" t="s">
        <v>8150</v>
      </c>
      <c r="D414" s="195" t="s">
        <v>8162</v>
      </c>
      <c r="E414" s="196" t="s">
        <v>21</v>
      </c>
      <c r="F414" s="196" t="s">
        <v>17</v>
      </c>
      <c r="G414" s="196">
        <v>178</v>
      </c>
      <c r="H414" s="202">
        <v>30562</v>
      </c>
      <c r="I414" s="198">
        <v>3</v>
      </c>
      <c r="J414" s="196">
        <v>3</v>
      </c>
      <c r="K414" s="196"/>
      <c r="P414" s="201" t="str">
        <f t="shared" si="6"/>
        <v>||||||||||||||||||||||||||||</v>
      </c>
    </row>
    <row r="415" spans="2:16" ht="15" x14ac:dyDescent="0.2">
      <c r="B415" s="196">
        <v>408</v>
      </c>
      <c r="C415" s="195" t="s">
        <v>8152</v>
      </c>
      <c r="D415" s="195" t="s">
        <v>6954</v>
      </c>
      <c r="E415" s="196" t="s">
        <v>17</v>
      </c>
      <c r="F415" s="196" t="s">
        <v>17</v>
      </c>
      <c r="G415" s="196">
        <v>178</v>
      </c>
      <c r="H415" s="202">
        <v>35185</v>
      </c>
      <c r="I415" s="198">
        <v>4</v>
      </c>
      <c r="J415" s="196">
        <v>1</v>
      </c>
      <c r="K415" s="196"/>
      <c r="P415" s="201" t="str">
        <f t="shared" si="6"/>
        <v>||||||||||||||||||||||||||||</v>
      </c>
    </row>
    <row r="416" spans="2:16" ht="15" x14ac:dyDescent="0.2">
      <c r="B416" s="196">
        <v>409</v>
      </c>
      <c r="C416" s="195" t="s">
        <v>8154</v>
      </c>
      <c r="D416" s="195" t="s">
        <v>8165</v>
      </c>
      <c r="E416" s="196" t="s">
        <v>21</v>
      </c>
      <c r="F416" s="196" t="s">
        <v>157</v>
      </c>
      <c r="G416" s="196">
        <v>195</v>
      </c>
      <c r="H416" s="202">
        <v>27405</v>
      </c>
      <c r="I416" s="198">
        <v>3</v>
      </c>
      <c r="J416" s="196">
        <v>1</v>
      </c>
      <c r="K416" s="196"/>
      <c r="P416" s="201" t="str">
        <f t="shared" si="6"/>
        <v>|||||||||||||||||||||||||||||||||||||||||||||</v>
      </c>
    </row>
    <row r="417" spans="2:16" ht="15" x14ac:dyDescent="0.2">
      <c r="B417" s="196">
        <v>410</v>
      </c>
      <c r="C417" s="195" t="s">
        <v>8156</v>
      </c>
      <c r="D417" s="195" t="s">
        <v>8169</v>
      </c>
      <c r="E417" s="196" t="s">
        <v>17</v>
      </c>
      <c r="F417" s="196" t="s">
        <v>17</v>
      </c>
      <c r="G417" s="196">
        <v>182</v>
      </c>
      <c r="H417" s="202">
        <v>27513</v>
      </c>
      <c r="I417" s="198">
        <v>2</v>
      </c>
      <c r="J417" s="196">
        <v>1</v>
      </c>
      <c r="K417" s="196"/>
      <c r="P417" s="201" t="str">
        <f t="shared" si="6"/>
        <v>||||||||||||||||||||||||||||||||</v>
      </c>
    </row>
    <row r="418" spans="2:16" ht="15" x14ac:dyDescent="0.2">
      <c r="B418" s="196">
        <v>411</v>
      </c>
      <c r="C418" s="195" t="s">
        <v>1508</v>
      </c>
      <c r="D418" s="195" t="s">
        <v>8173</v>
      </c>
      <c r="E418" s="196" t="s">
        <v>21</v>
      </c>
      <c r="F418" s="196" t="s">
        <v>157</v>
      </c>
      <c r="G418" s="196">
        <v>179</v>
      </c>
      <c r="H418" s="202">
        <v>24049</v>
      </c>
      <c r="I418" s="198">
        <v>3</v>
      </c>
      <c r="J418" s="196">
        <v>2</v>
      </c>
      <c r="K418" s="196"/>
      <c r="P418" s="201" t="str">
        <f t="shared" si="6"/>
        <v>|||||||||||||||||||||||||||||</v>
      </c>
    </row>
    <row r="419" spans="2:16" ht="15" x14ac:dyDescent="0.2">
      <c r="B419" s="196">
        <v>412</v>
      </c>
      <c r="C419" s="195" t="s">
        <v>8159</v>
      </c>
      <c r="D419" s="195" t="s">
        <v>8175</v>
      </c>
      <c r="E419" s="196" t="s">
        <v>17</v>
      </c>
      <c r="F419" s="196" t="s">
        <v>17</v>
      </c>
      <c r="G419" s="196">
        <v>163</v>
      </c>
      <c r="H419" s="202">
        <v>32946</v>
      </c>
      <c r="I419" s="198">
        <v>5</v>
      </c>
      <c r="J419" s="196">
        <v>1</v>
      </c>
      <c r="K419" s="196"/>
      <c r="P419" s="201" t="str">
        <f t="shared" si="6"/>
        <v>|||||||||||||</v>
      </c>
    </row>
    <row r="420" spans="2:16" ht="15" x14ac:dyDescent="0.2">
      <c r="B420" s="196">
        <v>413</v>
      </c>
      <c r="C420" s="195" t="s">
        <v>8160</v>
      </c>
      <c r="D420" s="195" t="s">
        <v>8177</v>
      </c>
      <c r="E420" s="196" t="s">
        <v>21</v>
      </c>
      <c r="F420" s="196" t="s">
        <v>157</v>
      </c>
      <c r="G420" s="196">
        <v>161</v>
      </c>
      <c r="H420" s="202">
        <v>24884</v>
      </c>
      <c r="I420" s="198">
        <v>3</v>
      </c>
      <c r="J420" s="196">
        <v>1</v>
      </c>
      <c r="K420" s="196"/>
      <c r="P420" s="201" t="str">
        <f t="shared" si="6"/>
        <v>|||||||||||</v>
      </c>
    </row>
    <row r="421" spans="2:16" ht="15" x14ac:dyDescent="0.2">
      <c r="B421" s="196">
        <v>414</v>
      </c>
      <c r="C421" s="195" t="s">
        <v>8163</v>
      </c>
      <c r="D421" s="195" t="s">
        <v>102</v>
      </c>
      <c r="E421" s="196" t="s">
        <v>17</v>
      </c>
      <c r="F421" s="196" t="s">
        <v>157</v>
      </c>
      <c r="G421" s="196">
        <v>172</v>
      </c>
      <c r="H421" s="202">
        <v>32423</v>
      </c>
      <c r="I421" s="198">
        <v>2</v>
      </c>
      <c r="J421" s="196">
        <v>3</v>
      </c>
      <c r="K421" s="196"/>
      <c r="P421" s="201" t="str">
        <f t="shared" si="6"/>
        <v>||||||||||||||||||||||</v>
      </c>
    </row>
    <row r="422" spans="2:16" ht="15" x14ac:dyDescent="0.2">
      <c r="B422" s="196">
        <v>415</v>
      </c>
      <c r="C422" s="195" t="s">
        <v>8166</v>
      </c>
      <c r="D422" s="195" t="s">
        <v>8137</v>
      </c>
      <c r="E422" s="196" t="s">
        <v>21</v>
      </c>
      <c r="F422" s="196" t="s">
        <v>17</v>
      </c>
      <c r="G422" s="196">
        <v>166</v>
      </c>
      <c r="H422" s="202">
        <v>25699</v>
      </c>
      <c r="I422" s="198">
        <v>4</v>
      </c>
      <c r="J422" s="196">
        <v>1</v>
      </c>
      <c r="K422" s="196"/>
      <c r="P422" s="201" t="str">
        <f t="shared" si="6"/>
        <v>||||||||||||||||</v>
      </c>
    </row>
    <row r="423" spans="2:16" ht="15" x14ac:dyDescent="0.2">
      <c r="B423" s="196">
        <v>416</v>
      </c>
      <c r="C423" s="195" t="s">
        <v>8167</v>
      </c>
      <c r="D423" s="195" t="s">
        <v>7141</v>
      </c>
      <c r="E423" s="196" t="s">
        <v>17</v>
      </c>
      <c r="F423" s="196" t="s">
        <v>17</v>
      </c>
      <c r="G423" s="196">
        <v>159</v>
      </c>
      <c r="H423" s="202">
        <v>30193</v>
      </c>
      <c r="I423" s="198">
        <v>5</v>
      </c>
      <c r="J423" s="196">
        <v>2</v>
      </c>
      <c r="K423" s="196"/>
      <c r="P423" s="201" t="str">
        <f t="shared" si="6"/>
        <v>|||||||||</v>
      </c>
    </row>
    <row r="424" spans="2:16" ht="15" x14ac:dyDescent="0.2">
      <c r="B424" s="196">
        <v>417</v>
      </c>
      <c r="C424" s="195" t="s">
        <v>269</v>
      </c>
      <c r="D424" s="195" t="s">
        <v>6962</v>
      </c>
      <c r="E424" s="196" t="s">
        <v>21</v>
      </c>
      <c r="F424" s="196" t="s">
        <v>17</v>
      </c>
      <c r="G424" s="196">
        <v>162</v>
      </c>
      <c r="H424" s="202">
        <v>31677</v>
      </c>
      <c r="I424" s="198">
        <v>3</v>
      </c>
      <c r="J424" s="196">
        <v>1</v>
      </c>
      <c r="K424" s="196"/>
      <c r="P424" s="201" t="str">
        <f t="shared" si="6"/>
        <v>||||||||||||</v>
      </c>
    </row>
    <row r="425" spans="2:16" ht="15" x14ac:dyDescent="0.2">
      <c r="B425" s="196">
        <v>418</v>
      </c>
      <c r="C425" s="195" t="s">
        <v>8170</v>
      </c>
      <c r="D425" s="195" t="s">
        <v>8135</v>
      </c>
      <c r="E425" s="196" t="s">
        <v>17</v>
      </c>
      <c r="F425" s="196" t="s">
        <v>157</v>
      </c>
      <c r="G425" s="196">
        <v>172</v>
      </c>
      <c r="H425" s="202">
        <v>35996</v>
      </c>
      <c r="I425" s="198">
        <v>3</v>
      </c>
      <c r="J425" s="196">
        <v>3</v>
      </c>
      <c r="K425" s="196"/>
      <c r="P425" s="201" t="str">
        <f t="shared" si="6"/>
        <v>||||||||||||||||||||||</v>
      </c>
    </row>
    <row r="426" spans="2:16" ht="15" x14ac:dyDescent="0.2">
      <c r="B426" s="196">
        <v>419</v>
      </c>
      <c r="C426" s="195" t="s">
        <v>231</v>
      </c>
      <c r="D426" s="195" t="s">
        <v>8140</v>
      </c>
      <c r="E426" s="196" t="s">
        <v>21</v>
      </c>
      <c r="F426" s="196" t="s">
        <v>17</v>
      </c>
      <c r="G426" s="196">
        <v>194</v>
      </c>
      <c r="H426" s="202">
        <v>31865</v>
      </c>
      <c r="I426" s="198">
        <v>4</v>
      </c>
      <c r="J426" s="196">
        <v>1</v>
      </c>
      <c r="K426" s="196"/>
      <c r="P426" s="201" t="str">
        <f t="shared" si="6"/>
        <v>||||||||||||||||||||||||||||||||||||||||||||</v>
      </c>
    </row>
    <row r="427" spans="2:16" ht="15" x14ac:dyDescent="0.2">
      <c r="B427" s="196">
        <v>420</v>
      </c>
      <c r="C427" s="195" t="s">
        <v>8172</v>
      </c>
      <c r="D427" s="195" t="s">
        <v>6983</v>
      </c>
      <c r="E427" s="196" t="s">
        <v>17</v>
      </c>
      <c r="F427" s="196" t="s">
        <v>17</v>
      </c>
      <c r="G427" s="196">
        <v>192</v>
      </c>
      <c r="H427" s="202">
        <v>25986</v>
      </c>
      <c r="I427" s="198">
        <v>2</v>
      </c>
      <c r="J427" s="196">
        <v>1</v>
      </c>
      <c r="K427" s="196"/>
      <c r="P427" s="201" t="str">
        <f t="shared" si="6"/>
        <v>||||||||||||||||||||||||||||||||||||||||||</v>
      </c>
    </row>
    <row r="428" spans="2:16" ht="15" x14ac:dyDescent="0.2">
      <c r="B428" s="196">
        <v>421</v>
      </c>
      <c r="C428" s="195" t="s">
        <v>8174</v>
      </c>
      <c r="D428" s="195" t="s">
        <v>8145</v>
      </c>
      <c r="E428" s="196" t="s">
        <v>2705</v>
      </c>
      <c r="F428" s="196" t="s">
        <v>2677</v>
      </c>
      <c r="G428" s="196">
        <v>172</v>
      </c>
      <c r="H428" s="202">
        <v>24356</v>
      </c>
      <c r="I428" s="198">
        <v>1</v>
      </c>
      <c r="J428" s="196">
        <v>1</v>
      </c>
      <c r="K428" s="196"/>
      <c r="P428" s="201" t="str">
        <f t="shared" si="6"/>
        <v>||||||||||||||||||||||</v>
      </c>
    </row>
    <row r="429" spans="2:16" ht="15" x14ac:dyDescent="0.2">
      <c r="B429" s="196">
        <v>422</v>
      </c>
      <c r="C429" s="195" t="s">
        <v>8176</v>
      </c>
      <c r="D429" s="195" t="s">
        <v>8149</v>
      </c>
      <c r="E429" s="196" t="s">
        <v>17</v>
      </c>
      <c r="F429" s="196" t="s">
        <v>157</v>
      </c>
      <c r="G429" s="196">
        <v>192</v>
      </c>
      <c r="H429" s="202">
        <v>24729</v>
      </c>
      <c r="I429" s="198">
        <v>5</v>
      </c>
      <c r="J429" s="196">
        <v>3</v>
      </c>
      <c r="K429" s="196"/>
      <c r="P429" s="201" t="str">
        <f t="shared" si="6"/>
        <v>||||||||||||||||||||||||||||||||||||||||||</v>
      </c>
    </row>
    <row r="430" spans="2:16" ht="15" x14ac:dyDescent="0.2">
      <c r="B430" s="196">
        <v>423</v>
      </c>
      <c r="C430" s="195" t="s">
        <v>8178</v>
      </c>
      <c r="D430" s="195" t="s">
        <v>8153</v>
      </c>
      <c r="E430" s="196" t="s">
        <v>21</v>
      </c>
      <c r="F430" s="196" t="s">
        <v>17</v>
      </c>
      <c r="G430" s="196">
        <v>177</v>
      </c>
      <c r="H430" s="202">
        <v>28864</v>
      </c>
      <c r="I430" s="198">
        <v>5</v>
      </c>
      <c r="J430" s="196">
        <v>1</v>
      </c>
      <c r="K430" s="196"/>
      <c r="P430" s="201" t="str">
        <f t="shared" si="6"/>
        <v>|||||||||||||||||||||||||||</v>
      </c>
    </row>
    <row r="431" spans="2:16" ht="15" x14ac:dyDescent="0.2">
      <c r="B431" s="196">
        <v>424</v>
      </c>
      <c r="C431" s="195" t="s">
        <v>8179</v>
      </c>
      <c r="D431" s="195" t="s">
        <v>8155</v>
      </c>
      <c r="E431" s="196" t="s">
        <v>17</v>
      </c>
      <c r="F431" s="196" t="s">
        <v>157</v>
      </c>
      <c r="G431" s="196">
        <v>189</v>
      </c>
      <c r="H431" s="202">
        <v>24800</v>
      </c>
      <c r="I431" s="198">
        <v>2</v>
      </c>
      <c r="J431" s="196">
        <v>1</v>
      </c>
      <c r="K431" s="196"/>
      <c r="P431" s="201" t="str">
        <f t="shared" si="6"/>
        <v>|||||||||||||||||||||||||||||||||||||||</v>
      </c>
    </row>
    <row r="432" spans="2:16" ht="15" x14ac:dyDescent="0.2">
      <c r="B432" s="196">
        <v>425</v>
      </c>
      <c r="C432" s="195" t="s">
        <v>91</v>
      </c>
      <c r="D432" s="195" t="s">
        <v>8157</v>
      </c>
      <c r="E432" s="196" t="s">
        <v>21</v>
      </c>
      <c r="F432" s="196" t="s">
        <v>157</v>
      </c>
      <c r="G432" s="196">
        <v>167</v>
      </c>
      <c r="H432" s="202">
        <v>24806</v>
      </c>
      <c r="I432" s="198">
        <v>1</v>
      </c>
      <c r="J432" s="196">
        <v>3</v>
      </c>
      <c r="K432" s="196"/>
      <c r="P432" s="201" t="str">
        <f t="shared" si="6"/>
        <v>|||||||||||||||||</v>
      </c>
    </row>
    <row r="433" spans="2:16" ht="15" x14ac:dyDescent="0.2">
      <c r="B433" s="196">
        <v>426</v>
      </c>
      <c r="C433" s="195" t="s">
        <v>8180</v>
      </c>
      <c r="D433" s="195" t="s">
        <v>8158</v>
      </c>
      <c r="E433" s="196" t="s">
        <v>17</v>
      </c>
      <c r="F433" s="196" t="s">
        <v>157</v>
      </c>
      <c r="G433" s="196">
        <v>167</v>
      </c>
      <c r="H433" s="202">
        <v>29698</v>
      </c>
      <c r="I433" s="198">
        <v>1</v>
      </c>
      <c r="J433" s="196">
        <v>1</v>
      </c>
      <c r="K433" s="196"/>
      <c r="P433" s="201" t="str">
        <f t="shared" si="6"/>
        <v>|||||||||||||||||</v>
      </c>
    </row>
    <row r="434" spans="2:16" ht="15" x14ac:dyDescent="0.2">
      <c r="B434" s="196">
        <v>427</v>
      </c>
      <c r="C434" s="195" t="s">
        <v>8181</v>
      </c>
      <c r="D434" s="195" t="s">
        <v>107</v>
      </c>
      <c r="E434" s="196" t="s">
        <v>21</v>
      </c>
      <c r="F434" s="196" t="s">
        <v>157</v>
      </c>
      <c r="G434" s="196">
        <v>169</v>
      </c>
      <c r="H434" s="202">
        <v>34492</v>
      </c>
      <c r="I434" s="198">
        <v>1</v>
      </c>
      <c r="J434" s="196">
        <v>3</v>
      </c>
      <c r="K434" s="196"/>
      <c r="P434" s="201" t="str">
        <f t="shared" si="6"/>
        <v>|||||||||||||||||||</v>
      </c>
    </row>
    <row r="435" spans="2:16" ht="15" x14ac:dyDescent="0.2">
      <c r="B435" s="196">
        <v>428</v>
      </c>
      <c r="C435" s="195" t="s">
        <v>8182</v>
      </c>
      <c r="D435" s="195" t="s">
        <v>8161</v>
      </c>
      <c r="E435" s="196" t="s">
        <v>17</v>
      </c>
      <c r="F435" s="196" t="s">
        <v>17</v>
      </c>
      <c r="G435" s="196">
        <v>176</v>
      </c>
      <c r="H435" s="202">
        <v>30144</v>
      </c>
      <c r="I435" s="198">
        <v>2</v>
      </c>
      <c r="J435" s="196">
        <v>3</v>
      </c>
      <c r="K435" s="196"/>
      <c r="P435" s="201" t="str">
        <f t="shared" si="6"/>
        <v>||||||||||||||||||||||||||</v>
      </c>
    </row>
    <row r="436" spans="2:16" ht="15" x14ac:dyDescent="0.2">
      <c r="B436" s="196">
        <v>429</v>
      </c>
      <c r="C436" s="195" t="s">
        <v>8183</v>
      </c>
      <c r="D436" s="195" t="s">
        <v>8162</v>
      </c>
      <c r="E436" s="196" t="s">
        <v>21</v>
      </c>
      <c r="F436" s="196" t="s">
        <v>2677</v>
      </c>
      <c r="G436" s="196">
        <v>181</v>
      </c>
      <c r="H436" s="202">
        <v>32510</v>
      </c>
      <c r="I436" s="198">
        <v>2</v>
      </c>
      <c r="J436" s="196">
        <v>2</v>
      </c>
      <c r="K436" s="196"/>
      <c r="P436" s="201" t="str">
        <f t="shared" si="6"/>
        <v>|||||||||||||||||||||||||||||||</v>
      </c>
    </row>
    <row r="437" spans="2:16" ht="15" x14ac:dyDescent="0.2">
      <c r="B437" s="196">
        <v>430</v>
      </c>
      <c r="C437" s="195" t="s">
        <v>8184</v>
      </c>
      <c r="D437" s="195" t="s">
        <v>6954</v>
      </c>
      <c r="E437" s="196" t="s">
        <v>17</v>
      </c>
      <c r="F437" s="196" t="s">
        <v>17</v>
      </c>
      <c r="G437" s="196">
        <v>183</v>
      </c>
      <c r="H437" s="202">
        <v>27040</v>
      </c>
      <c r="I437" s="198">
        <v>2</v>
      </c>
      <c r="J437" s="196">
        <v>3</v>
      </c>
      <c r="K437" s="196"/>
      <c r="P437" s="201" t="str">
        <f t="shared" si="6"/>
        <v>|||||||||||||||||||||||||||||||||</v>
      </c>
    </row>
    <row r="438" spans="2:16" ht="15" x14ac:dyDescent="0.2">
      <c r="B438" s="196">
        <v>431</v>
      </c>
      <c r="C438" s="195" t="s">
        <v>8185</v>
      </c>
      <c r="D438" s="195" t="s">
        <v>8165</v>
      </c>
      <c r="E438" s="196" t="s">
        <v>21</v>
      </c>
      <c r="F438" s="196" t="s">
        <v>17</v>
      </c>
      <c r="G438" s="196">
        <v>184</v>
      </c>
      <c r="H438" s="202">
        <v>29897</v>
      </c>
      <c r="I438" s="198">
        <v>5</v>
      </c>
      <c r="J438" s="196">
        <v>2</v>
      </c>
      <c r="K438" s="196"/>
      <c r="P438" s="201" t="str">
        <f t="shared" si="6"/>
        <v>||||||||||||||||||||||||||||||||||</v>
      </c>
    </row>
    <row r="439" spans="2:16" ht="15" x14ac:dyDescent="0.2">
      <c r="B439" s="196">
        <v>432</v>
      </c>
      <c r="C439" s="195" t="s">
        <v>8186</v>
      </c>
      <c r="D439" s="195" t="s">
        <v>8169</v>
      </c>
      <c r="E439" s="196" t="s">
        <v>17</v>
      </c>
      <c r="F439" s="196" t="s">
        <v>157</v>
      </c>
      <c r="G439" s="196">
        <v>171</v>
      </c>
      <c r="H439" s="202">
        <v>34459</v>
      </c>
      <c r="I439" s="198">
        <v>2</v>
      </c>
      <c r="J439" s="196">
        <v>2</v>
      </c>
      <c r="K439" s="196"/>
      <c r="P439" s="201" t="str">
        <f t="shared" si="6"/>
        <v>|||||||||||||||||||||</v>
      </c>
    </row>
    <row r="440" spans="2:16" ht="15" x14ac:dyDescent="0.2">
      <c r="B440" s="196">
        <v>433</v>
      </c>
      <c r="C440" s="195" t="s">
        <v>8187</v>
      </c>
      <c r="D440" s="195" t="s">
        <v>8173</v>
      </c>
      <c r="E440" s="196" t="s">
        <v>21</v>
      </c>
      <c r="F440" s="196" t="s">
        <v>157</v>
      </c>
      <c r="G440" s="196">
        <v>186</v>
      </c>
      <c r="H440" s="202">
        <v>34766</v>
      </c>
      <c r="I440" s="198">
        <v>5</v>
      </c>
      <c r="J440" s="196">
        <v>2</v>
      </c>
      <c r="K440" s="196"/>
      <c r="P440" s="201" t="str">
        <f t="shared" si="6"/>
        <v>||||||||||||||||||||||||||||||||||||</v>
      </c>
    </row>
    <row r="441" spans="2:16" ht="15" x14ac:dyDescent="0.2">
      <c r="B441" s="196">
        <v>434</v>
      </c>
      <c r="C441" s="195" t="s">
        <v>8188</v>
      </c>
      <c r="D441" s="195" t="s">
        <v>8175</v>
      </c>
      <c r="E441" s="196" t="s">
        <v>17</v>
      </c>
      <c r="F441" s="196" t="s">
        <v>17</v>
      </c>
      <c r="G441" s="196">
        <v>158</v>
      </c>
      <c r="H441" s="202">
        <v>31416</v>
      </c>
      <c r="I441" s="198">
        <v>3</v>
      </c>
      <c r="J441" s="196">
        <v>3</v>
      </c>
      <c r="K441" s="196"/>
      <c r="P441" s="201" t="str">
        <f t="shared" si="6"/>
        <v>||||||||</v>
      </c>
    </row>
    <row r="442" spans="2:16" ht="15" x14ac:dyDescent="0.2">
      <c r="B442" s="196">
        <v>435</v>
      </c>
      <c r="C442" s="195" t="s">
        <v>8189</v>
      </c>
      <c r="D442" s="195" t="s">
        <v>8177</v>
      </c>
      <c r="E442" s="196" t="s">
        <v>21</v>
      </c>
      <c r="F442" s="196" t="s">
        <v>17</v>
      </c>
      <c r="G442" s="196">
        <v>157</v>
      </c>
      <c r="H442" s="202">
        <v>25066</v>
      </c>
      <c r="I442" s="198">
        <v>1</v>
      </c>
      <c r="J442" s="196">
        <v>3</v>
      </c>
      <c r="K442" s="196"/>
      <c r="P442" s="201" t="str">
        <f t="shared" si="6"/>
        <v>|||||||</v>
      </c>
    </row>
    <row r="443" spans="2:16" ht="15" x14ac:dyDescent="0.2">
      <c r="B443" s="196">
        <v>436</v>
      </c>
      <c r="C443" s="195" t="s">
        <v>8190</v>
      </c>
      <c r="D443" s="195" t="s">
        <v>102</v>
      </c>
      <c r="E443" s="196" t="s">
        <v>17</v>
      </c>
      <c r="F443" s="196" t="s">
        <v>157</v>
      </c>
      <c r="G443" s="196">
        <v>187</v>
      </c>
      <c r="H443" s="202">
        <v>34019</v>
      </c>
      <c r="I443" s="198">
        <v>5</v>
      </c>
      <c r="J443" s="196">
        <v>1</v>
      </c>
      <c r="K443" s="196"/>
      <c r="P443" s="201" t="str">
        <f t="shared" si="6"/>
        <v>|||||||||||||||||||||||||||||||||||||</v>
      </c>
    </row>
    <row r="444" spans="2:16" ht="15" x14ac:dyDescent="0.2">
      <c r="B444" s="196">
        <v>437</v>
      </c>
      <c r="C444" s="195" t="s">
        <v>8191</v>
      </c>
      <c r="D444" s="195" t="s">
        <v>8137</v>
      </c>
      <c r="E444" s="196" t="s">
        <v>21</v>
      </c>
      <c r="F444" s="196" t="s">
        <v>17</v>
      </c>
      <c r="G444" s="196">
        <v>164</v>
      </c>
      <c r="H444" s="202">
        <v>31483</v>
      </c>
      <c r="I444" s="198">
        <v>3</v>
      </c>
      <c r="J444" s="196">
        <v>1</v>
      </c>
      <c r="K444" s="196"/>
      <c r="P444" s="201" t="str">
        <f t="shared" si="6"/>
        <v>||||||||||||||</v>
      </c>
    </row>
    <row r="445" spans="2:16" ht="15" x14ac:dyDescent="0.2">
      <c r="B445" s="196">
        <v>438</v>
      </c>
      <c r="C445" s="195" t="s">
        <v>8192</v>
      </c>
      <c r="D445" s="195" t="s">
        <v>7141</v>
      </c>
      <c r="E445" s="196" t="s">
        <v>17</v>
      </c>
      <c r="F445" s="196" t="s">
        <v>17</v>
      </c>
      <c r="G445" s="196">
        <v>178</v>
      </c>
      <c r="H445" s="202">
        <v>30040</v>
      </c>
      <c r="I445" s="198">
        <v>1</v>
      </c>
      <c r="J445" s="196">
        <v>2</v>
      </c>
      <c r="K445" s="196"/>
      <c r="P445" s="201" t="str">
        <f t="shared" si="6"/>
        <v>||||||||||||||||||||||||||||</v>
      </c>
    </row>
    <row r="446" spans="2:16" ht="15" x14ac:dyDescent="0.2">
      <c r="B446" s="196">
        <v>439</v>
      </c>
      <c r="C446" s="195" t="s">
        <v>8193</v>
      </c>
      <c r="D446" s="195" t="s">
        <v>6962</v>
      </c>
      <c r="E446" s="196" t="s">
        <v>21</v>
      </c>
      <c r="F446" s="196" t="s">
        <v>2677</v>
      </c>
      <c r="G446" s="196">
        <v>180</v>
      </c>
      <c r="H446" s="202">
        <v>24106</v>
      </c>
      <c r="I446" s="198">
        <v>4</v>
      </c>
      <c r="J446" s="196">
        <v>1</v>
      </c>
      <c r="K446" s="196"/>
      <c r="P446" s="201" t="str">
        <f t="shared" si="6"/>
        <v>||||||||||||||||||||||||||||||</v>
      </c>
    </row>
    <row r="447" spans="2:16" ht="15" x14ac:dyDescent="0.2">
      <c r="B447" s="196">
        <v>440</v>
      </c>
      <c r="C447" s="195" t="s">
        <v>296</v>
      </c>
      <c r="D447" s="195" t="s">
        <v>8135</v>
      </c>
      <c r="E447" s="196" t="s">
        <v>17</v>
      </c>
      <c r="F447" s="196" t="s">
        <v>157</v>
      </c>
      <c r="G447" s="196">
        <v>159</v>
      </c>
      <c r="H447" s="202">
        <v>27530</v>
      </c>
      <c r="I447" s="198">
        <v>5</v>
      </c>
      <c r="J447" s="196">
        <v>2</v>
      </c>
      <c r="K447" s="196"/>
      <c r="P447" s="201" t="str">
        <f t="shared" si="6"/>
        <v>|||||||||</v>
      </c>
    </row>
    <row r="448" spans="2:16" ht="15" x14ac:dyDescent="0.2">
      <c r="B448" s="196">
        <v>441</v>
      </c>
      <c r="C448" s="195" t="s">
        <v>8195</v>
      </c>
      <c r="D448" s="195" t="s">
        <v>8140</v>
      </c>
      <c r="E448" s="196" t="s">
        <v>17</v>
      </c>
      <c r="F448" s="196" t="s">
        <v>157</v>
      </c>
      <c r="G448" s="196">
        <v>167</v>
      </c>
      <c r="H448" s="202">
        <v>33012</v>
      </c>
      <c r="I448" s="198">
        <v>2</v>
      </c>
      <c r="J448" s="196">
        <v>2</v>
      </c>
      <c r="K448" s="196"/>
      <c r="P448" s="201" t="str">
        <f t="shared" si="6"/>
        <v>|||||||||||||||||</v>
      </c>
    </row>
    <row r="449" spans="2:16" ht="15" x14ac:dyDescent="0.2">
      <c r="B449" s="196">
        <v>442</v>
      </c>
      <c r="C449" s="195" t="s">
        <v>8136</v>
      </c>
      <c r="D449" s="195" t="s">
        <v>713</v>
      </c>
      <c r="E449" s="196" t="s">
        <v>17</v>
      </c>
      <c r="F449" s="196" t="s">
        <v>17</v>
      </c>
      <c r="G449" s="196">
        <v>164</v>
      </c>
      <c r="H449" s="202">
        <v>25212</v>
      </c>
      <c r="I449" s="198">
        <v>4</v>
      </c>
      <c r="J449" s="196">
        <v>3</v>
      </c>
      <c r="K449" s="196"/>
      <c r="P449" s="201" t="str">
        <f t="shared" si="6"/>
        <v>||||||||||||||</v>
      </c>
    </row>
    <row r="450" spans="2:16" ht="15" x14ac:dyDescent="0.2">
      <c r="B450" s="196">
        <v>443</v>
      </c>
      <c r="C450" s="195" t="s">
        <v>8138</v>
      </c>
      <c r="D450" s="195" t="s">
        <v>7141</v>
      </c>
      <c r="E450" s="196" t="s">
        <v>21</v>
      </c>
      <c r="F450" s="196" t="s">
        <v>157</v>
      </c>
      <c r="G450" s="196">
        <v>184</v>
      </c>
      <c r="H450" s="202">
        <v>31010</v>
      </c>
      <c r="I450" s="198">
        <v>4</v>
      </c>
      <c r="J450" s="196">
        <v>3</v>
      </c>
      <c r="K450" s="196"/>
      <c r="P450" s="201" t="str">
        <f t="shared" si="6"/>
        <v>||||||||||||||||||||||||||||||||||</v>
      </c>
    </row>
    <row r="451" spans="2:16" ht="15" x14ac:dyDescent="0.2">
      <c r="B451" s="196">
        <v>444</v>
      </c>
      <c r="C451" s="195" t="s">
        <v>8139</v>
      </c>
      <c r="D451" s="195" t="s">
        <v>8137</v>
      </c>
      <c r="E451" s="196" t="s">
        <v>17</v>
      </c>
      <c r="F451" s="196" t="s">
        <v>157</v>
      </c>
      <c r="G451" s="196">
        <v>186</v>
      </c>
      <c r="H451" s="202">
        <v>35699</v>
      </c>
      <c r="I451" s="198">
        <v>3</v>
      </c>
      <c r="J451" s="196">
        <v>2</v>
      </c>
      <c r="K451" s="196"/>
      <c r="P451" s="201" t="str">
        <f t="shared" si="6"/>
        <v>||||||||||||||||||||||||||||||||||||</v>
      </c>
    </row>
    <row r="452" spans="2:16" ht="15" x14ac:dyDescent="0.2">
      <c r="B452" s="196">
        <v>445</v>
      </c>
      <c r="C452" s="195" t="s">
        <v>8141</v>
      </c>
      <c r="D452" s="195" t="s">
        <v>6983</v>
      </c>
      <c r="E452" s="196" t="s">
        <v>21</v>
      </c>
      <c r="F452" s="196" t="s">
        <v>17</v>
      </c>
      <c r="G452" s="196">
        <v>159</v>
      </c>
      <c r="H452" s="202">
        <v>24893</v>
      </c>
      <c r="I452" s="198">
        <v>2</v>
      </c>
      <c r="J452" s="196">
        <v>1</v>
      </c>
      <c r="K452" s="196"/>
      <c r="P452" s="201" t="str">
        <f t="shared" si="6"/>
        <v>|||||||||</v>
      </c>
    </row>
    <row r="453" spans="2:16" ht="15" x14ac:dyDescent="0.2">
      <c r="B453" s="196">
        <v>446</v>
      </c>
      <c r="C453" s="195" t="s">
        <v>8142</v>
      </c>
      <c r="D453" s="195" t="s">
        <v>6962</v>
      </c>
      <c r="E453" s="196" t="s">
        <v>17</v>
      </c>
      <c r="F453" s="196" t="s">
        <v>157</v>
      </c>
      <c r="G453" s="196">
        <v>165</v>
      </c>
      <c r="H453" s="202">
        <v>24939</v>
      </c>
      <c r="I453" s="198">
        <v>3</v>
      </c>
      <c r="J453" s="196">
        <v>1</v>
      </c>
      <c r="K453" s="196"/>
      <c r="P453" s="201" t="str">
        <f t="shared" si="6"/>
        <v>|||||||||||||||</v>
      </c>
    </row>
    <row r="454" spans="2:16" ht="15" x14ac:dyDescent="0.2">
      <c r="B454" s="196">
        <v>447</v>
      </c>
      <c r="C454" s="195" t="s">
        <v>8143</v>
      </c>
      <c r="D454" s="195" t="s">
        <v>6944</v>
      </c>
      <c r="E454" s="196" t="s">
        <v>21</v>
      </c>
      <c r="F454" s="196" t="s">
        <v>17</v>
      </c>
      <c r="G454" s="196">
        <v>179</v>
      </c>
      <c r="H454" s="202">
        <v>29232</v>
      </c>
      <c r="I454" s="198">
        <v>4</v>
      </c>
      <c r="J454" s="196">
        <v>3</v>
      </c>
      <c r="K454" s="196"/>
      <c r="P454" s="201" t="str">
        <f t="shared" si="6"/>
        <v>|||||||||||||||||||||||||||||</v>
      </c>
    </row>
    <row r="455" spans="2:16" ht="15" x14ac:dyDescent="0.2">
      <c r="B455" s="196">
        <v>448</v>
      </c>
      <c r="C455" s="195" t="s">
        <v>8144</v>
      </c>
      <c r="D455" s="195" t="s">
        <v>8145</v>
      </c>
      <c r="E455" s="196" t="s">
        <v>17</v>
      </c>
      <c r="F455" s="196" t="s">
        <v>157</v>
      </c>
      <c r="G455" s="196">
        <v>195</v>
      </c>
      <c r="H455" s="202">
        <v>35264</v>
      </c>
      <c r="I455" s="198">
        <v>3</v>
      </c>
      <c r="J455" s="196">
        <v>3</v>
      </c>
      <c r="K455" s="196"/>
      <c r="P455" s="201" t="str">
        <f t="shared" si="6"/>
        <v>|||||||||||||||||||||||||||||||||||||||||||||</v>
      </c>
    </row>
    <row r="456" spans="2:16" ht="15" x14ac:dyDescent="0.2">
      <c r="B456" s="196">
        <v>449</v>
      </c>
      <c r="C456" s="195" t="s">
        <v>8146</v>
      </c>
      <c r="D456" s="195" t="s">
        <v>8147</v>
      </c>
      <c r="E456" s="196" t="s">
        <v>21</v>
      </c>
      <c r="F456" s="196" t="s">
        <v>157</v>
      </c>
      <c r="G456" s="196">
        <v>166</v>
      </c>
      <c r="H456" s="202">
        <v>24073</v>
      </c>
      <c r="I456" s="198">
        <v>1</v>
      </c>
      <c r="J456" s="196">
        <v>3</v>
      </c>
      <c r="K456" s="196"/>
      <c r="P456" s="201" t="str">
        <f t="shared" si="6"/>
        <v>||||||||||||||||</v>
      </c>
    </row>
    <row r="457" spans="2:16" ht="15" x14ac:dyDescent="0.2">
      <c r="B457" s="196">
        <v>450</v>
      </c>
      <c r="C457" s="195" t="s">
        <v>8148</v>
      </c>
      <c r="D457" s="195" t="s">
        <v>8149</v>
      </c>
      <c r="E457" s="196" t="s">
        <v>17</v>
      </c>
      <c r="F457" s="196" t="s">
        <v>157</v>
      </c>
      <c r="G457" s="196">
        <v>187</v>
      </c>
      <c r="H457" s="202">
        <v>25546</v>
      </c>
      <c r="I457" s="198">
        <v>4</v>
      </c>
      <c r="J457" s="196">
        <v>2</v>
      </c>
      <c r="K457" s="196"/>
      <c r="P457" s="201" t="str">
        <f t="shared" ref="P457:P491" si="7">REPT("|",G457-150)</f>
        <v>|||||||||||||||||||||||||||||||||||||</v>
      </c>
    </row>
    <row r="458" spans="2:16" ht="15" x14ac:dyDescent="0.2">
      <c r="B458" s="196">
        <v>451</v>
      </c>
      <c r="C458" s="195" t="s">
        <v>8150</v>
      </c>
      <c r="D458" s="195" t="s">
        <v>8151</v>
      </c>
      <c r="E458" s="196" t="s">
        <v>21</v>
      </c>
      <c r="F458" s="196" t="s">
        <v>157</v>
      </c>
      <c r="G458" s="196">
        <v>167</v>
      </c>
      <c r="H458" s="202">
        <v>28597</v>
      </c>
      <c r="I458" s="198">
        <v>3</v>
      </c>
      <c r="J458" s="196">
        <v>1</v>
      </c>
      <c r="K458" s="196"/>
      <c r="P458" s="201" t="str">
        <f t="shared" si="7"/>
        <v>|||||||||||||||||</v>
      </c>
    </row>
    <row r="459" spans="2:16" ht="15" x14ac:dyDescent="0.2">
      <c r="B459" s="196">
        <v>452</v>
      </c>
      <c r="C459" s="195" t="s">
        <v>8152</v>
      </c>
      <c r="D459" s="195" t="s">
        <v>8153</v>
      </c>
      <c r="E459" s="196" t="s">
        <v>17</v>
      </c>
      <c r="F459" s="196" t="s">
        <v>157</v>
      </c>
      <c r="G459" s="196">
        <v>183</v>
      </c>
      <c r="H459" s="202">
        <v>31548</v>
      </c>
      <c r="I459" s="198">
        <v>1</v>
      </c>
      <c r="J459" s="196">
        <v>1</v>
      </c>
      <c r="K459" s="196"/>
      <c r="P459" s="201" t="str">
        <f t="shared" si="7"/>
        <v>|||||||||||||||||||||||||||||||||</v>
      </c>
    </row>
    <row r="460" spans="2:16" ht="15" x14ac:dyDescent="0.2">
      <c r="B460" s="196">
        <v>453</v>
      </c>
      <c r="C460" s="195" t="s">
        <v>8154</v>
      </c>
      <c r="D460" s="195" t="s">
        <v>8155</v>
      </c>
      <c r="E460" s="196" t="s">
        <v>21</v>
      </c>
      <c r="F460" s="196" t="s">
        <v>157</v>
      </c>
      <c r="G460" s="196">
        <v>162</v>
      </c>
      <c r="H460" s="202">
        <v>32708</v>
      </c>
      <c r="I460" s="198">
        <v>5</v>
      </c>
      <c r="J460" s="196">
        <v>3</v>
      </c>
      <c r="K460" s="196"/>
      <c r="P460" s="201" t="str">
        <f t="shared" si="7"/>
        <v>||||||||||||</v>
      </c>
    </row>
    <row r="461" spans="2:16" ht="15" x14ac:dyDescent="0.2">
      <c r="B461" s="196">
        <v>454</v>
      </c>
      <c r="C461" s="195" t="s">
        <v>8156</v>
      </c>
      <c r="D461" s="195" t="s">
        <v>8157</v>
      </c>
      <c r="E461" s="196" t="s">
        <v>17</v>
      </c>
      <c r="F461" s="196" t="s">
        <v>157</v>
      </c>
      <c r="G461" s="196">
        <v>186</v>
      </c>
      <c r="H461" s="202">
        <v>24791</v>
      </c>
      <c r="I461" s="198">
        <v>5</v>
      </c>
      <c r="J461" s="196">
        <v>3</v>
      </c>
      <c r="K461" s="196"/>
      <c r="P461" s="201" t="str">
        <f t="shared" si="7"/>
        <v>||||||||||||||||||||||||||||||||||||</v>
      </c>
    </row>
    <row r="462" spans="2:16" ht="15" x14ac:dyDescent="0.2">
      <c r="B462" s="196">
        <v>455</v>
      </c>
      <c r="C462" s="195" t="s">
        <v>1508</v>
      </c>
      <c r="D462" s="195" t="s">
        <v>8158</v>
      </c>
      <c r="E462" s="196" t="s">
        <v>21</v>
      </c>
      <c r="F462" s="196" t="s">
        <v>157</v>
      </c>
      <c r="G462" s="196">
        <v>169</v>
      </c>
      <c r="H462" s="202">
        <v>29200</v>
      </c>
      <c r="I462" s="198">
        <v>2</v>
      </c>
      <c r="J462" s="196">
        <v>3</v>
      </c>
      <c r="K462" s="196"/>
      <c r="P462" s="201" t="str">
        <f t="shared" si="7"/>
        <v>|||||||||||||||||||</v>
      </c>
    </row>
    <row r="463" spans="2:16" ht="15" x14ac:dyDescent="0.2">
      <c r="B463" s="196">
        <v>456</v>
      </c>
      <c r="C463" s="195" t="s">
        <v>8159</v>
      </c>
      <c r="D463" s="195" t="s">
        <v>107</v>
      </c>
      <c r="E463" s="196" t="s">
        <v>17</v>
      </c>
      <c r="F463" s="196" t="s">
        <v>17</v>
      </c>
      <c r="G463" s="196">
        <v>183</v>
      </c>
      <c r="H463" s="202">
        <v>32194</v>
      </c>
      <c r="I463" s="198">
        <v>2</v>
      </c>
      <c r="J463" s="196">
        <v>1</v>
      </c>
      <c r="K463" s="196"/>
      <c r="P463" s="201" t="str">
        <f t="shared" si="7"/>
        <v>|||||||||||||||||||||||||||||||||</v>
      </c>
    </row>
    <row r="464" spans="2:16" ht="15" x14ac:dyDescent="0.2">
      <c r="B464" s="196">
        <v>457</v>
      </c>
      <c r="C464" s="195" t="s">
        <v>8160</v>
      </c>
      <c r="D464" s="195" t="s">
        <v>8161</v>
      </c>
      <c r="E464" s="196" t="s">
        <v>2705</v>
      </c>
      <c r="F464" s="196" t="s">
        <v>157</v>
      </c>
      <c r="G464" s="196">
        <v>181</v>
      </c>
      <c r="H464" s="202">
        <v>29771</v>
      </c>
      <c r="I464" s="198">
        <v>1</v>
      </c>
      <c r="J464" s="196">
        <v>2</v>
      </c>
      <c r="K464" s="196"/>
      <c r="P464" s="201" t="str">
        <f t="shared" si="7"/>
        <v>|||||||||||||||||||||||||||||||</v>
      </c>
    </row>
    <row r="465" spans="2:16" ht="15" x14ac:dyDescent="0.2">
      <c r="B465" s="196">
        <v>458</v>
      </c>
      <c r="C465" s="195" t="s">
        <v>6966</v>
      </c>
      <c r="D465" s="195" t="s">
        <v>8162</v>
      </c>
      <c r="E465" s="196" t="s">
        <v>17</v>
      </c>
      <c r="F465" s="196" t="s">
        <v>17</v>
      </c>
      <c r="G465" s="196">
        <v>161</v>
      </c>
      <c r="H465" s="202">
        <v>29847</v>
      </c>
      <c r="I465" s="198">
        <v>3</v>
      </c>
      <c r="J465" s="196">
        <v>2</v>
      </c>
      <c r="K465" s="196"/>
      <c r="P465" s="201" t="str">
        <f t="shared" si="7"/>
        <v>|||||||||||</v>
      </c>
    </row>
    <row r="466" spans="2:16" ht="15" x14ac:dyDescent="0.2">
      <c r="B466" s="196">
        <v>459</v>
      </c>
      <c r="C466" s="195" t="s">
        <v>8163</v>
      </c>
      <c r="D466" s="195" t="s">
        <v>6954</v>
      </c>
      <c r="E466" s="196" t="s">
        <v>21</v>
      </c>
      <c r="F466" s="196" t="s">
        <v>157</v>
      </c>
      <c r="G466" s="196">
        <v>173</v>
      </c>
      <c r="H466" s="202">
        <v>31801</v>
      </c>
      <c r="I466" s="198">
        <v>4</v>
      </c>
      <c r="J466" s="196">
        <v>3</v>
      </c>
      <c r="K466" s="196"/>
      <c r="P466" s="201" t="str">
        <f t="shared" si="7"/>
        <v>|||||||||||||||||||||||</v>
      </c>
    </row>
    <row r="467" spans="2:16" ht="15" x14ac:dyDescent="0.2">
      <c r="B467" s="196">
        <v>460</v>
      </c>
      <c r="C467" s="195" t="s">
        <v>8164</v>
      </c>
      <c r="D467" s="195" t="s">
        <v>8165</v>
      </c>
      <c r="E467" s="196" t="s">
        <v>17</v>
      </c>
      <c r="F467" s="196" t="s">
        <v>157</v>
      </c>
      <c r="G467" s="196">
        <v>168</v>
      </c>
      <c r="H467" s="202">
        <v>29652</v>
      </c>
      <c r="I467" s="198">
        <v>2</v>
      </c>
      <c r="J467" s="196">
        <v>2</v>
      </c>
      <c r="K467" s="196"/>
      <c r="P467" s="201" t="str">
        <f t="shared" si="7"/>
        <v>||||||||||||||||||</v>
      </c>
    </row>
    <row r="468" spans="2:16" ht="15" x14ac:dyDescent="0.2">
      <c r="B468" s="196">
        <v>461</v>
      </c>
      <c r="C468" s="195" t="s">
        <v>8166</v>
      </c>
      <c r="D468" s="195" t="s">
        <v>56</v>
      </c>
      <c r="E468" s="196" t="s">
        <v>21</v>
      </c>
      <c r="F468" s="196" t="s">
        <v>17</v>
      </c>
      <c r="G468" s="196">
        <v>172</v>
      </c>
      <c r="H468" s="202">
        <v>33570</v>
      </c>
      <c r="I468" s="198">
        <v>5</v>
      </c>
      <c r="J468" s="196">
        <v>2</v>
      </c>
      <c r="K468" s="196"/>
      <c r="P468" s="201" t="str">
        <f t="shared" si="7"/>
        <v>||||||||||||||||||||||</v>
      </c>
    </row>
    <row r="469" spans="2:16" ht="15" x14ac:dyDescent="0.2">
      <c r="B469" s="196">
        <v>462</v>
      </c>
      <c r="C469" s="195" t="s">
        <v>8167</v>
      </c>
      <c r="D469" s="195" t="s">
        <v>8168</v>
      </c>
      <c r="E469" s="196" t="s">
        <v>17</v>
      </c>
      <c r="F469" s="196" t="s">
        <v>157</v>
      </c>
      <c r="G469" s="196">
        <v>171</v>
      </c>
      <c r="H469" s="202">
        <v>35538</v>
      </c>
      <c r="I469" s="198">
        <v>1</v>
      </c>
      <c r="J469" s="196">
        <v>2</v>
      </c>
      <c r="K469" s="196"/>
      <c r="P469" s="201" t="str">
        <f t="shared" si="7"/>
        <v>|||||||||||||||||||||</v>
      </c>
    </row>
    <row r="470" spans="2:16" ht="15" x14ac:dyDescent="0.2">
      <c r="B470" s="196">
        <v>463</v>
      </c>
      <c r="C470" s="195" t="s">
        <v>269</v>
      </c>
      <c r="D470" s="195" t="s">
        <v>8169</v>
      </c>
      <c r="E470" s="196" t="s">
        <v>21</v>
      </c>
      <c r="F470" s="196" t="s">
        <v>157</v>
      </c>
      <c r="G470" s="196">
        <v>162</v>
      </c>
      <c r="H470" s="202">
        <v>28870</v>
      </c>
      <c r="I470" s="198">
        <v>1</v>
      </c>
      <c r="J470" s="196">
        <v>2</v>
      </c>
      <c r="K470" s="196"/>
      <c r="P470" s="201" t="str">
        <f t="shared" si="7"/>
        <v>||||||||||||</v>
      </c>
    </row>
    <row r="471" spans="2:16" ht="15" x14ac:dyDescent="0.2">
      <c r="B471" s="196">
        <v>464</v>
      </c>
      <c r="C471" s="195" t="s">
        <v>8170</v>
      </c>
      <c r="D471" s="195" t="s">
        <v>6914</v>
      </c>
      <c r="E471" s="196" t="s">
        <v>17</v>
      </c>
      <c r="F471" s="196" t="s">
        <v>17</v>
      </c>
      <c r="G471" s="196">
        <v>155</v>
      </c>
      <c r="H471" s="202">
        <v>31680</v>
      </c>
      <c r="I471" s="198">
        <v>5</v>
      </c>
      <c r="J471" s="196">
        <v>3</v>
      </c>
      <c r="K471" s="196"/>
      <c r="P471" s="201" t="str">
        <f t="shared" si="7"/>
        <v>|||||</v>
      </c>
    </row>
    <row r="472" spans="2:16" ht="15" x14ac:dyDescent="0.2">
      <c r="B472" s="196">
        <v>465</v>
      </c>
      <c r="C472" s="195" t="s">
        <v>231</v>
      </c>
      <c r="D472" s="195" t="s">
        <v>8171</v>
      </c>
      <c r="E472" s="196" t="s">
        <v>21</v>
      </c>
      <c r="F472" s="196" t="s">
        <v>157</v>
      </c>
      <c r="G472" s="196">
        <v>174</v>
      </c>
      <c r="H472" s="202">
        <v>25155</v>
      </c>
      <c r="I472" s="198">
        <v>2</v>
      </c>
      <c r="J472" s="196">
        <v>1</v>
      </c>
      <c r="K472" s="196"/>
      <c r="P472" s="201" t="str">
        <f t="shared" si="7"/>
        <v>||||||||||||||||||||||||</v>
      </c>
    </row>
    <row r="473" spans="2:16" ht="15" x14ac:dyDescent="0.2">
      <c r="B473" s="196">
        <v>466</v>
      </c>
      <c r="C473" s="195" t="s">
        <v>8172</v>
      </c>
      <c r="D473" s="195" t="s">
        <v>8173</v>
      </c>
      <c r="E473" s="196" t="s">
        <v>17</v>
      </c>
      <c r="F473" s="196" t="s">
        <v>157</v>
      </c>
      <c r="G473" s="196">
        <v>155</v>
      </c>
      <c r="H473" s="202">
        <v>24954</v>
      </c>
      <c r="I473" s="198">
        <v>3</v>
      </c>
      <c r="J473" s="196">
        <v>2</v>
      </c>
      <c r="K473" s="196"/>
      <c r="P473" s="201" t="str">
        <f t="shared" si="7"/>
        <v>|||||</v>
      </c>
    </row>
    <row r="474" spans="2:16" ht="15" x14ac:dyDescent="0.2">
      <c r="B474" s="196">
        <v>467</v>
      </c>
      <c r="C474" s="195" t="s">
        <v>8174</v>
      </c>
      <c r="D474" s="195" t="s">
        <v>8175</v>
      </c>
      <c r="E474" s="196" t="s">
        <v>21</v>
      </c>
      <c r="F474" s="196" t="s">
        <v>17</v>
      </c>
      <c r="G474" s="196">
        <v>185</v>
      </c>
      <c r="H474" s="202">
        <v>30520</v>
      </c>
      <c r="I474" s="198">
        <v>1</v>
      </c>
      <c r="J474" s="196">
        <v>1</v>
      </c>
      <c r="K474" s="196"/>
      <c r="P474" s="201" t="str">
        <f t="shared" si="7"/>
        <v>|||||||||||||||||||||||||||||||||||</v>
      </c>
    </row>
    <row r="475" spans="2:16" ht="15" x14ac:dyDescent="0.2">
      <c r="B475" s="196">
        <v>468</v>
      </c>
      <c r="C475" s="195" t="s">
        <v>8176</v>
      </c>
      <c r="D475" s="195" t="s">
        <v>8177</v>
      </c>
      <c r="E475" s="196" t="s">
        <v>17</v>
      </c>
      <c r="F475" s="196" t="s">
        <v>17</v>
      </c>
      <c r="G475" s="196">
        <v>172</v>
      </c>
      <c r="H475" s="202">
        <v>35872</v>
      </c>
      <c r="I475" s="198">
        <v>4</v>
      </c>
      <c r="J475" s="196">
        <v>1</v>
      </c>
      <c r="K475" s="196"/>
      <c r="P475" s="201" t="str">
        <f t="shared" si="7"/>
        <v>||||||||||||||||||||||</v>
      </c>
    </row>
    <row r="476" spans="2:16" ht="15" x14ac:dyDescent="0.2">
      <c r="B476" s="196">
        <v>469</v>
      </c>
      <c r="C476" s="195" t="s">
        <v>8178</v>
      </c>
      <c r="D476" s="195" t="s">
        <v>8155</v>
      </c>
      <c r="E476" s="196" t="s">
        <v>21</v>
      </c>
      <c r="F476" s="196" t="s">
        <v>157</v>
      </c>
      <c r="G476" s="196">
        <v>189</v>
      </c>
      <c r="H476" s="202">
        <v>34104</v>
      </c>
      <c r="I476" s="198">
        <v>2</v>
      </c>
      <c r="J476" s="196">
        <v>3</v>
      </c>
      <c r="K476" s="196"/>
      <c r="P476" s="201" t="str">
        <f t="shared" si="7"/>
        <v>|||||||||||||||||||||||||||||||||||||||</v>
      </c>
    </row>
    <row r="477" spans="2:16" ht="15" x14ac:dyDescent="0.2">
      <c r="B477" s="196">
        <v>470</v>
      </c>
      <c r="C477" s="195" t="s">
        <v>8179</v>
      </c>
      <c r="D477" s="195" t="s">
        <v>102</v>
      </c>
      <c r="E477" s="196" t="s">
        <v>17</v>
      </c>
      <c r="F477" s="196" t="s">
        <v>17</v>
      </c>
      <c r="G477" s="196">
        <v>186</v>
      </c>
      <c r="H477" s="202">
        <v>31097</v>
      </c>
      <c r="I477" s="198">
        <v>4</v>
      </c>
      <c r="J477" s="196">
        <v>1</v>
      </c>
      <c r="K477" s="196"/>
      <c r="P477" s="201" t="str">
        <f t="shared" si="7"/>
        <v>||||||||||||||||||||||||||||||||||||</v>
      </c>
    </row>
    <row r="478" spans="2:16" ht="15" x14ac:dyDescent="0.2">
      <c r="B478" s="196">
        <v>471</v>
      </c>
      <c r="C478" s="195" t="s">
        <v>91</v>
      </c>
      <c r="D478" s="195" t="s">
        <v>6944</v>
      </c>
      <c r="E478" s="196" t="s">
        <v>21</v>
      </c>
      <c r="F478" s="196" t="s">
        <v>17</v>
      </c>
      <c r="G478" s="196">
        <v>191</v>
      </c>
      <c r="H478" s="202">
        <v>27221</v>
      </c>
      <c r="I478" s="198">
        <v>1</v>
      </c>
      <c r="J478" s="196">
        <v>3</v>
      </c>
      <c r="K478" s="196"/>
      <c r="P478" s="201" t="str">
        <f t="shared" si="7"/>
        <v>|||||||||||||||||||||||||||||||||||||||||</v>
      </c>
    </row>
    <row r="479" spans="2:16" ht="15" x14ac:dyDescent="0.2">
      <c r="B479" s="196">
        <v>472</v>
      </c>
      <c r="C479" s="195" t="s">
        <v>8180</v>
      </c>
      <c r="D479" s="195" t="s">
        <v>713</v>
      </c>
      <c r="E479" s="196" t="s">
        <v>17</v>
      </c>
      <c r="F479" s="196" t="s">
        <v>157</v>
      </c>
      <c r="G479" s="196">
        <v>184</v>
      </c>
      <c r="H479" s="202">
        <v>24832</v>
      </c>
      <c r="I479" s="198">
        <v>5</v>
      </c>
      <c r="J479" s="196">
        <v>2</v>
      </c>
      <c r="K479" s="196"/>
      <c r="P479" s="201" t="str">
        <f t="shared" si="7"/>
        <v>||||||||||||||||||||||||||||||||||</v>
      </c>
    </row>
    <row r="480" spans="2:16" ht="15" x14ac:dyDescent="0.2">
      <c r="B480" s="196">
        <v>473</v>
      </c>
      <c r="C480" s="195" t="s">
        <v>8181</v>
      </c>
      <c r="D480" s="195" t="s">
        <v>8137</v>
      </c>
      <c r="E480" s="196" t="s">
        <v>21</v>
      </c>
      <c r="F480" s="196" t="s">
        <v>157</v>
      </c>
      <c r="G480" s="196">
        <v>171</v>
      </c>
      <c r="H480" s="202">
        <v>24670</v>
      </c>
      <c r="I480" s="198">
        <v>2</v>
      </c>
      <c r="J480" s="196">
        <v>2</v>
      </c>
      <c r="K480" s="196"/>
      <c r="P480" s="201" t="str">
        <f t="shared" si="7"/>
        <v>|||||||||||||||||||||</v>
      </c>
    </row>
    <row r="481" spans="2:16" ht="15" x14ac:dyDescent="0.2">
      <c r="B481" s="196">
        <v>474</v>
      </c>
      <c r="C481" s="195" t="s">
        <v>8182</v>
      </c>
      <c r="D481" s="195" t="s">
        <v>7141</v>
      </c>
      <c r="E481" s="196" t="s">
        <v>17</v>
      </c>
      <c r="F481" s="196" t="s">
        <v>17</v>
      </c>
      <c r="G481" s="196">
        <v>171</v>
      </c>
      <c r="H481" s="202">
        <v>31916</v>
      </c>
      <c r="I481" s="198">
        <v>1</v>
      </c>
      <c r="J481" s="196">
        <v>3</v>
      </c>
      <c r="K481" s="196"/>
      <c r="P481" s="201" t="str">
        <f t="shared" si="7"/>
        <v>|||||||||||||||||||||</v>
      </c>
    </row>
    <row r="482" spans="2:16" ht="15" x14ac:dyDescent="0.2">
      <c r="B482" s="196">
        <v>475</v>
      </c>
      <c r="C482" s="195" t="s">
        <v>8183</v>
      </c>
      <c r="D482" s="195" t="s">
        <v>6962</v>
      </c>
      <c r="E482" s="196" t="s">
        <v>21</v>
      </c>
      <c r="F482" s="196" t="s">
        <v>17</v>
      </c>
      <c r="G482" s="196">
        <v>188</v>
      </c>
      <c r="H482" s="202">
        <v>26066</v>
      </c>
      <c r="I482" s="198">
        <v>5</v>
      </c>
      <c r="J482" s="196">
        <v>1</v>
      </c>
      <c r="K482" s="196"/>
      <c r="P482" s="201" t="str">
        <f t="shared" si="7"/>
        <v>||||||||||||||||||||||||||||||||||||||</v>
      </c>
    </row>
    <row r="483" spans="2:16" ht="15" x14ac:dyDescent="0.2">
      <c r="B483" s="196">
        <v>476</v>
      </c>
      <c r="C483" s="195" t="s">
        <v>8184</v>
      </c>
      <c r="D483" s="195" t="s">
        <v>8135</v>
      </c>
      <c r="E483" s="196" t="s">
        <v>17</v>
      </c>
      <c r="F483" s="196" t="s">
        <v>17</v>
      </c>
      <c r="G483" s="196">
        <v>161</v>
      </c>
      <c r="H483" s="202">
        <v>25236</v>
      </c>
      <c r="I483" s="198">
        <v>5</v>
      </c>
      <c r="J483" s="196">
        <v>1</v>
      </c>
      <c r="K483" s="196"/>
      <c r="P483" s="201" t="str">
        <f t="shared" si="7"/>
        <v>|||||||||||</v>
      </c>
    </row>
    <row r="484" spans="2:16" ht="15" x14ac:dyDescent="0.2">
      <c r="B484" s="196">
        <v>477</v>
      </c>
      <c r="C484" s="195" t="s">
        <v>8185</v>
      </c>
      <c r="D484" s="195" t="s">
        <v>8140</v>
      </c>
      <c r="E484" s="196" t="s">
        <v>21</v>
      </c>
      <c r="F484" s="196" t="s">
        <v>157</v>
      </c>
      <c r="G484" s="196">
        <v>156</v>
      </c>
      <c r="H484" s="202">
        <v>31148</v>
      </c>
      <c r="I484" s="198">
        <v>5</v>
      </c>
      <c r="J484" s="196">
        <v>1</v>
      </c>
      <c r="K484" s="196"/>
      <c r="P484" s="201" t="str">
        <f t="shared" si="7"/>
        <v>||||||</v>
      </c>
    </row>
    <row r="485" spans="2:16" ht="15" x14ac:dyDescent="0.2">
      <c r="B485" s="196">
        <v>478</v>
      </c>
      <c r="C485" s="195" t="s">
        <v>8186</v>
      </c>
      <c r="D485" s="195" t="s">
        <v>6983</v>
      </c>
      <c r="E485" s="196" t="s">
        <v>17</v>
      </c>
      <c r="F485" s="196" t="s">
        <v>17</v>
      </c>
      <c r="G485" s="196">
        <v>187</v>
      </c>
      <c r="H485" s="202">
        <v>25204</v>
      </c>
      <c r="I485" s="198">
        <v>5</v>
      </c>
      <c r="J485" s="196">
        <v>2</v>
      </c>
      <c r="K485" s="196"/>
      <c r="P485" s="201" t="str">
        <f t="shared" si="7"/>
        <v>|||||||||||||||||||||||||||||||||||||</v>
      </c>
    </row>
    <row r="486" spans="2:16" ht="15" x14ac:dyDescent="0.2">
      <c r="B486" s="196">
        <v>479</v>
      </c>
      <c r="C486" s="195" t="s">
        <v>8187</v>
      </c>
      <c r="D486" s="195" t="s">
        <v>8145</v>
      </c>
      <c r="E486" s="196" t="s">
        <v>21</v>
      </c>
      <c r="F486" s="196" t="s">
        <v>157</v>
      </c>
      <c r="G486" s="196">
        <v>194</v>
      </c>
      <c r="H486" s="202">
        <v>35846</v>
      </c>
      <c r="I486" s="198">
        <v>2</v>
      </c>
      <c r="J486" s="196">
        <v>3</v>
      </c>
      <c r="K486" s="196"/>
      <c r="P486" s="201" t="str">
        <f t="shared" si="7"/>
        <v>||||||||||||||||||||||||||||||||||||||||||||</v>
      </c>
    </row>
    <row r="487" spans="2:16" ht="15" x14ac:dyDescent="0.2">
      <c r="B487" s="196">
        <v>480</v>
      </c>
      <c r="C487" s="195" t="s">
        <v>8188</v>
      </c>
      <c r="D487" s="195" t="s">
        <v>8149</v>
      </c>
      <c r="E487" s="196" t="s">
        <v>17</v>
      </c>
      <c r="F487" s="196" t="s">
        <v>17</v>
      </c>
      <c r="G487" s="196">
        <v>192</v>
      </c>
      <c r="H487" s="202">
        <v>34616</v>
      </c>
      <c r="I487" s="198">
        <v>5</v>
      </c>
      <c r="J487" s="196">
        <v>2</v>
      </c>
      <c r="K487" s="196"/>
      <c r="P487" s="201" t="str">
        <f t="shared" si="7"/>
        <v>||||||||||||||||||||||||||||||||||||||||||</v>
      </c>
    </row>
    <row r="488" spans="2:16" ht="15" x14ac:dyDescent="0.2">
      <c r="B488" s="196">
        <v>481</v>
      </c>
      <c r="C488" s="195" t="s">
        <v>8189</v>
      </c>
      <c r="D488" s="195" t="s">
        <v>8153</v>
      </c>
      <c r="E488" s="196" t="s">
        <v>21</v>
      </c>
      <c r="F488" s="196" t="s">
        <v>157</v>
      </c>
      <c r="G488" s="196">
        <v>183</v>
      </c>
      <c r="H488" s="202">
        <v>32964</v>
      </c>
      <c r="I488" s="198">
        <v>1</v>
      </c>
      <c r="J488" s="196">
        <v>2</v>
      </c>
      <c r="K488" s="196"/>
      <c r="P488" s="201" t="str">
        <f t="shared" si="7"/>
        <v>|||||||||||||||||||||||||||||||||</v>
      </c>
    </row>
    <row r="489" spans="2:16" ht="15" x14ac:dyDescent="0.2">
      <c r="B489" s="196">
        <v>482</v>
      </c>
      <c r="C489" s="195" t="s">
        <v>8190</v>
      </c>
      <c r="D489" s="195" t="s">
        <v>8155</v>
      </c>
      <c r="E489" s="196" t="s">
        <v>17</v>
      </c>
      <c r="F489" s="196" t="s">
        <v>17</v>
      </c>
      <c r="G489" s="196">
        <v>189</v>
      </c>
      <c r="H489" s="202">
        <v>29188</v>
      </c>
      <c r="I489" s="198">
        <v>4</v>
      </c>
      <c r="J489" s="196">
        <v>1</v>
      </c>
      <c r="K489" s="196"/>
      <c r="P489" s="201" t="str">
        <f t="shared" si="7"/>
        <v>|||||||||||||||||||||||||||||||||||||||</v>
      </c>
    </row>
    <row r="490" spans="2:16" ht="15" x14ac:dyDescent="0.2">
      <c r="B490" s="196">
        <v>483</v>
      </c>
      <c r="C490" s="195" t="s">
        <v>8191</v>
      </c>
      <c r="D490" s="195" t="s">
        <v>8157</v>
      </c>
      <c r="E490" s="196" t="s">
        <v>21</v>
      </c>
      <c r="F490" s="196" t="s">
        <v>17</v>
      </c>
      <c r="G490" s="196">
        <v>155</v>
      </c>
      <c r="H490" s="202">
        <v>32460</v>
      </c>
      <c r="I490" s="198">
        <v>1</v>
      </c>
      <c r="J490" s="196">
        <v>3</v>
      </c>
      <c r="K490" s="196"/>
      <c r="P490" s="201" t="str">
        <f t="shared" si="7"/>
        <v>|||||</v>
      </c>
    </row>
    <row r="491" spans="2:16" ht="15" x14ac:dyDescent="0.2">
      <c r="B491" s="196">
        <v>484</v>
      </c>
      <c r="C491" s="195" t="s">
        <v>8192</v>
      </c>
      <c r="D491" s="195" t="s">
        <v>8158</v>
      </c>
      <c r="E491" s="196" t="s">
        <v>17</v>
      </c>
      <c r="F491" s="196" t="s">
        <v>17</v>
      </c>
      <c r="G491" s="196">
        <v>185</v>
      </c>
      <c r="H491" s="202">
        <v>30358</v>
      </c>
      <c r="I491" s="198">
        <v>3</v>
      </c>
      <c r="J491" s="196">
        <v>1</v>
      </c>
      <c r="K491" s="196"/>
      <c r="P491" s="201" t="str">
        <f t="shared" si="7"/>
        <v>|||||||||||||||||||||||||||||||||||</v>
      </c>
    </row>
  </sheetData>
  <sortState xmlns:xlrd2="http://schemas.microsoft.com/office/spreadsheetml/2017/richdata2" ref="C8:K491">
    <sortCondition ref="D11"/>
  </sortState>
  <mergeCells count="3">
    <mergeCell ref="M7:N7"/>
    <mergeCell ref="P7:Q7"/>
    <mergeCell ref="M13:N13"/>
  </mergeCells>
  <printOptions horizontalCentered="1"/>
  <pageMargins left="0.25" right="0.25" top="0.75" bottom="0.75" header="0.3" footer="0.3"/>
  <pageSetup paperSize="9" scale="64" orientation="portrait" horizontalDpi="300" verticalDpi="300" r:id="rId1"/>
  <headerFooter alignWithMargins="0">
    <oddHeader>&amp;F</oddHeader>
    <oddFooter>Page &amp;P of &amp;N</oddFooter>
  </headerFooter>
  <colBreaks count="1" manualBreakCount="1">
    <brk id="13"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14443-A333-46D1-8657-29001E42B5B5}">
  <dimension ref="A1:R54"/>
  <sheetViews>
    <sheetView workbookViewId="0"/>
  </sheetViews>
  <sheetFormatPr defaultColWidth="9" defaultRowHeight="18" x14ac:dyDescent="0.25"/>
  <cols>
    <col min="1" max="1" width="20.5" style="383" customWidth="1"/>
    <col min="2" max="2" width="9" style="383"/>
    <col min="3" max="3" width="13.625" style="383" customWidth="1"/>
    <col min="4" max="4" width="20.375" style="383" bestFit="1" customWidth="1"/>
    <col min="5" max="5" width="9" style="383"/>
    <col min="6" max="6" width="12.75" style="383" customWidth="1"/>
    <col min="7" max="9" width="9" style="383"/>
    <col min="10" max="10" width="18.875" style="383" customWidth="1"/>
    <col min="11" max="12" width="18.375" style="383" bestFit="1" customWidth="1"/>
    <col min="13" max="13" width="9" style="383"/>
    <col min="14" max="14" width="7.25" style="383" bestFit="1" customWidth="1"/>
    <col min="15" max="16" width="9" style="383"/>
    <col min="17" max="17" width="13.75" style="383" bestFit="1" customWidth="1"/>
    <col min="18" max="16384" width="9" style="383"/>
  </cols>
  <sheetData>
    <row r="1" spans="1:18" x14ac:dyDescent="0.25">
      <c r="A1" s="389"/>
    </row>
    <row r="2" spans="1:18" x14ac:dyDescent="0.25">
      <c r="C2" s="390" t="s">
        <v>8798</v>
      </c>
    </row>
    <row r="5" spans="1:18" ht="18.75" thickBot="1" x14ac:dyDescent="0.3">
      <c r="B5" s="387" t="s">
        <v>6814</v>
      </c>
      <c r="C5" s="387" t="s">
        <v>2396</v>
      </c>
      <c r="D5" s="387" t="s">
        <v>8639</v>
      </c>
      <c r="E5" s="387" t="s">
        <v>8789</v>
      </c>
      <c r="F5" s="387" t="s">
        <v>8790</v>
      </c>
      <c r="G5" s="387" t="s">
        <v>2437</v>
      </c>
      <c r="J5" s="383" t="s">
        <v>8802</v>
      </c>
      <c r="Q5" s="360" t="s">
        <v>8799</v>
      </c>
      <c r="R5" s="360"/>
    </row>
    <row r="6" spans="1:18" x14ac:dyDescent="0.25">
      <c r="B6" s="384">
        <v>19775</v>
      </c>
      <c r="C6" s="385">
        <v>44207</v>
      </c>
      <c r="D6" s="385" t="s">
        <v>8674</v>
      </c>
      <c r="E6" s="385" t="s">
        <v>6955</v>
      </c>
      <c r="F6" s="384">
        <v>39</v>
      </c>
      <c r="G6" s="386">
        <v>59.06</v>
      </c>
      <c r="K6" s="396" t="s">
        <v>8639</v>
      </c>
      <c r="L6" s="396" t="s">
        <v>8789</v>
      </c>
      <c r="M6" s="397" t="s">
        <v>2437</v>
      </c>
      <c r="Q6" s="399" t="str" cm="1">
        <f t="array" ref="Q6:Q12">_xlfn._xlws.SORT(_xlfn.UNIQUE($D$6:$D$54))</f>
        <v>Beer</v>
      </c>
      <c r="R6" s="399" t="str" cm="1">
        <f t="array" ref="R6:R9">_xlfn._xlws.SORT(_xlfn.UNIQUE($E$6:$E$54))</f>
        <v>East</v>
      </c>
    </row>
    <row r="7" spans="1:18" x14ac:dyDescent="0.25">
      <c r="B7" s="384">
        <v>19776</v>
      </c>
      <c r="C7" s="385">
        <v>44208</v>
      </c>
      <c r="D7" s="385" t="s">
        <v>8791</v>
      </c>
      <c r="E7" s="385" t="s">
        <v>6989</v>
      </c>
      <c r="F7" s="384">
        <v>16</v>
      </c>
      <c r="G7" s="386">
        <v>424.8</v>
      </c>
      <c r="J7" s="394" t="s">
        <v>8806</v>
      </c>
      <c r="K7" s="40" t="s">
        <v>8791</v>
      </c>
      <c r="L7" s="40" t="s">
        <v>6955</v>
      </c>
      <c r="M7" s="391">
        <f>SUMIFS(tblSalesLiquids[Total],tblSalesLiquids[Product Name],K7,tblSalesLiquids[Store],L7)</f>
        <v>648.34999999999991</v>
      </c>
      <c r="Q7" s="399" t="str">
        <v>Coffee</v>
      </c>
      <c r="R7" s="399" t="str">
        <v>North</v>
      </c>
    </row>
    <row r="8" spans="1:18" x14ac:dyDescent="0.25">
      <c r="B8" s="384">
        <v>19777</v>
      </c>
      <c r="C8" s="385">
        <v>44220</v>
      </c>
      <c r="D8" s="385" t="s">
        <v>8690</v>
      </c>
      <c r="E8" s="385" t="s">
        <v>6955</v>
      </c>
      <c r="F8" s="384">
        <v>25</v>
      </c>
      <c r="G8" s="386">
        <v>207.3</v>
      </c>
      <c r="J8" s="395"/>
      <c r="Q8" s="399" t="str">
        <v>Hot Chocolate</v>
      </c>
      <c r="R8" s="399" t="str">
        <v>South</v>
      </c>
    </row>
    <row r="9" spans="1:18" x14ac:dyDescent="0.25">
      <c r="B9" s="384">
        <v>19778</v>
      </c>
      <c r="C9" s="385">
        <v>44221</v>
      </c>
      <c r="D9" s="385" t="s">
        <v>8090</v>
      </c>
      <c r="E9" s="385" t="s">
        <v>6989</v>
      </c>
      <c r="F9" s="384">
        <v>35</v>
      </c>
      <c r="G9" s="386">
        <v>436.53</v>
      </c>
      <c r="J9" s="395"/>
      <c r="K9" s="396" t="s">
        <v>8790</v>
      </c>
      <c r="L9" s="396" t="s">
        <v>2437</v>
      </c>
      <c r="Q9" s="399" t="str">
        <v>Orange Juice</v>
      </c>
      <c r="R9" s="399" t="str">
        <v>West</v>
      </c>
    </row>
    <row r="10" spans="1:18" x14ac:dyDescent="0.25">
      <c r="B10" s="384">
        <v>19779</v>
      </c>
      <c r="C10" s="385">
        <v>44226</v>
      </c>
      <c r="D10" s="385" t="s">
        <v>8674</v>
      </c>
      <c r="E10" s="385" t="s">
        <v>8792</v>
      </c>
      <c r="F10" s="384">
        <v>38</v>
      </c>
      <c r="G10" s="386">
        <v>424.3</v>
      </c>
      <c r="J10" s="394" t="s">
        <v>8807</v>
      </c>
      <c r="K10" s="40">
        <v>30</v>
      </c>
      <c r="L10" s="391">
        <f>SUMIFS(tblSalesLiquids[Total],tblSalesLiquids[Units Sold],"&gt;="&amp;K10)</f>
        <v>5623.2799999999988</v>
      </c>
      <c r="Q10" s="399" t="str">
        <v>Tea</v>
      </c>
      <c r="R10" s="400"/>
    </row>
    <row r="11" spans="1:18" x14ac:dyDescent="0.25">
      <c r="B11" s="384">
        <v>19780</v>
      </c>
      <c r="C11" s="385">
        <v>44228</v>
      </c>
      <c r="D11" s="385" t="s">
        <v>8793</v>
      </c>
      <c r="E11" s="385" t="s">
        <v>6955</v>
      </c>
      <c r="F11" s="384">
        <v>10</v>
      </c>
      <c r="G11" s="386">
        <v>174.45</v>
      </c>
      <c r="J11" s="395"/>
      <c r="Q11" s="399" t="str">
        <v>Water</v>
      </c>
      <c r="R11" s="400"/>
    </row>
    <row r="12" spans="1:18" x14ac:dyDescent="0.25">
      <c r="B12" s="384">
        <v>19781</v>
      </c>
      <c r="C12" s="385">
        <v>44230</v>
      </c>
      <c r="D12" s="385" t="s">
        <v>8793</v>
      </c>
      <c r="E12" s="385" t="s">
        <v>6955</v>
      </c>
      <c r="F12" s="384">
        <v>30</v>
      </c>
      <c r="G12" s="386">
        <v>456.55</v>
      </c>
      <c r="J12" s="395"/>
      <c r="K12" s="396" t="s">
        <v>8800</v>
      </c>
      <c r="L12" s="396" t="s">
        <v>8801</v>
      </c>
      <c r="M12" s="396" t="s">
        <v>2437</v>
      </c>
      <c r="Q12" s="399" t="str">
        <v>Wine</v>
      </c>
      <c r="R12" s="400"/>
    </row>
    <row r="13" spans="1:18" x14ac:dyDescent="0.25">
      <c r="B13" s="384">
        <v>19782</v>
      </c>
      <c r="C13" s="385">
        <v>44235</v>
      </c>
      <c r="D13" s="385" t="s">
        <v>8791</v>
      </c>
      <c r="E13" s="385" t="s">
        <v>6989</v>
      </c>
      <c r="F13" s="384">
        <v>20</v>
      </c>
      <c r="G13" s="386">
        <v>424.5</v>
      </c>
      <c r="J13" s="394" t="s">
        <v>8808</v>
      </c>
      <c r="K13" s="392">
        <v>44256</v>
      </c>
      <c r="L13" s="392">
        <v>44408</v>
      </c>
      <c r="M13" s="391">
        <f>SUMIFS(tblSalesLiquids[Total],tblSalesLiquids[Date],"&gt;="&amp;K13,tblSalesLiquids[Date],"&lt;="&amp;L13)</f>
        <v>7171.880000000001</v>
      </c>
      <c r="Q13" s="400"/>
      <c r="R13" s="400"/>
    </row>
    <row r="14" spans="1:18" x14ac:dyDescent="0.25">
      <c r="B14" s="384">
        <v>19783</v>
      </c>
      <c r="C14" s="385">
        <v>44235</v>
      </c>
      <c r="D14" s="385" t="s">
        <v>8090</v>
      </c>
      <c r="E14" s="385" t="s">
        <v>8794</v>
      </c>
      <c r="F14" s="384">
        <v>12</v>
      </c>
      <c r="G14" s="386">
        <v>90.88</v>
      </c>
      <c r="Q14" s="400"/>
      <c r="R14" s="400"/>
    </row>
    <row r="15" spans="1:18" x14ac:dyDescent="0.25">
      <c r="B15" s="384">
        <v>19784</v>
      </c>
      <c r="C15" s="385">
        <v>44251</v>
      </c>
      <c r="D15" s="385" t="s">
        <v>8690</v>
      </c>
      <c r="E15" s="385" t="s">
        <v>6989</v>
      </c>
      <c r="F15" s="384">
        <v>50</v>
      </c>
      <c r="G15" s="386">
        <v>216.34</v>
      </c>
    </row>
    <row r="16" spans="1:18" x14ac:dyDescent="0.25">
      <c r="B16" s="384">
        <v>19785</v>
      </c>
      <c r="C16" s="385">
        <v>44268</v>
      </c>
      <c r="D16" s="385" t="s">
        <v>8793</v>
      </c>
      <c r="E16" s="385" t="s">
        <v>6955</v>
      </c>
      <c r="F16" s="384">
        <v>14</v>
      </c>
      <c r="G16" s="386">
        <v>230.87</v>
      </c>
      <c r="J16" s="383" t="s">
        <v>8803</v>
      </c>
    </row>
    <row r="17" spans="2:14" x14ac:dyDescent="0.25">
      <c r="B17" s="384">
        <v>19786</v>
      </c>
      <c r="C17" s="385">
        <v>44271</v>
      </c>
      <c r="D17" s="385" t="s">
        <v>8090</v>
      </c>
      <c r="E17" s="385" t="s">
        <v>6955</v>
      </c>
      <c r="F17" s="384">
        <v>13</v>
      </c>
      <c r="G17" s="386">
        <v>100.7</v>
      </c>
      <c r="K17" s="396" t="s">
        <v>8639</v>
      </c>
      <c r="L17" s="396" t="s">
        <v>8789</v>
      </c>
      <c r="M17" s="396" t="s">
        <v>2437</v>
      </c>
    </row>
    <row r="18" spans="2:14" x14ac:dyDescent="0.25">
      <c r="B18" s="384">
        <v>19787</v>
      </c>
      <c r="C18" s="385">
        <v>44275</v>
      </c>
      <c r="D18" s="385" t="s">
        <v>8791</v>
      </c>
      <c r="E18" s="385" t="s">
        <v>6955</v>
      </c>
      <c r="F18" s="384">
        <v>30</v>
      </c>
      <c r="G18" s="386">
        <v>276.97000000000003</v>
      </c>
      <c r="J18" s="394" t="s">
        <v>8809</v>
      </c>
      <c r="K18" s="40" t="s">
        <v>8674</v>
      </c>
      <c r="L18" s="40" t="s">
        <v>6955</v>
      </c>
      <c r="M18" s="393" cm="1">
        <f t="array" ref="M18">SUMPRODUCT((tblSalesLiquids[Product Name]=K18)*(tblSalesLiquids[Store]=L18),tblSalesLiquids[Total])</f>
        <v>778.17000000000007</v>
      </c>
    </row>
    <row r="19" spans="2:14" x14ac:dyDescent="0.25">
      <c r="B19" s="384">
        <v>19788</v>
      </c>
      <c r="C19" s="385">
        <v>44278</v>
      </c>
      <c r="D19" s="385" t="s">
        <v>8674</v>
      </c>
      <c r="E19" s="385" t="s">
        <v>6955</v>
      </c>
      <c r="F19" s="384">
        <v>14</v>
      </c>
      <c r="G19" s="386">
        <v>422.97</v>
      </c>
    </row>
    <row r="20" spans="2:14" x14ac:dyDescent="0.25">
      <c r="B20" s="384">
        <v>19789</v>
      </c>
      <c r="C20" s="385">
        <v>44293</v>
      </c>
      <c r="D20" s="385" t="s">
        <v>8689</v>
      </c>
      <c r="E20" s="385" t="s">
        <v>6989</v>
      </c>
      <c r="F20" s="384">
        <v>29</v>
      </c>
      <c r="G20" s="386">
        <v>363.02</v>
      </c>
      <c r="K20" s="396" t="s">
        <v>8639</v>
      </c>
      <c r="L20" s="396" t="s">
        <v>8639</v>
      </c>
      <c r="M20" s="396" t="s">
        <v>2437</v>
      </c>
    </row>
    <row r="21" spans="2:14" x14ac:dyDescent="0.25">
      <c r="B21" s="384">
        <v>19790</v>
      </c>
      <c r="C21" s="385">
        <v>44305</v>
      </c>
      <c r="D21" s="385" t="s">
        <v>8674</v>
      </c>
      <c r="E21" s="385" t="s">
        <v>8794</v>
      </c>
      <c r="F21" s="384">
        <v>2</v>
      </c>
      <c r="G21" s="386">
        <v>382.46</v>
      </c>
      <c r="J21" s="394" t="s">
        <v>8810</v>
      </c>
      <c r="K21" s="40" t="s">
        <v>8674</v>
      </c>
      <c r="L21" s="40" t="s">
        <v>8090</v>
      </c>
      <c r="M21" s="393" cm="1">
        <f t="array" ref="M21">SUMPRODUCT((tblSalesLiquids[Product Name]=K21)+(tblSalesLiquids[Product Name]=L21),tblSalesLiquids[Total])</f>
        <v>5191.21</v>
      </c>
    </row>
    <row r="22" spans="2:14" x14ac:dyDescent="0.25">
      <c r="B22" s="384">
        <v>19791</v>
      </c>
      <c r="C22" s="385">
        <v>44312</v>
      </c>
      <c r="D22" s="385" t="s">
        <v>8689</v>
      </c>
      <c r="E22" s="385" t="s">
        <v>6955</v>
      </c>
      <c r="F22" s="384">
        <v>37</v>
      </c>
      <c r="G22" s="386">
        <v>85.07</v>
      </c>
    </row>
    <row r="23" spans="2:14" x14ac:dyDescent="0.25">
      <c r="B23" s="384">
        <v>19792</v>
      </c>
      <c r="C23" s="385">
        <v>44313</v>
      </c>
      <c r="D23" s="385" t="s">
        <v>8674</v>
      </c>
      <c r="E23" s="385" t="s">
        <v>8794</v>
      </c>
      <c r="F23" s="384">
        <v>31</v>
      </c>
      <c r="G23" s="386">
        <v>272.74</v>
      </c>
      <c r="K23" s="396" t="s">
        <v>8639</v>
      </c>
      <c r="L23" s="396" t="s">
        <v>8639</v>
      </c>
      <c r="M23" s="396" t="s">
        <v>8789</v>
      </c>
      <c r="N23" s="396" t="s">
        <v>2437</v>
      </c>
    </row>
    <row r="24" spans="2:14" x14ac:dyDescent="0.25">
      <c r="B24" s="384">
        <v>19793</v>
      </c>
      <c r="C24" s="385">
        <v>44315</v>
      </c>
      <c r="D24" s="385" t="s">
        <v>8689</v>
      </c>
      <c r="E24" s="385" t="s">
        <v>6955</v>
      </c>
      <c r="F24" s="384">
        <v>7</v>
      </c>
      <c r="G24" s="386">
        <v>325.27</v>
      </c>
      <c r="J24" s="394" t="s">
        <v>8811</v>
      </c>
      <c r="K24" s="40" t="s">
        <v>8674</v>
      </c>
      <c r="L24" s="40" t="s">
        <v>8690</v>
      </c>
      <c r="M24" s="40" t="s">
        <v>6955</v>
      </c>
      <c r="N24" s="393" cm="1">
        <f t="array" ref="N24">SUMPRODUCT(((tblSalesLiquids[Product Name]=K24)+(tblSalesLiquids[Product Name]=L24))*(tblSalesLiquids[Store]=M24),tblSalesLiquids[Total])</f>
        <v>985.47</v>
      </c>
    </row>
    <row r="25" spans="2:14" x14ac:dyDescent="0.25">
      <c r="B25" s="384">
        <v>19794</v>
      </c>
      <c r="C25" s="385">
        <v>44322</v>
      </c>
      <c r="D25" s="385" t="s">
        <v>8793</v>
      </c>
      <c r="E25" s="385" t="s">
        <v>6989</v>
      </c>
      <c r="F25" s="384">
        <v>13</v>
      </c>
      <c r="G25" s="386">
        <v>154.27000000000001</v>
      </c>
    </row>
    <row r="26" spans="2:14" x14ac:dyDescent="0.25">
      <c r="B26" s="384">
        <v>19795</v>
      </c>
      <c r="C26" s="385">
        <v>44325</v>
      </c>
      <c r="D26" s="385" t="s">
        <v>8690</v>
      </c>
      <c r="E26" s="385" t="s">
        <v>6989</v>
      </c>
      <c r="F26" s="384">
        <v>25</v>
      </c>
      <c r="G26" s="386">
        <v>455.5</v>
      </c>
      <c r="K26" s="396" t="s">
        <v>8639</v>
      </c>
      <c r="L26" s="396" t="s">
        <v>8639</v>
      </c>
      <c r="M26" s="396" t="s">
        <v>8789</v>
      </c>
      <c r="N26" s="396" t="s">
        <v>2437</v>
      </c>
    </row>
    <row r="27" spans="2:14" x14ac:dyDescent="0.25">
      <c r="B27" s="384">
        <v>19796</v>
      </c>
      <c r="C27" s="385">
        <v>44328</v>
      </c>
      <c r="D27" s="385" t="s">
        <v>8791</v>
      </c>
      <c r="E27" s="385" t="s">
        <v>6955</v>
      </c>
      <c r="F27" s="384">
        <v>24</v>
      </c>
      <c r="G27" s="386">
        <v>347.32</v>
      </c>
      <c r="J27" s="394" t="s">
        <v>8812</v>
      </c>
      <c r="K27" s="40" t="s">
        <v>8674</v>
      </c>
      <c r="L27" s="40" t="s">
        <v>8690</v>
      </c>
      <c r="M27" s="40" t="s">
        <v>6955</v>
      </c>
      <c r="N27" s="40" cm="1">
        <f t="array" ref="N27">SUMPRODUCT(((tblSalesLiquids[Product Name]=K27)+(tblSalesLiquids[Product Name]=L27))*(tblSalesLiquids[Store]=M27))</f>
        <v>4</v>
      </c>
    </row>
    <row r="28" spans="2:14" x14ac:dyDescent="0.25">
      <c r="B28" s="384">
        <v>19797</v>
      </c>
      <c r="C28" s="385">
        <v>44329</v>
      </c>
      <c r="D28" s="385" t="s">
        <v>8688</v>
      </c>
      <c r="E28" s="385" t="s">
        <v>8792</v>
      </c>
      <c r="F28" s="384">
        <v>33</v>
      </c>
      <c r="G28" s="386">
        <v>134.91</v>
      </c>
    </row>
    <row r="29" spans="2:14" x14ac:dyDescent="0.25">
      <c r="B29" s="384">
        <v>19798</v>
      </c>
      <c r="C29" s="385">
        <v>44331</v>
      </c>
      <c r="D29" s="385" t="s">
        <v>8090</v>
      </c>
      <c r="E29" s="385" t="s">
        <v>6955</v>
      </c>
      <c r="F29" s="384">
        <v>24</v>
      </c>
      <c r="G29" s="386">
        <v>138.72</v>
      </c>
      <c r="K29" s="396" t="s">
        <v>8789</v>
      </c>
      <c r="L29" s="396" t="s">
        <v>2437</v>
      </c>
    </row>
    <row r="30" spans="2:14" x14ac:dyDescent="0.25">
      <c r="B30" s="384">
        <v>19799</v>
      </c>
      <c r="C30" s="385">
        <v>44338</v>
      </c>
      <c r="D30" s="385" t="s">
        <v>8674</v>
      </c>
      <c r="E30" s="385" t="s">
        <v>6989</v>
      </c>
      <c r="F30" s="384">
        <v>15</v>
      </c>
      <c r="G30" s="386">
        <v>252.27</v>
      </c>
      <c r="J30" s="394" t="s">
        <v>8813</v>
      </c>
      <c r="K30" s="40" t="s">
        <v>8794</v>
      </c>
      <c r="L30" s="393" cm="1">
        <f t="array" ref="L30">SUMPRODUCT(LARGE(tblSalesLiquids[Total],{1;2;3;4;5}))</f>
        <v>2278.1800000000003</v>
      </c>
    </row>
    <row r="31" spans="2:14" x14ac:dyDescent="0.25">
      <c r="B31" s="384">
        <v>19800</v>
      </c>
      <c r="C31" s="385">
        <v>44343</v>
      </c>
      <c r="D31" s="385" t="s">
        <v>8090</v>
      </c>
      <c r="E31" s="385" t="s">
        <v>6955</v>
      </c>
      <c r="F31" s="384">
        <v>34</v>
      </c>
      <c r="G31" s="386">
        <v>225.66</v>
      </c>
    </row>
    <row r="32" spans="2:14" x14ac:dyDescent="0.25">
      <c r="B32" s="384">
        <v>19801</v>
      </c>
      <c r="C32" s="385">
        <v>44347</v>
      </c>
      <c r="D32" s="385" t="s">
        <v>8791</v>
      </c>
      <c r="E32" s="385" t="s">
        <v>6955</v>
      </c>
      <c r="F32" s="384">
        <v>22</v>
      </c>
      <c r="G32" s="386">
        <v>24.06</v>
      </c>
      <c r="K32" s="396" t="s">
        <v>8804</v>
      </c>
      <c r="L32" s="396" t="s">
        <v>8805</v>
      </c>
    </row>
    <row r="33" spans="2:12" x14ac:dyDescent="0.25">
      <c r="B33" s="384">
        <v>19802</v>
      </c>
      <c r="C33" s="385">
        <v>44352</v>
      </c>
      <c r="D33" s="385" t="s">
        <v>8090</v>
      </c>
      <c r="E33" s="385" t="s">
        <v>6989</v>
      </c>
      <c r="F33" s="384">
        <v>40</v>
      </c>
      <c r="G33" s="386">
        <v>355.76</v>
      </c>
      <c r="J33" s="394" t="s">
        <v>8814</v>
      </c>
      <c r="K33" s="40">
        <f>COUNTA(tblSalesLiquids[Product Name])</f>
        <v>49</v>
      </c>
      <c r="L33" s="40" cm="1">
        <f t="array" ref="L33">SUMPRODUCT(1/COUNTIFS(tblSalesLiquids[Product Name],tblSalesLiquids[Product Name]))</f>
        <v>7</v>
      </c>
    </row>
    <row r="34" spans="2:12" x14ac:dyDescent="0.25">
      <c r="B34" s="384">
        <v>19803</v>
      </c>
      <c r="C34" s="385">
        <v>44362</v>
      </c>
      <c r="D34" s="385" t="s">
        <v>8689</v>
      </c>
      <c r="E34" s="385" t="s">
        <v>8792</v>
      </c>
      <c r="F34" s="384">
        <v>36</v>
      </c>
      <c r="G34" s="386">
        <v>51.43</v>
      </c>
    </row>
    <row r="35" spans="2:12" x14ac:dyDescent="0.25">
      <c r="B35" s="384">
        <v>19804</v>
      </c>
      <c r="C35" s="385">
        <v>44365</v>
      </c>
      <c r="D35" s="385" t="s">
        <v>8793</v>
      </c>
      <c r="E35" s="385" t="s">
        <v>8794</v>
      </c>
      <c r="F35" s="384">
        <v>42</v>
      </c>
      <c r="G35" s="386">
        <v>287.25</v>
      </c>
    </row>
    <row r="36" spans="2:12" x14ac:dyDescent="0.25">
      <c r="B36" s="384">
        <v>19805</v>
      </c>
      <c r="C36" s="385">
        <v>44365</v>
      </c>
      <c r="D36" s="385" t="s">
        <v>8090</v>
      </c>
      <c r="E36" s="385" t="s">
        <v>8792</v>
      </c>
      <c r="F36" s="384">
        <v>5</v>
      </c>
      <c r="G36" s="386">
        <v>307.98</v>
      </c>
      <c r="K36" s="398"/>
    </row>
    <row r="37" spans="2:12" x14ac:dyDescent="0.25">
      <c r="B37" s="384">
        <v>19806</v>
      </c>
      <c r="C37" s="385">
        <v>44367</v>
      </c>
      <c r="D37" s="385" t="s">
        <v>8688</v>
      </c>
      <c r="E37" s="385" t="s">
        <v>6989</v>
      </c>
      <c r="F37" s="384">
        <v>5</v>
      </c>
      <c r="G37" s="386">
        <v>239.63</v>
      </c>
    </row>
    <row r="38" spans="2:12" x14ac:dyDescent="0.25">
      <c r="B38" s="384">
        <v>19807</v>
      </c>
      <c r="C38" s="385">
        <v>44380</v>
      </c>
      <c r="D38" s="385" t="s">
        <v>8674</v>
      </c>
      <c r="E38" s="385" t="s">
        <v>8792</v>
      </c>
      <c r="F38" s="384">
        <v>22</v>
      </c>
      <c r="G38" s="386">
        <v>253.77</v>
      </c>
    </row>
    <row r="39" spans="2:12" x14ac:dyDescent="0.25">
      <c r="B39" s="384">
        <v>19808</v>
      </c>
      <c r="C39" s="385">
        <v>44387</v>
      </c>
      <c r="D39" s="385" t="s">
        <v>8674</v>
      </c>
      <c r="E39" s="385" t="s">
        <v>8794</v>
      </c>
      <c r="F39" s="384">
        <v>17</v>
      </c>
      <c r="G39" s="386">
        <v>442.9</v>
      </c>
    </row>
    <row r="40" spans="2:12" x14ac:dyDescent="0.25">
      <c r="B40" s="384">
        <v>19809</v>
      </c>
      <c r="C40" s="385">
        <v>44387</v>
      </c>
      <c r="D40" s="385" t="s">
        <v>8690</v>
      </c>
      <c r="E40" s="385" t="s">
        <v>8792</v>
      </c>
      <c r="F40" s="384">
        <v>26</v>
      </c>
      <c r="G40" s="386">
        <v>414.23</v>
      </c>
    </row>
    <row r="41" spans="2:12" x14ac:dyDescent="0.25">
      <c r="B41" s="384">
        <v>19810</v>
      </c>
      <c r="C41" s="385">
        <v>44393</v>
      </c>
      <c r="D41" s="385" t="s">
        <v>8689</v>
      </c>
      <c r="E41" s="385" t="s">
        <v>8794</v>
      </c>
      <c r="F41" s="384">
        <v>38</v>
      </c>
      <c r="G41" s="386">
        <v>486.7</v>
      </c>
    </row>
    <row r="42" spans="2:12" x14ac:dyDescent="0.25">
      <c r="B42" s="384">
        <v>19811</v>
      </c>
      <c r="C42" s="385">
        <v>44402</v>
      </c>
      <c r="D42" s="385" t="s">
        <v>8689</v>
      </c>
      <c r="E42" s="385" t="s">
        <v>8792</v>
      </c>
      <c r="F42" s="384">
        <v>21</v>
      </c>
      <c r="G42" s="386">
        <v>139.44999999999999</v>
      </c>
    </row>
    <row r="43" spans="2:12" x14ac:dyDescent="0.25">
      <c r="B43" s="384">
        <v>19812</v>
      </c>
      <c r="C43" s="385">
        <v>44409</v>
      </c>
      <c r="D43" s="385" t="s">
        <v>8793</v>
      </c>
      <c r="E43" s="385" t="s">
        <v>8792</v>
      </c>
      <c r="F43" s="384">
        <v>24</v>
      </c>
      <c r="G43" s="386">
        <v>329.73</v>
      </c>
    </row>
    <row r="44" spans="2:12" x14ac:dyDescent="0.25">
      <c r="B44" s="384">
        <v>19813</v>
      </c>
      <c r="C44" s="385">
        <v>44415</v>
      </c>
      <c r="D44" s="385" t="s">
        <v>8793</v>
      </c>
      <c r="E44" s="385" t="s">
        <v>6955</v>
      </c>
      <c r="F44" s="384">
        <v>33</v>
      </c>
      <c r="G44" s="386">
        <v>354.93</v>
      </c>
    </row>
    <row r="45" spans="2:12" x14ac:dyDescent="0.25">
      <c r="B45" s="384">
        <v>19814</v>
      </c>
      <c r="C45" s="385">
        <v>44417</v>
      </c>
      <c r="D45" s="385" t="s">
        <v>8793</v>
      </c>
      <c r="E45" s="385" t="s">
        <v>8794</v>
      </c>
      <c r="F45" s="384">
        <v>49</v>
      </c>
      <c r="G45" s="386">
        <v>73.099999999999994</v>
      </c>
    </row>
    <row r="46" spans="2:12" x14ac:dyDescent="0.25">
      <c r="B46" s="384">
        <v>19815</v>
      </c>
      <c r="C46" s="385">
        <v>44418</v>
      </c>
      <c r="D46" s="385" t="s">
        <v>8688</v>
      </c>
      <c r="E46" s="385" t="s">
        <v>6989</v>
      </c>
      <c r="F46" s="384">
        <v>3</v>
      </c>
      <c r="G46" s="386">
        <v>378</v>
      </c>
    </row>
    <row r="47" spans="2:12" x14ac:dyDescent="0.25">
      <c r="B47" s="384">
        <v>19816</v>
      </c>
      <c r="C47" s="385">
        <v>44422</v>
      </c>
      <c r="D47" s="385" t="s">
        <v>8690</v>
      </c>
      <c r="E47" s="385" t="s">
        <v>8794</v>
      </c>
      <c r="F47" s="384">
        <v>13</v>
      </c>
      <c r="G47" s="386">
        <v>272.08999999999997</v>
      </c>
    </row>
    <row r="48" spans="2:12" x14ac:dyDescent="0.25">
      <c r="B48" s="384">
        <v>19817</v>
      </c>
      <c r="C48" s="385">
        <v>44422</v>
      </c>
      <c r="D48" s="385" t="s">
        <v>8688</v>
      </c>
      <c r="E48" s="385" t="s">
        <v>8794</v>
      </c>
      <c r="F48" s="384">
        <v>40</v>
      </c>
      <c r="G48" s="386">
        <v>346.37</v>
      </c>
    </row>
    <row r="49" spans="2:7" x14ac:dyDescent="0.25">
      <c r="B49" s="384">
        <v>19818</v>
      </c>
      <c r="C49" s="385">
        <v>44426</v>
      </c>
      <c r="D49" s="385" t="s">
        <v>8674</v>
      </c>
      <c r="E49" s="385" t="s">
        <v>6989</v>
      </c>
      <c r="F49" s="384">
        <v>33</v>
      </c>
      <c r="G49" s="386">
        <v>302.61</v>
      </c>
    </row>
    <row r="50" spans="2:7" x14ac:dyDescent="0.25">
      <c r="B50" s="384">
        <v>19819</v>
      </c>
      <c r="C50" s="385">
        <v>44432</v>
      </c>
      <c r="D50" s="385" t="s">
        <v>8793</v>
      </c>
      <c r="E50" s="385" t="s">
        <v>6989</v>
      </c>
      <c r="F50" s="384">
        <v>48</v>
      </c>
      <c r="G50" s="386">
        <v>407.94</v>
      </c>
    </row>
    <row r="51" spans="2:7" x14ac:dyDescent="0.25">
      <c r="B51" s="384">
        <v>19820</v>
      </c>
      <c r="C51" s="385">
        <v>44437</v>
      </c>
      <c r="D51" s="385" t="s">
        <v>8689</v>
      </c>
      <c r="E51" s="385" t="s">
        <v>6955</v>
      </c>
      <c r="F51" s="384">
        <v>22</v>
      </c>
      <c r="G51" s="386">
        <v>327.87</v>
      </c>
    </row>
    <row r="52" spans="2:7" x14ac:dyDescent="0.25">
      <c r="B52" s="384">
        <v>19821</v>
      </c>
      <c r="C52" s="385">
        <v>44440</v>
      </c>
      <c r="D52" s="385" t="s">
        <v>8674</v>
      </c>
      <c r="E52" s="385" t="s">
        <v>6955</v>
      </c>
      <c r="F52" s="384">
        <v>9</v>
      </c>
      <c r="G52" s="386">
        <v>296.14</v>
      </c>
    </row>
    <row r="53" spans="2:7" x14ac:dyDescent="0.25">
      <c r="B53" s="384">
        <v>19822</v>
      </c>
      <c r="C53" s="385">
        <v>44452</v>
      </c>
      <c r="D53" s="385" t="s">
        <v>8674</v>
      </c>
      <c r="E53" s="385" t="s">
        <v>8792</v>
      </c>
      <c r="F53" s="384">
        <v>29</v>
      </c>
      <c r="G53" s="386">
        <v>425.76</v>
      </c>
    </row>
    <row r="54" spans="2:7" x14ac:dyDescent="0.25">
      <c r="B54" s="384">
        <v>19823</v>
      </c>
      <c r="C54" s="385">
        <v>44468</v>
      </c>
      <c r="D54" s="385" t="s">
        <v>8690</v>
      </c>
      <c r="E54" s="385" t="s">
        <v>8794</v>
      </c>
      <c r="F54" s="384">
        <v>36</v>
      </c>
      <c r="G54" s="386">
        <v>369.06</v>
      </c>
    </row>
  </sheetData>
  <dataValidations count="2">
    <dataValidation type="list" allowBlank="1" showInputMessage="1" showErrorMessage="1" sqref="K7" xr:uid="{55A9435D-6349-4AB5-B56B-9D2377AC0600}">
      <formula1>_xlfn.ANCHORARRAY($Q$6)</formula1>
    </dataValidation>
    <dataValidation type="list" allowBlank="1" showInputMessage="1" showErrorMessage="1" sqref="L7" xr:uid="{55D994C0-3ADD-4BC1-A149-1C27721CBF78}">
      <formula1>_xlfn.ANCHORARRAY($R$6)</formula1>
    </dataValidation>
  </dataValidations>
  <hyperlinks>
    <hyperlink ref="C2" r:id="rId1" display="Excercice from the book : Advanced Excel Formulas - A. Murray" xr:uid="{0EF14A17-3B9E-420A-A8FF-EFB0147421CD}"/>
  </hyperlinks>
  <pageMargins left="0.7" right="0.7" top="0.75" bottom="0.75" header="0.3" footer="0.3"/>
  <pageSetup paperSize="9"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dimension ref="B1:R22"/>
  <sheetViews>
    <sheetView workbookViewId="0"/>
  </sheetViews>
  <sheetFormatPr defaultRowHeight="14.25" x14ac:dyDescent="0.2"/>
  <sheetData>
    <row r="1" spans="2:18" ht="34.5" customHeight="1" x14ac:dyDescent="0.2"/>
    <row r="3" spans="2:18" ht="15" x14ac:dyDescent="0.25">
      <c r="B3" s="425" t="s">
        <v>7143</v>
      </c>
      <c r="C3" s="425"/>
      <c r="D3" s="425"/>
      <c r="E3" s="425"/>
      <c r="F3" s="425"/>
      <c r="G3" s="425"/>
      <c r="H3" s="425"/>
      <c r="I3" s="426"/>
      <c r="L3" s="427" t="s">
        <v>7156</v>
      </c>
      <c r="M3" s="425"/>
      <c r="N3" s="425"/>
      <c r="O3" s="425"/>
      <c r="P3" s="425"/>
      <c r="Q3" s="425"/>
      <c r="R3" s="425"/>
    </row>
    <row r="5" spans="2:18" ht="14.25" customHeight="1" x14ac:dyDescent="0.25">
      <c r="B5" s="124" t="s">
        <v>7140</v>
      </c>
      <c r="C5" s="119" t="s">
        <v>7144</v>
      </c>
      <c r="D5" s="119" t="s">
        <v>7145</v>
      </c>
      <c r="E5" s="119" t="s">
        <v>7146</v>
      </c>
      <c r="F5" s="119" t="s">
        <v>7147</v>
      </c>
      <c r="G5" s="119" t="s">
        <v>7148</v>
      </c>
      <c r="H5" s="119" t="s">
        <v>7149</v>
      </c>
      <c r="I5" s="119" t="s">
        <v>7150</v>
      </c>
      <c r="L5" s="125" t="s">
        <v>7155</v>
      </c>
      <c r="M5" s="122" t="s">
        <v>2433</v>
      </c>
      <c r="N5" s="122" t="s">
        <v>2434</v>
      </c>
      <c r="O5" s="122" t="s">
        <v>7151</v>
      </c>
      <c r="P5" s="122" t="s">
        <v>7152</v>
      </c>
      <c r="Q5" s="122" t="s">
        <v>7153</v>
      </c>
      <c r="R5" s="122" t="s">
        <v>7157</v>
      </c>
    </row>
    <row r="6" spans="2:18" x14ac:dyDescent="0.2">
      <c r="B6" s="120" t="s">
        <v>2433</v>
      </c>
      <c r="C6" s="121">
        <v>3.6</v>
      </c>
      <c r="D6" s="121">
        <v>12.7</v>
      </c>
      <c r="E6" s="121">
        <v>7.9</v>
      </c>
      <c r="F6" s="121">
        <v>13</v>
      </c>
      <c r="G6" s="121">
        <v>4</v>
      </c>
      <c r="H6" s="121">
        <v>8.5</v>
      </c>
      <c r="I6" s="121">
        <v>11.2</v>
      </c>
      <c r="L6" s="123" t="s">
        <v>7144</v>
      </c>
      <c r="M6" s="87">
        <v>3.6</v>
      </c>
      <c r="N6" s="87">
        <v>4.0999999999999996</v>
      </c>
      <c r="O6" s="87">
        <v>4</v>
      </c>
      <c r="P6" s="87">
        <v>7</v>
      </c>
      <c r="Q6" s="87">
        <v>4</v>
      </c>
      <c r="R6" s="87">
        <v>9.8000000000000007</v>
      </c>
    </row>
    <row r="7" spans="2:18" x14ac:dyDescent="0.2">
      <c r="B7" s="120" t="s">
        <v>2434</v>
      </c>
      <c r="C7" s="121">
        <v>4.0999999999999996</v>
      </c>
      <c r="D7" s="121">
        <v>10.4</v>
      </c>
      <c r="E7" s="121">
        <v>9.4</v>
      </c>
      <c r="F7" s="121">
        <v>17.3</v>
      </c>
      <c r="G7" s="121">
        <v>12.6</v>
      </c>
      <c r="H7" s="121">
        <v>6.5</v>
      </c>
      <c r="I7" s="121">
        <v>2.5</v>
      </c>
      <c r="L7" s="123" t="s">
        <v>7145</v>
      </c>
      <c r="M7" s="87">
        <v>12.7</v>
      </c>
      <c r="N7" s="87">
        <v>10.4</v>
      </c>
      <c r="O7" s="87">
        <v>10.8</v>
      </c>
      <c r="P7" s="87">
        <v>3</v>
      </c>
      <c r="Q7" s="87">
        <v>17.100000000000001</v>
      </c>
      <c r="R7" s="87">
        <v>16.2</v>
      </c>
    </row>
    <row r="8" spans="2:18" x14ac:dyDescent="0.2">
      <c r="B8" s="120" t="s">
        <v>7151</v>
      </c>
      <c r="C8" s="121">
        <v>4</v>
      </c>
      <c r="D8" s="121">
        <v>10.8</v>
      </c>
      <c r="E8" s="121">
        <v>2.7</v>
      </c>
      <c r="F8" s="121">
        <v>14.2</v>
      </c>
      <c r="G8" s="121">
        <v>10.6</v>
      </c>
      <c r="H8" s="121">
        <v>3</v>
      </c>
      <c r="I8" s="121">
        <v>17.5</v>
      </c>
      <c r="L8" s="123" t="s">
        <v>7146</v>
      </c>
      <c r="M8" s="87">
        <v>7.9</v>
      </c>
      <c r="N8" s="87">
        <v>9.4</v>
      </c>
      <c r="O8" s="87">
        <v>2.7</v>
      </c>
      <c r="P8" s="87">
        <v>19.2</v>
      </c>
      <c r="Q8" s="87">
        <v>13.2</v>
      </c>
      <c r="R8" s="87">
        <v>8.8000000000000007</v>
      </c>
    </row>
    <row r="9" spans="2:18" x14ac:dyDescent="0.2">
      <c r="B9" s="120" t="s">
        <v>7152</v>
      </c>
      <c r="C9" s="121">
        <v>7</v>
      </c>
      <c r="D9" s="121">
        <v>3</v>
      </c>
      <c r="E9" s="121">
        <v>19.2</v>
      </c>
      <c r="F9" s="121">
        <v>8.4</v>
      </c>
      <c r="G9" s="121">
        <v>6.8</v>
      </c>
      <c r="H9" s="121">
        <v>18.7</v>
      </c>
      <c r="I9" s="121">
        <v>11</v>
      </c>
      <c r="L9" s="123" t="s">
        <v>7147</v>
      </c>
      <c r="M9" s="87">
        <v>13</v>
      </c>
      <c r="N9" s="87">
        <v>17.3</v>
      </c>
      <c r="O9" s="87">
        <v>14.2</v>
      </c>
      <c r="P9" s="87">
        <v>8.4</v>
      </c>
      <c r="Q9" s="87">
        <v>8.3000000000000007</v>
      </c>
      <c r="R9" s="87">
        <v>5.7</v>
      </c>
    </row>
    <row r="10" spans="2:18" x14ac:dyDescent="0.2">
      <c r="B10" s="120" t="s">
        <v>7153</v>
      </c>
      <c r="C10" s="121">
        <v>4</v>
      </c>
      <c r="D10" s="121">
        <v>17.100000000000001</v>
      </c>
      <c r="E10" s="121">
        <v>13.2</v>
      </c>
      <c r="F10" s="121">
        <v>8.3000000000000007</v>
      </c>
      <c r="G10" s="121">
        <v>5.5</v>
      </c>
      <c r="H10" s="121">
        <v>17.600000000000001</v>
      </c>
      <c r="I10" s="121">
        <v>16.3</v>
      </c>
      <c r="L10" s="123" t="s">
        <v>7148</v>
      </c>
      <c r="M10" s="87">
        <v>4</v>
      </c>
      <c r="N10" s="87">
        <v>12.6</v>
      </c>
      <c r="O10" s="87">
        <v>10.6</v>
      </c>
      <c r="P10" s="87">
        <v>6.8</v>
      </c>
      <c r="Q10" s="87">
        <v>5.5</v>
      </c>
      <c r="R10" s="87">
        <v>3.3</v>
      </c>
    </row>
    <row r="11" spans="2:18" x14ac:dyDescent="0.2">
      <c r="B11" s="120" t="s">
        <v>7154</v>
      </c>
      <c r="C11" s="121">
        <v>9.8000000000000007</v>
      </c>
      <c r="D11" s="121">
        <v>16.2</v>
      </c>
      <c r="E11" s="121">
        <v>8.8000000000000007</v>
      </c>
      <c r="F11" s="121">
        <v>5.7</v>
      </c>
      <c r="G11" s="121">
        <v>3.3</v>
      </c>
      <c r="H11" s="121">
        <v>5.8</v>
      </c>
      <c r="I11" s="121">
        <v>17.3</v>
      </c>
      <c r="L11" s="123" t="s">
        <v>7149</v>
      </c>
      <c r="M11" s="87">
        <v>8.5</v>
      </c>
      <c r="N11" s="87">
        <v>6.5</v>
      </c>
      <c r="O11" s="87">
        <v>3</v>
      </c>
      <c r="P11" s="87">
        <v>18.7</v>
      </c>
      <c r="Q11" s="87">
        <v>17.600000000000001</v>
      </c>
      <c r="R11" s="87">
        <v>5.8</v>
      </c>
    </row>
    <row r="12" spans="2:18" x14ac:dyDescent="0.2">
      <c r="L12" s="123" t="s">
        <v>7150</v>
      </c>
      <c r="M12" s="87">
        <v>11.2</v>
      </c>
      <c r="N12" s="87">
        <v>2.5</v>
      </c>
      <c r="O12" s="87">
        <v>17.5</v>
      </c>
      <c r="P12" s="87">
        <v>11</v>
      </c>
      <c r="Q12" s="87">
        <v>16.3</v>
      </c>
      <c r="R12" s="87">
        <v>17.3</v>
      </c>
    </row>
    <row r="15" spans="2:18" x14ac:dyDescent="0.2">
      <c r="L15" t="str" cm="1">
        <f t="array" ref="L15:R22">TRANSPOSE(B5:I11)</f>
        <v>Region</v>
      </c>
      <c r="M15" t="str">
        <v>US</v>
      </c>
      <c r="N15" t="str">
        <v>UK</v>
      </c>
      <c r="O15" t="str">
        <v>Europe</v>
      </c>
      <c r="P15" t="str">
        <v>Asia</v>
      </c>
      <c r="Q15" t="str">
        <v>Australia</v>
      </c>
      <c r="R15" t="str">
        <v>Row</v>
      </c>
    </row>
    <row r="16" spans="2:18" x14ac:dyDescent="0.2">
      <c r="L16" t="str">
        <v>Bananas</v>
      </c>
      <c r="M16">
        <v>3.6</v>
      </c>
      <c r="N16">
        <v>4.0999999999999996</v>
      </c>
      <c r="O16">
        <v>4</v>
      </c>
      <c r="P16">
        <v>7</v>
      </c>
      <c r="Q16">
        <v>4</v>
      </c>
      <c r="R16">
        <v>9.8000000000000007</v>
      </c>
    </row>
    <row r="17" spans="12:18" x14ac:dyDescent="0.2">
      <c r="L17" t="str">
        <v>Peaches</v>
      </c>
      <c r="M17">
        <v>12.7</v>
      </c>
      <c r="N17">
        <v>10.4</v>
      </c>
      <c r="O17">
        <v>10.8</v>
      </c>
      <c r="P17">
        <v>3</v>
      </c>
      <c r="Q17">
        <v>17.100000000000001</v>
      </c>
      <c r="R17">
        <v>16.2</v>
      </c>
    </row>
    <row r="18" spans="12:18" x14ac:dyDescent="0.2">
      <c r="L18" t="str">
        <v>Apples</v>
      </c>
      <c r="M18">
        <v>7.9</v>
      </c>
      <c r="N18">
        <v>9.4</v>
      </c>
      <c r="O18">
        <v>2.7</v>
      </c>
      <c r="P18">
        <v>19.2</v>
      </c>
      <c r="Q18">
        <v>13.2</v>
      </c>
      <c r="R18">
        <v>8.8000000000000007</v>
      </c>
    </row>
    <row r="19" spans="12:18" x14ac:dyDescent="0.2">
      <c r="L19" t="str">
        <v>Cherries</v>
      </c>
      <c r="M19">
        <v>13</v>
      </c>
      <c r="N19">
        <v>17.3</v>
      </c>
      <c r="O19">
        <v>14.2</v>
      </c>
      <c r="P19">
        <v>8.4</v>
      </c>
      <c r="Q19">
        <v>8.3000000000000007</v>
      </c>
      <c r="R19">
        <v>5.7</v>
      </c>
    </row>
    <row r="20" spans="12:18" x14ac:dyDescent="0.2">
      <c r="L20" t="str">
        <v>Oranges</v>
      </c>
      <c r="M20">
        <v>4</v>
      </c>
      <c r="N20">
        <v>12.6</v>
      </c>
      <c r="O20">
        <v>10.6</v>
      </c>
      <c r="P20">
        <v>6.8</v>
      </c>
      <c r="Q20">
        <v>5.5</v>
      </c>
      <c r="R20">
        <v>3.3</v>
      </c>
    </row>
    <row r="21" spans="12:18" x14ac:dyDescent="0.2">
      <c r="L21" t="str">
        <v>Grapes</v>
      </c>
      <c r="M21">
        <v>8.5</v>
      </c>
      <c r="N21">
        <v>6.5</v>
      </c>
      <c r="O21">
        <v>3</v>
      </c>
      <c r="P21">
        <v>18.7</v>
      </c>
      <c r="Q21">
        <v>17.600000000000001</v>
      </c>
      <c r="R21">
        <v>5.8</v>
      </c>
    </row>
    <row r="22" spans="12:18" x14ac:dyDescent="0.2">
      <c r="L22" t="str">
        <v>Others</v>
      </c>
      <c r="M22">
        <v>11.2</v>
      </c>
      <c r="N22">
        <v>2.5</v>
      </c>
      <c r="O22">
        <v>17.5</v>
      </c>
      <c r="P22">
        <v>11</v>
      </c>
      <c r="Q22">
        <v>16.3</v>
      </c>
      <c r="R22">
        <v>17.3</v>
      </c>
    </row>
  </sheetData>
  <mergeCells count="2">
    <mergeCell ref="B3:I3"/>
    <mergeCell ref="L3:R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E9740-128D-4446-8433-E9B1339E267C}">
  <dimension ref="C4:N26"/>
  <sheetViews>
    <sheetView zoomScale="110" zoomScaleNormal="110" workbookViewId="0"/>
  </sheetViews>
  <sheetFormatPr defaultRowHeight="14.25" x14ac:dyDescent="0.2"/>
  <cols>
    <col min="1" max="1" width="10.375" customWidth="1"/>
    <col min="2" max="2" width="4.375" customWidth="1"/>
    <col min="3" max="3" width="11.5" customWidth="1"/>
    <col min="4" max="4" width="18.25" customWidth="1"/>
    <col min="5" max="5" width="15" customWidth="1"/>
    <col min="7" max="7" width="13" customWidth="1"/>
    <col min="8" max="8" width="12.625" customWidth="1"/>
    <col min="9" max="9" width="10.875" customWidth="1"/>
    <col min="10" max="10" width="12.25" customWidth="1"/>
    <col min="11" max="11" width="10.5" customWidth="1"/>
    <col min="14" max="14" width="17.625" customWidth="1"/>
  </cols>
  <sheetData>
    <row r="4" spans="3:14" ht="15" x14ac:dyDescent="0.25">
      <c r="C4" s="401" t="s">
        <v>6814</v>
      </c>
      <c r="D4" s="401" t="s">
        <v>48</v>
      </c>
      <c r="E4" s="401" t="s">
        <v>8815</v>
      </c>
      <c r="F4" s="401" t="s">
        <v>8829</v>
      </c>
      <c r="G4" s="401" t="s">
        <v>8836</v>
      </c>
      <c r="H4" s="401" t="s">
        <v>8830</v>
      </c>
      <c r="I4" s="401" t="s">
        <v>8831</v>
      </c>
      <c r="J4" s="401" t="s">
        <v>8832</v>
      </c>
      <c r="K4" t="s">
        <v>8849</v>
      </c>
      <c r="N4" s="403" t="s">
        <v>8841</v>
      </c>
    </row>
    <row r="5" spans="3:14" x14ac:dyDescent="0.2">
      <c r="C5" s="69">
        <v>1310</v>
      </c>
      <c r="D5" t="s">
        <v>8816</v>
      </c>
      <c r="E5" s="99">
        <f ca="1">TODAY()-2</f>
        <v>45344</v>
      </c>
      <c r="F5" t="s">
        <v>8654</v>
      </c>
      <c r="G5" s="402">
        <v>10</v>
      </c>
      <c r="H5">
        <v>14003</v>
      </c>
      <c r="I5">
        <v>15698</v>
      </c>
      <c r="J5" s="223">
        <f>(tblClients[[#This Row],[This Week]]-tblClients[[#This Row],[Last Week]]) / tblClients[[#This Row],[Last Week]]</f>
        <v>0.12104549025208884</v>
      </c>
      <c r="K5" s="404">
        <f>tblClients[[#This Row],[Variance]]</f>
        <v>0.12104549025208884</v>
      </c>
      <c r="N5" t="s">
        <v>8819</v>
      </c>
    </row>
    <row r="6" spans="3:14" x14ac:dyDescent="0.2">
      <c r="C6" s="69">
        <v>1333</v>
      </c>
      <c r="D6" t="s">
        <v>8817</v>
      </c>
      <c r="E6" s="99">
        <f ca="1">TODAY()+5</f>
        <v>45351</v>
      </c>
      <c r="F6" t="s">
        <v>8649</v>
      </c>
      <c r="G6" s="402">
        <v>4</v>
      </c>
      <c r="H6">
        <v>5025</v>
      </c>
      <c r="I6">
        <v>6424</v>
      </c>
      <c r="J6" s="223">
        <f>(tblClients[[#This Row],[This Week]]-tblClients[[#This Row],[Last Week]]) / tblClients[[#This Row],[Last Week]]</f>
        <v>0.27840796019900499</v>
      </c>
      <c r="K6" s="404">
        <f>tblClients[[#This Row],[Variance]]</f>
        <v>0.27840796019900499</v>
      </c>
      <c r="N6" t="s">
        <v>8823</v>
      </c>
    </row>
    <row r="7" spans="3:14" x14ac:dyDescent="0.2">
      <c r="C7" s="69">
        <v>1265</v>
      </c>
      <c r="D7" t="s">
        <v>8818</v>
      </c>
      <c r="E7" s="99">
        <f ca="1">TODAY()+45</f>
        <v>45391</v>
      </c>
      <c r="F7" t="s">
        <v>8655</v>
      </c>
      <c r="G7" s="402">
        <v>5</v>
      </c>
      <c r="H7">
        <v>7000</v>
      </c>
      <c r="I7">
        <v>7412</v>
      </c>
      <c r="J7" s="223">
        <f>(tblClients[[#This Row],[This Week]]-tblClients[[#This Row],[Last Week]]) / tblClients[[#This Row],[Last Week]]</f>
        <v>5.8857142857142858E-2</v>
      </c>
      <c r="K7" s="404">
        <f>tblClients[[#This Row],[Variance]]</f>
        <v>5.8857142857142858E-2</v>
      </c>
      <c r="N7" t="s">
        <v>8842</v>
      </c>
    </row>
    <row r="8" spans="3:14" x14ac:dyDescent="0.2">
      <c r="C8" s="69">
        <v>1454</v>
      </c>
      <c r="D8" t="s">
        <v>8819</v>
      </c>
      <c r="E8" s="99">
        <f ca="1">TODAY()+1</f>
        <v>45347</v>
      </c>
      <c r="F8" t="s">
        <v>8649</v>
      </c>
      <c r="G8" s="402">
        <v>5</v>
      </c>
      <c r="H8">
        <v>12000</v>
      </c>
      <c r="I8">
        <v>8361</v>
      </c>
      <c r="J8" s="223">
        <f>(tblClients[[#This Row],[This Week]]-tblClients[[#This Row],[Last Week]]) / tblClients[[#This Row],[Last Week]]</f>
        <v>-0.30325000000000002</v>
      </c>
      <c r="K8" s="404">
        <f>tblClients[[#This Row],[Variance]]</f>
        <v>-0.30325000000000002</v>
      </c>
      <c r="N8" t="s">
        <v>8818</v>
      </c>
    </row>
    <row r="9" spans="3:14" x14ac:dyDescent="0.2">
      <c r="C9" s="69">
        <v>1223</v>
      </c>
      <c r="D9" t="s">
        <v>8820</v>
      </c>
      <c r="E9" s="99">
        <f ca="1">TODAY()+5</f>
        <v>45351</v>
      </c>
      <c r="F9" t="s">
        <v>8655</v>
      </c>
      <c r="G9" s="402">
        <v>7</v>
      </c>
      <c r="H9">
        <v>5025</v>
      </c>
      <c r="I9">
        <v>7535</v>
      </c>
      <c r="J9" s="223">
        <f>(tblClients[[#This Row],[This Week]]-tblClients[[#This Row],[Last Week]]) / tblClients[[#This Row],[Last Week]]</f>
        <v>0.49950248756218907</v>
      </c>
      <c r="K9" s="404">
        <f>tblClients[[#This Row],[Variance]]</f>
        <v>0.49950248756218907</v>
      </c>
      <c r="N9" t="s">
        <v>8821</v>
      </c>
    </row>
    <row r="10" spans="3:14" x14ac:dyDescent="0.2">
      <c r="C10" s="69">
        <v>1339</v>
      </c>
      <c r="D10" t="s">
        <v>8821</v>
      </c>
      <c r="E10" s="99">
        <f ca="1">TODAY()+17</f>
        <v>45363</v>
      </c>
      <c r="F10" t="s">
        <v>8654</v>
      </c>
      <c r="G10" s="402">
        <v>1</v>
      </c>
      <c r="H10">
        <v>7000</v>
      </c>
      <c r="I10">
        <v>7440</v>
      </c>
      <c r="J10" s="223">
        <f>(tblClients[[#This Row],[This Week]]-tblClients[[#This Row],[Last Week]]) / tblClients[[#This Row],[Last Week]]</f>
        <v>6.2857142857142861E-2</v>
      </c>
      <c r="K10" s="404">
        <f>tblClients[[#This Row],[Variance]]</f>
        <v>6.2857142857142861E-2</v>
      </c>
      <c r="N10" t="s">
        <v>8844</v>
      </c>
    </row>
    <row r="11" spans="3:14" x14ac:dyDescent="0.2">
      <c r="C11" s="69">
        <v>1368</v>
      </c>
      <c r="D11" t="s">
        <v>8822</v>
      </c>
      <c r="E11" s="99">
        <f ca="1">TODAY()+27</f>
        <v>45373</v>
      </c>
      <c r="F11" t="s">
        <v>8654</v>
      </c>
      <c r="G11" s="402">
        <v>4</v>
      </c>
      <c r="H11">
        <v>4589</v>
      </c>
      <c r="I11">
        <v>4875</v>
      </c>
      <c r="J11" s="223">
        <f>(tblClients[[#This Row],[This Week]]-tblClients[[#This Row],[Last Week]]) / tblClients[[#This Row],[Last Week]]</f>
        <v>6.2322946175637391E-2</v>
      </c>
      <c r="K11" s="404">
        <f>tblClients[[#This Row],[Variance]]</f>
        <v>6.2322946175637391E-2</v>
      </c>
      <c r="N11" t="s">
        <v>8817</v>
      </c>
    </row>
    <row r="12" spans="3:14" x14ac:dyDescent="0.2">
      <c r="C12" s="69">
        <v>1397</v>
      </c>
      <c r="D12" t="s">
        <v>8823</v>
      </c>
      <c r="E12" s="99">
        <f ca="1">TODAY()+7</f>
        <v>45353</v>
      </c>
      <c r="F12" t="s">
        <v>8655</v>
      </c>
      <c r="G12" s="402">
        <v>10</v>
      </c>
      <c r="H12">
        <v>8526</v>
      </c>
      <c r="I12">
        <v>7424</v>
      </c>
      <c r="J12" s="223">
        <f>(tblClients[[#This Row],[This Week]]-tblClients[[#This Row],[Last Week]]) / tblClients[[#This Row],[Last Week]]</f>
        <v>-0.12925170068027211</v>
      </c>
      <c r="K12" s="404">
        <f>tblClients[[#This Row],[Variance]]</f>
        <v>-0.12925170068027211</v>
      </c>
      <c r="N12" t="s">
        <v>8824</v>
      </c>
    </row>
    <row r="13" spans="3:14" x14ac:dyDescent="0.2">
      <c r="C13" s="69">
        <v>1426</v>
      </c>
      <c r="D13" t="s">
        <v>8824</v>
      </c>
      <c r="E13" s="99">
        <f ca="1">TODAY()+37</f>
        <v>45383</v>
      </c>
      <c r="F13" t="s">
        <v>8654</v>
      </c>
      <c r="G13" s="402">
        <v>10</v>
      </c>
      <c r="H13">
        <v>7000</v>
      </c>
      <c r="I13">
        <v>5253</v>
      </c>
      <c r="J13" s="223">
        <f>(tblClients[[#This Row],[This Week]]-tblClients[[#This Row],[Last Week]]) / tblClients[[#This Row],[Last Week]]</f>
        <v>-0.24957142857142858</v>
      </c>
      <c r="K13" s="404">
        <f>tblClients[[#This Row],[Variance]]</f>
        <v>-0.24957142857142858</v>
      </c>
      <c r="N13" t="s">
        <v>8825</v>
      </c>
    </row>
    <row r="14" spans="3:14" x14ac:dyDescent="0.2">
      <c r="C14" s="69">
        <v>1355</v>
      </c>
      <c r="D14" t="s">
        <v>8825</v>
      </c>
      <c r="E14" s="99">
        <f t="shared" ref="E14" ca="1" si="0">TODAY()+17</f>
        <v>45363</v>
      </c>
      <c r="F14" t="s">
        <v>8649</v>
      </c>
      <c r="G14" s="402">
        <v>7</v>
      </c>
      <c r="H14">
        <v>10578</v>
      </c>
      <c r="I14">
        <v>15124</v>
      </c>
      <c r="J14" s="223">
        <f>(tblClients[[#This Row],[This Week]]-tblClients[[#This Row],[Last Week]]) / tblClients[[#This Row],[Last Week]]</f>
        <v>0.42975987899413876</v>
      </c>
      <c r="K14" s="404">
        <f>tblClients[[#This Row],[Variance]]</f>
        <v>0.42975987899413876</v>
      </c>
      <c r="N14" t="s">
        <v>8843</v>
      </c>
    </row>
    <row r="19" spans="3:7" ht="15.75" thickBot="1" x14ac:dyDescent="0.3">
      <c r="C19" s="360" t="s">
        <v>8833</v>
      </c>
      <c r="D19" s="360"/>
      <c r="E19" s="360"/>
      <c r="F19" s="360"/>
      <c r="G19" s="360"/>
    </row>
    <row r="20" spans="3:7" x14ac:dyDescent="0.2">
      <c r="C20" t="s">
        <v>8834</v>
      </c>
      <c r="E20" t="s">
        <v>8655</v>
      </c>
    </row>
    <row r="21" spans="3:7" x14ac:dyDescent="0.2">
      <c r="C21" t="s">
        <v>8835</v>
      </c>
      <c r="E21" t="s">
        <v>8655</v>
      </c>
      <c r="F21" t="s">
        <v>8837</v>
      </c>
    </row>
    <row r="22" spans="3:7" x14ac:dyDescent="0.2">
      <c r="C22" t="s">
        <v>8838</v>
      </c>
      <c r="E22" t="s">
        <v>8839</v>
      </c>
    </row>
    <row r="23" spans="3:7" x14ac:dyDescent="0.2">
      <c r="C23" t="s">
        <v>8840</v>
      </c>
    </row>
    <row r="24" spans="3:7" x14ac:dyDescent="0.2">
      <c r="C24" t="s">
        <v>8845</v>
      </c>
    </row>
    <row r="25" spans="3:7" x14ac:dyDescent="0.2">
      <c r="C25" t="s">
        <v>8846</v>
      </c>
      <c r="E25" s="404" t="s">
        <v>8847</v>
      </c>
      <c r="F25">
        <v>0</v>
      </c>
    </row>
    <row r="26" spans="3:7" x14ac:dyDescent="0.2">
      <c r="C26" t="s">
        <v>8848</v>
      </c>
    </row>
  </sheetData>
  <sortState xmlns:xlrd2="http://schemas.microsoft.com/office/spreadsheetml/2017/richdata2" ref="N5:N14">
    <sortCondition ref="N7:N14"/>
  </sortState>
  <pageMargins left="0.7" right="0.7" top="0.75" bottom="0.75" header="0.3" footer="0.3"/>
  <pageSetup orientation="portrait" r:id="rId1"/>
  <ignoredErrors>
    <ignoredError sqref="E11" formula="1"/>
  </ignoredErrors>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0863-88EE-48EF-8B17-F421331F7F8C}">
  <dimension ref="C4:N26"/>
  <sheetViews>
    <sheetView zoomScale="110" zoomScaleNormal="110" workbookViewId="0">
      <selection activeCell="F11" sqref="F11"/>
    </sheetView>
  </sheetViews>
  <sheetFormatPr defaultRowHeight="14.25" x14ac:dyDescent="0.2"/>
  <cols>
    <col min="1" max="1" width="10.375" customWidth="1"/>
    <col min="2" max="2" width="4.375" customWidth="1"/>
    <col min="3" max="3" width="11.5" customWidth="1"/>
    <col min="4" max="4" width="18.25" customWidth="1"/>
    <col min="5" max="5" width="15" customWidth="1"/>
    <col min="7" max="7" width="13" customWidth="1"/>
    <col min="8" max="8" width="12.625" customWidth="1"/>
    <col min="9" max="9" width="10.875" customWidth="1"/>
    <col min="10" max="10" width="12.25" customWidth="1"/>
    <col min="11" max="11" width="10.5" customWidth="1"/>
    <col min="14" max="14" width="17.625" customWidth="1"/>
  </cols>
  <sheetData>
    <row r="4" spans="3:14" ht="15" x14ac:dyDescent="0.25">
      <c r="C4" s="401" t="s">
        <v>6814</v>
      </c>
      <c r="D4" s="401" t="s">
        <v>48</v>
      </c>
      <c r="E4" s="401" t="s">
        <v>8815</v>
      </c>
      <c r="F4" s="401" t="s">
        <v>8829</v>
      </c>
      <c r="G4" s="401" t="s">
        <v>8836</v>
      </c>
      <c r="H4" s="401" t="s">
        <v>8830</v>
      </c>
      <c r="I4" s="401" t="s">
        <v>8831</v>
      </c>
      <c r="J4" s="401" t="s">
        <v>8832</v>
      </c>
      <c r="K4" t="s">
        <v>8849</v>
      </c>
      <c r="N4" s="403" t="s">
        <v>8841</v>
      </c>
    </row>
    <row r="5" spans="3:14" x14ac:dyDescent="0.2">
      <c r="C5" s="69">
        <v>1310</v>
      </c>
      <c r="D5" t="s">
        <v>8816</v>
      </c>
      <c r="E5" s="99">
        <f ca="1">TODAY()-2</f>
        <v>45344</v>
      </c>
      <c r="F5" t="s">
        <v>8654</v>
      </c>
      <c r="G5" s="402">
        <v>10</v>
      </c>
      <c r="H5">
        <v>14003</v>
      </c>
      <c r="I5">
        <v>15698</v>
      </c>
      <c r="J5" s="223">
        <f>(tblClients14[[#This Row],[This Week]]-tblClients14[[#This Row],[Last Week]]) / tblClients14[[#This Row],[Last Week]]</f>
        <v>0.12104549025208884</v>
      </c>
      <c r="K5" s="404">
        <f>tblClients14[[#This Row],[Variance]]</f>
        <v>0.12104549025208884</v>
      </c>
      <c r="N5" t="s">
        <v>8819</v>
      </c>
    </row>
    <row r="6" spans="3:14" x14ac:dyDescent="0.2">
      <c r="C6" s="69">
        <v>1333</v>
      </c>
      <c r="D6" t="s">
        <v>8817</v>
      </c>
      <c r="E6" s="99">
        <f ca="1">TODAY()+5</f>
        <v>45351</v>
      </c>
      <c r="F6" t="s">
        <v>8649</v>
      </c>
      <c r="G6" s="402">
        <v>4</v>
      </c>
      <c r="H6">
        <v>5025</v>
      </c>
      <c r="I6">
        <v>6424</v>
      </c>
      <c r="J6" s="223">
        <f>(tblClients14[[#This Row],[This Week]]-tblClients14[[#This Row],[Last Week]]) / tblClients14[[#This Row],[Last Week]]</f>
        <v>0.27840796019900499</v>
      </c>
      <c r="K6" s="404">
        <f>tblClients14[[#This Row],[Variance]]</f>
        <v>0.27840796019900499</v>
      </c>
      <c r="N6" t="s">
        <v>8823</v>
      </c>
    </row>
    <row r="7" spans="3:14" x14ac:dyDescent="0.2">
      <c r="C7" s="69">
        <v>1265</v>
      </c>
      <c r="D7" t="s">
        <v>8818</v>
      </c>
      <c r="E7" s="99">
        <f ca="1">TODAY()+45</f>
        <v>45391</v>
      </c>
      <c r="F7" t="s">
        <v>8655</v>
      </c>
      <c r="G7" s="402">
        <v>5</v>
      </c>
      <c r="H7">
        <v>7000</v>
      </c>
      <c r="I7">
        <v>7412</v>
      </c>
      <c r="J7" s="223">
        <f>(tblClients14[[#This Row],[This Week]]-tblClients14[[#This Row],[Last Week]]) / tblClients14[[#This Row],[Last Week]]</f>
        <v>5.8857142857142858E-2</v>
      </c>
      <c r="K7" s="404">
        <f>tblClients14[[#This Row],[Variance]]</f>
        <v>5.8857142857142858E-2</v>
      </c>
      <c r="N7" t="s">
        <v>8842</v>
      </c>
    </row>
    <row r="8" spans="3:14" x14ac:dyDescent="0.2">
      <c r="C8" s="69">
        <v>1454</v>
      </c>
      <c r="D8" t="s">
        <v>8819</v>
      </c>
      <c r="E8" s="99">
        <f ca="1">TODAY()+1</f>
        <v>45347</v>
      </c>
      <c r="F8" t="s">
        <v>8649</v>
      </c>
      <c r="G8" s="402">
        <v>5</v>
      </c>
      <c r="H8">
        <v>12000</v>
      </c>
      <c r="I8">
        <v>8361</v>
      </c>
      <c r="J8" s="223">
        <f>(tblClients14[[#This Row],[This Week]]-tblClients14[[#This Row],[Last Week]]) / tblClients14[[#This Row],[Last Week]]</f>
        <v>-0.30325000000000002</v>
      </c>
      <c r="K8" s="404">
        <f>tblClients14[[#This Row],[Variance]]</f>
        <v>-0.30325000000000002</v>
      </c>
      <c r="N8" t="s">
        <v>8818</v>
      </c>
    </row>
    <row r="9" spans="3:14" x14ac:dyDescent="0.2">
      <c r="C9" s="69">
        <v>1223</v>
      </c>
      <c r="D9" t="s">
        <v>8820</v>
      </c>
      <c r="E9" s="99">
        <f ca="1">TODAY()+5</f>
        <v>45351</v>
      </c>
      <c r="F9" t="s">
        <v>8655</v>
      </c>
      <c r="G9" s="402">
        <v>7</v>
      </c>
      <c r="H9">
        <v>5025</v>
      </c>
      <c r="I9">
        <v>7535</v>
      </c>
      <c r="J9" s="223">
        <f>(tblClients14[[#This Row],[This Week]]-tblClients14[[#This Row],[Last Week]]) / tblClients14[[#This Row],[Last Week]]</f>
        <v>0.49950248756218907</v>
      </c>
      <c r="K9" s="404">
        <f>tblClients14[[#This Row],[Variance]]</f>
        <v>0.49950248756218907</v>
      </c>
      <c r="N9" t="s">
        <v>8821</v>
      </c>
    </row>
    <row r="10" spans="3:14" x14ac:dyDescent="0.2">
      <c r="C10" s="69">
        <v>1339</v>
      </c>
      <c r="D10" t="s">
        <v>8821</v>
      </c>
      <c r="E10" s="99">
        <f ca="1">TODAY()+17</f>
        <v>45363</v>
      </c>
      <c r="F10" t="s">
        <v>8654</v>
      </c>
      <c r="G10" s="402">
        <v>1</v>
      </c>
      <c r="H10">
        <v>7000</v>
      </c>
      <c r="I10">
        <v>7440</v>
      </c>
      <c r="J10" s="223">
        <f>(tblClients14[[#This Row],[This Week]]-tblClients14[[#This Row],[Last Week]]) / tblClients14[[#This Row],[Last Week]]</f>
        <v>6.2857142857142861E-2</v>
      </c>
      <c r="K10" s="404">
        <f>tblClients14[[#This Row],[Variance]]</f>
        <v>6.2857142857142861E-2</v>
      </c>
      <c r="N10" t="s">
        <v>8844</v>
      </c>
    </row>
    <row r="11" spans="3:14" x14ac:dyDescent="0.2">
      <c r="C11" s="69">
        <v>1368</v>
      </c>
      <c r="D11" t="s">
        <v>8822</v>
      </c>
      <c r="E11" s="99">
        <f ca="1">TODAY()+27</f>
        <v>45373</v>
      </c>
      <c r="F11" t="s">
        <v>8654</v>
      </c>
      <c r="G11" s="402">
        <v>4</v>
      </c>
      <c r="H11">
        <v>4589</v>
      </c>
      <c r="I11">
        <v>4875</v>
      </c>
      <c r="J11" s="223">
        <f>(tblClients14[[#This Row],[This Week]]-tblClients14[[#This Row],[Last Week]]) / tblClients14[[#This Row],[Last Week]]</f>
        <v>6.2322946175637391E-2</v>
      </c>
      <c r="K11" s="404">
        <f>tblClients14[[#This Row],[Variance]]</f>
        <v>6.2322946175637391E-2</v>
      </c>
      <c r="N11" t="s">
        <v>8817</v>
      </c>
    </row>
    <row r="12" spans="3:14" x14ac:dyDescent="0.2">
      <c r="C12" s="69">
        <v>1397</v>
      </c>
      <c r="D12" t="s">
        <v>8823</v>
      </c>
      <c r="E12" s="99">
        <f ca="1">TODAY()+7</f>
        <v>45353</v>
      </c>
      <c r="F12" t="s">
        <v>8655</v>
      </c>
      <c r="G12" s="402">
        <v>10</v>
      </c>
      <c r="H12">
        <v>8526</v>
      </c>
      <c r="I12">
        <v>7424</v>
      </c>
      <c r="J12" s="223">
        <f>(tblClients14[[#This Row],[This Week]]-tblClients14[[#This Row],[Last Week]]) / tblClients14[[#This Row],[Last Week]]</f>
        <v>-0.12925170068027211</v>
      </c>
      <c r="K12" s="404">
        <f>tblClients14[[#This Row],[Variance]]</f>
        <v>-0.12925170068027211</v>
      </c>
      <c r="N12" t="s">
        <v>8824</v>
      </c>
    </row>
    <row r="13" spans="3:14" x14ac:dyDescent="0.2">
      <c r="C13" s="69">
        <v>1426</v>
      </c>
      <c r="D13" t="s">
        <v>8824</v>
      </c>
      <c r="E13" s="99">
        <f ca="1">TODAY()+37</f>
        <v>45383</v>
      </c>
      <c r="F13" t="s">
        <v>8654</v>
      </c>
      <c r="G13" s="402">
        <v>10</v>
      </c>
      <c r="H13">
        <v>7000</v>
      </c>
      <c r="I13">
        <v>5253</v>
      </c>
      <c r="J13" s="223">
        <f>(tblClients14[[#This Row],[This Week]]-tblClients14[[#This Row],[Last Week]]) / tblClients14[[#This Row],[Last Week]]</f>
        <v>-0.24957142857142858</v>
      </c>
      <c r="K13" s="404">
        <f>tblClients14[[#This Row],[Variance]]</f>
        <v>-0.24957142857142858</v>
      </c>
      <c r="N13" t="s">
        <v>8825</v>
      </c>
    </row>
    <row r="14" spans="3:14" x14ac:dyDescent="0.2">
      <c r="C14" s="69">
        <v>1355</v>
      </c>
      <c r="D14" t="s">
        <v>8825</v>
      </c>
      <c r="E14" s="99">
        <f t="shared" ref="E14" ca="1" si="0">TODAY()+17</f>
        <v>45363</v>
      </c>
      <c r="F14" t="s">
        <v>8649</v>
      </c>
      <c r="G14" s="402">
        <v>7</v>
      </c>
      <c r="H14">
        <v>10578</v>
      </c>
      <c r="I14">
        <v>15124</v>
      </c>
      <c r="J14" s="223">
        <f>(tblClients14[[#This Row],[This Week]]-tblClients14[[#This Row],[Last Week]]) / tblClients14[[#This Row],[Last Week]]</f>
        <v>0.42975987899413876</v>
      </c>
      <c r="K14" s="404">
        <f>tblClients14[[#This Row],[Variance]]</f>
        <v>0.42975987899413876</v>
      </c>
      <c r="N14" t="s">
        <v>8843</v>
      </c>
    </row>
    <row r="19" spans="3:7" ht="15.75" thickBot="1" x14ac:dyDescent="0.3">
      <c r="C19" s="360" t="s">
        <v>8833</v>
      </c>
      <c r="D19" s="360"/>
      <c r="E19" s="360"/>
      <c r="F19" s="360"/>
      <c r="G19" s="360"/>
    </row>
    <row r="20" spans="3:7" x14ac:dyDescent="0.2">
      <c r="C20" t="s">
        <v>8834</v>
      </c>
      <c r="E20" t="s">
        <v>8655</v>
      </c>
    </row>
    <row r="21" spans="3:7" x14ac:dyDescent="0.2">
      <c r="C21" t="s">
        <v>8835</v>
      </c>
      <c r="E21" t="s">
        <v>8655</v>
      </c>
      <c r="F21" t="s">
        <v>8837</v>
      </c>
    </row>
    <row r="22" spans="3:7" x14ac:dyDescent="0.2">
      <c r="C22" t="s">
        <v>8838</v>
      </c>
      <c r="E22" t="s">
        <v>8839</v>
      </c>
    </row>
    <row r="23" spans="3:7" x14ac:dyDescent="0.2">
      <c r="C23" t="s">
        <v>8840</v>
      </c>
    </row>
    <row r="24" spans="3:7" x14ac:dyDescent="0.2">
      <c r="C24" t="s">
        <v>8845</v>
      </c>
    </row>
    <row r="25" spans="3:7" x14ac:dyDescent="0.2">
      <c r="C25" t="s">
        <v>8846</v>
      </c>
      <c r="E25" s="404" t="s">
        <v>8847</v>
      </c>
      <c r="F25">
        <v>0</v>
      </c>
    </row>
    <row r="26" spans="3:7" x14ac:dyDescent="0.2">
      <c r="C26" t="s">
        <v>8848</v>
      </c>
    </row>
  </sheetData>
  <conditionalFormatting sqref="E5:E14">
    <cfRule type="expression" dxfId="15" priority="4">
      <formula>WEEKDAY($E5,2)&gt;5</formula>
    </cfRule>
    <cfRule type="cellIs" dxfId="14" priority="6" operator="between">
      <formula>TODAY()</formula>
      <formula>TODAY()+20</formula>
    </cfRule>
  </conditionalFormatting>
  <conditionalFormatting sqref="C5:J14">
    <cfRule type="expression" dxfId="13" priority="5">
      <formula>AND($F5="Gold",$G5&gt;=5)</formula>
    </cfRule>
  </conditionalFormatting>
  <conditionalFormatting sqref="D5:D14">
    <cfRule type="expression" dxfId="12" priority="3">
      <formula>COUNTIF($N$5:$N$14,$D5)&gt;0</formula>
    </cfRule>
  </conditionalFormatting>
  <conditionalFormatting sqref="J5:J14">
    <cfRule type="iconSet" priority="2">
      <iconSet iconSet="3Arrows">
        <cfvo type="percent" val="0"/>
        <cfvo type="num" val="0"/>
        <cfvo type="num" val="0.2"/>
      </iconSet>
    </cfRule>
  </conditionalFormatting>
  <conditionalFormatting sqref="K5:K14">
    <cfRule type="dataBar" priority="1">
      <dataBar showValue="0">
        <cfvo type="min"/>
        <cfvo type="max"/>
        <color rgb="FF638EC6"/>
      </dataBar>
      <extLst>
        <ext xmlns:x14="http://schemas.microsoft.com/office/spreadsheetml/2009/9/main" uri="{B025F937-C7B1-47D3-B67F-A62EFF666E3E}">
          <x14:id>{DF5AEC85-524B-43A3-ABD1-987ECE04F053}</x14:id>
        </ext>
      </extLst>
    </cfRule>
  </conditionalFormatting>
  <pageMargins left="0.7" right="0.7" top="0.75" bottom="0.75" header="0.3" footer="0.3"/>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F5AEC85-524B-43A3-ABD1-987ECE04F053}">
            <x14:dataBar minLength="0" maxLength="100" gradient="0">
              <x14:cfvo type="min"/>
              <x14:cfvo type="max"/>
              <x14:negativeFillColor rgb="FFFF0000"/>
              <x14:axisColor rgb="FF000000"/>
            </x14:dataBar>
          </x14:cfRule>
          <xm:sqref>K5:K14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A2C5-9086-4218-BFEF-CB03F6A4147D}">
  <dimension ref="B3:L104"/>
  <sheetViews>
    <sheetView workbookViewId="0">
      <selection activeCell="K27" sqref="K27"/>
    </sheetView>
  </sheetViews>
  <sheetFormatPr defaultRowHeight="14.25" x14ac:dyDescent="0.2"/>
  <cols>
    <col min="1" max="1" width="11.25" customWidth="1"/>
    <col min="6" max="6" width="12" customWidth="1"/>
    <col min="7" max="8" width="11.875" bestFit="1" customWidth="1"/>
    <col min="9" max="12" width="10.625" bestFit="1" customWidth="1"/>
  </cols>
  <sheetData>
    <row r="3" spans="2:8" ht="17.25" thickBot="1" x14ac:dyDescent="0.3">
      <c r="B3" s="115" t="s">
        <v>8604</v>
      </c>
      <c r="C3" s="115"/>
      <c r="F3" s="115" t="s">
        <v>8605</v>
      </c>
    </row>
    <row r="4" spans="2:8" ht="15" thickTop="1" x14ac:dyDescent="0.2"/>
    <row r="5" spans="2:8" x14ac:dyDescent="0.2">
      <c r="B5" cm="1">
        <f t="array" ref="B5:C104">_xlfn.SEQUENCE(100,2,5,5)</f>
        <v>5</v>
      </c>
      <c r="C5">
        <v>10</v>
      </c>
      <c r="F5" cm="1">
        <f t="array" aca="1" ref="F5:H14" ca="1">_xlfn.RANDARRAY(10,3,0,1000,FALSE)</f>
        <v>558.11427137954126</v>
      </c>
      <c r="G5">
        <f ca="1"/>
        <v>120.59025022546427</v>
      </c>
      <c r="H5">
        <f ca="1"/>
        <v>318.11249938504204</v>
      </c>
    </row>
    <row r="6" spans="2:8" x14ac:dyDescent="0.2">
      <c r="B6">
        <v>15</v>
      </c>
      <c r="C6">
        <v>20</v>
      </c>
      <c r="F6">
        <f ca="1"/>
        <v>977.66196578111465</v>
      </c>
      <c r="G6">
        <f ca="1"/>
        <v>494.23325831694649</v>
      </c>
      <c r="H6">
        <f ca="1"/>
        <v>580.29659803852542</v>
      </c>
    </row>
    <row r="7" spans="2:8" x14ac:dyDescent="0.2">
      <c r="B7">
        <v>25</v>
      </c>
      <c r="C7">
        <v>30</v>
      </c>
      <c r="F7">
        <f ca="1"/>
        <v>166.72820926461577</v>
      </c>
      <c r="G7">
        <f ca="1"/>
        <v>909.37850514165348</v>
      </c>
      <c r="H7">
        <f ca="1"/>
        <v>939.38269633951768</v>
      </c>
    </row>
    <row r="8" spans="2:8" x14ac:dyDescent="0.2">
      <c r="B8">
        <v>35</v>
      </c>
      <c r="C8">
        <v>40</v>
      </c>
      <c r="F8">
        <f ca="1"/>
        <v>240.22009619862513</v>
      </c>
      <c r="G8">
        <f ca="1"/>
        <v>732.05861770905642</v>
      </c>
      <c r="H8">
        <f ca="1"/>
        <v>700.25296669644524</v>
      </c>
    </row>
    <row r="9" spans="2:8" x14ac:dyDescent="0.2">
      <c r="B9">
        <v>45</v>
      </c>
      <c r="C9">
        <v>50</v>
      </c>
      <c r="F9">
        <f ca="1"/>
        <v>440.80596938615918</v>
      </c>
      <c r="G9">
        <f ca="1"/>
        <v>768.70789786219245</v>
      </c>
      <c r="H9">
        <f ca="1"/>
        <v>942.85497810528454</v>
      </c>
    </row>
    <row r="10" spans="2:8" x14ac:dyDescent="0.2">
      <c r="B10">
        <v>55</v>
      </c>
      <c r="C10">
        <v>60</v>
      </c>
      <c r="F10">
        <f ca="1"/>
        <v>874.94386464717195</v>
      </c>
      <c r="G10">
        <f ca="1"/>
        <v>890.95000359284882</v>
      </c>
      <c r="H10">
        <f ca="1"/>
        <v>944.46930075790408</v>
      </c>
    </row>
    <row r="11" spans="2:8" x14ac:dyDescent="0.2">
      <c r="B11">
        <v>65</v>
      </c>
      <c r="C11">
        <v>70</v>
      </c>
      <c r="F11">
        <f ca="1"/>
        <v>826.98082328141118</v>
      </c>
      <c r="G11">
        <f ca="1"/>
        <v>774.33886969778655</v>
      </c>
      <c r="H11">
        <f ca="1"/>
        <v>991.5834528554592</v>
      </c>
    </row>
    <row r="12" spans="2:8" x14ac:dyDescent="0.2">
      <c r="B12">
        <v>75</v>
      </c>
      <c r="C12">
        <v>80</v>
      </c>
      <c r="F12">
        <f ca="1"/>
        <v>206.87095632256171</v>
      </c>
      <c r="G12">
        <f ca="1"/>
        <v>270.37957051696492</v>
      </c>
      <c r="H12">
        <f ca="1"/>
        <v>794.25005683442305</v>
      </c>
    </row>
    <row r="13" spans="2:8" x14ac:dyDescent="0.2">
      <c r="B13">
        <v>85</v>
      </c>
      <c r="C13">
        <v>90</v>
      </c>
      <c r="F13">
        <f ca="1"/>
        <v>542.95876028703856</v>
      </c>
      <c r="G13">
        <f ca="1"/>
        <v>870.50763443029666</v>
      </c>
      <c r="H13">
        <f ca="1"/>
        <v>475.63450280082429</v>
      </c>
    </row>
    <row r="14" spans="2:8" x14ac:dyDescent="0.2">
      <c r="B14">
        <v>95</v>
      </c>
      <c r="C14">
        <v>100</v>
      </c>
      <c r="F14">
        <f ca="1"/>
        <v>913.98598024985915</v>
      </c>
      <c r="G14">
        <f ca="1"/>
        <v>909.89713479456213</v>
      </c>
      <c r="H14">
        <f ca="1"/>
        <v>885.13825304105308</v>
      </c>
    </row>
    <row r="15" spans="2:8" x14ac:dyDescent="0.2">
      <c r="B15">
        <v>105</v>
      </c>
      <c r="C15">
        <v>110</v>
      </c>
    </row>
    <row r="16" spans="2:8" x14ac:dyDescent="0.2">
      <c r="B16">
        <v>115</v>
      </c>
      <c r="C16">
        <v>120</v>
      </c>
    </row>
    <row r="17" spans="2:12" x14ac:dyDescent="0.2">
      <c r="B17">
        <v>125</v>
      </c>
      <c r="C17">
        <v>130</v>
      </c>
    </row>
    <row r="18" spans="2:12" x14ac:dyDescent="0.2">
      <c r="B18">
        <v>135</v>
      </c>
      <c r="C18">
        <v>140</v>
      </c>
    </row>
    <row r="19" spans="2:12" ht="15.75" thickBot="1" x14ac:dyDescent="0.3">
      <c r="B19">
        <v>145</v>
      </c>
      <c r="C19">
        <v>150</v>
      </c>
      <c r="F19" s="360" t="s">
        <v>8935</v>
      </c>
      <c r="G19" s="360"/>
      <c r="H19" s="360"/>
      <c r="I19" s="360"/>
      <c r="J19" s="360"/>
    </row>
    <row r="20" spans="2:12" x14ac:dyDescent="0.2">
      <c r="B20">
        <v>155</v>
      </c>
      <c r="C20">
        <v>160</v>
      </c>
      <c r="F20" t="s">
        <v>8936</v>
      </c>
      <c r="G20" s="99">
        <v>45352</v>
      </c>
    </row>
    <row r="21" spans="2:12" x14ac:dyDescent="0.2">
      <c r="B21">
        <v>165</v>
      </c>
      <c r="C21">
        <v>170</v>
      </c>
      <c r="F21" t="s">
        <v>8937</v>
      </c>
      <c r="G21">
        <v>0</v>
      </c>
    </row>
    <row r="22" spans="2:12" x14ac:dyDescent="0.2">
      <c r="B22">
        <v>175</v>
      </c>
      <c r="C22">
        <v>180</v>
      </c>
      <c r="F22" t="s">
        <v>8938</v>
      </c>
      <c r="G22">
        <v>6</v>
      </c>
    </row>
    <row r="23" spans="2:12" x14ac:dyDescent="0.2">
      <c r="B23">
        <v>185</v>
      </c>
      <c r="C23">
        <v>190</v>
      </c>
    </row>
    <row r="24" spans="2:12" x14ac:dyDescent="0.2">
      <c r="B24">
        <v>195</v>
      </c>
      <c r="C24">
        <v>200</v>
      </c>
      <c r="F24" t="s">
        <v>8939</v>
      </c>
      <c r="G24" s="99" cm="1">
        <f t="array" ref="G24:L24">EOMONTH(G20,_xlfn.SEQUENCE(1,G22,G21))</f>
        <v>45382</v>
      </c>
      <c r="H24" s="99">
        <v>45412</v>
      </c>
      <c r="I24" s="99">
        <v>45443</v>
      </c>
      <c r="J24" s="99">
        <v>45473</v>
      </c>
      <c r="K24" s="99">
        <v>45504</v>
      </c>
      <c r="L24" s="99">
        <v>45535</v>
      </c>
    </row>
    <row r="25" spans="2:12" x14ac:dyDescent="0.2">
      <c r="B25">
        <v>205</v>
      </c>
      <c r="C25">
        <v>210</v>
      </c>
    </row>
    <row r="26" spans="2:12" x14ac:dyDescent="0.2">
      <c r="B26">
        <v>215</v>
      </c>
      <c r="C26">
        <v>220</v>
      </c>
    </row>
    <row r="27" spans="2:12" x14ac:dyDescent="0.2">
      <c r="B27">
        <v>225</v>
      </c>
      <c r="C27">
        <v>230</v>
      </c>
    </row>
    <row r="28" spans="2:12" x14ac:dyDescent="0.2">
      <c r="B28">
        <v>235</v>
      </c>
      <c r="C28">
        <v>240</v>
      </c>
    </row>
    <row r="29" spans="2:12" x14ac:dyDescent="0.2">
      <c r="B29">
        <v>245</v>
      </c>
      <c r="C29">
        <v>250</v>
      </c>
    </row>
    <row r="30" spans="2:12" x14ac:dyDescent="0.2">
      <c r="B30">
        <v>255</v>
      </c>
      <c r="C30">
        <v>260</v>
      </c>
    </row>
    <row r="31" spans="2:12" x14ac:dyDescent="0.2">
      <c r="B31">
        <v>265</v>
      </c>
      <c r="C31">
        <v>270</v>
      </c>
    </row>
    <row r="32" spans="2:12" x14ac:dyDescent="0.2">
      <c r="B32">
        <v>275</v>
      </c>
      <c r="C32">
        <v>280</v>
      </c>
    </row>
    <row r="33" spans="2:3" x14ac:dyDescent="0.2">
      <c r="B33">
        <v>285</v>
      </c>
      <c r="C33">
        <v>290</v>
      </c>
    </row>
    <row r="34" spans="2:3" x14ac:dyDescent="0.2">
      <c r="B34">
        <v>295</v>
      </c>
      <c r="C34">
        <v>300</v>
      </c>
    </row>
    <row r="35" spans="2:3" x14ac:dyDescent="0.2">
      <c r="B35">
        <v>305</v>
      </c>
      <c r="C35">
        <v>310</v>
      </c>
    </row>
    <row r="36" spans="2:3" x14ac:dyDescent="0.2">
      <c r="B36">
        <v>315</v>
      </c>
      <c r="C36">
        <v>320</v>
      </c>
    </row>
    <row r="37" spans="2:3" x14ac:dyDescent="0.2">
      <c r="B37">
        <v>325</v>
      </c>
      <c r="C37">
        <v>330</v>
      </c>
    </row>
    <row r="38" spans="2:3" x14ac:dyDescent="0.2">
      <c r="B38">
        <v>335</v>
      </c>
      <c r="C38">
        <v>340</v>
      </c>
    </row>
    <row r="39" spans="2:3" x14ac:dyDescent="0.2">
      <c r="B39">
        <v>345</v>
      </c>
      <c r="C39">
        <v>350</v>
      </c>
    </row>
    <row r="40" spans="2:3" x14ac:dyDescent="0.2">
      <c r="B40">
        <v>355</v>
      </c>
      <c r="C40">
        <v>360</v>
      </c>
    </row>
    <row r="41" spans="2:3" x14ac:dyDescent="0.2">
      <c r="B41">
        <v>365</v>
      </c>
      <c r="C41">
        <v>370</v>
      </c>
    </row>
    <row r="42" spans="2:3" x14ac:dyDescent="0.2">
      <c r="B42">
        <v>375</v>
      </c>
      <c r="C42">
        <v>380</v>
      </c>
    </row>
    <row r="43" spans="2:3" x14ac:dyDescent="0.2">
      <c r="B43">
        <v>385</v>
      </c>
      <c r="C43">
        <v>390</v>
      </c>
    </row>
    <row r="44" spans="2:3" x14ac:dyDescent="0.2">
      <c r="B44">
        <v>395</v>
      </c>
      <c r="C44">
        <v>400</v>
      </c>
    </row>
    <row r="45" spans="2:3" x14ac:dyDescent="0.2">
      <c r="B45">
        <v>405</v>
      </c>
      <c r="C45">
        <v>410</v>
      </c>
    </row>
    <row r="46" spans="2:3" x14ac:dyDescent="0.2">
      <c r="B46">
        <v>415</v>
      </c>
      <c r="C46">
        <v>420</v>
      </c>
    </row>
    <row r="47" spans="2:3" x14ac:dyDescent="0.2">
      <c r="B47">
        <v>425</v>
      </c>
      <c r="C47">
        <v>430</v>
      </c>
    </row>
    <row r="48" spans="2:3" x14ac:dyDescent="0.2">
      <c r="B48">
        <v>435</v>
      </c>
      <c r="C48">
        <v>440</v>
      </c>
    </row>
    <row r="49" spans="2:3" x14ac:dyDescent="0.2">
      <c r="B49">
        <v>445</v>
      </c>
      <c r="C49">
        <v>450</v>
      </c>
    </row>
    <row r="50" spans="2:3" x14ac:dyDescent="0.2">
      <c r="B50">
        <v>455</v>
      </c>
      <c r="C50">
        <v>460</v>
      </c>
    </row>
    <row r="51" spans="2:3" x14ac:dyDescent="0.2">
      <c r="B51">
        <v>465</v>
      </c>
      <c r="C51">
        <v>470</v>
      </c>
    </row>
    <row r="52" spans="2:3" x14ac:dyDescent="0.2">
      <c r="B52">
        <v>475</v>
      </c>
      <c r="C52">
        <v>480</v>
      </c>
    </row>
    <row r="53" spans="2:3" x14ac:dyDescent="0.2">
      <c r="B53">
        <v>485</v>
      </c>
      <c r="C53">
        <v>490</v>
      </c>
    </row>
    <row r="54" spans="2:3" x14ac:dyDescent="0.2">
      <c r="B54">
        <v>495</v>
      </c>
      <c r="C54">
        <v>500</v>
      </c>
    </row>
    <row r="55" spans="2:3" x14ac:dyDescent="0.2">
      <c r="B55">
        <v>505</v>
      </c>
      <c r="C55">
        <v>510</v>
      </c>
    </row>
    <row r="56" spans="2:3" x14ac:dyDescent="0.2">
      <c r="B56">
        <v>515</v>
      </c>
      <c r="C56">
        <v>520</v>
      </c>
    </row>
    <row r="57" spans="2:3" x14ac:dyDescent="0.2">
      <c r="B57">
        <v>525</v>
      </c>
      <c r="C57">
        <v>530</v>
      </c>
    </row>
    <row r="58" spans="2:3" x14ac:dyDescent="0.2">
      <c r="B58">
        <v>535</v>
      </c>
      <c r="C58">
        <v>540</v>
      </c>
    </row>
    <row r="59" spans="2:3" x14ac:dyDescent="0.2">
      <c r="B59">
        <v>545</v>
      </c>
      <c r="C59">
        <v>550</v>
      </c>
    </row>
    <row r="60" spans="2:3" x14ac:dyDescent="0.2">
      <c r="B60">
        <v>555</v>
      </c>
      <c r="C60">
        <v>560</v>
      </c>
    </row>
    <row r="61" spans="2:3" x14ac:dyDescent="0.2">
      <c r="B61">
        <v>565</v>
      </c>
      <c r="C61">
        <v>570</v>
      </c>
    </row>
    <row r="62" spans="2:3" x14ac:dyDescent="0.2">
      <c r="B62">
        <v>575</v>
      </c>
      <c r="C62">
        <v>580</v>
      </c>
    </row>
    <row r="63" spans="2:3" x14ac:dyDescent="0.2">
      <c r="B63">
        <v>585</v>
      </c>
      <c r="C63">
        <v>590</v>
      </c>
    </row>
    <row r="64" spans="2:3" x14ac:dyDescent="0.2">
      <c r="B64">
        <v>595</v>
      </c>
      <c r="C64">
        <v>600</v>
      </c>
    </row>
    <row r="65" spans="2:3" x14ac:dyDescent="0.2">
      <c r="B65">
        <v>605</v>
      </c>
      <c r="C65">
        <v>610</v>
      </c>
    </row>
    <row r="66" spans="2:3" x14ac:dyDescent="0.2">
      <c r="B66">
        <v>615</v>
      </c>
      <c r="C66">
        <v>620</v>
      </c>
    </row>
    <row r="67" spans="2:3" x14ac:dyDescent="0.2">
      <c r="B67">
        <v>625</v>
      </c>
      <c r="C67">
        <v>630</v>
      </c>
    </row>
    <row r="68" spans="2:3" x14ac:dyDescent="0.2">
      <c r="B68">
        <v>635</v>
      </c>
      <c r="C68">
        <v>640</v>
      </c>
    </row>
    <row r="69" spans="2:3" x14ac:dyDescent="0.2">
      <c r="B69">
        <v>645</v>
      </c>
      <c r="C69">
        <v>650</v>
      </c>
    </row>
    <row r="70" spans="2:3" x14ac:dyDescent="0.2">
      <c r="B70">
        <v>655</v>
      </c>
      <c r="C70">
        <v>660</v>
      </c>
    </row>
    <row r="71" spans="2:3" x14ac:dyDescent="0.2">
      <c r="B71">
        <v>665</v>
      </c>
      <c r="C71">
        <v>670</v>
      </c>
    </row>
    <row r="72" spans="2:3" x14ac:dyDescent="0.2">
      <c r="B72">
        <v>675</v>
      </c>
      <c r="C72">
        <v>680</v>
      </c>
    </row>
    <row r="73" spans="2:3" x14ac:dyDescent="0.2">
      <c r="B73">
        <v>685</v>
      </c>
      <c r="C73">
        <v>690</v>
      </c>
    </row>
    <row r="74" spans="2:3" x14ac:dyDescent="0.2">
      <c r="B74">
        <v>695</v>
      </c>
      <c r="C74">
        <v>700</v>
      </c>
    </row>
    <row r="75" spans="2:3" x14ac:dyDescent="0.2">
      <c r="B75">
        <v>705</v>
      </c>
      <c r="C75">
        <v>710</v>
      </c>
    </row>
    <row r="76" spans="2:3" x14ac:dyDescent="0.2">
      <c r="B76">
        <v>715</v>
      </c>
      <c r="C76">
        <v>720</v>
      </c>
    </row>
    <row r="77" spans="2:3" x14ac:dyDescent="0.2">
      <c r="B77">
        <v>725</v>
      </c>
      <c r="C77">
        <v>730</v>
      </c>
    </row>
    <row r="78" spans="2:3" x14ac:dyDescent="0.2">
      <c r="B78">
        <v>735</v>
      </c>
      <c r="C78">
        <v>740</v>
      </c>
    </row>
    <row r="79" spans="2:3" x14ac:dyDescent="0.2">
      <c r="B79">
        <v>745</v>
      </c>
      <c r="C79">
        <v>750</v>
      </c>
    </row>
    <row r="80" spans="2:3" x14ac:dyDescent="0.2">
      <c r="B80">
        <v>755</v>
      </c>
      <c r="C80">
        <v>760</v>
      </c>
    </row>
    <row r="81" spans="2:3" x14ac:dyDescent="0.2">
      <c r="B81">
        <v>765</v>
      </c>
      <c r="C81">
        <v>770</v>
      </c>
    </row>
    <row r="82" spans="2:3" x14ac:dyDescent="0.2">
      <c r="B82">
        <v>775</v>
      </c>
      <c r="C82">
        <v>780</v>
      </c>
    </row>
    <row r="83" spans="2:3" x14ac:dyDescent="0.2">
      <c r="B83">
        <v>785</v>
      </c>
      <c r="C83">
        <v>790</v>
      </c>
    </row>
    <row r="84" spans="2:3" x14ac:dyDescent="0.2">
      <c r="B84">
        <v>795</v>
      </c>
      <c r="C84">
        <v>800</v>
      </c>
    </row>
    <row r="85" spans="2:3" x14ac:dyDescent="0.2">
      <c r="B85">
        <v>805</v>
      </c>
      <c r="C85">
        <v>810</v>
      </c>
    </row>
    <row r="86" spans="2:3" x14ac:dyDescent="0.2">
      <c r="B86">
        <v>815</v>
      </c>
      <c r="C86">
        <v>820</v>
      </c>
    </row>
    <row r="87" spans="2:3" x14ac:dyDescent="0.2">
      <c r="B87">
        <v>825</v>
      </c>
      <c r="C87">
        <v>830</v>
      </c>
    </row>
    <row r="88" spans="2:3" x14ac:dyDescent="0.2">
      <c r="B88">
        <v>835</v>
      </c>
      <c r="C88">
        <v>840</v>
      </c>
    </row>
    <row r="89" spans="2:3" x14ac:dyDescent="0.2">
      <c r="B89">
        <v>845</v>
      </c>
      <c r="C89">
        <v>850</v>
      </c>
    </row>
    <row r="90" spans="2:3" x14ac:dyDescent="0.2">
      <c r="B90">
        <v>855</v>
      </c>
      <c r="C90">
        <v>860</v>
      </c>
    </row>
    <row r="91" spans="2:3" x14ac:dyDescent="0.2">
      <c r="B91">
        <v>865</v>
      </c>
      <c r="C91">
        <v>870</v>
      </c>
    </row>
    <row r="92" spans="2:3" x14ac:dyDescent="0.2">
      <c r="B92">
        <v>875</v>
      </c>
      <c r="C92">
        <v>880</v>
      </c>
    </row>
    <row r="93" spans="2:3" x14ac:dyDescent="0.2">
      <c r="B93">
        <v>885</v>
      </c>
      <c r="C93">
        <v>890</v>
      </c>
    </row>
    <row r="94" spans="2:3" x14ac:dyDescent="0.2">
      <c r="B94">
        <v>895</v>
      </c>
      <c r="C94">
        <v>900</v>
      </c>
    </row>
    <row r="95" spans="2:3" x14ac:dyDescent="0.2">
      <c r="B95">
        <v>905</v>
      </c>
      <c r="C95">
        <v>910</v>
      </c>
    </row>
    <row r="96" spans="2:3" x14ac:dyDescent="0.2">
      <c r="B96">
        <v>915</v>
      </c>
      <c r="C96">
        <v>920</v>
      </c>
    </row>
    <row r="97" spans="2:3" x14ac:dyDescent="0.2">
      <c r="B97">
        <v>925</v>
      </c>
      <c r="C97">
        <v>930</v>
      </c>
    </row>
    <row r="98" spans="2:3" x14ac:dyDescent="0.2">
      <c r="B98">
        <v>935</v>
      </c>
      <c r="C98">
        <v>940</v>
      </c>
    </row>
    <row r="99" spans="2:3" x14ac:dyDescent="0.2">
      <c r="B99">
        <v>945</v>
      </c>
      <c r="C99">
        <v>950</v>
      </c>
    </row>
    <row r="100" spans="2:3" x14ac:dyDescent="0.2">
      <c r="B100">
        <v>955</v>
      </c>
      <c r="C100">
        <v>960</v>
      </c>
    </row>
    <row r="101" spans="2:3" x14ac:dyDescent="0.2">
      <c r="B101">
        <v>965</v>
      </c>
      <c r="C101">
        <v>970</v>
      </c>
    </row>
    <row r="102" spans="2:3" x14ac:dyDescent="0.2">
      <c r="B102">
        <v>975</v>
      </c>
      <c r="C102">
        <v>980</v>
      </c>
    </row>
    <row r="103" spans="2:3" x14ac:dyDescent="0.2">
      <c r="B103">
        <v>985</v>
      </c>
      <c r="C103">
        <v>990</v>
      </c>
    </row>
    <row r="104" spans="2:3" x14ac:dyDescent="0.2">
      <c r="B104">
        <v>995</v>
      </c>
      <c r="C104">
        <v>1000</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0B30-6C80-48A9-B6CA-50E86C8326E6}">
  <sheetPr codeName="Sheet1"/>
  <dimension ref="B3:L38"/>
  <sheetViews>
    <sheetView workbookViewId="0">
      <selection activeCell="B23" sqref="B23:H28"/>
    </sheetView>
  </sheetViews>
  <sheetFormatPr defaultRowHeight="14.25" x14ac:dyDescent="0.2"/>
  <cols>
    <col min="1" max="1" width="13.875" customWidth="1"/>
    <col min="2" max="2" width="23" customWidth="1"/>
    <col min="3" max="10" width="11.625" customWidth="1"/>
    <col min="11" max="11" width="26.375" bestFit="1" customWidth="1"/>
    <col min="12" max="19" width="11.625" customWidth="1"/>
  </cols>
  <sheetData>
    <row r="3" spans="2:10" ht="15.75" thickBot="1" x14ac:dyDescent="0.3">
      <c r="B3" s="360" t="s">
        <v>8546</v>
      </c>
      <c r="C3" s="360" t="s">
        <v>8852</v>
      </c>
      <c r="D3" s="360" t="s">
        <v>8853</v>
      </c>
      <c r="E3" s="360" t="s">
        <v>8854</v>
      </c>
      <c r="F3" s="360" t="s">
        <v>8855</v>
      </c>
      <c r="G3" s="360" t="s">
        <v>7092</v>
      </c>
      <c r="H3" s="360" t="s">
        <v>8894</v>
      </c>
      <c r="I3" s="360"/>
      <c r="J3" s="360" t="s">
        <v>8895</v>
      </c>
    </row>
    <row r="4" spans="2:10" x14ac:dyDescent="0.2">
      <c r="B4" t="s">
        <v>8275</v>
      </c>
      <c r="C4">
        <v>1509</v>
      </c>
      <c r="D4">
        <v>1679</v>
      </c>
      <c r="E4">
        <v>1737</v>
      </c>
      <c r="F4">
        <v>1703</v>
      </c>
      <c r="G4" t="str">
        <f>IF(H4=0,"",B4)</f>
        <v>Longlife Tofu</v>
      </c>
      <c r="H4" s="406" cm="1">
        <f t="array" ref="H4:H20">CHOOSE(J4,$C$4:$C$20,$D$4:$D$20,$E$4:$E$20,$F$4:$F$20)</f>
        <v>1703</v>
      </c>
      <c r="J4" s="69">
        <v>4</v>
      </c>
    </row>
    <row r="5" spans="2:10" x14ac:dyDescent="0.2">
      <c r="B5" t="s">
        <v>8276</v>
      </c>
      <c r="C5">
        <v>1635</v>
      </c>
      <c r="E5">
        <v>1910</v>
      </c>
      <c r="F5">
        <v>1590</v>
      </c>
      <c r="G5" t="str">
        <f t="shared" ref="G5:G20" si="0">IF(H5=0,"",B5)</f>
        <v>Chang</v>
      </c>
      <c r="H5" s="406">
        <v>1590</v>
      </c>
    </row>
    <row r="6" spans="2:10" x14ac:dyDescent="0.2">
      <c r="B6" t="s">
        <v>8280</v>
      </c>
      <c r="C6">
        <v>1673</v>
      </c>
      <c r="D6">
        <v>1727</v>
      </c>
      <c r="E6">
        <v>1772</v>
      </c>
      <c r="F6">
        <v>1799</v>
      </c>
      <c r="G6" t="str">
        <f t="shared" si="0"/>
        <v>Pavlova</v>
      </c>
      <c r="H6" s="406">
        <v>1799</v>
      </c>
    </row>
    <row r="7" spans="2:10" x14ac:dyDescent="0.2">
      <c r="B7" t="s">
        <v>8281</v>
      </c>
      <c r="C7">
        <v>1762</v>
      </c>
      <c r="D7">
        <v>1659</v>
      </c>
      <c r="E7">
        <v>1504</v>
      </c>
      <c r="F7">
        <v>1892</v>
      </c>
      <c r="G7" t="str">
        <f t="shared" si="0"/>
        <v>Raclette Courdavault</v>
      </c>
      <c r="H7" s="406">
        <v>1892</v>
      </c>
    </row>
    <row r="8" spans="2:10" x14ac:dyDescent="0.2">
      <c r="B8" t="s">
        <v>8286</v>
      </c>
      <c r="C8">
        <v>1616</v>
      </c>
      <c r="D8">
        <v>1728</v>
      </c>
      <c r="E8">
        <v>1302</v>
      </c>
      <c r="F8">
        <v>1434</v>
      </c>
      <c r="G8" t="str">
        <f t="shared" si="0"/>
        <v>Chef Anton's Gumbo Mix</v>
      </c>
      <c r="H8" s="406">
        <v>1434</v>
      </c>
    </row>
    <row r="9" spans="2:10" x14ac:dyDescent="0.2">
      <c r="B9" t="s">
        <v>8287</v>
      </c>
      <c r="D9">
        <v>1907</v>
      </c>
      <c r="E9">
        <v>2026</v>
      </c>
      <c r="F9">
        <v>1501</v>
      </c>
      <c r="G9" t="str">
        <f t="shared" si="0"/>
        <v>Mascarpone Fabioli</v>
      </c>
      <c r="H9" s="406">
        <v>1501</v>
      </c>
    </row>
    <row r="10" spans="2:10" x14ac:dyDescent="0.2">
      <c r="B10" t="s">
        <v>8288</v>
      </c>
      <c r="C10">
        <v>1547</v>
      </c>
      <c r="D10">
        <v>1676</v>
      </c>
      <c r="E10">
        <v>1550</v>
      </c>
      <c r="F10">
        <v>1746</v>
      </c>
      <c r="G10" t="str">
        <f t="shared" si="0"/>
        <v>Outback Lager</v>
      </c>
      <c r="H10" s="406">
        <v>1746</v>
      </c>
    </row>
    <row r="11" spans="2:10" x14ac:dyDescent="0.2">
      <c r="B11" t="s">
        <v>8291</v>
      </c>
      <c r="C11">
        <v>2028</v>
      </c>
      <c r="D11">
        <v>1839</v>
      </c>
      <c r="E11">
        <v>1724</v>
      </c>
      <c r="G11" t="str">
        <f t="shared" si="0"/>
        <v/>
      </c>
      <c r="H11" s="406">
        <v>0</v>
      </c>
    </row>
    <row r="12" spans="2:10" x14ac:dyDescent="0.2">
      <c r="B12" t="s">
        <v>8258</v>
      </c>
      <c r="C12">
        <v>1977</v>
      </c>
      <c r="D12">
        <v>1404</v>
      </c>
      <c r="E12">
        <v>1964</v>
      </c>
      <c r="F12">
        <v>1714</v>
      </c>
      <c r="G12" t="str">
        <f t="shared" si="0"/>
        <v>Ravioli Angelo</v>
      </c>
      <c r="H12" s="406">
        <v>1714</v>
      </c>
    </row>
    <row r="13" spans="2:10" x14ac:dyDescent="0.2">
      <c r="B13" t="s">
        <v>8270</v>
      </c>
      <c r="D13">
        <v>1330</v>
      </c>
      <c r="E13">
        <v>1776</v>
      </c>
      <c r="F13">
        <v>1873</v>
      </c>
      <c r="G13" t="str">
        <f t="shared" si="0"/>
        <v>Guaraná Fantástica</v>
      </c>
      <c r="H13" s="406">
        <v>1873</v>
      </c>
    </row>
    <row r="14" spans="2:10" x14ac:dyDescent="0.2">
      <c r="B14" t="s">
        <v>8299</v>
      </c>
      <c r="D14">
        <v>1928</v>
      </c>
      <c r="E14">
        <v>1672</v>
      </c>
      <c r="F14">
        <v>1466</v>
      </c>
      <c r="G14" t="str">
        <f t="shared" si="0"/>
        <v>Queso Manchego La Pastora</v>
      </c>
      <c r="H14" s="406">
        <v>1466</v>
      </c>
    </row>
    <row r="15" spans="2:10" x14ac:dyDescent="0.2">
      <c r="B15" t="s">
        <v>8303</v>
      </c>
      <c r="C15">
        <v>1560</v>
      </c>
      <c r="D15">
        <v>1813</v>
      </c>
      <c r="E15">
        <v>1594</v>
      </c>
      <c r="G15" t="str">
        <f t="shared" si="0"/>
        <v/>
      </c>
      <c r="H15" s="406">
        <v>0</v>
      </c>
    </row>
    <row r="16" spans="2:10" x14ac:dyDescent="0.2">
      <c r="B16" t="s">
        <v>8306</v>
      </c>
      <c r="C16">
        <v>1704</v>
      </c>
      <c r="E16">
        <v>1457</v>
      </c>
      <c r="F16">
        <v>1602</v>
      </c>
      <c r="G16" t="str">
        <f t="shared" si="0"/>
        <v>Ipoh Coffee</v>
      </c>
      <c r="H16" s="406">
        <v>1602</v>
      </c>
    </row>
    <row r="17" spans="2:12" x14ac:dyDescent="0.2">
      <c r="B17" t="s">
        <v>8309</v>
      </c>
      <c r="C17">
        <v>1419</v>
      </c>
      <c r="D17">
        <v>1752</v>
      </c>
      <c r="E17">
        <v>1305</v>
      </c>
      <c r="F17">
        <v>1345</v>
      </c>
      <c r="G17" t="str">
        <f t="shared" si="0"/>
        <v>Gorgonzola Telino</v>
      </c>
      <c r="H17" s="406">
        <v>1345</v>
      </c>
    </row>
    <row r="18" spans="2:12" x14ac:dyDescent="0.2">
      <c r="B18" t="s">
        <v>8269</v>
      </c>
      <c r="C18">
        <v>1876</v>
      </c>
      <c r="E18">
        <v>1641</v>
      </c>
      <c r="F18">
        <v>1493</v>
      </c>
      <c r="G18" t="str">
        <f t="shared" si="0"/>
        <v>Geitost</v>
      </c>
      <c r="H18" s="406">
        <v>1493</v>
      </c>
    </row>
    <row r="19" spans="2:12" x14ac:dyDescent="0.2">
      <c r="B19" t="s">
        <v>8310</v>
      </c>
      <c r="C19">
        <v>1660</v>
      </c>
      <c r="D19">
        <v>1692</v>
      </c>
      <c r="F19">
        <v>1907</v>
      </c>
      <c r="G19" t="str">
        <f t="shared" si="0"/>
        <v>Fløtemysost</v>
      </c>
      <c r="H19" s="406">
        <v>1907</v>
      </c>
    </row>
    <row r="20" spans="2:12" x14ac:dyDescent="0.2">
      <c r="B20" t="s">
        <v>8235</v>
      </c>
      <c r="C20">
        <v>1893</v>
      </c>
      <c r="D20">
        <v>1865</v>
      </c>
      <c r="E20">
        <v>1397</v>
      </c>
      <c r="F20">
        <v>1666</v>
      </c>
      <c r="G20" t="str">
        <f t="shared" si="0"/>
        <v>Mozzarella di Giovanni</v>
      </c>
      <c r="H20" s="406">
        <v>1666</v>
      </c>
    </row>
    <row r="23" spans="2:12" ht="15.75" thickBot="1" x14ac:dyDescent="0.3">
      <c r="B23" s="360" t="s">
        <v>8935</v>
      </c>
      <c r="C23" s="360"/>
      <c r="D23" s="360"/>
      <c r="E23" s="360"/>
      <c r="F23" s="360"/>
      <c r="K23" t="str" cm="1">
        <f t="array" ref="K23:L38">_xlfn._xlws.FILTER($G$3:$H$20,$G$3:$G$20&lt;&gt;"")</f>
        <v>Products</v>
      </c>
      <c r="L23" t="str">
        <v>Chart</v>
      </c>
    </row>
    <row r="24" spans="2:12" x14ac:dyDescent="0.2">
      <c r="B24" t="s">
        <v>8936</v>
      </c>
      <c r="C24" s="99">
        <v>45352</v>
      </c>
      <c r="K24" t="str">
        <v>Longlife Tofu</v>
      </c>
      <c r="L24">
        <v>1703</v>
      </c>
    </row>
    <row r="25" spans="2:12" x14ac:dyDescent="0.2">
      <c r="B25" t="s">
        <v>8937</v>
      </c>
      <c r="C25">
        <v>0</v>
      </c>
      <c r="K25" t="str">
        <v>Chang</v>
      </c>
      <c r="L25">
        <v>1590</v>
      </c>
    </row>
    <row r="26" spans="2:12" x14ac:dyDescent="0.2">
      <c r="B26" t="s">
        <v>8938</v>
      </c>
      <c r="C26">
        <v>6</v>
      </c>
      <c r="K26" t="str">
        <v>Pavlova</v>
      </c>
      <c r="L26">
        <v>1799</v>
      </c>
    </row>
    <row r="27" spans="2:12" x14ac:dyDescent="0.2">
      <c r="K27" t="str">
        <v>Raclette Courdavault</v>
      </c>
      <c r="L27">
        <v>1892</v>
      </c>
    </row>
    <row r="28" spans="2:12" x14ac:dyDescent="0.2">
      <c r="B28" t="s">
        <v>8939</v>
      </c>
      <c r="C28" s="99" cm="1">
        <f t="array" ref="C28:H28">EOMONTH(C24,_xlfn.SEQUENCE(1,C26,C25))</f>
        <v>45382</v>
      </c>
      <c r="D28" s="99">
        <v>45412</v>
      </c>
      <c r="E28" s="99">
        <v>45443</v>
      </c>
      <c r="F28" s="99">
        <v>45473</v>
      </c>
      <c r="G28" s="99">
        <v>45504</v>
      </c>
      <c r="H28" s="99">
        <v>45535</v>
      </c>
      <c r="I28" s="99"/>
      <c r="J28" s="99"/>
      <c r="K28" t="str">
        <v>Chef Anton's Gumbo Mix</v>
      </c>
      <c r="L28">
        <v>1434</v>
      </c>
    </row>
    <row r="29" spans="2:12" x14ac:dyDescent="0.2">
      <c r="K29" t="str">
        <v>Mascarpone Fabioli</v>
      </c>
      <c r="L29">
        <v>1501</v>
      </c>
    </row>
    <row r="30" spans="2:12" x14ac:dyDescent="0.2">
      <c r="K30" t="str">
        <v>Outback Lager</v>
      </c>
      <c r="L30">
        <v>1746</v>
      </c>
    </row>
    <row r="31" spans="2:12" x14ac:dyDescent="0.2">
      <c r="K31" t="str">
        <v>Ravioli Angelo</v>
      </c>
      <c r="L31">
        <v>1714</v>
      </c>
    </row>
    <row r="32" spans="2:12" x14ac:dyDescent="0.2">
      <c r="K32" t="str">
        <v>Guaraná Fantástica</v>
      </c>
      <c r="L32">
        <v>1873</v>
      </c>
    </row>
    <row r="33" spans="11:12" x14ac:dyDescent="0.2">
      <c r="K33" t="str">
        <v>Queso Manchego La Pastora</v>
      </c>
      <c r="L33">
        <v>1466</v>
      </c>
    </row>
    <row r="34" spans="11:12" x14ac:dyDescent="0.2">
      <c r="K34" t="str">
        <v>Ipoh Coffee</v>
      </c>
      <c r="L34">
        <v>1602</v>
      </c>
    </row>
    <row r="35" spans="11:12" x14ac:dyDescent="0.2">
      <c r="K35" t="str">
        <v>Gorgonzola Telino</v>
      </c>
      <c r="L35">
        <v>1345</v>
      </c>
    </row>
    <row r="36" spans="11:12" x14ac:dyDescent="0.2">
      <c r="K36" t="str">
        <v>Geitost</v>
      </c>
      <c r="L36">
        <v>1493</v>
      </c>
    </row>
    <row r="37" spans="11:12" x14ac:dyDescent="0.2">
      <c r="K37" t="str">
        <v>Fløtemysost</v>
      </c>
      <c r="L37">
        <v>1907</v>
      </c>
    </row>
    <row r="38" spans="11:12" x14ac:dyDescent="0.2">
      <c r="K38" t="str">
        <v>Mozzarella di Giovanni</v>
      </c>
      <c r="L38">
        <v>1666</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4593" r:id="rId4" name="Group Box 1">
              <controlPr defaultSize="0" autoFill="0" autoPict="0">
                <anchor moveWithCells="1">
                  <from>
                    <xdr:col>9</xdr:col>
                    <xdr:colOff>66675</xdr:colOff>
                    <xdr:row>5</xdr:row>
                    <xdr:rowOff>76200</xdr:rowOff>
                  </from>
                  <to>
                    <xdr:col>10</xdr:col>
                    <xdr:colOff>161925</xdr:colOff>
                    <xdr:row>11</xdr:row>
                    <xdr:rowOff>104775</xdr:rowOff>
                  </to>
                </anchor>
              </controlPr>
            </control>
          </mc:Choice>
        </mc:AlternateContent>
        <mc:AlternateContent xmlns:mc="http://schemas.openxmlformats.org/markup-compatibility/2006">
          <mc:Choice Requires="x14">
            <control shapeId="494594" r:id="rId5" name="Option Button 2">
              <controlPr defaultSize="0" autoFill="0" autoLine="0" autoPict="0">
                <anchor moveWithCells="1">
                  <from>
                    <xdr:col>9</xdr:col>
                    <xdr:colOff>114300</xdr:colOff>
                    <xdr:row>5</xdr:row>
                    <xdr:rowOff>123825</xdr:rowOff>
                  </from>
                  <to>
                    <xdr:col>10</xdr:col>
                    <xdr:colOff>133350</xdr:colOff>
                    <xdr:row>6</xdr:row>
                    <xdr:rowOff>123825</xdr:rowOff>
                  </to>
                </anchor>
              </controlPr>
            </control>
          </mc:Choice>
        </mc:AlternateContent>
        <mc:AlternateContent xmlns:mc="http://schemas.openxmlformats.org/markup-compatibility/2006">
          <mc:Choice Requires="x14">
            <control shapeId="494595" r:id="rId6" name="Option Button 3">
              <controlPr defaultSize="0" autoFill="0" autoLine="0" autoPict="0">
                <anchor moveWithCells="1">
                  <from>
                    <xdr:col>9</xdr:col>
                    <xdr:colOff>114300</xdr:colOff>
                    <xdr:row>7</xdr:row>
                    <xdr:rowOff>28575</xdr:rowOff>
                  </from>
                  <to>
                    <xdr:col>10</xdr:col>
                    <xdr:colOff>133350</xdr:colOff>
                    <xdr:row>8</xdr:row>
                    <xdr:rowOff>28575</xdr:rowOff>
                  </to>
                </anchor>
              </controlPr>
            </control>
          </mc:Choice>
        </mc:AlternateContent>
        <mc:AlternateContent xmlns:mc="http://schemas.openxmlformats.org/markup-compatibility/2006">
          <mc:Choice Requires="x14">
            <control shapeId="494596" r:id="rId7" name="Option Button 4">
              <controlPr defaultSize="0" autoFill="0" autoLine="0" autoPict="0">
                <anchor moveWithCells="1">
                  <from>
                    <xdr:col>9</xdr:col>
                    <xdr:colOff>114300</xdr:colOff>
                    <xdr:row>8</xdr:row>
                    <xdr:rowOff>104775</xdr:rowOff>
                  </from>
                  <to>
                    <xdr:col>10</xdr:col>
                    <xdr:colOff>133350</xdr:colOff>
                    <xdr:row>9</xdr:row>
                    <xdr:rowOff>114300</xdr:rowOff>
                  </to>
                </anchor>
              </controlPr>
            </control>
          </mc:Choice>
        </mc:AlternateContent>
        <mc:AlternateContent xmlns:mc="http://schemas.openxmlformats.org/markup-compatibility/2006">
          <mc:Choice Requires="x14">
            <control shapeId="494597" r:id="rId8" name="Option Button 5">
              <controlPr defaultSize="0" autoFill="0" autoLine="0" autoPict="0">
                <anchor moveWithCells="1">
                  <from>
                    <xdr:col>9</xdr:col>
                    <xdr:colOff>114300</xdr:colOff>
                    <xdr:row>10</xdr:row>
                    <xdr:rowOff>9525</xdr:rowOff>
                  </from>
                  <to>
                    <xdr:col>10</xdr:col>
                    <xdr:colOff>133350</xdr:colOff>
                    <xdr:row>11</xdr:row>
                    <xdr:rowOff>9525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08518-9040-4669-BF5C-7E638CBF2D36}">
  <sheetPr codeName="Sheet2"/>
  <dimension ref="B3:M31"/>
  <sheetViews>
    <sheetView workbookViewId="0">
      <selection activeCell="B25" sqref="B25:H31"/>
    </sheetView>
  </sheetViews>
  <sheetFormatPr defaultRowHeight="14.25" x14ac:dyDescent="0.2"/>
  <cols>
    <col min="1" max="1" width="15.75" customWidth="1"/>
    <col min="2" max="2" width="23" customWidth="1"/>
    <col min="3" max="15" width="10.875" customWidth="1"/>
  </cols>
  <sheetData>
    <row r="3" spans="2:10" ht="15.75" thickBot="1" x14ac:dyDescent="0.3">
      <c r="B3" s="360" t="s">
        <v>8546</v>
      </c>
      <c r="C3" s="360" t="s">
        <v>8852</v>
      </c>
      <c r="D3" s="360" t="s">
        <v>8853</v>
      </c>
      <c r="E3" s="360" t="s">
        <v>8854</v>
      </c>
      <c r="F3" s="360" t="s">
        <v>8855</v>
      </c>
      <c r="H3" s="360" t="s">
        <v>8546</v>
      </c>
      <c r="I3" s="360" t="s">
        <v>8509</v>
      </c>
      <c r="J3" s="360" t="s">
        <v>8895</v>
      </c>
    </row>
    <row r="4" spans="2:10" x14ac:dyDescent="0.2">
      <c r="B4" t="s">
        <v>8275</v>
      </c>
      <c r="C4">
        <v>1509</v>
      </c>
      <c r="D4">
        <v>1679</v>
      </c>
      <c r="E4">
        <v>1737</v>
      </c>
      <c r="F4">
        <v>1703</v>
      </c>
      <c r="J4" s="69">
        <v>1</v>
      </c>
    </row>
    <row r="5" spans="2:10" x14ac:dyDescent="0.2">
      <c r="B5" t="s">
        <v>8276</v>
      </c>
      <c r="C5">
        <v>1635</v>
      </c>
      <c r="E5">
        <v>1910</v>
      </c>
      <c r="F5">
        <v>1590</v>
      </c>
    </row>
    <row r="6" spans="2:10" x14ac:dyDescent="0.2">
      <c r="B6" t="s">
        <v>8280</v>
      </c>
      <c r="C6">
        <v>1673</v>
      </c>
      <c r="D6">
        <v>1727</v>
      </c>
      <c r="E6">
        <v>1772</v>
      </c>
      <c r="F6">
        <v>1799</v>
      </c>
    </row>
    <row r="7" spans="2:10" x14ac:dyDescent="0.2">
      <c r="B7" t="s">
        <v>8281</v>
      </c>
      <c r="C7">
        <v>1762</v>
      </c>
      <c r="D7">
        <v>1659</v>
      </c>
      <c r="E7">
        <v>1504</v>
      </c>
      <c r="F7">
        <v>1892</v>
      </c>
    </row>
    <row r="8" spans="2:10" x14ac:dyDescent="0.2">
      <c r="B8" t="s">
        <v>8286</v>
      </c>
      <c r="C8">
        <v>1616</v>
      </c>
      <c r="D8">
        <v>1728</v>
      </c>
      <c r="E8">
        <v>1302</v>
      </c>
      <c r="F8">
        <v>1434</v>
      </c>
    </row>
    <row r="9" spans="2:10" x14ac:dyDescent="0.2">
      <c r="B9" t="s">
        <v>8287</v>
      </c>
      <c r="D9">
        <v>1907</v>
      </c>
      <c r="E9">
        <v>2026</v>
      </c>
      <c r="F9">
        <v>1501</v>
      </c>
    </row>
    <row r="10" spans="2:10" x14ac:dyDescent="0.2">
      <c r="B10" t="s">
        <v>8288</v>
      </c>
      <c r="C10">
        <v>1547</v>
      </c>
      <c r="D10">
        <v>1676</v>
      </c>
      <c r="E10">
        <v>1550</v>
      </c>
      <c r="F10">
        <v>1746</v>
      </c>
    </row>
    <row r="11" spans="2:10" x14ac:dyDescent="0.2">
      <c r="B11" t="s">
        <v>8291</v>
      </c>
      <c r="C11">
        <v>2028</v>
      </c>
      <c r="D11">
        <v>1839</v>
      </c>
      <c r="E11">
        <v>1724</v>
      </c>
    </row>
    <row r="12" spans="2:10" x14ac:dyDescent="0.2">
      <c r="B12" t="s">
        <v>8258</v>
      </c>
      <c r="C12">
        <v>1977</v>
      </c>
      <c r="D12">
        <v>1404</v>
      </c>
      <c r="E12">
        <v>1964</v>
      </c>
      <c r="F12">
        <v>1714</v>
      </c>
    </row>
    <row r="13" spans="2:10" x14ac:dyDescent="0.2">
      <c r="B13" t="s">
        <v>8270</v>
      </c>
      <c r="D13">
        <v>1330</v>
      </c>
      <c r="E13">
        <v>1776</v>
      </c>
      <c r="F13">
        <v>1873</v>
      </c>
    </row>
    <row r="14" spans="2:10" x14ac:dyDescent="0.2">
      <c r="B14" t="s">
        <v>8299</v>
      </c>
      <c r="D14">
        <v>1928</v>
      </c>
      <c r="E14">
        <v>1672</v>
      </c>
      <c r="F14">
        <v>1466</v>
      </c>
    </row>
    <row r="15" spans="2:10" x14ac:dyDescent="0.2">
      <c r="B15" t="s">
        <v>8303</v>
      </c>
      <c r="C15">
        <v>1560</v>
      </c>
      <c r="D15">
        <v>1813</v>
      </c>
      <c r="E15">
        <v>1594</v>
      </c>
    </row>
    <row r="16" spans="2:10" x14ac:dyDescent="0.2">
      <c r="B16" t="s">
        <v>8306</v>
      </c>
      <c r="C16">
        <v>1704</v>
      </c>
      <c r="E16">
        <v>1457</v>
      </c>
      <c r="F16">
        <v>1602</v>
      </c>
    </row>
    <row r="17" spans="2:13" x14ac:dyDescent="0.2">
      <c r="B17" t="s">
        <v>8309</v>
      </c>
      <c r="C17">
        <v>1419</v>
      </c>
      <c r="D17">
        <v>1752</v>
      </c>
      <c r="E17">
        <v>1305</v>
      </c>
      <c r="F17">
        <v>1345</v>
      </c>
    </row>
    <row r="18" spans="2:13" x14ac:dyDescent="0.2">
      <c r="B18" t="s">
        <v>8269</v>
      </c>
      <c r="C18">
        <v>1876</v>
      </c>
      <c r="E18">
        <v>1641</v>
      </c>
      <c r="F18">
        <v>1493</v>
      </c>
    </row>
    <row r="19" spans="2:13" x14ac:dyDescent="0.2">
      <c r="B19" t="s">
        <v>8310</v>
      </c>
      <c r="C19">
        <v>1660</v>
      </c>
      <c r="D19">
        <v>1692</v>
      </c>
      <c r="F19">
        <v>1907</v>
      </c>
    </row>
    <row r="20" spans="2:13" x14ac:dyDescent="0.2">
      <c r="B20" t="s">
        <v>8235</v>
      </c>
      <c r="C20">
        <v>1893</v>
      </c>
      <c r="D20">
        <v>1865</v>
      </c>
      <c r="E20">
        <v>1397</v>
      </c>
      <c r="F20">
        <v>1666</v>
      </c>
    </row>
    <row r="25" spans="2:13" ht="15.75" thickBot="1" x14ac:dyDescent="0.3">
      <c r="B25" s="360" t="s">
        <v>8935</v>
      </c>
      <c r="C25" s="360"/>
      <c r="D25" s="360"/>
      <c r="E25" s="360"/>
      <c r="F25" s="360"/>
    </row>
    <row r="27" spans="2:13" x14ac:dyDescent="0.2">
      <c r="B27" t="s">
        <v>8936</v>
      </c>
      <c r="C27" s="99">
        <v>45352</v>
      </c>
    </row>
    <row r="28" spans="2:13" x14ac:dyDescent="0.2">
      <c r="B28" t="s">
        <v>8937</v>
      </c>
      <c r="C28">
        <v>0</v>
      </c>
    </row>
    <row r="29" spans="2:13" x14ac:dyDescent="0.2">
      <c r="B29" t="s">
        <v>8938</v>
      </c>
      <c r="C29">
        <v>6</v>
      </c>
    </row>
    <row r="31" spans="2:13" x14ac:dyDescent="0.2">
      <c r="B31" t="s">
        <v>8939</v>
      </c>
      <c r="C31" s="99">
        <v>45382</v>
      </c>
      <c r="D31" s="99">
        <v>45412</v>
      </c>
      <c r="E31" s="99">
        <v>45443</v>
      </c>
      <c r="F31" s="99">
        <v>45473</v>
      </c>
      <c r="G31" s="99">
        <v>45504</v>
      </c>
      <c r="H31" s="99">
        <v>45535</v>
      </c>
      <c r="I31" s="99"/>
      <c r="J31" s="99"/>
      <c r="K31" s="99"/>
      <c r="L31" s="99"/>
      <c r="M31" s="99"/>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 r:id="rId4" name="Group Box 1">
              <controlPr defaultSize="0" autoFill="0" autoPict="0">
                <anchor moveWithCells="1">
                  <from>
                    <xdr:col>9</xdr:col>
                    <xdr:colOff>66675</xdr:colOff>
                    <xdr:row>5</xdr:row>
                    <xdr:rowOff>0</xdr:rowOff>
                  </from>
                  <to>
                    <xdr:col>10</xdr:col>
                    <xdr:colOff>161925</xdr:colOff>
                    <xdr:row>11</xdr:row>
                    <xdr:rowOff>38100</xdr:rowOff>
                  </to>
                </anchor>
              </controlPr>
            </control>
          </mc:Choice>
        </mc:AlternateContent>
        <mc:AlternateContent xmlns:mc="http://schemas.openxmlformats.org/markup-compatibility/2006">
          <mc:Choice Requires="x14">
            <control shapeId="8" r:id="rId5" name="Option Button 2">
              <controlPr defaultSize="0" autoFill="0" autoLine="0" autoPict="0">
                <anchor moveWithCells="1">
                  <from>
                    <xdr:col>9</xdr:col>
                    <xdr:colOff>114300</xdr:colOff>
                    <xdr:row>5</xdr:row>
                    <xdr:rowOff>47625</xdr:rowOff>
                  </from>
                  <to>
                    <xdr:col>10</xdr:col>
                    <xdr:colOff>133350</xdr:colOff>
                    <xdr:row>6</xdr:row>
                    <xdr:rowOff>47625</xdr:rowOff>
                  </to>
                </anchor>
              </controlPr>
            </control>
          </mc:Choice>
        </mc:AlternateContent>
        <mc:AlternateContent xmlns:mc="http://schemas.openxmlformats.org/markup-compatibility/2006">
          <mc:Choice Requires="x14">
            <control shapeId="9" r:id="rId6" name="Option Button 3">
              <controlPr defaultSize="0" autoFill="0" autoLine="0" autoPict="0">
                <anchor moveWithCells="1">
                  <from>
                    <xdr:col>9</xdr:col>
                    <xdr:colOff>114300</xdr:colOff>
                    <xdr:row>6</xdr:row>
                    <xdr:rowOff>133350</xdr:rowOff>
                  </from>
                  <to>
                    <xdr:col>10</xdr:col>
                    <xdr:colOff>133350</xdr:colOff>
                    <xdr:row>7</xdr:row>
                    <xdr:rowOff>133350</xdr:rowOff>
                  </to>
                </anchor>
              </controlPr>
            </control>
          </mc:Choice>
        </mc:AlternateContent>
        <mc:AlternateContent xmlns:mc="http://schemas.openxmlformats.org/markup-compatibility/2006">
          <mc:Choice Requires="x14">
            <control shapeId="10" r:id="rId7" name="Option Button 4">
              <controlPr defaultSize="0" autoFill="0" autoLine="0" autoPict="0">
                <anchor moveWithCells="1">
                  <from>
                    <xdr:col>9</xdr:col>
                    <xdr:colOff>114300</xdr:colOff>
                    <xdr:row>8</xdr:row>
                    <xdr:rowOff>38100</xdr:rowOff>
                  </from>
                  <to>
                    <xdr:col>10</xdr:col>
                    <xdr:colOff>133350</xdr:colOff>
                    <xdr:row>9</xdr:row>
                    <xdr:rowOff>38100</xdr:rowOff>
                  </to>
                </anchor>
              </controlPr>
            </control>
          </mc:Choice>
        </mc:AlternateContent>
        <mc:AlternateContent xmlns:mc="http://schemas.openxmlformats.org/markup-compatibility/2006">
          <mc:Choice Requires="x14">
            <control shapeId="11" r:id="rId8" name="Option Button 5">
              <controlPr defaultSize="0" autoFill="0" autoLine="0" autoPict="0">
                <anchor moveWithCells="1">
                  <from>
                    <xdr:col>9</xdr:col>
                    <xdr:colOff>114300</xdr:colOff>
                    <xdr:row>9</xdr:row>
                    <xdr:rowOff>123825</xdr:rowOff>
                  </from>
                  <to>
                    <xdr:col>10</xdr:col>
                    <xdr:colOff>133350</xdr:colOff>
                    <xdr:row>10</xdr:row>
                    <xdr:rowOff>123825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C156B-C765-45C3-9B1C-B7533DDEFDC2}">
  <dimension ref="C2:Q31"/>
  <sheetViews>
    <sheetView workbookViewId="0">
      <selection activeCell="E43" sqref="E43"/>
    </sheetView>
  </sheetViews>
  <sheetFormatPr defaultRowHeight="14.25" x14ac:dyDescent="0.2"/>
  <cols>
    <col min="3" max="3" width="17.375" customWidth="1"/>
    <col min="4" max="4" width="8.5" customWidth="1"/>
    <col min="5" max="5" width="22.75" bestFit="1" customWidth="1"/>
    <col min="6" max="6" width="13.25" customWidth="1"/>
    <col min="8" max="8" width="17.25" bestFit="1" customWidth="1"/>
    <col min="9" max="9" width="12.375" customWidth="1"/>
    <col min="10" max="10" width="12" customWidth="1"/>
    <col min="13" max="13" width="23.625" customWidth="1"/>
    <col min="14" max="14" width="8.125" customWidth="1"/>
  </cols>
  <sheetData>
    <row r="2" spans="3:17" ht="15.75" thickBot="1" x14ac:dyDescent="0.3">
      <c r="C2" s="360" t="s">
        <v>8850</v>
      </c>
      <c r="E2" s="360" t="s">
        <v>2422</v>
      </c>
      <c r="F2" s="360" t="s">
        <v>8851</v>
      </c>
      <c r="H2" s="360" t="s">
        <v>8546</v>
      </c>
      <c r="I2" s="360" t="s">
        <v>2410</v>
      </c>
      <c r="J2" s="360" t="s">
        <v>8509</v>
      </c>
      <c r="M2" s="360" t="s">
        <v>8546</v>
      </c>
      <c r="N2" s="380" t="s">
        <v>8852</v>
      </c>
      <c r="O2" s="380" t="s">
        <v>8853</v>
      </c>
      <c r="P2" s="380" t="s">
        <v>8854</v>
      </c>
      <c r="Q2" s="380" t="s">
        <v>8855</v>
      </c>
    </row>
    <row r="3" spans="3:17" x14ac:dyDescent="0.2">
      <c r="C3" s="351" t="s">
        <v>7287</v>
      </c>
      <c r="E3" t="s">
        <v>8141</v>
      </c>
      <c r="F3" t="s">
        <v>6983</v>
      </c>
      <c r="H3" t="s">
        <v>8268</v>
      </c>
      <c r="I3">
        <v>1</v>
      </c>
      <c r="J3">
        <v>8439</v>
      </c>
      <c r="M3" t="s">
        <v>8275</v>
      </c>
      <c r="N3">
        <v>1509</v>
      </c>
      <c r="O3">
        <v>1679</v>
      </c>
      <c r="P3">
        <v>1737</v>
      </c>
      <c r="Q3">
        <v>1703</v>
      </c>
    </row>
    <row r="4" spans="3:17" x14ac:dyDescent="0.2">
      <c r="C4" s="351" t="s">
        <v>8856</v>
      </c>
      <c r="E4" t="s">
        <v>8142</v>
      </c>
      <c r="F4" t="s">
        <v>6962</v>
      </c>
      <c r="H4" t="s">
        <v>8269</v>
      </c>
      <c r="I4">
        <v>1</v>
      </c>
      <c r="J4">
        <v>8870</v>
      </c>
      <c r="M4" t="s">
        <v>8276</v>
      </c>
      <c r="N4">
        <v>1635</v>
      </c>
      <c r="P4">
        <v>1910</v>
      </c>
      <c r="Q4">
        <v>1590</v>
      </c>
    </row>
    <row r="5" spans="3:17" x14ac:dyDescent="0.2">
      <c r="C5" s="351" t="s">
        <v>7302</v>
      </c>
      <c r="E5" t="s">
        <v>8143</v>
      </c>
      <c r="F5" t="s">
        <v>6944</v>
      </c>
      <c r="H5" t="s">
        <v>8270</v>
      </c>
      <c r="I5">
        <v>1</v>
      </c>
      <c r="J5">
        <v>7656</v>
      </c>
      <c r="M5" t="s">
        <v>8280</v>
      </c>
      <c r="N5">
        <v>1673</v>
      </c>
      <c r="O5">
        <v>1727</v>
      </c>
      <c r="P5">
        <v>1772</v>
      </c>
      <c r="Q5">
        <v>1799</v>
      </c>
    </row>
    <row r="6" spans="3:17" x14ac:dyDescent="0.2">
      <c r="C6" s="351" t="s">
        <v>8857</v>
      </c>
      <c r="E6" t="s">
        <v>8144</v>
      </c>
      <c r="F6" t="s">
        <v>8145</v>
      </c>
      <c r="H6" t="s">
        <v>8275</v>
      </c>
      <c r="I6">
        <v>1</v>
      </c>
      <c r="J6">
        <v>7934</v>
      </c>
      <c r="M6" t="s">
        <v>8281</v>
      </c>
      <c r="N6">
        <v>1762</v>
      </c>
      <c r="O6">
        <v>1659</v>
      </c>
      <c r="P6">
        <v>1504</v>
      </c>
      <c r="Q6">
        <v>1892</v>
      </c>
    </row>
    <row r="7" spans="3:17" x14ac:dyDescent="0.2">
      <c r="C7" s="351" t="s">
        <v>7298</v>
      </c>
      <c r="E7" t="s">
        <v>8146</v>
      </c>
      <c r="F7" t="s">
        <v>8147</v>
      </c>
      <c r="M7" t="s">
        <v>8286</v>
      </c>
      <c r="N7">
        <v>1616</v>
      </c>
      <c r="O7">
        <v>1728</v>
      </c>
      <c r="P7">
        <v>1302</v>
      </c>
      <c r="Q7">
        <v>1434</v>
      </c>
    </row>
    <row r="8" spans="3:17" x14ac:dyDescent="0.2">
      <c r="C8" t="s">
        <v>8858</v>
      </c>
      <c r="E8" t="s">
        <v>8148</v>
      </c>
      <c r="F8" t="s">
        <v>8149</v>
      </c>
      <c r="H8" t="s">
        <v>8268</v>
      </c>
      <c r="I8">
        <v>2</v>
      </c>
      <c r="J8">
        <v>6706</v>
      </c>
      <c r="M8" t="s">
        <v>8287</v>
      </c>
      <c r="O8">
        <v>1907</v>
      </c>
      <c r="P8">
        <v>2026</v>
      </c>
      <c r="Q8">
        <v>1501</v>
      </c>
    </row>
    <row r="9" spans="3:17" x14ac:dyDescent="0.2">
      <c r="C9" s="405" t="s">
        <v>8859</v>
      </c>
      <c r="E9" t="s">
        <v>8150</v>
      </c>
      <c r="F9" t="s">
        <v>8151</v>
      </c>
      <c r="H9" t="s">
        <v>8269</v>
      </c>
      <c r="I9">
        <v>2</v>
      </c>
      <c r="J9">
        <v>6184</v>
      </c>
      <c r="M9" t="s">
        <v>8288</v>
      </c>
      <c r="N9">
        <v>1547</v>
      </c>
      <c r="O9">
        <v>1676</v>
      </c>
      <c r="P9">
        <v>1550</v>
      </c>
      <c r="Q9">
        <v>1746</v>
      </c>
    </row>
    <row r="10" spans="3:17" x14ac:dyDescent="0.2">
      <c r="C10">
        <v>9</v>
      </c>
      <c r="E10" t="s">
        <v>8152</v>
      </c>
      <c r="F10" t="s">
        <v>8153</v>
      </c>
      <c r="H10" t="s">
        <v>8270</v>
      </c>
      <c r="I10">
        <v>2</v>
      </c>
      <c r="J10">
        <v>6396</v>
      </c>
      <c r="M10" t="s">
        <v>8291</v>
      </c>
      <c r="N10">
        <v>2028</v>
      </c>
      <c r="O10">
        <v>1839</v>
      </c>
      <c r="P10">
        <v>1724</v>
      </c>
    </row>
    <row r="11" spans="3:17" x14ac:dyDescent="0.2">
      <c r="C11" s="351" t="s">
        <v>8860</v>
      </c>
      <c r="E11" t="s">
        <v>8154</v>
      </c>
      <c r="F11" t="s">
        <v>8155</v>
      </c>
      <c r="H11" t="s">
        <v>8275</v>
      </c>
      <c r="I11">
        <v>2</v>
      </c>
      <c r="J11">
        <v>4959</v>
      </c>
      <c r="M11" t="s">
        <v>8258</v>
      </c>
      <c r="N11">
        <v>1977</v>
      </c>
      <c r="O11">
        <v>1404</v>
      </c>
      <c r="P11">
        <v>1964</v>
      </c>
      <c r="Q11">
        <v>1714</v>
      </c>
    </row>
    <row r="12" spans="3:17" x14ac:dyDescent="0.2">
      <c r="M12" t="s">
        <v>8270</v>
      </c>
      <c r="O12">
        <v>1330</v>
      </c>
      <c r="P12">
        <v>1776</v>
      </c>
      <c r="Q12">
        <v>1873</v>
      </c>
    </row>
    <row r="13" spans="3:17" x14ac:dyDescent="0.2">
      <c r="H13" t="s">
        <v>8268</v>
      </c>
      <c r="I13">
        <v>3</v>
      </c>
      <c r="J13">
        <v>7124</v>
      </c>
      <c r="M13" t="s">
        <v>8299</v>
      </c>
      <c r="O13">
        <v>1928</v>
      </c>
      <c r="P13">
        <v>1672</v>
      </c>
      <c r="Q13">
        <v>1466</v>
      </c>
    </row>
    <row r="14" spans="3:17" ht="15.75" thickBot="1" x14ac:dyDescent="0.3">
      <c r="C14" s="360" t="s">
        <v>8861</v>
      </c>
      <c r="H14" t="s">
        <v>8269</v>
      </c>
      <c r="I14">
        <v>3</v>
      </c>
      <c r="J14">
        <v>5130</v>
      </c>
      <c r="M14" t="s">
        <v>8303</v>
      </c>
      <c r="N14">
        <v>1560</v>
      </c>
      <c r="O14">
        <v>1813</v>
      </c>
      <c r="P14">
        <v>1594</v>
      </c>
    </row>
    <row r="15" spans="3:17" ht="15.75" thickBot="1" x14ac:dyDescent="0.3">
      <c r="C15" t="s">
        <v>8862</v>
      </c>
      <c r="E15" s="360" t="s">
        <v>8863</v>
      </c>
      <c r="F15" s="360" t="s">
        <v>7104</v>
      </c>
      <c r="H15" t="s">
        <v>8270</v>
      </c>
      <c r="I15">
        <v>3</v>
      </c>
      <c r="J15">
        <v>9116</v>
      </c>
      <c r="M15" t="s">
        <v>8306</v>
      </c>
      <c r="N15">
        <v>1704</v>
      </c>
      <c r="P15">
        <v>1457</v>
      </c>
      <c r="Q15">
        <v>1602</v>
      </c>
    </row>
    <row r="16" spans="3:17" x14ac:dyDescent="0.2">
      <c r="C16" t="s">
        <v>8864</v>
      </c>
      <c r="E16" t="s">
        <v>8865</v>
      </c>
      <c r="F16">
        <v>71</v>
      </c>
      <c r="H16" t="s">
        <v>8275</v>
      </c>
      <c r="I16">
        <v>3</v>
      </c>
      <c r="J16">
        <v>8068</v>
      </c>
      <c r="M16" t="s">
        <v>8309</v>
      </c>
      <c r="N16">
        <v>1419</v>
      </c>
      <c r="O16">
        <v>1752</v>
      </c>
      <c r="P16">
        <v>1305</v>
      </c>
      <c r="Q16">
        <v>1345</v>
      </c>
    </row>
    <row r="17" spans="3:17" x14ac:dyDescent="0.2">
      <c r="C17" t="s">
        <v>8866</v>
      </c>
      <c r="E17" t="s">
        <v>8867</v>
      </c>
      <c r="F17">
        <v>36</v>
      </c>
      <c r="M17" t="s">
        <v>8269</v>
      </c>
      <c r="N17">
        <v>1876</v>
      </c>
      <c r="P17">
        <v>1641</v>
      </c>
      <c r="Q17">
        <v>1493</v>
      </c>
    </row>
    <row r="18" spans="3:17" x14ac:dyDescent="0.2">
      <c r="C18" t="s">
        <v>8868</v>
      </c>
      <c r="E18" t="s">
        <v>8869</v>
      </c>
      <c r="F18">
        <v>55</v>
      </c>
      <c r="H18" t="s">
        <v>8268</v>
      </c>
      <c r="I18">
        <v>4</v>
      </c>
      <c r="J18">
        <v>6885</v>
      </c>
      <c r="M18" t="s">
        <v>8310</v>
      </c>
      <c r="N18">
        <v>1660</v>
      </c>
      <c r="O18">
        <v>1692</v>
      </c>
      <c r="Q18">
        <v>1907</v>
      </c>
    </row>
    <row r="19" spans="3:17" x14ac:dyDescent="0.2">
      <c r="C19" t="s">
        <v>8870</v>
      </c>
      <c r="E19" t="s">
        <v>8871</v>
      </c>
      <c r="F19">
        <v>87</v>
      </c>
      <c r="H19" t="s">
        <v>8269</v>
      </c>
      <c r="I19">
        <v>4</v>
      </c>
      <c r="J19">
        <v>6955</v>
      </c>
      <c r="M19" t="s">
        <v>8235</v>
      </c>
      <c r="N19">
        <v>1893</v>
      </c>
      <c r="O19">
        <v>1865</v>
      </c>
      <c r="P19">
        <v>1397</v>
      </c>
      <c r="Q19">
        <v>1666</v>
      </c>
    </row>
    <row r="20" spans="3:17" x14ac:dyDescent="0.2">
      <c r="E20" t="s">
        <v>8872</v>
      </c>
      <c r="F20">
        <v>24</v>
      </c>
      <c r="H20" t="s">
        <v>8270</v>
      </c>
      <c r="I20">
        <v>4</v>
      </c>
      <c r="J20">
        <v>6524</v>
      </c>
    </row>
    <row r="21" spans="3:17" x14ac:dyDescent="0.2">
      <c r="E21" t="s">
        <v>8873</v>
      </c>
      <c r="F21">
        <v>89</v>
      </c>
      <c r="H21" t="s">
        <v>8275</v>
      </c>
      <c r="I21">
        <v>4</v>
      </c>
      <c r="J21">
        <v>6203</v>
      </c>
    </row>
    <row r="22" spans="3:17" ht="15.75" thickBot="1" x14ac:dyDescent="0.3">
      <c r="C22" s="360" t="s">
        <v>8874</v>
      </c>
      <c r="E22" t="s">
        <v>8875</v>
      </c>
      <c r="F22">
        <v>94</v>
      </c>
    </row>
    <row r="23" spans="3:17" x14ac:dyDescent="0.2">
      <c r="C23" t="s">
        <v>8876</v>
      </c>
    </row>
    <row r="24" spans="3:17" ht="15.75" thickBot="1" x14ac:dyDescent="0.3">
      <c r="C24" t="s">
        <v>8877</v>
      </c>
      <c r="E24" s="360" t="s">
        <v>8863</v>
      </c>
      <c r="H24" s="360" t="s">
        <v>6814</v>
      </c>
      <c r="I24" s="360" t="s">
        <v>8878</v>
      </c>
      <c r="J24" s="360" t="s">
        <v>8879</v>
      </c>
    </row>
    <row r="25" spans="3:17" x14ac:dyDescent="0.2">
      <c r="C25" t="s">
        <v>8880</v>
      </c>
      <c r="E25" t="s">
        <v>8881</v>
      </c>
      <c r="H25" s="69">
        <v>635</v>
      </c>
      <c r="I25">
        <v>1596</v>
      </c>
      <c r="J25">
        <v>1596</v>
      </c>
    </row>
    <row r="26" spans="3:17" x14ac:dyDescent="0.2">
      <c r="C26" t="s">
        <v>8882</v>
      </c>
      <c r="E26" t="s">
        <v>8883</v>
      </c>
      <c r="H26" s="69">
        <v>636</v>
      </c>
      <c r="I26">
        <v>595</v>
      </c>
      <c r="J26">
        <v>474</v>
      </c>
    </row>
    <row r="27" spans="3:17" x14ac:dyDescent="0.2">
      <c r="C27" t="s">
        <v>8884</v>
      </c>
      <c r="E27" t="s">
        <v>8885</v>
      </c>
      <c r="H27" s="69">
        <v>637</v>
      </c>
      <c r="I27">
        <v>626</v>
      </c>
      <c r="J27">
        <v>626</v>
      </c>
    </row>
    <row r="28" spans="3:17" x14ac:dyDescent="0.2">
      <c r="E28" t="s">
        <v>8886</v>
      </c>
      <c r="H28" s="69">
        <v>638</v>
      </c>
      <c r="I28">
        <v>524</v>
      </c>
      <c r="J28">
        <v>524</v>
      </c>
    </row>
    <row r="29" spans="3:17" x14ac:dyDescent="0.2">
      <c r="E29" t="s">
        <v>8887</v>
      </c>
      <c r="H29" s="69">
        <v>639</v>
      </c>
      <c r="I29">
        <v>1227</v>
      </c>
      <c r="J29">
        <v>927</v>
      </c>
    </row>
    <row r="30" spans="3:17" x14ac:dyDescent="0.2">
      <c r="E30" t="s">
        <v>8888</v>
      </c>
    </row>
    <row r="31" spans="3:17" x14ac:dyDescent="0.2">
      <c r="E31" t="s">
        <v>8889</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FF7A-FDBD-4D84-9625-57CC999A8B3D}">
  <sheetPr codeName="Sheet9"/>
  <dimension ref="B2:AA1243"/>
  <sheetViews>
    <sheetView showGridLines="0" zoomScaleNormal="100" workbookViewId="0"/>
  </sheetViews>
  <sheetFormatPr defaultRowHeight="14.25" x14ac:dyDescent="0.2"/>
  <cols>
    <col min="1" max="1" width="19.5" customWidth="1"/>
    <col min="2" max="2" width="12.625" customWidth="1"/>
    <col min="3" max="3" width="28.375" customWidth="1"/>
    <col min="4" max="4" width="11.25" customWidth="1"/>
    <col min="5" max="5" width="16.25" customWidth="1"/>
    <col min="6" max="6" width="12.75" customWidth="1"/>
    <col min="7" max="8" width="10.75" customWidth="1"/>
    <col min="9" max="9" width="13.375" customWidth="1"/>
    <col min="10" max="10" width="13.5" customWidth="1"/>
    <col min="11" max="11" width="20.375" customWidth="1"/>
    <col min="12" max="12" width="13.375" customWidth="1"/>
    <col min="13" max="13" width="15.625" customWidth="1"/>
    <col min="14" max="14" width="15.75" customWidth="1"/>
    <col min="15" max="15" width="11.75" customWidth="1"/>
    <col min="16" max="16" width="14.625" customWidth="1"/>
    <col min="17" max="17" width="19.125" customWidth="1"/>
    <col min="18" max="18" width="10.75" customWidth="1"/>
    <col min="20" max="20" width="13.375" customWidth="1"/>
    <col min="21" max="21" width="21.625" customWidth="1"/>
    <col min="24" max="24" width="11.75" customWidth="1"/>
    <col min="26" max="26" width="13.125" customWidth="1"/>
  </cols>
  <sheetData>
    <row r="2" spans="2:27" x14ac:dyDescent="0.2">
      <c r="B2" t="s">
        <v>8217</v>
      </c>
      <c r="C2" t="s">
        <v>8218</v>
      </c>
      <c r="D2" t="s">
        <v>2436</v>
      </c>
      <c r="E2" t="s">
        <v>8219</v>
      </c>
      <c r="F2" s="221" t="s">
        <v>8220</v>
      </c>
      <c r="G2" t="s">
        <v>8221</v>
      </c>
      <c r="H2" t="s">
        <v>8222</v>
      </c>
      <c r="I2" t="s">
        <v>2437</v>
      </c>
      <c r="J2" t="s">
        <v>8223</v>
      </c>
      <c r="K2" t="s">
        <v>8224</v>
      </c>
      <c r="L2" t="s">
        <v>8225</v>
      </c>
      <c r="M2" t="s">
        <v>8226</v>
      </c>
      <c r="N2" t="s">
        <v>8227</v>
      </c>
      <c r="O2" t="s">
        <v>8228</v>
      </c>
      <c r="P2" t="s">
        <v>8229</v>
      </c>
      <c r="Q2" t="s">
        <v>8230</v>
      </c>
      <c r="R2" t="s">
        <v>8231</v>
      </c>
      <c r="S2" t="s">
        <v>8232</v>
      </c>
      <c r="T2" t="s">
        <v>8233</v>
      </c>
      <c r="U2" t="s">
        <v>8234</v>
      </c>
    </row>
    <row r="3" spans="2:27" x14ac:dyDescent="0.2">
      <c r="B3">
        <v>10248</v>
      </c>
      <c r="C3" t="s">
        <v>8235</v>
      </c>
      <c r="D3" t="s">
        <v>8236</v>
      </c>
      <c r="E3" t="s">
        <v>8237</v>
      </c>
      <c r="F3" s="222">
        <v>34.799999999999997</v>
      </c>
      <c r="G3">
        <v>5</v>
      </c>
      <c r="H3" s="223">
        <v>0</v>
      </c>
      <c r="I3" s="222">
        <v>174</v>
      </c>
      <c r="J3" t="s">
        <v>8238</v>
      </c>
      <c r="K3" t="s">
        <v>8239</v>
      </c>
      <c r="L3" s="118">
        <v>43466</v>
      </c>
      <c r="M3" s="118">
        <v>43478</v>
      </c>
      <c r="N3" t="s">
        <v>8240</v>
      </c>
      <c r="O3" t="s">
        <v>8241</v>
      </c>
      <c r="P3" t="s">
        <v>6934</v>
      </c>
      <c r="Q3" t="str">
        <f>tblSales[[#This Row],[FirstName]]&amp; " " &amp;tblSales[[#This Row],[LastName]]</f>
        <v>Steven Buchanan</v>
      </c>
      <c r="R3">
        <f>YEAR(tblSales[[#This Row],[OrderDate]])</f>
        <v>2019</v>
      </c>
      <c r="S3">
        <f>WEEKNUM(tblSales[[#This Row],[OrderDate]])</f>
        <v>1</v>
      </c>
      <c r="T3">
        <f>IF(ISBLANK(tblSales[[#This Row],[ShippedDate]]),"",tblSales[[#This Row],[ShippedDate]]-tblSales[[#This Row],[OrderDate]])</f>
        <v>12</v>
      </c>
      <c r="U3" t="str">
        <f>LEFT(tblSales[[#This Row],[ProductName]],20)</f>
        <v>Mozzarella di Giovan</v>
      </c>
      <c r="X3" t="e" vm="1">
        <v>#VALUE!</v>
      </c>
      <c r="Y3" t="str" cm="1">
        <f t="array" ref="Y3">_FV(X3,"Currency code",TRUE)</f>
        <v>EUR</v>
      </c>
      <c r="Z3" cm="1" vm="2">
        <f t="array" ref="Z3">_FV(X3,"Population")</f>
        <v>9042528</v>
      </c>
      <c r="AA3" cm="1" vm="3">
        <f t="array" ref="AA3">_FV(X3,"Tax revenue (%)",TRUE)</f>
        <v>0.25405547466329398</v>
      </c>
    </row>
    <row r="4" spans="2:27" x14ac:dyDescent="0.2">
      <c r="B4">
        <v>10248</v>
      </c>
      <c r="C4" t="s">
        <v>8242</v>
      </c>
      <c r="D4" t="s">
        <v>8236</v>
      </c>
      <c r="E4" t="s">
        <v>8237</v>
      </c>
      <c r="F4" s="222">
        <v>14</v>
      </c>
      <c r="G4">
        <v>12</v>
      </c>
      <c r="H4" s="223">
        <v>0</v>
      </c>
      <c r="I4" s="222">
        <v>168</v>
      </c>
      <c r="J4" t="s">
        <v>8238</v>
      </c>
      <c r="K4" t="s">
        <v>8239</v>
      </c>
      <c r="L4" s="118">
        <v>43466</v>
      </c>
      <c r="M4" s="118">
        <v>43478</v>
      </c>
      <c r="N4" t="s">
        <v>8240</v>
      </c>
      <c r="O4" t="s">
        <v>8241</v>
      </c>
      <c r="P4" t="s">
        <v>6934</v>
      </c>
      <c r="Q4" t="str">
        <f>tblSales[[#This Row],[FirstName]]&amp; " " &amp;tblSales[[#This Row],[LastName]]</f>
        <v>Steven Buchanan</v>
      </c>
      <c r="R4">
        <f>YEAR(tblSales[[#This Row],[OrderDate]])</f>
        <v>2019</v>
      </c>
      <c r="S4">
        <f>WEEKNUM(tblSales[[#This Row],[OrderDate]])</f>
        <v>1</v>
      </c>
      <c r="T4">
        <f>IF(ISBLANK(tblSales[[#This Row],[ShippedDate]]),"",tblSales[[#This Row],[ShippedDate]]-tblSales[[#This Row],[OrderDate]])</f>
        <v>12</v>
      </c>
      <c r="U4" t="str">
        <f>LEFT(tblSales[[#This Row],[ProductName]],20)</f>
        <v>Queso Cabrales</v>
      </c>
      <c r="X4" t="e" vm="4">
        <v>#VALUE!</v>
      </c>
      <c r="Y4" t="str" cm="1">
        <f t="array" ref="Y4">_FV(X4,"Currency code",TRUE)</f>
        <v>EUR</v>
      </c>
      <c r="Z4" cm="1" vm="5">
        <f t="array" ref="Z4">_FV(X4,"Population")</f>
        <v>11669446</v>
      </c>
      <c r="AA4" cm="1" vm="6">
        <f t="array" ref="AA4">_FV(X4,"Tax revenue (%)",TRUE)</f>
        <v>0.23994106172459101</v>
      </c>
    </row>
    <row r="5" spans="2:27" x14ac:dyDescent="0.2">
      <c r="B5">
        <v>10248</v>
      </c>
      <c r="C5" t="s">
        <v>8243</v>
      </c>
      <c r="D5" t="s">
        <v>8236</v>
      </c>
      <c r="E5" t="s">
        <v>8244</v>
      </c>
      <c r="F5" s="222">
        <v>9.8000000000000007</v>
      </c>
      <c r="G5">
        <v>10</v>
      </c>
      <c r="H5" s="223">
        <v>0</v>
      </c>
      <c r="I5" s="222">
        <v>98</v>
      </c>
      <c r="J5" t="s">
        <v>8238</v>
      </c>
      <c r="K5" t="s">
        <v>8239</v>
      </c>
      <c r="L5" s="118">
        <v>43466</v>
      </c>
      <c r="M5" s="118">
        <v>43478</v>
      </c>
      <c r="N5" t="s">
        <v>8240</v>
      </c>
      <c r="O5" t="s">
        <v>8241</v>
      </c>
      <c r="P5" t="s">
        <v>6934</v>
      </c>
      <c r="Q5" t="str">
        <f>tblSales[[#This Row],[FirstName]]&amp; " " &amp;tblSales[[#This Row],[LastName]]</f>
        <v>Steven Buchanan</v>
      </c>
      <c r="R5">
        <f>YEAR(tblSales[[#This Row],[OrderDate]])</f>
        <v>2019</v>
      </c>
      <c r="S5">
        <f>WEEKNUM(tblSales[[#This Row],[OrderDate]])</f>
        <v>1</v>
      </c>
      <c r="T5">
        <f>IF(ISBLANK(tblSales[[#This Row],[ShippedDate]]),"",tblSales[[#This Row],[ShippedDate]]-tblSales[[#This Row],[OrderDate]])</f>
        <v>12</v>
      </c>
      <c r="U5" t="str">
        <f>LEFT(tblSales[[#This Row],[ProductName]],20)</f>
        <v xml:space="preserve">Singaporean Hokkien </v>
      </c>
      <c r="X5" t="e" vm="7">
        <v>#VALUE!</v>
      </c>
      <c r="Y5" t="str" cm="1">
        <f t="array" ref="Y5">_FV(X5,"Currency code",TRUE)</f>
        <v>DKK</v>
      </c>
      <c r="Z5" cm="1" vm="8">
        <f t="array" ref="Z5">_FV(X5,"Population")</f>
        <v>5903037</v>
      </c>
      <c r="AA5" cm="1" vm="9">
        <f t="array" ref="AA5">_FV(X5,"Tax revenue (%)",TRUE)</f>
        <v>0.32382317837334801</v>
      </c>
    </row>
    <row r="6" spans="2:27" x14ac:dyDescent="0.2">
      <c r="B6">
        <v>10249</v>
      </c>
      <c r="C6" t="s">
        <v>8245</v>
      </c>
      <c r="D6" t="s">
        <v>8246</v>
      </c>
      <c r="E6" t="s">
        <v>8247</v>
      </c>
      <c r="F6" s="222">
        <v>42.4</v>
      </c>
      <c r="G6">
        <v>40</v>
      </c>
      <c r="H6" s="223">
        <v>0</v>
      </c>
      <c r="I6" s="222">
        <v>1696</v>
      </c>
      <c r="J6" t="s">
        <v>8248</v>
      </c>
      <c r="K6" t="s">
        <v>8249</v>
      </c>
      <c r="L6" s="118">
        <v>43467</v>
      </c>
      <c r="M6" s="118">
        <v>43472</v>
      </c>
      <c r="N6" t="s">
        <v>8250</v>
      </c>
      <c r="O6" t="s">
        <v>8251</v>
      </c>
      <c r="P6" t="s">
        <v>269</v>
      </c>
      <c r="Q6" t="str">
        <f>tblSales[[#This Row],[FirstName]]&amp; " " &amp;tblSales[[#This Row],[LastName]]</f>
        <v>Michael Suyama</v>
      </c>
      <c r="R6">
        <f>YEAR(tblSales[[#This Row],[OrderDate]])</f>
        <v>2019</v>
      </c>
      <c r="S6">
        <f>WEEKNUM(tblSales[[#This Row],[OrderDate]])</f>
        <v>1</v>
      </c>
      <c r="T6">
        <f>IF(ISBLANK(tblSales[[#This Row],[ShippedDate]]),"",tblSales[[#This Row],[ShippedDate]]-tblSales[[#This Row],[OrderDate]])</f>
        <v>5</v>
      </c>
      <c r="U6" t="str">
        <f>LEFT(tblSales[[#This Row],[ProductName]],20)</f>
        <v>Manjimup Dried Apple</v>
      </c>
      <c r="X6" t="e" vm="10">
        <v>#VALUE!</v>
      </c>
      <c r="Y6" t="str" cm="1">
        <f t="array" ref="Y6">_FV(X6,"Currency code",TRUE)</f>
        <v>EUR</v>
      </c>
      <c r="Z6" cm="1" vm="11">
        <f t="array" ref="Z6">_FV(X6,"Population")</f>
        <v>5556880</v>
      </c>
      <c r="AA6" cm="1" vm="12">
        <f t="array" ref="AA6">_FV(X6,"Tax revenue (%)",TRUE)</f>
        <v>0.20839038093492801</v>
      </c>
    </row>
    <row r="7" spans="2:27" x14ac:dyDescent="0.2">
      <c r="B7">
        <v>10249</v>
      </c>
      <c r="C7" t="s">
        <v>8252</v>
      </c>
      <c r="D7" t="s">
        <v>8246</v>
      </c>
      <c r="E7" t="s">
        <v>8247</v>
      </c>
      <c r="F7" s="222">
        <v>18.600000000000001</v>
      </c>
      <c r="G7">
        <v>9</v>
      </c>
      <c r="H7" s="223">
        <v>0</v>
      </c>
      <c r="I7" s="222">
        <v>167.4</v>
      </c>
      <c r="J7" t="s">
        <v>8248</v>
      </c>
      <c r="K7" t="s">
        <v>8249</v>
      </c>
      <c r="L7" s="118">
        <v>43467</v>
      </c>
      <c r="M7" s="118">
        <v>43472</v>
      </c>
      <c r="N7" t="s">
        <v>8250</v>
      </c>
      <c r="O7" t="s">
        <v>8251</v>
      </c>
      <c r="P7" t="s">
        <v>269</v>
      </c>
      <c r="Q7" t="str">
        <f>tblSales[[#This Row],[FirstName]]&amp; " " &amp;tblSales[[#This Row],[LastName]]</f>
        <v>Michael Suyama</v>
      </c>
      <c r="R7">
        <f>YEAR(tblSales[[#This Row],[OrderDate]])</f>
        <v>2019</v>
      </c>
      <c r="S7">
        <f>WEEKNUM(tblSales[[#This Row],[OrderDate]])</f>
        <v>1</v>
      </c>
      <c r="T7">
        <f>IF(ISBLANK(tblSales[[#This Row],[ShippedDate]]),"",tblSales[[#This Row],[ShippedDate]]-tblSales[[#This Row],[OrderDate]])</f>
        <v>5</v>
      </c>
      <c r="U7" t="str">
        <f>LEFT(tblSales[[#This Row],[ProductName]],20)</f>
        <v>Tofu</v>
      </c>
      <c r="X7" t="e" vm="13">
        <v>#VALUE!</v>
      </c>
      <c r="Y7" t="str" cm="1">
        <f t="array" ref="Y7">_FV(X7,"Currency code",TRUE)</f>
        <v>EUR</v>
      </c>
      <c r="Z7" cm="1" vm="14">
        <f t="array" ref="Z7">_FV(X7,"Population")</f>
        <v>67935660</v>
      </c>
      <c r="AA7" cm="1" vm="15">
        <f t="array" ref="AA7">_FV(X7,"Tax revenue (%)",TRUE)</f>
        <v>0.24229980509910898</v>
      </c>
    </row>
    <row r="8" spans="2:27" x14ac:dyDescent="0.2">
      <c r="B8">
        <v>10251</v>
      </c>
      <c r="C8" t="s">
        <v>8253</v>
      </c>
      <c r="D8" t="s">
        <v>8236</v>
      </c>
      <c r="E8" t="s">
        <v>8254</v>
      </c>
      <c r="F8" s="222">
        <v>16.8</v>
      </c>
      <c r="G8">
        <v>20</v>
      </c>
      <c r="H8" s="223">
        <v>0</v>
      </c>
      <c r="I8" s="222">
        <v>336</v>
      </c>
      <c r="J8" t="s">
        <v>8255</v>
      </c>
      <c r="K8" t="s">
        <v>8256</v>
      </c>
      <c r="L8" s="118">
        <v>43470</v>
      </c>
      <c r="M8" s="118">
        <v>43477</v>
      </c>
      <c r="N8" t="s">
        <v>8250</v>
      </c>
      <c r="O8" t="s">
        <v>8257</v>
      </c>
      <c r="P8" t="s">
        <v>6984</v>
      </c>
      <c r="Q8" t="str">
        <f>tblSales[[#This Row],[FirstName]]&amp; " " &amp;tblSales[[#This Row],[LastName]]</f>
        <v>Janet Leverling</v>
      </c>
      <c r="R8">
        <f>YEAR(tblSales[[#This Row],[OrderDate]])</f>
        <v>2019</v>
      </c>
      <c r="S8">
        <f>WEEKNUM(tblSales[[#This Row],[OrderDate]])</f>
        <v>1</v>
      </c>
      <c r="T8">
        <f>IF(ISBLANK(tblSales[[#This Row],[ShippedDate]]),"",tblSales[[#This Row],[ShippedDate]]-tblSales[[#This Row],[OrderDate]])</f>
        <v>7</v>
      </c>
      <c r="U8" t="str">
        <f>LEFT(tblSales[[#This Row],[ProductName]],20)</f>
        <v xml:space="preserve">Louisiana Fiery Hot </v>
      </c>
      <c r="X8" t="e" vm="16">
        <v>#VALUE!</v>
      </c>
      <c r="Y8" t="str" cm="1">
        <f t="array" ref="Y8">_FV(X8,"Currency code",TRUE)</f>
        <v>EUR</v>
      </c>
      <c r="Z8" cm="1" vm="17">
        <f t="array" ref="Z8">_FV(X8,"Population")</f>
        <v>84079811</v>
      </c>
      <c r="AA8" cm="1" vm="18">
        <f t="array" ref="AA8">_FV(X8,"Tax revenue (%)",TRUE)</f>
        <v>0.11505903952014901</v>
      </c>
    </row>
    <row r="9" spans="2:27" x14ac:dyDescent="0.2">
      <c r="B9">
        <v>10251</v>
      </c>
      <c r="C9" t="s">
        <v>8258</v>
      </c>
      <c r="D9" t="s">
        <v>8236</v>
      </c>
      <c r="E9" t="s">
        <v>8244</v>
      </c>
      <c r="F9" s="222">
        <v>15.6</v>
      </c>
      <c r="G9">
        <v>15</v>
      </c>
      <c r="H9" s="223">
        <v>5.0000000745058101E-2</v>
      </c>
      <c r="I9" s="222">
        <v>222.3</v>
      </c>
      <c r="J9" t="s">
        <v>8255</v>
      </c>
      <c r="K9" t="s">
        <v>8256</v>
      </c>
      <c r="L9" s="118">
        <v>43470</v>
      </c>
      <c r="M9" s="118">
        <v>43477</v>
      </c>
      <c r="N9" t="s">
        <v>8250</v>
      </c>
      <c r="O9" t="s">
        <v>8257</v>
      </c>
      <c r="P9" t="s">
        <v>6984</v>
      </c>
      <c r="Q9" t="str">
        <f>tblSales[[#This Row],[FirstName]]&amp; " " &amp;tblSales[[#This Row],[LastName]]</f>
        <v>Janet Leverling</v>
      </c>
      <c r="R9">
        <f>YEAR(tblSales[[#This Row],[OrderDate]])</f>
        <v>2019</v>
      </c>
      <c r="S9">
        <f>WEEKNUM(tblSales[[#This Row],[OrderDate]])</f>
        <v>1</v>
      </c>
      <c r="T9">
        <f>IF(ISBLANK(tblSales[[#This Row],[ShippedDate]]),"",tblSales[[#This Row],[ShippedDate]]-tblSales[[#This Row],[OrderDate]])</f>
        <v>7</v>
      </c>
      <c r="U9" t="str">
        <f>LEFT(tblSales[[#This Row],[ProductName]],20)</f>
        <v>Ravioli Angelo</v>
      </c>
      <c r="X9" t="e" vm="19">
        <v>#VALUE!</v>
      </c>
      <c r="Y9" t="str" cm="1">
        <f t="array" ref="Y9">_FV(X9,"Currency code",TRUE)</f>
        <v>EUR</v>
      </c>
      <c r="Z9" cm="1" vm="20">
        <f t="array" ref="Z9">_FV(X9,"Population")</f>
        <v>5086988</v>
      </c>
      <c r="AA9" cm="1" vm="21">
        <f t="array" ref="AA9">_FV(X9,"Tax revenue (%)",TRUE)</f>
        <v>0.18262353633181699</v>
      </c>
    </row>
    <row r="10" spans="2:27" x14ac:dyDescent="0.2">
      <c r="B10">
        <v>10251</v>
      </c>
      <c r="C10" t="s">
        <v>8259</v>
      </c>
      <c r="D10" t="s">
        <v>8236</v>
      </c>
      <c r="E10" t="s">
        <v>8244</v>
      </c>
      <c r="F10" s="222">
        <v>16.8</v>
      </c>
      <c r="G10">
        <v>6</v>
      </c>
      <c r="H10" s="223">
        <v>5.0000000745058101E-2</v>
      </c>
      <c r="I10" s="222">
        <v>95.76</v>
      </c>
      <c r="J10" t="s">
        <v>8255</v>
      </c>
      <c r="K10" t="s">
        <v>8256</v>
      </c>
      <c r="L10" s="118">
        <v>43470</v>
      </c>
      <c r="M10" s="118">
        <v>43477</v>
      </c>
      <c r="N10" t="s">
        <v>8250</v>
      </c>
      <c r="O10" t="s">
        <v>8257</v>
      </c>
      <c r="P10" t="s">
        <v>6984</v>
      </c>
      <c r="Q10" t="str">
        <f>tblSales[[#This Row],[FirstName]]&amp; " " &amp;tblSales[[#This Row],[LastName]]</f>
        <v>Janet Leverling</v>
      </c>
      <c r="R10">
        <f>YEAR(tblSales[[#This Row],[OrderDate]])</f>
        <v>2019</v>
      </c>
      <c r="S10">
        <f>WEEKNUM(tblSales[[#This Row],[OrderDate]])</f>
        <v>1</v>
      </c>
      <c r="T10">
        <f>IF(ISBLANK(tblSales[[#This Row],[ShippedDate]]),"",tblSales[[#This Row],[ShippedDate]]-tblSales[[#This Row],[OrderDate]])</f>
        <v>7</v>
      </c>
      <c r="U10" t="str">
        <f>LEFT(tblSales[[#This Row],[ProductName]],20)</f>
        <v>Gustaf's Knäckebröd</v>
      </c>
      <c r="X10" t="e" vm="22">
        <v>#VALUE!</v>
      </c>
      <c r="Y10" t="str" cm="1">
        <f t="array" ref="Y10">_FV(X10,"Currency code",TRUE)</f>
        <v>EUR</v>
      </c>
      <c r="Z10" cm="1" vm="23">
        <f t="array" ref="Z10">_FV(X10,"Population")</f>
        <v>58856847</v>
      </c>
      <c r="AA10" cm="1" vm="24">
        <f t="array" ref="AA10">_FV(X10,"Tax revenue (%)",TRUE)</f>
        <v>0.24250464933068097</v>
      </c>
    </row>
    <row r="11" spans="2:27" x14ac:dyDescent="0.2">
      <c r="B11">
        <v>10252</v>
      </c>
      <c r="C11" t="s">
        <v>8260</v>
      </c>
      <c r="D11" t="s">
        <v>8261</v>
      </c>
      <c r="E11" t="s">
        <v>8262</v>
      </c>
      <c r="F11" s="222">
        <v>64.8</v>
      </c>
      <c r="G11">
        <v>40</v>
      </c>
      <c r="H11" s="223">
        <v>5.0000000745058101E-2</v>
      </c>
      <c r="I11" s="222">
        <v>2462.4</v>
      </c>
      <c r="J11" t="s">
        <v>8263</v>
      </c>
      <c r="K11" t="s">
        <v>8264</v>
      </c>
      <c r="L11" s="118">
        <v>43471</v>
      </c>
      <c r="M11" s="118">
        <v>43473</v>
      </c>
      <c r="N11" t="s">
        <v>8265</v>
      </c>
      <c r="O11" t="s">
        <v>8266</v>
      </c>
      <c r="P11" t="s">
        <v>8267</v>
      </c>
      <c r="Q11" t="str">
        <f>tblSales[[#This Row],[FirstName]]&amp; " " &amp;tblSales[[#This Row],[LastName]]</f>
        <v>Margaret Peacock</v>
      </c>
      <c r="R11">
        <f>YEAR(tblSales[[#This Row],[OrderDate]])</f>
        <v>2019</v>
      </c>
      <c r="S11">
        <f>WEEKNUM(tblSales[[#This Row],[OrderDate]])</f>
        <v>2</v>
      </c>
      <c r="T11">
        <f>IF(ISBLANK(tblSales[[#This Row],[ShippedDate]]),"",tblSales[[#This Row],[ShippedDate]]-tblSales[[#This Row],[OrderDate]])</f>
        <v>2</v>
      </c>
      <c r="U11" t="str">
        <f>LEFT(tblSales[[#This Row],[ProductName]],20)</f>
        <v>Sir Rodney's Marmala</v>
      </c>
      <c r="X11" t="e" vm="25">
        <v>#VALUE!</v>
      </c>
      <c r="Y11" t="str" cm="1">
        <f t="array" ref="Y11">_FV(X11,"Currency code",TRUE)</f>
        <v>NOK</v>
      </c>
      <c r="Z11" cm="1" vm="26">
        <f t="array" ref="Z11">_FV(X11,"Population")</f>
        <v>5457127</v>
      </c>
      <c r="AA11" cm="1" vm="27">
        <f t="array" ref="AA11">_FV(X11,"Tax revenue (%)",TRUE)</f>
        <v>0.238617503950879</v>
      </c>
    </row>
    <row r="12" spans="2:27" x14ac:dyDescent="0.2">
      <c r="B12">
        <v>10252</v>
      </c>
      <c r="C12" t="s">
        <v>8268</v>
      </c>
      <c r="D12" t="s">
        <v>8261</v>
      </c>
      <c r="E12" t="s">
        <v>8237</v>
      </c>
      <c r="F12" s="222">
        <v>27.2</v>
      </c>
      <c r="G12">
        <v>40</v>
      </c>
      <c r="H12" s="223">
        <v>0</v>
      </c>
      <c r="I12" s="222">
        <v>1088</v>
      </c>
      <c r="J12" t="s">
        <v>8263</v>
      </c>
      <c r="K12" t="s">
        <v>8264</v>
      </c>
      <c r="L12" s="118">
        <v>43471</v>
      </c>
      <c r="M12" s="118">
        <v>43473</v>
      </c>
      <c r="N12" t="s">
        <v>8265</v>
      </c>
      <c r="O12" t="s">
        <v>8266</v>
      </c>
      <c r="P12" t="s">
        <v>8267</v>
      </c>
      <c r="Q12" t="str">
        <f>tblSales[[#This Row],[FirstName]]&amp; " " &amp;tblSales[[#This Row],[LastName]]</f>
        <v>Margaret Peacock</v>
      </c>
      <c r="R12">
        <f>YEAR(tblSales[[#This Row],[OrderDate]])</f>
        <v>2019</v>
      </c>
      <c r="S12">
        <f>WEEKNUM(tblSales[[#This Row],[OrderDate]])</f>
        <v>2</v>
      </c>
      <c r="T12">
        <f>IF(ISBLANK(tblSales[[#This Row],[ShippedDate]]),"",tblSales[[#This Row],[ShippedDate]]-tblSales[[#This Row],[OrderDate]])</f>
        <v>2</v>
      </c>
      <c r="U12" t="str">
        <f>LEFT(tblSales[[#This Row],[ProductName]],20)</f>
        <v>Camembert Pierrot</v>
      </c>
      <c r="X12" t="e" vm="28">
        <v>#VALUE!</v>
      </c>
      <c r="Y12" t="str" cm="1">
        <f t="array" ref="Y12">_FV(X12,"Currency code",TRUE)</f>
        <v>PLN</v>
      </c>
      <c r="Z12" cm="1" vm="29">
        <f t="array" ref="Z12">_FV(X12,"Population")</f>
        <v>37561599</v>
      </c>
      <c r="AA12" cm="1" vm="30">
        <f t="array" ref="AA12">_FV(X12,"Tax revenue (%)",TRUE)</f>
        <v>0.174019561608692</v>
      </c>
    </row>
    <row r="13" spans="2:27" x14ac:dyDescent="0.2">
      <c r="B13">
        <v>10252</v>
      </c>
      <c r="C13" t="s">
        <v>8269</v>
      </c>
      <c r="D13" t="s">
        <v>8261</v>
      </c>
      <c r="E13" t="s">
        <v>8237</v>
      </c>
      <c r="F13" s="222">
        <v>2</v>
      </c>
      <c r="G13">
        <v>25</v>
      </c>
      <c r="H13" s="223">
        <v>5.0000000745058101E-2</v>
      </c>
      <c r="I13" s="222">
        <v>47.5</v>
      </c>
      <c r="J13" t="s">
        <v>8263</v>
      </c>
      <c r="K13" t="s">
        <v>8264</v>
      </c>
      <c r="L13" s="118">
        <v>43471</v>
      </c>
      <c r="M13" s="118">
        <v>43473</v>
      </c>
      <c r="N13" t="s">
        <v>8265</v>
      </c>
      <c r="O13" t="s">
        <v>8266</v>
      </c>
      <c r="P13" t="s">
        <v>8267</v>
      </c>
      <c r="Q13" t="str">
        <f>tblSales[[#This Row],[FirstName]]&amp; " " &amp;tblSales[[#This Row],[LastName]]</f>
        <v>Margaret Peacock</v>
      </c>
      <c r="R13">
        <f>YEAR(tblSales[[#This Row],[OrderDate]])</f>
        <v>2019</v>
      </c>
      <c r="S13">
        <f>WEEKNUM(tblSales[[#This Row],[OrderDate]])</f>
        <v>2</v>
      </c>
      <c r="T13">
        <f>IF(ISBLANK(tblSales[[#This Row],[ShippedDate]]),"",tblSales[[#This Row],[ShippedDate]]-tblSales[[#This Row],[OrderDate]])</f>
        <v>2</v>
      </c>
      <c r="U13" t="str">
        <f>LEFT(tblSales[[#This Row],[ProductName]],20)</f>
        <v>Geitost</v>
      </c>
      <c r="X13" t="e" vm="31">
        <v>#VALUE!</v>
      </c>
      <c r="Y13" t="str" cm="1">
        <f t="array" ref="Y13">_FV(X13,"Currency code",TRUE)</f>
        <v>EUR</v>
      </c>
      <c r="Z13" cm="1" vm="32">
        <f t="array" ref="Z13">_FV(X13,"Population")</f>
        <v>10379007</v>
      </c>
      <c r="AA13" cm="1" vm="33">
        <f t="array" ref="AA13">_FV(X13,"Tax revenue (%)",TRUE)</f>
        <v>0.227551770073532</v>
      </c>
    </row>
    <row r="14" spans="2:27" x14ac:dyDescent="0.2">
      <c r="B14">
        <v>10254</v>
      </c>
      <c r="C14" t="s">
        <v>8270</v>
      </c>
      <c r="D14" t="s">
        <v>8271</v>
      </c>
      <c r="E14" t="s">
        <v>8272</v>
      </c>
      <c r="F14" s="222">
        <v>3.6</v>
      </c>
      <c r="G14">
        <v>15</v>
      </c>
      <c r="H14" s="223">
        <v>0.15000000596046401</v>
      </c>
      <c r="I14" s="222">
        <v>45.9</v>
      </c>
      <c r="J14" t="s">
        <v>8273</v>
      </c>
      <c r="K14" t="s">
        <v>8274</v>
      </c>
      <c r="L14" s="118">
        <v>43473</v>
      </c>
      <c r="M14" s="118">
        <v>43485</v>
      </c>
      <c r="N14" t="s">
        <v>8265</v>
      </c>
      <c r="O14" t="s">
        <v>8241</v>
      </c>
      <c r="P14" t="s">
        <v>6934</v>
      </c>
      <c r="Q14" t="str">
        <f>tblSales[[#This Row],[FirstName]]&amp; " " &amp;tblSales[[#This Row],[LastName]]</f>
        <v>Steven Buchanan</v>
      </c>
      <c r="R14">
        <f>YEAR(tblSales[[#This Row],[OrderDate]])</f>
        <v>2019</v>
      </c>
      <c r="S14">
        <f>WEEKNUM(tblSales[[#This Row],[OrderDate]])</f>
        <v>2</v>
      </c>
      <c r="T14">
        <f>IF(ISBLANK(tblSales[[#This Row],[ShippedDate]]),"",tblSales[[#This Row],[ShippedDate]]-tblSales[[#This Row],[OrderDate]])</f>
        <v>12</v>
      </c>
      <c r="U14" t="str">
        <f>LEFT(tblSales[[#This Row],[ProductName]],20)</f>
        <v>Guaraná Fantástica</v>
      </c>
      <c r="X14" t="e" vm="34">
        <v>#VALUE!</v>
      </c>
      <c r="Y14" t="str" cm="1">
        <f t="array" ref="Y14">_FV(X14,"Currency code",TRUE)</f>
        <v>EUR</v>
      </c>
      <c r="Z14" cm="1" vm="35">
        <f t="array" ref="Z14">_FV(X14,"Population")</f>
        <v>47615034</v>
      </c>
      <c r="AA14" cm="1" vm="36">
        <f t="array" ref="AA14">_FV(X14,"Tax revenue (%)",TRUE)</f>
        <v>0.14248211393678101</v>
      </c>
    </row>
    <row r="15" spans="2:27" x14ac:dyDescent="0.2">
      <c r="B15">
        <v>10254</v>
      </c>
      <c r="C15" t="s">
        <v>8275</v>
      </c>
      <c r="D15" t="s">
        <v>8271</v>
      </c>
      <c r="E15" t="s">
        <v>8247</v>
      </c>
      <c r="F15" s="222">
        <v>8</v>
      </c>
      <c r="G15">
        <v>21</v>
      </c>
      <c r="H15" s="223">
        <v>0</v>
      </c>
      <c r="I15" s="222">
        <v>168</v>
      </c>
      <c r="J15" t="s">
        <v>8273</v>
      </c>
      <c r="K15" t="s">
        <v>8274</v>
      </c>
      <c r="L15" s="118">
        <v>43473</v>
      </c>
      <c r="M15" s="118">
        <v>43485</v>
      </c>
      <c r="N15" t="s">
        <v>8265</v>
      </c>
      <c r="O15" t="s">
        <v>8241</v>
      </c>
      <c r="P15" t="s">
        <v>6934</v>
      </c>
      <c r="Q15" t="str">
        <f>tblSales[[#This Row],[FirstName]]&amp; " " &amp;tblSales[[#This Row],[LastName]]</f>
        <v>Steven Buchanan</v>
      </c>
      <c r="R15">
        <f>YEAR(tblSales[[#This Row],[OrderDate]])</f>
        <v>2019</v>
      </c>
      <c r="S15">
        <f>WEEKNUM(tblSales[[#This Row],[OrderDate]])</f>
        <v>2</v>
      </c>
      <c r="T15">
        <f>IF(ISBLANK(tblSales[[#This Row],[ShippedDate]]),"",tblSales[[#This Row],[ShippedDate]]-tblSales[[#This Row],[OrderDate]])</f>
        <v>12</v>
      </c>
      <c r="U15" t="str">
        <f>LEFT(tblSales[[#This Row],[ProductName]],20)</f>
        <v>Longlife Tofu</v>
      </c>
      <c r="X15" t="e" vm="37">
        <v>#VALUE!</v>
      </c>
      <c r="Y15" t="str" cm="1">
        <f t="array" ref="Y15">_FV(X15,"Currency code",TRUE)</f>
        <v>SEK</v>
      </c>
      <c r="Z15" cm="1" vm="38">
        <f t="array" ref="Z15">_FV(X15,"Population")</f>
        <v>10486941</v>
      </c>
      <c r="AA15" cm="1" vm="39">
        <f t="array" ref="AA15">_FV(X15,"Tax revenue (%)",TRUE)</f>
        <v>0.27911031322372698</v>
      </c>
    </row>
    <row r="16" spans="2:27" x14ac:dyDescent="0.2">
      <c r="B16">
        <v>10255</v>
      </c>
      <c r="C16" t="s">
        <v>8276</v>
      </c>
      <c r="D16" t="s">
        <v>8271</v>
      </c>
      <c r="E16" t="s">
        <v>8272</v>
      </c>
      <c r="F16" s="222">
        <v>15.2</v>
      </c>
      <c r="G16">
        <v>20</v>
      </c>
      <c r="H16" s="223">
        <v>0</v>
      </c>
      <c r="I16" s="222">
        <v>304</v>
      </c>
      <c r="J16" t="s">
        <v>8277</v>
      </c>
      <c r="K16" t="s">
        <v>8278</v>
      </c>
      <c r="L16" s="118">
        <v>43474</v>
      </c>
      <c r="M16" s="118">
        <v>43477</v>
      </c>
      <c r="N16" t="s">
        <v>8240</v>
      </c>
      <c r="O16" t="s">
        <v>8279</v>
      </c>
      <c r="P16" t="s">
        <v>710</v>
      </c>
      <c r="Q16" t="str">
        <f>tblSales[[#This Row],[FirstName]]&amp; " " &amp;tblSales[[#This Row],[LastName]]</f>
        <v>Anne Dodsworth</v>
      </c>
      <c r="R16">
        <f>YEAR(tblSales[[#This Row],[OrderDate]])</f>
        <v>2019</v>
      </c>
      <c r="S16">
        <f>WEEKNUM(tblSales[[#This Row],[OrderDate]])</f>
        <v>2</v>
      </c>
      <c r="T16">
        <f>IF(ISBLANK(tblSales[[#This Row],[ShippedDate]]),"",tblSales[[#This Row],[ShippedDate]]-tblSales[[#This Row],[OrderDate]])</f>
        <v>3</v>
      </c>
      <c r="U16" t="str">
        <f>LEFT(tblSales[[#This Row],[ProductName]],20)</f>
        <v>Chang</v>
      </c>
      <c r="X16" t="e" vm="40">
        <v>#VALUE!</v>
      </c>
      <c r="Y16" t="str" cm="1">
        <f t="array" ref="Y16">_FV(X16,"Currency code",TRUE)</f>
        <v>CHF</v>
      </c>
      <c r="Z16" cm="1" vm="41">
        <f t="array" ref="Z16">_FV(X16,"Population")</f>
        <v>8769741</v>
      </c>
      <c r="AA16" cm="1" vm="42">
        <f t="array" ref="AA16">_FV(X16,"Tax revenue (%)",TRUE)</f>
        <v>0.10080933835403399</v>
      </c>
    </row>
    <row r="17" spans="2:27" x14ac:dyDescent="0.2">
      <c r="B17">
        <v>10255</v>
      </c>
      <c r="C17" t="s">
        <v>8280</v>
      </c>
      <c r="D17" t="s">
        <v>8271</v>
      </c>
      <c r="E17" t="s">
        <v>8262</v>
      </c>
      <c r="F17" s="222">
        <v>13.9</v>
      </c>
      <c r="G17">
        <v>35</v>
      </c>
      <c r="H17" s="223">
        <v>0</v>
      </c>
      <c r="I17" s="222">
        <v>486.5</v>
      </c>
      <c r="J17" t="s">
        <v>8277</v>
      </c>
      <c r="K17" t="s">
        <v>8278</v>
      </c>
      <c r="L17" s="118">
        <v>43474</v>
      </c>
      <c r="M17" s="118">
        <v>43477</v>
      </c>
      <c r="N17" t="s">
        <v>8240</v>
      </c>
      <c r="O17" t="s">
        <v>8279</v>
      </c>
      <c r="P17" t="s">
        <v>710</v>
      </c>
      <c r="Q17" t="str">
        <f>tblSales[[#This Row],[FirstName]]&amp; " " &amp;tblSales[[#This Row],[LastName]]</f>
        <v>Anne Dodsworth</v>
      </c>
      <c r="R17">
        <f>YEAR(tblSales[[#This Row],[OrderDate]])</f>
        <v>2019</v>
      </c>
      <c r="S17">
        <f>WEEKNUM(tblSales[[#This Row],[OrderDate]])</f>
        <v>2</v>
      </c>
      <c r="T17">
        <f>IF(ISBLANK(tblSales[[#This Row],[ShippedDate]]),"",tblSales[[#This Row],[ShippedDate]]-tblSales[[#This Row],[OrderDate]])</f>
        <v>3</v>
      </c>
      <c r="U17" t="str">
        <f>LEFT(tblSales[[#This Row],[ProductName]],20)</f>
        <v>Pavlova</v>
      </c>
      <c r="X17" t="e" vm="43">
        <v>#VALUE!</v>
      </c>
      <c r="Y17" t="str" cm="1">
        <f t="array" ref="Y17">_FV(X17,"Currency code",TRUE)</f>
        <v>GBP</v>
      </c>
      <c r="Z17" cm="1" vm="44">
        <f t="array" ref="Z17">_FV(X17,"Population")</f>
        <v>66971411</v>
      </c>
      <c r="AA17" cm="1" vm="45">
        <f t="array" ref="AA17">_FV(X17,"Tax revenue (%)",TRUE)</f>
        <v>0.255052921600669</v>
      </c>
    </row>
    <row r="18" spans="2:27" x14ac:dyDescent="0.2">
      <c r="B18">
        <v>10255</v>
      </c>
      <c r="C18" t="s">
        <v>8281</v>
      </c>
      <c r="D18" t="s">
        <v>8271</v>
      </c>
      <c r="E18" t="s">
        <v>8237</v>
      </c>
      <c r="F18" s="222">
        <v>44</v>
      </c>
      <c r="G18">
        <v>30</v>
      </c>
      <c r="H18" s="223">
        <v>0</v>
      </c>
      <c r="I18" s="222">
        <v>1320</v>
      </c>
      <c r="J18" t="s">
        <v>8277</v>
      </c>
      <c r="K18" t="s">
        <v>8278</v>
      </c>
      <c r="L18" s="118">
        <v>43474</v>
      </c>
      <c r="M18" s="118">
        <v>43477</v>
      </c>
      <c r="N18" t="s">
        <v>8240</v>
      </c>
      <c r="O18" t="s">
        <v>8279</v>
      </c>
      <c r="P18" t="s">
        <v>710</v>
      </c>
      <c r="Q18" t="str">
        <f>tblSales[[#This Row],[FirstName]]&amp; " " &amp;tblSales[[#This Row],[LastName]]</f>
        <v>Anne Dodsworth</v>
      </c>
      <c r="R18">
        <f>YEAR(tblSales[[#This Row],[OrderDate]])</f>
        <v>2019</v>
      </c>
      <c r="S18">
        <f>WEEKNUM(tblSales[[#This Row],[OrderDate]])</f>
        <v>2</v>
      </c>
      <c r="T18">
        <f>IF(ISBLANK(tblSales[[#This Row],[ShippedDate]]),"",tblSales[[#This Row],[ShippedDate]]-tblSales[[#This Row],[OrderDate]])</f>
        <v>3</v>
      </c>
      <c r="U18" t="str">
        <f>LEFT(tblSales[[#This Row],[ProductName]],20)</f>
        <v>Raclette Courdavault</v>
      </c>
      <c r="X18" t="e" vm="46">
        <v>#VALUE!</v>
      </c>
      <c r="Y18" t="str" cm="1">
        <f t="array" ref="Y18">_FV(X18,"Currency code",TRUE)</f>
        <v>INR</v>
      </c>
      <c r="Z18" cm="1" vm="47">
        <f t="array" ref="Z18">_FV(X18,"Population")</f>
        <v>1417173173</v>
      </c>
      <c r="AA18" cm="1" vm="48">
        <f t="array" ref="AA18">_FV(X18,"Tax revenue (%)",TRUE)</f>
        <v>0.111799218352875</v>
      </c>
    </row>
    <row r="19" spans="2:27" x14ac:dyDescent="0.2">
      <c r="B19">
        <v>10258</v>
      </c>
      <c r="C19" t="s">
        <v>8276</v>
      </c>
      <c r="D19" t="s">
        <v>8282</v>
      </c>
      <c r="E19" t="s">
        <v>8272</v>
      </c>
      <c r="F19" s="222">
        <v>15.2</v>
      </c>
      <c r="G19">
        <v>50</v>
      </c>
      <c r="H19" s="223">
        <v>0.20000000298023199</v>
      </c>
      <c r="I19" s="222">
        <v>608</v>
      </c>
      <c r="J19" t="s">
        <v>8283</v>
      </c>
      <c r="K19" t="s">
        <v>8284</v>
      </c>
      <c r="L19" s="118">
        <v>43479</v>
      </c>
      <c r="M19" s="118">
        <v>43485</v>
      </c>
      <c r="N19" t="s">
        <v>8250</v>
      </c>
      <c r="O19" t="s">
        <v>8285</v>
      </c>
      <c r="P19" t="s">
        <v>2317</v>
      </c>
      <c r="Q19" t="str">
        <f>tblSales[[#This Row],[FirstName]]&amp; " " &amp;tblSales[[#This Row],[LastName]]</f>
        <v>Nancy Davolio</v>
      </c>
      <c r="R19">
        <f>YEAR(tblSales[[#This Row],[OrderDate]])</f>
        <v>2019</v>
      </c>
      <c r="S19">
        <f>WEEKNUM(tblSales[[#This Row],[OrderDate]])</f>
        <v>3</v>
      </c>
      <c r="T19">
        <f>IF(ISBLANK(tblSales[[#This Row],[ShippedDate]]),"",tblSales[[#This Row],[ShippedDate]]-tblSales[[#This Row],[OrderDate]])</f>
        <v>6</v>
      </c>
      <c r="U19" t="str">
        <f>LEFT(tblSales[[#This Row],[ProductName]],20)</f>
        <v>Chang</v>
      </c>
    </row>
    <row r="20" spans="2:27" x14ac:dyDescent="0.2">
      <c r="B20">
        <v>10258</v>
      </c>
      <c r="C20" t="s">
        <v>8286</v>
      </c>
      <c r="D20" t="s">
        <v>8282</v>
      </c>
      <c r="E20" t="s">
        <v>8254</v>
      </c>
      <c r="F20" s="222">
        <v>17</v>
      </c>
      <c r="G20">
        <v>65</v>
      </c>
      <c r="H20" s="223">
        <v>0.20000000298023199</v>
      </c>
      <c r="I20" s="222">
        <v>884</v>
      </c>
      <c r="J20" t="s">
        <v>8283</v>
      </c>
      <c r="K20" t="s">
        <v>8284</v>
      </c>
      <c r="L20" s="118">
        <v>43479</v>
      </c>
      <c r="M20" s="118">
        <v>43485</v>
      </c>
      <c r="N20" t="s">
        <v>8250</v>
      </c>
      <c r="O20" t="s">
        <v>8285</v>
      </c>
      <c r="P20" t="s">
        <v>2317</v>
      </c>
      <c r="Q20" t="str">
        <f>tblSales[[#This Row],[FirstName]]&amp; " " &amp;tblSales[[#This Row],[LastName]]</f>
        <v>Nancy Davolio</v>
      </c>
      <c r="R20">
        <f>YEAR(tblSales[[#This Row],[OrderDate]])</f>
        <v>2019</v>
      </c>
      <c r="S20">
        <f>WEEKNUM(tblSales[[#This Row],[OrderDate]])</f>
        <v>3</v>
      </c>
      <c r="T20">
        <f>IF(ISBLANK(tblSales[[#This Row],[ShippedDate]]),"",tblSales[[#This Row],[ShippedDate]]-tblSales[[#This Row],[OrderDate]])</f>
        <v>6</v>
      </c>
      <c r="U20" t="str">
        <f>LEFT(tblSales[[#This Row],[ProductName]],20)</f>
        <v>Chef Anton's Gumbo M</v>
      </c>
    </row>
    <row r="21" spans="2:27" x14ac:dyDescent="0.2">
      <c r="B21">
        <v>10258</v>
      </c>
      <c r="C21" t="s">
        <v>8287</v>
      </c>
      <c r="D21" t="s">
        <v>8282</v>
      </c>
      <c r="E21" t="s">
        <v>8237</v>
      </c>
      <c r="F21" s="222">
        <v>25.6</v>
      </c>
      <c r="G21">
        <v>6</v>
      </c>
      <c r="H21" s="223">
        <v>0.20000000298023199</v>
      </c>
      <c r="I21" s="222">
        <v>122.88</v>
      </c>
      <c r="J21" t="s">
        <v>8283</v>
      </c>
      <c r="K21" t="s">
        <v>8284</v>
      </c>
      <c r="L21" s="118">
        <v>43479</v>
      </c>
      <c r="M21" s="118">
        <v>43485</v>
      </c>
      <c r="N21" t="s">
        <v>8250</v>
      </c>
      <c r="O21" t="s">
        <v>8285</v>
      </c>
      <c r="P21" t="s">
        <v>2317</v>
      </c>
      <c r="Q21" t="str">
        <f>tblSales[[#This Row],[FirstName]]&amp; " " &amp;tblSales[[#This Row],[LastName]]</f>
        <v>Nancy Davolio</v>
      </c>
      <c r="R21">
        <f>YEAR(tblSales[[#This Row],[OrderDate]])</f>
        <v>2019</v>
      </c>
      <c r="S21">
        <f>WEEKNUM(tblSales[[#This Row],[OrderDate]])</f>
        <v>3</v>
      </c>
      <c r="T21">
        <f>IF(ISBLANK(tblSales[[#This Row],[ShippedDate]]),"",tblSales[[#This Row],[ShippedDate]]-tblSales[[#This Row],[OrderDate]])</f>
        <v>6</v>
      </c>
      <c r="U21" t="str">
        <f>LEFT(tblSales[[#This Row],[ProductName]],20)</f>
        <v>Mascarpone Fabioli</v>
      </c>
    </row>
    <row r="22" spans="2:27" x14ac:dyDescent="0.2">
      <c r="B22">
        <v>10260</v>
      </c>
      <c r="C22" t="s">
        <v>8288</v>
      </c>
      <c r="D22" t="s">
        <v>8246</v>
      </c>
      <c r="E22" t="s">
        <v>8272</v>
      </c>
      <c r="F22" s="222">
        <v>12</v>
      </c>
      <c r="G22">
        <v>21</v>
      </c>
      <c r="H22" s="223">
        <v>0.25</v>
      </c>
      <c r="I22" s="222">
        <v>189</v>
      </c>
      <c r="J22" t="s">
        <v>8289</v>
      </c>
      <c r="K22" t="s">
        <v>8290</v>
      </c>
      <c r="L22" s="118">
        <v>43481</v>
      </c>
      <c r="M22" s="118">
        <v>43491</v>
      </c>
      <c r="N22" t="s">
        <v>8250</v>
      </c>
      <c r="O22" t="s">
        <v>8266</v>
      </c>
      <c r="P22" t="s">
        <v>8267</v>
      </c>
      <c r="Q22" t="str">
        <f>tblSales[[#This Row],[FirstName]]&amp; " " &amp;tblSales[[#This Row],[LastName]]</f>
        <v>Margaret Peacock</v>
      </c>
      <c r="R22">
        <f>YEAR(tblSales[[#This Row],[OrderDate]])</f>
        <v>2019</v>
      </c>
      <c r="S22">
        <f>WEEKNUM(tblSales[[#This Row],[OrderDate]])</f>
        <v>3</v>
      </c>
      <c r="T22">
        <f>IF(ISBLANK(tblSales[[#This Row],[ShippedDate]]),"",tblSales[[#This Row],[ShippedDate]]-tblSales[[#This Row],[OrderDate]])</f>
        <v>10</v>
      </c>
      <c r="U22" t="str">
        <f>LEFT(tblSales[[#This Row],[ProductName]],20)</f>
        <v>Outback Lager</v>
      </c>
    </row>
    <row r="23" spans="2:27" x14ac:dyDescent="0.2">
      <c r="B23">
        <v>10260</v>
      </c>
      <c r="C23" t="s">
        <v>8291</v>
      </c>
      <c r="D23" t="s">
        <v>8246</v>
      </c>
      <c r="E23" t="s">
        <v>8262</v>
      </c>
      <c r="F23" s="222">
        <v>39.4</v>
      </c>
      <c r="G23">
        <v>15</v>
      </c>
      <c r="H23" s="223">
        <v>0.25</v>
      </c>
      <c r="I23" s="222">
        <v>443.25</v>
      </c>
      <c r="J23" t="s">
        <v>8289</v>
      </c>
      <c r="K23" t="s">
        <v>8290</v>
      </c>
      <c r="L23" s="118">
        <v>43481</v>
      </c>
      <c r="M23" s="118">
        <v>43491</v>
      </c>
      <c r="N23" t="s">
        <v>8250</v>
      </c>
      <c r="O23" t="s">
        <v>8266</v>
      </c>
      <c r="P23" t="s">
        <v>8267</v>
      </c>
      <c r="Q23" t="str">
        <f>tblSales[[#This Row],[FirstName]]&amp; " " &amp;tblSales[[#This Row],[LastName]]</f>
        <v>Margaret Peacock</v>
      </c>
      <c r="R23">
        <f>YEAR(tblSales[[#This Row],[OrderDate]])</f>
        <v>2019</v>
      </c>
      <c r="S23">
        <f>WEEKNUM(tblSales[[#This Row],[OrderDate]])</f>
        <v>3</v>
      </c>
      <c r="T23">
        <f>IF(ISBLANK(tblSales[[#This Row],[ShippedDate]]),"",tblSales[[#This Row],[ShippedDate]]-tblSales[[#This Row],[OrderDate]])</f>
        <v>10</v>
      </c>
      <c r="U23" t="str">
        <f>LEFT(tblSales[[#This Row],[ProductName]],20)</f>
        <v>Tarte au sucre</v>
      </c>
    </row>
    <row r="24" spans="2:27" x14ac:dyDescent="0.2">
      <c r="B24">
        <v>10260</v>
      </c>
      <c r="C24" t="s">
        <v>8258</v>
      </c>
      <c r="D24" t="s">
        <v>8246</v>
      </c>
      <c r="E24" t="s">
        <v>8244</v>
      </c>
      <c r="F24" s="222">
        <v>15.6</v>
      </c>
      <c r="G24">
        <v>50</v>
      </c>
      <c r="H24" s="223">
        <v>0</v>
      </c>
      <c r="I24" s="222">
        <v>780</v>
      </c>
      <c r="J24" t="s">
        <v>8289</v>
      </c>
      <c r="K24" t="s">
        <v>8290</v>
      </c>
      <c r="L24" s="118">
        <v>43481</v>
      </c>
      <c r="M24" s="118">
        <v>43491</v>
      </c>
      <c r="N24" t="s">
        <v>8250</v>
      </c>
      <c r="O24" t="s">
        <v>8266</v>
      </c>
      <c r="P24" t="s">
        <v>8267</v>
      </c>
      <c r="Q24" t="str">
        <f>tblSales[[#This Row],[FirstName]]&amp; " " &amp;tblSales[[#This Row],[LastName]]</f>
        <v>Margaret Peacock</v>
      </c>
      <c r="R24">
        <f>YEAR(tblSales[[#This Row],[OrderDate]])</f>
        <v>2019</v>
      </c>
      <c r="S24">
        <f>WEEKNUM(tblSales[[#This Row],[OrderDate]])</f>
        <v>3</v>
      </c>
      <c r="T24">
        <f>IF(ISBLANK(tblSales[[#This Row],[ShippedDate]]),"",tblSales[[#This Row],[ShippedDate]]-tblSales[[#This Row],[OrderDate]])</f>
        <v>10</v>
      </c>
      <c r="U24" t="str">
        <f>LEFT(tblSales[[#This Row],[ProductName]],20)</f>
        <v>Ravioli Angelo</v>
      </c>
    </row>
    <row r="25" spans="2:27" x14ac:dyDescent="0.2">
      <c r="B25">
        <v>10263</v>
      </c>
      <c r="C25" t="s">
        <v>8270</v>
      </c>
      <c r="D25" t="s">
        <v>8282</v>
      </c>
      <c r="E25" t="s">
        <v>8272</v>
      </c>
      <c r="F25" s="222">
        <v>3.6</v>
      </c>
      <c r="G25">
        <v>28</v>
      </c>
      <c r="H25" s="223">
        <v>0</v>
      </c>
      <c r="I25" s="222">
        <v>100.8</v>
      </c>
      <c r="J25" t="s">
        <v>8283</v>
      </c>
      <c r="K25" t="s">
        <v>8284</v>
      </c>
      <c r="L25" s="118">
        <v>43485</v>
      </c>
      <c r="M25" s="118">
        <v>43493</v>
      </c>
      <c r="N25" t="s">
        <v>8240</v>
      </c>
      <c r="O25" t="s">
        <v>8279</v>
      </c>
      <c r="P25" t="s">
        <v>710</v>
      </c>
      <c r="Q25" t="str">
        <f>tblSales[[#This Row],[FirstName]]&amp; " " &amp;tblSales[[#This Row],[LastName]]</f>
        <v>Anne Dodsworth</v>
      </c>
      <c r="R25">
        <f>YEAR(tblSales[[#This Row],[OrderDate]])</f>
        <v>2019</v>
      </c>
      <c r="S25">
        <f>WEEKNUM(tblSales[[#This Row],[OrderDate]])</f>
        <v>4</v>
      </c>
      <c r="T25">
        <f>IF(ISBLANK(tblSales[[#This Row],[ShippedDate]]),"",tblSales[[#This Row],[ShippedDate]]-tblSales[[#This Row],[OrderDate]])</f>
        <v>8</v>
      </c>
      <c r="U25" t="str">
        <f>LEFT(tblSales[[#This Row],[ProductName]],20)</f>
        <v>Guaraná Fantástica</v>
      </c>
    </row>
    <row r="26" spans="2:27" x14ac:dyDescent="0.2">
      <c r="B26">
        <v>10263</v>
      </c>
      <c r="C26" t="s">
        <v>8280</v>
      </c>
      <c r="D26" t="s">
        <v>8282</v>
      </c>
      <c r="E26" t="s">
        <v>8262</v>
      </c>
      <c r="F26" s="222">
        <v>13.9</v>
      </c>
      <c r="G26">
        <v>60</v>
      </c>
      <c r="H26" s="223">
        <v>0.25</v>
      </c>
      <c r="I26" s="222">
        <v>625.5</v>
      </c>
      <c r="J26" t="s">
        <v>8283</v>
      </c>
      <c r="K26" t="s">
        <v>8284</v>
      </c>
      <c r="L26" s="118">
        <v>43485</v>
      </c>
      <c r="M26" s="118">
        <v>43493</v>
      </c>
      <c r="N26" t="s">
        <v>8240</v>
      </c>
      <c r="O26" t="s">
        <v>8279</v>
      </c>
      <c r="P26" t="s">
        <v>710</v>
      </c>
      <c r="Q26" t="str">
        <f>tblSales[[#This Row],[FirstName]]&amp; " " &amp;tblSales[[#This Row],[LastName]]</f>
        <v>Anne Dodsworth</v>
      </c>
      <c r="R26">
        <f>YEAR(tblSales[[#This Row],[OrderDate]])</f>
        <v>2019</v>
      </c>
      <c r="S26">
        <f>WEEKNUM(tblSales[[#This Row],[OrderDate]])</f>
        <v>4</v>
      </c>
      <c r="T26">
        <f>IF(ISBLANK(tblSales[[#This Row],[ShippedDate]]),"",tblSales[[#This Row],[ShippedDate]]-tblSales[[#This Row],[OrderDate]])</f>
        <v>8</v>
      </c>
      <c r="U26" t="str">
        <f>LEFT(tblSales[[#This Row],[ProductName]],20)</f>
        <v>Pavlova</v>
      </c>
    </row>
    <row r="27" spans="2:27" x14ac:dyDescent="0.2">
      <c r="B27">
        <v>10263</v>
      </c>
      <c r="C27" t="s">
        <v>8275</v>
      </c>
      <c r="D27" t="s">
        <v>8282</v>
      </c>
      <c r="E27" t="s">
        <v>8247</v>
      </c>
      <c r="F27" s="222">
        <v>8</v>
      </c>
      <c r="G27">
        <v>36</v>
      </c>
      <c r="H27" s="223">
        <v>0.25</v>
      </c>
      <c r="I27" s="222">
        <v>216</v>
      </c>
      <c r="J27" t="s">
        <v>8283</v>
      </c>
      <c r="K27" t="s">
        <v>8284</v>
      </c>
      <c r="L27" s="118">
        <v>43485</v>
      </c>
      <c r="M27" s="118">
        <v>43493</v>
      </c>
      <c r="N27" t="s">
        <v>8240</v>
      </c>
      <c r="O27" t="s">
        <v>8279</v>
      </c>
      <c r="P27" t="s">
        <v>710</v>
      </c>
      <c r="Q27" t="str">
        <f>tblSales[[#This Row],[FirstName]]&amp; " " &amp;tblSales[[#This Row],[LastName]]</f>
        <v>Anne Dodsworth</v>
      </c>
      <c r="R27">
        <f>YEAR(tblSales[[#This Row],[OrderDate]])</f>
        <v>2019</v>
      </c>
      <c r="S27">
        <f>WEEKNUM(tblSales[[#This Row],[OrderDate]])</f>
        <v>4</v>
      </c>
      <c r="T27">
        <f>IF(ISBLANK(tblSales[[#This Row],[ShippedDate]]),"",tblSales[[#This Row],[ShippedDate]]-tblSales[[#This Row],[OrderDate]])</f>
        <v>8</v>
      </c>
      <c r="U27" t="str">
        <f>LEFT(tblSales[[#This Row],[ProductName]],20)</f>
        <v>Longlife Tofu</v>
      </c>
    </row>
    <row r="28" spans="2:27" x14ac:dyDescent="0.2">
      <c r="B28">
        <v>10264</v>
      </c>
      <c r="C28" t="s">
        <v>8276</v>
      </c>
      <c r="D28" t="s">
        <v>8292</v>
      </c>
      <c r="E28" t="s">
        <v>8272</v>
      </c>
      <c r="F28" s="222">
        <v>15.2</v>
      </c>
      <c r="G28">
        <v>35</v>
      </c>
      <c r="H28" s="223">
        <v>0</v>
      </c>
      <c r="I28" s="222">
        <v>532</v>
      </c>
      <c r="J28" t="s">
        <v>8293</v>
      </c>
      <c r="K28" t="s">
        <v>8294</v>
      </c>
      <c r="L28" s="118">
        <v>43486</v>
      </c>
      <c r="M28" s="118">
        <v>43516</v>
      </c>
      <c r="N28" t="s">
        <v>8240</v>
      </c>
      <c r="O28" t="s">
        <v>8251</v>
      </c>
      <c r="P28" t="s">
        <v>269</v>
      </c>
      <c r="Q28" t="str">
        <f>tblSales[[#This Row],[FirstName]]&amp; " " &amp;tblSales[[#This Row],[LastName]]</f>
        <v>Michael Suyama</v>
      </c>
      <c r="R28">
        <f>YEAR(tblSales[[#This Row],[OrderDate]])</f>
        <v>2019</v>
      </c>
      <c r="S28">
        <f>WEEKNUM(tblSales[[#This Row],[OrderDate]])</f>
        <v>4</v>
      </c>
      <c r="T28">
        <f>IF(ISBLANK(tblSales[[#This Row],[ShippedDate]]),"",tblSales[[#This Row],[ShippedDate]]-tblSales[[#This Row],[OrderDate]])</f>
        <v>30</v>
      </c>
      <c r="U28" t="str">
        <f>LEFT(tblSales[[#This Row],[ProductName]],20)</f>
        <v>Chang</v>
      </c>
    </row>
    <row r="29" spans="2:27" x14ac:dyDescent="0.2">
      <c r="B29">
        <v>10265</v>
      </c>
      <c r="C29" t="s">
        <v>8288</v>
      </c>
      <c r="D29" t="s">
        <v>8236</v>
      </c>
      <c r="E29" t="s">
        <v>8272</v>
      </c>
      <c r="F29" s="222">
        <v>12</v>
      </c>
      <c r="G29">
        <v>20</v>
      </c>
      <c r="H29" s="223">
        <v>0</v>
      </c>
      <c r="I29" s="222">
        <v>240</v>
      </c>
      <c r="J29" t="s">
        <v>8295</v>
      </c>
      <c r="K29" t="s">
        <v>8296</v>
      </c>
      <c r="L29" s="118">
        <v>43487</v>
      </c>
      <c r="M29" s="118">
        <v>43505</v>
      </c>
      <c r="N29" t="s">
        <v>8250</v>
      </c>
      <c r="O29" t="s">
        <v>8297</v>
      </c>
      <c r="P29" t="s">
        <v>8298</v>
      </c>
      <c r="Q29" t="str">
        <f>tblSales[[#This Row],[FirstName]]&amp; " " &amp;tblSales[[#This Row],[LastName]]</f>
        <v>Andrew Fuller</v>
      </c>
      <c r="R29">
        <f>YEAR(tblSales[[#This Row],[OrderDate]])</f>
        <v>2019</v>
      </c>
      <c r="S29">
        <f>WEEKNUM(tblSales[[#This Row],[OrderDate]])</f>
        <v>4</v>
      </c>
      <c r="T29">
        <f>IF(ISBLANK(tblSales[[#This Row],[ShippedDate]]),"",tblSales[[#This Row],[ShippedDate]]-tblSales[[#This Row],[OrderDate]])</f>
        <v>18</v>
      </c>
      <c r="U29" t="str">
        <f>LEFT(tblSales[[#This Row],[ProductName]],20)</f>
        <v>Outback Lager</v>
      </c>
    </row>
    <row r="30" spans="2:27" x14ac:dyDescent="0.2">
      <c r="B30">
        <v>10266</v>
      </c>
      <c r="C30" t="s">
        <v>8299</v>
      </c>
      <c r="D30" t="s">
        <v>8300</v>
      </c>
      <c r="E30" t="s">
        <v>8237</v>
      </c>
      <c r="F30" s="222">
        <v>30.4</v>
      </c>
      <c r="G30">
        <v>12</v>
      </c>
      <c r="H30" s="223">
        <v>5.0000000745058101E-2</v>
      </c>
      <c r="I30" s="222">
        <v>346.56</v>
      </c>
      <c r="J30" t="s">
        <v>8301</v>
      </c>
      <c r="K30" t="s">
        <v>8302</v>
      </c>
      <c r="L30" s="118">
        <v>43488</v>
      </c>
      <c r="M30" s="118">
        <v>43493</v>
      </c>
      <c r="N30" t="s">
        <v>8240</v>
      </c>
      <c r="O30" t="s">
        <v>8257</v>
      </c>
      <c r="P30" t="s">
        <v>6984</v>
      </c>
      <c r="Q30" t="str">
        <f>tblSales[[#This Row],[FirstName]]&amp; " " &amp;tblSales[[#This Row],[LastName]]</f>
        <v>Janet Leverling</v>
      </c>
      <c r="R30">
        <f>YEAR(tblSales[[#This Row],[OrderDate]])</f>
        <v>2019</v>
      </c>
      <c r="S30">
        <f>WEEKNUM(tblSales[[#This Row],[OrderDate]])</f>
        <v>4</v>
      </c>
      <c r="T30">
        <f>IF(ISBLANK(tblSales[[#This Row],[ShippedDate]]),"",tblSales[[#This Row],[ShippedDate]]-tblSales[[#This Row],[OrderDate]])</f>
        <v>5</v>
      </c>
      <c r="U30" t="str">
        <f>LEFT(tblSales[[#This Row],[ProductName]],20)</f>
        <v>Queso Manchego La Pa</v>
      </c>
    </row>
    <row r="31" spans="2:27" x14ac:dyDescent="0.2">
      <c r="B31">
        <v>10267</v>
      </c>
      <c r="C31" t="s">
        <v>8303</v>
      </c>
      <c r="D31" t="s">
        <v>8246</v>
      </c>
      <c r="E31" t="s">
        <v>8272</v>
      </c>
      <c r="F31" s="222">
        <v>14.4</v>
      </c>
      <c r="G31">
        <v>15</v>
      </c>
      <c r="H31" s="223">
        <v>0.15000000596046401</v>
      </c>
      <c r="I31" s="222">
        <v>183.6</v>
      </c>
      <c r="J31" t="s">
        <v>8304</v>
      </c>
      <c r="K31" t="s">
        <v>8305</v>
      </c>
      <c r="L31" s="118">
        <v>43491</v>
      </c>
      <c r="M31" s="118">
        <v>43499</v>
      </c>
      <c r="N31" t="s">
        <v>8250</v>
      </c>
      <c r="O31" t="s">
        <v>8266</v>
      </c>
      <c r="P31" t="s">
        <v>8267</v>
      </c>
      <c r="Q31" t="str">
        <f>tblSales[[#This Row],[FirstName]]&amp; " " &amp;tblSales[[#This Row],[LastName]]</f>
        <v>Margaret Peacock</v>
      </c>
      <c r="R31">
        <f>YEAR(tblSales[[#This Row],[OrderDate]])</f>
        <v>2019</v>
      </c>
      <c r="S31">
        <f>WEEKNUM(tblSales[[#This Row],[OrderDate]])</f>
        <v>4</v>
      </c>
      <c r="T31">
        <f>IF(ISBLANK(tblSales[[#This Row],[ShippedDate]]),"",tblSales[[#This Row],[ShippedDate]]-tblSales[[#This Row],[OrderDate]])</f>
        <v>8</v>
      </c>
      <c r="U31" t="str">
        <f>LEFT(tblSales[[#This Row],[ProductName]],20)</f>
        <v>Lakkalikööri</v>
      </c>
    </row>
    <row r="32" spans="2:27" x14ac:dyDescent="0.2">
      <c r="B32">
        <v>10267</v>
      </c>
      <c r="C32" t="s">
        <v>8281</v>
      </c>
      <c r="D32" t="s">
        <v>8246</v>
      </c>
      <c r="E32" t="s">
        <v>8237</v>
      </c>
      <c r="F32" s="222">
        <v>44</v>
      </c>
      <c r="G32">
        <v>70</v>
      </c>
      <c r="H32" s="223">
        <v>0.15000000596046401</v>
      </c>
      <c r="I32" s="222">
        <v>2618</v>
      </c>
      <c r="J32" t="s">
        <v>8304</v>
      </c>
      <c r="K32" t="s">
        <v>8305</v>
      </c>
      <c r="L32" s="118">
        <v>43491</v>
      </c>
      <c r="M32" s="118">
        <v>43499</v>
      </c>
      <c r="N32" t="s">
        <v>8250</v>
      </c>
      <c r="O32" t="s">
        <v>8266</v>
      </c>
      <c r="P32" t="s">
        <v>8267</v>
      </c>
      <c r="Q32" t="str">
        <f>tblSales[[#This Row],[FirstName]]&amp; " " &amp;tblSales[[#This Row],[LastName]]</f>
        <v>Margaret Peacock</v>
      </c>
      <c r="R32">
        <f>YEAR(tblSales[[#This Row],[OrderDate]])</f>
        <v>2019</v>
      </c>
      <c r="S32">
        <f>WEEKNUM(tblSales[[#This Row],[OrderDate]])</f>
        <v>4</v>
      </c>
      <c r="T32">
        <f>IF(ISBLANK(tblSales[[#This Row],[ShippedDate]]),"",tblSales[[#This Row],[ShippedDate]]-tblSales[[#This Row],[OrderDate]])</f>
        <v>8</v>
      </c>
      <c r="U32" t="str">
        <f>LEFT(tblSales[[#This Row],[ProductName]],20)</f>
        <v>Raclette Courdavault</v>
      </c>
    </row>
    <row r="33" spans="2:21" x14ac:dyDescent="0.2">
      <c r="B33">
        <v>10270</v>
      </c>
      <c r="C33" t="s">
        <v>8306</v>
      </c>
      <c r="D33" t="s">
        <v>8300</v>
      </c>
      <c r="E33" t="s">
        <v>8272</v>
      </c>
      <c r="F33" s="222">
        <v>36.799999999999997</v>
      </c>
      <c r="G33">
        <v>25</v>
      </c>
      <c r="H33" s="223">
        <v>0</v>
      </c>
      <c r="I33" s="222">
        <v>920</v>
      </c>
      <c r="J33" t="s">
        <v>8301</v>
      </c>
      <c r="K33" t="s">
        <v>8302</v>
      </c>
      <c r="L33" s="118">
        <v>43494</v>
      </c>
      <c r="M33" s="118">
        <v>43495</v>
      </c>
      <c r="N33" t="s">
        <v>8250</v>
      </c>
      <c r="O33" t="s">
        <v>8285</v>
      </c>
      <c r="P33" t="s">
        <v>2317</v>
      </c>
      <c r="Q33" t="str">
        <f>tblSales[[#This Row],[FirstName]]&amp; " " &amp;tblSales[[#This Row],[LastName]]</f>
        <v>Nancy Davolio</v>
      </c>
      <c r="R33">
        <f>YEAR(tblSales[[#This Row],[OrderDate]])</f>
        <v>2019</v>
      </c>
      <c r="S33">
        <f>WEEKNUM(tblSales[[#This Row],[OrderDate]])</f>
        <v>5</v>
      </c>
      <c r="T33">
        <f>IF(ISBLANK(tblSales[[#This Row],[ShippedDate]]),"",tblSales[[#This Row],[ShippedDate]]-tblSales[[#This Row],[OrderDate]])</f>
        <v>1</v>
      </c>
      <c r="U33" t="str">
        <f>LEFT(tblSales[[#This Row],[ProductName]],20)</f>
        <v>Ipoh Coffee</v>
      </c>
    </row>
    <row r="34" spans="2:21" x14ac:dyDescent="0.2">
      <c r="B34">
        <v>10273</v>
      </c>
      <c r="C34" t="s">
        <v>8303</v>
      </c>
      <c r="D34" t="s">
        <v>8246</v>
      </c>
      <c r="E34" t="s">
        <v>8272</v>
      </c>
      <c r="F34" s="222">
        <v>14.4</v>
      </c>
      <c r="G34">
        <v>33</v>
      </c>
      <c r="H34" s="223">
        <v>5.0000000745058101E-2</v>
      </c>
      <c r="I34" s="222">
        <v>451.44</v>
      </c>
      <c r="J34" t="s">
        <v>8307</v>
      </c>
      <c r="K34" t="s">
        <v>8308</v>
      </c>
      <c r="L34" s="118">
        <v>43498</v>
      </c>
      <c r="M34" s="118">
        <v>43505</v>
      </c>
      <c r="N34" t="s">
        <v>8240</v>
      </c>
      <c r="O34" t="s">
        <v>8257</v>
      </c>
      <c r="P34" t="s">
        <v>6984</v>
      </c>
      <c r="Q34" t="str">
        <f>tblSales[[#This Row],[FirstName]]&amp; " " &amp;tblSales[[#This Row],[LastName]]</f>
        <v>Janet Leverling</v>
      </c>
      <c r="R34">
        <f>YEAR(tblSales[[#This Row],[OrderDate]])</f>
        <v>2019</v>
      </c>
      <c r="S34">
        <f>WEEKNUM(tblSales[[#This Row],[OrderDate]])</f>
        <v>5</v>
      </c>
      <c r="T34">
        <f>IF(ISBLANK(tblSales[[#This Row],[ShippedDate]]),"",tblSales[[#This Row],[ShippedDate]]-tblSales[[#This Row],[OrderDate]])</f>
        <v>7</v>
      </c>
      <c r="U34" t="str">
        <f>LEFT(tblSales[[#This Row],[ProductName]],20)</f>
        <v>Lakkalikööri</v>
      </c>
    </row>
    <row r="35" spans="2:21" x14ac:dyDescent="0.2">
      <c r="B35">
        <v>10273</v>
      </c>
      <c r="C35" t="s">
        <v>8309</v>
      </c>
      <c r="D35" t="s">
        <v>8246</v>
      </c>
      <c r="E35" t="s">
        <v>8237</v>
      </c>
      <c r="F35" s="222">
        <v>10</v>
      </c>
      <c r="G35">
        <v>15</v>
      </c>
      <c r="H35" s="223">
        <v>5.0000000745058101E-2</v>
      </c>
      <c r="I35" s="222">
        <v>142.5</v>
      </c>
      <c r="J35" t="s">
        <v>8307</v>
      </c>
      <c r="K35" t="s">
        <v>8308</v>
      </c>
      <c r="L35" s="118">
        <v>43498</v>
      </c>
      <c r="M35" s="118">
        <v>43505</v>
      </c>
      <c r="N35" t="s">
        <v>8240</v>
      </c>
      <c r="O35" t="s">
        <v>8257</v>
      </c>
      <c r="P35" t="s">
        <v>6984</v>
      </c>
      <c r="Q35" t="str">
        <f>tblSales[[#This Row],[FirstName]]&amp; " " &amp;tblSales[[#This Row],[LastName]]</f>
        <v>Janet Leverling</v>
      </c>
      <c r="R35">
        <f>YEAR(tblSales[[#This Row],[OrderDate]])</f>
        <v>2019</v>
      </c>
      <c r="S35">
        <f>WEEKNUM(tblSales[[#This Row],[OrderDate]])</f>
        <v>5</v>
      </c>
      <c r="T35">
        <f>IF(ISBLANK(tblSales[[#This Row],[ShippedDate]]),"",tblSales[[#This Row],[ShippedDate]]-tblSales[[#This Row],[OrderDate]])</f>
        <v>7</v>
      </c>
      <c r="U35" t="str">
        <f>LEFT(tblSales[[#This Row],[ProductName]],20)</f>
        <v>Gorgonzola Telino</v>
      </c>
    </row>
    <row r="36" spans="2:21" x14ac:dyDescent="0.2">
      <c r="B36">
        <v>10273</v>
      </c>
      <c r="C36" t="s">
        <v>8269</v>
      </c>
      <c r="D36" t="s">
        <v>8246</v>
      </c>
      <c r="E36" t="s">
        <v>8237</v>
      </c>
      <c r="F36" s="222">
        <v>2</v>
      </c>
      <c r="G36">
        <v>20</v>
      </c>
      <c r="H36" s="223">
        <v>0</v>
      </c>
      <c r="I36" s="222">
        <v>40</v>
      </c>
      <c r="J36" t="s">
        <v>8307</v>
      </c>
      <c r="K36" t="s">
        <v>8308</v>
      </c>
      <c r="L36" s="118">
        <v>43498</v>
      </c>
      <c r="M36" s="118">
        <v>43505</v>
      </c>
      <c r="N36" t="s">
        <v>8240</v>
      </c>
      <c r="O36" t="s">
        <v>8257</v>
      </c>
      <c r="P36" t="s">
        <v>6984</v>
      </c>
      <c r="Q36" t="str">
        <f>tblSales[[#This Row],[FirstName]]&amp; " " &amp;tblSales[[#This Row],[LastName]]</f>
        <v>Janet Leverling</v>
      </c>
      <c r="R36">
        <f>YEAR(tblSales[[#This Row],[OrderDate]])</f>
        <v>2019</v>
      </c>
      <c r="S36">
        <f>WEEKNUM(tblSales[[#This Row],[OrderDate]])</f>
        <v>5</v>
      </c>
      <c r="T36">
        <f>IF(ISBLANK(tblSales[[#This Row],[ShippedDate]]),"",tblSales[[#This Row],[ShippedDate]]-tblSales[[#This Row],[OrderDate]])</f>
        <v>7</v>
      </c>
      <c r="U36" t="str">
        <f>LEFT(tblSales[[#This Row],[ProductName]],20)</f>
        <v>Geitost</v>
      </c>
    </row>
    <row r="37" spans="2:21" x14ac:dyDescent="0.2">
      <c r="B37">
        <v>10274</v>
      </c>
      <c r="C37" t="s">
        <v>8310</v>
      </c>
      <c r="D37" t="s">
        <v>8236</v>
      </c>
      <c r="E37" t="s">
        <v>8237</v>
      </c>
      <c r="F37" s="222">
        <v>17.2</v>
      </c>
      <c r="G37">
        <v>20</v>
      </c>
      <c r="H37" s="223">
        <v>0</v>
      </c>
      <c r="I37" s="222">
        <v>344</v>
      </c>
      <c r="J37" t="s">
        <v>8238</v>
      </c>
      <c r="K37" t="s">
        <v>8239</v>
      </c>
      <c r="L37" s="118">
        <v>43499</v>
      </c>
      <c r="M37" s="118">
        <v>43509</v>
      </c>
      <c r="N37" t="s">
        <v>8250</v>
      </c>
      <c r="O37" t="s">
        <v>8251</v>
      </c>
      <c r="P37" t="s">
        <v>269</v>
      </c>
      <c r="Q37" t="str">
        <f>tblSales[[#This Row],[FirstName]]&amp; " " &amp;tblSales[[#This Row],[LastName]]</f>
        <v>Michael Suyama</v>
      </c>
      <c r="R37">
        <f>YEAR(tblSales[[#This Row],[OrderDate]])</f>
        <v>2019</v>
      </c>
      <c r="S37">
        <f>WEEKNUM(tblSales[[#This Row],[OrderDate]])</f>
        <v>6</v>
      </c>
      <c r="T37">
        <f>IF(ISBLANK(tblSales[[#This Row],[ShippedDate]]),"",tblSales[[#This Row],[ShippedDate]]-tblSales[[#This Row],[OrderDate]])</f>
        <v>10</v>
      </c>
      <c r="U37" t="str">
        <f>LEFT(tblSales[[#This Row],[ProductName]],20)</f>
        <v>Fløtemysost</v>
      </c>
    </row>
    <row r="38" spans="2:21" x14ac:dyDescent="0.2">
      <c r="B38">
        <v>10274</v>
      </c>
      <c r="C38" t="s">
        <v>8235</v>
      </c>
      <c r="D38" t="s">
        <v>8236</v>
      </c>
      <c r="E38" t="s">
        <v>8237</v>
      </c>
      <c r="F38" s="222">
        <v>27.8</v>
      </c>
      <c r="G38">
        <v>7</v>
      </c>
      <c r="H38" s="223">
        <v>0</v>
      </c>
      <c r="I38" s="222">
        <v>194.6</v>
      </c>
      <c r="J38" t="s">
        <v>8238</v>
      </c>
      <c r="K38" t="s">
        <v>8239</v>
      </c>
      <c r="L38" s="118">
        <v>43499</v>
      </c>
      <c r="M38" s="118">
        <v>43509</v>
      </c>
      <c r="N38" t="s">
        <v>8250</v>
      </c>
      <c r="O38" t="s">
        <v>8251</v>
      </c>
      <c r="P38" t="s">
        <v>269</v>
      </c>
      <c r="Q38" t="str">
        <f>tblSales[[#This Row],[FirstName]]&amp; " " &amp;tblSales[[#This Row],[LastName]]</f>
        <v>Michael Suyama</v>
      </c>
      <c r="R38">
        <f>YEAR(tblSales[[#This Row],[OrderDate]])</f>
        <v>2019</v>
      </c>
      <c r="S38">
        <f>WEEKNUM(tblSales[[#This Row],[OrderDate]])</f>
        <v>6</v>
      </c>
      <c r="T38">
        <f>IF(ISBLANK(tblSales[[#This Row],[ShippedDate]]),"",tblSales[[#This Row],[ShippedDate]]-tblSales[[#This Row],[OrderDate]])</f>
        <v>10</v>
      </c>
      <c r="U38" t="str">
        <f>LEFT(tblSales[[#This Row],[ProductName]],20)</f>
        <v>Mozzarella di Giovan</v>
      </c>
    </row>
    <row r="39" spans="2:21" x14ac:dyDescent="0.2">
      <c r="B39">
        <v>10275</v>
      </c>
      <c r="C39" t="s">
        <v>8270</v>
      </c>
      <c r="D39" t="s">
        <v>8311</v>
      </c>
      <c r="E39" t="s">
        <v>8272</v>
      </c>
      <c r="F39" s="222">
        <v>3.6</v>
      </c>
      <c r="G39">
        <v>12</v>
      </c>
      <c r="H39" s="223">
        <v>5.0000000745058101E-2</v>
      </c>
      <c r="I39" s="222">
        <v>41.04</v>
      </c>
      <c r="J39" t="s">
        <v>8312</v>
      </c>
      <c r="K39" t="s">
        <v>8313</v>
      </c>
      <c r="L39" s="118">
        <v>43500</v>
      </c>
      <c r="M39" s="118">
        <v>43502</v>
      </c>
      <c r="N39" t="s">
        <v>8250</v>
      </c>
      <c r="O39" t="s">
        <v>8285</v>
      </c>
      <c r="P39" t="s">
        <v>2317</v>
      </c>
      <c r="Q39" t="str">
        <f>tblSales[[#This Row],[FirstName]]&amp; " " &amp;tblSales[[#This Row],[LastName]]</f>
        <v>Nancy Davolio</v>
      </c>
      <c r="R39">
        <f>YEAR(tblSales[[#This Row],[OrderDate]])</f>
        <v>2019</v>
      </c>
      <c r="S39">
        <f>WEEKNUM(tblSales[[#This Row],[OrderDate]])</f>
        <v>6</v>
      </c>
      <c r="T39">
        <f>IF(ISBLANK(tblSales[[#This Row],[ShippedDate]]),"",tblSales[[#This Row],[ShippedDate]]-tblSales[[#This Row],[OrderDate]])</f>
        <v>2</v>
      </c>
      <c r="U39" t="str">
        <f>LEFT(tblSales[[#This Row],[ProductName]],20)</f>
        <v>Guaraná Fantástica</v>
      </c>
    </row>
    <row r="40" spans="2:21" x14ac:dyDescent="0.2">
      <c r="B40">
        <v>10275</v>
      </c>
      <c r="C40" t="s">
        <v>8281</v>
      </c>
      <c r="D40" t="s">
        <v>8311</v>
      </c>
      <c r="E40" t="s">
        <v>8237</v>
      </c>
      <c r="F40" s="222">
        <v>44</v>
      </c>
      <c r="G40">
        <v>6</v>
      </c>
      <c r="H40" s="223">
        <v>5.0000000745058101E-2</v>
      </c>
      <c r="I40" s="222">
        <v>250.8</v>
      </c>
      <c r="J40" t="s">
        <v>8312</v>
      </c>
      <c r="K40" t="s">
        <v>8313</v>
      </c>
      <c r="L40" s="118">
        <v>43500</v>
      </c>
      <c r="M40" s="118">
        <v>43502</v>
      </c>
      <c r="N40" t="s">
        <v>8250</v>
      </c>
      <c r="O40" t="s">
        <v>8285</v>
      </c>
      <c r="P40" t="s">
        <v>2317</v>
      </c>
      <c r="Q40" t="str">
        <f>tblSales[[#This Row],[FirstName]]&amp; " " &amp;tblSales[[#This Row],[LastName]]</f>
        <v>Nancy Davolio</v>
      </c>
      <c r="R40">
        <f>YEAR(tblSales[[#This Row],[OrderDate]])</f>
        <v>2019</v>
      </c>
      <c r="S40">
        <f>WEEKNUM(tblSales[[#This Row],[OrderDate]])</f>
        <v>6</v>
      </c>
      <c r="T40">
        <f>IF(ISBLANK(tblSales[[#This Row],[ShippedDate]]),"",tblSales[[#This Row],[ShippedDate]]-tblSales[[#This Row],[OrderDate]])</f>
        <v>2</v>
      </c>
      <c r="U40" t="str">
        <f>LEFT(tblSales[[#This Row],[ProductName]],20)</f>
        <v>Raclette Courdavault</v>
      </c>
    </row>
    <row r="41" spans="2:21" x14ac:dyDescent="0.2">
      <c r="B41">
        <v>10277</v>
      </c>
      <c r="C41" t="s">
        <v>8291</v>
      </c>
      <c r="D41" t="s">
        <v>8246</v>
      </c>
      <c r="E41" t="s">
        <v>8262</v>
      </c>
      <c r="F41" s="222">
        <v>39.4</v>
      </c>
      <c r="G41">
        <v>12</v>
      </c>
      <c r="H41" s="223">
        <v>0</v>
      </c>
      <c r="I41" s="222">
        <v>472.8</v>
      </c>
      <c r="J41" t="s">
        <v>8314</v>
      </c>
      <c r="K41" t="s">
        <v>8315</v>
      </c>
      <c r="L41" s="118">
        <v>43502</v>
      </c>
      <c r="M41" s="118">
        <v>43506</v>
      </c>
      <c r="N41" t="s">
        <v>8240</v>
      </c>
      <c r="O41" t="s">
        <v>8297</v>
      </c>
      <c r="P41" t="s">
        <v>8298</v>
      </c>
      <c r="Q41" t="str">
        <f>tblSales[[#This Row],[FirstName]]&amp; " " &amp;tblSales[[#This Row],[LastName]]</f>
        <v>Andrew Fuller</v>
      </c>
      <c r="R41">
        <f>YEAR(tblSales[[#This Row],[OrderDate]])</f>
        <v>2019</v>
      </c>
      <c r="S41">
        <f>WEEKNUM(tblSales[[#This Row],[OrderDate]])</f>
        <v>6</v>
      </c>
      <c r="T41">
        <f>IF(ISBLANK(tblSales[[#This Row],[ShippedDate]]),"",tblSales[[#This Row],[ShippedDate]]-tblSales[[#This Row],[OrderDate]])</f>
        <v>4</v>
      </c>
      <c r="U41" t="str">
        <f>LEFT(tblSales[[#This Row],[ProductName]],20)</f>
        <v>Tarte au sucre</v>
      </c>
    </row>
    <row r="42" spans="2:21" x14ac:dyDescent="0.2">
      <c r="B42">
        <v>10277</v>
      </c>
      <c r="C42" t="s">
        <v>8316</v>
      </c>
      <c r="D42" t="s">
        <v>8246</v>
      </c>
      <c r="E42" t="s">
        <v>8247</v>
      </c>
      <c r="F42" s="222">
        <v>36.4</v>
      </c>
      <c r="G42">
        <v>20</v>
      </c>
      <c r="H42" s="223">
        <v>0</v>
      </c>
      <c r="I42" s="222">
        <v>728</v>
      </c>
      <c r="J42" t="s">
        <v>8314</v>
      </c>
      <c r="K42" t="s">
        <v>8315</v>
      </c>
      <c r="L42" s="118">
        <v>43502</v>
      </c>
      <c r="M42" s="118">
        <v>43506</v>
      </c>
      <c r="N42" t="s">
        <v>8240</v>
      </c>
      <c r="O42" t="s">
        <v>8297</v>
      </c>
      <c r="P42" t="s">
        <v>8298</v>
      </c>
      <c r="Q42" t="str">
        <f>tblSales[[#This Row],[FirstName]]&amp; " " &amp;tblSales[[#This Row],[LastName]]</f>
        <v>Andrew Fuller</v>
      </c>
      <c r="R42">
        <f>YEAR(tblSales[[#This Row],[OrderDate]])</f>
        <v>2019</v>
      </c>
      <c r="S42">
        <f>WEEKNUM(tblSales[[#This Row],[OrderDate]])</f>
        <v>6</v>
      </c>
      <c r="T42">
        <f>IF(ISBLANK(tblSales[[#This Row],[ShippedDate]]),"",tblSales[[#This Row],[ShippedDate]]-tblSales[[#This Row],[OrderDate]])</f>
        <v>4</v>
      </c>
      <c r="U42" t="str">
        <f>LEFT(tblSales[[#This Row],[ProductName]],20)</f>
        <v>Rössle Sauerkraut</v>
      </c>
    </row>
    <row r="43" spans="2:21" x14ac:dyDescent="0.2">
      <c r="B43">
        <v>10278</v>
      </c>
      <c r="C43" t="s">
        <v>8317</v>
      </c>
      <c r="D43" t="s">
        <v>8292</v>
      </c>
      <c r="E43" t="s">
        <v>8254</v>
      </c>
      <c r="F43" s="222">
        <v>35.1</v>
      </c>
      <c r="G43">
        <v>8</v>
      </c>
      <c r="H43" s="223">
        <v>0</v>
      </c>
      <c r="I43" s="222">
        <v>280.8</v>
      </c>
      <c r="J43" t="s">
        <v>8318</v>
      </c>
      <c r="K43" t="s">
        <v>8319</v>
      </c>
      <c r="L43" s="118">
        <v>43505</v>
      </c>
      <c r="M43" s="118">
        <v>43509</v>
      </c>
      <c r="N43" t="s">
        <v>8265</v>
      </c>
      <c r="O43" t="s">
        <v>8320</v>
      </c>
      <c r="P43" t="s">
        <v>8321</v>
      </c>
      <c r="Q43" t="str">
        <f>tblSales[[#This Row],[FirstName]]&amp; " " &amp;tblSales[[#This Row],[LastName]]</f>
        <v>Laura Callahan</v>
      </c>
      <c r="R43">
        <f>YEAR(tblSales[[#This Row],[OrderDate]])</f>
        <v>2019</v>
      </c>
      <c r="S43">
        <f>WEEKNUM(tblSales[[#This Row],[OrderDate]])</f>
        <v>6</v>
      </c>
      <c r="T43">
        <f>IF(ISBLANK(tblSales[[#This Row],[ShippedDate]]),"",tblSales[[#This Row],[ShippedDate]]-tblSales[[#This Row],[OrderDate]])</f>
        <v>4</v>
      </c>
      <c r="U43" t="str">
        <f>LEFT(tblSales[[#This Row],[ProductName]],20)</f>
        <v>Vegie-spread</v>
      </c>
    </row>
    <row r="44" spans="2:21" x14ac:dyDescent="0.2">
      <c r="B44">
        <v>10278</v>
      </c>
      <c r="C44" t="s">
        <v>8322</v>
      </c>
      <c r="D44" t="s">
        <v>8292</v>
      </c>
      <c r="E44" t="s">
        <v>8254</v>
      </c>
      <c r="F44" s="222">
        <v>15.5</v>
      </c>
      <c r="G44">
        <v>16</v>
      </c>
      <c r="H44" s="223">
        <v>0</v>
      </c>
      <c r="I44" s="222">
        <v>248</v>
      </c>
      <c r="J44" t="s">
        <v>8318</v>
      </c>
      <c r="K44" t="s">
        <v>8319</v>
      </c>
      <c r="L44" s="118">
        <v>43505</v>
      </c>
      <c r="M44" s="118">
        <v>43509</v>
      </c>
      <c r="N44" t="s">
        <v>8265</v>
      </c>
      <c r="O44" t="s">
        <v>8320</v>
      </c>
      <c r="P44" t="s">
        <v>8321</v>
      </c>
      <c r="Q44" t="str">
        <f>tblSales[[#This Row],[FirstName]]&amp; " " &amp;tblSales[[#This Row],[LastName]]</f>
        <v>Laura Callahan</v>
      </c>
      <c r="R44">
        <f>YEAR(tblSales[[#This Row],[OrderDate]])</f>
        <v>2019</v>
      </c>
      <c r="S44">
        <f>WEEKNUM(tblSales[[#This Row],[OrderDate]])</f>
        <v>6</v>
      </c>
      <c r="T44">
        <f>IF(ISBLANK(tblSales[[#This Row],[ShippedDate]]),"",tblSales[[#This Row],[ShippedDate]]-tblSales[[#This Row],[OrderDate]])</f>
        <v>4</v>
      </c>
      <c r="U44" t="str">
        <f>LEFT(tblSales[[#This Row],[ProductName]],20)</f>
        <v>Gula Malacca</v>
      </c>
    </row>
    <row r="45" spans="2:21" x14ac:dyDescent="0.2">
      <c r="B45">
        <v>10278</v>
      </c>
      <c r="C45" t="s">
        <v>8281</v>
      </c>
      <c r="D45" t="s">
        <v>8292</v>
      </c>
      <c r="E45" t="s">
        <v>8237</v>
      </c>
      <c r="F45" s="222">
        <v>44</v>
      </c>
      <c r="G45">
        <v>15</v>
      </c>
      <c r="H45" s="223">
        <v>0</v>
      </c>
      <c r="I45" s="222">
        <v>660</v>
      </c>
      <c r="J45" t="s">
        <v>8318</v>
      </c>
      <c r="K45" t="s">
        <v>8319</v>
      </c>
      <c r="L45" s="118">
        <v>43505</v>
      </c>
      <c r="M45" s="118">
        <v>43509</v>
      </c>
      <c r="N45" t="s">
        <v>8265</v>
      </c>
      <c r="O45" t="s">
        <v>8320</v>
      </c>
      <c r="P45" t="s">
        <v>8321</v>
      </c>
      <c r="Q45" t="str">
        <f>tblSales[[#This Row],[FirstName]]&amp; " " &amp;tblSales[[#This Row],[LastName]]</f>
        <v>Laura Callahan</v>
      </c>
      <c r="R45">
        <f>YEAR(tblSales[[#This Row],[OrderDate]])</f>
        <v>2019</v>
      </c>
      <c r="S45">
        <f>WEEKNUM(tblSales[[#This Row],[OrderDate]])</f>
        <v>6</v>
      </c>
      <c r="T45">
        <f>IF(ISBLANK(tblSales[[#This Row],[ShippedDate]]),"",tblSales[[#This Row],[ShippedDate]]-tblSales[[#This Row],[OrderDate]])</f>
        <v>4</v>
      </c>
      <c r="U45" t="str">
        <f>LEFT(tblSales[[#This Row],[ProductName]],20)</f>
        <v>Raclette Courdavault</v>
      </c>
    </row>
    <row r="46" spans="2:21" x14ac:dyDescent="0.2">
      <c r="B46">
        <v>10281</v>
      </c>
      <c r="C46" t="s">
        <v>8323</v>
      </c>
      <c r="D46" t="s">
        <v>8324</v>
      </c>
      <c r="E46" t="s">
        <v>8272</v>
      </c>
      <c r="F46" s="222">
        <v>14.4</v>
      </c>
      <c r="G46">
        <v>4</v>
      </c>
      <c r="H46" s="223">
        <v>0</v>
      </c>
      <c r="I46" s="222">
        <v>57.6</v>
      </c>
      <c r="J46" t="s">
        <v>8325</v>
      </c>
      <c r="K46" t="s">
        <v>8326</v>
      </c>
      <c r="L46" s="118">
        <v>43507</v>
      </c>
      <c r="M46" s="118">
        <v>43514</v>
      </c>
      <c r="N46" t="s">
        <v>8250</v>
      </c>
      <c r="O46" t="s">
        <v>8266</v>
      </c>
      <c r="P46" t="s">
        <v>8267</v>
      </c>
      <c r="Q46" t="str">
        <f>tblSales[[#This Row],[FirstName]]&amp; " " &amp;tblSales[[#This Row],[LastName]]</f>
        <v>Margaret Peacock</v>
      </c>
      <c r="R46">
        <f>YEAR(tblSales[[#This Row],[OrderDate]])</f>
        <v>2019</v>
      </c>
      <c r="S46">
        <f>WEEKNUM(tblSales[[#This Row],[OrderDate]])</f>
        <v>7</v>
      </c>
      <c r="T46">
        <f>IF(ISBLANK(tblSales[[#This Row],[ShippedDate]]),"",tblSales[[#This Row],[ShippedDate]]-tblSales[[#This Row],[OrderDate]])</f>
        <v>7</v>
      </c>
      <c r="U46" t="str">
        <f>LEFT(tblSales[[#This Row],[ProductName]],20)</f>
        <v>Steeleye Stout</v>
      </c>
    </row>
    <row r="47" spans="2:21" x14ac:dyDescent="0.2">
      <c r="B47">
        <v>10281</v>
      </c>
      <c r="C47" t="s">
        <v>8270</v>
      </c>
      <c r="D47" t="s">
        <v>8324</v>
      </c>
      <c r="E47" t="s">
        <v>8272</v>
      </c>
      <c r="F47" s="222">
        <v>3.6</v>
      </c>
      <c r="G47">
        <v>6</v>
      </c>
      <c r="H47" s="223">
        <v>0</v>
      </c>
      <c r="I47" s="222">
        <v>21.6</v>
      </c>
      <c r="J47" t="s">
        <v>8325</v>
      </c>
      <c r="K47" t="s">
        <v>8326</v>
      </c>
      <c r="L47" s="118">
        <v>43507</v>
      </c>
      <c r="M47" s="118">
        <v>43514</v>
      </c>
      <c r="N47" t="s">
        <v>8250</v>
      </c>
      <c r="O47" t="s">
        <v>8266</v>
      </c>
      <c r="P47" t="s">
        <v>8267</v>
      </c>
      <c r="Q47" t="str">
        <f>tblSales[[#This Row],[FirstName]]&amp; " " &amp;tblSales[[#This Row],[LastName]]</f>
        <v>Margaret Peacock</v>
      </c>
      <c r="R47">
        <f>YEAR(tblSales[[#This Row],[OrderDate]])</f>
        <v>2019</v>
      </c>
      <c r="S47">
        <f>WEEKNUM(tblSales[[#This Row],[OrderDate]])</f>
        <v>7</v>
      </c>
      <c r="T47">
        <f>IF(ISBLANK(tblSales[[#This Row],[ShippedDate]]),"",tblSales[[#This Row],[ShippedDate]]-tblSales[[#This Row],[OrderDate]])</f>
        <v>7</v>
      </c>
      <c r="U47" t="str">
        <f>LEFT(tblSales[[#This Row],[ProductName]],20)</f>
        <v>Guaraná Fantástica</v>
      </c>
    </row>
    <row r="48" spans="2:21" x14ac:dyDescent="0.2">
      <c r="B48">
        <v>10281</v>
      </c>
      <c r="C48" t="s">
        <v>8327</v>
      </c>
      <c r="D48" t="s">
        <v>8324</v>
      </c>
      <c r="E48" t="s">
        <v>8262</v>
      </c>
      <c r="F48" s="222">
        <v>7.3</v>
      </c>
      <c r="G48">
        <v>1</v>
      </c>
      <c r="H48" s="223">
        <v>0</v>
      </c>
      <c r="I48" s="222">
        <v>7.3</v>
      </c>
      <c r="J48" t="s">
        <v>8325</v>
      </c>
      <c r="K48" t="s">
        <v>8326</v>
      </c>
      <c r="L48" s="118">
        <v>43507</v>
      </c>
      <c r="M48" s="118">
        <v>43514</v>
      </c>
      <c r="N48" t="s">
        <v>8250</v>
      </c>
      <c r="O48" t="s">
        <v>8266</v>
      </c>
      <c r="P48" t="s">
        <v>8267</v>
      </c>
      <c r="Q48" t="str">
        <f>tblSales[[#This Row],[FirstName]]&amp; " " &amp;tblSales[[#This Row],[LastName]]</f>
        <v>Margaret Peacock</v>
      </c>
      <c r="R48">
        <f>YEAR(tblSales[[#This Row],[OrderDate]])</f>
        <v>2019</v>
      </c>
      <c r="S48">
        <f>WEEKNUM(tblSales[[#This Row],[OrderDate]])</f>
        <v>7</v>
      </c>
      <c r="T48">
        <f>IF(ISBLANK(tblSales[[#This Row],[ShippedDate]]),"",tblSales[[#This Row],[ShippedDate]]-tblSales[[#This Row],[OrderDate]])</f>
        <v>7</v>
      </c>
      <c r="U48" t="str">
        <f>LEFT(tblSales[[#This Row],[ProductName]],20)</f>
        <v>Teatime Chocolate Bi</v>
      </c>
    </row>
    <row r="49" spans="2:21" x14ac:dyDescent="0.2">
      <c r="B49">
        <v>10280</v>
      </c>
      <c r="C49" t="s">
        <v>8328</v>
      </c>
      <c r="D49" t="s">
        <v>8292</v>
      </c>
      <c r="E49" t="s">
        <v>8272</v>
      </c>
      <c r="F49" s="222">
        <v>6.2</v>
      </c>
      <c r="G49">
        <v>30</v>
      </c>
      <c r="H49" s="223">
        <v>0</v>
      </c>
      <c r="I49" s="222">
        <v>186</v>
      </c>
      <c r="J49" t="s">
        <v>8318</v>
      </c>
      <c r="K49" t="s">
        <v>8319</v>
      </c>
      <c r="L49" s="118">
        <v>43507</v>
      </c>
      <c r="M49" s="118">
        <v>43536</v>
      </c>
      <c r="N49" t="s">
        <v>8250</v>
      </c>
      <c r="O49" t="s">
        <v>8297</v>
      </c>
      <c r="P49" t="s">
        <v>8298</v>
      </c>
      <c r="Q49" t="str">
        <f>tblSales[[#This Row],[FirstName]]&amp; " " &amp;tblSales[[#This Row],[LastName]]</f>
        <v>Andrew Fuller</v>
      </c>
      <c r="R49">
        <f>YEAR(tblSales[[#This Row],[OrderDate]])</f>
        <v>2019</v>
      </c>
      <c r="S49">
        <f>WEEKNUM(tblSales[[#This Row],[OrderDate]])</f>
        <v>7</v>
      </c>
      <c r="T49">
        <f>IF(ISBLANK(tblSales[[#This Row],[ShippedDate]]),"",tblSales[[#This Row],[ShippedDate]]-tblSales[[#This Row],[OrderDate]])</f>
        <v>29</v>
      </c>
      <c r="U49" t="str">
        <f>LEFT(tblSales[[#This Row],[ProductName]],20)</f>
        <v>Rhönbräu Klosterbier</v>
      </c>
    </row>
    <row r="50" spans="2:21" x14ac:dyDescent="0.2">
      <c r="B50">
        <v>10280</v>
      </c>
      <c r="C50" t="s">
        <v>8270</v>
      </c>
      <c r="D50" t="s">
        <v>8292</v>
      </c>
      <c r="E50" t="s">
        <v>8272</v>
      </c>
      <c r="F50" s="222">
        <v>3.6</v>
      </c>
      <c r="G50">
        <v>12</v>
      </c>
      <c r="H50" s="223">
        <v>0</v>
      </c>
      <c r="I50" s="222">
        <v>43.2</v>
      </c>
      <c r="J50" t="s">
        <v>8318</v>
      </c>
      <c r="K50" t="s">
        <v>8319</v>
      </c>
      <c r="L50" s="118">
        <v>43507</v>
      </c>
      <c r="M50" s="118">
        <v>43536</v>
      </c>
      <c r="N50" t="s">
        <v>8250</v>
      </c>
      <c r="O50" t="s">
        <v>8297</v>
      </c>
      <c r="P50" t="s">
        <v>8298</v>
      </c>
      <c r="Q50" t="str">
        <f>tblSales[[#This Row],[FirstName]]&amp; " " &amp;tblSales[[#This Row],[LastName]]</f>
        <v>Andrew Fuller</v>
      </c>
      <c r="R50">
        <f>YEAR(tblSales[[#This Row],[OrderDate]])</f>
        <v>2019</v>
      </c>
      <c r="S50">
        <f>WEEKNUM(tblSales[[#This Row],[OrderDate]])</f>
        <v>7</v>
      </c>
      <c r="T50">
        <f>IF(ISBLANK(tblSales[[#This Row],[ShippedDate]]),"",tblSales[[#This Row],[ShippedDate]]-tblSales[[#This Row],[OrderDate]])</f>
        <v>29</v>
      </c>
      <c r="U50" t="str">
        <f>LEFT(tblSales[[#This Row],[ProductName]],20)</f>
        <v>Guaraná Fantástica</v>
      </c>
    </row>
    <row r="51" spans="2:21" x14ac:dyDescent="0.2">
      <c r="B51">
        <v>10282</v>
      </c>
      <c r="C51" t="s">
        <v>8258</v>
      </c>
      <c r="D51" t="s">
        <v>8324</v>
      </c>
      <c r="E51" t="s">
        <v>8244</v>
      </c>
      <c r="F51" s="222">
        <v>15.6</v>
      </c>
      <c r="G51">
        <v>2</v>
      </c>
      <c r="H51" s="223">
        <v>0</v>
      </c>
      <c r="I51" s="222">
        <v>31.2</v>
      </c>
      <c r="J51" t="s">
        <v>8325</v>
      </c>
      <c r="K51" t="s">
        <v>8326</v>
      </c>
      <c r="L51" s="118">
        <v>43508</v>
      </c>
      <c r="M51" s="118">
        <v>43514</v>
      </c>
      <c r="N51" t="s">
        <v>8250</v>
      </c>
      <c r="O51" t="s">
        <v>8266</v>
      </c>
      <c r="P51" t="s">
        <v>8267</v>
      </c>
      <c r="Q51" t="str">
        <f>tblSales[[#This Row],[FirstName]]&amp; " " &amp;tblSales[[#This Row],[LastName]]</f>
        <v>Margaret Peacock</v>
      </c>
      <c r="R51">
        <f>YEAR(tblSales[[#This Row],[OrderDate]])</f>
        <v>2019</v>
      </c>
      <c r="S51">
        <f>WEEKNUM(tblSales[[#This Row],[OrderDate]])</f>
        <v>7</v>
      </c>
      <c r="T51">
        <f>IF(ISBLANK(tblSales[[#This Row],[ShippedDate]]),"",tblSales[[#This Row],[ShippedDate]]-tblSales[[#This Row],[OrderDate]])</f>
        <v>6</v>
      </c>
      <c r="U51" t="str">
        <f>LEFT(tblSales[[#This Row],[ProductName]],20)</f>
        <v>Ravioli Angelo</v>
      </c>
    </row>
    <row r="52" spans="2:21" x14ac:dyDescent="0.2">
      <c r="B52">
        <v>10284</v>
      </c>
      <c r="C52" t="s">
        <v>8329</v>
      </c>
      <c r="D52" t="s">
        <v>8246</v>
      </c>
      <c r="E52" t="s">
        <v>8272</v>
      </c>
      <c r="F52" s="222">
        <v>11.2</v>
      </c>
      <c r="G52">
        <v>5</v>
      </c>
      <c r="H52" s="223">
        <v>0.25</v>
      </c>
      <c r="I52" s="222">
        <v>42</v>
      </c>
      <c r="J52" t="s">
        <v>8330</v>
      </c>
      <c r="K52" t="s">
        <v>8331</v>
      </c>
      <c r="L52" s="118">
        <v>43512</v>
      </c>
      <c r="M52" s="118">
        <v>43520</v>
      </c>
      <c r="N52" t="s">
        <v>8250</v>
      </c>
      <c r="O52" t="s">
        <v>8266</v>
      </c>
      <c r="P52" t="s">
        <v>8267</v>
      </c>
      <c r="Q52" t="str">
        <f>tblSales[[#This Row],[FirstName]]&amp; " " &amp;tblSales[[#This Row],[LastName]]</f>
        <v>Margaret Peacock</v>
      </c>
      <c r="R52">
        <f>YEAR(tblSales[[#This Row],[OrderDate]])</f>
        <v>2019</v>
      </c>
      <c r="S52">
        <f>WEEKNUM(tblSales[[#This Row],[OrderDate]])</f>
        <v>7</v>
      </c>
      <c r="T52">
        <f>IF(ISBLANK(tblSales[[#This Row],[ShippedDate]]),"",tblSales[[#This Row],[ShippedDate]]-tblSales[[#This Row],[OrderDate]])</f>
        <v>8</v>
      </c>
      <c r="U52" t="str">
        <f>LEFT(tblSales[[#This Row],[ProductName]],20)</f>
        <v xml:space="preserve">Laughing Lumberjack </v>
      </c>
    </row>
    <row r="53" spans="2:21" x14ac:dyDescent="0.2">
      <c r="B53">
        <v>10284</v>
      </c>
      <c r="C53" t="s">
        <v>8322</v>
      </c>
      <c r="D53" t="s">
        <v>8246</v>
      </c>
      <c r="E53" t="s">
        <v>8254</v>
      </c>
      <c r="F53" s="222">
        <v>15.5</v>
      </c>
      <c r="G53">
        <v>21</v>
      </c>
      <c r="H53" s="223">
        <v>0</v>
      </c>
      <c r="I53" s="222">
        <v>325.5</v>
      </c>
      <c r="J53" t="s">
        <v>8330</v>
      </c>
      <c r="K53" t="s">
        <v>8331</v>
      </c>
      <c r="L53" s="118">
        <v>43512</v>
      </c>
      <c r="M53" s="118">
        <v>43520</v>
      </c>
      <c r="N53" t="s">
        <v>8250</v>
      </c>
      <c r="O53" t="s">
        <v>8266</v>
      </c>
      <c r="P53" t="s">
        <v>8267</v>
      </c>
      <c r="Q53" t="str">
        <f>tblSales[[#This Row],[FirstName]]&amp; " " &amp;tblSales[[#This Row],[LastName]]</f>
        <v>Margaret Peacock</v>
      </c>
      <c r="R53">
        <f>YEAR(tblSales[[#This Row],[OrderDate]])</f>
        <v>2019</v>
      </c>
      <c r="S53">
        <f>WEEKNUM(tblSales[[#This Row],[OrderDate]])</f>
        <v>7</v>
      </c>
      <c r="T53">
        <f>IF(ISBLANK(tblSales[[#This Row],[ShippedDate]]),"",tblSales[[#This Row],[ShippedDate]]-tblSales[[#This Row],[OrderDate]])</f>
        <v>8</v>
      </c>
      <c r="U53" t="str">
        <f>LEFT(tblSales[[#This Row],[ProductName]],20)</f>
        <v>Gula Malacca</v>
      </c>
    </row>
    <row r="54" spans="2:21" x14ac:dyDescent="0.2">
      <c r="B54">
        <v>10284</v>
      </c>
      <c r="C54" t="s">
        <v>8332</v>
      </c>
      <c r="D54" t="s">
        <v>8246</v>
      </c>
      <c r="E54" t="s">
        <v>8262</v>
      </c>
      <c r="F54" s="222">
        <v>35.1</v>
      </c>
      <c r="G54">
        <v>15</v>
      </c>
      <c r="H54" s="223">
        <v>0.25</v>
      </c>
      <c r="I54" s="222">
        <v>394.88</v>
      </c>
      <c r="J54" t="s">
        <v>8330</v>
      </c>
      <c r="K54" t="s">
        <v>8331</v>
      </c>
      <c r="L54" s="118">
        <v>43512</v>
      </c>
      <c r="M54" s="118">
        <v>43520</v>
      </c>
      <c r="N54" t="s">
        <v>8250</v>
      </c>
      <c r="O54" t="s">
        <v>8266</v>
      </c>
      <c r="P54" t="s">
        <v>8267</v>
      </c>
      <c r="Q54" t="str">
        <f>tblSales[[#This Row],[FirstName]]&amp; " " &amp;tblSales[[#This Row],[LastName]]</f>
        <v>Margaret Peacock</v>
      </c>
      <c r="R54">
        <f>YEAR(tblSales[[#This Row],[OrderDate]])</f>
        <v>2019</v>
      </c>
      <c r="S54">
        <f>WEEKNUM(tblSales[[#This Row],[OrderDate]])</f>
        <v>7</v>
      </c>
      <c r="T54">
        <f>IF(ISBLANK(tblSales[[#This Row],[ShippedDate]]),"",tblSales[[#This Row],[ShippedDate]]-tblSales[[#This Row],[OrderDate]])</f>
        <v>8</v>
      </c>
      <c r="U54" t="str">
        <f>LEFT(tblSales[[#This Row],[ProductName]],20)</f>
        <v>Schoggi Schokolade</v>
      </c>
    </row>
    <row r="55" spans="2:21" x14ac:dyDescent="0.2">
      <c r="B55">
        <v>10284</v>
      </c>
      <c r="C55" t="s">
        <v>8268</v>
      </c>
      <c r="D55" t="s">
        <v>8246</v>
      </c>
      <c r="E55" t="s">
        <v>8237</v>
      </c>
      <c r="F55" s="222">
        <v>27.2</v>
      </c>
      <c r="G55">
        <v>20</v>
      </c>
      <c r="H55" s="223">
        <v>0.25</v>
      </c>
      <c r="I55" s="222">
        <v>408</v>
      </c>
      <c r="J55" t="s">
        <v>8330</v>
      </c>
      <c r="K55" t="s">
        <v>8331</v>
      </c>
      <c r="L55" s="118">
        <v>43512</v>
      </c>
      <c r="M55" s="118">
        <v>43520</v>
      </c>
      <c r="N55" t="s">
        <v>8250</v>
      </c>
      <c r="O55" t="s">
        <v>8266</v>
      </c>
      <c r="P55" t="s">
        <v>8267</v>
      </c>
      <c r="Q55" t="str">
        <f>tblSales[[#This Row],[FirstName]]&amp; " " &amp;tblSales[[#This Row],[LastName]]</f>
        <v>Margaret Peacock</v>
      </c>
      <c r="R55">
        <f>YEAR(tblSales[[#This Row],[OrderDate]])</f>
        <v>2019</v>
      </c>
      <c r="S55">
        <f>WEEKNUM(tblSales[[#This Row],[OrderDate]])</f>
        <v>7</v>
      </c>
      <c r="T55">
        <f>IF(ISBLANK(tblSales[[#This Row],[ShippedDate]]),"",tblSales[[#This Row],[ShippedDate]]-tblSales[[#This Row],[OrderDate]])</f>
        <v>8</v>
      </c>
      <c r="U55" t="str">
        <f>LEFT(tblSales[[#This Row],[ProductName]],20)</f>
        <v>Camembert Pierrot</v>
      </c>
    </row>
    <row r="56" spans="2:21" x14ac:dyDescent="0.2">
      <c r="B56">
        <v>10285</v>
      </c>
      <c r="C56" t="s">
        <v>8333</v>
      </c>
      <c r="D56" t="s">
        <v>8246</v>
      </c>
      <c r="E56" t="s">
        <v>8272</v>
      </c>
      <c r="F56" s="222">
        <v>14.4</v>
      </c>
      <c r="G56">
        <v>45</v>
      </c>
      <c r="H56" s="223">
        <v>0.20000000298023199</v>
      </c>
      <c r="I56" s="222">
        <v>518.4</v>
      </c>
      <c r="J56" t="s">
        <v>8307</v>
      </c>
      <c r="K56" t="s">
        <v>8308</v>
      </c>
      <c r="L56" s="118">
        <v>43513</v>
      </c>
      <c r="M56" s="118">
        <v>43519</v>
      </c>
      <c r="N56" t="s">
        <v>8265</v>
      </c>
      <c r="O56" t="s">
        <v>8285</v>
      </c>
      <c r="P56" t="s">
        <v>2317</v>
      </c>
      <c r="Q56" t="str">
        <f>tblSales[[#This Row],[FirstName]]&amp; " " &amp;tblSales[[#This Row],[LastName]]</f>
        <v>Nancy Davolio</v>
      </c>
      <c r="R56">
        <f>YEAR(tblSales[[#This Row],[OrderDate]])</f>
        <v>2019</v>
      </c>
      <c r="S56">
        <f>WEEKNUM(tblSales[[#This Row],[OrderDate]])</f>
        <v>8</v>
      </c>
      <c r="T56">
        <f>IF(ISBLANK(tblSales[[#This Row],[ShippedDate]]),"",tblSales[[#This Row],[ShippedDate]]-tblSales[[#This Row],[OrderDate]])</f>
        <v>6</v>
      </c>
      <c r="U56" t="str">
        <f>LEFT(tblSales[[#This Row],[ProductName]],20)</f>
        <v>Chai</v>
      </c>
    </row>
    <row r="57" spans="2:21" x14ac:dyDescent="0.2">
      <c r="B57">
        <v>10286</v>
      </c>
      <c r="C57" t="s">
        <v>8323</v>
      </c>
      <c r="D57" t="s">
        <v>8246</v>
      </c>
      <c r="E57" t="s">
        <v>8272</v>
      </c>
      <c r="F57" s="222">
        <v>14.4</v>
      </c>
      <c r="G57">
        <v>100</v>
      </c>
      <c r="H57" s="223">
        <v>0</v>
      </c>
      <c r="I57" s="222">
        <v>1440</v>
      </c>
      <c r="J57" t="s">
        <v>8307</v>
      </c>
      <c r="K57" t="s">
        <v>8308</v>
      </c>
      <c r="L57" s="118">
        <v>43514</v>
      </c>
      <c r="M57" s="118">
        <v>43523</v>
      </c>
      <c r="N57" t="s">
        <v>8240</v>
      </c>
      <c r="O57" t="s">
        <v>8320</v>
      </c>
      <c r="P57" t="s">
        <v>8321</v>
      </c>
      <c r="Q57" t="str">
        <f>tblSales[[#This Row],[FirstName]]&amp; " " &amp;tblSales[[#This Row],[LastName]]</f>
        <v>Laura Callahan</v>
      </c>
      <c r="R57">
        <f>YEAR(tblSales[[#This Row],[OrderDate]])</f>
        <v>2019</v>
      </c>
      <c r="S57">
        <f>WEEKNUM(tblSales[[#This Row],[OrderDate]])</f>
        <v>8</v>
      </c>
      <c r="T57">
        <f>IF(ISBLANK(tblSales[[#This Row],[ShippedDate]]),"",tblSales[[#This Row],[ShippedDate]]-tblSales[[#This Row],[OrderDate]])</f>
        <v>9</v>
      </c>
      <c r="U57" t="str">
        <f>LEFT(tblSales[[#This Row],[ProductName]],20)</f>
        <v>Steeleye Stout</v>
      </c>
    </row>
    <row r="58" spans="2:21" x14ac:dyDescent="0.2">
      <c r="B58">
        <v>10286</v>
      </c>
      <c r="C58" t="s">
        <v>8291</v>
      </c>
      <c r="D58" t="s">
        <v>8246</v>
      </c>
      <c r="E58" t="s">
        <v>8262</v>
      </c>
      <c r="F58" s="222">
        <v>39.4</v>
      </c>
      <c r="G58">
        <v>40</v>
      </c>
      <c r="H58" s="223">
        <v>0</v>
      </c>
      <c r="I58" s="222">
        <v>1576</v>
      </c>
      <c r="J58" t="s">
        <v>8307</v>
      </c>
      <c r="K58" t="s">
        <v>8308</v>
      </c>
      <c r="L58" s="118">
        <v>43514</v>
      </c>
      <c r="M58" s="118">
        <v>43523</v>
      </c>
      <c r="N58" t="s">
        <v>8240</v>
      </c>
      <c r="O58" t="s">
        <v>8320</v>
      </c>
      <c r="P58" t="s">
        <v>8321</v>
      </c>
      <c r="Q58" t="str">
        <f>tblSales[[#This Row],[FirstName]]&amp; " " &amp;tblSales[[#This Row],[LastName]]</f>
        <v>Laura Callahan</v>
      </c>
      <c r="R58">
        <f>YEAR(tblSales[[#This Row],[OrderDate]])</f>
        <v>2019</v>
      </c>
      <c r="S58">
        <f>WEEKNUM(tblSales[[#This Row],[OrderDate]])</f>
        <v>8</v>
      </c>
      <c r="T58">
        <f>IF(ISBLANK(tblSales[[#This Row],[ShippedDate]]),"",tblSales[[#This Row],[ShippedDate]]-tblSales[[#This Row],[OrderDate]])</f>
        <v>9</v>
      </c>
      <c r="U58" t="str">
        <f>LEFT(tblSales[[#This Row],[ProductName]],20)</f>
        <v>Tarte au sucre</v>
      </c>
    </row>
    <row r="59" spans="2:21" x14ac:dyDescent="0.2">
      <c r="B59">
        <v>10288</v>
      </c>
      <c r="C59" t="s">
        <v>8334</v>
      </c>
      <c r="D59" t="s">
        <v>8311</v>
      </c>
      <c r="E59" t="s">
        <v>8262</v>
      </c>
      <c r="F59" s="222">
        <v>10</v>
      </c>
      <c r="G59">
        <v>3</v>
      </c>
      <c r="H59" s="223">
        <v>0.10000000149011599</v>
      </c>
      <c r="I59" s="222">
        <v>27</v>
      </c>
      <c r="J59" t="s">
        <v>8335</v>
      </c>
      <c r="K59" t="s">
        <v>8336</v>
      </c>
      <c r="L59" s="118">
        <v>43516</v>
      </c>
      <c r="M59" s="118">
        <v>43527</v>
      </c>
      <c r="N59" t="s">
        <v>8250</v>
      </c>
      <c r="O59" t="s">
        <v>8266</v>
      </c>
      <c r="P59" t="s">
        <v>8267</v>
      </c>
      <c r="Q59" t="str">
        <f>tblSales[[#This Row],[FirstName]]&amp; " " &amp;tblSales[[#This Row],[LastName]]</f>
        <v>Margaret Peacock</v>
      </c>
      <c r="R59">
        <f>YEAR(tblSales[[#This Row],[OrderDate]])</f>
        <v>2019</v>
      </c>
      <c r="S59">
        <f>WEEKNUM(tblSales[[#This Row],[OrderDate]])</f>
        <v>8</v>
      </c>
      <c r="T59">
        <f>IF(ISBLANK(tblSales[[#This Row],[ShippedDate]]),"",tblSales[[#This Row],[ShippedDate]]-tblSales[[#This Row],[OrderDate]])</f>
        <v>11</v>
      </c>
      <c r="U59" t="str">
        <f>LEFT(tblSales[[#This Row],[ProductName]],20)</f>
        <v>Scottish Longbreads</v>
      </c>
    </row>
    <row r="60" spans="2:21" x14ac:dyDescent="0.2">
      <c r="B60">
        <v>10289</v>
      </c>
      <c r="C60" t="s">
        <v>8337</v>
      </c>
      <c r="D60" t="s">
        <v>2434</v>
      </c>
      <c r="E60" t="s">
        <v>8254</v>
      </c>
      <c r="F60" s="222">
        <v>8</v>
      </c>
      <c r="G60">
        <v>30</v>
      </c>
      <c r="H60" s="223">
        <v>0</v>
      </c>
      <c r="I60" s="222">
        <v>240</v>
      </c>
      <c r="J60" t="s">
        <v>8338</v>
      </c>
      <c r="K60" t="s">
        <v>8339</v>
      </c>
      <c r="L60" s="118">
        <v>43519</v>
      </c>
      <c r="M60" s="118">
        <v>43521</v>
      </c>
      <c r="N60" t="s">
        <v>8240</v>
      </c>
      <c r="O60" t="s">
        <v>8158</v>
      </c>
      <c r="P60" t="s">
        <v>861</v>
      </c>
      <c r="Q60" t="str">
        <f>tblSales[[#This Row],[FirstName]]&amp; " " &amp;tblSales[[#This Row],[LastName]]</f>
        <v>Robert King</v>
      </c>
      <c r="R60">
        <f>YEAR(tblSales[[#This Row],[OrderDate]])</f>
        <v>2019</v>
      </c>
      <c r="S60">
        <f>WEEKNUM(tblSales[[#This Row],[OrderDate]])</f>
        <v>8</v>
      </c>
      <c r="T60">
        <f>IF(ISBLANK(tblSales[[#This Row],[ShippedDate]]),"",tblSales[[#This Row],[ShippedDate]]-tblSales[[#This Row],[OrderDate]])</f>
        <v>2</v>
      </c>
      <c r="U60" t="str">
        <f>LEFT(tblSales[[#This Row],[ProductName]],20)</f>
        <v>Aniseed Syrup</v>
      </c>
    </row>
    <row r="61" spans="2:21" x14ac:dyDescent="0.2">
      <c r="B61">
        <v>10289</v>
      </c>
      <c r="C61" t="s">
        <v>8340</v>
      </c>
      <c r="D61" t="s">
        <v>2434</v>
      </c>
      <c r="E61" t="s">
        <v>8244</v>
      </c>
      <c r="F61" s="222">
        <v>26.6</v>
      </c>
      <c r="G61">
        <v>9</v>
      </c>
      <c r="H61" s="223">
        <v>0</v>
      </c>
      <c r="I61" s="222">
        <v>239.4</v>
      </c>
      <c r="J61" t="s">
        <v>8338</v>
      </c>
      <c r="K61" t="s">
        <v>8339</v>
      </c>
      <c r="L61" s="118">
        <v>43519</v>
      </c>
      <c r="M61" s="118">
        <v>43521</v>
      </c>
      <c r="N61" t="s">
        <v>8240</v>
      </c>
      <c r="O61" t="s">
        <v>8158</v>
      </c>
      <c r="P61" t="s">
        <v>861</v>
      </c>
      <c r="Q61" t="str">
        <f>tblSales[[#This Row],[FirstName]]&amp; " " &amp;tblSales[[#This Row],[LastName]]</f>
        <v>Robert King</v>
      </c>
      <c r="R61">
        <f>YEAR(tblSales[[#This Row],[OrderDate]])</f>
        <v>2019</v>
      </c>
      <c r="S61">
        <f>WEEKNUM(tblSales[[#This Row],[OrderDate]])</f>
        <v>8</v>
      </c>
      <c r="T61">
        <f>IF(ISBLANK(tblSales[[#This Row],[ShippedDate]]),"",tblSales[[#This Row],[ShippedDate]]-tblSales[[#This Row],[OrderDate]])</f>
        <v>2</v>
      </c>
      <c r="U61" t="str">
        <f>LEFT(tblSales[[#This Row],[ProductName]],20)</f>
        <v>Wimmers gute Semmelk</v>
      </c>
    </row>
    <row r="62" spans="2:21" x14ac:dyDescent="0.2">
      <c r="B62">
        <v>10295</v>
      </c>
      <c r="C62" t="s">
        <v>8341</v>
      </c>
      <c r="D62" t="s">
        <v>8236</v>
      </c>
      <c r="E62" t="s">
        <v>8244</v>
      </c>
      <c r="F62" s="222">
        <v>30.4</v>
      </c>
      <c r="G62">
        <v>4</v>
      </c>
      <c r="H62" s="223">
        <v>0</v>
      </c>
      <c r="I62" s="222">
        <v>121.6</v>
      </c>
      <c r="J62" t="s">
        <v>8238</v>
      </c>
      <c r="K62" t="s">
        <v>8239</v>
      </c>
      <c r="L62" s="118">
        <v>43526</v>
      </c>
      <c r="M62" s="118">
        <v>43534</v>
      </c>
      <c r="N62" t="s">
        <v>8265</v>
      </c>
      <c r="O62" t="s">
        <v>8297</v>
      </c>
      <c r="P62" t="s">
        <v>8298</v>
      </c>
      <c r="Q62" t="str">
        <f>tblSales[[#This Row],[FirstName]]&amp; " " &amp;tblSales[[#This Row],[LastName]]</f>
        <v>Andrew Fuller</v>
      </c>
      <c r="R62">
        <f>YEAR(tblSales[[#This Row],[OrderDate]])</f>
        <v>2019</v>
      </c>
      <c r="S62">
        <f>WEEKNUM(tblSales[[#This Row],[OrderDate]])</f>
        <v>9</v>
      </c>
      <c r="T62">
        <f>IF(ISBLANK(tblSales[[#This Row],[ShippedDate]]),"",tblSales[[#This Row],[ShippedDate]]-tblSales[[#This Row],[OrderDate]])</f>
        <v>8</v>
      </c>
      <c r="U62" t="str">
        <f>LEFT(tblSales[[#This Row],[ProductName]],20)</f>
        <v>Gnocchi di nonna Ali</v>
      </c>
    </row>
    <row r="63" spans="2:21" x14ac:dyDescent="0.2">
      <c r="B63">
        <v>10297</v>
      </c>
      <c r="C63" t="s">
        <v>8342</v>
      </c>
      <c r="D63" t="s">
        <v>8236</v>
      </c>
      <c r="E63" t="s">
        <v>8272</v>
      </c>
      <c r="F63" s="222">
        <v>14.4</v>
      </c>
      <c r="G63">
        <v>60</v>
      </c>
      <c r="H63" s="223">
        <v>0</v>
      </c>
      <c r="I63" s="222">
        <v>864</v>
      </c>
      <c r="J63" t="s">
        <v>8295</v>
      </c>
      <c r="K63" t="s">
        <v>8296</v>
      </c>
      <c r="L63" s="118">
        <v>43528</v>
      </c>
      <c r="M63" s="118">
        <v>43534</v>
      </c>
      <c r="N63" t="s">
        <v>8265</v>
      </c>
      <c r="O63" t="s">
        <v>8241</v>
      </c>
      <c r="P63" t="s">
        <v>6934</v>
      </c>
      <c r="Q63" t="str">
        <f>tblSales[[#This Row],[FirstName]]&amp; " " &amp;tblSales[[#This Row],[LastName]]</f>
        <v>Steven Buchanan</v>
      </c>
      <c r="R63">
        <f>YEAR(tblSales[[#This Row],[OrderDate]])</f>
        <v>2019</v>
      </c>
      <c r="S63">
        <f>WEEKNUM(tblSales[[#This Row],[OrderDate]])</f>
        <v>10</v>
      </c>
      <c r="T63">
        <f>IF(ISBLANK(tblSales[[#This Row],[ShippedDate]]),"",tblSales[[#This Row],[ShippedDate]]-tblSales[[#This Row],[OrderDate]])</f>
        <v>6</v>
      </c>
      <c r="U63" t="str">
        <f>LEFT(tblSales[[#This Row],[ProductName]],20)</f>
        <v>Chartreuse verte</v>
      </c>
    </row>
    <row r="64" spans="2:21" x14ac:dyDescent="0.2">
      <c r="B64">
        <v>10297</v>
      </c>
      <c r="C64" t="s">
        <v>8235</v>
      </c>
      <c r="D64" t="s">
        <v>8236</v>
      </c>
      <c r="E64" t="s">
        <v>8237</v>
      </c>
      <c r="F64" s="222">
        <v>27.8</v>
      </c>
      <c r="G64">
        <v>20</v>
      </c>
      <c r="H64" s="223">
        <v>0</v>
      </c>
      <c r="I64" s="222">
        <v>556</v>
      </c>
      <c r="J64" t="s">
        <v>8295</v>
      </c>
      <c r="K64" t="s">
        <v>8296</v>
      </c>
      <c r="L64" s="118">
        <v>43528</v>
      </c>
      <c r="M64" s="118">
        <v>43534</v>
      </c>
      <c r="N64" t="s">
        <v>8265</v>
      </c>
      <c r="O64" t="s">
        <v>8241</v>
      </c>
      <c r="P64" t="s">
        <v>6934</v>
      </c>
      <c r="Q64" t="str">
        <f>tblSales[[#This Row],[FirstName]]&amp; " " &amp;tblSales[[#This Row],[LastName]]</f>
        <v>Steven Buchanan</v>
      </c>
      <c r="R64">
        <f>YEAR(tblSales[[#This Row],[OrderDate]])</f>
        <v>2019</v>
      </c>
      <c r="S64">
        <f>WEEKNUM(tblSales[[#This Row],[OrderDate]])</f>
        <v>10</v>
      </c>
      <c r="T64">
        <f>IF(ISBLANK(tblSales[[#This Row],[ShippedDate]]),"",tblSales[[#This Row],[ShippedDate]]-tblSales[[#This Row],[OrderDate]])</f>
        <v>6</v>
      </c>
      <c r="U64" t="str">
        <f>LEFT(tblSales[[#This Row],[ProductName]],20)</f>
        <v>Mozzarella di Giovan</v>
      </c>
    </row>
    <row r="65" spans="2:21" x14ac:dyDescent="0.2">
      <c r="B65">
        <v>10298</v>
      </c>
      <c r="C65" t="s">
        <v>8276</v>
      </c>
      <c r="D65" t="s">
        <v>8343</v>
      </c>
      <c r="E65" t="s">
        <v>8272</v>
      </c>
      <c r="F65" s="222">
        <v>15.2</v>
      </c>
      <c r="G65">
        <v>40</v>
      </c>
      <c r="H65" s="223">
        <v>0</v>
      </c>
      <c r="I65" s="222">
        <v>608</v>
      </c>
      <c r="J65" t="s">
        <v>8344</v>
      </c>
      <c r="K65" t="s">
        <v>8345</v>
      </c>
      <c r="L65" s="118">
        <v>43529</v>
      </c>
      <c r="M65" s="118">
        <v>43535</v>
      </c>
      <c r="N65" t="s">
        <v>8265</v>
      </c>
      <c r="O65" t="s">
        <v>8251</v>
      </c>
      <c r="P65" t="s">
        <v>269</v>
      </c>
      <c r="Q65" t="str">
        <f>tblSales[[#This Row],[FirstName]]&amp; " " &amp;tblSales[[#This Row],[LastName]]</f>
        <v>Michael Suyama</v>
      </c>
      <c r="R65">
        <f>YEAR(tblSales[[#This Row],[OrderDate]])</f>
        <v>2019</v>
      </c>
      <c r="S65">
        <f>WEEKNUM(tblSales[[#This Row],[OrderDate]])</f>
        <v>10</v>
      </c>
      <c r="T65">
        <f>IF(ISBLANK(tblSales[[#This Row],[ShippedDate]]),"",tblSales[[#This Row],[ShippedDate]]-tblSales[[#This Row],[OrderDate]])</f>
        <v>6</v>
      </c>
      <c r="U65" t="str">
        <f>LEFT(tblSales[[#This Row],[ProductName]],20)</f>
        <v>Chang</v>
      </c>
    </row>
    <row r="66" spans="2:21" x14ac:dyDescent="0.2">
      <c r="B66">
        <v>10298</v>
      </c>
      <c r="C66" t="s">
        <v>8291</v>
      </c>
      <c r="D66" t="s">
        <v>8343</v>
      </c>
      <c r="E66" t="s">
        <v>8262</v>
      </c>
      <c r="F66" s="222">
        <v>39.4</v>
      </c>
      <c r="G66">
        <v>15</v>
      </c>
      <c r="H66" s="223">
        <v>0</v>
      </c>
      <c r="I66" s="222">
        <v>591</v>
      </c>
      <c r="J66" t="s">
        <v>8344</v>
      </c>
      <c r="K66" t="s">
        <v>8345</v>
      </c>
      <c r="L66" s="118">
        <v>43529</v>
      </c>
      <c r="M66" s="118">
        <v>43535</v>
      </c>
      <c r="N66" t="s">
        <v>8265</v>
      </c>
      <c r="O66" t="s">
        <v>8251</v>
      </c>
      <c r="P66" t="s">
        <v>269</v>
      </c>
      <c r="Q66" t="str">
        <f>tblSales[[#This Row],[FirstName]]&amp; " " &amp;tblSales[[#This Row],[LastName]]</f>
        <v>Michael Suyama</v>
      </c>
      <c r="R66">
        <f>YEAR(tblSales[[#This Row],[OrderDate]])</f>
        <v>2019</v>
      </c>
      <c r="S66">
        <f>WEEKNUM(tblSales[[#This Row],[OrderDate]])</f>
        <v>10</v>
      </c>
      <c r="T66">
        <f>IF(ISBLANK(tblSales[[#This Row],[ShippedDate]]),"",tblSales[[#This Row],[ShippedDate]]-tblSales[[#This Row],[OrderDate]])</f>
        <v>6</v>
      </c>
      <c r="U66" t="str">
        <f>LEFT(tblSales[[#This Row],[ProductName]],20)</f>
        <v>Tarte au sucre</v>
      </c>
    </row>
    <row r="67" spans="2:21" x14ac:dyDescent="0.2">
      <c r="B67">
        <v>10298</v>
      </c>
      <c r="C67" t="s">
        <v>8281</v>
      </c>
      <c r="D67" t="s">
        <v>8343</v>
      </c>
      <c r="E67" t="s">
        <v>8237</v>
      </c>
      <c r="F67" s="222">
        <v>44</v>
      </c>
      <c r="G67">
        <v>30</v>
      </c>
      <c r="H67" s="223">
        <v>0.25</v>
      </c>
      <c r="I67" s="222">
        <v>990</v>
      </c>
      <c r="J67" t="s">
        <v>8344</v>
      </c>
      <c r="K67" t="s">
        <v>8345</v>
      </c>
      <c r="L67" s="118">
        <v>43529</v>
      </c>
      <c r="M67" s="118">
        <v>43535</v>
      </c>
      <c r="N67" t="s">
        <v>8265</v>
      </c>
      <c r="O67" t="s">
        <v>8251</v>
      </c>
      <c r="P67" t="s">
        <v>269</v>
      </c>
      <c r="Q67" t="str">
        <f>tblSales[[#This Row],[FirstName]]&amp; " " &amp;tblSales[[#This Row],[LastName]]</f>
        <v>Michael Suyama</v>
      </c>
      <c r="R67">
        <f>YEAR(tblSales[[#This Row],[OrderDate]])</f>
        <v>2019</v>
      </c>
      <c r="S67">
        <f>WEEKNUM(tblSales[[#This Row],[OrderDate]])</f>
        <v>10</v>
      </c>
      <c r="T67">
        <f>IF(ISBLANK(tblSales[[#This Row],[ShippedDate]]),"",tblSales[[#This Row],[ShippedDate]]-tblSales[[#This Row],[OrderDate]])</f>
        <v>6</v>
      </c>
      <c r="U67" t="str">
        <f>LEFT(tblSales[[#This Row],[ProductName]],20)</f>
        <v>Raclette Courdavault</v>
      </c>
    </row>
    <row r="68" spans="2:21" x14ac:dyDescent="0.2">
      <c r="B68">
        <v>10301</v>
      </c>
      <c r="C68" t="s">
        <v>8341</v>
      </c>
      <c r="D68" t="s">
        <v>8246</v>
      </c>
      <c r="E68" t="s">
        <v>8244</v>
      </c>
      <c r="F68" s="222">
        <v>30.4</v>
      </c>
      <c r="G68">
        <v>20</v>
      </c>
      <c r="H68" s="223">
        <v>0</v>
      </c>
      <c r="I68" s="222">
        <v>608</v>
      </c>
      <c r="J68" t="s">
        <v>8346</v>
      </c>
      <c r="K68" t="s">
        <v>8347</v>
      </c>
      <c r="L68" s="118">
        <v>43533</v>
      </c>
      <c r="M68" s="118">
        <v>43541</v>
      </c>
      <c r="N68" t="s">
        <v>8265</v>
      </c>
      <c r="O68" t="s">
        <v>8320</v>
      </c>
      <c r="P68" t="s">
        <v>8321</v>
      </c>
      <c r="Q68" t="str">
        <f>tblSales[[#This Row],[FirstName]]&amp; " " &amp;tblSales[[#This Row],[LastName]]</f>
        <v>Laura Callahan</v>
      </c>
      <c r="R68">
        <f>YEAR(tblSales[[#This Row],[OrderDate]])</f>
        <v>2019</v>
      </c>
      <c r="S68">
        <f>WEEKNUM(tblSales[[#This Row],[OrderDate]])</f>
        <v>10</v>
      </c>
      <c r="T68">
        <f>IF(ISBLANK(tblSales[[#This Row],[ShippedDate]]),"",tblSales[[#This Row],[ShippedDate]]-tblSales[[#This Row],[OrderDate]])</f>
        <v>8</v>
      </c>
      <c r="U68" t="str">
        <f>LEFT(tblSales[[#This Row],[ProductName]],20)</f>
        <v>Gnocchi di nonna Ali</v>
      </c>
    </row>
    <row r="69" spans="2:21" x14ac:dyDescent="0.2">
      <c r="B69">
        <v>10300</v>
      </c>
      <c r="C69" t="s">
        <v>8348</v>
      </c>
      <c r="D69" t="s">
        <v>8311</v>
      </c>
      <c r="E69" t="s">
        <v>8254</v>
      </c>
      <c r="F69" s="222">
        <v>13.6</v>
      </c>
      <c r="G69">
        <v>30</v>
      </c>
      <c r="H69" s="223">
        <v>0</v>
      </c>
      <c r="I69" s="222">
        <v>408</v>
      </c>
      <c r="J69" t="s">
        <v>8312</v>
      </c>
      <c r="K69" t="s">
        <v>8313</v>
      </c>
      <c r="L69" s="118">
        <v>43533</v>
      </c>
      <c r="M69" s="118">
        <v>43542</v>
      </c>
      <c r="N69" t="s">
        <v>8265</v>
      </c>
      <c r="O69" t="s">
        <v>8297</v>
      </c>
      <c r="P69" t="s">
        <v>8298</v>
      </c>
      <c r="Q69" t="str">
        <f>tblSales[[#This Row],[FirstName]]&amp; " " &amp;tblSales[[#This Row],[LastName]]</f>
        <v>Andrew Fuller</v>
      </c>
      <c r="R69">
        <f>YEAR(tblSales[[#This Row],[OrderDate]])</f>
        <v>2019</v>
      </c>
      <c r="S69">
        <f>WEEKNUM(tblSales[[#This Row],[OrderDate]])</f>
        <v>10</v>
      </c>
      <c r="T69">
        <f>IF(ISBLANK(tblSales[[#This Row],[ShippedDate]]),"",tblSales[[#This Row],[ShippedDate]]-tblSales[[#This Row],[OrderDate]])</f>
        <v>9</v>
      </c>
      <c r="U69" t="str">
        <f>LEFT(tblSales[[#This Row],[ProductName]],20)</f>
        <v>Louisiana Hot Spiced</v>
      </c>
    </row>
    <row r="70" spans="2:21" x14ac:dyDescent="0.2">
      <c r="B70">
        <v>10300</v>
      </c>
      <c r="C70" t="s">
        <v>8334</v>
      </c>
      <c r="D70" t="s">
        <v>8311</v>
      </c>
      <c r="E70" t="s">
        <v>8262</v>
      </c>
      <c r="F70" s="222">
        <v>10</v>
      </c>
      <c r="G70">
        <v>20</v>
      </c>
      <c r="H70" s="223">
        <v>0</v>
      </c>
      <c r="I70" s="222">
        <v>200</v>
      </c>
      <c r="J70" t="s">
        <v>8312</v>
      </c>
      <c r="K70" t="s">
        <v>8313</v>
      </c>
      <c r="L70" s="118">
        <v>43533</v>
      </c>
      <c r="M70" s="118">
        <v>43542</v>
      </c>
      <c r="N70" t="s">
        <v>8265</v>
      </c>
      <c r="O70" t="s">
        <v>8297</v>
      </c>
      <c r="P70" t="s">
        <v>8298</v>
      </c>
      <c r="Q70" t="str">
        <f>tblSales[[#This Row],[FirstName]]&amp; " " &amp;tblSales[[#This Row],[LastName]]</f>
        <v>Andrew Fuller</v>
      </c>
      <c r="R70">
        <f>YEAR(tblSales[[#This Row],[OrderDate]])</f>
        <v>2019</v>
      </c>
      <c r="S70">
        <f>WEEKNUM(tblSales[[#This Row],[OrderDate]])</f>
        <v>10</v>
      </c>
      <c r="T70">
        <f>IF(ISBLANK(tblSales[[#This Row],[ShippedDate]]),"",tblSales[[#This Row],[ShippedDate]]-tblSales[[#This Row],[OrderDate]])</f>
        <v>9</v>
      </c>
      <c r="U70" t="str">
        <f>LEFT(tblSales[[#This Row],[ProductName]],20)</f>
        <v>Scottish Longbreads</v>
      </c>
    </row>
    <row r="71" spans="2:21" x14ac:dyDescent="0.2">
      <c r="B71">
        <v>10302</v>
      </c>
      <c r="C71" t="s">
        <v>8306</v>
      </c>
      <c r="D71" t="s">
        <v>8261</v>
      </c>
      <c r="E71" t="s">
        <v>8272</v>
      </c>
      <c r="F71" s="222">
        <v>36.799999999999997</v>
      </c>
      <c r="G71">
        <v>12</v>
      </c>
      <c r="H71" s="223">
        <v>0</v>
      </c>
      <c r="I71" s="222">
        <v>441.6</v>
      </c>
      <c r="J71" t="s">
        <v>8263</v>
      </c>
      <c r="K71" t="s">
        <v>8264</v>
      </c>
      <c r="L71" s="118">
        <v>43534</v>
      </c>
      <c r="M71" s="118">
        <v>43563</v>
      </c>
      <c r="N71" t="s">
        <v>8265</v>
      </c>
      <c r="O71" t="s">
        <v>8266</v>
      </c>
      <c r="P71" t="s">
        <v>8267</v>
      </c>
      <c r="Q71" t="str">
        <f>tblSales[[#This Row],[FirstName]]&amp; " " &amp;tblSales[[#This Row],[LastName]]</f>
        <v>Margaret Peacock</v>
      </c>
      <c r="R71">
        <f>YEAR(tblSales[[#This Row],[OrderDate]])</f>
        <v>2019</v>
      </c>
      <c r="S71">
        <f>WEEKNUM(tblSales[[#This Row],[OrderDate]])</f>
        <v>11</v>
      </c>
      <c r="T71">
        <f>IF(ISBLANK(tblSales[[#This Row],[ShippedDate]]),"",tblSales[[#This Row],[ShippedDate]]-tblSales[[#This Row],[OrderDate]])</f>
        <v>29</v>
      </c>
      <c r="U71" t="str">
        <f>LEFT(tblSales[[#This Row],[ProductName]],20)</f>
        <v>Ipoh Coffee</v>
      </c>
    </row>
    <row r="72" spans="2:21" x14ac:dyDescent="0.2">
      <c r="B72">
        <v>10302</v>
      </c>
      <c r="C72" t="s">
        <v>8316</v>
      </c>
      <c r="D72" t="s">
        <v>8261</v>
      </c>
      <c r="E72" t="s">
        <v>8247</v>
      </c>
      <c r="F72" s="222">
        <v>36.4</v>
      </c>
      <c r="G72">
        <v>28</v>
      </c>
      <c r="H72" s="223">
        <v>0</v>
      </c>
      <c r="I72" s="222">
        <v>1019.2</v>
      </c>
      <c r="J72" t="s">
        <v>8263</v>
      </c>
      <c r="K72" t="s">
        <v>8264</v>
      </c>
      <c r="L72" s="118">
        <v>43534</v>
      </c>
      <c r="M72" s="118">
        <v>43563</v>
      </c>
      <c r="N72" t="s">
        <v>8265</v>
      </c>
      <c r="O72" t="s">
        <v>8266</v>
      </c>
      <c r="P72" t="s">
        <v>8267</v>
      </c>
      <c r="Q72" t="str">
        <f>tblSales[[#This Row],[FirstName]]&amp; " " &amp;tblSales[[#This Row],[LastName]]</f>
        <v>Margaret Peacock</v>
      </c>
      <c r="R72">
        <f>YEAR(tblSales[[#This Row],[OrderDate]])</f>
        <v>2019</v>
      </c>
      <c r="S72">
        <f>WEEKNUM(tblSales[[#This Row],[OrderDate]])</f>
        <v>11</v>
      </c>
      <c r="T72">
        <f>IF(ISBLANK(tblSales[[#This Row],[ShippedDate]]),"",tblSales[[#This Row],[ShippedDate]]-tblSales[[#This Row],[OrderDate]])</f>
        <v>29</v>
      </c>
      <c r="U72" t="str">
        <f>LEFT(tblSales[[#This Row],[ProductName]],20)</f>
        <v>Rössle Sauerkraut</v>
      </c>
    </row>
    <row r="73" spans="2:21" x14ac:dyDescent="0.2">
      <c r="B73">
        <v>10303</v>
      </c>
      <c r="C73" t="s">
        <v>8253</v>
      </c>
      <c r="D73" t="s">
        <v>8324</v>
      </c>
      <c r="E73" t="s">
        <v>8254</v>
      </c>
      <c r="F73" s="222">
        <v>16.8</v>
      </c>
      <c r="G73">
        <v>30</v>
      </c>
      <c r="H73" s="223">
        <v>0.10000000149011599</v>
      </c>
      <c r="I73" s="222">
        <v>453.6</v>
      </c>
      <c r="J73" t="s">
        <v>8349</v>
      </c>
      <c r="K73" t="s">
        <v>8350</v>
      </c>
      <c r="L73" s="118">
        <v>43535</v>
      </c>
      <c r="M73" s="118">
        <v>43542</v>
      </c>
      <c r="N73" t="s">
        <v>8265</v>
      </c>
      <c r="O73" t="s">
        <v>8158</v>
      </c>
      <c r="P73" t="s">
        <v>861</v>
      </c>
      <c r="Q73" t="str">
        <f>tblSales[[#This Row],[FirstName]]&amp; " " &amp;tblSales[[#This Row],[LastName]]</f>
        <v>Robert King</v>
      </c>
      <c r="R73">
        <f>YEAR(tblSales[[#This Row],[OrderDate]])</f>
        <v>2019</v>
      </c>
      <c r="S73">
        <f>WEEKNUM(tblSales[[#This Row],[OrderDate]])</f>
        <v>11</v>
      </c>
      <c r="T73">
        <f>IF(ISBLANK(tblSales[[#This Row],[ShippedDate]]),"",tblSales[[#This Row],[ShippedDate]]-tblSales[[#This Row],[OrderDate]])</f>
        <v>7</v>
      </c>
      <c r="U73" t="str">
        <f>LEFT(tblSales[[#This Row],[ProductName]],20)</f>
        <v xml:space="preserve">Louisiana Fiery Hot </v>
      </c>
    </row>
    <row r="74" spans="2:21" x14ac:dyDescent="0.2">
      <c r="B74">
        <v>10303</v>
      </c>
      <c r="C74" t="s">
        <v>8334</v>
      </c>
      <c r="D74" t="s">
        <v>8324</v>
      </c>
      <c r="E74" t="s">
        <v>8262</v>
      </c>
      <c r="F74" s="222">
        <v>10</v>
      </c>
      <c r="G74">
        <v>15</v>
      </c>
      <c r="H74" s="223">
        <v>0.10000000149011599</v>
      </c>
      <c r="I74" s="222">
        <v>135</v>
      </c>
      <c r="J74" t="s">
        <v>8349</v>
      </c>
      <c r="K74" t="s">
        <v>8350</v>
      </c>
      <c r="L74" s="118">
        <v>43535</v>
      </c>
      <c r="M74" s="118">
        <v>43542</v>
      </c>
      <c r="N74" t="s">
        <v>8265</v>
      </c>
      <c r="O74" t="s">
        <v>8158</v>
      </c>
      <c r="P74" t="s">
        <v>861</v>
      </c>
      <c r="Q74" t="str">
        <f>tblSales[[#This Row],[FirstName]]&amp; " " &amp;tblSales[[#This Row],[LastName]]</f>
        <v>Robert King</v>
      </c>
      <c r="R74">
        <f>YEAR(tblSales[[#This Row],[OrderDate]])</f>
        <v>2019</v>
      </c>
      <c r="S74">
        <f>WEEKNUM(tblSales[[#This Row],[OrderDate]])</f>
        <v>11</v>
      </c>
      <c r="T74">
        <f>IF(ISBLANK(tblSales[[#This Row],[ShippedDate]]),"",tblSales[[#This Row],[ShippedDate]]-tblSales[[#This Row],[OrderDate]])</f>
        <v>7</v>
      </c>
      <c r="U74" t="str">
        <f>LEFT(tblSales[[#This Row],[ProductName]],20)</f>
        <v>Scottish Longbreads</v>
      </c>
    </row>
    <row r="75" spans="2:21" x14ac:dyDescent="0.2">
      <c r="B75">
        <v>10309</v>
      </c>
      <c r="C75" t="s">
        <v>8306</v>
      </c>
      <c r="D75" t="s">
        <v>8343</v>
      </c>
      <c r="E75" t="s">
        <v>8272</v>
      </c>
      <c r="F75" s="222">
        <v>36.799999999999997</v>
      </c>
      <c r="G75">
        <v>20</v>
      </c>
      <c r="H75" s="223">
        <v>0</v>
      </c>
      <c r="I75" s="222">
        <v>736</v>
      </c>
      <c r="J75" t="s">
        <v>8344</v>
      </c>
      <c r="K75" t="s">
        <v>8345</v>
      </c>
      <c r="L75" s="118">
        <v>43543</v>
      </c>
      <c r="M75" s="118">
        <v>43577</v>
      </c>
      <c r="N75" t="s">
        <v>8250</v>
      </c>
      <c r="O75" t="s">
        <v>8257</v>
      </c>
      <c r="P75" t="s">
        <v>6984</v>
      </c>
      <c r="Q75" t="str">
        <f>tblSales[[#This Row],[FirstName]]&amp; " " &amp;tblSales[[#This Row],[LastName]]</f>
        <v>Janet Leverling</v>
      </c>
      <c r="R75">
        <f>YEAR(tblSales[[#This Row],[OrderDate]])</f>
        <v>2019</v>
      </c>
      <c r="S75">
        <f>WEEKNUM(tblSales[[#This Row],[OrderDate]])</f>
        <v>12</v>
      </c>
      <c r="T75">
        <f>IF(ISBLANK(tblSales[[#This Row],[ShippedDate]]),"",tblSales[[#This Row],[ShippedDate]]-tblSales[[#This Row],[OrderDate]])</f>
        <v>34</v>
      </c>
      <c r="U75" t="str">
        <f>LEFT(tblSales[[#This Row],[ProductName]],20)</f>
        <v>Ipoh Coffee</v>
      </c>
    </row>
    <row r="76" spans="2:21" x14ac:dyDescent="0.2">
      <c r="B76">
        <v>10309</v>
      </c>
      <c r="C76" t="s">
        <v>8351</v>
      </c>
      <c r="D76" t="s">
        <v>8343</v>
      </c>
      <c r="E76" t="s">
        <v>8254</v>
      </c>
      <c r="F76" s="222">
        <v>20</v>
      </c>
      <c r="G76">
        <v>30</v>
      </c>
      <c r="H76" s="223">
        <v>0</v>
      </c>
      <c r="I76" s="222">
        <v>600</v>
      </c>
      <c r="J76" t="s">
        <v>8344</v>
      </c>
      <c r="K76" t="s">
        <v>8345</v>
      </c>
      <c r="L76" s="118">
        <v>43543</v>
      </c>
      <c r="M76" s="118">
        <v>43577</v>
      </c>
      <c r="N76" t="s">
        <v>8250</v>
      </c>
      <c r="O76" t="s">
        <v>8257</v>
      </c>
      <c r="P76" t="s">
        <v>6984</v>
      </c>
      <c r="Q76" t="str">
        <f>tblSales[[#This Row],[FirstName]]&amp; " " &amp;tblSales[[#This Row],[LastName]]</f>
        <v>Janet Leverling</v>
      </c>
      <c r="R76">
        <f>YEAR(tblSales[[#This Row],[OrderDate]])</f>
        <v>2019</v>
      </c>
      <c r="S76">
        <f>WEEKNUM(tblSales[[#This Row],[OrderDate]])</f>
        <v>12</v>
      </c>
      <c r="T76">
        <f>IF(ISBLANK(tblSales[[#This Row],[ShippedDate]]),"",tblSales[[#This Row],[ShippedDate]]-tblSales[[#This Row],[OrderDate]])</f>
        <v>34</v>
      </c>
      <c r="U76" t="str">
        <f>LEFT(tblSales[[#This Row],[ProductName]],20)</f>
        <v>Grandma's Boysenberr</v>
      </c>
    </row>
    <row r="77" spans="2:21" x14ac:dyDescent="0.2">
      <c r="B77">
        <v>10309</v>
      </c>
      <c r="C77" t="s">
        <v>8352</v>
      </c>
      <c r="D77" t="s">
        <v>8343</v>
      </c>
      <c r="E77" t="s">
        <v>8254</v>
      </c>
      <c r="F77" s="222">
        <v>17.600000000000001</v>
      </c>
      <c r="G77">
        <v>20</v>
      </c>
      <c r="H77" s="223">
        <v>0</v>
      </c>
      <c r="I77" s="222">
        <v>352</v>
      </c>
      <c r="J77" t="s">
        <v>8344</v>
      </c>
      <c r="K77" t="s">
        <v>8345</v>
      </c>
      <c r="L77" s="118">
        <v>43543</v>
      </c>
      <c r="M77" s="118">
        <v>43577</v>
      </c>
      <c r="N77" t="s">
        <v>8250</v>
      </c>
      <c r="O77" t="s">
        <v>8257</v>
      </c>
      <c r="P77" t="s">
        <v>6984</v>
      </c>
      <c r="Q77" t="str">
        <f>tblSales[[#This Row],[FirstName]]&amp; " " &amp;tblSales[[#This Row],[LastName]]</f>
        <v>Janet Leverling</v>
      </c>
      <c r="R77">
        <f>YEAR(tblSales[[#This Row],[OrderDate]])</f>
        <v>2019</v>
      </c>
      <c r="S77">
        <f>WEEKNUM(tblSales[[#This Row],[OrderDate]])</f>
        <v>12</v>
      </c>
      <c r="T77">
        <f>IF(ISBLANK(tblSales[[#This Row],[ShippedDate]]),"",tblSales[[#This Row],[ShippedDate]]-tblSales[[#This Row],[OrderDate]])</f>
        <v>34</v>
      </c>
      <c r="U77" t="str">
        <f>LEFT(tblSales[[#This Row],[ProductName]],20)</f>
        <v>Chef Anton's Cajun S</v>
      </c>
    </row>
    <row r="78" spans="2:21" x14ac:dyDescent="0.2">
      <c r="B78">
        <v>10309</v>
      </c>
      <c r="C78" t="s">
        <v>8310</v>
      </c>
      <c r="D78" t="s">
        <v>8343</v>
      </c>
      <c r="E78" t="s">
        <v>8237</v>
      </c>
      <c r="F78" s="222">
        <v>17.2</v>
      </c>
      <c r="G78">
        <v>3</v>
      </c>
      <c r="H78" s="223">
        <v>0</v>
      </c>
      <c r="I78" s="222">
        <v>51.6</v>
      </c>
      <c r="J78" t="s">
        <v>8344</v>
      </c>
      <c r="K78" t="s">
        <v>8345</v>
      </c>
      <c r="L78" s="118">
        <v>43543</v>
      </c>
      <c r="M78" s="118">
        <v>43577</v>
      </c>
      <c r="N78" t="s">
        <v>8250</v>
      </c>
      <c r="O78" t="s">
        <v>8257</v>
      </c>
      <c r="P78" t="s">
        <v>6984</v>
      </c>
      <c r="Q78" t="str">
        <f>tblSales[[#This Row],[FirstName]]&amp; " " &amp;tblSales[[#This Row],[LastName]]</f>
        <v>Janet Leverling</v>
      </c>
      <c r="R78">
        <f>YEAR(tblSales[[#This Row],[OrderDate]])</f>
        <v>2019</v>
      </c>
      <c r="S78">
        <f>WEEKNUM(tblSales[[#This Row],[OrderDate]])</f>
        <v>12</v>
      </c>
      <c r="T78">
        <f>IF(ISBLANK(tblSales[[#This Row],[ShippedDate]]),"",tblSales[[#This Row],[ShippedDate]]-tblSales[[#This Row],[OrderDate]])</f>
        <v>34</v>
      </c>
      <c r="U78" t="str">
        <f>LEFT(tblSales[[#This Row],[ProductName]],20)</f>
        <v>Fløtemysost</v>
      </c>
    </row>
    <row r="79" spans="2:21" x14ac:dyDescent="0.2">
      <c r="B79">
        <v>10309</v>
      </c>
      <c r="C79" t="s">
        <v>8243</v>
      </c>
      <c r="D79" t="s">
        <v>8343</v>
      </c>
      <c r="E79" t="s">
        <v>8244</v>
      </c>
      <c r="F79" s="222">
        <v>11.2</v>
      </c>
      <c r="G79">
        <v>2</v>
      </c>
      <c r="H79" s="223">
        <v>0</v>
      </c>
      <c r="I79" s="222">
        <v>22.4</v>
      </c>
      <c r="J79" t="s">
        <v>8344</v>
      </c>
      <c r="K79" t="s">
        <v>8345</v>
      </c>
      <c r="L79" s="118">
        <v>43543</v>
      </c>
      <c r="M79" s="118">
        <v>43577</v>
      </c>
      <c r="N79" t="s">
        <v>8250</v>
      </c>
      <c r="O79" t="s">
        <v>8257</v>
      </c>
      <c r="P79" t="s">
        <v>6984</v>
      </c>
      <c r="Q79" t="str">
        <f>tblSales[[#This Row],[FirstName]]&amp; " " &amp;tblSales[[#This Row],[LastName]]</f>
        <v>Janet Leverling</v>
      </c>
      <c r="R79">
        <f>YEAR(tblSales[[#This Row],[OrderDate]])</f>
        <v>2019</v>
      </c>
      <c r="S79">
        <f>WEEKNUM(tblSales[[#This Row],[OrderDate]])</f>
        <v>12</v>
      </c>
      <c r="T79">
        <f>IF(ISBLANK(tblSales[[#This Row],[ShippedDate]]),"",tblSales[[#This Row],[ShippedDate]]-tblSales[[#This Row],[OrderDate]])</f>
        <v>34</v>
      </c>
      <c r="U79" t="str">
        <f>LEFT(tblSales[[#This Row],[ProductName]],20)</f>
        <v xml:space="preserve">Singaporean Hokkien </v>
      </c>
    </row>
    <row r="80" spans="2:21" x14ac:dyDescent="0.2">
      <c r="B80">
        <v>10311</v>
      </c>
      <c r="C80" t="s">
        <v>8353</v>
      </c>
      <c r="D80" t="s">
        <v>8236</v>
      </c>
      <c r="E80" t="s">
        <v>8237</v>
      </c>
      <c r="F80" s="222">
        <v>28.8</v>
      </c>
      <c r="G80">
        <v>7</v>
      </c>
      <c r="H80" s="223">
        <v>0</v>
      </c>
      <c r="I80" s="222">
        <v>201.6</v>
      </c>
      <c r="J80" t="s">
        <v>8354</v>
      </c>
      <c r="K80" t="s">
        <v>8355</v>
      </c>
      <c r="L80" s="118">
        <v>43544</v>
      </c>
      <c r="M80" s="118">
        <v>43550</v>
      </c>
      <c r="N80" t="s">
        <v>8240</v>
      </c>
      <c r="O80" t="s">
        <v>8285</v>
      </c>
      <c r="P80" t="s">
        <v>2317</v>
      </c>
      <c r="Q80" t="str">
        <f>tblSales[[#This Row],[FirstName]]&amp; " " &amp;tblSales[[#This Row],[LastName]]</f>
        <v>Nancy Davolio</v>
      </c>
      <c r="R80">
        <f>YEAR(tblSales[[#This Row],[OrderDate]])</f>
        <v>2019</v>
      </c>
      <c r="S80">
        <f>WEEKNUM(tblSales[[#This Row],[OrderDate]])</f>
        <v>12</v>
      </c>
      <c r="T80">
        <f>IF(ISBLANK(tblSales[[#This Row],[ShippedDate]]),"",tblSales[[#This Row],[ShippedDate]]-tblSales[[#This Row],[OrderDate]])</f>
        <v>6</v>
      </c>
      <c r="U80" t="str">
        <f>LEFT(tblSales[[#This Row],[ProductName]],20)</f>
        <v>Gudbrandsdalsost</v>
      </c>
    </row>
    <row r="81" spans="2:21" x14ac:dyDescent="0.2">
      <c r="B81">
        <v>10311</v>
      </c>
      <c r="C81" t="s">
        <v>8243</v>
      </c>
      <c r="D81" t="s">
        <v>8236</v>
      </c>
      <c r="E81" t="s">
        <v>8244</v>
      </c>
      <c r="F81" s="222">
        <v>11.2</v>
      </c>
      <c r="G81">
        <v>6</v>
      </c>
      <c r="H81" s="223">
        <v>0</v>
      </c>
      <c r="I81" s="222">
        <v>67.2</v>
      </c>
      <c r="J81" t="s">
        <v>8354</v>
      </c>
      <c r="K81" t="s">
        <v>8355</v>
      </c>
      <c r="L81" s="118">
        <v>43544</v>
      </c>
      <c r="M81" s="118">
        <v>43550</v>
      </c>
      <c r="N81" t="s">
        <v>8240</v>
      </c>
      <c r="O81" t="s">
        <v>8285</v>
      </c>
      <c r="P81" t="s">
        <v>2317</v>
      </c>
      <c r="Q81" t="str">
        <f>tblSales[[#This Row],[FirstName]]&amp; " " &amp;tblSales[[#This Row],[LastName]]</f>
        <v>Nancy Davolio</v>
      </c>
      <c r="R81">
        <f>YEAR(tblSales[[#This Row],[OrderDate]])</f>
        <v>2019</v>
      </c>
      <c r="S81">
        <f>WEEKNUM(tblSales[[#This Row],[OrderDate]])</f>
        <v>12</v>
      </c>
      <c r="T81">
        <f>IF(ISBLANK(tblSales[[#This Row],[ShippedDate]]),"",tblSales[[#This Row],[ShippedDate]]-tblSales[[#This Row],[OrderDate]])</f>
        <v>6</v>
      </c>
      <c r="U81" t="str">
        <f>LEFT(tblSales[[#This Row],[ProductName]],20)</f>
        <v xml:space="preserve">Singaporean Hokkien </v>
      </c>
    </row>
    <row r="82" spans="2:21" x14ac:dyDescent="0.2">
      <c r="B82">
        <v>10312</v>
      </c>
      <c r="C82" t="s">
        <v>8306</v>
      </c>
      <c r="D82" t="s">
        <v>8246</v>
      </c>
      <c r="E82" t="s">
        <v>8272</v>
      </c>
      <c r="F82" s="222">
        <v>36.799999999999997</v>
      </c>
      <c r="G82">
        <v>24</v>
      </c>
      <c r="H82" s="223">
        <v>0</v>
      </c>
      <c r="I82" s="222">
        <v>883.2</v>
      </c>
      <c r="J82" t="s">
        <v>8346</v>
      </c>
      <c r="K82" t="s">
        <v>8347</v>
      </c>
      <c r="L82" s="118">
        <v>43547</v>
      </c>
      <c r="M82" s="118">
        <v>43557</v>
      </c>
      <c r="N82" t="s">
        <v>8265</v>
      </c>
      <c r="O82" t="s">
        <v>8297</v>
      </c>
      <c r="P82" t="s">
        <v>8298</v>
      </c>
      <c r="Q82" t="str">
        <f>tblSales[[#This Row],[FirstName]]&amp; " " &amp;tblSales[[#This Row],[LastName]]</f>
        <v>Andrew Fuller</v>
      </c>
      <c r="R82">
        <f>YEAR(tblSales[[#This Row],[OrderDate]])</f>
        <v>2019</v>
      </c>
      <c r="S82">
        <f>WEEKNUM(tblSales[[#This Row],[OrderDate]])</f>
        <v>12</v>
      </c>
      <c r="T82">
        <f>IF(ISBLANK(tblSales[[#This Row],[ShippedDate]]),"",tblSales[[#This Row],[ShippedDate]]-tblSales[[#This Row],[OrderDate]])</f>
        <v>10</v>
      </c>
      <c r="U82" t="str">
        <f>LEFT(tblSales[[#This Row],[ProductName]],20)</f>
        <v>Ipoh Coffee</v>
      </c>
    </row>
    <row r="83" spans="2:21" x14ac:dyDescent="0.2">
      <c r="B83">
        <v>10312</v>
      </c>
      <c r="C83" t="s">
        <v>8328</v>
      </c>
      <c r="D83" t="s">
        <v>8246</v>
      </c>
      <c r="E83" t="s">
        <v>8272</v>
      </c>
      <c r="F83" s="222">
        <v>6.2</v>
      </c>
      <c r="G83">
        <v>10</v>
      </c>
      <c r="H83" s="223">
        <v>0</v>
      </c>
      <c r="I83" s="222">
        <v>62</v>
      </c>
      <c r="J83" t="s">
        <v>8346</v>
      </c>
      <c r="K83" t="s">
        <v>8347</v>
      </c>
      <c r="L83" s="118">
        <v>43547</v>
      </c>
      <c r="M83" s="118">
        <v>43557</v>
      </c>
      <c r="N83" t="s">
        <v>8265</v>
      </c>
      <c r="O83" t="s">
        <v>8297</v>
      </c>
      <c r="P83" t="s">
        <v>8298</v>
      </c>
      <c r="Q83" t="str">
        <f>tblSales[[#This Row],[FirstName]]&amp; " " &amp;tblSales[[#This Row],[LastName]]</f>
        <v>Andrew Fuller</v>
      </c>
      <c r="R83">
        <f>YEAR(tblSales[[#This Row],[OrderDate]])</f>
        <v>2019</v>
      </c>
      <c r="S83">
        <f>WEEKNUM(tblSales[[#This Row],[OrderDate]])</f>
        <v>12</v>
      </c>
      <c r="T83">
        <f>IF(ISBLANK(tblSales[[#This Row],[ShippedDate]]),"",tblSales[[#This Row],[ShippedDate]]-tblSales[[#This Row],[OrderDate]])</f>
        <v>10</v>
      </c>
      <c r="U83" t="str">
        <f>LEFT(tblSales[[#This Row],[ProductName]],20)</f>
        <v>Rhönbräu Klosterbier</v>
      </c>
    </row>
    <row r="84" spans="2:21" x14ac:dyDescent="0.2">
      <c r="B84">
        <v>10312</v>
      </c>
      <c r="C84" t="s">
        <v>8316</v>
      </c>
      <c r="D84" t="s">
        <v>8246</v>
      </c>
      <c r="E84" t="s">
        <v>8247</v>
      </c>
      <c r="F84" s="222">
        <v>36.4</v>
      </c>
      <c r="G84">
        <v>4</v>
      </c>
      <c r="H84" s="223">
        <v>0</v>
      </c>
      <c r="I84" s="222">
        <v>145.6</v>
      </c>
      <c r="J84" t="s">
        <v>8346</v>
      </c>
      <c r="K84" t="s">
        <v>8347</v>
      </c>
      <c r="L84" s="118">
        <v>43547</v>
      </c>
      <c r="M84" s="118">
        <v>43557</v>
      </c>
      <c r="N84" t="s">
        <v>8265</v>
      </c>
      <c r="O84" t="s">
        <v>8297</v>
      </c>
      <c r="P84" t="s">
        <v>8298</v>
      </c>
      <c r="Q84" t="str">
        <f>tblSales[[#This Row],[FirstName]]&amp; " " &amp;tblSales[[#This Row],[LastName]]</f>
        <v>Andrew Fuller</v>
      </c>
      <c r="R84">
        <f>YEAR(tblSales[[#This Row],[OrderDate]])</f>
        <v>2019</v>
      </c>
      <c r="S84">
        <f>WEEKNUM(tblSales[[#This Row],[OrderDate]])</f>
        <v>12</v>
      </c>
      <c r="T84">
        <f>IF(ISBLANK(tblSales[[#This Row],[ShippedDate]]),"",tblSales[[#This Row],[ShippedDate]]-tblSales[[#This Row],[OrderDate]])</f>
        <v>10</v>
      </c>
      <c r="U84" t="str">
        <f>LEFT(tblSales[[#This Row],[ProductName]],20)</f>
        <v>Rössle Sauerkraut</v>
      </c>
    </row>
    <row r="85" spans="2:21" x14ac:dyDescent="0.2">
      <c r="B85">
        <v>10315</v>
      </c>
      <c r="C85" t="s">
        <v>8288</v>
      </c>
      <c r="D85" t="s">
        <v>2434</v>
      </c>
      <c r="E85" t="s">
        <v>8272</v>
      </c>
      <c r="F85" s="222">
        <v>12</v>
      </c>
      <c r="G85">
        <v>30</v>
      </c>
      <c r="H85" s="223">
        <v>0</v>
      </c>
      <c r="I85" s="222">
        <v>360</v>
      </c>
      <c r="J85" t="s">
        <v>8356</v>
      </c>
      <c r="K85" t="s">
        <v>8357</v>
      </c>
      <c r="L85" s="118">
        <v>43550</v>
      </c>
      <c r="M85" s="118">
        <v>43557</v>
      </c>
      <c r="N85" t="s">
        <v>8265</v>
      </c>
      <c r="O85" t="s">
        <v>8266</v>
      </c>
      <c r="P85" t="s">
        <v>8267</v>
      </c>
      <c r="Q85" t="str">
        <f>tblSales[[#This Row],[FirstName]]&amp; " " &amp;tblSales[[#This Row],[LastName]]</f>
        <v>Margaret Peacock</v>
      </c>
      <c r="R85">
        <f>YEAR(tblSales[[#This Row],[OrderDate]])</f>
        <v>2019</v>
      </c>
      <c r="S85">
        <f>WEEKNUM(tblSales[[#This Row],[OrderDate]])</f>
        <v>13</v>
      </c>
      <c r="T85">
        <f>IF(ISBLANK(tblSales[[#This Row],[ShippedDate]]),"",tblSales[[#This Row],[ShippedDate]]-tblSales[[#This Row],[OrderDate]])</f>
        <v>7</v>
      </c>
      <c r="U85" t="str">
        <f>LEFT(tblSales[[#This Row],[ProductName]],20)</f>
        <v>Outback Lager</v>
      </c>
    </row>
    <row r="86" spans="2:21" x14ac:dyDescent="0.2">
      <c r="B86">
        <v>10315</v>
      </c>
      <c r="C86" t="s">
        <v>8358</v>
      </c>
      <c r="D86" t="s">
        <v>2434</v>
      </c>
      <c r="E86" t="s">
        <v>8272</v>
      </c>
      <c r="F86" s="222">
        <v>11.2</v>
      </c>
      <c r="G86">
        <v>14</v>
      </c>
      <c r="H86" s="223">
        <v>0</v>
      </c>
      <c r="I86" s="222">
        <v>156.80000000000001</v>
      </c>
      <c r="J86" t="s">
        <v>8356</v>
      </c>
      <c r="K86" t="s">
        <v>8357</v>
      </c>
      <c r="L86" s="118">
        <v>43550</v>
      </c>
      <c r="M86" s="118">
        <v>43557</v>
      </c>
      <c r="N86" t="s">
        <v>8265</v>
      </c>
      <c r="O86" t="s">
        <v>8266</v>
      </c>
      <c r="P86" t="s">
        <v>8267</v>
      </c>
      <c r="Q86" t="str">
        <f>tblSales[[#This Row],[FirstName]]&amp; " " &amp;tblSales[[#This Row],[LastName]]</f>
        <v>Margaret Peacock</v>
      </c>
      <c r="R86">
        <f>YEAR(tblSales[[#This Row],[OrderDate]])</f>
        <v>2019</v>
      </c>
      <c r="S86">
        <f>WEEKNUM(tblSales[[#This Row],[OrderDate]])</f>
        <v>13</v>
      </c>
      <c r="T86">
        <f>IF(ISBLANK(tblSales[[#This Row],[ShippedDate]]),"",tblSales[[#This Row],[ShippedDate]]-tblSales[[#This Row],[OrderDate]])</f>
        <v>7</v>
      </c>
      <c r="U86" t="str">
        <f>LEFT(tblSales[[#This Row],[ProductName]],20)</f>
        <v>Sasquatch Ale</v>
      </c>
    </row>
    <row r="87" spans="2:21" x14ac:dyDescent="0.2">
      <c r="B87">
        <v>10318</v>
      </c>
      <c r="C87" t="s">
        <v>8303</v>
      </c>
      <c r="D87" t="s">
        <v>2434</v>
      </c>
      <c r="E87" t="s">
        <v>8272</v>
      </c>
      <c r="F87" s="222">
        <v>14.4</v>
      </c>
      <c r="G87">
        <v>6</v>
      </c>
      <c r="H87" s="223">
        <v>0</v>
      </c>
      <c r="I87" s="222">
        <v>86.4</v>
      </c>
      <c r="J87" t="s">
        <v>8356</v>
      </c>
      <c r="K87" t="s">
        <v>8357</v>
      </c>
      <c r="L87" s="118">
        <v>43555</v>
      </c>
      <c r="M87" s="118">
        <v>43558</v>
      </c>
      <c r="N87" t="s">
        <v>8265</v>
      </c>
      <c r="O87" t="s">
        <v>8320</v>
      </c>
      <c r="P87" t="s">
        <v>8321</v>
      </c>
      <c r="Q87" t="str">
        <f>tblSales[[#This Row],[FirstName]]&amp; " " &amp;tblSales[[#This Row],[LastName]]</f>
        <v>Laura Callahan</v>
      </c>
      <c r="R87">
        <f>YEAR(tblSales[[#This Row],[OrderDate]])</f>
        <v>2019</v>
      </c>
      <c r="S87">
        <f>WEEKNUM(tblSales[[#This Row],[OrderDate]])</f>
        <v>14</v>
      </c>
      <c r="T87">
        <f>IF(ISBLANK(tblSales[[#This Row],[ShippedDate]]),"",tblSales[[#This Row],[ShippedDate]]-tblSales[[#This Row],[OrderDate]])</f>
        <v>3</v>
      </c>
      <c r="U87" t="str">
        <f>LEFT(tblSales[[#This Row],[ProductName]],20)</f>
        <v>Lakkalikööri</v>
      </c>
    </row>
    <row r="88" spans="2:21" x14ac:dyDescent="0.2">
      <c r="B88">
        <v>10321</v>
      </c>
      <c r="C88" t="s">
        <v>8323</v>
      </c>
      <c r="D88" t="s">
        <v>2434</v>
      </c>
      <c r="E88" t="s">
        <v>8272</v>
      </c>
      <c r="F88" s="222">
        <v>14.4</v>
      </c>
      <c r="G88">
        <v>10</v>
      </c>
      <c r="H88" s="223">
        <v>0</v>
      </c>
      <c r="I88" s="222">
        <v>144</v>
      </c>
      <c r="J88" t="s">
        <v>8356</v>
      </c>
      <c r="K88" t="s">
        <v>8357</v>
      </c>
      <c r="L88" s="118">
        <v>43557</v>
      </c>
      <c r="M88" s="118">
        <v>43565</v>
      </c>
      <c r="N88" t="s">
        <v>8265</v>
      </c>
      <c r="O88" t="s">
        <v>8257</v>
      </c>
      <c r="P88" t="s">
        <v>6984</v>
      </c>
      <c r="Q88" t="str">
        <f>tblSales[[#This Row],[FirstName]]&amp; " " &amp;tblSales[[#This Row],[LastName]]</f>
        <v>Janet Leverling</v>
      </c>
      <c r="R88">
        <f>YEAR(tblSales[[#This Row],[OrderDate]])</f>
        <v>2019</v>
      </c>
      <c r="S88">
        <f>WEEKNUM(tblSales[[#This Row],[OrderDate]])</f>
        <v>14</v>
      </c>
      <c r="T88">
        <f>IF(ISBLANK(tblSales[[#This Row],[ShippedDate]]),"",tblSales[[#This Row],[ShippedDate]]-tblSales[[#This Row],[OrderDate]])</f>
        <v>8</v>
      </c>
      <c r="U88" t="str">
        <f>LEFT(tblSales[[#This Row],[ProductName]],20)</f>
        <v>Steeleye Stout</v>
      </c>
    </row>
    <row r="89" spans="2:21" x14ac:dyDescent="0.2">
      <c r="B89">
        <v>10320</v>
      </c>
      <c r="C89" t="s">
        <v>8310</v>
      </c>
      <c r="D89" t="s">
        <v>8300</v>
      </c>
      <c r="E89" t="s">
        <v>8237</v>
      </c>
      <c r="F89" s="222">
        <v>17.2</v>
      </c>
      <c r="G89">
        <v>30</v>
      </c>
      <c r="H89" s="223">
        <v>0</v>
      </c>
      <c r="I89" s="222">
        <v>516</v>
      </c>
      <c r="J89" t="s">
        <v>8301</v>
      </c>
      <c r="K89" t="s">
        <v>8302</v>
      </c>
      <c r="L89" s="118">
        <v>43557</v>
      </c>
      <c r="M89" s="118">
        <v>43572</v>
      </c>
      <c r="N89" t="s">
        <v>8240</v>
      </c>
      <c r="O89" t="s">
        <v>8241</v>
      </c>
      <c r="P89" t="s">
        <v>6934</v>
      </c>
      <c r="Q89" t="str">
        <f>tblSales[[#This Row],[FirstName]]&amp; " " &amp;tblSales[[#This Row],[LastName]]</f>
        <v>Steven Buchanan</v>
      </c>
      <c r="R89">
        <f>YEAR(tblSales[[#This Row],[OrderDate]])</f>
        <v>2019</v>
      </c>
      <c r="S89">
        <f>WEEKNUM(tblSales[[#This Row],[OrderDate]])</f>
        <v>14</v>
      </c>
      <c r="T89">
        <f>IF(ISBLANK(tblSales[[#This Row],[ShippedDate]]),"",tblSales[[#This Row],[ShippedDate]]-tblSales[[#This Row],[OrderDate]])</f>
        <v>15</v>
      </c>
      <c r="U89" t="str">
        <f>LEFT(tblSales[[#This Row],[ProductName]],20)</f>
        <v>Fløtemysost</v>
      </c>
    </row>
    <row r="90" spans="2:21" x14ac:dyDescent="0.2">
      <c r="B90">
        <v>10323</v>
      </c>
      <c r="C90" t="s">
        <v>8342</v>
      </c>
      <c r="D90" t="s">
        <v>8246</v>
      </c>
      <c r="E90" t="s">
        <v>8272</v>
      </c>
      <c r="F90" s="222">
        <v>14.4</v>
      </c>
      <c r="G90">
        <v>4</v>
      </c>
      <c r="H90" s="223">
        <v>0</v>
      </c>
      <c r="I90" s="222">
        <v>57.6</v>
      </c>
      <c r="J90" t="s">
        <v>8359</v>
      </c>
      <c r="K90" t="s">
        <v>8360</v>
      </c>
      <c r="L90" s="118">
        <v>43561</v>
      </c>
      <c r="M90" s="118">
        <v>43568</v>
      </c>
      <c r="N90" t="s">
        <v>8250</v>
      </c>
      <c r="O90" t="s">
        <v>8266</v>
      </c>
      <c r="P90" t="s">
        <v>8267</v>
      </c>
      <c r="Q90" t="str">
        <f>tblSales[[#This Row],[FirstName]]&amp; " " &amp;tblSales[[#This Row],[LastName]]</f>
        <v>Margaret Peacock</v>
      </c>
      <c r="R90">
        <f>YEAR(tblSales[[#This Row],[OrderDate]])</f>
        <v>2019</v>
      </c>
      <c r="S90">
        <f>WEEKNUM(tblSales[[#This Row],[OrderDate]])</f>
        <v>14</v>
      </c>
      <c r="T90">
        <f>IF(ISBLANK(tblSales[[#This Row],[ShippedDate]]),"",tblSales[[#This Row],[ShippedDate]]-tblSales[[#This Row],[OrderDate]])</f>
        <v>7</v>
      </c>
      <c r="U90" t="str">
        <f>LEFT(tblSales[[#This Row],[ProductName]],20)</f>
        <v>Chartreuse verte</v>
      </c>
    </row>
    <row r="91" spans="2:21" x14ac:dyDescent="0.2">
      <c r="B91">
        <v>10323</v>
      </c>
      <c r="C91" t="s">
        <v>8361</v>
      </c>
      <c r="D91" t="s">
        <v>8246</v>
      </c>
      <c r="E91" t="s">
        <v>8254</v>
      </c>
      <c r="F91" s="222">
        <v>12.4</v>
      </c>
      <c r="G91">
        <v>5</v>
      </c>
      <c r="H91" s="223">
        <v>0</v>
      </c>
      <c r="I91" s="222">
        <v>62</v>
      </c>
      <c r="J91" t="s">
        <v>8359</v>
      </c>
      <c r="K91" t="s">
        <v>8360</v>
      </c>
      <c r="L91" s="118">
        <v>43561</v>
      </c>
      <c r="M91" s="118">
        <v>43568</v>
      </c>
      <c r="N91" t="s">
        <v>8250</v>
      </c>
      <c r="O91" t="s">
        <v>8266</v>
      </c>
      <c r="P91" t="s">
        <v>8267</v>
      </c>
      <c r="Q91" t="str">
        <f>tblSales[[#This Row],[FirstName]]&amp; " " &amp;tblSales[[#This Row],[LastName]]</f>
        <v>Margaret Peacock</v>
      </c>
      <c r="R91">
        <f>YEAR(tblSales[[#This Row],[OrderDate]])</f>
        <v>2019</v>
      </c>
      <c r="S91">
        <f>WEEKNUM(tblSales[[#This Row],[OrderDate]])</f>
        <v>14</v>
      </c>
      <c r="T91">
        <f>IF(ISBLANK(tblSales[[#This Row],[ShippedDate]]),"",tblSales[[#This Row],[ShippedDate]]-tblSales[[#This Row],[OrderDate]])</f>
        <v>7</v>
      </c>
      <c r="U91" t="str">
        <f>LEFT(tblSales[[#This Row],[ProductName]],20)</f>
        <v>Genen Shouyu</v>
      </c>
    </row>
    <row r="92" spans="2:21" x14ac:dyDescent="0.2">
      <c r="B92">
        <v>10323</v>
      </c>
      <c r="C92" t="s">
        <v>8362</v>
      </c>
      <c r="D92" t="s">
        <v>8246</v>
      </c>
      <c r="E92" t="s">
        <v>8262</v>
      </c>
      <c r="F92" s="222">
        <v>11.2</v>
      </c>
      <c r="G92">
        <v>4</v>
      </c>
      <c r="H92" s="223">
        <v>0</v>
      </c>
      <c r="I92" s="222">
        <v>44.8</v>
      </c>
      <c r="J92" t="s">
        <v>8359</v>
      </c>
      <c r="K92" t="s">
        <v>8360</v>
      </c>
      <c r="L92" s="118">
        <v>43561</v>
      </c>
      <c r="M92" s="118">
        <v>43568</v>
      </c>
      <c r="N92" t="s">
        <v>8250</v>
      </c>
      <c r="O92" t="s">
        <v>8266</v>
      </c>
      <c r="P92" t="s">
        <v>8267</v>
      </c>
      <c r="Q92" t="str">
        <f>tblSales[[#This Row],[FirstName]]&amp; " " &amp;tblSales[[#This Row],[LastName]]</f>
        <v>Margaret Peacock</v>
      </c>
      <c r="R92">
        <f>YEAR(tblSales[[#This Row],[OrderDate]])</f>
        <v>2019</v>
      </c>
      <c r="S92">
        <f>WEEKNUM(tblSales[[#This Row],[OrderDate]])</f>
        <v>14</v>
      </c>
      <c r="T92">
        <f>IF(ISBLANK(tblSales[[#This Row],[ShippedDate]]),"",tblSales[[#This Row],[ShippedDate]]-tblSales[[#This Row],[OrderDate]])</f>
        <v>7</v>
      </c>
      <c r="U92" t="str">
        <f>LEFT(tblSales[[#This Row],[ProductName]],20)</f>
        <v>NuNuCa Nuß-Nougat-Cr</v>
      </c>
    </row>
    <row r="93" spans="2:21" x14ac:dyDescent="0.2">
      <c r="B93">
        <v>10325</v>
      </c>
      <c r="C93" t="s">
        <v>8351</v>
      </c>
      <c r="D93" t="s">
        <v>8246</v>
      </c>
      <c r="E93" t="s">
        <v>8254</v>
      </c>
      <c r="F93" s="222">
        <v>20</v>
      </c>
      <c r="G93">
        <v>6</v>
      </c>
      <c r="H93" s="223">
        <v>0</v>
      </c>
      <c r="I93" s="222">
        <v>120</v>
      </c>
      <c r="J93" t="s">
        <v>8359</v>
      </c>
      <c r="K93" t="s">
        <v>8360</v>
      </c>
      <c r="L93" s="118">
        <v>43563</v>
      </c>
      <c r="M93" s="118">
        <v>43568</v>
      </c>
      <c r="N93" t="s">
        <v>8240</v>
      </c>
      <c r="O93" t="s">
        <v>8285</v>
      </c>
      <c r="P93" t="s">
        <v>2317</v>
      </c>
      <c r="Q93" t="str">
        <f>tblSales[[#This Row],[FirstName]]&amp; " " &amp;tblSales[[#This Row],[LastName]]</f>
        <v>Nancy Davolio</v>
      </c>
      <c r="R93">
        <f>YEAR(tblSales[[#This Row],[OrderDate]])</f>
        <v>2019</v>
      </c>
      <c r="S93">
        <f>WEEKNUM(tblSales[[#This Row],[OrderDate]])</f>
        <v>15</v>
      </c>
      <c r="T93">
        <f>IF(ISBLANK(tblSales[[#This Row],[ShippedDate]]),"",tblSales[[#This Row],[ShippedDate]]-tblSales[[#This Row],[OrderDate]])</f>
        <v>5</v>
      </c>
      <c r="U93" t="str">
        <f>LEFT(tblSales[[#This Row],[ProductName]],20)</f>
        <v>Grandma's Boysenberr</v>
      </c>
    </row>
    <row r="94" spans="2:21" x14ac:dyDescent="0.2">
      <c r="B94">
        <v>10325</v>
      </c>
      <c r="C94" t="s">
        <v>8235</v>
      </c>
      <c r="D94" t="s">
        <v>8246</v>
      </c>
      <c r="E94" t="s">
        <v>8237</v>
      </c>
      <c r="F94" s="222">
        <v>27.8</v>
      </c>
      <c r="G94">
        <v>40</v>
      </c>
      <c r="H94" s="223">
        <v>0</v>
      </c>
      <c r="I94" s="222">
        <v>1112</v>
      </c>
      <c r="J94" t="s">
        <v>8359</v>
      </c>
      <c r="K94" t="s">
        <v>8360</v>
      </c>
      <c r="L94" s="118">
        <v>43563</v>
      </c>
      <c r="M94" s="118">
        <v>43568</v>
      </c>
      <c r="N94" t="s">
        <v>8240</v>
      </c>
      <c r="O94" t="s">
        <v>8285</v>
      </c>
      <c r="P94" t="s">
        <v>2317</v>
      </c>
      <c r="Q94" t="str">
        <f>tblSales[[#This Row],[FirstName]]&amp; " " &amp;tblSales[[#This Row],[LastName]]</f>
        <v>Nancy Davolio</v>
      </c>
      <c r="R94">
        <f>YEAR(tblSales[[#This Row],[OrderDate]])</f>
        <v>2019</v>
      </c>
      <c r="S94">
        <f>WEEKNUM(tblSales[[#This Row],[OrderDate]])</f>
        <v>15</v>
      </c>
      <c r="T94">
        <f>IF(ISBLANK(tblSales[[#This Row],[ShippedDate]]),"",tblSales[[#This Row],[ShippedDate]]-tblSales[[#This Row],[OrderDate]])</f>
        <v>5</v>
      </c>
      <c r="U94" t="str">
        <f>LEFT(tblSales[[#This Row],[ProductName]],20)</f>
        <v>Mozzarella di Giovan</v>
      </c>
    </row>
    <row r="95" spans="2:21" x14ac:dyDescent="0.2">
      <c r="B95">
        <v>10325</v>
      </c>
      <c r="C95" t="s">
        <v>8309</v>
      </c>
      <c r="D95" t="s">
        <v>8246</v>
      </c>
      <c r="E95" t="s">
        <v>8237</v>
      </c>
      <c r="F95" s="222">
        <v>10</v>
      </c>
      <c r="G95">
        <v>4</v>
      </c>
      <c r="H95" s="223">
        <v>0</v>
      </c>
      <c r="I95" s="222">
        <v>40</v>
      </c>
      <c r="J95" t="s">
        <v>8359</v>
      </c>
      <c r="K95" t="s">
        <v>8360</v>
      </c>
      <c r="L95" s="118">
        <v>43563</v>
      </c>
      <c r="M95" s="118">
        <v>43568</v>
      </c>
      <c r="N95" t="s">
        <v>8240</v>
      </c>
      <c r="O95" t="s">
        <v>8285</v>
      </c>
      <c r="P95" t="s">
        <v>2317</v>
      </c>
      <c r="Q95" t="str">
        <f>tblSales[[#This Row],[FirstName]]&amp; " " &amp;tblSales[[#This Row],[LastName]]</f>
        <v>Nancy Davolio</v>
      </c>
      <c r="R95">
        <f>YEAR(tblSales[[#This Row],[OrderDate]])</f>
        <v>2019</v>
      </c>
      <c r="S95">
        <f>WEEKNUM(tblSales[[#This Row],[OrderDate]])</f>
        <v>15</v>
      </c>
      <c r="T95">
        <f>IF(ISBLANK(tblSales[[#This Row],[ShippedDate]]),"",tblSales[[#This Row],[ShippedDate]]-tblSales[[#This Row],[OrderDate]])</f>
        <v>5</v>
      </c>
      <c r="U95" t="str">
        <f>LEFT(tblSales[[#This Row],[ProductName]],20)</f>
        <v>Gorgonzola Telino</v>
      </c>
    </row>
    <row r="96" spans="2:21" x14ac:dyDescent="0.2">
      <c r="B96">
        <v>10325</v>
      </c>
      <c r="C96" t="s">
        <v>8252</v>
      </c>
      <c r="D96" t="s">
        <v>8246</v>
      </c>
      <c r="E96" t="s">
        <v>8247</v>
      </c>
      <c r="F96" s="222">
        <v>18.600000000000001</v>
      </c>
      <c r="G96">
        <v>9</v>
      </c>
      <c r="H96" s="223">
        <v>0</v>
      </c>
      <c r="I96" s="222">
        <v>167.4</v>
      </c>
      <c r="J96" t="s">
        <v>8359</v>
      </c>
      <c r="K96" t="s">
        <v>8360</v>
      </c>
      <c r="L96" s="118">
        <v>43563</v>
      </c>
      <c r="M96" s="118">
        <v>43568</v>
      </c>
      <c r="N96" t="s">
        <v>8240</v>
      </c>
      <c r="O96" t="s">
        <v>8285</v>
      </c>
      <c r="P96" t="s">
        <v>2317</v>
      </c>
      <c r="Q96" t="str">
        <f>tblSales[[#This Row],[FirstName]]&amp; " " &amp;tblSales[[#This Row],[LastName]]</f>
        <v>Nancy Davolio</v>
      </c>
      <c r="R96">
        <f>YEAR(tblSales[[#This Row],[OrderDate]])</f>
        <v>2019</v>
      </c>
      <c r="S96">
        <f>WEEKNUM(tblSales[[#This Row],[OrderDate]])</f>
        <v>15</v>
      </c>
      <c r="T96">
        <f>IF(ISBLANK(tblSales[[#This Row],[ShippedDate]]),"",tblSales[[#This Row],[ShippedDate]]-tblSales[[#This Row],[OrderDate]])</f>
        <v>5</v>
      </c>
      <c r="U96" t="str">
        <f>LEFT(tblSales[[#This Row],[ProductName]],20)</f>
        <v>Tofu</v>
      </c>
    </row>
    <row r="97" spans="2:21" x14ac:dyDescent="0.2">
      <c r="B97">
        <v>10326</v>
      </c>
      <c r="C97" t="s">
        <v>8328</v>
      </c>
      <c r="D97" t="s">
        <v>8324</v>
      </c>
      <c r="E97" t="s">
        <v>8272</v>
      </c>
      <c r="F97" s="222">
        <v>6.2</v>
      </c>
      <c r="G97">
        <v>50</v>
      </c>
      <c r="H97" s="223">
        <v>0</v>
      </c>
      <c r="I97" s="222">
        <v>310</v>
      </c>
      <c r="J97" t="s">
        <v>8363</v>
      </c>
      <c r="K97" t="s">
        <v>8364</v>
      </c>
      <c r="L97" s="118">
        <v>43564</v>
      </c>
      <c r="M97" s="118">
        <v>43568</v>
      </c>
      <c r="N97" t="s">
        <v>8265</v>
      </c>
      <c r="O97" t="s">
        <v>8266</v>
      </c>
      <c r="P97" t="s">
        <v>8267</v>
      </c>
      <c r="Q97" t="str">
        <f>tblSales[[#This Row],[FirstName]]&amp; " " &amp;tblSales[[#This Row],[LastName]]</f>
        <v>Margaret Peacock</v>
      </c>
      <c r="R97">
        <f>YEAR(tblSales[[#This Row],[OrderDate]])</f>
        <v>2019</v>
      </c>
      <c r="S97">
        <f>WEEKNUM(tblSales[[#This Row],[OrderDate]])</f>
        <v>15</v>
      </c>
      <c r="T97">
        <f>IF(ISBLANK(tblSales[[#This Row],[ShippedDate]]),"",tblSales[[#This Row],[ShippedDate]]-tblSales[[#This Row],[OrderDate]])</f>
        <v>4</v>
      </c>
      <c r="U97" t="str">
        <f>LEFT(tblSales[[#This Row],[ProductName]],20)</f>
        <v>Rhönbräu Klosterbier</v>
      </c>
    </row>
    <row r="98" spans="2:21" x14ac:dyDescent="0.2">
      <c r="B98">
        <v>10326</v>
      </c>
      <c r="C98" t="s">
        <v>8352</v>
      </c>
      <c r="D98" t="s">
        <v>8324</v>
      </c>
      <c r="E98" t="s">
        <v>8254</v>
      </c>
      <c r="F98" s="222">
        <v>17.600000000000001</v>
      </c>
      <c r="G98">
        <v>24</v>
      </c>
      <c r="H98" s="223">
        <v>0</v>
      </c>
      <c r="I98" s="222">
        <v>422.4</v>
      </c>
      <c r="J98" t="s">
        <v>8363</v>
      </c>
      <c r="K98" t="s">
        <v>8364</v>
      </c>
      <c r="L98" s="118">
        <v>43564</v>
      </c>
      <c r="M98" s="118">
        <v>43568</v>
      </c>
      <c r="N98" t="s">
        <v>8265</v>
      </c>
      <c r="O98" t="s">
        <v>8266</v>
      </c>
      <c r="P98" t="s">
        <v>8267</v>
      </c>
      <c r="Q98" t="str">
        <f>tblSales[[#This Row],[FirstName]]&amp; " " &amp;tblSales[[#This Row],[LastName]]</f>
        <v>Margaret Peacock</v>
      </c>
      <c r="R98">
        <f>YEAR(tblSales[[#This Row],[OrderDate]])</f>
        <v>2019</v>
      </c>
      <c r="S98">
        <f>WEEKNUM(tblSales[[#This Row],[OrderDate]])</f>
        <v>15</v>
      </c>
      <c r="T98">
        <f>IF(ISBLANK(tblSales[[#This Row],[ShippedDate]]),"",tblSales[[#This Row],[ShippedDate]]-tblSales[[#This Row],[OrderDate]])</f>
        <v>4</v>
      </c>
      <c r="U98" t="str">
        <f>LEFT(tblSales[[#This Row],[ProductName]],20)</f>
        <v>Chef Anton's Cajun S</v>
      </c>
    </row>
    <row r="99" spans="2:21" x14ac:dyDescent="0.2">
      <c r="B99">
        <v>10326</v>
      </c>
      <c r="C99" t="s">
        <v>8258</v>
      </c>
      <c r="D99" t="s">
        <v>8324</v>
      </c>
      <c r="E99" t="s">
        <v>8244</v>
      </c>
      <c r="F99" s="222">
        <v>15.6</v>
      </c>
      <c r="G99">
        <v>16</v>
      </c>
      <c r="H99" s="223">
        <v>0</v>
      </c>
      <c r="I99" s="222">
        <v>249.6</v>
      </c>
      <c r="J99" t="s">
        <v>8363</v>
      </c>
      <c r="K99" t="s">
        <v>8364</v>
      </c>
      <c r="L99" s="118">
        <v>43564</v>
      </c>
      <c r="M99" s="118">
        <v>43568</v>
      </c>
      <c r="N99" t="s">
        <v>8265</v>
      </c>
      <c r="O99" t="s">
        <v>8266</v>
      </c>
      <c r="P99" t="s">
        <v>8267</v>
      </c>
      <c r="Q99" t="str">
        <f>tblSales[[#This Row],[FirstName]]&amp; " " &amp;tblSales[[#This Row],[LastName]]</f>
        <v>Margaret Peacock</v>
      </c>
      <c r="R99">
        <f>YEAR(tblSales[[#This Row],[OrderDate]])</f>
        <v>2019</v>
      </c>
      <c r="S99">
        <f>WEEKNUM(tblSales[[#This Row],[OrderDate]])</f>
        <v>15</v>
      </c>
      <c r="T99">
        <f>IF(ISBLANK(tblSales[[#This Row],[ShippedDate]]),"",tblSales[[#This Row],[ShippedDate]]-tblSales[[#This Row],[OrderDate]])</f>
        <v>4</v>
      </c>
      <c r="U99" t="str">
        <f>LEFT(tblSales[[#This Row],[ProductName]],20)</f>
        <v>Ravioli Angelo</v>
      </c>
    </row>
    <row r="100" spans="2:21" x14ac:dyDescent="0.2">
      <c r="B100">
        <v>10327</v>
      </c>
      <c r="C100" t="s">
        <v>8276</v>
      </c>
      <c r="D100" t="s">
        <v>8292</v>
      </c>
      <c r="E100" t="s">
        <v>8272</v>
      </c>
      <c r="F100" s="222">
        <v>15.2</v>
      </c>
      <c r="G100">
        <v>25</v>
      </c>
      <c r="H100" s="223">
        <v>0.20000000298023199</v>
      </c>
      <c r="I100" s="222">
        <v>304</v>
      </c>
      <c r="J100" t="s">
        <v>8293</v>
      </c>
      <c r="K100" t="s">
        <v>8294</v>
      </c>
      <c r="L100" s="118">
        <v>43565</v>
      </c>
      <c r="M100" s="118">
        <v>43568</v>
      </c>
      <c r="N100" t="s">
        <v>8250</v>
      </c>
      <c r="O100" t="s">
        <v>8297</v>
      </c>
      <c r="P100" t="s">
        <v>8298</v>
      </c>
      <c r="Q100" t="str">
        <f>tblSales[[#This Row],[FirstName]]&amp; " " &amp;tblSales[[#This Row],[LastName]]</f>
        <v>Andrew Fuller</v>
      </c>
      <c r="R100">
        <f>YEAR(tblSales[[#This Row],[OrderDate]])</f>
        <v>2019</v>
      </c>
      <c r="S100">
        <f>WEEKNUM(tblSales[[#This Row],[OrderDate]])</f>
        <v>15</v>
      </c>
      <c r="T100">
        <f>IF(ISBLANK(tblSales[[#This Row],[ShippedDate]]),"",tblSales[[#This Row],[ShippedDate]]-tblSales[[#This Row],[OrderDate]])</f>
        <v>3</v>
      </c>
      <c r="U100" t="str">
        <f>LEFT(tblSales[[#This Row],[ProductName]],20)</f>
        <v>Chang</v>
      </c>
    </row>
    <row r="101" spans="2:21" x14ac:dyDescent="0.2">
      <c r="B101">
        <v>10327</v>
      </c>
      <c r="C101" t="s">
        <v>8242</v>
      </c>
      <c r="D101" t="s">
        <v>8292</v>
      </c>
      <c r="E101" t="s">
        <v>8237</v>
      </c>
      <c r="F101" s="222">
        <v>16.8</v>
      </c>
      <c r="G101">
        <v>50</v>
      </c>
      <c r="H101" s="223">
        <v>0.20000000298023199</v>
      </c>
      <c r="I101" s="222">
        <v>672</v>
      </c>
      <c r="J101" t="s">
        <v>8293</v>
      </c>
      <c r="K101" t="s">
        <v>8294</v>
      </c>
      <c r="L101" s="118">
        <v>43565</v>
      </c>
      <c r="M101" s="118">
        <v>43568</v>
      </c>
      <c r="N101" t="s">
        <v>8250</v>
      </c>
      <c r="O101" t="s">
        <v>8297</v>
      </c>
      <c r="P101" t="s">
        <v>8298</v>
      </c>
      <c r="Q101" t="str">
        <f>tblSales[[#This Row],[FirstName]]&amp; " " &amp;tblSales[[#This Row],[LastName]]</f>
        <v>Andrew Fuller</v>
      </c>
      <c r="R101">
        <f>YEAR(tblSales[[#This Row],[OrderDate]])</f>
        <v>2019</v>
      </c>
      <c r="S101">
        <f>WEEKNUM(tblSales[[#This Row],[OrderDate]])</f>
        <v>15</v>
      </c>
      <c r="T101">
        <f>IF(ISBLANK(tblSales[[#This Row],[ShippedDate]]),"",tblSales[[#This Row],[ShippedDate]]-tblSales[[#This Row],[OrderDate]])</f>
        <v>3</v>
      </c>
      <c r="U101" t="str">
        <f>LEFT(tblSales[[#This Row],[ProductName]],20)</f>
        <v>Queso Cabrales</v>
      </c>
    </row>
    <row r="102" spans="2:21" x14ac:dyDescent="0.2">
      <c r="B102">
        <v>10328</v>
      </c>
      <c r="C102" t="s">
        <v>8253</v>
      </c>
      <c r="D102" t="s">
        <v>8365</v>
      </c>
      <c r="E102" t="s">
        <v>8254</v>
      </c>
      <c r="F102" s="222">
        <v>16.8</v>
      </c>
      <c r="G102">
        <v>40</v>
      </c>
      <c r="H102" s="223">
        <v>0</v>
      </c>
      <c r="I102" s="222">
        <v>672</v>
      </c>
      <c r="J102" t="s">
        <v>8366</v>
      </c>
      <c r="K102" t="s">
        <v>8367</v>
      </c>
      <c r="L102" s="118">
        <v>43568</v>
      </c>
      <c r="M102" s="118">
        <v>43571</v>
      </c>
      <c r="N102" t="s">
        <v>8240</v>
      </c>
      <c r="O102" t="s">
        <v>8266</v>
      </c>
      <c r="P102" t="s">
        <v>8267</v>
      </c>
      <c r="Q102" t="str">
        <f>tblSales[[#This Row],[FirstName]]&amp; " " &amp;tblSales[[#This Row],[LastName]]</f>
        <v>Margaret Peacock</v>
      </c>
      <c r="R102">
        <f>YEAR(tblSales[[#This Row],[OrderDate]])</f>
        <v>2019</v>
      </c>
      <c r="S102">
        <f>WEEKNUM(tblSales[[#This Row],[OrderDate]])</f>
        <v>15</v>
      </c>
      <c r="T102">
        <f>IF(ISBLANK(tblSales[[#This Row],[ShippedDate]]),"",tblSales[[#This Row],[ShippedDate]]-tblSales[[#This Row],[OrderDate]])</f>
        <v>3</v>
      </c>
      <c r="U102" t="str">
        <f>LEFT(tblSales[[#This Row],[ProductName]],20)</f>
        <v xml:space="preserve">Louisiana Fiery Hot </v>
      </c>
    </row>
    <row r="103" spans="2:21" x14ac:dyDescent="0.2">
      <c r="B103">
        <v>10328</v>
      </c>
      <c r="C103" t="s">
        <v>8334</v>
      </c>
      <c r="D103" t="s">
        <v>8365</v>
      </c>
      <c r="E103" t="s">
        <v>8262</v>
      </c>
      <c r="F103" s="222">
        <v>10</v>
      </c>
      <c r="G103">
        <v>10</v>
      </c>
      <c r="H103" s="223">
        <v>0</v>
      </c>
      <c r="I103" s="222">
        <v>100</v>
      </c>
      <c r="J103" t="s">
        <v>8366</v>
      </c>
      <c r="K103" t="s">
        <v>8367</v>
      </c>
      <c r="L103" s="118">
        <v>43568</v>
      </c>
      <c r="M103" s="118">
        <v>43571</v>
      </c>
      <c r="N103" t="s">
        <v>8240</v>
      </c>
      <c r="O103" t="s">
        <v>8266</v>
      </c>
      <c r="P103" t="s">
        <v>8267</v>
      </c>
      <c r="Q103" t="str">
        <f>tblSales[[#This Row],[FirstName]]&amp; " " &amp;tblSales[[#This Row],[LastName]]</f>
        <v>Margaret Peacock</v>
      </c>
      <c r="R103">
        <f>YEAR(tblSales[[#This Row],[OrderDate]])</f>
        <v>2019</v>
      </c>
      <c r="S103">
        <f>WEEKNUM(tblSales[[#This Row],[OrderDate]])</f>
        <v>15</v>
      </c>
      <c r="T103">
        <f>IF(ISBLANK(tblSales[[#This Row],[ShippedDate]]),"",tblSales[[#This Row],[ShippedDate]]-tblSales[[#This Row],[OrderDate]])</f>
        <v>3</v>
      </c>
      <c r="U103" t="str">
        <f>LEFT(tblSales[[#This Row],[ProductName]],20)</f>
        <v>Scottish Longbreads</v>
      </c>
    </row>
    <row r="104" spans="2:21" x14ac:dyDescent="0.2">
      <c r="B104">
        <v>10328</v>
      </c>
      <c r="C104" t="s">
        <v>8281</v>
      </c>
      <c r="D104" t="s">
        <v>8365</v>
      </c>
      <c r="E104" t="s">
        <v>8237</v>
      </c>
      <c r="F104" s="222">
        <v>44</v>
      </c>
      <c r="G104">
        <v>9</v>
      </c>
      <c r="H104" s="223">
        <v>0</v>
      </c>
      <c r="I104" s="222">
        <v>396</v>
      </c>
      <c r="J104" t="s">
        <v>8366</v>
      </c>
      <c r="K104" t="s">
        <v>8367</v>
      </c>
      <c r="L104" s="118">
        <v>43568</v>
      </c>
      <c r="M104" s="118">
        <v>43571</v>
      </c>
      <c r="N104" t="s">
        <v>8240</v>
      </c>
      <c r="O104" t="s">
        <v>8266</v>
      </c>
      <c r="P104" t="s">
        <v>8267</v>
      </c>
      <c r="Q104" t="str">
        <f>tblSales[[#This Row],[FirstName]]&amp; " " &amp;tblSales[[#This Row],[LastName]]</f>
        <v>Margaret Peacock</v>
      </c>
      <c r="R104">
        <f>YEAR(tblSales[[#This Row],[OrderDate]])</f>
        <v>2019</v>
      </c>
      <c r="S104">
        <f>WEEKNUM(tblSales[[#This Row],[OrderDate]])</f>
        <v>15</v>
      </c>
      <c r="T104">
        <f>IF(ISBLANK(tblSales[[#This Row],[ShippedDate]]),"",tblSales[[#This Row],[ShippedDate]]-tblSales[[#This Row],[OrderDate]])</f>
        <v>3</v>
      </c>
      <c r="U104" t="str">
        <f>LEFT(tblSales[[#This Row],[ProductName]],20)</f>
        <v>Raclette Courdavault</v>
      </c>
    </row>
    <row r="105" spans="2:21" x14ac:dyDescent="0.2">
      <c r="B105">
        <v>10333</v>
      </c>
      <c r="C105" t="s">
        <v>8368</v>
      </c>
      <c r="D105" t="s">
        <v>8300</v>
      </c>
      <c r="E105" t="s">
        <v>8262</v>
      </c>
      <c r="F105" s="222">
        <v>8</v>
      </c>
      <c r="G105">
        <v>10</v>
      </c>
      <c r="H105" s="223">
        <v>0.10000000149011599</v>
      </c>
      <c r="I105" s="222">
        <v>72</v>
      </c>
      <c r="J105" t="s">
        <v>8301</v>
      </c>
      <c r="K105" t="s">
        <v>8302</v>
      </c>
      <c r="L105" s="118">
        <v>43572</v>
      </c>
      <c r="M105" s="118">
        <v>43579</v>
      </c>
      <c r="N105" t="s">
        <v>8240</v>
      </c>
      <c r="O105" t="s">
        <v>8241</v>
      </c>
      <c r="P105" t="s">
        <v>6934</v>
      </c>
      <c r="Q105" t="str">
        <f>tblSales[[#This Row],[FirstName]]&amp; " " &amp;tblSales[[#This Row],[LastName]]</f>
        <v>Steven Buchanan</v>
      </c>
      <c r="R105">
        <f>YEAR(tblSales[[#This Row],[OrderDate]])</f>
        <v>2019</v>
      </c>
      <c r="S105">
        <f>WEEKNUM(tblSales[[#This Row],[OrderDate]])</f>
        <v>16</v>
      </c>
      <c r="T105">
        <f>IF(ISBLANK(tblSales[[#This Row],[ShippedDate]]),"",tblSales[[#This Row],[ShippedDate]]-tblSales[[#This Row],[OrderDate]])</f>
        <v>7</v>
      </c>
      <c r="U105" t="str">
        <f>LEFT(tblSales[[#This Row],[ProductName]],20)</f>
        <v>Sir Rodney's Scones</v>
      </c>
    </row>
    <row r="106" spans="2:21" x14ac:dyDescent="0.2">
      <c r="B106">
        <v>10333</v>
      </c>
      <c r="C106" t="s">
        <v>8310</v>
      </c>
      <c r="D106" t="s">
        <v>8300</v>
      </c>
      <c r="E106" t="s">
        <v>8237</v>
      </c>
      <c r="F106" s="222">
        <v>17.2</v>
      </c>
      <c r="G106">
        <v>40</v>
      </c>
      <c r="H106" s="223">
        <v>0.10000000149011599</v>
      </c>
      <c r="I106" s="222">
        <v>619.20000000000005</v>
      </c>
      <c r="J106" t="s">
        <v>8301</v>
      </c>
      <c r="K106" t="s">
        <v>8302</v>
      </c>
      <c r="L106" s="118">
        <v>43572</v>
      </c>
      <c r="M106" s="118">
        <v>43579</v>
      </c>
      <c r="N106" t="s">
        <v>8240</v>
      </c>
      <c r="O106" t="s">
        <v>8241</v>
      </c>
      <c r="P106" t="s">
        <v>6934</v>
      </c>
      <c r="Q106" t="str">
        <f>tblSales[[#This Row],[FirstName]]&amp; " " &amp;tblSales[[#This Row],[LastName]]</f>
        <v>Steven Buchanan</v>
      </c>
      <c r="R106">
        <f>YEAR(tblSales[[#This Row],[OrderDate]])</f>
        <v>2019</v>
      </c>
      <c r="S106">
        <f>WEEKNUM(tblSales[[#This Row],[OrderDate]])</f>
        <v>16</v>
      </c>
      <c r="T106">
        <f>IF(ISBLANK(tblSales[[#This Row],[ShippedDate]]),"",tblSales[[#This Row],[ShippedDate]]-tblSales[[#This Row],[OrderDate]])</f>
        <v>7</v>
      </c>
      <c r="U106" t="str">
        <f>LEFT(tblSales[[#This Row],[ProductName]],20)</f>
        <v>Fløtemysost</v>
      </c>
    </row>
    <row r="107" spans="2:21" x14ac:dyDescent="0.2">
      <c r="B107">
        <v>10333</v>
      </c>
      <c r="C107" t="s">
        <v>8252</v>
      </c>
      <c r="D107" t="s">
        <v>8300</v>
      </c>
      <c r="E107" t="s">
        <v>8247</v>
      </c>
      <c r="F107" s="222">
        <v>18.600000000000001</v>
      </c>
      <c r="G107">
        <v>10</v>
      </c>
      <c r="H107" s="223">
        <v>0</v>
      </c>
      <c r="I107" s="222">
        <v>186</v>
      </c>
      <c r="J107" t="s">
        <v>8301</v>
      </c>
      <c r="K107" t="s">
        <v>8302</v>
      </c>
      <c r="L107" s="118">
        <v>43572</v>
      </c>
      <c r="M107" s="118">
        <v>43579</v>
      </c>
      <c r="N107" t="s">
        <v>8240</v>
      </c>
      <c r="O107" t="s">
        <v>8241</v>
      </c>
      <c r="P107" t="s">
        <v>6934</v>
      </c>
      <c r="Q107" t="str">
        <f>tblSales[[#This Row],[FirstName]]&amp; " " &amp;tblSales[[#This Row],[LastName]]</f>
        <v>Steven Buchanan</v>
      </c>
      <c r="R107">
        <f>YEAR(tblSales[[#This Row],[OrderDate]])</f>
        <v>2019</v>
      </c>
      <c r="S107">
        <f>WEEKNUM(tblSales[[#This Row],[OrderDate]])</f>
        <v>16</v>
      </c>
      <c r="T107">
        <f>IF(ISBLANK(tblSales[[#This Row],[ShippedDate]]),"",tblSales[[#This Row],[ShippedDate]]-tblSales[[#This Row],[OrderDate]])</f>
        <v>7</v>
      </c>
      <c r="U107" t="str">
        <f>LEFT(tblSales[[#This Row],[ProductName]],20)</f>
        <v>Tofu</v>
      </c>
    </row>
    <row r="108" spans="2:21" x14ac:dyDescent="0.2">
      <c r="B108">
        <v>10334</v>
      </c>
      <c r="C108" t="s">
        <v>8334</v>
      </c>
      <c r="D108" t="s">
        <v>8236</v>
      </c>
      <c r="E108" t="s">
        <v>8262</v>
      </c>
      <c r="F108" s="222">
        <v>10</v>
      </c>
      <c r="G108">
        <v>10</v>
      </c>
      <c r="H108" s="223">
        <v>0</v>
      </c>
      <c r="I108" s="222">
        <v>100</v>
      </c>
      <c r="J108" t="s">
        <v>8255</v>
      </c>
      <c r="K108" t="s">
        <v>8256</v>
      </c>
      <c r="L108" s="118">
        <v>43575</v>
      </c>
      <c r="M108" s="118">
        <v>43582</v>
      </c>
      <c r="N108" t="s">
        <v>8265</v>
      </c>
      <c r="O108" t="s">
        <v>8320</v>
      </c>
      <c r="P108" t="s">
        <v>8321</v>
      </c>
      <c r="Q108" t="str">
        <f>tblSales[[#This Row],[FirstName]]&amp; " " &amp;tblSales[[#This Row],[LastName]]</f>
        <v>Laura Callahan</v>
      </c>
      <c r="R108">
        <f>YEAR(tblSales[[#This Row],[OrderDate]])</f>
        <v>2019</v>
      </c>
      <c r="S108">
        <f>WEEKNUM(tblSales[[#This Row],[OrderDate]])</f>
        <v>16</v>
      </c>
      <c r="T108">
        <f>IF(ISBLANK(tblSales[[#This Row],[ShippedDate]]),"",tblSales[[#This Row],[ShippedDate]]-tblSales[[#This Row],[OrderDate]])</f>
        <v>7</v>
      </c>
      <c r="U108" t="str">
        <f>LEFT(tblSales[[#This Row],[ProductName]],20)</f>
        <v>Scottish Longbreads</v>
      </c>
    </row>
    <row r="109" spans="2:21" x14ac:dyDescent="0.2">
      <c r="B109">
        <v>10334</v>
      </c>
      <c r="C109" t="s">
        <v>8369</v>
      </c>
      <c r="D109" t="s">
        <v>8236</v>
      </c>
      <c r="E109" t="s">
        <v>8244</v>
      </c>
      <c r="F109" s="222">
        <v>5.6</v>
      </c>
      <c r="G109">
        <v>8</v>
      </c>
      <c r="H109" s="223">
        <v>0</v>
      </c>
      <c r="I109" s="222">
        <v>44.8</v>
      </c>
      <c r="J109" t="s">
        <v>8255</v>
      </c>
      <c r="K109" t="s">
        <v>8256</v>
      </c>
      <c r="L109" s="118">
        <v>43575</v>
      </c>
      <c r="M109" s="118">
        <v>43582</v>
      </c>
      <c r="N109" t="s">
        <v>8265</v>
      </c>
      <c r="O109" t="s">
        <v>8320</v>
      </c>
      <c r="P109" t="s">
        <v>8321</v>
      </c>
      <c r="Q109" t="str">
        <f>tblSales[[#This Row],[FirstName]]&amp; " " &amp;tblSales[[#This Row],[LastName]]</f>
        <v>Laura Callahan</v>
      </c>
      <c r="R109">
        <f>YEAR(tblSales[[#This Row],[OrderDate]])</f>
        <v>2019</v>
      </c>
      <c r="S109">
        <f>WEEKNUM(tblSales[[#This Row],[OrderDate]])</f>
        <v>16</v>
      </c>
      <c r="T109">
        <f>IF(ISBLANK(tblSales[[#This Row],[ShippedDate]]),"",tblSales[[#This Row],[ShippedDate]]-tblSales[[#This Row],[OrderDate]])</f>
        <v>7</v>
      </c>
      <c r="U109" t="str">
        <f>LEFT(tblSales[[#This Row],[ProductName]],20)</f>
        <v>Filo Mix</v>
      </c>
    </row>
    <row r="110" spans="2:21" x14ac:dyDescent="0.2">
      <c r="B110">
        <v>10335</v>
      </c>
      <c r="C110" t="s">
        <v>8276</v>
      </c>
      <c r="D110" t="s">
        <v>8343</v>
      </c>
      <c r="E110" t="s">
        <v>8272</v>
      </c>
      <c r="F110" s="222">
        <v>15.2</v>
      </c>
      <c r="G110">
        <v>7</v>
      </c>
      <c r="H110" s="223">
        <v>0.20000000298023199</v>
      </c>
      <c r="I110" s="222">
        <v>85.12</v>
      </c>
      <c r="J110" t="s">
        <v>8344</v>
      </c>
      <c r="K110" t="s">
        <v>8345</v>
      </c>
      <c r="L110" s="118">
        <v>43576</v>
      </c>
      <c r="M110" s="118">
        <v>43578</v>
      </c>
      <c r="N110" t="s">
        <v>8265</v>
      </c>
      <c r="O110" t="s">
        <v>8158</v>
      </c>
      <c r="P110" t="s">
        <v>861</v>
      </c>
      <c r="Q110" t="str">
        <f>tblSales[[#This Row],[FirstName]]&amp; " " &amp;tblSales[[#This Row],[LastName]]</f>
        <v>Robert King</v>
      </c>
      <c r="R110">
        <f>YEAR(tblSales[[#This Row],[OrderDate]])</f>
        <v>2019</v>
      </c>
      <c r="S110">
        <f>WEEKNUM(tblSales[[#This Row],[OrderDate]])</f>
        <v>17</v>
      </c>
      <c r="T110">
        <f>IF(ISBLANK(tblSales[[#This Row],[ShippedDate]]),"",tblSales[[#This Row],[ShippedDate]]-tblSales[[#This Row],[OrderDate]])</f>
        <v>2</v>
      </c>
      <c r="U110" t="str">
        <f>LEFT(tblSales[[#This Row],[ProductName]],20)</f>
        <v>Chang</v>
      </c>
    </row>
    <row r="111" spans="2:21" x14ac:dyDescent="0.2">
      <c r="B111">
        <v>10335</v>
      </c>
      <c r="C111" t="s">
        <v>8309</v>
      </c>
      <c r="D111" t="s">
        <v>8343</v>
      </c>
      <c r="E111" t="s">
        <v>8237</v>
      </c>
      <c r="F111" s="222">
        <v>10</v>
      </c>
      <c r="G111">
        <v>25</v>
      </c>
      <c r="H111" s="223">
        <v>0.20000000298023199</v>
      </c>
      <c r="I111" s="222">
        <v>200</v>
      </c>
      <c r="J111" t="s">
        <v>8344</v>
      </c>
      <c r="K111" t="s">
        <v>8345</v>
      </c>
      <c r="L111" s="118">
        <v>43576</v>
      </c>
      <c r="M111" s="118">
        <v>43578</v>
      </c>
      <c r="N111" t="s">
        <v>8265</v>
      </c>
      <c r="O111" t="s">
        <v>8158</v>
      </c>
      <c r="P111" t="s">
        <v>861</v>
      </c>
      <c r="Q111" t="str">
        <f>tblSales[[#This Row],[FirstName]]&amp; " " &amp;tblSales[[#This Row],[LastName]]</f>
        <v>Robert King</v>
      </c>
      <c r="R111">
        <f>YEAR(tblSales[[#This Row],[OrderDate]])</f>
        <v>2019</v>
      </c>
      <c r="S111">
        <f>WEEKNUM(tblSales[[#This Row],[OrderDate]])</f>
        <v>17</v>
      </c>
      <c r="T111">
        <f>IF(ISBLANK(tblSales[[#This Row],[ShippedDate]]),"",tblSales[[#This Row],[ShippedDate]]-tblSales[[#This Row],[OrderDate]])</f>
        <v>2</v>
      </c>
      <c r="U111" t="str">
        <f>LEFT(tblSales[[#This Row],[ProductName]],20)</f>
        <v>Gorgonzola Telino</v>
      </c>
    </row>
    <row r="112" spans="2:21" x14ac:dyDescent="0.2">
      <c r="B112">
        <v>10335</v>
      </c>
      <c r="C112" t="s">
        <v>8287</v>
      </c>
      <c r="D112" t="s">
        <v>8343</v>
      </c>
      <c r="E112" t="s">
        <v>8237</v>
      </c>
      <c r="F112" s="222">
        <v>25.6</v>
      </c>
      <c r="G112">
        <v>6</v>
      </c>
      <c r="H112" s="223">
        <v>0.20000000298023199</v>
      </c>
      <c r="I112" s="222">
        <v>122.88</v>
      </c>
      <c r="J112" t="s">
        <v>8344</v>
      </c>
      <c r="K112" t="s">
        <v>8345</v>
      </c>
      <c r="L112" s="118">
        <v>43576</v>
      </c>
      <c r="M112" s="118">
        <v>43578</v>
      </c>
      <c r="N112" t="s">
        <v>8265</v>
      </c>
      <c r="O112" t="s">
        <v>8158</v>
      </c>
      <c r="P112" t="s">
        <v>861</v>
      </c>
      <c r="Q112" t="str">
        <f>tblSales[[#This Row],[FirstName]]&amp; " " &amp;tblSales[[#This Row],[LastName]]</f>
        <v>Robert King</v>
      </c>
      <c r="R112">
        <f>YEAR(tblSales[[#This Row],[OrderDate]])</f>
        <v>2019</v>
      </c>
      <c r="S112">
        <f>WEEKNUM(tblSales[[#This Row],[OrderDate]])</f>
        <v>17</v>
      </c>
      <c r="T112">
        <f>IF(ISBLANK(tblSales[[#This Row],[ShippedDate]]),"",tblSales[[#This Row],[ShippedDate]]-tblSales[[#This Row],[OrderDate]])</f>
        <v>2</v>
      </c>
      <c r="U112" t="str">
        <f>LEFT(tblSales[[#This Row],[ProductName]],20)</f>
        <v>Mascarpone Fabioli</v>
      </c>
    </row>
    <row r="113" spans="2:21" x14ac:dyDescent="0.2">
      <c r="B113">
        <v>10335</v>
      </c>
      <c r="C113" t="s">
        <v>8245</v>
      </c>
      <c r="D113" t="s">
        <v>8343</v>
      </c>
      <c r="E113" t="s">
        <v>8247</v>
      </c>
      <c r="F113" s="222">
        <v>42.4</v>
      </c>
      <c r="G113">
        <v>48</v>
      </c>
      <c r="H113" s="223">
        <v>0.20000000298023199</v>
      </c>
      <c r="I113" s="222">
        <v>1628.16</v>
      </c>
      <c r="J113" t="s">
        <v>8344</v>
      </c>
      <c r="K113" t="s">
        <v>8345</v>
      </c>
      <c r="L113" s="118">
        <v>43576</v>
      </c>
      <c r="M113" s="118">
        <v>43578</v>
      </c>
      <c r="N113" t="s">
        <v>8265</v>
      </c>
      <c r="O113" t="s">
        <v>8158</v>
      </c>
      <c r="P113" t="s">
        <v>861</v>
      </c>
      <c r="Q113" t="str">
        <f>tblSales[[#This Row],[FirstName]]&amp; " " &amp;tblSales[[#This Row],[LastName]]</f>
        <v>Robert King</v>
      </c>
      <c r="R113">
        <f>YEAR(tblSales[[#This Row],[OrderDate]])</f>
        <v>2019</v>
      </c>
      <c r="S113">
        <f>WEEKNUM(tblSales[[#This Row],[OrderDate]])</f>
        <v>17</v>
      </c>
      <c r="T113">
        <f>IF(ISBLANK(tblSales[[#This Row],[ShippedDate]]),"",tblSales[[#This Row],[ShippedDate]]-tblSales[[#This Row],[OrderDate]])</f>
        <v>2</v>
      </c>
      <c r="U113" t="str">
        <f>LEFT(tblSales[[#This Row],[ProductName]],20)</f>
        <v>Manjimup Dried Apple</v>
      </c>
    </row>
    <row r="114" spans="2:21" x14ac:dyDescent="0.2">
      <c r="B114">
        <v>10336</v>
      </c>
      <c r="C114" t="s">
        <v>8352</v>
      </c>
      <c r="D114" t="s">
        <v>8365</v>
      </c>
      <c r="E114" t="s">
        <v>8254</v>
      </c>
      <c r="F114" s="222">
        <v>17.600000000000001</v>
      </c>
      <c r="G114">
        <v>18</v>
      </c>
      <c r="H114" s="223">
        <v>0.10000000149011599</v>
      </c>
      <c r="I114" s="222">
        <v>285.12</v>
      </c>
      <c r="J114" t="s">
        <v>8370</v>
      </c>
      <c r="K114" t="s">
        <v>8371</v>
      </c>
      <c r="L114" s="118">
        <v>43577</v>
      </c>
      <c r="M114" s="118">
        <v>43579</v>
      </c>
      <c r="N114" t="s">
        <v>8265</v>
      </c>
      <c r="O114" t="s">
        <v>8158</v>
      </c>
      <c r="P114" t="s">
        <v>861</v>
      </c>
      <c r="Q114" t="str">
        <f>tblSales[[#This Row],[FirstName]]&amp; " " &amp;tblSales[[#This Row],[LastName]]</f>
        <v>Robert King</v>
      </c>
      <c r="R114">
        <f>YEAR(tblSales[[#This Row],[OrderDate]])</f>
        <v>2019</v>
      </c>
      <c r="S114">
        <f>WEEKNUM(tblSales[[#This Row],[OrderDate]])</f>
        <v>17</v>
      </c>
      <c r="T114">
        <f>IF(ISBLANK(tblSales[[#This Row],[ShippedDate]]),"",tblSales[[#This Row],[ShippedDate]]-tblSales[[#This Row],[OrderDate]])</f>
        <v>2</v>
      </c>
      <c r="U114" t="str">
        <f>LEFT(tblSales[[#This Row],[ProductName]],20)</f>
        <v>Chef Anton's Cajun S</v>
      </c>
    </row>
    <row r="115" spans="2:21" x14ac:dyDescent="0.2">
      <c r="B115">
        <v>10337</v>
      </c>
      <c r="C115" t="s">
        <v>8372</v>
      </c>
      <c r="D115" t="s">
        <v>8246</v>
      </c>
      <c r="E115" t="s">
        <v>8262</v>
      </c>
      <c r="F115" s="222">
        <v>24.9</v>
      </c>
      <c r="G115">
        <v>24</v>
      </c>
      <c r="H115" s="223">
        <v>0</v>
      </c>
      <c r="I115" s="222">
        <v>597.6</v>
      </c>
      <c r="J115" t="s">
        <v>8304</v>
      </c>
      <c r="K115" t="s">
        <v>8305</v>
      </c>
      <c r="L115" s="118">
        <v>43578</v>
      </c>
      <c r="M115" s="118">
        <v>43583</v>
      </c>
      <c r="N115" t="s">
        <v>8240</v>
      </c>
      <c r="O115" t="s">
        <v>8266</v>
      </c>
      <c r="P115" t="s">
        <v>8267</v>
      </c>
      <c r="Q115" t="str">
        <f>tblSales[[#This Row],[FirstName]]&amp; " " &amp;tblSales[[#This Row],[LastName]]</f>
        <v>Margaret Peacock</v>
      </c>
      <c r="R115">
        <f>YEAR(tblSales[[#This Row],[OrderDate]])</f>
        <v>2019</v>
      </c>
      <c r="S115">
        <f>WEEKNUM(tblSales[[#This Row],[OrderDate]])</f>
        <v>17</v>
      </c>
      <c r="T115">
        <f>IF(ISBLANK(tblSales[[#This Row],[ShippedDate]]),"",tblSales[[#This Row],[ShippedDate]]-tblSales[[#This Row],[OrderDate]])</f>
        <v>5</v>
      </c>
      <c r="U115" t="str">
        <f>LEFT(tblSales[[#This Row],[ProductName]],20)</f>
        <v>Gumbär Gummibärchen</v>
      </c>
    </row>
    <row r="116" spans="2:21" x14ac:dyDescent="0.2">
      <c r="B116">
        <v>10337</v>
      </c>
      <c r="C116" t="s">
        <v>8235</v>
      </c>
      <c r="D116" t="s">
        <v>8246</v>
      </c>
      <c r="E116" t="s">
        <v>8237</v>
      </c>
      <c r="F116" s="222">
        <v>27.8</v>
      </c>
      <c r="G116">
        <v>25</v>
      </c>
      <c r="H116" s="223">
        <v>0</v>
      </c>
      <c r="I116" s="222">
        <v>695</v>
      </c>
      <c r="J116" t="s">
        <v>8304</v>
      </c>
      <c r="K116" t="s">
        <v>8305</v>
      </c>
      <c r="L116" s="118">
        <v>43578</v>
      </c>
      <c r="M116" s="118">
        <v>43583</v>
      </c>
      <c r="N116" t="s">
        <v>8240</v>
      </c>
      <c r="O116" t="s">
        <v>8266</v>
      </c>
      <c r="P116" t="s">
        <v>8267</v>
      </c>
      <c r="Q116" t="str">
        <f>tblSales[[#This Row],[FirstName]]&amp; " " &amp;tblSales[[#This Row],[LastName]]</f>
        <v>Margaret Peacock</v>
      </c>
      <c r="R116">
        <f>YEAR(tblSales[[#This Row],[OrderDate]])</f>
        <v>2019</v>
      </c>
      <c r="S116">
        <f>WEEKNUM(tblSales[[#This Row],[OrderDate]])</f>
        <v>17</v>
      </c>
      <c r="T116">
        <f>IF(ISBLANK(tblSales[[#This Row],[ShippedDate]]),"",tblSales[[#This Row],[ShippedDate]]-tblSales[[#This Row],[OrderDate]])</f>
        <v>5</v>
      </c>
      <c r="U116" t="str">
        <f>LEFT(tblSales[[#This Row],[ProductName]],20)</f>
        <v>Mozzarella di Giovan</v>
      </c>
    </row>
    <row r="117" spans="2:21" x14ac:dyDescent="0.2">
      <c r="B117">
        <v>10337</v>
      </c>
      <c r="C117" t="s">
        <v>8373</v>
      </c>
      <c r="D117" t="s">
        <v>8246</v>
      </c>
      <c r="E117" t="s">
        <v>8244</v>
      </c>
      <c r="F117" s="222">
        <v>7.2</v>
      </c>
      <c r="G117">
        <v>40</v>
      </c>
      <c r="H117" s="223">
        <v>0</v>
      </c>
      <c r="I117" s="222">
        <v>288</v>
      </c>
      <c r="J117" t="s">
        <v>8304</v>
      </c>
      <c r="K117" t="s">
        <v>8305</v>
      </c>
      <c r="L117" s="118">
        <v>43578</v>
      </c>
      <c r="M117" s="118">
        <v>43583</v>
      </c>
      <c r="N117" t="s">
        <v>8240</v>
      </c>
      <c r="O117" t="s">
        <v>8266</v>
      </c>
      <c r="P117" t="s">
        <v>8267</v>
      </c>
      <c r="Q117" t="str">
        <f>tblSales[[#This Row],[FirstName]]&amp; " " &amp;tblSales[[#This Row],[LastName]]</f>
        <v>Margaret Peacock</v>
      </c>
      <c r="R117">
        <f>YEAR(tblSales[[#This Row],[OrderDate]])</f>
        <v>2019</v>
      </c>
      <c r="S117">
        <f>WEEKNUM(tblSales[[#This Row],[OrderDate]])</f>
        <v>17</v>
      </c>
      <c r="T117">
        <f>IF(ISBLANK(tblSales[[#This Row],[ShippedDate]]),"",tblSales[[#This Row],[ShippedDate]]-tblSales[[#This Row],[OrderDate]])</f>
        <v>5</v>
      </c>
      <c r="U117" t="str">
        <f>LEFT(tblSales[[#This Row],[ProductName]],20)</f>
        <v>Tunnbröd</v>
      </c>
    </row>
    <row r="118" spans="2:21" x14ac:dyDescent="0.2">
      <c r="B118">
        <v>10341</v>
      </c>
      <c r="C118" t="s">
        <v>8281</v>
      </c>
      <c r="D118" t="s">
        <v>8374</v>
      </c>
      <c r="E118" t="s">
        <v>8237</v>
      </c>
      <c r="F118" s="222">
        <v>44</v>
      </c>
      <c r="G118">
        <v>9</v>
      </c>
      <c r="H118" s="223">
        <v>0.15000000596046401</v>
      </c>
      <c r="I118" s="222">
        <v>336.6</v>
      </c>
      <c r="J118" t="s">
        <v>8375</v>
      </c>
      <c r="K118" t="s">
        <v>8376</v>
      </c>
      <c r="L118" s="118">
        <v>43583</v>
      </c>
      <c r="M118" s="118">
        <v>43590</v>
      </c>
      <c r="N118" t="s">
        <v>8240</v>
      </c>
      <c r="O118" t="s">
        <v>8158</v>
      </c>
      <c r="P118" t="s">
        <v>861</v>
      </c>
      <c r="Q118" t="str">
        <f>tblSales[[#This Row],[FirstName]]&amp; " " &amp;tblSales[[#This Row],[LastName]]</f>
        <v>Robert King</v>
      </c>
      <c r="R118">
        <f>YEAR(tblSales[[#This Row],[OrderDate]])</f>
        <v>2019</v>
      </c>
      <c r="S118">
        <f>WEEKNUM(tblSales[[#This Row],[OrderDate]])</f>
        <v>18</v>
      </c>
      <c r="T118">
        <f>IF(ISBLANK(tblSales[[#This Row],[ShippedDate]]),"",tblSales[[#This Row],[ShippedDate]]-tblSales[[#This Row],[OrderDate]])</f>
        <v>7</v>
      </c>
      <c r="U118" t="str">
        <f>LEFT(tblSales[[#This Row],[ProductName]],20)</f>
        <v>Raclette Courdavault</v>
      </c>
    </row>
    <row r="119" spans="2:21" x14ac:dyDescent="0.2">
      <c r="B119">
        <v>10341</v>
      </c>
      <c r="C119" t="s">
        <v>8269</v>
      </c>
      <c r="D119" t="s">
        <v>8374</v>
      </c>
      <c r="E119" t="s">
        <v>8237</v>
      </c>
      <c r="F119" s="222">
        <v>2</v>
      </c>
      <c r="G119">
        <v>8</v>
      </c>
      <c r="H119" s="223">
        <v>0</v>
      </c>
      <c r="I119" s="222">
        <v>16</v>
      </c>
      <c r="J119" t="s">
        <v>8375</v>
      </c>
      <c r="K119" t="s">
        <v>8376</v>
      </c>
      <c r="L119" s="118">
        <v>43583</v>
      </c>
      <c r="M119" s="118">
        <v>43590</v>
      </c>
      <c r="N119" t="s">
        <v>8240</v>
      </c>
      <c r="O119" t="s">
        <v>8158</v>
      </c>
      <c r="P119" t="s">
        <v>861</v>
      </c>
      <c r="Q119" t="str">
        <f>tblSales[[#This Row],[FirstName]]&amp; " " &amp;tblSales[[#This Row],[LastName]]</f>
        <v>Robert King</v>
      </c>
      <c r="R119">
        <f>YEAR(tblSales[[#This Row],[OrderDate]])</f>
        <v>2019</v>
      </c>
      <c r="S119">
        <f>WEEKNUM(tblSales[[#This Row],[OrderDate]])</f>
        <v>18</v>
      </c>
      <c r="T119">
        <f>IF(ISBLANK(tblSales[[#This Row],[ShippedDate]]),"",tblSales[[#This Row],[ShippedDate]]-tblSales[[#This Row],[OrderDate]])</f>
        <v>7</v>
      </c>
      <c r="U119" t="str">
        <f>LEFT(tblSales[[#This Row],[ProductName]],20)</f>
        <v>Geitost</v>
      </c>
    </row>
    <row r="120" spans="2:21" x14ac:dyDescent="0.2">
      <c r="B120">
        <v>10340</v>
      </c>
      <c r="C120" t="s">
        <v>8306</v>
      </c>
      <c r="D120" t="s">
        <v>8236</v>
      </c>
      <c r="E120" t="s">
        <v>8272</v>
      </c>
      <c r="F120" s="222">
        <v>36.799999999999997</v>
      </c>
      <c r="G120">
        <v>40</v>
      </c>
      <c r="H120" s="223">
        <v>5.0000000745058101E-2</v>
      </c>
      <c r="I120" s="222">
        <v>1398.4</v>
      </c>
      <c r="J120" t="s">
        <v>8377</v>
      </c>
      <c r="K120" t="s">
        <v>8378</v>
      </c>
      <c r="L120" s="118">
        <v>43583</v>
      </c>
      <c r="M120" s="118">
        <v>43593</v>
      </c>
      <c r="N120" t="s">
        <v>8240</v>
      </c>
      <c r="O120" t="s">
        <v>8285</v>
      </c>
      <c r="P120" t="s">
        <v>2317</v>
      </c>
      <c r="Q120" t="str">
        <f>tblSales[[#This Row],[FirstName]]&amp; " " &amp;tblSales[[#This Row],[LastName]]</f>
        <v>Nancy Davolio</v>
      </c>
      <c r="R120">
        <f>YEAR(tblSales[[#This Row],[OrderDate]])</f>
        <v>2019</v>
      </c>
      <c r="S120">
        <f>WEEKNUM(tblSales[[#This Row],[OrderDate]])</f>
        <v>18</v>
      </c>
      <c r="T120">
        <f>IF(ISBLANK(tblSales[[#This Row],[ShippedDate]]),"",tblSales[[#This Row],[ShippedDate]]-tblSales[[#This Row],[OrderDate]])</f>
        <v>10</v>
      </c>
      <c r="U120" t="str">
        <f>LEFT(tblSales[[#This Row],[ProductName]],20)</f>
        <v>Ipoh Coffee</v>
      </c>
    </row>
    <row r="121" spans="2:21" x14ac:dyDescent="0.2">
      <c r="B121">
        <v>10342</v>
      </c>
      <c r="C121" t="s">
        <v>8276</v>
      </c>
      <c r="D121" t="s">
        <v>8246</v>
      </c>
      <c r="E121" t="s">
        <v>8272</v>
      </c>
      <c r="F121" s="222">
        <v>15.2</v>
      </c>
      <c r="G121">
        <v>24</v>
      </c>
      <c r="H121" s="223">
        <v>0.20000000298023199</v>
      </c>
      <c r="I121" s="222">
        <v>291.83999999999997</v>
      </c>
      <c r="J121" t="s">
        <v>8304</v>
      </c>
      <c r="K121" t="s">
        <v>8305</v>
      </c>
      <c r="L121" s="118">
        <v>43584</v>
      </c>
      <c r="M121" s="118">
        <v>43589</v>
      </c>
      <c r="N121" t="s">
        <v>8265</v>
      </c>
      <c r="O121" t="s">
        <v>8266</v>
      </c>
      <c r="P121" t="s">
        <v>8267</v>
      </c>
      <c r="Q121" t="str">
        <f>tblSales[[#This Row],[FirstName]]&amp; " " &amp;tblSales[[#This Row],[LastName]]</f>
        <v>Margaret Peacock</v>
      </c>
      <c r="R121">
        <f>YEAR(tblSales[[#This Row],[OrderDate]])</f>
        <v>2019</v>
      </c>
      <c r="S121">
        <f>WEEKNUM(tblSales[[#This Row],[OrderDate]])</f>
        <v>18</v>
      </c>
      <c r="T121">
        <f>IF(ISBLANK(tblSales[[#This Row],[ShippedDate]]),"",tblSales[[#This Row],[ShippedDate]]-tblSales[[#This Row],[OrderDate]])</f>
        <v>5</v>
      </c>
      <c r="U121" t="str">
        <f>LEFT(tblSales[[#This Row],[ProductName]],20)</f>
        <v>Chang</v>
      </c>
    </row>
    <row r="122" spans="2:21" x14ac:dyDescent="0.2">
      <c r="B122">
        <v>10342</v>
      </c>
      <c r="C122" t="s">
        <v>8309</v>
      </c>
      <c r="D122" t="s">
        <v>8246</v>
      </c>
      <c r="E122" t="s">
        <v>8237</v>
      </c>
      <c r="F122" s="222">
        <v>10</v>
      </c>
      <c r="G122">
        <v>56</v>
      </c>
      <c r="H122" s="223">
        <v>0.20000000298023199</v>
      </c>
      <c r="I122" s="222">
        <v>448</v>
      </c>
      <c r="J122" t="s">
        <v>8304</v>
      </c>
      <c r="K122" t="s">
        <v>8305</v>
      </c>
      <c r="L122" s="118">
        <v>43584</v>
      </c>
      <c r="M122" s="118">
        <v>43589</v>
      </c>
      <c r="N122" t="s">
        <v>8265</v>
      </c>
      <c r="O122" t="s">
        <v>8266</v>
      </c>
      <c r="P122" t="s">
        <v>8267</v>
      </c>
      <c r="Q122" t="str">
        <f>tblSales[[#This Row],[FirstName]]&amp; " " &amp;tblSales[[#This Row],[LastName]]</f>
        <v>Margaret Peacock</v>
      </c>
      <c r="R122">
        <f>YEAR(tblSales[[#This Row],[OrderDate]])</f>
        <v>2019</v>
      </c>
      <c r="S122">
        <f>WEEKNUM(tblSales[[#This Row],[OrderDate]])</f>
        <v>18</v>
      </c>
      <c r="T122">
        <f>IF(ISBLANK(tblSales[[#This Row],[ShippedDate]]),"",tblSales[[#This Row],[ShippedDate]]-tblSales[[#This Row],[OrderDate]])</f>
        <v>5</v>
      </c>
      <c r="U122" t="str">
        <f>LEFT(tblSales[[#This Row],[ProductName]],20)</f>
        <v>Gorgonzola Telino</v>
      </c>
    </row>
    <row r="123" spans="2:21" x14ac:dyDescent="0.2">
      <c r="B123">
        <v>10343</v>
      </c>
      <c r="C123" t="s">
        <v>8303</v>
      </c>
      <c r="D123" t="s">
        <v>8246</v>
      </c>
      <c r="E123" t="s">
        <v>8272</v>
      </c>
      <c r="F123" s="222">
        <v>14.4</v>
      </c>
      <c r="G123">
        <v>15</v>
      </c>
      <c r="H123" s="223">
        <v>0</v>
      </c>
      <c r="I123" s="222">
        <v>216</v>
      </c>
      <c r="J123" t="s">
        <v>8330</v>
      </c>
      <c r="K123" t="s">
        <v>8331</v>
      </c>
      <c r="L123" s="118">
        <v>43585</v>
      </c>
      <c r="M123" s="118">
        <v>43591</v>
      </c>
      <c r="N123" t="s">
        <v>8250</v>
      </c>
      <c r="O123" t="s">
        <v>8266</v>
      </c>
      <c r="P123" t="s">
        <v>8267</v>
      </c>
      <c r="Q123" t="str">
        <f>tblSales[[#This Row],[FirstName]]&amp; " " &amp;tblSales[[#This Row],[LastName]]</f>
        <v>Margaret Peacock</v>
      </c>
      <c r="R123">
        <f>YEAR(tblSales[[#This Row],[OrderDate]])</f>
        <v>2019</v>
      </c>
      <c r="S123">
        <f>WEEKNUM(tblSales[[#This Row],[OrderDate]])</f>
        <v>18</v>
      </c>
      <c r="T123">
        <f>IF(ISBLANK(tblSales[[#This Row],[ShippedDate]]),"",tblSales[[#This Row],[ShippedDate]]-tblSales[[#This Row],[OrderDate]])</f>
        <v>6</v>
      </c>
      <c r="U123" t="str">
        <f>LEFT(tblSales[[#This Row],[ProductName]],20)</f>
        <v>Lakkalikööri</v>
      </c>
    </row>
    <row r="124" spans="2:21" x14ac:dyDescent="0.2">
      <c r="B124">
        <v>10343</v>
      </c>
      <c r="C124" t="s">
        <v>8334</v>
      </c>
      <c r="D124" t="s">
        <v>8246</v>
      </c>
      <c r="E124" t="s">
        <v>8262</v>
      </c>
      <c r="F124" s="222">
        <v>10</v>
      </c>
      <c r="G124">
        <v>4</v>
      </c>
      <c r="H124" s="223">
        <v>5.0000000745058101E-2</v>
      </c>
      <c r="I124" s="222">
        <v>38</v>
      </c>
      <c r="J124" t="s">
        <v>8330</v>
      </c>
      <c r="K124" t="s">
        <v>8331</v>
      </c>
      <c r="L124" s="118">
        <v>43585</v>
      </c>
      <c r="M124" s="118">
        <v>43591</v>
      </c>
      <c r="N124" t="s">
        <v>8250</v>
      </c>
      <c r="O124" t="s">
        <v>8266</v>
      </c>
      <c r="P124" t="s">
        <v>8267</v>
      </c>
      <c r="Q124" t="str">
        <f>tblSales[[#This Row],[FirstName]]&amp; " " &amp;tblSales[[#This Row],[LastName]]</f>
        <v>Margaret Peacock</v>
      </c>
      <c r="R124">
        <f>YEAR(tblSales[[#This Row],[OrderDate]])</f>
        <v>2019</v>
      </c>
      <c r="S124">
        <f>WEEKNUM(tblSales[[#This Row],[OrderDate]])</f>
        <v>18</v>
      </c>
      <c r="T124">
        <f>IF(ISBLANK(tblSales[[#This Row],[ShippedDate]]),"",tblSales[[#This Row],[ShippedDate]]-tblSales[[#This Row],[OrderDate]])</f>
        <v>6</v>
      </c>
      <c r="U124" t="str">
        <f>LEFT(tblSales[[#This Row],[ProductName]],20)</f>
        <v>Scottish Longbreads</v>
      </c>
    </row>
    <row r="125" spans="2:21" x14ac:dyDescent="0.2">
      <c r="B125">
        <v>10343</v>
      </c>
      <c r="C125" t="s">
        <v>8340</v>
      </c>
      <c r="D125" t="s">
        <v>8246</v>
      </c>
      <c r="E125" t="s">
        <v>8244</v>
      </c>
      <c r="F125" s="222">
        <v>26.6</v>
      </c>
      <c r="G125">
        <v>50</v>
      </c>
      <c r="H125" s="223">
        <v>0</v>
      </c>
      <c r="I125" s="222">
        <v>1330</v>
      </c>
      <c r="J125" t="s">
        <v>8330</v>
      </c>
      <c r="K125" t="s">
        <v>8331</v>
      </c>
      <c r="L125" s="118">
        <v>43585</v>
      </c>
      <c r="M125" s="118">
        <v>43591</v>
      </c>
      <c r="N125" t="s">
        <v>8250</v>
      </c>
      <c r="O125" t="s">
        <v>8266</v>
      </c>
      <c r="P125" t="s">
        <v>8267</v>
      </c>
      <c r="Q125" t="str">
        <f>tblSales[[#This Row],[FirstName]]&amp; " " &amp;tblSales[[#This Row],[LastName]]</f>
        <v>Margaret Peacock</v>
      </c>
      <c r="R125">
        <f>YEAR(tblSales[[#This Row],[OrderDate]])</f>
        <v>2019</v>
      </c>
      <c r="S125">
        <f>WEEKNUM(tblSales[[#This Row],[OrderDate]])</f>
        <v>18</v>
      </c>
      <c r="T125">
        <f>IF(ISBLANK(tblSales[[#This Row],[ShippedDate]]),"",tblSales[[#This Row],[ShippedDate]]-tblSales[[#This Row],[OrderDate]])</f>
        <v>6</v>
      </c>
      <c r="U125" t="str">
        <f>LEFT(tblSales[[#This Row],[ProductName]],20)</f>
        <v>Wimmers gute Semmelk</v>
      </c>
    </row>
    <row r="126" spans="2:21" x14ac:dyDescent="0.2">
      <c r="B126">
        <v>10345</v>
      </c>
      <c r="C126" t="s">
        <v>8379</v>
      </c>
      <c r="D126" t="s">
        <v>8246</v>
      </c>
      <c r="E126" t="s">
        <v>8254</v>
      </c>
      <c r="F126" s="222">
        <v>32</v>
      </c>
      <c r="G126">
        <v>70</v>
      </c>
      <c r="H126" s="223">
        <v>0</v>
      </c>
      <c r="I126" s="222">
        <v>2240</v>
      </c>
      <c r="J126" t="s">
        <v>8307</v>
      </c>
      <c r="K126" t="s">
        <v>8308</v>
      </c>
      <c r="L126" s="118">
        <v>43589</v>
      </c>
      <c r="M126" s="118">
        <v>43596</v>
      </c>
      <c r="N126" t="s">
        <v>8265</v>
      </c>
      <c r="O126" t="s">
        <v>8297</v>
      </c>
      <c r="P126" t="s">
        <v>8298</v>
      </c>
      <c r="Q126" t="str">
        <f>tblSales[[#This Row],[FirstName]]&amp; " " &amp;tblSales[[#This Row],[LastName]]</f>
        <v>Andrew Fuller</v>
      </c>
      <c r="R126">
        <f>YEAR(tblSales[[#This Row],[OrderDate]])</f>
        <v>2019</v>
      </c>
      <c r="S126">
        <f>WEEKNUM(tblSales[[#This Row],[OrderDate]])</f>
        <v>18</v>
      </c>
      <c r="T126">
        <f>IF(ISBLANK(tblSales[[#This Row],[ShippedDate]]),"",tblSales[[#This Row],[ShippedDate]]-tblSales[[#This Row],[OrderDate]])</f>
        <v>7</v>
      </c>
      <c r="U126" t="str">
        <f>LEFT(tblSales[[#This Row],[ProductName]],20)</f>
        <v>Northwoods Cranberry</v>
      </c>
    </row>
    <row r="127" spans="2:21" x14ac:dyDescent="0.2">
      <c r="B127">
        <v>10345</v>
      </c>
      <c r="C127" t="s">
        <v>8327</v>
      </c>
      <c r="D127" t="s">
        <v>8246</v>
      </c>
      <c r="E127" t="s">
        <v>8262</v>
      </c>
      <c r="F127" s="222">
        <v>7.3</v>
      </c>
      <c r="G127">
        <v>80</v>
      </c>
      <c r="H127" s="223">
        <v>0</v>
      </c>
      <c r="I127" s="222">
        <v>584</v>
      </c>
      <c r="J127" t="s">
        <v>8307</v>
      </c>
      <c r="K127" t="s">
        <v>8308</v>
      </c>
      <c r="L127" s="118">
        <v>43589</v>
      </c>
      <c r="M127" s="118">
        <v>43596</v>
      </c>
      <c r="N127" t="s">
        <v>8265</v>
      </c>
      <c r="O127" t="s">
        <v>8297</v>
      </c>
      <c r="P127" t="s">
        <v>8298</v>
      </c>
      <c r="Q127" t="str">
        <f>tblSales[[#This Row],[FirstName]]&amp; " " &amp;tblSales[[#This Row],[LastName]]</f>
        <v>Andrew Fuller</v>
      </c>
      <c r="R127">
        <f>YEAR(tblSales[[#This Row],[OrderDate]])</f>
        <v>2019</v>
      </c>
      <c r="S127">
        <f>WEEKNUM(tblSales[[#This Row],[OrderDate]])</f>
        <v>18</v>
      </c>
      <c r="T127">
        <f>IF(ISBLANK(tblSales[[#This Row],[ShippedDate]]),"",tblSales[[#This Row],[ShippedDate]]-tblSales[[#This Row],[OrderDate]])</f>
        <v>7</v>
      </c>
      <c r="U127" t="str">
        <f>LEFT(tblSales[[#This Row],[ProductName]],20)</f>
        <v>Teatime Chocolate Bi</v>
      </c>
    </row>
    <row r="128" spans="2:21" x14ac:dyDescent="0.2">
      <c r="B128">
        <v>10345</v>
      </c>
      <c r="C128" t="s">
        <v>8243</v>
      </c>
      <c r="D128" t="s">
        <v>8246</v>
      </c>
      <c r="E128" t="s">
        <v>8244</v>
      </c>
      <c r="F128" s="222">
        <v>11.2</v>
      </c>
      <c r="G128">
        <v>9</v>
      </c>
      <c r="H128" s="223">
        <v>0</v>
      </c>
      <c r="I128" s="222">
        <v>100.8</v>
      </c>
      <c r="J128" t="s">
        <v>8307</v>
      </c>
      <c r="K128" t="s">
        <v>8308</v>
      </c>
      <c r="L128" s="118">
        <v>43589</v>
      </c>
      <c r="M128" s="118">
        <v>43596</v>
      </c>
      <c r="N128" t="s">
        <v>8265</v>
      </c>
      <c r="O128" t="s">
        <v>8297</v>
      </c>
      <c r="P128" t="s">
        <v>8298</v>
      </c>
      <c r="Q128" t="str">
        <f>tblSales[[#This Row],[FirstName]]&amp; " " &amp;tblSales[[#This Row],[LastName]]</f>
        <v>Andrew Fuller</v>
      </c>
      <c r="R128">
        <f>YEAR(tblSales[[#This Row],[OrderDate]])</f>
        <v>2019</v>
      </c>
      <c r="S128">
        <f>WEEKNUM(tblSales[[#This Row],[OrderDate]])</f>
        <v>18</v>
      </c>
      <c r="T128">
        <f>IF(ISBLANK(tblSales[[#This Row],[ShippedDate]]),"",tblSales[[#This Row],[ShippedDate]]-tblSales[[#This Row],[OrderDate]])</f>
        <v>7</v>
      </c>
      <c r="U128" t="str">
        <f>LEFT(tblSales[[#This Row],[ProductName]],20)</f>
        <v xml:space="preserve">Singaporean Hokkien </v>
      </c>
    </row>
    <row r="129" spans="2:21" x14ac:dyDescent="0.2">
      <c r="B129">
        <v>10348</v>
      </c>
      <c r="C129" t="s">
        <v>8333</v>
      </c>
      <c r="D129" t="s">
        <v>8246</v>
      </c>
      <c r="E129" t="s">
        <v>8272</v>
      </c>
      <c r="F129" s="222">
        <v>14.4</v>
      </c>
      <c r="G129">
        <v>15</v>
      </c>
      <c r="H129" s="223">
        <v>0.15000000596046401</v>
      </c>
      <c r="I129" s="222">
        <v>183.6</v>
      </c>
      <c r="J129" t="s">
        <v>8346</v>
      </c>
      <c r="K129" t="s">
        <v>8347</v>
      </c>
      <c r="L129" s="118">
        <v>43592</v>
      </c>
      <c r="M129" s="118">
        <v>43600</v>
      </c>
      <c r="N129" t="s">
        <v>8265</v>
      </c>
      <c r="O129" t="s">
        <v>8266</v>
      </c>
      <c r="P129" t="s">
        <v>8267</v>
      </c>
      <c r="Q129" t="str">
        <f>tblSales[[#This Row],[FirstName]]&amp; " " &amp;tblSales[[#This Row],[LastName]]</f>
        <v>Margaret Peacock</v>
      </c>
      <c r="R129">
        <f>YEAR(tblSales[[#This Row],[OrderDate]])</f>
        <v>2019</v>
      </c>
      <c r="S129">
        <f>WEEKNUM(tblSales[[#This Row],[OrderDate]])</f>
        <v>19</v>
      </c>
      <c r="T129">
        <f>IF(ISBLANK(tblSales[[#This Row],[ShippedDate]]),"",tblSales[[#This Row],[ShippedDate]]-tblSales[[#This Row],[OrderDate]])</f>
        <v>8</v>
      </c>
      <c r="U129" t="str">
        <f>LEFT(tblSales[[#This Row],[ProductName]],20)</f>
        <v>Chai</v>
      </c>
    </row>
    <row r="130" spans="2:21" x14ac:dyDescent="0.2">
      <c r="B130">
        <v>10348</v>
      </c>
      <c r="C130" t="s">
        <v>8373</v>
      </c>
      <c r="D130" t="s">
        <v>8246</v>
      </c>
      <c r="E130" t="s">
        <v>8244</v>
      </c>
      <c r="F130" s="222">
        <v>7.2</v>
      </c>
      <c r="G130">
        <v>25</v>
      </c>
      <c r="H130" s="223">
        <v>0</v>
      </c>
      <c r="I130" s="222">
        <v>180</v>
      </c>
      <c r="J130" t="s">
        <v>8346</v>
      </c>
      <c r="K130" t="s">
        <v>8347</v>
      </c>
      <c r="L130" s="118">
        <v>43592</v>
      </c>
      <c r="M130" s="118">
        <v>43600</v>
      </c>
      <c r="N130" t="s">
        <v>8265</v>
      </c>
      <c r="O130" t="s">
        <v>8266</v>
      </c>
      <c r="P130" t="s">
        <v>8267</v>
      </c>
      <c r="Q130" t="str">
        <f>tblSales[[#This Row],[FirstName]]&amp; " " &amp;tblSales[[#This Row],[LastName]]</f>
        <v>Margaret Peacock</v>
      </c>
      <c r="R130">
        <f>YEAR(tblSales[[#This Row],[OrderDate]])</f>
        <v>2019</v>
      </c>
      <c r="S130">
        <f>WEEKNUM(tblSales[[#This Row],[OrderDate]])</f>
        <v>19</v>
      </c>
      <c r="T130">
        <f>IF(ISBLANK(tblSales[[#This Row],[ShippedDate]]),"",tblSales[[#This Row],[ShippedDate]]-tblSales[[#This Row],[OrderDate]])</f>
        <v>8</v>
      </c>
      <c r="U130" t="str">
        <f>LEFT(tblSales[[#This Row],[ProductName]],20)</f>
        <v>Tunnbröd</v>
      </c>
    </row>
    <row r="131" spans="2:21" x14ac:dyDescent="0.2">
      <c r="B131">
        <v>10351</v>
      </c>
      <c r="C131" t="s">
        <v>8380</v>
      </c>
      <c r="D131" t="s">
        <v>8282</v>
      </c>
      <c r="E131" t="s">
        <v>8272</v>
      </c>
      <c r="F131" s="222">
        <v>210.8</v>
      </c>
      <c r="G131">
        <v>20</v>
      </c>
      <c r="H131" s="223">
        <v>5.0000000745058101E-2</v>
      </c>
      <c r="I131" s="222">
        <v>4005.2</v>
      </c>
      <c r="J131" t="s">
        <v>8283</v>
      </c>
      <c r="K131" t="s">
        <v>8284</v>
      </c>
      <c r="L131" s="118">
        <v>43596</v>
      </c>
      <c r="M131" s="118">
        <v>43605</v>
      </c>
      <c r="N131" t="s">
        <v>8250</v>
      </c>
      <c r="O131" t="s">
        <v>8285</v>
      </c>
      <c r="P131" t="s">
        <v>2317</v>
      </c>
      <c r="Q131" t="str">
        <f>tblSales[[#This Row],[FirstName]]&amp; " " &amp;tblSales[[#This Row],[LastName]]</f>
        <v>Nancy Davolio</v>
      </c>
      <c r="R131">
        <f>YEAR(tblSales[[#This Row],[OrderDate]])</f>
        <v>2019</v>
      </c>
      <c r="S131">
        <f>WEEKNUM(tblSales[[#This Row],[OrderDate]])</f>
        <v>19</v>
      </c>
      <c r="T131">
        <f>IF(ISBLANK(tblSales[[#This Row],[ShippedDate]]),"",tblSales[[#This Row],[ShippedDate]]-tblSales[[#This Row],[OrderDate]])</f>
        <v>9</v>
      </c>
      <c r="U131" t="str">
        <f>LEFT(tblSales[[#This Row],[ProductName]],20)</f>
        <v>Côte de Blaye</v>
      </c>
    </row>
    <row r="132" spans="2:21" x14ac:dyDescent="0.2">
      <c r="B132">
        <v>10351</v>
      </c>
      <c r="C132" t="s">
        <v>8322</v>
      </c>
      <c r="D132" t="s">
        <v>8282</v>
      </c>
      <c r="E132" t="s">
        <v>8254</v>
      </c>
      <c r="F132" s="222">
        <v>15.5</v>
      </c>
      <c r="G132">
        <v>77</v>
      </c>
      <c r="H132" s="223">
        <v>5.0000000745058101E-2</v>
      </c>
      <c r="I132" s="222">
        <v>1133.82</v>
      </c>
      <c r="J132" t="s">
        <v>8283</v>
      </c>
      <c r="K132" t="s">
        <v>8284</v>
      </c>
      <c r="L132" s="118">
        <v>43596</v>
      </c>
      <c r="M132" s="118">
        <v>43605</v>
      </c>
      <c r="N132" t="s">
        <v>8250</v>
      </c>
      <c r="O132" t="s">
        <v>8285</v>
      </c>
      <c r="P132" t="s">
        <v>2317</v>
      </c>
      <c r="Q132" t="str">
        <f>tblSales[[#This Row],[FirstName]]&amp; " " &amp;tblSales[[#This Row],[LastName]]</f>
        <v>Nancy Davolio</v>
      </c>
      <c r="R132">
        <f>YEAR(tblSales[[#This Row],[OrderDate]])</f>
        <v>2019</v>
      </c>
      <c r="S132">
        <f>WEEKNUM(tblSales[[#This Row],[OrderDate]])</f>
        <v>19</v>
      </c>
      <c r="T132">
        <f>IF(ISBLANK(tblSales[[#This Row],[ShippedDate]]),"",tblSales[[#This Row],[ShippedDate]]-tblSales[[#This Row],[OrderDate]])</f>
        <v>9</v>
      </c>
      <c r="U132" t="str">
        <f>LEFT(tblSales[[#This Row],[ProductName]],20)</f>
        <v>Gula Malacca</v>
      </c>
    </row>
    <row r="133" spans="2:21" x14ac:dyDescent="0.2">
      <c r="B133">
        <v>10351</v>
      </c>
      <c r="C133" t="s">
        <v>8253</v>
      </c>
      <c r="D133" t="s">
        <v>8282</v>
      </c>
      <c r="E133" t="s">
        <v>8254</v>
      </c>
      <c r="F133" s="222">
        <v>16.8</v>
      </c>
      <c r="G133">
        <v>10</v>
      </c>
      <c r="H133" s="223">
        <v>5.0000000745058101E-2</v>
      </c>
      <c r="I133" s="222">
        <v>159.6</v>
      </c>
      <c r="J133" t="s">
        <v>8283</v>
      </c>
      <c r="K133" t="s">
        <v>8284</v>
      </c>
      <c r="L133" s="118">
        <v>43596</v>
      </c>
      <c r="M133" s="118">
        <v>43605</v>
      </c>
      <c r="N133" t="s">
        <v>8250</v>
      </c>
      <c r="O133" t="s">
        <v>8285</v>
      </c>
      <c r="P133" t="s">
        <v>2317</v>
      </c>
      <c r="Q133" t="str">
        <f>tblSales[[#This Row],[FirstName]]&amp; " " &amp;tblSales[[#This Row],[LastName]]</f>
        <v>Nancy Davolio</v>
      </c>
      <c r="R133">
        <f>YEAR(tblSales[[#This Row],[OrderDate]])</f>
        <v>2019</v>
      </c>
      <c r="S133">
        <f>WEEKNUM(tblSales[[#This Row],[OrderDate]])</f>
        <v>19</v>
      </c>
      <c r="T133">
        <f>IF(ISBLANK(tblSales[[#This Row],[ShippedDate]]),"",tblSales[[#This Row],[ShippedDate]]-tblSales[[#This Row],[OrderDate]])</f>
        <v>9</v>
      </c>
      <c r="U133" t="str">
        <f>LEFT(tblSales[[#This Row],[ProductName]],20)</f>
        <v xml:space="preserve">Louisiana Fiery Hot </v>
      </c>
    </row>
    <row r="134" spans="2:21" x14ac:dyDescent="0.2">
      <c r="B134">
        <v>10350</v>
      </c>
      <c r="C134" t="s">
        <v>8381</v>
      </c>
      <c r="D134" t="s">
        <v>8236</v>
      </c>
      <c r="E134" t="s">
        <v>8262</v>
      </c>
      <c r="F134" s="222">
        <v>13</v>
      </c>
      <c r="G134">
        <v>15</v>
      </c>
      <c r="H134" s="223">
        <v>0.10000000149011599</v>
      </c>
      <c r="I134" s="222">
        <v>175.5</v>
      </c>
      <c r="J134" t="s">
        <v>8382</v>
      </c>
      <c r="K134" t="s">
        <v>8383</v>
      </c>
      <c r="L134" s="118">
        <v>43596</v>
      </c>
      <c r="M134" s="118">
        <v>43618</v>
      </c>
      <c r="N134" t="s">
        <v>8265</v>
      </c>
      <c r="O134" t="s">
        <v>8251</v>
      </c>
      <c r="P134" t="s">
        <v>269</v>
      </c>
      <c r="Q134" t="str">
        <f>tblSales[[#This Row],[FirstName]]&amp; " " &amp;tblSales[[#This Row],[LastName]]</f>
        <v>Michael Suyama</v>
      </c>
      <c r="R134">
        <f>YEAR(tblSales[[#This Row],[OrderDate]])</f>
        <v>2019</v>
      </c>
      <c r="S134">
        <f>WEEKNUM(tblSales[[#This Row],[OrderDate]])</f>
        <v>19</v>
      </c>
      <c r="T134">
        <f>IF(ISBLANK(tblSales[[#This Row],[ShippedDate]]),"",tblSales[[#This Row],[ShippedDate]]-tblSales[[#This Row],[OrderDate]])</f>
        <v>22</v>
      </c>
      <c r="U134" t="str">
        <f>LEFT(tblSales[[#This Row],[ProductName]],20)</f>
        <v>Valkoinen suklaa</v>
      </c>
    </row>
    <row r="135" spans="2:21" x14ac:dyDescent="0.2">
      <c r="B135">
        <v>10350</v>
      </c>
      <c r="C135" t="s">
        <v>8353</v>
      </c>
      <c r="D135" t="s">
        <v>8236</v>
      </c>
      <c r="E135" t="s">
        <v>8237</v>
      </c>
      <c r="F135" s="222">
        <v>28.8</v>
      </c>
      <c r="G135">
        <v>18</v>
      </c>
      <c r="H135" s="223">
        <v>0.10000000149011599</v>
      </c>
      <c r="I135" s="222">
        <v>466.56</v>
      </c>
      <c r="J135" t="s">
        <v>8382</v>
      </c>
      <c r="K135" t="s">
        <v>8383</v>
      </c>
      <c r="L135" s="118">
        <v>43596</v>
      </c>
      <c r="M135" s="118">
        <v>43618</v>
      </c>
      <c r="N135" t="s">
        <v>8265</v>
      </c>
      <c r="O135" t="s">
        <v>8251</v>
      </c>
      <c r="P135" t="s">
        <v>269</v>
      </c>
      <c r="Q135" t="str">
        <f>tblSales[[#This Row],[FirstName]]&amp; " " &amp;tblSales[[#This Row],[LastName]]</f>
        <v>Michael Suyama</v>
      </c>
      <c r="R135">
        <f>YEAR(tblSales[[#This Row],[OrderDate]])</f>
        <v>2019</v>
      </c>
      <c r="S135">
        <f>WEEKNUM(tblSales[[#This Row],[OrderDate]])</f>
        <v>19</v>
      </c>
      <c r="T135">
        <f>IF(ISBLANK(tblSales[[#This Row],[ShippedDate]]),"",tblSales[[#This Row],[ShippedDate]]-tblSales[[#This Row],[OrderDate]])</f>
        <v>22</v>
      </c>
      <c r="U135" t="str">
        <f>LEFT(tblSales[[#This Row],[ProductName]],20)</f>
        <v>Gudbrandsdalsost</v>
      </c>
    </row>
    <row r="136" spans="2:21" x14ac:dyDescent="0.2">
      <c r="B136">
        <v>10352</v>
      </c>
      <c r="C136" t="s">
        <v>8270</v>
      </c>
      <c r="D136" t="s">
        <v>8365</v>
      </c>
      <c r="E136" t="s">
        <v>8272</v>
      </c>
      <c r="F136" s="222">
        <v>3.6</v>
      </c>
      <c r="G136">
        <v>10</v>
      </c>
      <c r="H136" s="223">
        <v>0</v>
      </c>
      <c r="I136" s="222">
        <v>36</v>
      </c>
      <c r="J136" t="s">
        <v>8366</v>
      </c>
      <c r="K136" t="s">
        <v>8367</v>
      </c>
      <c r="L136" s="118">
        <v>43597</v>
      </c>
      <c r="M136" s="118">
        <v>43603</v>
      </c>
      <c r="N136" t="s">
        <v>8240</v>
      </c>
      <c r="O136" t="s">
        <v>8257</v>
      </c>
      <c r="P136" t="s">
        <v>6984</v>
      </c>
      <c r="Q136" t="str">
        <f>tblSales[[#This Row],[FirstName]]&amp; " " &amp;tblSales[[#This Row],[LastName]]</f>
        <v>Janet Leverling</v>
      </c>
      <c r="R136">
        <f>YEAR(tblSales[[#This Row],[OrderDate]])</f>
        <v>2019</v>
      </c>
      <c r="S136">
        <f>WEEKNUM(tblSales[[#This Row],[OrderDate]])</f>
        <v>20</v>
      </c>
      <c r="T136">
        <f>IF(ISBLANK(tblSales[[#This Row],[ShippedDate]]),"",tblSales[[#This Row],[ShippedDate]]-tblSales[[#This Row],[OrderDate]])</f>
        <v>6</v>
      </c>
      <c r="U136" t="str">
        <f>LEFT(tblSales[[#This Row],[ProductName]],20)</f>
        <v>Guaraná Fantástica</v>
      </c>
    </row>
    <row r="137" spans="2:21" x14ac:dyDescent="0.2">
      <c r="B137">
        <v>10353</v>
      </c>
      <c r="C137" t="s">
        <v>8380</v>
      </c>
      <c r="D137" t="s">
        <v>8282</v>
      </c>
      <c r="E137" t="s">
        <v>8272</v>
      </c>
      <c r="F137" s="222">
        <v>210.8</v>
      </c>
      <c r="G137">
        <v>50</v>
      </c>
      <c r="H137" s="223">
        <v>0.20000000298023199</v>
      </c>
      <c r="I137" s="222">
        <v>8432</v>
      </c>
      <c r="J137" t="s">
        <v>8384</v>
      </c>
      <c r="K137" t="s">
        <v>8385</v>
      </c>
      <c r="L137" s="118">
        <v>43598</v>
      </c>
      <c r="M137" s="118">
        <v>43610</v>
      </c>
      <c r="N137" t="s">
        <v>8240</v>
      </c>
      <c r="O137" t="s">
        <v>8158</v>
      </c>
      <c r="P137" t="s">
        <v>861</v>
      </c>
      <c r="Q137" t="str">
        <f>tblSales[[#This Row],[FirstName]]&amp; " " &amp;tblSales[[#This Row],[LastName]]</f>
        <v>Robert King</v>
      </c>
      <c r="R137">
        <f>YEAR(tblSales[[#This Row],[OrderDate]])</f>
        <v>2019</v>
      </c>
      <c r="S137">
        <f>WEEKNUM(tblSales[[#This Row],[OrderDate]])</f>
        <v>20</v>
      </c>
      <c r="T137">
        <f>IF(ISBLANK(tblSales[[#This Row],[ShippedDate]]),"",tblSales[[#This Row],[ShippedDate]]-tblSales[[#This Row],[OrderDate]])</f>
        <v>12</v>
      </c>
      <c r="U137" t="str">
        <f>LEFT(tblSales[[#This Row],[ProductName]],20)</f>
        <v>Côte de Blaye</v>
      </c>
    </row>
    <row r="138" spans="2:21" x14ac:dyDescent="0.2">
      <c r="B138">
        <v>10353</v>
      </c>
      <c r="C138" t="s">
        <v>8242</v>
      </c>
      <c r="D138" t="s">
        <v>8282</v>
      </c>
      <c r="E138" t="s">
        <v>8237</v>
      </c>
      <c r="F138" s="222">
        <v>16.8</v>
      </c>
      <c r="G138">
        <v>12</v>
      </c>
      <c r="H138" s="223">
        <v>0.20000000298023199</v>
      </c>
      <c r="I138" s="222">
        <v>161.28</v>
      </c>
      <c r="J138" t="s">
        <v>8384</v>
      </c>
      <c r="K138" t="s">
        <v>8385</v>
      </c>
      <c r="L138" s="118">
        <v>43598</v>
      </c>
      <c r="M138" s="118">
        <v>43610</v>
      </c>
      <c r="N138" t="s">
        <v>8240</v>
      </c>
      <c r="O138" t="s">
        <v>8158</v>
      </c>
      <c r="P138" t="s">
        <v>861</v>
      </c>
      <c r="Q138" t="str">
        <f>tblSales[[#This Row],[FirstName]]&amp; " " &amp;tblSales[[#This Row],[LastName]]</f>
        <v>Robert King</v>
      </c>
      <c r="R138">
        <f>YEAR(tblSales[[#This Row],[OrderDate]])</f>
        <v>2019</v>
      </c>
      <c r="S138">
        <f>WEEKNUM(tblSales[[#This Row],[OrderDate]])</f>
        <v>20</v>
      </c>
      <c r="T138">
        <f>IF(ISBLANK(tblSales[[#This Row],[ShippedDate]]),"",tblSales[[#This Row],[ShippedDate]]-tblSales[[#This Row],[OrderDate]])</f>
        <v>12</v>
      </c>
      <c r="U138" t="str">
        <f>LEFT(tblSales[[#This Row],[ProductName]],20)</f>
        <v>Queso Cabrales</v>
      </c>
    </row>
    <row r="139" spans="2:21" x14ac:dyDescent="0.2">
      <c r="B139">
        <v>10355</v>
      </c>
      <c r="C139" t="s">
        <v>8270</v>
      </c>
      <c r="D139" t="s">
        <v>2434</v>
      </c>
      <c r="E139" t="s">
        <v>8272</v>
      </c>
      <c r="F139" s="222">
        <v>3.6</v>
      </c>
      <c r="G139">
        <v>25</v>
      </c>
      <c r="H139" s="223">
        <v>0</v>
      </c>
      <c r="I139" s="222">
        <v>90</v>
      </c>
      <c r="J139" t="s">
        <v>8386</v>
      </c>
      <c r="K139" t="s">
        <v>8387</v>
      </c>
      <c r="L139" s="118">
        <v>43600</v>
      </c>
      <c r="M139" s="118">
        <v>43605</v>
      </c>
      <c r="N139" t="s">
        <v>8250</v>
      </c>
      <c r="O139" t="s">
        <v>8251</v>
      </c>
      <c r="P139" t="s">
        <v>269</v>
      </c>
      <c r="Q139" t="str">
        <f>tblSales[[#This Row],[FirstName]]&amp; " " &amp;tblSales[[#This Row],[LastName]]</f>
        <v>Michael Suyama</v>
      </c>
      <c r="R139">
        <f>YEAR(tblSales[[#This Row],[OrderDate]])</f>
        <v>2019</v>
      </c>
      <c r="S139">
        <f>WEEKNUM(tblSales[[#This Row],[OrderDate]])</f>
        <v>20</v>
      </c>
      <c r="T139">
        <f>IF(ISBLANK(tblSales[[#This Row],[ShippedDate]]),"",tblSales[[#This Row],[ShippedDate]]-tblSales[[#This Row],[OrderDate]])</f>
        <v>5</v>
      </c>
      <c r="U139" t="str">
        <f>LEFT(tblSales[[#This Row],[ProductName]],20)</f>
        <v>Guaraná Fantástica</v>
      </c>
    </row>
    <row r="140" spans="2:21" x14ac:dyDescent="0.2">
      <c r="B140">
        <v>10355</v>
      </c>
      <c r="C140" t="s">
        <v>8258</v>
      </c>
      <c r="D140" t="s">
        <v>2434</v>
      </c>
      <c r="E140" t="s">
        <v>8244</v>
      </c>
      <c r="F140" s="222">
        <v>15.6</v>
      </c>
      <c r="G140">
        <v>25</v>
      </c>
      <c r="H140" s="223">
        <v>0</v>
      </c>
      <c r="I140" s="222">
        <v>390</v>
      </c>
      <c r="J140" t="s">
        <v>8386</v>
      </c>
      <c r="K140" t="s">
        <v>8387</v>
      </c>
      <c r="L140" s="118">
        <v>43600</v>
      </c>
      <c r="M140" s="118">
        <v>43605</v>
      </c>
      <c r="N140" t="s">
        <v>8250</v>
      </c>
      <c r="O140" t="s">
        <v>8251</v>
      </c>
      <c r="P140" t="s">
        <v>269</v>
      </c>
      <c r="Q140" t="str">
        <f>tblSales[[#This Row],[FirstName]]&amp; " " &amp;tblSales[[#This Row],[LastName]]</f>
        <v>Michael Suyama</v>
      </c>
      <c r="R140">
        <f>YEAR(tblSales[[#This Row],[OrderDate]])</f>
        <v>2019</v>
      </c>
      <c r="S140">
        <f>WEEKNUM(tblSales[[#This Row],[OrderDate]])</f>
        <v>20</v>
      </c>
      <c r="T140">
        <f>IF(ISBLANK(tblSales[[#This Row],[ShippedDate]]),"",tblSales[[#This Row],[ShippedDate]]-tblSales[[#This Row],[OrderDate]])</f>
        <v>5</v>
      </c>
      <c r="U140" t="str">
        <f>LEFT(tblSales[[#This Row],[ProductName]],20)</f>
        <v>Ravioli Angelo</v>
      </c>
    </row>
    <row r="141" spans="2:21" x14ac:dyDescent="0.2">
      <c r="B141">
        <v>10356</v>
      </c>
      <c r="C141" t="s">
        <v>8353</v>
      </c>
      <c r="D141" t="s">
        <v>8246</v>
      </c>
      <c r="E141" t="s">
        <v>8237</v>
      </c>
      <c r="F141" s="222">
        <v>28.8</v>
      </c>
      <c r="G141">
        <v>20</v>
      </c>
      <c r="H141" s="223">
        <v>0</v>
      </c>
      <c r="I141" s="222">
        <v>576</v>
      </c>
      <c r="J141" t="s">
        <v>8346</v>
      </c>
      <c r="K141" t="s">
        <v>8347</v>
      </c>
      <c r="L141" s="118">
        <v>43603</v>
      </c>
      <c r="M141" s="118">
        <v>43612</v>
      </c>
      <c r="N141" t="s">
        <v>8265</v>
      </c>
      <c r="O141" t="s">
        <v>8251</v>
      </c>
      <c r="P141" t="s">
        <v>269</v>
      </c>
      <c r="Q141" t="str">
        <f>tblSales[[#This Row],[FirstName]]&amp; " " &amp;tblSales[[#This Row],[LastName]]</f>
        <v>Michael Suyama</v>
      </c>
      <c r="R141">
        <f>YEAR(tblSales[[#This Row],[OrderDate]])</f>
        <v>2019</v>
      </c>
      <c r="S141">
        <f>WEEKNUM(tblSales[[#This Row],[OrderDate]])</f>
        <v>20</v>
      </c>
      <c r="T141">
        <f>IF(ISBLANK(tblSales[[#This Row],[ShippedDate]]),"",tblSales[[#This Row],[ShippedDate]]-tblSales[[#This Row],[OrderDate]])</f>
        <v>9</v>
      </c>
      <c r="U141" t="str">
        <f>LEFT(tblSales[[#This Row],[ProductName]],20)</f>
        <v>Gudbrandsdalsost</v>
      </c>
    </row>
    <row r="142" spans="2:21" x14ac:dyDescent="0.2">
      <c r="B142">
        <v>10356</v>
      </c>
      <c r="C142" t="s">
        <v>8309</v>
      </c>
      <c r="D142" t="s">
        <v>8246</v>
      </c>
      <c r="E142" t="s">
        <v>8237</v>
      </c>
      <c r="F142" s="222">
        <v>10</v>
      </c>
      <c r="G142">
        <v>30</v>
      </c>
      <c r="H142" s="223">
        <v>0</v>
      </c>
      <c r="I142" s="222">
        <v>300</v>
      </c>
      <c r="J142" t="s">
        <v>8346</v>
      </c>
      <c r="K142" t="s">
        <v>8347</v>
      </c>
      <c r="L142" s="118">
        <v>43603</v>
      </c>
      <c r="M142" s="118">
        <v>43612</v>
      </c>
      <c r="N142" t="s">
        <v>8265</v>
      </c>
      <c r="O142" t="s">
        <v>8251</v>
      </c>
      <c r="P142" t="s">
        <v>269</v>
      </c>
      <c r="Q142" t="str">
        <f>tblSales[[#This Row],[FirstName]]&amp; " " &amp;tblSales[[#This Row],[LastName]]</f>
        <v>Michael Suyama</v>
      </c>
      <c r="R142">
        <f>YEAR(tblSales[[#This Row],[OrderDate]])</f>
        <v>2019</v>
      </c>
      <c r="S142">
        <f>WEEKNUM(tblSales[[#This Row],[OrderDate]])</f>
        <v>20</v>
      </c>
      <c r="T142">
        <f>IF(ISBLANK(tblSales[[#This Row],[ShippedDate]]),"",tblSales[[#This Row],[ShippedDate]]-tblSales[[#This Row],[OrderDate]])</f>
        <v>9</v>
      </c>
      <c r="U142" t="str">
        <f>LEFT(tblSales[[#This Row],[ProductName]],20)</f>
        <v>Gorgonzola Telino</v>
      </c>
    </row>
    <row r="143" spans="2:21" x14ac:dyDescent="0.2">
      <c r="B143">
        <v>10358</v>
      </c>
      <c r="C143" t="s">
        <v>8358</v>
      </c>
      <c r="D143" t="s">
        <v>8236</v>
      </c>
      <c r="E143" t="s">
        <v>8272</v>
      </c>
      <c r="F143" s="222">
        <v>11.2</v>
      </c>
      <c r="G143">
        <v>10</v>
      </c>
      <c r="H143" s="223">
        <v>5.0000000745058101E-2</v>
      </c>
      <c r="I143" s="222">
        <v>106.4</v>
      </c>
      <c r="J143" t="s">
        <v>8382</v>
      </c>
      <c r="K143" t="s">
        <v>8383</v>
      </c>
      <c r="L143" s="118">
        <v>43605</v>
      </c>
      <c r="M143" s="118">
        <v>43612</v>
      </c>
      <c r="N143" t="s">
        <v>8250</v>
      </c>
      <c r="O143" t="s">
        <v>8241</v>
      </c>
      <c r="P143" t="s">
        <v>6934</v>
      </c>
      <c r="Q143" t="str">
        <f>tblSales[[#This Row],[FirstName]]&amp; " " &amp;tblSales[[#This Row],[LastName]]</f>
        <v>Steven Buchanan</v>
      </c>
      <c r="R143">
        <f>YEAR(tblSales[[#This Row],[OrderDate]])</f>
        <v>2019</v>
      </c>
      <c r="S143">
        <f>WEEKNUM(tblSales[[#This Row],[OrderDate]])</f>
        <v>21</v>
      </c>
      <c r="T143">
        <f>IF(ISBLANK(tblSales[[#This Row],[ShippedDate]]),"",tblSales[[#This Row],[ShippedDate]]-tblSales[[#This Row],[OrderDate]])</f>
        <v>7</v>
      </c>
      <c r="U143" t="str">
        <f>LEFT(tblSales[[#This Row],[ProductName]],20)</f>
        <v>Sasquatch Ale</v>
      </c>
    </row>
    <row r="144" spans="2:21" x14ac:dyDescent="0.2">
      <c r="B144">
        <v>10358</v>
      </c>
      <c r="C144" t="s">
        <v>8270</v>
      </c>
      <c r="D144" t="s">
        <v>8236</v>
      </c>
      <c r="E144" t="s">
        <v>8272</v>
      </c>
      <c r="F144" s="222">
        <v>3.6</v>
      </c>
      <c r="G144">
        <v>10</v>
      </c>
      <c r="H144" s="223">
        <v>5.0000000745058101E-2</v>
      </c>
      <c r="I144" s="222">
        <v>34.200000000000003</v>
      </c>
      <c r="J144" t="s">
        <v>8382</v>
      </c>
      <c r="K144" t="s">
        <v>8383</v>
      </c>
      <c r="L144" s="118">
        <v>43605</v>
      </c>
      <c r="M144" s="118">
        <v>43612</v>
      </c>
      <c r="N144" t="s">
        <v>8250</v>
      </c>
      <c r="O144" t="s">
        <v>8241</v>
      </c>
      <c r="P144" t="s">
        <v>6934</v>
      </c>
      <c r="Q144" t="str">
        <f>tblSales[[#This Row],[FirstName]]&amp; " " &amp;tblSales[[#This Row],[LastName]]</f>
        <v>Steven Buchanan</v>
      </c>
      <c r="R144">
        <f>YEAR(tblSales[[#This Row],[OrderDate]])</f>
        <v>2019</v>
      </c>
      <c r="S144">
        <f>WEEKNUM(tblSales[[#This Row],[OrderDate]])</f>
        <v>21</v>
      </c>
      <c r="T144">
        <f>IF(ISBLANK(tblSales[[#This Row],[ShippedDate]]),"",tblSales[[#This Row],[ShippedDate]]-tblSales[[#This Row],[OrderDate]])</f>
        <v>7</v>
      </c>
      <c r="U144" t="str">
        <f>LEFT(tblSales[[#This Row],[ProductName]],20)</f>
        <v>Guaraná Fantástica</v>
      </c>
    </row>
    <row r="145" spans="2:21" x14ac:dyDescent="0.2">
      <c r="B145">
        <v>10359</v>
      </c>
      <c r="C145" t="s">
        <v>8280</v>
      </c>
      <c r="D145" t="s">
        <v>2434</v>
      </c>
      <c r="E145" t="s">
        <v>8262</v>
      </c>
      <c r="F145" s="222">
        <v>13.9</v>
      </c>
      <c r="G145">
        <v>56</v>
      </c>
      <c r="H145" s="223">
        <v>5.0000000745058101E-2</v>
      </c>
      <c r="I145" s="222">
        <v>739.48</v>
      </c>
      <c r="J145" t="s">
        <v>8388</v>
      </c>
      <c r="K145" t="s">
        <v>8389</v>
      </c>
      <c r="L145" s="118">
        <v>43606</v>
      </c>
      <c r="M145" s="118">
        <v>43611</v>
      </c>
      <c r="N145" t="s">
        <v>8240</v>
      </c>
      <c r="O145" t="s">
        <v>8241</v>
      </c>
      <c r="P145" t="s">
        <v>6934</v>
      </c>
      <c r="Q145" t="str">
        <f>tblSales[[#This Row],[FirstName]]&amp; " " &amp;tblSales[[#This Row],[LastName]]</f>
        <v>Steven Buchanan</v>
      </c>
      <c r="R145">
        <f>YEAR(tblSales[[#This Row],[OrderDate]])</f>
        <v>2019</v>
      </c>
      <c r="S145">
        <f>WEEKNUM(tblSales[[#This Row],[OrderDate]])</f>
        <v>21</v>
      </c>
      <c r="T145">
        <f>IF(ISBLANK(tblSales[[#This Row],[ShippedDate]]),"",tblSales[[#This Row],[ShippedDate]]-tblSales[[#This Row],[OrderDate]])</f>
        <v>5</v>
      </c>
      <c r="U145" t="str">
        <f>LEFT(tblSales[[#This Row],[ProductName]],20)</f>
        <v>Pavlova</v>
      </c>
    </row>
    <row r="146" spans="2:21" x14ac:dyDescent="0.2">
      <c r="B146">
        <v>10359</v>
      </c>
      <c r="C146" t="s">
        <v>8268</v>
      </c>
      <c r="D146" t="s">
        <v>2434</v>
      </c>
      <c r="E146" t="s">
        <v>8237</v>
      </c>
      <c r="F146" s="222">
        <v>27.2</v>
      </c>
      <c r="G146">
        <v>80</v>
      </c>
      <c r="H146" s="223">
        <v>5.0000000745058101E-2</v>
      </c>
      <c r="I146" s="222">
        <v>2067.1999999999998</v>
      </c>
      <c r="J146" t="s">
        <v>8388</v>
      </c>
      <c r="K146" t="s">
        <v>8389</v>
      </c>
      <c r="L146" s="118">
        <v>43606</v>
      </c>
      <c r="M146" s="118">
        <v>43611</v>
      </c>
      <c r="N146" t="s">
        <v>8240</v>
      </c>
      <c r="O146" t="s">
        <v>8241</v>
      </c>
      <c r="P146" t="s">
        <v>6934</v>
      </c>
      <c r="Q146" t="str">
        <f>tblSales[[#This Row],[FirstName]]&amp; " " &amp;tblSales[[#This Row],[LastName]]</f>
        <v>Steven Buchanan</v>
      </c>
      <c r="R146">
        <f>YEAR(tblSales[[#This Row],[OrderDate]])</f>
        <v>2019</v>
      </c>
      <c r="S146">
        <f>WEEKNUM(tblSales[[#This Row],[OrderDate]])</f>
        <v>21</v>
      </c>
      <c r="T146">
        <f>IF(ISBLANK(tblSales[[#This Row],[ShippedDate]]),"",tblSales[[#This Row],[ShippedDate]]-tblSales[[#This Row],[OrderDate]])</f>
        <v>5</v>
      </c>
      <c r="U146" t="str">
        <f>LEFT(tblSales[[#This Row],[ProductName]],20)</f>
        <v>Camembert Pierrot</v>
      </c>
    </row>
    <row r="147" spans="2:21" x14ac:dyDescent="0.2">
      <c r="B147">
        <v>10359</v>
      </c>
      <c r="C147" t="s">
        <v>8309</v>
      </c>
      <c r="D147" t="s">
        <v>2434</v>
      </c>
      <c r="E147" t="s">
        <v>8237</v>
      </c>
      <c r="F147" s="222">
        <v>10</v>
      </c>
      <c r="G147">
        <v>70</v>
      </c>
      <c r="H147" s="223">
        <v>5.0000000745058101E-2</v>
      </c>
      <c r="I147" s="222">
        <v>665</v>
      </c>
      <c r="J147" t="s">
        <v>8388</v>
      </c>
      <c r="K147" t="s">
        <v>8389</v>
      </c>
      <c r="L147" s="118">
        <v>43606</v>
      </c>
      <c r="M147" s="118">
        <v>43611</v>
      </c>
      <c r="N147" t="s">
        <v>8240</v>
      </c>
      <c r="O147" t="s">
        <v>8241</v>
      </c>
      <c r="P147" t="s">
        <v>6934</v>
      </c>
      <c r="Q147" t="str">
        <f>tblSales[[#This Row],[FirstName]]&amp; " " &amp;tblSales[[#This Row],[LastName]]</f>
        <v>Steven Buchanan</v>
      </c>
      <c r="R147">
        <f>YEAR(tblSales[[#This Row],[OrderDate]])</f>
        <v>2019</v>
      </c>
      <c r="S147">
        <f>WEEKNUM(tblSales[[#This Row],[OrderDate]])</f>
        <v>21</v>
      </c>
      <c r="T147">
        <f>IF(ISBLANK(tblSales[[#This Row],[ShippedDate]]),"",tblSales[[#This Row],[ShippedDate]]-tblSales[[#This Row],[OrderDate]])</f>
        <v>5</v>
      </c>
      <c r="U147" t="str">
        <f>LEFT(tblSales[[#This Row],[ProductName]],20)</f>
        <v>Gorgonzola Telino</v>
      </c>
    </row>
    <row r="148" spans="2:21" x14ac:dyDescent="0.2">
      <c r="B148">
        <v>10360</v>
      </c>
      <c r="C148" t="s">
        <v>8380</v>
      </c>
      <c r="D148" t="s">
        <v>8236</v>
      </c>
      <c r="E148" t="s">
        <v>8272</v>
      </c>
      <c r="F148" s="222">
        <v>210.8</v>
      </c>
      <c r="G148">
        <v>10</v>
      </c>
      <c r="H148" s="223">
        <v>0</v>
      </c>
      <c r="I148" s="222">
        <v>2108</v>
      </c>
      <c r="J148" t="s">
        <v>8295</v>
      </c>
      <c r="K148" t="s">
        <v>8296</v>
      </c>
      <c r="L148" s="118">
        <v>43607</v>
      </c>
      <c r="M148" s="118">
        <v>43617</v>
      </c>
      <c r="N148" t="s">
        <v>8240</v>
      </c>
      <c r="O148" t="s">
        <v>8266</v>
      </c>
      <c r="P148" t="s">
        <v>8267</v>
      </c>
      <c r="Q148" t="str">
        <f>tblSales[[#This Row],[FirstName]]&amp; " " &amp;tblSales[[#This Row],[LastName]]</f>
        <v>Margaret Peacock</v>
      </c>
      <c r="R148">
        <f>YEAR(tblSales[[#This Row],[OrderDate]])</f>
        <v>2019</v>
      </c>
      <c r="S148">
        <f>WEEKNUM(tblSales[[#This Row],[OrderDate]])</f>
        <v>21</v>
      </c>
      <c r="T148">
        <f>IF(ISBLANK(tblSales[[#This Row],[ShippedDate]]),"",tblSales[[#This Row],[ShippedDate]]-tblSales[[#This Row],[OrderDate]])</f>
        <v>10</v>
      </c>
      <c r="U148" t="str">
        <f>LEFT(tblSales[[#This Row],[ProductName]],20)</f>
        <v>Côte de Blaye</v>
      </c>
    </row>
    <row r="149" spans="2:21" x14ac:dyDescent="0.2">
      <c r="B149">
        <v>10360</v>
      </c>
      <c r="C149" t="s">
        <v>8390</v>
      </c>
      <c r="D149" t="s">
        <v>8236</v>
      </c>
      <c r="E149" t="s">
        <v>8262</v>
      </c>
      <c r="F149" s="222">
        <v>16</v>
      </c>
      <c r="G149">
        <v>35</v>
      </c>
      <c r="H149" s="223">
        <v>0</v>
      </c>
      <c r="I149" s="222">
        <v>560</v>
      </c>
      <c r="J149" t="s">
        <v>8295</v>
      </c>
      <c r="K149" t="s">
        <v>8296</v>
      </c>
      <c r="L149" s="118">
        <v>43607</v>
      </c>
      <c r="M149" s="118">
        <v>43617</v>
      </c>
      <c r="N149" t="s">
        <v>8240</v>
      </c>
      <c r="O149" t="s">
        <v>8266</v>
      </c>
      <c r="P149" t="s">
        <v>8267</v>
      </c>
      <c r="Q149" t="str">
        <f>tblSales[[#This Row],[FirstName]]&amp; " " &amp;tblSales[[#This Row],[LastName]]</f>
        <v>Margaret Peacock</v>
      </c>
      <c r="R149">
        <f>YEAR(tblSales[[#This Row],[OrderDate]])</f>
        <v>2019</v>
      </c>
      <c r="S149">
        <f>WEEKNUM(tblSales[[#This Row],[OrderDate]])</f>
        <v>21</v>
      </c>
      <c r="T149">
        <f>IF(ISBLANK(tblSales[[#This Row],[ShippedDate]]),"",tblSales[[#This Row],[ShippedDate]]-tblSales[[#This Row],[OrderDate]])</f>
        <v>10</v>
      </c>
      <c r="U149" t="str">
        <f>LEFT(tblSales[[#This Row],[ProductName]],20)</f>
        <v>Maxilaku</v>
      </c>
    </row>
    <row r="150" spans="2:21" x14ac:dyDescent="0.2">
      <c r="B150">
        <v>10360</v>
      </c>
      <c r="C150" t="s">
        <v>8316</v>
      </c>
      <c r="D150" t="s">
        <v>8236</v>
      </c>
      <c r="E150" t="s">
        <v>8247</v>
      </c>
      <c r="F150" s="222">
        <v>36.4</v>
      </c>
      <c r="G150">
        <v>30</v>
      </c>
      <c r="H150" s="223">
        <v>0</v>
      </c>
      <c r="I150" s="222">
        <v>1092</v>
      </c>
      <c r="J150" t="s">
        <v>8295</v>
      </c>
      <c r="K150" t="s">
        <v>8296</v>
      </c>
      <c r="L150" s="118">
        <v>43607</v>
      </c>
      <c r="M150" s="118">
        <v>43617</v>
      </c>
      <c r="N150" t="s">
        <v>8240</v>
      </c>
      <c r="O150" t="s">
        <v>8266</v>
      </c>
      <c r="P150" t="s">
        <v>8267</v>
      </c>
      <c r="Q150" t="str">
        <f>tblSales[[#This Row],[FirstName]]&amp; " " &amp;tblSales[[#This Row],[LastName]]</f>
        <v>Margaret Peacock</v>
      </c>
      <c r="R150">
        <f>YEAR(tblSales[[#This Row],[OrderDate]])</f>
        <v>2019</v>
      </c>
      <c r="S150">
        <f>WEEKNUM(tblSales[[#This Row],[OrderDate]])</f>
        <v>21</v>
      </c>
      <c r="T150">
        <f>IF(ISBLANK(tblSales[[#This Row],[ShippedDate]]),"",tblSales[[#This Row],[ShippedDate]]-tblSales[[#This Row],[OrderDate]])</f>
        <v>10</v>
      </c>
      <c r="U150" t="str">
        <f>LEFT(tblSales[[#This Row],[ProductName]],20)</f>
        <v>Rössle Sauerkraut</v>
      </c>
    </row>
    <row r="151" spans="2:21" x14ac:dyDescent="0.2">
      <c r="B151">
        <v>10361</v>
      </c>
      <c r="C151" t="s">
        <v>8342</v>
      </c>
      <c r="D151" t="s">
        <v>8246</v>
      </c>
      <c r="E151" t="s">
        <v>8272</v>
      </c>
      <c r="F151" s="222">
        <v>14.4</v>
      </c>
      <c r="G151">
        <v>54</v>
      </c>
      <c r="H151" s="223">
        <v>0.10000000149011599</v>
      </c>
      <c r="I151" s="222">
        <v>699.84</v>
      </c>
      <c r="J151" t="s">
        <v>8307</v>
      </c>
      <c r="K151" t="s">
        <v>8308</v>
      </c>
      <c r="L151" s="118">
        <v>43607</v>
      </c>
      <c r="M151" s="118">
        <v>43618</v>
      </c>
      <c r="N151" t="s">
        <v>8265</v>
      </c>
      <c r="O151" t="s">
        <v>8285</v>
      </c>
      <c r="P151" t="s">
        <v>2317</v>
      </c>
      <c r="Q151" t="str">
        <f>tblSales[[#This Row],[FirstName]]&amp; " " &amp;tblSales[[#This Row],[LastName]]</f>
        <v>Nancy Davolio</v>
      </c>
      <c r="R151">
        <f>YEAR(tblSales[[#This Row],[OrderDate]])</f>
        <v>2019</v>
      </c>
      <c r="S151">
        <f>WEEKNUM(tblSales[[#This Row],[OrderDate]])</f>
        <v>21</v>
      </c>
      <c r="T151">
        <f>IF(ISBLANK(tblSales[[#This Row],[ShippedDate]]),"",tblSales[[#This Row],[ShippedDate]]-tblSales[[#This Row],[OrderDate]])</f>
        <v>11</v>
      </c>
      <c r="U151" t="str">
        <f>LEFT(tblSales[[#This Row],[ProductName]],20)</f>
        <v>Chartreuse verte</v>
      </c>
    </row>
    <row r="152" spans="2:21" x14ac:dyDescent="0.2">
      <c r="B152">
        <v>10361</v>
      </c>
      <c r="C152" t="s">
        <v>8268</v>
      </c>
      <c r="D152" t="s">
        <v>8246</v>
      </c>
      <c r="E152" t="s">
        <v>8237</v>
      </c>
      <c r="F152" s="222">
        <v>27.2</v>
      </c>
      <c r="G152">
        <v>55</v>
      </c>
      <c r="H152" s="223">
        <v>0.10000000149011599</v>
      </c>
      <c r="I152" s="222">
        <v>1346.4</v>
      </c>
      <c r="J152" t="s">
        <v>8307</v>
      </c>
      <c r="K152" t="s">
        <v>8308</v>
      </c>
      <c r="L152" s="118">
        <v>43607</v>
      </c>
      <c r="M152" s="118">
        <v>43618</v>
      </c>
      <c r="N152" t="s">
        <v>8265</v>
      </c>
      <c r="O152" t="s">
        <v>8285</v>
      </c>
      <c r="P152" t="s">
        <v>2317</v>
      </c>
      <c r="Q152" t="str">
        <f>tblSales[[#This Row],[FirstName]]&amp; " " &amp;tblSales[[#This Row],[LastName]]</f>
        <v>Nancy Davolio</v>
      </c>
      <c r="R152">
        <f>YEAR(tblSales[[#This Row],[OrderDate]])</f>
        <v>2019</v>
      </c>
      <c r="S152">
        <f>WEEKNUM(tblSales[[#This Row],[OrderDate]])</f>
        <v>21</v>
      </c>
      <c r="T152">
        <f>IF(ISBLANK(tblSales[[#This Row],[ShippedDate]]),"",tblSales[[#This Row],[ShippedDate]]-tblSales[[#This Row],[OrderDate]])</f>
        <v>11</v>
      </c>
      <c r="U152" t="str">
        <f>LEFT(tblSales[[#This Row],[ProductName]],20)</f>
        <v>Camembert Pierrot</v>
      </c>
    </row>
    <row r="153" spans="2:21" x14ac:dyDescent="0.2">
      <c r="B153">
        <v>10362</v>
      </c>
      <c r="C153" t="s">
        <v>8362</v>
      </c>
      <c r="D153" t="s">
        <v>8236</v>
      </c>
      <c r="E153" t="s">
        <v>8262</v>
      </c>
      <c r="F153" s="222">
        <v>11.2</v>
      </c>
      <c r="G153">
        <v>50</v>
      </c>
      <c r="H153" s="223">
        <v>0</v>
      </c>
      <c r="I153" s="222">
        <v>560</v>
      </c>
      <c r="J153" t="s">
        <v>8377</v>
      </c>
      <c r="K153" t="s">
        <v>8378</v>
      </c>
      <c r="L153" s="118">
        <v>43610</v>
      </c>
      <c r="M153" s="118">
        <v>43613</v>
      </c>
      <c r="N153" t="s">
        <v>8250</v>
      </c>
      <c r="O153" t="s">
        <v>8257</v>
      </c>
      <c r="P153" t="s">
        <v>6984</v>
      </c>
      <c r="Q153" t="str">
        <f>tblSales[[#This Row],[FirstName]]&amp; " " &amp;tblSales[[#This Row],[LastName]]</f>
        <v>Janet Leverling</v>
      </c>
      <c r="R153">
        <f>YEAR(tblSales[[#This Row],[OrderDate]])</f>
        <v>2019</v>
      </c>
      <c r="S153">
        <f>WEEKNUM(tblSales[[#This Row],[OrderDate]])</f>
        <v>21</v>
      </c>
      <c r="T153">
        <f>IF(ISBLANK(tblSales[[#This Row],[ShippedDate]]),"",tblSales[[#This Row],[ShippedDate]]-tblSales[[#This Row],[OrderDate]])</f>
        <v>3</v>
      </c>
      <c r="U153" t="str">
        <f>LEFT(tblSales[[#This Row],[ProductName]],20)</f>
        <v>NuNuCa Nuß-Nougat-Cr</v>
      </c>
    </row>
    <row r="154" spans="2:21" x14ac:dyDescent="0.2">
      <c r="B154">
        <v>10362</v>
      </c>
      <c r="C154" t="s">
        <v>8245</v>
      </c>
      <c r="D154" t="s">
        <v>8236</v>
      </c>
      <c r="E154" t="s">
        <v>8247</v>
      </c>
      <c r="F154" s="222">
        <v>42.4</v>
      </c>
      <c r="G154">
        <v>20</v>
      </c>
      <c r="H154" s="223">
        <v>0</v>
      </c>
      <c r="I154" s="222">
        <v>848</v>
      </c>
      <c r="J154" t="s">
        <v>8377</v>
      </c>
      <c r="K154" t="s">
        <v>8378</v>
      </c>
      <c r="L154" s="118">
        <v>43610</v>
      </c>
      <c r="M154" s="118">
        <v>43613</v>
      </c>
      <c r="N154" t="s">
        <v>8250</v>
      </c>
      <c r="O154" t="s">
        <v>8257</v>
      </c>
      <c r="P154" t="s">
        <v>6984</v>
      </c>
      <c r="Q154" t="str">
        <f>tblSales[[#This Row],[FirstName]]&amp; " " &amp;tblSales[[#This Row],[LastName]]</f>
        <v>Janet Leverling</v>
      </c>
      <c r="R154">
        <f>YEAR(tblSales[[#This Row],[OrderDate]])</f>
        <v>2019</v>
      </c>
      <c r="S154">
        <f>WEEKNUM(tblSales[[#This Row],[OrderDate]])</f>
        <v>21</v>
      </c>
      <c r="T154">
        <f>IF(ISBLANK(tblSales[[#This Row],[ShippedDate]]),"",tblSales[[#This Row],[ShippedDate]]-tblSales[[#This Row],[OrderDate]])</f>
        <v>3</v>
      </c>
      <c r="U154" t="str">
        <f>LEFT(tblSales[[#This Row],[ProductName]],20)</f>
        <v>Manjimup Dried Apple</v>
      </c>
    </row>
    <row r="155" spans="2:21" x14ac:dyDescent="0.2">
      <c r="B155">
        <v>10363</v>
      </c>
      <c r="C155" t="s">
        <v>8303</v>
      </c>
      <c r="D155" t="s">
        <v>8246</v>
      </c>
      <c r="E155" t="s">
        <v>8272</v>
      </c>
      <c r="F155" s="222">
        <v>14.4</v>
      </c>
      <c r="G155">
        <v>12</v>
      </c>
      <c r="H155" s="223">
        <v>0</v>
      </c>
      <c r="I155" s="222">
        <v>172.8</v>
      </c>
      <c r="J155" t="s">
        <v>8391</v>
      </c>
      <c r="K155" t="s">
        <v>8392</v>
      </c>
      <c r="L155" s="118">
        <v>43611</v>
      </c>
      <c r="M155" s="118">
        <v>43619</v>
      </c>
      <c r="N155" t="s">
        <v>8240</v>
      </c>
      <c r="O155" t="s">
        <v>8266</v>
      </c>
      <c r="P155" t="s">
        <v>8267</v>
      </c>
      <c r="Q155" t="str">
        <f>tblSales[[#This Row],[FirstName]]&amp; " " &amp;tblSales[[#This Row],[LastName]]</f>
        <v>Margaret Peacock</v>
      </c>
      <c r="R155">
        <f>YEAR(tblSales[[#This Row],[OrderDate]])</f>
        <v>2019</v>
      </c>
      <c r="S155">
        <f>WEEKNUM(tblSales[[#This Row],[OrderDate]])</f>
        <v>22</v>
      </c>
      <c r="T155">
        <f>IF(ISBLANK(tblSales[[#This Row],[ShippedDate]]),"",tblSales[[#This Row],[ShippedDate]]-tblSales[[#This Row],[OrderDate]])</f>
        <v>8</v>
      </c>
      <c r="U155" t="str">
        <f>LEFT(tblSales[[#This Row],[ProductName]],20)</f>
        <v>Lakkalikööri</v>
      </c>
    </row>
    <row r="156" spans="2:21" x14ac:dyDescent="0.2">
      <c r="B156">
        <v>10363</v>
      </c>
      <c r="C156" t="s">
        <v>8328</v>
      </c>
      <c r="D156" t="s">
        <v>8246</v>
      </c>
      <c r="E156" t="s">
        <v>8272</v>
      </c>
      <c r="F156" s="222">
        <v>6.2</v>
      </c>
      <c r="G156">
        <v>12</v>
      </c>
      <c r="H156" s="223">
        <v>0</v>
      </c>
      <c r="I156" s="222">
        <v>74.400000000000006</v>
      </c>
      <c r="J156" t="s">
        <v>8391</v>
      </c>
      <c r="K156" t="s">
        <v>8392</v>
      </c>
      <c r="L156" s="118">
        <v>43611</v>
      </c>
      <c r="M156" s="118">
        <v>43619</v>
      </c>
      <c r="N156" t="s">
        <v>8240</v>
      </c>
      <c r="O156" t="s">
        <v>8266</v>
      </c>
      <c r="P156" t="s">
        <v>8267</v>
      </c>
      <c r="Q156" t="str">
        <f>tblSales[[#This Row],[FirstName]]&amp; " " &amp;tblSales[[#This Row],[LastName]]</f>
        <v>Margaret Peacock</v>
      </c>
      <c r="R156">
        <f>YEAR(tblSales[[#This Row],[OrderDate]])</f>
        <v>2019</v>
      </c>
      <c r="S156">
        <f>WEEKNUM(tblSales[[#This Row],[OrderDate]])</f>
        <v>22</v>
      </c>
      <c r="T156">
        <f>IF(ISBLANK(tblSales[[#This Row],[ShippedDate]]),"",tblSales[[#This Row],[ShippedDate]]-tblSales[[#This Row],[OrderDate]])</f>
        <v>8</v>
      </c>
      <c r="U156" t="str">
        <f>LEFT(tblSales[[#This Row],[ProductName]],20)</f>
        <v>Rhönbräu Klosterbier</v>
      </c>
    </row>
    <row r="157" spans="2:21" x14ac:dyDescent="0.2">
      <c r="B157">
        <v>10363</v>
      </c>
      <c r="C157" t="s">
        <v>8309</v>
      </c>
      <c r="D157" t="s">
        <v>8246</v>
      </c>
      <c r="E157" t="s">
        <v>8237</v>
      </c>
      <c r="F157" s="222">
        <v>10</v>
      </c>
      <c r="G157">
        <v>20</v>
      </c>
      <c r="H157" s="223">
        <v>0</v>
      </c>
      <c r="I157" s="222">
        <v>200</v>
      </c>
      <c r="J157" t="s">
        <v>8391</v>
      </c>
      <c r="K157" t="s">
        <v>8392</v>
      </c>
      <c r="L157" s="118">
        <v>43611</v>
      </c>
      <c r="M157" s="118">
        <v>43619</v>
      </c>
      <c r="N157" t="s">
        <v>8240</v>
      </c>
      <c r="O157" t="s">
        <v>8266</v>
      </c>
      <c r="P157" t="s">
        <v>8267</v>
      </c>
      <c r="Q157" t="str">
        <f>tblSales[[#This Row],[FirstName]]&amp; " " &amp;tblSales[[#This Row],[LastName]]</f>
        <v>Margaret Peacock</v>
      </c>
      <c r="R157">
        <f>YEAR(tblSales[[#This Row],[OrderDate]])</f>
        <v>2019</v>
      </c>
      <c r="S157">
        <f>WEEKNUM(tblSales[[#This Row],[OrderDate]])</f>
        <v>22</v>
      </c>
      <c r="T157">
        <f>IF(ISBLANK(tblSales[[#This Row],[ShippedDate]]),"",tblSales[[#This Row],[ShippedDate]]-tblSales[[#This Row],[OrderDate]])</f>
        <v>8</v>
      </c>
      <c r="U157" t="str">
        <f>LEFT(tblSales[[#This Row],[ProductName]],20)</f>
        <v>Gorgonzola Telino</v>
      </c>
    </row>
    <row r="158" spans="2:21" x14ac:dyDescent="0.2">
      <c r="B158">
        <v>10364</v>
      </c>
      <c r="C158" t="s">
        <v>8353</v>
      </c>
      <c r="D158" t="s">
        <v>2434</v>
      </c>
      <c r="E158" t="s">
        <v>8237</v>
      </c>
      <c r="F158" s="222">
        <v>28.8</v>
      </c>
      <c r="G158">
        <v>30</v>
      </c>
      <c r="H158" s="223">
        <v>0</v>
      </c>
      <c r="I158" s="222">
        <v>864</v>
      </c>
      <c r="J158" t="s">
        <v>8393</v>
      </c>
      <c r="K158" t="s">
        <v>8394</v>
      </c>
      <c r="L158" s="118">
        <v>43611</v>
      </c>
      <c r="M158" s="118">
        <v>43619</v>
      </c>
      <c r="N158" t="s">
        <v>8250</v>
      </c>
      <c r="O158" t="s">
        <v>8285</v>
      </c>
      <c r="P158" t="s">
        <v>2317</v>
      </c>
      <c r="Q158" t="str">
        <f>tblSales[[#This Row],[FirstName]]&amp; " " &amp;tblSales[[#This Row],[LastName]]</f>
        <v>Nancy Davolio</v>
      </c>
      <c r="R158">
        <f>YEAR(tblSales[[#This Row],[OrderDate]])</f>
        <v>2019</v>
      </c>
      <c r="S158">
        <f>WEEKNUM(tblSales[[#This Row],[OrderDate]])</f>
        <v>22</v>
      </c>
      <c r="T158">
        <f>IF(ISBLANK(tblSales[[#This Row],[ShippedDate]]),"",tblSales[[#This Row],[ShippedDate]]-tblSales[[#This Row],[OrderDate]])</f>
        <v>8</v>
      </c>
      <c r="U158" t="str">
        <f>LEFT(tblSales[[#This Row],[ProductName]],20)</f>
        <v>Gudbrandsdalsost</v>
      </c>
    </row>
    <row r="159" spans="2:21" x14ac:dyDescent="0.2">
      <c r="B159">
        <v>10364</v>
      </c>
      <c r="C159" t="s">
        <v>8310</v>
      </c>
      <c r="D159" t="s">
        <v>2434</v>
      </c>
      <c r="E159" t="s">
        <v>8237</v>
      </c>
      <c r="F159" s="222">
        <v>17.2</v>
      </c>
      <c r="G159">
        <v>5</v>
      </c>
      <c r="H159" s="223">
        <v>0</v>
      </c>
      <c r="I159" s="222">
        <v>86</v>
      </c>
      <c r="J159" t="s">
        <v>8393</v>
      </c>
      <c r="K159" t="s">
        <v>8394</v>
      </c>
      <c r="L159" s="118">
        <v>43611</v>
      </c>
      <c r="M159" s="118">
        <v>43619</v>
      </c>
      <c r="N159" t="s">
        <v>8250</v>
      </c>
      <c r="O159" t="s">
        <v>8285</v>
      </c>
      <c r="P159" t="s">
        <v>2317</v>
      </c>
      <c r="Q159" t="str">
        <f>tblSales[[#This Row],[FirstName]]&amp; " " &amp;tblSales[[#This Row],[LastName]]</f>
        <v>Nancy Davolio</v>
      </c>
      <c r="R159">
        <f>YEAR(tblSales[[#This Row],[OrderDate]])</f>
        <v>2019</v>
      </c>
      <c r="S159">
        <f>WEEKNUM(tblSales[[#This Row],[OrderDate]])</f>
        <v>22</v>
      </c>
      <c r="T159">
        <f>IF(ISBLANK(tblSales[[#This Row],[ShippedDate]]),"",tblSales[[#This Row],[ShippedDate]]-tblSales[[#This Row],[OrderDate]])</f>
        <v>8</v>
      </c>
      <c r="U159" t="str">
        <f>LEFT(tblSales[[#This Row],[ProductName]],20)</f>
        <v>Fløtemysost</v>
      </c>
    </row>
    <row r="160" spans="2:21" x14ac:dyDescent="0.2">
      <c r="B160">
        <v>10367</v>
      </c>
      <c r="C160" t="s">
        <v>8358</v>
      </c>
      <c r="D160" t="s">
        <v>8374</v>
      </c>
      <c r="E160" t="s">
        <v>8272</v>
      </c>
      <c r="F160" s="222">
        <v>11.2</v>
      </c>
      <c r="G160">
        <v>36</v>
      </c>
      <c r="H160" s="223">
        <v>0</v>
      </c>
      <c r="I160" s="222">
        <v>403.2</v>
      </c>
      <c r="J160" t="s">
        <v>8395</v>
      </c>
      <c r="K160" t="s">
        <v>8396</v>
      </c>
      <c r="L160" s="118">
        <v>43613</v>
      </c>
      <c r="M160" s="118">
        <v>43617</v>
      </c>
      <c r="N160" t="s">
        <v>8240</v>
      </c>
      <c r="O160" t="s">
        <v>8158</v>
      </c>
      <c r="P160" t="s">
        <v>861</v>
      </c>
      <c r="Q160" t="str">
        <f>tblSales[[#This Row],[FirstName]]&amp; " " &amp;tblSales[[#This Row],[LastName]]</f>
        <v>Robert King</v>
      </c>
      <c r="R160">
        <f>YEAR(tblSales[[#This Row],[OrderDate]])</f>
        <v>2019</v>
      </c>
      <c r="S160">
        <f>WEEKNUM(tblSales[[#This Row],[OrderDate]])</f>
        <v>22</v>
      </c>
      <c r="T160">
        <f>IF(ISBLANK(tblSales[[#This Row],[ShippedDate]]),"",tblSales[[#This Row],[ShippedDate]]-tblSales[[#This Row],[OrderDate]])</f>
        <v>4</v>
      </c>
      <c r="U160" t="str">
        <f>LEFT(tblSales[[#This Row],[ProductName]],20)</f>
        <v>Sasquatch Ale</v>
      </c>
    </row>
    <row r="161" spans="2:21" x14ac:dyDescent="0.2">
      <c r="B161">
        <v>10367</v>
      </c>
      <c r="C161" t="s">
        <v>8253</v>
      </c>
      <c r="D161" t="s">
        <v>8374</v>
      </c>
      <c r="E161" t="s">
        <v>8254</v>
      </c>
      <c r="F161" s="222">
        <v>16.8</v>
      </c>
      <c r="G161">
        <v>15</v>
      </c>
      <c r="H161" s="223">
        <v>0</v>
      </c>
      <c r="I161" s="222">
        <v>252</v>
      </c>
      <c r="J161" t="s">
        <v>8395</v>
      </c>
      <c r="K161" t="s">
        <v>8396</v>
      </c>
      <c r="L161" s="118">
        <v>43613</v>
      </c>
      <c r="M161" s="118">
        <v>43617</v>
      </c>
      <c r="N161" t="s">
        <v>8240</v>
      </c>
      <c r="O161" t="s">
        <v>8158</v>
      </c>
      <c r="P161" t="s">
        <v>861</v>
      </c>
      <c r="Q161" t="str">
        <f>tblSales[[#This Row],[FirstName]]&amp; " " &amp;tblSales[[#This Row],[LastName]]</f>
        <v>Robert King</v>
      </c>
      <c r="R161">
        <f>YEAR(tblSales[[#This Row],[OrderDate]])</f>
        <v>2019</v>
      </c>
      <c r="S161">
        <f>WEEKNUM(tblSales[[#This Row],[OrderDate]])</f>
        <v>22</v>
      </c>
      <c r="T161">
        <f>IF(ISBLANK(tblSales[[#This Row],[ShippedDate]]),"",tblSales[[#This Row],[ShippedDate]]-tblSales[[#This Row],[OrderDate]])</f>
        <v>4</v>
      </c>
      <c r="U161" t="str">
        <f>LEFT(tblSales[[#This Row],[ProductName]],20)</f>
        <v xml:space="preserve">Louisiana Fiery Hot </v>
      </c>
    </row>
    <row r="162" spans="2:21" x14ac:dyDescent="0.2">
      <c r="B162">
        <v>10367</v>
      </c>
      <c r="C162" t="s">
        <v>8397</v>
      </c>
      <c r="D162" t="s">
        <v>8374</v>
      </c>
      <c r="E162" t="s">
        <v>8254</v>
      </c>
      <c r="F162" s="222">
        <v>10.4</v>
      </c>
      <c r="G162">
        <v>7</v>
      </c>
      <c r="H162" s="223">
        <v>0</v>
      </c>
      <c r="I162" s="222">
        <v>72.8</v>
      </c>
      <c r="J162" t="s">
        <v>8395</v>
      </c>
      <c r="K162" t="s">
        <v>8396</v>
      </c>
      <c r="L162" s="118">
        <v>43613</v>
      </c>
      <c r="M162" s="118">
        <v>43617</v>
      </c>
      <c r="N162" t="s">
        <v>8240</v>
      </c>
      <c r="O162" t="s">
        <v>8158</v>
      </c>
      <c r="P162" t="s">
        <v>861</v>
      </c>
      <c r="Q162" t="str">
        <f>tblSales[[#This Row],[FirstName]]&amp; " " &amp;tblSales[[#This Row],[LastName]]</f>
        <v>Robert King</v>
      </c>
      <c r="R162">
        <f>YEAR(tblSales[[#This Row],[OrderDate]])</f>
        <v>2019</v>
      </c>
      <c r="S162">
        <f>WEEKNUM(tblSales[[#This Row],[OrderDate]])</f>
        <v>22</v>
      </c>
      <c r="T162">
        <f>IF(ISBLANK(tblSales[[#This Row],[ShippedDate]]),"",tblSales[[#This Row],[ShippedDate]]-tblSales[[#This Row],[OrderDate]])</f>
        <v>4</v>
      </c>
      <c r="U162" t="str">
        <f>LEFT(tblSales[[#This Row],[ProductName]],20)</f>
        <v>Original Frankfurter</v>
      </c>
    </row>
    <row r="163" spans="2:21" x14ac:dyDescent="0.2">
      <c r="B163">
        <v>10366</v>
      </c>
      <c r="C163" t="s">
        <v>8253</v>
      </c>
      <c r="D163" t="s">
        <v>8324</v>
      </c>
      <c r="E163" t="s">
        <v>8254</v>
      </c>
      <c r="F163" s="222">
        <v>16.8</v>
      </c>
      <c r="G163">
        <v>5</v>
      </c>
      <c r="H163" s="223">
        <v>0</v>
      </c>
      <c r="I163" s="222">
        <v>84</v>
      </c>
      <c r="J163" t="s">
        <v>8398</v>
      </c>
      <c r="K163" t="s">
        <v>8399</v>
      </c>
      <c r="L163" s="118">
        <v>43613</v>
      </c>
      <c r="M163" s="118">
        <v>43645</v>
      </c>
      <c r="N163" t="s">
        <v>8265</v>
      </c>
      <c r="O163" t="s">
        <v>8320</v>
      </c>
      <c r="P163" t="s">
        <v>8321</v>
      </c>
      <c r="Q163" t="str">
        <f>tblSales[[#This Row],[FirstName]]&amp; " " &amp;tblSales[[#This Row],[LastName]]</f>
        <v>Laura Callahan</v>
      </c>
      <c r="R163">
        <f>YEAR(tblSales[[#This Row],[OrderDate]])</f>
        <v>2019</v>
      </c>
      <c r="S163">
        <f>WEEKNUM(tblSales[[#This Row],[OrderDate]])</f>
        <v>22</v>
      </c>
      <c r="T163">
        <f>IF(ISBLANK(tblSales[[#This Row],[ShippedDate]]),"",tblSales[[#This Row],[ShippedDate]]-tblSales[[#This Row],[OrderDate]])</f>
        <v>32</v>
      </c>
      <c r="U163" t="str">
        <f>LEFT(tblSales[[#This Row],[ProductName]],20)</f>
        <v xml:space="preserve">Louisiana Fiery Hot </v>
      </c>
    </row>
    <row r="164" spans="2:21" x14ac:dyDescent="0.2">
      <c r="B164">
        <v>10366</v>
      </c>
      <c r="C164" t="s">
        <v>8397</v>
      </c>
      <c r="D164" t="s">
        <v>8324</v>
      </c>
      <c r="E164" t="s">
        <v>8254</v>
      </c>
      <c r="F164" s="222">
        <v>10.4</v>
      </c>
      <c r="G164">
        <v>5</v>
      </c>
      <c r="H164" s="223">
        <v>0</v>
      </c>
      <c r="I164" s="222">
        <v>52</v>
      </c>
      <c r="J164" t="s">
        <v>8398</v>
      </c>
      <c r="K164" t="s">
        <v>8399</v>
      </c>
      <c r="L164" s="118">
        <v>43613</v>
      </c>
      <c r="M164" s="118">
        <v>43645</v>
      </c>
      <c r="N164" t="s">
        <v>8265</v>
      </c>
      <c r="O164" t="s">
        <v>8320</v>
      </c>
      <c r="P164" t="s">
        <v>8321</v>
      </c>
      <c r="Q164" t="str">
        <f>tblSales[[#This Row],[FirstName]]&amp; " " &amp;tblSales[[#This Row],[LastName]]</f>
        <v>Laura Callahan</v>
      </c>
      <c r="R164">
        <f>YEAR(tblSales[[#This Row],[OrderDate]])</f>
        <v>2019</v>
      </c>
      <c r="S164">
        <f>WEEKNUM(tblSales[[#This Row],[OrderDate]])</f>
        <v>22</v>
      </c>
      <c r="T164">
        <f>IF(ISBLANK(tblSales[[#This Row],[ShippedDate]]),"",tblSales[[#This Row],[ShippedDate]]-tblSales[[#This Row],[OrderDate]])</f>
        <v>32</v>
      </c>
      <c r="U164" t="str">
        <f>LEFT(tblSales[[#This Row],[ProductName]],20)</f>
        <v>Original Frankfurter</v>
      </c>
    </row>
    <row r="165" spans="2:21" x14ac:dyDescent="0.2">
      <c r="B165">
        <v>10368</v>
      </c>
      <c r="C165" t="s">
        <v>8368</v>
      </c>
      <c r="D165" t="s">
        <v>8282</v>
      </c>
      <c r="E165" t="s">
        <v>8262</v>
      </c>
      <c r="F165" s="222">
        <v>8</v>
      </c>
      <c r="G165">
        <v>5</v>
      </c>
      <c r="H165" s="223">
        <v>0.10000000149011599</v>
      </c>
      <c r="I165" s="222">
        <v>36</v>
      </c>
      <c r="J165" t="s">
        <v>8283</v>
      </c>
      <c r="K165" t="s">
        <v>8284</v>
      </c>
      <c r="L165" s="118">
        <v>43614</v>
      </c>
      <c r="M165" s="118">
        <v>43617</v>
      </c>
      <c r="N165" t="s">
        <v>8265</v>
      </c>
      <c r="O165" t="s">
        <v>8297</v>
      </c>
      <c r="P165" t="s">
        <v>8298</v>
      </c>
      <c r="Q165" t="str">
        <f>tblSales[[#This Row],[FirstName]]&amp; " " &amp;tblSales[[#This Row],[LastName]]</f>
        <v>Andrew Fuller</v>
      </c>
      <c r="R165">
        <f>YEAR(tblSales[[#This Row],[OrderDate]])</f>
        <v>2019</v>
      </c>
      <c r="S165">
        <f>WEEKNUM(tblSales[[#This Row],[OrderDate]])</f>
        <v>22</v>
      </c>
      <c r="T165">
        <f>IF(ISBLANK(tblSales[[#This Row],[ShippedDate]]),"",tblSales[[#This Row],[ShippedDate]]-tblSales[[#This Row],[OrderDate]])</f>
        <v>3</v>
      </c>
      <c r="U165" t="str">
        <f>LEFT(tblSales[[#This Row],[ProductName]],20)</f>
        <v>Sir Rodney's Scones</v>
      </c>
    </row>
    <row r="166" spans="2:21" x14ac:dyDescent="0.2">
      <c r="B166">
        <v>10368</v>
      </c>
      <c r="C166" t="s">
        <v>8340</v>
      </c>
      <c r="D166" t="s">
        <v>8282</v>
      </c>
      <c r="E166" t="s">
        <v>8244</v>
      </c>
      <c r="F166" s="222">
        <v>26.6</v>
      </c>
      <c r="G166">
        <v>35</v>
      </c>
      <c r="H166" s="223">
        <v>0.10000000149011599</v>
      </c>
      <c r="I166" s="222">
        <v>837.9</v>
      </c>
      <c r="J166" t="s">
        <v>8283</v>
      </c>
      <c r="K166" t="s">
        <v>8284</v>
      </c>
      <c r="L166" s="118">
        <v>43614</v>
      </c>
      <c r="M166" s="118">
        <v>43617</v>
      </c>
      <c r="N166" t="s">
        <v>8265</v>
      </c>
      <c r="O166" t="s">
        <v>8297</v>
      </c>
      <c r="P166" t="s">
        <v>8298</v>
      </c>
      <c r="Q166" t="str">
        <f>tblSales[[#This Row],[FirstName]]&amp; " " &amp;tblSales[[#This Row],[LastName]]</f>
        <v>Andrew Fuller</v>
      </c>
      <c r="R166">
        <f>YEAR(tblSales[[#This Row],[OrderDate]])</f>
        <v>2019</v>
      </c>
      <c r="S166">
        <f>WEEKNUM(tblSales[[#This Row],[OrderDate]])</f>
        <v>22</v>
      </c>
      <c r="T166">
        <f>IF(ISBLANK(tblSales[[#This Row],[ShippedDate]]),"",tblSales[[#This Row],[ShippedDate]]-tblSales[[#This Row],[OrderDate]])</f>
        <v>3</v>
      </c>
      <c r="U166" t="str">
        <f>LEFT(tblSales[[#This Row],[ProductName]],20)</f>
        <v>Wimmers gute Semmelk</v>
      </c>
    </row>
    <row r="167" spans="2:21" x14ac:dyDescent="0.2">
      <c r="B167">
        <v>10368</v>
      </c>
      <c r="C167" t="s">
        <v>8258</v>
      </c>
      <c r="D167" t="s">
        <v>8282</v>
      </c>
      <c r="E167" t="s">
        <v>8244</v>
      </c>
      <c r="F167" s="222">
        <v>15.6</v>
      </c>
      <c r="G167">
        <v>25</v>
      </c>
      <c r="H167" s="223">
        <v>0</v>
      </c>
      <c r="I167" s="222">
        <v>390</v>
      </c>
      <c r="J167" t="s">
        <v>8283</v>
      </c>
      <c r="K167" t="s">
        <v>8284</v>
      </c>
      <c r="L167" s="118">
        <v>43614</v>
      </c>
      <c r="M167" s="118">
        <v>43617</v>
      </c>
      <c r="N167" t="s">
        <v>8265</v>
      </c>
      <c r="O167" t="s">
        <v>8297</v>
      </c>
      <c r="P167" t="s">
        <v>8298</v>
      </c>
      <c r="Q167" t="str">
        <f>tblSales[[#This Row],[FirstName]]&amp; " " &amp;tblSales[[#This Row],[LastName]]</f>
        <v>Andrew Fuller</v>
      </c>
      <c r="R167">
        <f>YEAR(tblSales[[#This Row],[OrderDate]])</f>
        <v>2019</v>
      </c>
      <c r="S167">
        <f>WEEKNUM(tblSales[[#This Row],[OrderDate]])</f>
        <v>22</v>
      </c>
      <c r="T167">
        <f>IF(ISBLANK(tblSales[[#This Row],[ShippedDate]]),"",tblSales[[#This Row],[ShippedDate]]-tblSales[[#This Row],[OrderDate]])</f>
        <v>3</v>
      </c>
      <c r="U167" t="str">
        <f>LEFT(tblSales[[#This Row],[ProductName]],20)</f>
        <v>Ravioli Angelo</v>
      </c>
    </row>
    <row r="168" spans="2:21" x14ac:dyDescent="0.2">
      <c r="B168">
        <v>10368</v>
      </c>
      <c r="C168" t="s">
        <v>8316</v>
      </c>
      <c r="D168" t="s">
        <v>8282</v>
      </c>
      <c r="E168" t="s">
        <v>8247</v>
      </c>
      <c r="F168" s="222">
        <v>36.4</v>
      </c>
      <c r="G168">
        <v>13</v>
      </c>
      <c r="H168" s="223">
        <v>0.10000000149011599</v>
      </c>
      <c r="I168" s="222">
        <v>425.88</v>
      </c>
      <c r="J168" t="s">
        <v>8283</v>
      </c>
      <c r="K168" t="s">
        <v>8284</v>
      </c>
      <c r="L168" s="118">
        <v>43614</v>
      </c>
      <c r="M168" s="118">
        <v>43617</v>
      </c>
      <c r="N168" t="s">
        <v>8265</v>
      </c>
      <c r="O168" t="s">
        <v>8297</v>
      </c>
      <c r="P168" t="s">
        <v>8298</v>
      </c>
      <c r="Q168" t="str">
        <f>tblSales[[#This Row],[FirstName]]&amp; " " &amp;tblSales[[#This Row],[LastName]]</f>
        <v>Andrew Fuller</v>
      </c>
      <c r="R168">
        <f>YEAR(tblSales[[#This Row],[OrderDate]])</f>
        <v>2019</v>
      </c>
      <c r="S168">
        <f>WEEKNUM(tblSales[[#This Row],[OrderDate]])</f>
        <v>22</v>
      </c>
      <c r="T168">
        <f>IF(ISBLANK(tblSales[[#This Row],[ShippedDate]]),"",tblSales[[#This Row],[ShippedDate]]-tblSales[[#This Row],[OrderDate]])</f>
        <v>3</v>
      </c>
      <c r="U168" t="str">
        <f>LEFT(tblSales[[#This Row],[ProductName]],20)</f>
        <v>Rössle Sauerkraut</v>
      </c>
    </row>
    <row r="169" spans="2:21" x14ac:dyDescent="0.2">
      <c r="B169">
        <v>10370</v>
      </c>
      <c r="C169" t="s">
        <v>8333</v>
      </c>
      <c r="D169" t="s">
        <v>8271</v>
      </c>
      <c r="E169" t="s">
        <v>8272</v>
      </c>
      <c r="F169" s="222">
        <v>14.4</v>
      </c>
      <c r="G169">
        <v>15</v>
      </c>
      <c r="H169" s="223">
        <v>0.15000000596046401</v>
      </c>
      <c r="I169" s="222">
        <v>183.6</v>
      </c>
      <c r="J169" t="s">
        <v>8273</v>
      </c>
      <c r="K169" t="s">
        <v>8274</v>
      </c>
      <c r="L169" s="118">
        <v>43618</v>
      </c>
      <c r="M169" s="118">
        <v>43642</v>
      </c>
      <c r="N169" t="s">
        <v>8265</v>
      </c>
      <c r="O169" t="s">
        <v>8251</v>
      </c>
      <c r="P169" t="s">
        <v>269</v>
      </c>
      <c r="Q169" t="str">
        <f>tblSales[[#This Row],[FirstName]]&amp; " " &amp;tblSales[[#This Row],[LastName]]</f>
        <v>Michael Suyama</v>
      </c>
      <c r="R169">
        <f>YEAR(tblSales[[#This Row],[OrderDate]])</f>
        <v>2019</v>
      </c>
      <c r="S169">
        <f>WEEKNUM(tblSales[[#This Row],[OrderDate]])</f>
        <v>23</v>
      </c>
      <c r="T169">
        <f>IF(ISBLANK(tblSales[[#This Row],[ShippedDate]]),"",tblSales[[#This Row],[ShippedDate]]-tblSales[[#This Row],[OrderDate]])</f>
        <v>24</v>
      </c>
      <c r="U169" t="str">
        <f>LEFT(tblSales[[#This Row],[ProductName]],20)</f>
        <v>Chai</v>
      </c>
    </row>
    <row r="170" spans="2:21" x14ac:dyDescent="0.2">
      <c r="B170">
        <v>10370</v>
      </c>
      <c r="C170" t="s">
        <v>8340</v>
      </c>
      <c r="D170" t="s">
        <v>8271</v>
      </c>
      <c r="E170" t="s">
        <v>8244</v>
      </c>
      <c r="F170" s="222">
        <v>26.6</v>
      </c>
      <c r="G170">
        <v>30</v>
      </c>
      <c r="H170" s="223">
        <v>0</v>
      </c>
      <c r="I170" s="222">
        <v>798</v>
      </c>
      <c r="J170" t="s">
        <v>8273</v>
      </c>
      <c r="K170" t="s">
        <v>8274</v>
      </c>
      <c r="L170" s="118">
        <v>43618</v>
      </c>
      <c r="M170" s="118">
        <v>43642</v>
      </c>
      <c r="N170" t="s">
        <v>8265</v>
      </c>
      <c r="O170" t="s">
        <v>8251</v>
      </c>
      <c r="P170" t="s">
        <v>269</v>
      </c>
      <c r="Q170" t="str">
        <f>tblSales[[#This Row],[FirstName]]&amp; " " &amp;tblSales[[#This Row],[LastName]]</f>
        <v>Michael Suyama</v>
      </c>
      <c r="R170">
        <f>YEAR(tblSales[[#This Row],[OrderDate]])</f>
        <v>2019</v>
      </c>
      <c r="S170">
        <f>WEEKNUM(tblSales[[#This Row],[OrderDate]])</f>
        <v>23</v>
      </c>
      <c r="T170">
        <f>IF(ISBLANK(tblSales[[#This Row],[ShippedDate]]),"",tblSales[[#This Row],[ShippedDate]]-tblSales[[#This Row],[OrderDate]])</f>
        <v>24</v>
      </c>
      <c r="U170" t="str">
        <f>LEFT(tblSales[[#This Row],[ProductName]],20)</f>
        <v>Wimmers gute Semmelk</v>
      </c>
    </row>
    <row r="171" spans="2:21" x14ac:dyDescent="0.2">
      <c r="B171">
        <v>10370</v>
      </c>
      <c r="C171" t="s">
        <v>8275</v>
      </c>
      <c r="D171" t="s">
        <v>8271</v>
      </c>
      <c r="E171" t="s">
        <v>8247</v>
      </c>
      <c r="F171" s="222">
        <v>8</v>
      </c>
      <c r="G171">
        <v>20</v>
      </c>
      <c r="H171" s="223">
        <v>0.15000000596046401</v>
      </c>
      <c r="I171" s="222">
        <v>136</v>
      </c>
      <c r="J171" t="s">
        <v>8273</v>
      </c>
      <c r="K171" t="s">
        <v>8274</v>
      </c>
      <c r="L171" s="118">
        <v>43618</v>
      </c>
      <c r="M171" s="118">
        <v>43642</v>
      </c>
      <c r="N171" t="s">
        <v>8265</v>
      </c>
      <c r="O171" t="s">
        <v>8251</v>
      </c>
      <c r="P171" t="s">
        <v>269</v>
      </c>
      <c r="Q171" t="str">
        <f>tblSales[[#This Row],[FirstName]]&amp; " " &amp;tblSales[[#This Row],[LastName]]</f>
        <v>Michael Suyama</v>
      </c>
      <c r="R171">
        <f>YEAR(tblSales[[#This Row],[OrderDate]])</f>
        <v>2019</v>
      </c>
      <c r="S171">
        <f>WEEKNUM(tblSales[[#This Row],[OrderDate]])</f>
        <v>23</v>
      </c>
      <c r="T171">
        <f>IF(ISBLANK(tblSales[[#This Row],[ShippedDate]]),"",tblSales[[#This Row],[ShippedDate]]-tblSales[[#This Row],[OrderDate]])</f>
        <v>24</v>
      </c>
      <c r="U171" t="str">
        <f>LEFT(tblSales[[#This Row],[ProductName]],20)</f>
        <v>Longlife Tofu</v>
      </c>
    </row>
    <row r="172" spans="2:21" x14ac:dyDescent="0.2">
      <c r="B172">
        <v>10374</v>
      </c>
      <c r="C172" t="s">
        <v>8309</v>
      </c>
      <c r="D172" t="s">
        <v>8400</v>
      </c>
      <c r="E172" t="s">
        <v>8237</v>
      </c>
      <c r="F172" s="222">
        <v>10</v>
      </c>
      <c r="G172">
        <v>30</v>
      </c>
      <c r="H172" s="223">
        <v>0</v>
      </c>
      <c r="I172" s="222">
        <v>300</v>
      </c>
      <c r="J172" t="s">
        <v>8401</v>
      </c>
      <c r="K172" t="s">
        <v>8402</v>
      </c>
      <c r="L172" s="118">
        <v>43620</v>
      </c>
      <c r="M172" s="118">
        <v>43624</v>
      </c>
      <c r="N172" t="s">
        <v>8240</v>
      </c>
      <c r="O172" t="s">
        <v>8285</v>
      </c>
      <c r="P172" t="s">
        <v>2317</v>
      </c>
      <c r="Q172" t="str">
        <f>tblSales[[#This Row],[FirstName]]&amp; " " &amp;tblSales[[#This Row],[LastName]]</f>
        <v>Nancy Davolio</v>
      </c>
      <c r="R172">
        <f>YEAR(tblSales[[#This Row],[OrderDate]])</f>
        <v>2019</v>
      </c>
      <c r="S172">
        <f>WEEKNUM(tblSales[[#This Row],[OrderDate]])</f>
        <v>23</v>
      </c>
      <c r="T172">
        <f>IF(ISBLANK(tblSales[[#This Row],[ShippedDate]]),"",tblSales[[#This Row],[ShippedDate]]-tblSales[[#This Row],[OrderDate]])</f>
        <v>4</v>
      </c>
      <c r="U172" t="str">
        <f>LEFT(tblSales[[#This Row],[ProductName]],20)</f>
        <v>Gorgonzola Telino</v>
      </c>
    </row>
    <row r="173" spans="2:21" x14ac:dyDescent="0.2">
      <c r="B173">
        <v>10373</v>
      </c>
      <c r="C173" t="s">
        <v>8310</v>
      </c>
      <c r="D173" t="s">
        <v>8343</v>
      </c>
      <c r="E173" t="s">
        <v>8237</v>
      </c>
      <c r="F173" s="222">
        <v>17.2</v>
      </c>
      <c r="G173">
        <v>50</v>
      </c>
      <c r="H173" s="223">
        <v>0.20000000298023199</v>
      </c>
      <c r="I173" s="222">
        <v>688</v>
      </c>
      <c r="J173" t="s">
        <v>8344</v>
      </c>
      <c r="K173" t="s">
        <v>8345</v>
      </c>
      <c r="L173" s="118">
        <v>43620</v>
      </c>
      <c r="M173" s="118">
        <v>43626</v>
      </c>
      <c r="N173" t="s">
        <v>8240</v>
      </c>
      <c r="O173" t="s">
        <v>8266</v>
      </c>
      <c r="P173" t="s">
        <v>8267</v>
      </c>
      <c r="Q173" t="str">
        <f>tblSales[[#This Row],[FirstName]]&amp; " " &amp;tblSales[[#This Row],[LastName]]</f>
        <v>Margaret Peacock</v>
      </c>
      <c r="R173">
        <f>YEAR(tblSales[[#This Row],[OrderDate]])</f>
        <v>2019</v>
      </c>
      <c r="S173">
        <f>WEEKNUM(tblSales[[#This Row],[OrderDate]])</f>
        <v>23</v>
      </c>
      <c r="T173">
        <f>IF(ISBLANK(tblSales[[#This Row],[ShippedDate]]),"",tblSales[[#This Row],[ShippedDate]]-tblSales[[#This Row],[OrderDate]])</f>
        <v>6</v>
      </c>
      <c r="U173" t="str">
        <f>LEFT(tblSales[[#This Row],[ProductName]],20)</f>
        <v>Fløtemysost</v>
      </c>
    </row>
    <row r="174" spans="2:21" x14ac:dyDescent="0.2">
      <c r="B174">
        <v>10377</v>
      </c>
      <c r="C174" t="s">
        <v>8342</v>
      </c>
      <c r="D174" t="s">
        <v>2434</v>
      </c>
      <c r="E174" t="s">
        <v>8272</v>
      </c>
      <c r="F174" s="222">
        <v>14.4</v>
      </c>
      <c r="G174">
        <v>20</v>
      </c>
      <c r="H174" s="223">
        <v>0.15000000596046401</v>
      </c>
      <c r="I174" s="222">
        <v>244.8</v>
      </c>
      <c r="J174" t="s">
        <v>8388</v>
      </c>
      <c r="K174" t="s">
        <v>8389</v>
      </c>
      <c r="L174" s="118">
        <v>43624</v>
      </c>
      <c r="M174" s="118">
        <v>43628</v>
      </c>
      <c r="N174" t="s">
        <v>8240</v>
      </c>
      <c r="O174" t="s">
        <v>8285</v>
      </c>
      <c r="P174" t="s">
        <v>2317</v>
      </c>
      <c r="Q174" t="str">
        <f>tblSales[[#This Row],[FirstName]]&amp; " " &amp;tblSales[[#This Row],[LastName]]</f>
        <v>Nancy Davolio</v>
      </c>
      <c r="R174">
        <f>YEAR(tblSales[[#This Row],[OrderDate]])</f>
        <v>2019</v>
      </c>
      <c r="S174">
        <f>WEEKNUM(tblSales[[#This Row],[OrderDate]])</f>
        <v>23</v>
      </c>
      <c r="T174">
        <f>IF(ISBLANK(tblSales[[#This Row],[ShippedDate]]),"",tblSales[[#This Row],[ShippedDate]]-tblSales[[#This Row],[OrderDate]])</f>
        <v>4</v>
      </c>
      <c r="U174" t="str">
        <f>LEFT(tblSales[[#This Row],[ProductName]],20)</f>
        <v>Chartreuse verte</v>
      </c>
    </row>
    <row r="175" spans="2:21" x14ac:dyDescent="0.2">
      <c r="B175">
        <v>10377</v>
      </c>
      <c r="C175" t="s">
        <v>8316</v>
      </c>
      <c r="D175" t="s">
        <v>2434</v>
      </c>
      <c r="E175" t="s">
        <v>8247</v>
      </c>
      <c r="F175" s="222">
        <v>36.4</v>
      </c>
      <c r="G175">
        <v>20</v>
      </c>
      <c r="H175" s="223">
        <v>0.15000000596046401</v>
      </c>
      <c r="I175" s="222">
        <v>618.79999999999995</v>
      </c>
      <c r="J175" t="s">
        <v>8388</v>
      </c>
      <c r="K175" t="s">
        <v>8389</v>
      </c>
      <c r="L175" s="118">
        <v>43624</v>
      </c>
      <c r="M175" s="118">
        <v>43628</v>
      </c>
      <c r="N175" t="s">
        <v>8240</v>
      </c>
      <c r="O175" t="s">
        <v>8285</v>
      </c>
      <c r="P175" t="s">
        <v>2317</v>
      </c>
      <c r="Q175" t="str">
        <f>tblSales[[#This Row],[FirstName]]&amp; " " &amp;tblSales[[#This Row],[LastName]]</f>
        <v>Nancy Davolio</v>
      </c>
      <c r="R175">
        <f>YEAR(tblSales[[#This Row],[OrderDate]])</f>
        <v>2019</v>
      </c>
      <c r="S175">
        <f>WEEKNUM(tblSales[[#This Row],[OrderDate]])</f>
        <v>23</v>
      </c>
      <c r="T175">
        <f>IF(ISBLANK(tblSales[[#This Row],[ShippedDate]]),"",tblSales[[#This Row],[ShippedDate]]-tblSales[[#This Row],[OrderDate]])</f>
        <v>4</v>
      </c>
      <c r="U175" t="str">
        <f>LEFT(tblSales[[#This Row],[ProductName]],20)</f>
        <v>Rössle Sauerkraut</v>
      </c>
    </row>
    <row r="176" spans="2:21" x14ac:dyDescent="0.2">
      <c r="B176">
        <v>10378</v>
      </c>
      <c r="C176" t="s">
        <v>8310</v>
      </c>
      <c r="D176" t="s">
        <v>8292</v>
      </c>
      <c r="E176" t="s">
        <v>8237</v>
      </c>
      <c r="F176" s="222">
        <v>17.2</v>
      </c>
      <c r="G176">
        <v>6</v>
      </c>
      <c r="H176" s="223">
        <v>0</v>
      </c>
      <c r="I176" s="222">
        <v>103.2</v>
      </c>
      <c r="J176" t="s">
        <v>8293</v>
      </c>
      <c r="K176" t="s">
        <v>8294</v>
      </c>
      <c r="L176" s="118">
        <v>43625</v>
      </c>
      <c r="M176" s="118">
        <v>43634</v>
      </c>
      <c r="N176" t="s">
        <v>8240</v>
      </c>
      <c r="O176" t="s">
        <v>8241</v>
      </c>
      <c r="P176" t="s">
        <v>6934</v>
      </c>
      <c r="Q176" t="str">
        <f>tblSales[[#This Row],[FirstName]]&amp; " " &amp;tblSales[[#This Row],[LastName]]</f>
        <v>Steven Buchanan</v>
      </c>
      <c r="R176">
        <f>YEAR(tblSales[[#This Row],[OrderDate]])</f>
        <v>2019</v>
      </c>
      <c r="S176">
        <f>WEEKNUM(tblSales[[#This Row],[OrderDate]])</f>
        <v>24</v>
      </c>
      <c r="T176">
        <f>IF(ISBLANK(tblSales[[#This Row],[ShippedDate]]),"",tblSales[[#This Row],[ShippedDate]]-tblSales[[#This Row],[OrderDate]])</f>
        <v>9</v>
      </c>
      <c r="U176" t="str">
        <f>LEFT(tblSales[[#This Row],[ProductName]],20)</f>
        <v>Fløtemysost</v>
      </c>
    </row>
    <row r="177" spans="2:21" x14ac:dyDescent="0.2">
      <c r="B177">
        <v>10380</v>
      </c>
      <c r="C177" t="s">
        <v>8288</v>
      </c>
      <c r="D177" t="s">
        <v>8343</v>
      </c>
      <c r="E177" t="s">
        <v>8272</v>
      </c>
      <c r="F177" s="222">
        <v>12</v>
      </c>
      <c r="G177">
        <v>30</v>
      </c>
      <c r="H177" s="223">
        <v>0</v>
      </c>
      <c r="I177" s="222">
        <v>360</v>
      </c>
      <c r="J177" t="s">
        <v>8344</v>
      </c>
      <c r="K177" t="s">
        <v>8345</v>
      </c>
      <c r="L177" s="118">
        <v>43627</v>
      </c>
      <c r="M177" s="118">
        <v>43662</v>
      </c>
      <c r="N177" t="s">
        <v>8240</v>
      </c>
      <c r="O177" t="s">
        <v>8320</v>
      </c>
      <c r="P177" t="s">
        <v>8321</v>
      </c>
      <c r="Q177" t="str">
        <f>tblSales[[#This Row],[FirstName]]&amp; " " &amp;tblSales[[#This Row],[LastName]]</f>
        <v>Laura Callahan</v>
      </c>
      <c r="R177">
        <f>YEAR(tblSales[[#This Row],[OrderDate]])</f>
        <v>2019</v>
      </c>
      <c r="S177">
        <f>WEEKNUM(tblSales[[#This Row],[OrderDate]])</f>
        <v>24</v>
      </c>
      <c r="T177">
        <f>IF(ISBLANK(tblSales[[#This Row],[ShippedDate]]),"",tblSales[[#This Row],[ShippedDate]]-tblSales[[#This Row],[OrderDate]])</f>
        <v>35</v>
      </c>
      <c r="U177" t="str">
        <f>LEFT(tblSales[[#This Row],[ProductName]],20)</f>
        <v>Outback Lager</v>
      </c>
    </row>
    <row r="178" spans="2:21" x14ac:dyDescent="0.2">
      <c r="B178">
        <v>10380</v>
      </c>
      <c r="C178" t="s">
        <v>8268</v>
      </c>
      <c r="D178" t="s">
        <v>8343</v>
      </c>
      <c r="E178" t="s">
        <v>8237</v>
      </c>
      <c r="F178" s="222">
        <v>27.2</v>
      </c>
      <c r="G178">
        <v>6</v>
      </c>
      <c r="H178" s="223">
        <v>0.10000000149011599</v>
      </c>
      <c r="I178" s="222">
        <v>146.88</v>
      </c>
      <c r="J178" t="s">
        <v>8344</v>
      </c>
      <c r="K178" t="s">
        <v>8345</v>
      </c>
      <c r="L178" s="118">
        <v>43627</v>
      </c>
      <c r="M178" s="118">
        <v>43662</v>
      </c>
      <c r="N178" t="s">
        <v>8240</v>
      </c>
      <c r="O178" t="s">
        <v>8320</v>
      </c>
      <c r="P178" t="s">
        <v>8321</v>
      </c>
      <c r="Q178" t="str">
        <f>tblSales[[#This Row],[FirstName]]&amp; " " &amp;tblSales[[#This Row],[LastName]]</f>
        <v>Laura Callahan</v>
      </c>
      <c r="R178">
        <f>YEAR(tblSales[[#This Row],[OrderDate]])</f>
        <v>2019</v>
      </c>
      <c r="S178">
        <f>WEEKNUM(tblSales[[#This Row],[OrderDate]])</f>
        <v>24</v>
      </c>
      <c r="T178">
        <f>IF(ISBLANK(tblSales[[#This Row],[ShippedDate]]),"",tblSales[[#This Row],[ShippedDate]]-tblSales[[#This Row],[OrderDate]])</f>
        <v>35</v>
      </c>
      <c r="U178" t="str">
        <f>LEFT(tblSales[[#This Row],[ProductName]],20)</f>
        <v>Camembert Pierrot</v>
      </c>
    </row>
    <row r="179" spans="2:21" x14ac:dyDescent="0.2">
      <c r="B179">
        <v>10382</v>
      </c>
      <c r="C179" t="s">
        <v>8286</v>
      </c>
      <c r="D179" t="s">
        <v>8282</v>
      </c>
      <c r="E179" t="s">
        <v>8254</v>
      </c>
      <c r="F179" s="222">
        <v>17</v>
      </c>
      <c r="G179">
        <v>32</v>
      </c>
      <c r="H179" s="223">
        <v>0</v>
      </c>
      <c r="I179" s="222">
        <v>544</v>
      </c>
      <c r="J179" t="s">
        <v>8283</v>
      </c>
      <c r="K179" t="s">
        <v>8284</v>
      </c>
      <c r="L179" s="118">
        <v>43628</v>
      </c>
      <c r="M179" s="118">
        <v>43631</v>
      </c>
      <c r="N179" t="s">
        <v>8250</v>
      </c>
      <c r="O179" t="s">
        <v>8266</v>
      </c>
      <c r="P179" t="s">
        <v>8267</v>
      </c>
      <c r="Q179" t="str">
        <f>tblSales[[#This Row],[FirstName]]&amp; " " &amp;tblSales[[#This Row],[LastName]]</f>
        <v>Margaret Peacock</v>
      </c>
      <c r="R179">
        <f>YEAR(tblSales[[#This Row],[OrderDate]])</f>
        <v>2019</v>
      </c>
      <c r="S179">
        <f>WEEKNUM(tblSales[[#This Row],[OrderDate]])</f>
        <v>24</v>
      </c>
      <c r="T179">
        <f>IF(ISBLANK(tblSales[[#This Row],[ShippedDate]]),"",tblSales[[#This Row],[ShippedDate]]-tblSales[[#This Row],[OrderDate]])</f>
        <v>3</v>
      </c>
      <c r="U179" t="str">
        <f>LEFT(tblSales[[#This Row],[ProductName]],20)</f>
        <v>Chef Anton's Gumbo M</v>
      </c>
    </row>
    <row r="180" spans="2:21" x14ac:dyDescent="0.2">
      <c r="B180">
        <v>10382</v>
      </c>
      <c r="C180" t="s">
        <v>8269</v>
      </c>
      <c r="D180" t="s">
        <v>8282</v>
      </c>
      <c r="E180" t="s">
        <v>8237</v>
      </c>
      <c r="F180" s="222">
        <v>2</v>
      </c>
      <c r="G180">
        <v>60</v>
      </c>
      <c r="H180" s="223">
        <v>0</v>
      </c>
      <c r="I180" s="222">
        <v>120</v>
      </c>
      <c r="J180" t="s">
        <v>8283</v>
      </c>
      <c r="K180" t="s">
        <v>8284</v>
      </c>
      <c r="L180" s="118">
        <v>43628</v>
      </c>
      <c r="M180" s="118">
        <v>43631</v>
      </c>
      <c r="N180" t="s">
        <v>8250</v>
      </c>
      <c r="O180" t="s">
        <v>8266</v>
      </c>
      <c r="P180" t="s">
        <v>8267</v>
      </c>
      <c r="Q180" t="str">
        <f>tblSales[[#This Row],[FirstName]]&amp; " " &amp;tblSales[[#This Row],[LastName]]</f>
        <v>Margaret Peacock</v>
      </c>
      <c r="R180">
        <f>YEAR(tblSales[[#This Row],[OrderDate]])</f>
        <v>2019</v>
      </c>
      <c r="S180">
        <f>WEEKNUM(tblSales[[#This Row],[OrderDate]])</f>
        <v>24</v>
      </c>
      <c r="T180">
        <f>IF(ISBLANK(tblSales[[#This Row],[ShippedDate]]),"",tblSales[[#This Row],[ShippedDate]]-tblSales[[#This Row],[OrderDate]])</f>
        <v>3</v>
      </c>
      <c r="U180" t="str">
        <f>LEFT(tblSales[[#This Row],[ProductName]],20)</f>
        <v>Geitost</v>
      </c>
    </row>
    <row r="181" spans="2:21" x14ac:dyDescent="0.2">
      <c r="B181">
        <v>10382</v>
      </c>
      <c r="C181" t="s">
        <v>8275</v>
      </c>
      <c r="D181" t="s">
        <v>8282</v>
      </c>
      <c r="E181" t="s">
        <v>8247</v>
      </c>
      <c r="F181" s="222">
        <v>8</v>
      </c>
      <c r="G181">
        <v>50</v>
      </c>
      <c r="H181" s="223">
        <v>0</v>
      </c>
      <c r="I181" s="222">
        <v>400</v>
      </c>
      <c r="J181" t="s">
        <v>8283</v>
      </c>
      <c r="K181" t="s">
        <v>8284</v>
      </c>
      <c r="L181" s="118">
        <v>43628</v>
      </c>
      <c r="M181" s="118">
        <v>43631</v>
      </c>
      <c r="N181" t="s">
        <v>8250</v>
      </c>
      <c r="O181" t="s">
        <v>8266</v>
      </c>
      <c r="P181" t="s">
        <v>8267</v>
      </c>
      <c r="Q181" t="str">
        <f>tblSales[[#This Row],[FirstName]]&amp; " " &amp;tblSales[[#This Row],[LastName]]</f>
        <v>Margaret Peacock</v>
      </c>
      <c r="R181">
        <f>YEAR(tblSales[[#This Row],[OrderDate]])</f>
        <v>2019</v>
      </c>
      <c r="S181">
        <f>WEEKNUM(tblSales[[#This Row],[OrderDate]])</f>
        <v>24</v>
      </c>
      <c r="T181">
        <f>IF(ISBLANK(tblSales[[#This Row],[ShippedDate]]),"",tblSales[[#This Row],[ShippedDate]]-tblSales[[#This Row],[OrderDate]])</f>
        <v>3</v>
      </c>
      <c r="U181" t="str">
        <f>LEFT(tblSales[[#This Row],[ProductName]],20)</f>
        <v>Longlife Tofu</v>
      </c>
    </row>
    <row r="182" spans="2:21" x14ac:dyDescent="0.2">
      <c r="B182">
        <v>10383</v>
      </c>
      <c r="C182" t="s">
        <v>8381</v>
      </c>
      <c r="D182" t="s">
        <v>2434</v>
      </c>
      <c r="E182" t="s">
        <v>8262</v>
      </c>
      <c r="F182" s="222">
        <v>13</v>
      </c>
      <c r="G182">
        <v>15</v>
      </c>
      <c r="H182" s="223">
        <v>0</v>
      </c>
      <c r="I182" s="222">
        <v>195</v>
      </c>
      <c r="J182" t="s">
        <v>8386</v>
      </c>
      <c r="K182" t="s">
        <v>8387</v>
      </c>
      <c r="L182" s="118">
        <v>43631</v>
      </c>
      <c r="M182" s="118">
        <v>43633</v>
      </c>
      <c r="N182" t="s">
        <v>8240</v>
      </c>
      <c r="O182" t="s">
        <v>8320</v>
      </c>
      <c r="P182" t="s">
        <v>8321</v>
      </c>
      <c r="Q182" t="str">
        <f>tblSales[[#This Row],[FirstName]]&amp; " " &amp;tblSales[[#This Row],[LastName]]</f>
        <v>Laura Callahan</v>
      </c>
      <c r="R182">
        <f>YEAR(tblSales[[#This Row],[OrderDate]])</f>
        <v>2019</v>
      </c>
      <c r="S182">
        <f>WEEKNUM(tblSales[[#This Row],[OrderDate]])</f>
        <v>24</v>
      </c>
      <c r="T182">
        <f>IF(ISBLANK(tblSales[[#This Row],[ShippedDate]]),"",tblSales[[#This Row],[ShippedDate]]-tblSales[[#This Row],[OrderDate]])</f>
        <v>2</v>
      </c>
      <c r="U182" t="str">
        <f>LEFT(tblSales[[#This Row],[ProductName]],20)</f>
        <v>Valkoinen suklaa</v>
      </c>
    </row>
    <row r="183" spans="2:21" x14ac:dyDescent="0.2">
      <c r="B183">
        <v>10383</v>
      </c>
      <c r="C183" t="s">
        <v>8341</v>
      </c>
      <c r="D183" t="s">
        <v>2434</v>
      </c>
      <c r="E183" t="s">
        <v>8244</v>
      </c>
      <c r="F183" s="222">
        <v>30.4</v>
      </c>
      <c r="G183">
        <v>20</v>
      </c>
      <c r="H183" s="223">
        <v>0</v>
      </c>
      <c r="I183" s="222">
        <v>608</v>
      </c>
      <c r="J183" t="s">
        <v>8386</v>
      </c>
      <c r="K183" t="s">
        <v>8387</v>
      </c>
      <c r="L183" s="118">
        <v>43631</v>
      </c>
      <c r="M183" s="118">
        <v>43633</v>
      </c>
      <c r="N183" t="s">
        <v>8240</v>
      </c>
      <c r="O183" t="s">
        <v>8320</v>
      </c>
      <c r="P183" t="s">
        <v>8321</v>
      </c>
      <c r="Q183" t="str">
        <f>tblSales[[#This Row],[FirstName]]&amp; " " &amp;tblSales[[#This Row],[LastName]]</f>
        <v>Laura Callahan</v>
      </c>
      <c r="R183">
        <f>YEAR(tblSales[[#This Row],[OrderDate]])</f>
        <v>2019</v>
      </c>
      <c r="S183">
        <f>WEEKNUM(tblSales[[#This Row],[OrderDate]])</f>
        <v>24</v>
      </c>
      <c r="T183">
        <f>IF(ISBLANK(tblSales[[#This Row],[ShippedDate]]),"",tblSales[[#This Row],[ShippedDate]]-tblSales[[#This Row],[OrderDate]])</f>
        <v>2</v>
      </c>
      <c r="U183" t="str">
        <f>LEFT(tblSales[[#This Row],[ProductName]],20)</f>
        <v>Gnocchi di nonna Ali</v>
      </c>
    </row>
    <row r="184" spans="2:21" x14ac:dyDescent="0.2">
      <c r="B184">
        <v>10384</v>
      </c>
      <c r="C184" t="s">
        <v>8260</v>
      </c>
      <c r="D184" t="s">
        <v>8292</v>
      </c>
      <c r="E184" t="s">
        <v>8262</v>
      </c>
      <c r="F184" s="222">
        <v>64.8</v>
      </c>
      <c r="G184">
        <v>28</v>
      </c>
      <c r="H184" s="223">
        <v>0</v>
      </c>
      <c r="I184" s="222">
        <v>1814.4</v>
      </c>
      <c r="J184" t="s">
        <v>8318</v>
      </c>
      <c r="K184" t="s">
        <v>8319</v>
      </c>
      <c r="L184" s="118">
        <v>43631</v>
      </c>
      <c r="M184" s="118">
        <v>43635</v>
      </c>
      <c r="N184" t="s">
        <v>8240</v>
      </c>
      <c r="O184" t="s">
        <v>8257</v>
      </c>
      <c r="P184" t="s">
        <v>6984</v>
      </c>
      <c r="Q184" t="str">
        <f>tblSales[[#This Row],[FirstName]]&amp; " " &amp;tblSales[[#This Row],[LastName]]</f>
        <v>Janet Leverling</v>
      </c>
      <c r="R184">
        <f>YEAR(tblSales[[#This Row],[OrderDate]])</f>
        <v>2019</v>
      </c>
      <c r="S184">
        <f>WEEKNUM(tblSales[[#This Row],[OrderDate]])</f>
        <v>24</v>
      </c>
      <c r="T184">
        <f>IF(ISBLANK(tblSales[[#This Row],[ShippedDate]]),"",tblSales[[#This Row],[ShippedDate]]-tblSales[[#This Row],[OrderDate]])</f>
        <v>4</v>
      </c>
      <c r="U184" t="str">
        <f>LEFT(tblSales[[#This Row],[ProductName]],20)</f>
        <v>Sir Rodney's Marmala</v>
      </c>
    </row>
    <row r="185" spans="2:21" x14ac:dyDescent="0.2">
      <c r="B185">
        <v>10384</v>
      </c>
      <c r="C185" t="s">
        <v>8268</v>
      </c>
      <c r="D185" t="s">
        <v>8292</v>
      </c>
      <c r="E185" t="s">
        <v>8237</v>
      </c>
      <c r="F185" s="222">
        <v>27.2</v>
      </c>
      <c r="G185">
        <v>15</v>
      </c>
      <c r="H185" s="223">
        <v>0</v>
      </c>
      <c r="I185" s="222">
        <v>408</v>
      </c>
      <c r="J185" t="s">
        <v>8318</v>
      </c>
      <c r="K185" t="s">
        <v>8319</v>
      </c>
      <c r="L185" s="118">
        <v>43631</v>
      </c>
      <c r="M185" s="118">
        <v>43635</v>
      </c>
      <c r="N185" t="s">
        <v>8240</v>
      </c>
      <c r="O185" t="s">
        <v>8257</v>
      </c>
      <c r="P185" t="s">
        <v>6984</v>
      </c>
      <c r="Q185" t="str">
        <f>tblSales[[#This Row],[FirstName]]&amp; " " &amp;tblSales[[#This Row],[LastName]]</f>
        <v>Janet Leverling</v>
      </c>
      <c r="R185">
        <f>YEAR(tblSales[[#This Row],[OrderDate]])</f>
        <v>2019</v>
      </c>
      <c r="S185">
        <f>WEEKNUM(tblSales[[#This Row],[OrderDate]])</f>
        <v>24</v>
      </c>
      <c r="T185">
        <f>IF(ISBLANK(tblSales[[#This Row],[ShippedDate]]),"",tblSales[[#This Row],[ShippedDate]]-tblSales[[#This Row],[OrderDate]])</f>
        <v>4</v>
      </c>
      <c r="U185" t="str">
        <f>LEFT(tblSales[[#This Row],[ProductName]],20)</f>
        <v>Camembert Pierrot</v>
      </c>
    </row>
    <row r="186" spans="2:21" x14ac:dyDescent="0.2">
      <c r="B186">
        <v>10387</v>
      </c>
      <c r="C186" t="s">
        <v>8270</v>
      </c>
      <c r="D186" t="s">
        <v>8403</v>
      </c>
      <c r="E186" t="s">
        <v>8272</v>
      </c>
      <c r="F186" s="222">
        <v>3.6</v>
      </c>
      <c r="G186">
        <v>15</v>
      </c>
      <c r="H186" s="223">
        <v>0</v>
      </c>
      <c r="I186" s="222">
        <v>54</v>
      </c>
      <c r="J186" t="s">
        <v>8404</v>
      </c>
      <c r="K186" t="s">
        <v>8405</v>
      </c>
      <c r="L186" s="118">
        <v>43633</v>
      </c>
      <c r="M186" s="118">
        <v>43635</v>
      </c>
      <c r="N186" t="s">
        <v>8265</v>
      </c>
      <c r="O186" t="s">
        <v>8285</v>
      </c>
      <c r="P186" t="s">
        <v>2317</v>
      </c>
      <c r="Q186" t="str">
        <f>tblSales[[#This Row],[FirstName]]&amp; " " &amp;tblSales[[#This Row],[LastName]]</f>
        <v>Nancy Davolio</v>
      </c>
      <c r="R186">
        <f>YEAR(tblSales[[#This Row],[OrderDate]])</f>
        <v>2019</v>
      </c>
      <c r="S186">
        <f>WEEKNUM(tblSales[[#This Row],[OrderDate]])</f>
        <v>25</v>
      </c>
      <c r="T186">
        <f>IF(ISBLANK(tblSales[[#This Row],[ShippedDate]]),"",tblSales[[#This Row],[ShippedDate]]-tblSales[[#This Row],[OrderDate]])</f>
        <v>2</v>
      </c>
      <c r="U186" t="str">
        <f>LEFT(tblSales[[#This Row],[ProductName]],20)</f>
        <v>Guaraná Fantástica</v>
      </c>
    </row>
    <row r="187" spans="2:21" x14ac:dyDescent="0.2">
      <c r="B187">
        <v>10387</v>
      </c>
      <c r="C187" t="s">
        <v>8281</v>
      </c>
      <c r="D187" t="s">
        <v>8403</v>
      </c>
      <c r="E187" t="s">
        <v>8237</v>
      </c>
      <c r="F187" s="222">
        <v>44</v>
      </c>
      <c r="G187">
        <v>12</v>
      </c>
      <c r="H187" s="223">
        <v>0</v>
      </c>
      <c r="I187" s="222">
        <v>528</v>
      </c>
      <c r="J187" t="s">
        <v>8404</v>
      </c>
      <c r="K187" t="s">
        <v>8405</v>
      </c>
      <c r="L187" s="118">
        <v>43633</v>
      </c>
      <c r="M187" s="118">
        <v>43635</v>
      </c>
      <c r="N187" t="s">
        <v>8265</v>
      </c>
      <c r="O187" t="s">
        <v>8285</v>
      </c>
      <c r="P187" t="s">
        <v>2317</v>
      </c>
      <c r="Q187" t="str">
        <f>tblSales[[#This Row],[FirstName]]&amp; " " &amp;tblSales[[#This Row],[LastName]]</f>
        <v>Nancy Davolio</v>
      </c>
      <c r="R187">
        <f>YEAR(tblSales[[#This Row],[OrderDate]])</f>
        <v>2019</v>
      </c>
      <c r="S187">
        <f>WEEKNUM(tblSales[[#This Row],[OrderDate]])</f>
        <v>25</v>
      </c>
      <c r="T187">
        <f>IF(ISBLANK(tblSales[[#This Row],[ShippedDate]]),"",tblSales[[#This Row],[ShippedDate]]-tblSales[[#This Row],[OrderDate]])</f>
        <v>2</v>
      </c>
      <c r="U187" t="str">
        <f>LEFT(tblSales[[#This Row],[ProductName]],20)</f>
        <v>Raclette Courdavault</v>
      </c>
    </row>
    <row r="188" spans="2:21" x14ac:dyDescent="0.2">
      <c r="B188">
        <v>10387</v>
      </c>
      <c r="C188" t="s">
        <v>8310</v>
      </c>
      <c r="D188" t="s">
        <v>8403</v>
      </c>
      <c r="E188" t="s">
        <v>8237</v>
      </c>
      <c r="F188" s="222">
        <v>17.2</v>
      </c>
      <c r="G188">
        <v>15</v>
      </c>
      <c r="H188" s="223">
        <v>0</v>
      </c>
      <c r="I188" s="222">
        <v>258</v>
      </c>
      <c r="J188" t="s">
        <v>8404</v>
      </c>
      <c r="K188" t="s">
        <v>8405</v>
      </c>
      <c r="L188" s="118">
        <v>43633</v>
      </c>
      <c r="M188" s="118">
        <v>43635</v>
      </c>
      <c r="N188" t="s">
        <v>8265</v>
      </c>
      <c r="O188" t="s">
        <v>8285</v>
      </c>
      <c r="P188" t="s">
        <v>2317</v>
      </c>
      <c r="Q188" t="str">
        <f>tblSales[[#This Row],[FirstName]]&amp; " " &amp;tblSales[[#This Row],[LastName]]</f>
        <v>Nancy Davolio</v>
      </c>
      <c r="R188">
        <f>YEAR(tblSales[[#This Row],[OrderDate]])</f>
        <v>2019</v>
      </c>
      <c r="S188">
        <f>WEEKNUM(tblSales[[#This Row],[OrderDate]])</f>
        <v>25</v>
      </c>
      <c r="T188">
        <f>IF(ISBLANK(tblSales[[#This Row],[ShippedDate]]),"",tblSales[[#This Row],[ShippedDate]]-tblSales[[#This Row],[OrderDate]])</f>
        <v>2</v>
      </c>
      <c r="U188" t="str">
        <f>LEFT(tblSales[[#This Row],[ProductName]],20)</f>
        <v>Fløtemysost</v>
      </c>
    </row>
    <row r="189" spans="2:21" x14ac:dyDescent="0.2">
      <c r="B189">
        <v>10387</v>
      </c>
      <c r="C189" t="s">
        <v>8316</v>
      </c>
      <c r="D189" t="s">
        <v>8403</v>
      </c>
      <c r="E189" t="s">
        <v>8247</v>
      </c>
      <c r="F189" s="222">
        <v>36.4</v>
      </c>
      <c r="G189">
        <v>6</v>
      </c>
      <c r="H189" s="223">
        <v>0</v>
      </c>
      <c r="I189" s="222">
        <v>218.4</v>
      </c>
      <c r="J189" t="s">
        <v>8404</v>
      </c>
      <c r="K189" t="s">
        <v>8405</v>
      </c>
      <c r="L189" s="118">
        <v>43633</v>
      </c>
      <c r="M189" s="118">
        <v>43635</v>
      </c>
      <c r="N189" t="s">
        <v>8265</v>
      </c>
      <c r="O189" t="s">
        <v>8285</v>
      </c>
      <c r="P189" t="s">
        <v>2317</v>
      </c>
      <c r="Q189" t="str">
        <f>tblSales[[#This Row],[FirstName]]&amp; " " &amp;tblSales[[#This Row],[LastName]]</f>
        <v>Nancy Davolio</v>
      </c>
      <c r="R189">
        <f>YEAR(tblSales[[#This Row],[OrderDate]])</f>
        <v>2019</v>
      </c>
      <c r="S189">
        <f>WEEKNUM(tblSales[[#This Row],[OrderDate]])</f>
        <v>25</v>
      </c>
      <c r="T189">
        <f>IF(ISBLANK(tblSales[[#This Row],[ShippedDate]]),"",tblSales[[#This Row],[ShippedDate]]-tblSales[[#This Row],[OrderDate]])</f>
        <v>2</v>
      </c>
      <c r="U189" t="str">
        <f>LEFT(tblSales[[#This Row],[ProductName]],20)</f>
        <v>Rössle Sauerkraut</v>
      </c>
    </row>
    <row r="190" spans="2:21" x14ac:dyDescent="0.2">
      <c r="B190">
        <v>10388</v>
      </c>
      <c r="C190" t="s">
        <v>8369</v>
      </c>
      <c r="D190" t="s">
        <v>2434</v>
      </c>
      <c r="E190" t="s">
        <v>8244</v>
      </c>
      <c r="F190" s="222">
        <v>5.6</v>
      </c>
      <c r="G190">
        <v>20</v>
      </c>
      <c r="H190" s="223">
        <v>0.20000000298023199</v>
      </c>
      <c r="I190" s="222">
        <v>89.6</v>
      </c>
      <c r="J190" t="s">
        <v>8388</v>
      </c>
      <c r="K190" t="s">
        <v>8389</v>
      </c>
      <c r="L190" s="118">
        <v>43634</v>
      </c>
      <c r="M190" s="118">
        <v>43635</v>
      </c>
      <c r="N190" t="s">
        <v>8250</v>
      </c>
      <c r="O190" t="s">
        <v>8297</v>
      </c>
      <c r="P190" t="s">
        <v>8298</v>
      </c>
      <c r="Q190" t="str">
        <f>tblSales[[#This Row],[FirstName]]&amp; " " &amp;tblSales[[#This Row],[LastName]]</f>
        <v>Andrew Fuller</v>
      </c>
      <c r="R190">
        <f>YEAR(tblSales[[#This Row],[OrderDate]])</f>
        <v>2019</v>
      </c>
      <c r="S190">
        <f>WEEKNUM(tblSales[[#This Row],[OrderDate]])</f>
        <v>25</v>
      </c>
      <c r="T190">
        <f>IF(ISBLANK(tblSales[[#This Row],[ShippedDate]]),"",tblSales[[#This Row],[ShippedDate]]-tblSales[[#This Row],[OrderDate]])</f>
        <v>1</v>
      </c>
      <c r="U190" t="str">
        <f>LEFT(tblSales[[#This Row],[ProductName]],20)</f>
        <v>Filo Mix</v>
      </c>
    </row>
    <row r="191" spans="2:21" x14ac:dyDescent="0.2">
      <c r="B191">
        <v>10390</v>
      </c>
      <c r="C191" t="s">
        <v>8323</v>
      </c>
      <c r="D191" t="s">
        <v>8282</v>
      </c>
      <c r="E191" t="s">
        <v>8272</v>
      </c>
      <c r="F191" s="222">
        <v>14.4</v>
      </c>
      <c r="G191">
        <v>40</v>
      </c>
      <c r="H191" s="223">
        <v>0.10000000149011599</v>
      </c>
      <c r="I191" s="222">
        <v>518.4</v>
      </c>
      <c r="J191" t="s">
        <v>8283</v>
      </c>
      <c r="K191" t="s">
        <v>8284</v>
      </c>
      <c r="L191" s="118">
        <v>43638</v>
      </c>
      <c r="M191" s="118">
        <v>43641</v>
      </c>
      <c r="N191" t="s">
        <v>8250</v>
      </c>
      <c r="O191" t="s">
        <v>8251</v>
      </c>
      <c r="P191" t="s">
        <v>269</v>
      </c>
      <c r="Q191" t="str">
        <f>tblSales[[#This Row],[FirstName]]&amp; " " &amp;tblSales[[#This Row],[LastName]]</f>
        <v>Michael Suyama</v>
      </c>
      <c r="R191">
        <f>YEAR(tblSales[[#This Row],[OrderDate]])</f>
        <v>2019</v>
      </c>
      <c r="S191">
        <f>WEEKNUM(tblSales[[#This Row],[OrderDate]])</f>
        <v>25</v>
      </c>
      <c r="T191">
        <f>IF(ISBLANK(tblSales[[#This Row],[ShippedDate]]),"",tblSales[[#This Row],[ShippedDate]]-tblSales[[#This Row],[OrderDate]])</f>
        <v>3</v>
      </c>
      <c r="U191" t="str">
        <f>LEFT(tblSales[[#This Row],[ProductName]],20)</f>
        <v>Steeleye Stout</v>
      </c>
    </row>
    <row r="192" spans="2:21" x14ac:dyDescent="0.2">
      <c r="B192">
        <v>10390</v>
      </c>
      <c r="C192" t="s">
        <v>8235</v>
      </c>
      <c r="D192" t="s">
        <v>8282</v>
      </c>
      <c r="E192" t="s">
        <v>8237</v>
      </c>
      <c r="F192" s="222">
        <v>27.8</v>
      </c>
      <c r="G192">
        <v>24</v>
      </c>
      <c r="H192" s="223">
        <v>0.10000000149011599</v>
      </c>
      <c r="I192" s="222">
        <v>600.48</v>
      </c>
      <c r="J192" t="s">
        <v>8283</v>
      </c>
      <c r="K192" t="s">
        <v>8284</v>
      </c>
      <c r="L192" s="118">
        <v>43638</v>
      </c>
      <c r="M192" s="118">
        <v>43641</v>
      </c>
      <c r="N192" t="s">
        <v>8250</v>
      </c>
      <c r="O192" t="s">
        <v>8251</v>
      </c>
      <c r="P192" t="s">
        <v>269</v>
      </c>
      <c r="Q192" t="str">
        <f>tblSales[[#This Row],[FirstName]]&amp; " " &amp;tblSales[[#This Row],[LastName]]</f>
        <v>Michael Suyama</v>
      </c>
      <c r="R192">
        <f>YEAR(tblSales[[#This Row],[OrderDate]])</f>
        <v>2019</v>
      </c>
      <c r="S192">
        <f>WEEKNUM(tblSales[[#This Row],[OrderDate]])</f>
        <v>25</v>
      </c>
      <c r="T192">
        <f>IF(ISBLANK(tblSales[[#This Row],[ShippedDate]]),"",tblSales[[#This Row],[ShippedDate]]-tblSales[[#This Row],[OrderDate]])</f>
        <v>3</v>
      </c>
      <c r="U192" t="str">
        <f>LEFT(tblSales[[#This Row],[ProductName]],20)</f>
        <v>Mozzarella di Giovan</v>
      </c>
    </row>
    <row r="193" spans="2:21" x14ac:dyDescent="0.2">
      <c r="B193">
        <v>10390</v>
      </c>
      <c r="C193" t="s">
        <v>8309</v>
      </c>
      <c r="D193" t="s">
        <v>8282</v>
      </c>
      <c r="E193" t="s">
        <v>8237</v>
      </c>
      <c r="F193" s="222">
        <v>10</v>
      </c>
      <c r="G193">
        <v>60</v>
      </c>
      <c r="H193" s="223">
        <v>0.10000000149011599</v>
      </c>
      <c r="I193" s="222">
        <v>540</v>
      </c>
      <c r="J193" t="s">
        <v>8283</v>
      </c>
      <c r="K193" t="s">
        <v>8284</v>
      </c>
      <c r="L193" s="118">
        <v>43638</v>
      </c>
      <c r="M193" s="118">
        <v>43641</v>
      </c>
      <c r="N193" t="s">
        <v>8250</v>
      </c>
      <c r="O193" t="s">
        <v>8251</v>
      </c>
      <c r="P193" t="s">
        <v>269</v>
      </c>
      <c r="Q193" t="str">
        <f>tblSales[[#This Row],[FirstName]]&amp; " " &amp;tblSales[[#This Row],[LastName]]</f>
        <v>Michael Suyama</v>
      </c>
      <c r="R193">
        <f>YEAR(tblSales[[#This Row],[OrderDate]])</f>
        <v>2019</v>
      </c>
      <c r="S193">
        <f>WEEKNUM(tblSales[[#This Row],[OrderDate]])</f>
        <v>25</v>
      </c>
      <c r="T193">
        <f>IF(ISBLANK(tblSales[[#This Row],[ShippedDate]]),"",tblSales[[#This Row],[ShippedDate]]-tblSales[[#This Row],[OrderDate]])</f>
        <v>3</v>
      </c>
      <c r="U193" t="str">
        <f>LEFT(tblSales[[#This Row],[ProductName]],20)</f>
        <v>Gorgonzola Telino</v>
      </c>
    </row>
    <row r="194" spans="2:21" x14ac:dyDescent="0.2">
      <c r="B194">
        <v>10392</v>
      </c>
      <c r="C194" t="s">
        <v>8353</v>
      </c>
      <c r="D194" t="s">
        <v>8282</v>
      </c>
      <c r="E194" t="s">
        <v>8237</v>
      </c>
      <c r="F194" s="222">
        <v>28.8</v>
      </c>
      <c r="G194">
        <v>50</v>
      </c>
      <c r="H194" s="223">
        <v>0</v>
      </c>
      <c r="I194" s="222">
        <v>1440</v>
      </c>
      <c r="J194" t="s">
        <v>8384</v>
      </c>
      <c r="K194" t="s">
        <v>8385</v>
      </c>
      <c r="L194" s="118">
        <v>43639</v>
      </c>
      <c r="M194" s="118">
        <v>43647</v>
      </c>
      <c r="N194" t="s">
        <v>8240</v>
      </c>
      <c r="O194" t="s">
        <v>8297</v>
      </c>
      <c r="P194" t="s">
        <v>8298</v>
      </c>
      <c r="Q194" t="str">
        <f>tblSales[[#This Row],[FirstName]]&amp; " " &amp;tblSales[[#This Row],[LastName]]</f>
        <v>Andrew Fuller</v>
      </c>
      <c r="R194">
        <f>YEAR(tblSales[[#This Row],[OrderDate]])</f>
        <v>2019</v>
      </c>
      <c r="S194">
        <f>WEEKNUM(tblSales[[#This Row],[OrderDate]])</f>
        <v>26</v>
      </c>
      <c r="T194">
        <f>IF(ISBLANK(tblSales[[#This Row],[ShippedDate]]),"",tblSales[[#This Row],[ShippedDate]]-tblSales[[#This Row],[OrderDate]])</f>
        <v>8</v>
      </c>
      <c r="U194" t="str">
        <f>LEFT(tblSales[[#This Row],[ProductName]],20)</f>
        <v>Gudbrandsdalsost</v>
      </c>
    </row>
    <row r="195" spans="2:21" x14ac:dyDescent="0.2">
      <c r="B195">
        <v>10397</v>
      </c>
      <c r="C195" t="s">
        <v>8368</v>
      </c>
      <c r="D195" t="s">
        <v>8365</v>
      </c>
      <c r="E195" t="s">
        <v>8262</v>
      </c>
      <c r="F195" s="222">
        <v>8</v>
      </c>
      <c r="G195">
        <v>10</v>
      </c>
      <c r="H195" s="223">
        <v>0.15000000596046401</v>
      </c>
      <c r="I195" s="222">
        <v>68</v>
      </c>
      <c r="J195" t="s">
        <v>8370</v>
      </c>
      <c r="K195" t="s">
        <v>8371</v>
      </c>
      <c r="L195" s="118">
        <v>43642</v>
      </c>
      <c r="M195" s="118">
        <v>43648</v>
      </c>
      <c r="N195" t="s">
        <v>8250</v>
      </c>
      <c r="O195" t="s">
        <v>8241</v>
      </c>
      <c r="P195" t="s">
        <v>6934</v>
      </c>
      <c r="Q195" t="str">
        <f>tblSales[[#This Row],[FirstName]]&amp; " " &amp;tblSales[[#This Row],[LastName]]</f>
        <v>Steven Buchanan</v>
      </c>
      <c r="R195">
        <f>YEAR(tblSales[[#This Row],[OrderDate]])</f>
        <v>2019</v>
      </c>
      <c r="S195">
        <f>WEEKNUM(tblSales[[#This Row],[OrderDate]])</f>
        <v>26</v>
      </c>
      <c r="T195">
        <f>IF(ISBLANK(tblSales[[#This Row],[ShippedDate]]),"",tblSales[[#This Row],[ShippedDate]]-tblSales[[#This Row],[OrderDate]])</f>
        <v>6</v>
      </c>
      <c r="U195" t="str">
        <f>LEFT(tblSales[[#This Row],[ProductName]],20)</f>
        <v>Sir Rodney's Scones</v>
      </c>
    </row>
    <row r="196" spans="2:21" x14ac:dyDescent="0.2">
      <c r="B196">
        <v>10397</v>
      </c>
      <c r="C196" t="s">
        <v>8245</v>
      </c>
      <c r="D196" t="s">
        <v>8365</v>
      </c>
      <c r="E196" t="s">
        <v>8247</v>
      </c>
      <c r="F196" s="222">
        <v>42.4</v>
      </c>
      <c r="G196">
        <v>18</v>
      </c>
      <c r="H196" s="223">
        <v>0.15000000596046401</v>
      </c>
      <c r="I196" s="222">
        <v>648.72</v>
      </c>
      <c r="J196" t="s">
        <v>8370</v>
      </c>
      <c r="K196" t="s">
        <v>8371</v>
      </c>
      <c r="L196" s="118">
        <v>43642</v>
      </c>
      <c r="M196" s="118">
        <v>43648</v>
      </c>
      <c r="N196" t="s">
        <v>8250</v>
      </c>
      <c r="O196" t="s">
        <v>8241</v>
      </c>
      <c r="P196" t="s">
        <v>6934</v>
      </c>
      <c r="Q196" t="str">
        <f>tblSales[[#This Row],[FirstName]]&amp; " " &amp;tblSales[[#This Row],[LastName]]</f>
        <v>Steven Buchanan</v>
      </c>
      <c r="R196">
        <f>YEAR(tblSales[[#This Row],[OrderDate]])</f>
        <v>2019</v>
      </c>
      <c r="S196">
        <f>WEEKNUM(tblSales[[#This Row],[OrderDate]])</f>
        <v>26</v>
      </c>
      <c r="T196">
        <f>IF(ISBLANK(tblSales[[#This Row],[ShippedDate]]),"",tblSales[[#This Row],[ShippedDate]]-tblSales[[#This Row],[OrderDate]])</f>
        <v>6</v>
      </c>
      <c r="U196" t="str">
        <f>LEFT(tblSales[[#This Row],[ProductName]],20)</f>
        <v>Manjimup Dried Apple</v>
      </c>
    </row>
    <row r="197" spans="2:21" x14ac:dyDescent="0.2">
      <c r="B197">
        <v>10396</v>
      </c>
      <c r="C197" t="s">
        <v>8310</v>
      </c>
      <c r="D197" t="s">
        <v>8246</v>
      </c>
      <c r="E197" t="s">
        <v>8237</v>
      </c>
      <c r="F197" s="222">
        <v>17.2</v>
      </c>
      <c r="G197">
        <v>60</v>
      </c>
      <c r="H197" s="223">
        <v>0</v>
      </c>
      <c r="I197" s="222">
        <v>1032</v>
      </c>
      <c r="J197" t="s">
        <v>8304</v>
      </c>
      <c r="K197" t="s">
        <v>8305</v>
      </c>
      <c r="L197" s="118">
        <v>43642</v>
      </c>
      <c r="M197" s="118">
        <v>43652</v>
      </c>
      <c r="N197" t="s">
        <v>8240</v>
      </c>
      <c r="O197" t="s">
        <v>8285</v>
      </c>
      <c r="P197" t="s">
        <v>2317</v>
      </c>
      <c r="Q197" t="str">
        <f>tblSales[[#This Row],[FirstName]]&amp; " " &amp;tblSales[[#This Row],[LastName]]</f>
        <v>Nancy Davolio</v>
      </c>
      <c r="R197">
        <f>YEAR(tblSales[[#This Row],[OrderDate]])</f>
        <v>2019</v>
      </c>
      <c r="S197">
        <f>WEEKNUM(tblSales[[#This Row],[OrderDate]])</f>
        <v>26</v>
      </c>
      <c r="T197">
        <f>IF(ISBLANK(tblSales[[#This Row],[ShippedDate]]),"",tblSales[[#This Row],[ShippedDate]]-tblSales[[#This Row],[OrderDate]])</f>
        <v>10</v>
      </c>
      <c r="U197" t="str">
        <f>LEFT(tblSales[[#This Row],[ProductName]],20)</f>
        <v>Fløtemysost</v>
      </c>
    </row>
    <row r="198" spans="2:21" x14ac:dyDescent="0.2">
      <c r="B198">
        <v>10396</v>
      </c>
      <c r="C198" t="s">
        <v>8235</v>
      </c>
      <c r="D198" t="s">
        <v>8246</v>
      </c>
      <c r="E198" t="s">
        <v>8237</v>
      </c>
      <c r="F198" s="222">
        <v>27.8</v>
      </c>
      <c r="G198">
        <v>21</v>
      </c>
      <c r="H198" s="223">
        <v>0</v>
      </c>
      <c r="I198" s="222">
        <v>583.79999999999995</v>
      </c>
      <c r="J198" t="s">
        <v>8304</v>
      </c>
      <c r="K198" t="s">
        <v>8305</v>
      </c>
      <c r="L198" s="118">
        <v>43642</v>
      </c>
      <c r="M198" s="118">
        <v>43652</v>
      </c>
      <c r="N198" t="s">
        <v>8240</v>
      </c>
      <c r="O198" t="s">
        <v>8285</v>
      </c>
      <c r="P198" t="s">
        <v>2317</v>
      </c>
      <c r="Q198" t="str">
        <f>tblSales[[#This Row],[FirstName]]&amp; " " &amp;tblSales[[#This Row],[LastName]]</f>
        <v>Nancy Davolio</v>
      </c>
      <c r="R198">
        <f>YEAR(tblSales[[#This Row],[OrderDate]])</f>
        <v>2019</v>
      </c>
      <c r="S198">
        <f>WEEKNUM(tblSales[[#This Row],[OrderDate]])</f>
        <v>26</v>
      </c>
      <c r="T198">
        <f>IF(ISBLANK(tblSales[[#This Row],[ShippedDate]]),"",tblSales[[#This Row],[ShippedDate]]-tblSales[[#This Row],[OrderDate]])</f>
        <v>10</v>
      </c>
      <c r="U198" t="str">
        <f>LEFT(tblSales[[#This Row],[ProductName]],20)</f>
        <v>Mozzarella di Giovan</v>
      </c>
    </row>
    <row r="199" spans="2:21" x14ac:dyDescent="0.2">
      <c r="B199">
        <v>10396</v>
      </c>
      <c r="C199" t="s">
        <v>8373</v>
      </c>
      <c r="D199" t="s">
        <v>8246</v>
      </c>
      <c r="E199" t="s">
        <v>8244</v>
      </c>
      <c r="F199" s="222">
        <v>7.2</v>
      </c>
      <c r="G199">
        <v>40</v>
      </c>
      <c r="H199" s="223">
        <v>0</v>
      </c>
      <c r="I199" s="222">
        <v>288</v>
      </c>
      <c r="J199" t="s">
        <v>8304</v>
      </c>
      <c r="K199" t="s">
        <v>8305</v>
      </c>
      <c r="L199" s="118">
        <v>43642</v>
      </c>
      <c r="M199" s="118">
        <v>43652</v>
      </c>
      <c r="N199" t="s">
        <v>8240</v>
      </c>
      <c r="O199" t="s">
        <v>8285</v>
      </c>
      <c r="P199" t="s">
        <v>2317</v>
      </c>
      <c r="Q199" t="str">
        <f>tblSales[[#This Row],[FirstName]]&amp; " " &amp;tblSales[[#This Row],[LastName]]</f>
        <v>Nancy Davolio</v>
      </c>
      <c r="R199">
        <f>YEAR(tblSales[[#This Row],[OrderDate]])</f>
        <v>2019</v>
      </c>
      <c r="S199">
        <f>WEEKNUM(tblSales[[#This Row],[OrderDate]])</f>
        <v>26</v>
      </c>
      <c r="T199">
        <f>IF(ISBLANK(tblSales[[#This Row],[ShippedDate]]),"",tblSales[[#This Row],[ShippedDate]]-tblSales[[#This Row],[OrderDate]])</f>
        <v>10</v>
      </c>
      <c r="U199" t="str">
        <f>LEFT(tblSales[[#This Row],[ProductName]],20)</f>
        <v>Tunnbröd</v>
      </c>
    </row>
    <row r="200" spans="2:21" x14ac:dyDescent="0.2">
      <c r="B200">
        <v>10399</v>
      </c>
      <c r="C200" t="s">
        <v>8303</v>
      </c>
      <c r="D200" t="s">
        <v>8374</v>
      </c>
      <c r="E200" t="s">
        <v>8272</v>
      </c>
      <c r="F200" s="222">
        <v>14.4</v>
      </c>
      <c r="G200">
        <v>35</v>
      </c>
      <c r="H200" s="223">
        <v>0</v>
      </c>
      <c r="I200" s="222">
        <v>504</v>
      </c>
      <c r="J200" t="s">
        <v>8395</v>
      </c>
      <c r="K200" t="s">
        <v>8396</v>
      </c>
      <c r="L200" s="118">
        <v>43646</v>
      </c>
      <c r="M200" s="118">
        <v>43654</v>
      </c>
      <c r="N200" t="s">
        <v>8240</v>
      </c>
      <c r="O200" t="s">
        <v>8320</v>
      </c>
      <c r="P200" t="s">
        <v>8321</v>
      </c>
      <c r="Q200" t="str">
        <f>tblSales[[#This Row],[FirstName]]&amp; " " &amp;tblSales[[#This Row],[LastName]]</f>
        <v>Laura Callahan</v>
      </c>
      <c r="R200">
        <f>YEAR(tblSales[[#This Row],[OrderDate]])</f>
        <v>2019</v>
      </c>
      <c r="S200">
        <f>WEEKNUM(tblSales[[#This Row],[OrderDate]])</f>
        <v>27</v>
      </c>
      <c r="T200">
        <f>IF(ISBLANK(tblSales[[#This Row],[ShippedDate]]),"",tblSales[[#This Row],[ShippedDate]]-tblSales[[#This Row],[OrderDate]])</f>
        <v>8</v>
      </c>
      <c r="U200" t="str">
        <f>LEFT(tblSales[[#This Row],[ProductName]],20)</f>
        <v>Lakkalikööri</v>
      </c>
    </row>
    <row r="201" spans="2:21" x14ac:dyDescent="0.2">
      <c r="B201">
        <v>10399</v>
      </c>
      <c r="C201" t="s">
        <v>8397</v>
      </c>
      <c r="D201" t="s">
        <v>8374</v>
      </c>
      <c r="E201" t="s">
        <v>8254</v>
      </c>
      <c r="F201" s="222">
        <v>10.4</v>
      </c>
      <c r="G201">
        <v>14</v>
      </c>
      <c r="H201" s="223">
        <v>0</v>
      </c>
      <c r="I201" s="222">
        <v>145.6</v>
      </c>
      <c r="J201" t="s">
        <v>8395</v>
      </c>
      <c r="K201" t="s">
        <v>8396</v>
      </c>
      <c r="L201" s="118">
        <v>43646</v>
      </c>
      <c r="M201" s="118">
        <v>43654</v>
      </c>
      <c r="N201" t="s">
        <v>8240</v>
      </c>
      <c r="O201" t="s">
        <v>8320</v>
      </c>
      <c r="P201" t="s">
        <v>8321</v>
      </c>
      <c r="Q201" t="str">
        <f>tblSales[[#This Row],[FirstName]]&amp; " " &amp;tblSales[[#This Row],[LastName]]</f>
        <v>Laura Callahan</v>
      </c>
      <c r="R201">
        <f>YEAR(tblSales[[#This Row],[OrderDate]])</f>
        <v>2019</v>
      </c>
      <c r="S201">
        <f>WEEKNUM(tblSales[[#This Row],[OrderDate]])</f>
        <v>27</v>
      </c>
      <c r="T201">
        <f>IF(ISBLANK(tblSales[[#This Row],[ShippedDate]]),"",tblSales[[#This Row],[ShippedDate]]-tblSales[[#This Row],[OrderDate]])</f>
        <v>8</v>
      </c>
      <c r="U201" t="str">
        <f>LEFT(tblSales[[#This Row],[ProductName]],20)</f>
        <v>Original Frankfurter</v>
      </c>
    </row>
    <row r="202" spans="2:21" x14ac:dyDescent="0.2">
      <c r="B202">
        <v>10399</v>
      </c>
      <c r="C202" t="s">
        <v>8334</v>
      </c>
      <c r="D202" t="s">
        <v>8374</v>
      </c>
      <c r="E202" t="s">
        <v>8262</v>
      </c>
      <c r="F202" s="222">
        <v>10</v>
      </c>
      <c r="G202">
        <v>60</v>
      </c>
      <c r="H202" s="223">
        <v>0</v>
      </c>
      <c r="I202" s="222">
        <v>600</v>
      </c>
      <c r="J202" t="s">
        <v>8395</v>
      </c>
      <c r="K202" t="s">
        <v>8396</v>
      </c>
      <c r="L202" s="118">
        <v>43646</v>
      </c>
      <c r="M202" s="118">
        <v>43654</v>
      </c>
      <c r="N202" t="s">
        <v>8240</v>
      </c>
      <c r="O202" t="s">
        <v>8320</v>
      </c>
      <c r="P202" t="s">
        <v>8321</v>
      </c>
      <c r="Q202" t="str">
        <f>tblSales[[#This Row],[FirstName]]&amp; " " &amp;tblSales[[#This Row],[LastName]]</f>
        <v>Laura Callahan</v>
      </c>
      <c r="R202">
        <f>YEAR(tblSales[[#This Row],[OrderDate]])</f>
        <v>2019</v>
      </c>
      <c r="S202">
        <f>WEEKNUM(tblSales[[#This Row],[OrderDate]])</f>
        <v>27</v>
      </c>
      <c r="T202">
        <f>IF(ISBLANK(tblSales[[#This Row],[ShippedDate]]),"",tblSales[[#This Row],[ShippedDate]]-tblSales[[#This Row],[OrderDate]])</f>
        <v>8</v>
      </c>
      <c r="U202" t="str">
        <f>LEFT(tblSales[[#This Row],[ProductName]],20)</f>
        <v>Scottish Longbreads</v>
      </c>
    </row>
    <row r="203" spans="2:21" x14ac:dyDescent="0.2">
      <c r="B203">
        <v>10399</v>
      </c>
      <c r="C203" t="s">
        <v>8310</v>
      </c>
      <c r="D203" t="s">
        <v>8374</v>
      </c>
      <c r="E203" t="s">
        <v>8237</v>
      </c>
      <c r="F203" s="222">
        <v>17.2</v>
      </c>
      <c r="G203">
        <v>30</v>
      </c>
      <c r="H203" s="223">
        <v>0</v>
      </c>
      <c r="I203" s="222">
        <v>516</v>
      </c>
      <c r="J203" t="s">
        <v>8395</v>
      </c>
      <c r="K203" t="s">
        <v>8396</v>
      </c>
      <c r="L203" s="118">
        <v>43646</v>
      </c>
      <c r="M203" s="118">
        <v>43654</v>
      </c>
      <c r="N203" t="s">
        <v>8240</v>
      </c>
      <c r="O203" t="s">
        <v>8320</v>
      </c>
      <c r="P203" t="s">
        <v>8321</v>
      </c>
      <c r="Q203" t="str">
        <f>tblSales[[#This Row],[FirstName]]&amp; " " &amp;tblSales[[#This Row],[LastName]]</f>
        <v>Laura Callahan</v>
      </c>
      <c r="R203">
        <f>YEAR(tblSales[[#This Row],[OrderDate]])</f>
        <v>2019</v>
      </c>
      <c r="S203">
        <f>WEEKNUM(tblSales[[#This Row],[OrderDate]])</f>
        <v>27</v>
      </c>
      <c r="T203">
        <f>IF(ISBLANK(tblSales[[#This Row],[ShippedDate]]),"",tblSales[[#This Row],[ShippedDate]]-tblSales[[#This Row],[OrderDate]])</f>
        <v>8</v>
      </c>
      <c r="U203" t="str">
        <f>LEFT(tblSales[[#This Row],[ProductName]],20)</f>
        <v>Fløtemysost</v>
      </c>
    </row>
    <row r="204" spans="2:21" x14ac:dyDescent="0.2">
      <c r="B204">
        <v>10400</v>
      </c>
      <c r="C204" t="s">
        <v>8323</v>
      </c>
      <c r="D204" t="s">
        <v>2434</v>
      </c>
      <c r="E204" t="s">
        <v>8272</v>
      </c>
      <c r="F204" s="222">
        <v>14.4</v>
      </c>
      <c r="G204">
        <v>35</v>
      </c>
      <c r="H204" s="223">
        <v>0</v>
      </c>
      <c r="I204" s="222">
        <v>504</v>
      </c>
      <c r="J204" t="s">
        <v>8393</v>
      </c>
      <c r="K204" t="s">
        <v>8394</v>
      </c>
      <c r="L204" s="118">
        <v>43647</v>
      </c>
      <c r="M204" s="118">
        <v>43662</v>
      </c>
      <c r="N204" t="s">
        <v>8240</v>
      </c>
      <c r="O204" t="s">
        <v>8285</v>
      </c>
      <c r="P204" t="s">
        <v>2317</v>
      </c>
      <c r="Q204" t="str">
        <f>tblSales[[#This Row],[FirstName]]&amp; " " &amp;tblSales[[#This Row],[LastName]]</f>
        <v>Nancy Davolio</v>
      </c>
      <c r="R204">
        <f>YEAR(tblSales[[#This Row],[OrderDate]])</f>
        <v>2019</v>
      </c>
      <c r="S204">
        <f>WEEKNUM(tblSales[[#This Row],[OrderDate]])</f>
        <v>27</v>
      </c>
      <c r="T204">
        <f>IF(ISBLANK(tblSales[[#This Row],[ShippedDate]]),"",tblSales[[#This Row],[ShippedDate]]-tblSales[[#This Row],[OrderDate]])</f>
        <v>15</v>
      </c>
      <c r="U204" t="str">
        <f>LEFT(tblSales[[#This Row],[ProductName]],20)</f>
        <v>Steeleye Stout</v>
      </c>
    </row>
    <row r="205" spans="2:21" x14ac:dyDescent="0.2">
      <c r="B205">
        <v>10400</v>
      </c>
      <c r="C205" t="s">
        <v>8390</v>
      </c>
      <c r="D205" t="s">
        <v>2434</v>
      </c>
      <c r="E205" t="s">
        <v>8262</v>
      </c>
      <c r="F205" s="222">
        <v>16</v>
      </c>
      <c r="G205">
        <v>30</v>
      </c>
      <c r="H205" s="223">
        <v>0</v>
      </c>
      <c r="I205" s="222">
        <v>480</v>
      </c>
      <c r="J205" t="s">
        <v>8393</v>
      </c>
      <c r="K205" t="s">
        <v>8394</v>
      </c>
      <c r="L205" s="118">
        <v>43647</v>
      </c>
      <c r="M205" s="118">
        <v>43662</v>
      </c>
      <c r="N205" t="s">
        <v>8240</v>
      </c>
      <c r="O205" t="s">
        <v>8285</v>
      </c>
      <c r="P205" t="s">
        <v>2317</v>
      </c>
      <c r="Q205" t="str">
        <f>tblSales[[#This Row],[FirstName]]&amp; " " &amp;tblSales[[#This Row],[LastName]]</f>
        <v>Nancy Davolio</v>
      </c>
      <c r="R205">
        <f>YEAR(tblSales[[#This Row],[OrderDate]])</f>
        <v>2019</v>
      </c>
      <c r="S205">
        <f>WEEKNUM(tblSales[[#This Row],[OrderDate]])</f>
        <v>27</v>
      </c>
      <c r="T205">
        <f>IF(ISBLANK(tblSales[[#This Row],[ShippedDate]]),"",tblSales[[#This Row],[ShippedDate]]-tblSales[[#This Row],[OrderDate]])</f>
        <v>15</v>
      </c>
      <c r="U205" t="str">
        <f>LEFT(tblSales[[#This Row],[ProductName]],20)</f>
        <v>Maxilaku</v>
      </c>
    </row>
    <row r="206" spans="2:21" x14ac:dyDescent="0.2">
      <c r="B206">
        <v>10402</v>
      </c>
      <c r="C206" t="s">
        <v>8317</v>
      </c>
      <c r="D206" t="s">
        <v>8282</v>
      </c>
      <c r="E206" t="s">
        <v>8254</v>
      </c>
      <c r="F206" s="222">
        <v>35.1</v>
      </c>
      <c r="G206">
        <v>65</v>
      </c>
      <c r="H206" s="223">
        <v>0</v>
      </c>
      <c r="I206" s="222">
        <v>2281.5</v>
      </c>
      <c r="J206" t="s">
        <v>8283</v>
      </c>
      <c r="K206" t="s">
        <v>8284</v>
      </c>
      <c r="L206" s="118">
        <v>43648</v>
      </c>
      <c r="M206" s="118">
        <v>43656</v>
      </c>
      <c r="N206" t="s">
        <v>8265</v>
      </c>
      <c r="O206" t="s">
        <v>8320</v>
      </c>
      <c r="P206" t="s">
        <v>8321</v>
      </c>
      <c r="Q206" t="str">
        <f>tblSales[[#This Row],[FirstName]]&amp; " " &amp;tblSales[[#This Row],[LastName]]</f>
        <v>Laura Callahan</v>
      </c>
      <c r="R206">
        <f>YEAR(tblSales[[#This Row],[OrderDate]])</f>
        <v>2019</v>
      </c>
      <c r="S206">
        <f>WEEKNUM(tblSales[[#This Row],[OrderDate]])</f>
        <v>27</v>
      </c>
      <c r="T206">
        <f>IF(ISBLANK(tblSales[[#This Row],[ShippedDate]]),"",tblSales[[#This Row],[ShippedDate]]-tblSales[[#This Row],[OrderDate]])</f>
        <v>8</v>
      </c>
      <c r="U206" t="str">
        <f>LEFT(tblSales[[#This Row],[ProductName]],20)</f>
        <v>Vegie-spread</v>
      </c>
    </row>
    <row r="207" spans="2:21" x14ac:dyDescent="0.2">
      <c r="B207">
        <v>10402</v>
      </c>
      <c r="C207" t="s">
        <v>8373</v>
      </c>
      <c r="D207" t="s">
        <v>8282</v>
      </c>
      <c r="E207" t="s">
        <v>8244</v>
      </c>
      <c r="F207" s="222">
        <v>7.2</v>
      </c>
      <c r="G207">
        <v>60</v>
      </c>
      <c r="H207" s="223">
        <v>0</v>
      </c>
      <c r="I207" s="222">
        <v>432</v>
      </c>
      <c r="J207" t="s">
        <v>8283</v>
      </c>
      <c r="K207" t="s">
        <v>8284</v>
      </c>
      <c r="L207" s="118">
        <v>43648</v>
      </c>
      <c r="M207" s="118">
        <v>43656</v>
      </c>
      <c r="N207" t="s">
        <v>8265</v>
      </c>
      <c r="O207" t="s">
        <v>8320</v>
      </c>
      <c r="P207" t="s">
        <v>8321</v>
      </c>
      <c r="Q207" t="str">
        <f>tblSales[[#This Row],[FirstName]]&amp; " " &amp;tblSales[[#This Row],[LastName]]</f>
        <v>Laura Callahan</v>
      </c>
      <c r="R207">
        <f>YEAR(tblSales[[#This Row],[OrderDate]])</f>
        <v>2019</v>
      </c>
      <c r="S207">
        <f>WEEKNUM(tblSales[[#This Row],[OrderDate]])</f>
        <v>27</v>
      </c>
      <c r="T207">
        <f>IF(ISBLANK(tblSales[[#This Row],[ShippedDate]]),"",tblSales[[#This Row],[ShippedDate]]-tblSales[[#This Row],[OrderDate]])</f>
        <v>8</v>
      </c>
      <c r="U207" t="str">
        <f>LEFT(tblSales[[#This Row],[ProductName]],20)</f>
        <v>Tunnbröd</v>
      </c>
    </row>
    <row r="208" spans="2:21" x14ac:dyDescent="0.2">
      <c r="B208">
        <v>10404</v>
      </c>
      <c r="C208" t="s">
        <v>8372</v>
      </c>
      <c r="D208" t="s">
        <v>8311</v>
      </c>
      <c r="E208" t="s">
        <v>8262</v>
      </c>
      <c r="F208" s="222">
        <v>24.9</v>
      </c>
      <c r="G208">
        <v>30</v>
      </c>
      <c r="H208" s="223">
        <v>5.0000000745058101E-2</v>
      </c>
      <c r="I208" s="222">
        <v>709.65</v>
      </c>
      <c r="J208" t="s">
        <v>8312</v>
      </c>
      <c r="K208" t="s">
        <v>8313</v>
      </c>
      <c r="L208" s="118">
        <v>43649</v>
      </c>
      <c r="M208" s="118">
        <v>43654</v>
      </c>
      <c r="N208" t="s">
        <v>8250</v>
      </c>
      <c r="O208" t="s">
        <v>8297</v>
      </c>
      <c r="P208" t="s">
        <v>8298</v>
      </c>
      <c r="Q208" t="str">
        <f>tblSales[[#This Row],[FirstName]]&amp; " " &amp;tblSales[[#This Row],[LastName]]</f>
        <v>Andrew Fuller</v>
      </c>
      <c r="R208">
        <f>YEAR(tblSales[[#This Row],[OrderDate]])</f>
        <v>2019</v>
      </c>
      <c r="S208">
        <f>WEEKNUM(tblSales[[#This Row],[OrderDate]])</f>
        <v>27</v>
      </c>
      <c r="T208">
        <f>IF(ISBLANK(tblSales[[#This Row],[ShippedDate]]),"",tblSales[[#This Row],[ShippedDate]]-tblSales[[#This Row],[OrderDate]])</f>
        <v>5</v>
      </c>
      <c r="U208" t="str">
        <f>LEFT(tblSales[[#This Row],[ProductName]],20)</f>
        <v>Gumbär Gummibärchen</v>
      </c>
    </row>
    <row r="209" spans="2:21" x14ac:dyDescent="0.2">
      <c r="B209">
        <v>10404</v>
      </c>
      <c r="C209" t="s">
        <v>8390</v>
      </c>
      <c r="D209" t="s">
        <v>8311</v>
      </c>
      <c r="E209" t="s">
        <v>8262</v>
      </c>
      <c r="F209" s="222">
        <v>16</v>
      </c>
      <c r="G209">
        <v>30</v>
      </c>
      <c r="H209" s="223">
        <v>5.0000000745058101E-2</v>
      </c>
      <c r="I209" s="222">
        <v>456</v>
      </c>
      <c r="J209" t="s">
        <v>8312</v>
      </c>
      <c r="K209" t="s">
        <v>8313</v>
      </c>
      <c r="L209" s="118">
        <v>43649</v>
      </c>
      <c r="M209" s="118">
        <v>43654</v>
      </c>
      <c r="N209" t="s">
        <v>8250</v>
      </c>
      <c r="O209" t="s">
        <v>8297</v>
      </c>
      <c r="P209" t="s">
        <v>8298</v>
      </c>
      <c r="Q209" t="str">
        <f>tblSales[[#This Row],[FirstName]]&amp; " " &amp;tblSales[[#This Row],[LastName]]</f>
        <v>Andrew Fuller</v>
      </c>
      <c r="R209">
        <f>YEAR(tblSales[[#This Row],[OrderDate]])</f>
        <v>2019</v>
      </c>
      <c r="S209">
        <f>WEEKNUM(tblSales[[#This Row],[OrderDate]])</f>
        <v>27</v>
      </c>
      <c r="T209">
        <f>IF(ISBLANK(tblSales[[#This Row],[ShippedDate]]),"",tblSales[[#This Row],[ShippedDate]]-tblSales[[#This Row],[OrderDate]])</f>
        <v>5</v>
      </c>
      <c r="U209" t="str">
        <f>LEFT(tblSales[[#This Row],[ProductName]],20)</f>
        <v>Maxilaku</v>
      </c>
    </row>
    <row r="210" spans="2:21" x14ac:dyDescent="0.2">
      <c r="B210">
        <v>10404</v>
      </c>
      <c r="C210" t="s">
        <v>8243</v>
      </c>
      <c r="D210" t="s">
        <v>8311</v>
      </c>
      <c r="E210" t="s">
        <v>8244</v>
      </c>
      <c r="F210" s="222">
        <v>11.2</v>
      </c>
      <c r="G210">
        <v>40</v>
      </c>
      <c r="H210" s="223">
        <v>5.0000000745058101E-2</v>
      </c>
      <c r="I210" s="222">
        <v>425.6</v>
      </c>
      <c r="J210" t="s">
        <v>8312</v>
      </c>
      <c r="K210" t="s">
        <v>8313</v>
      </c>
      <c r="L210" s="118">
        <v>43649</v>
      </c>
      <c r="M210" s="118">
        <v>43654</v>
      </c>
      <c r="N210" t="s">
        <v>8250</v>
      </c>
      <c r="O210" t="s">
        <v>8297</v>
      </c>
      <c r="P210" t="s">
        <v>8298</v>
      </c>
      <c r="Q210" t="str">
        <f>tblSales[[#This Row],[FirstName]]&amp; " " &amp;tblSales[[#This Row],[LastName]]</f>
        <v>Andrew Fuller</v>
      </c>
      <c r="R210">
        <f>YEAR(tblSales[[#This Row],[OrderDate]])</f>
        <v>2019</v>
      </c>
      <c r="S210">
        <f>WEEKNUM(tblSales[[#This Row],[OrderDate]])</f>
        <v>27</v>
      </c>
      <c r="T210">
        <f>IF(ISBLANK(tblSales[[#This Row],[ShippedDate]]),"",tblSales[[#This Row],[ShippedDate]]-tblSales[[#This Row],[OrderDate]])</f>
        <v>5</v>
      </c>
      <c r="U210" t="str">
        <f>LEFT(tblSales[[#This Row],[ProductName]],20)</f>
        <v xml:space="preserve">Singaporean Hokkien </v>
      </c>
    </row>
    <row r="211" spans="2:21" x14ac:dyDescent="0.2">
      <c r="B211">
        <v>10403</v>
      </c>
      <c r="C211" t="s">
        <v>8406</v>
      </c>
      <c r="D211" t="s">
        <v>8282</v>
      </c>
      <c r="E211" t="s">
        <v>8262</v>
      </c>
      <c r="F211" s="222">
        <v>10.199999999999999</v>
      </c>
      <c r="G211">
        <v>70</v>
      </c>
      <c r="H211" s="223">
        <v>0.15000000596046401</v>
      </c>
      <c r="I211" s="222">
        <v>606.9</v>
      </c>
      <c r="J211" t="s">
        <v>8283</v>
      </c>
      <c r="K211" t="s">
        <v>8284</v>
      </c>
      <c r="L211" s="118">
        <v>43649</v>
      </c>
      <c r="M211" s="118">
        <v>43655</v>
      </c>
      <c r="N211" t="s">
        <v>8240</v>
      </c>
      <c r="O211" t="s">
        <v>8266</v>
      </c>
      <c r="P211" t="s">
        <v>8267</v>
      </c>
      <c r="Q211" t="str">
        <f>tblSales[[#This Row],[FirstName]]&amp; " " &amp;tblSales[[#This Row],[LastName]]</f>
        <v>Margaret Peacock</v>
      </c>
      <c r="R211">
        <f>YEAR(tblSales[[#This Row],[OrderDate]])</f>
        <v>2019</v>
      </c>
      <c r="S211">
        <f>WEEKNUM(tblSales[[#This Row],[OrderDate]])</f>
        <v>27</v>
      </c>
      <c r="T211">
        <f>IF(ISBLANK(tblSales[[#This Row],[ShippedDate]]),"",tblSales[[#This Row],[ShippedDate]]-tblSales[[#This Row],[OrderDate]])</f>
        <v>6</v>
      </c>
      <c r="U211" t="str">
        <f>LEFT(tblSales[[#This Row],[ProductName]],20)</f>
        <v>Chocolade</v>
      </c>
    </row>
    <row r="212" spans="2:21" x14ac:dyDescent="0.2">
      <c r="B212">
        <v>10403</v>
      </c>
      <c r="C212" t="s">
        <v>8280</v>
      </c>
      <c r="D212" t="s">
        <v>8282</v>
      </c>
      <c r="E212" t="s">
        <v>8262</v>
      </c>
      <c r="F212" s="222">
        <v>13.9</v>
      </c>
      <c r="G212">
        <v>21</v>
      </c>
      <c r="H212" s="223">
        <v>0.15000000596046401</v>
      </c>
      <c r="I212" s="222">
        <v>248.11</v>
      </c>
      <c r="J212" t="s">
        <v>8283</v>
      </c>
      <c r="K212" t="s">
        <v>8284</v>
      </c>
      <c r="L212" s="118">
        <v>43649</v>
      </c>
      <c r="M212" s="118">
        <v>43655</v>
      </c>
      <c r="N212" t="s">
        <v>8240</v>
      </c>
      <c r="O212" t="s">
        <v>8266</v>
      </c>
      <c r="P212" t="s">
        <v>8267</v>
      </c>
      <c r="Q212" t="str">
        <f>tblSales[[#This Row],[FirstName]]&amp; " " &amp;tblSales[[#This Row],[LastName]]</f>
        <v>Margaret Peacock</v>
      </c>
      <c r="R212">
        <f>YEAR(tblSales[[#This Row],[OrderDate]])</f>
        <v>2019</v>
      </c>
      <c r="S212">
        <f>WEEKNUM(tblSales[[#This Row],[OrderDate]])</f>
        <v>27</v>
      </c>
      <c r="T212">
        <f>IF(ISBLANK(tblSales[[#This Row],[ShippedDate]]),"",tblSales[[#This Row],[ShippedDate]]-tblSales[[#This Row],[OrderDate]])</f>
        <v>6</v>
      </c>
      <c r="U212" t="str">
        <f>LEFT(tblSales[[#This Row],[ProductName]],20)</f>
        <v>Pavlova</v>
      </c>
    </row>
    <row r="213" spans="2:21" x14ac:dyDescent="0.2">
      <c r="B213">
        <v>10407</v>
      </c>
      <c r="C213" t="s">
        <v>8242</v>
      </c>
      <c r="D213" t="s">
        <v>8246</v>
      </c>
      <c r="E213" t="s">
        <v>8237</v>
      </c>
      <c r="F213" s="222">
        <v>16.8</v>
      </c>
      <c r="G213">
        <v>30</v>
      </c>
      <c r="H213" s="223">
        <v>0</v>
      </c>
      <c r="I213" s="222">
        <v>504</v>
      </c>
      <c r="J213" t="s">
        <v>8289</v>
      </c>
      <c r="K213" t="s">
        <v>8290</v>
      </c>
      <c r="L213" s="118">
        <v>43653</v>
      </c>
      <c r="M213" s="118">
        <v>43676</v>
      </c>
      <c r="N213" t="s">
        <v>8265</v>
      </c>
      <c r="O213" t="s">
        <v>8297</v>
      </c>
      <c r="P213" t="s">
        <v>8298</v>
      </c>
      <c r="Q213" t="str">
        <f>tblSales[[#This Row],[FirstName]]&amp; " " &amp;tblSales[[#This Row],[LastName]]</f>
        <v>Andrew Fuller</v>
      </c>
      <c r="R213">
        <f>YEAR(tblSales[[#This Row],[OrderDate]])</f>
        <v>2019</v>
      </c>
      <c r="S213">
        <f>WEEKNUM(tblSales[[#This Row],[OrderDate]])</f>
        <v>28</v>
      </c>
      <c r="T213">
        <f>IF(ISBLANK(tblSales[[#This Row],[ShippedDate]]),"",tblSales[[#This Row],[ShippedDate]]-tblSales[[#This Row],[OrderDate]])</f>
        <v>23</v>
      </c>
      <c r="U213" t="str">
        <f>LEFT(tblSales[[#This Row],[ProductName]],20)</f>
        <v>Queso Cabrales</v>
      </c>
    </row>
    <row r="214" spans="2:21" x14ac:dyDescent="0.2">
      <c r="B214">
        <v>10407</v>
      </c>
      <c r="C214" t="s">
        <v>8353</v>
      </c>
      <c r="D214" t="s">
        <v>8246</v>
      </c>
      <c r="E214" t="s">
        <v>8237</v>
      </c>
      <c r="F214" s="222">
        <v>28.8</v>
      </c>
      <c r="G214">
        <v>15</v>
      </c>
      <c r="H214" s="223">
        <v>0</v>
      </c>
      <c r="I214" s="222">
        <v>432</v>
      </c>
      <c r="J214" t="s">
        <v>8289</v>
      </c>
      <c r="K214" t="s">
        <v>8290</v>
      </c>
      <c r="L214" s="118">
        <v>43653</v>
      </c>
      <c r="M214" s="118">
        <v>43676</v>
      </c>
      <c r="N214" t="s">
        <v>8265</v>
      </c>
      <c r="O214" t="s">
        <v>8297</v>
      </c>
      <c r="P214" t="s">
        <v>8298</v>
      </c>
      <c r="Q214" t="str">
        <f>tblSales[[#This Row],[FirstName]]&amp; " " &amp;tblSales[[#This Row],[LastName]]</f>
        <v>Andrew Fuller</v>
      </c>
      <c r="R214">
        <f>YEAR(tblSales[[#This Row],[OrderDate]])</f>
        <v>2019</v>
      </c>
      <c r="S214">
        <f>WEEKNUM(tblSales[[#This Row],[OrderDate]])</f>
        <v>28</v>
      </c>
      <c r="T214">
        <f>IF(ISBLANK(tblSales[[#This Row],[ShippedDate]]),"",tblSales[[#This Row],[ShippedDate]]-tblSales[[#This Row],[OrderDate]])</f>
        <v>23</v>
      </c>
      <c r="U214" t="str">
        <f>LEFT(tblSales[[#This Row],[ProductName]],20)</f>
        <v>Gudbrandsdalsost</v>
      </c>
    </row>
    <row r="215" spans="2:21" x14ac:dyDescent="0.2">
      <c r="B215">
        <v>10407</v>
      </c>
      <c r="C215" t="s">
        <v>8310</v>
      </c>
      <c r="D215" t="s">
        <v>8246</v>
      </c>
      <c r="E215" t="s">
        <v>8237</v>
      </c>
      <c r="F215" s="222">
        <v>17.2</v>
      </c>
      <c r="G215">
        <v>15</v>
      </c>
      <c r="H215" s="223">
        <v>0</v>
      </c>
      <c r="I215" s="222">
        <v>258</v>
      </c>
      <c r="J215" t="s">
        <v>8289</v>
      </c>
      <c r="K215" t="s">
        <v>8290</v>
      </c>
      <c r="L215" s="118">
        <v>43653</v>
      </c>
      <c r="M215" s="118">
        <v>43676</v>
      </c>
      <c r="N215" t="s">
        <v>8265</v>
      </c>
      <c r="O215" t="s">
        <v>8297</v>
      </c>
      <c r="P215" t="s">
        <v>8298</v>
      </c>
      <c r="Q215" t="str">
        <f>tblSales[[#This Row],[FirstName]]&amp; " " &amp;tblSales[[#This Row],[LastName]]</f>
        <v>Andrew Fuller</v>
      </c>
      <c r="R215">
        <f>YEAR(tblSales[[#This Row],[OrderDate]])</f>
        <v>2019</v>
      </c>
      <c r="S215">
        <f>WEEKNUM(tblSales[[#This Row],[OrderDate]])</f>
        <v>28</v>
      </c>
      <c r="T215">
        <f>IF(ISBLANK(tblSales[[#This Row],[ShippedDate]]),"",tblSales[[#This Row],[ShippedDate]]-tblSales[[#This Row],[OrderDate]])</f>
        <v>23</v>
      </c>
      <c r="U215" t="str">
        <f>LEFT(tblSales[[#This Row],[ProductName]],20)</f>
        <v>Fløtemysost</v>
      </c>
    </row>
    <row r="216" spans="2:21" x14ac:dyDescent="0.2">
      <c r="B216">
        <v>10408</v>
      </c>
      <c r="C216" t="s">
        <v>8291</v>
      </c>
      <c r="D216" t="s">
        <v>8236</v>
      </c>
      <c r="E216" t="s">
        <v>8262</v>
      </c>
      <c r="F216" s="222">
        <v>39.4</v>
      </c>
      <c r="G216">
        <v>35</v>
      </c>
      <c r="H216" s="223">
        <v>0</v>
      </c>
      <c r="I216" s="222">
        <v>1379</v>
      </c>
      <c r="J216" t="s">
        <v>8407</v>
      </c>
      <c r="K216" t="s">
        <v>8408</v>
      </c>
      <c r="L216" s="118">
        <v>43654</v>
      </c>
      <c r="M216" s="118">
        <v>43660</v>
      </c>
      <c r="N216" t="s">
        <v>8250</v>
      </c>
      <c r="O216" t="s">
        <v>8320</v>
      </c>
      <c r="P216" t="s">
        <v>8321</v>
      </c>
      <c r="Q216" t="str">
        <f>tblSales[[#This Row],[FirstName]]&amp; " " &amp;tblSales[[#This Row],[LastName]]</f>
        <v>Laura Callahan</v>
      </c>
      <c r="R216">
        <f>YEAR(tblSales[[#This Row],[OrderDate]])</f>
        <v>2019</v>
      </c>
      <c r="S216">
        <f>WEEKNUM(tblSales[[#This Row],[OrderDate]])</f>
        <v>28</v>
      </c>
      <c r="T216">
        <f>IF(ISBLANK(tblSales[[#This Row],[ShippedDate]]),"",tblSales[[#This Row],[ShippedDate]]-tblSales[[#This Row],[OrderDate]])</f>
        <v>6</v>
      </c>
      <c r="U216" t="str">
        <f>LEFT(tblSales[[#This Row],[ProductName]],20)</f>
        <v>Tarte au sucre</v>
      </c>
    </row>
    <row r="217" spans="2:21" x14ac:dyDescent="0.2">
      <c r="B217">
        <v>10412</v>
      </c>
      <c r="C217" t="s">
        <v>8252</v>
      </c>
      <c r="D217" t="s">
        <v>8300</v>
      </c>
      <c r="E217" t="s">
        <v>8247</v>
      </c>
      <c r="F217" s="222">
        <v>18.600000000000001</v>
      </c>
      <c r="G217">
        <v>20</v>
      </c>
      <c r="H217" s="223">
        <v>0.10000000149011599</v>
      </c>
      <c r="I217" s="222">
        <v>334.8</v>
      </c>
      <c r="J217" t="s">
        <v>8301</v>
      </c>
      <c r="K217" t="s">
        <v>8302</v>
      </c>
      <c r="L217" s="118">
        <v>43659</v>
      </c>
      <c r="M217" s="118">
        <v>43661</v>
      </c>
      <c r="N217" t="s">
        <v>8265</v>
      </c>
      <c r="O217" t="s">
        <v>8320</v>
      </c>
      <c r="P217" t="s">
        <v>8321</v>
      </c>
      <c r="Q217" t="str">
        <f>tblSales[[#This Row],[FirstName]]&amp; " " &amp;tblSales[[#This Row],[LastName]]</f>
        <v>Laura Callahan</v>
      </c>
      <c r="R217">
        <f>YEAR(tblSales[[#This Row],[OrderDate]])</f>
        <v>2019</v>
      </c>
      <c r="S217">
        <f>WEEKNUM(tblSales[[#This Row],[OrderDate]])</f>
        <v>28</v>
      </c>
      <c r="T217">
        <f>IF(ISBLANK(tblSales[[#This Row],[ShippedDate]]),"",tblSales[[#This Row],[ShippedDate]]-tblSales[[#This Row],[OrderDate]])</f>
        <v>2</v>
      </c>
      <c r="U217" t="str">
        <f>LEFT(tblSales[[#This Row],[ProductName]],20)</f>
        <v>Tofu</v>
      </c>
    </row>
    <row r="218" spans="2:21" x14ac:dyDescent="0.2">
      <c r="B218">
        <v>10413</v>
      </c>
      <c r="C218" t="s">
        <v>8333</v>
      </c>
      <c r="D218" t="s">
        <v>8236</v>
      </c>
      <c r="E218" t="s">
        <v>8272</v>
      </c>
      <c r="F218" s="222">
        <v>14.4</v>
      </c>
      <c r="G218">
        <v>24</v>
      </c>
      <c r="H218" s="223">
        <v>0</v>
      </c>
      <c r="I218" s="222">
        <v>345.6</v>
      </c>
      <c r="J218" t="s">
        <v>8382</v>
      </c>
      <c r="K218" t="s">
        <v>8383</v>
      </c>
      <c r="L218" s="118">
        <v>43660</v>
      </c>
      <c r="M218" s="118">
        <v>43662</v>
      </c>
      <c r="N218" t="s">
        <v>8265</v>
      </c>
      <c r="O218" t="s">
        <v>8257</v>
      </c>
      <c r="P218" t="s">
        <v>6984</v>
      </c>
      <c r="Q218" t="str">
        <f>tblSales[[#This Row],[FirstName]]&amp; " " &amp;tblSales[[#This Row],[LastName]]</f>
        <v>Janet Leverling</v>
      </c>
      <c r="R218">
        <f>YEAR(tblSales[[#This Row],[OrderDate]])</f>
        <v>2019</v>
      </c>
      <c r="S218">
        <f>WEEKNUM(tblSales[[#This Row],[OrderDate]])</f>
        <v>29</v>
      </c>
      <c r="T218">
        <f>IF(ISBLANK(tblSales[[#This Row],[ShippedDate]]),"",tblSales[[#This Row],[ShippedDate]]-tblSales[[#This Row],[OrderDate]])</f>
        <v>2</v>
      </c>
      <c r="U218" t="str">
        <f>LEFT(tblSales[[#This Row],[ProductName]],20)</f>
        <v>Chai</v>
      </c>
    </row>
    <row r="219" spans="2:21" x14ac:dyDescent="0.2">
      <c r="B219">
        <v>10413</v>
      </c>
      <c r="C219" t="s">
        <v>8303</v>
      </c>
      <c r="D219" t="s">
        <v>8236</v>
      </c>
      <c r="E219" t="s">
        <v>8272</v>
      </c>
      <c r="F219" s="222">
        <v>14.4</v>
      </c>
      <c r="G219">
        <v>14</v>
      </c>
      <c r="H219" s="223">
        <v>0</v>
      </c>
      <c r="I219" s="222">
        <v>201.6</v>
      </c>
      <c r="J219" t="s">
        <v>8382</v>
      </c>
      <c r="K219" t="s">
        <v>8383</v>
      </c>
      <c r="L219" s="118">
        <v>43660</v>
      </c>
      <c r="M219" s="118">
        <v>43662</v>
      </c>
      <c r="N219" t="s">
        <v>8265</v>
      </c>
      <c r="O219" t="s">
        <v>8257</v>
      </c>
      <c r="P219" t="s">
        <v>6984</v>
      </c>
      <c r="Q219" t="str">
        <f>tblSales[[#This Row],[FirstName]]&amp; " " &amp;tblSales[[#This Row],[LastName]]</f>
        <v>Janet Leverling</v>
      </c>
      <c r="R219">
        <f>YEAR(tblSales[[#This Row],[OrderDate]])</f>
        <v>2019</v>
      </c>
      <c r="S219">
        <f>WEEKNUM(tblSales[[#This Row],[OrderDate]])</f>
        <v>29</v>
      </c>
      <c r="T219">
        <f>IF(ISBLANK(tblSales[[#This Row],[ShippedDate]]),"",tblSales[[#This Row],[ShippedDate]]-tblSales[[#This Row],[OrderDate]])</f>
        <v>2</v>
      </c>
      <c r="U219" t="str">
        <f>LEFT(tblSales[[#This Row],[ProductName]],20)</f>
        <v>Lakkalikööri</v>
      </c>
    </row>
    <row r="220" spans="2:21" x14ac:dyDescent="0.2">
      <c r="B220">
        <v>10413</v>
      </c>
      <c r="C220" t="s">
        <v>8291</v>
      </c>
      <c r="D220" t="s">
        <v>8236</v>
      </c>
      <c r="E220" t="s">
        <v>8262</v>
      </c>
      <c r="F220" s="222">
        <v>39.4</v>
      </c>
      <c r="G220">
        <v>40</v>
      </c>
      <c r="H220" s="223">
        <v>0</v>
      </c>
      <c r="I220" s="222">
        <v>1576</v>
      </c>
      <c r="J220" t="s">
        <v>8382</v>
      </c>
      <c r="K220" t="s">
        <v>8383</v>
      </c>
      <c r="L220" s="118">
        <v>43660</v>
      </c>
      <c r="M220" s="118">
        <v>43662</v>
      </c>
      <c r="N220" t="s">
        <v>8265</v>
      </c>
      <c r="O220" t="s">
        <v>8257</v>
      </c>
      <c r="P220" t="s">
        <v>6984</v>
      </c>
      <c r="Q220" t="str">
        <f>tblSales[[#This Row],[FirstName]]&amp; " " &amp;tblSales[[#This Row],[LastName]]</f>
        <v>Janet Leverling</v>
      </c>
      <c r="R220">
        <f>YEAR(tblSales[[#This Row],[OrderDate]])</f>
        <v>2019</v>
      </c>
      <c r="S220">
        <f>WEEKNUM(tblSales[[#This Row],[OrderDate]])</f>
        <v>29</v>
      </c>
      <c r="T220">
        <f>IF(ISBLANK(tblSales[[#This Row],[ShippedDate]]),"",tblSales[[#This Row],[ShippedDate]]-tblSales[[#This Row],[OrderDate]])</f>
        <v>2</v>
      </c>
      <c r="U220" t="str">
        <f>LEFT(tblSales[[#This Row],[ProductName]],20)</f>
        <v>Tarte au sucre</v>
      </c>
    </row>
    <row r="221" spans="2:21" x14ac:dyDescent="0.2">
      <c r="B221">
        <v>10416</v>
      </c>
      <c r="C221" t="s">
        <v>8327</v>
      </c>
      <c r="D221" t="s">
        <v>8300</v>
      </c>
      <c r="E221" t="s">
        <v>8262</v>
      </c>
      <c r="F221" s="222">
        <v>7.3</v>
      </c>
      <c r="G221">
        <v>20</v>
      </c>
      <c r="H221" s="223">
        <v>0</v>
      </c>
      <c r="I221" s="222">
        <v>146</v>
      </c>
      <c r="J221" t="s">
        <v>8301</v>
      </c>
      <c r="K221" t="s">
        <v>8302</v>
      </c>
      <c r="L221" s="118">
        <v>43662</v>
      </c>
      <c r="M221" s="118">
        <v>43673</v>
      </c>
      <c r="N221" t="s">
        <v>8240</v>
      </c>
      <c r="O221" t="s">
        <v>8320</v>
      </c>
      <c r="P221" t="s">
        <v>8321</v>
      </c>
      <c r="Q221" t="str">
        <f>tblSales[[#This Row],[FirstName]]&amp; " " &amp;tblSales[[#This Row],[LastName]]</f>
        <v>Laura Callahan</v>
      </c>
      <c r="R221">
        <f>YEAR(tblSales[[#This Row],[OrderDate]])</f>
        <v>2019</v>
      </c>
      <c r="S221">
        <f>WEEKNUM(tblSales[[#This Row],[OrderDate]])</f>
        <v>29</v>
      </c>
      <c r="T221">
        <f>IF(ISBLANK(tblSales[[#This Row],[ShippedDate]]),"",tblSales[[#This Row],[ShippedDate]]-tblSales[[#This Row],[OrderDate]])</f>
        <v>11</v>
      </c>
      <c r="U221" t="str">
        <f>LEFT(tblSales[[#This Row],[ProductName]],20)</f>
        <v>Teatime Chocolate Bi</v>
      </c>
    </row>
    <row r="222" spans="2:21" x14ac:dyDescent="0.2">
      <c r="B222">
        <v>10416</v>
      </c>
      <c r="C222" t="s">
        <v>8258</v>
      </c>
      <c r="D222" t="s">
        <v>8300</v>
      </c>
      <c r="E222" t="s">
        <v>8244</v>
      </c>
      <c r="F222" s="222">
        <v>15.6</v>
      </c>
      <c r="G222">
        <v>20</v>
      </c>
      <c r="H222" s="223">
        <v>0</v>
      </c>
      <c r="I222" s="222">
        <v>312</v>
      </c>
      <c r="J222" t="s">
        <v>8301</v>
      </c>
      <c r="K222" t="s">
        <v>8302</v>
      </c>
      <c r="L222" s="118">
        <v>43662</v>
      </c>
      <c r="M222" s="118">
        <v>43673</v>
      </c>
      <c r="N222" t="s">
        <v>8240</v>
      </c>
      <c r="O222" t="s">
        <v>8320</v>
      </c>
      <c r="P222" t="s">
        <v>8321</v>
      </c>
      <c r="Q222" t="str">
        <f>tblSales[[#This Row],[FirstName]]&amp; " " &amp;tblSales[[#This Row],[LastName]]</f>
        <v>Laura Callahan</v>
      </c>
      <c r="R222">
        <f>YEAR(tblSales[[#This Row],[OrderDate]])</f>
        <v>2019</v>
      </c>
      <c r="S222">
        <f>WEEKNUM(tblSales[[#This Row],[OrderDate]])</f>
        <v>29</v>
      </c>
      <c r="T222">
        <f>IF(ISBLANK(tblSales[[#This Row],[ShippedDate]]),"",tblSales[[#This Row],[ShippedDate]]-tblSales[[#This Row],[OrderDate]])</f>
        <v>11</v>
      </c>
      <c r="U222" t="str">
        <f>LEFT(tblSales[[#This Row],[ProductName]],20)</f>
        <v>Ravioli Angelo</v>
      </c>
    </row>
    <row r="223" spans="2:21" x14ac:dyDescent="0.2">
      <c r="B223">
        <v>10417</v>
      </c>
      <c r="C223" t="s">
        <v>8380</v>
      </c>
      <c r="D223" t="s">
        <v>8374</v>
      </c>
      <c r="E223" t="s">
        <v>8272</v>
      </c>
      <c r="F223" s="222">
        <v>210.8</v>
      </c>
      <c r="G223">
        <v>50</v>
      </c>
      <c r="H223" s="223">
        <v>0</v>
      </c>
      <c r="I223" s="222">
        <v>10540</v>
      </c>
      <c r="J223" t="s">
        <v>8375</v>
      </c>
      <c r="K223" t="s">
        <v>8376</v>
      </c>
      <c r="L223" s="118">
        <v>43662</v>
      </c>
      <c r="M223" s="118">
        <v>43674</v>
      </c>
      <c r="N223" t="s">
        <v>8240</v>
      </c>
      <c r="O223" t="s">
        <v>8266</v>
      </c>
      <c r="P223" t="s">
        <v>8267</v>
      </c>
      <c r="Q223" t="str">
        <f>tblSales[[#This Row],[FirstName]]&amp; " " &amp;tblSales[[#This Row],[LastName]]</f>
        <v>Margaret Peacock</v>
      </c>
      <c r="R223">
        <f>YEAR(tblSales[[#This Row],[OrderDate]])</f>
        <v>2019</v>
      </c>
      <c r="S223">
        <f>WEEKNUM(tblSales[[#This Row],[OrderDate]])</f>
        <v>29</v>
      </c>
      <c r="T223">
        <f>IF(ISBLANK(tblSales[[#This Row],[ShippedDate]]),"",tblSales[[#This Row],[ShippedDate]]-tblSales[[#This Row],[OrderDate]])</f>
        <v>12</v>
      </c>
      <c r="U223" t="str">
        <f>LEFT(tblSales[[#This Row],[ProductName]],20)</f>
        <v>Côte de Blaye</v>
      </c>
    </row>
    <row r="224" spans="2:21" x14ac:dyDescent="0.2">
      <c r="B224">
        <v>10417</v>
      </c>
      <c r="C224" t="s">
        <v>8397</v>
      </c>
      <c r="D224" t="s">
        <v>8374</v>
      </c>
      <c r="E224" t="s">
        <v>8254</v>
      </c>
      <c r="F224" s="222">
        <v>10.4</v>
      </c>
      <c r="G224">
        <v>35</v>
      </c>
      <c r="H224" s="223">
        <v>0</v>
      </c>
      <c r="I224" s="222">
        <v>364</v>
      </c>
      <c r="J224" t="s">
        <v>8375</v>
      </c>
      <c r="K224" t="s">
        <v>8376</v>
      </c>
      <c r="L224" s="118">
        <v>43662</v>
      </c>
      <c r="M224" s="118">
        <v>43674</v>
      </c>
      <c r="N224" t="s">
        <v>8240</v>
      </c>
      <c r="O224" t="s">
        <v>8266</v>
      </c>
      <c r="P224" t="s">
        <v>8267</v>
      </c>
      <c r="Q224" t="str">
        <f>tblSales[[#This Row],[FirstName]]&amp; " " &amp;tblSales[[#This Row],[LastName]]</f>
        <v>Margaret Peacock</v>
      </c>
      <c r="R224">
        <f>YEAR(tblSales[[#This Row],[OrderDate]])</f>
        <v>2019</v>
      </c>
      <c r="S224">
        <f>WEEKNUM(tblSales[[#This Row],[OrderDate]])</f>
        <v>29</v>
      </c>
      <c r="T224">
        <f>IF(ISBLANK(tblSales[[#This Row],[ShippedDate]]),"",tblSales[[#This Row],[ShippedDate]]-tblSales[[#This Row],[OrderDate]])</f>
        <v>12</v>
      </c>
      <c r="U224" t="str">
        <f>LEFT(tblSales[[#This Row],[ProductName]],20)</f>
        <v>Original Frankfurter</v>
      </c>
    </row>
    <row r="225" spans="2:21" x14ac:dyDescent="0.2">
      <c r="B225">
        <v>10417</v>
      </c>
      <c r="C225" t="s">
        <v>8334</v>
      </c>
      <c r="D225" t="s">
        <v>8374</v>
      </c>
      <c r="E225" t="s">
        <v>8262</v>
      </c>
      <c r="F225" s="222">
        <v>10</v>
      </c>
      <c r="G225">
        <v>36</v>
      </c>
      <c r="H225" s="223">
        <v>0.25</v>
      </c>
      <c r="I225" s="222">
        <v>270</v>
      </c>
      <c r="J225" t="s">
        <v>8375</v>
      </c>
      <c r="K225" t="s">
        <v>8376</v>
      </c>
      <c r="L225" s="118">
        <v>43662</v>
      </c>
      <c r="M225" s="118">
        <v>43674</v>
      </c>
      <c r="N225" t="s">
        <v>8240</v>
      </c>
      <c r="O225" t="s">
        <v>8266</v>
      </c>
      <c r="P225" t="s">
        <v>8267</v>
      </c>
      <c r="Q225" t="str">
        <f>tblSales[[#This Row],[FirstName]]&amp; " " &amp;tblSales[[#This Row],[LastName]]</f>
        <v>Margaret Peacock</v>
      </c>
      <c r="R225">
        <f>YEAR(tblSales[[#This Row],[OrderDate]])</f>
        <v>2019</v>
      </c>
      <c r="S225">
        <f>WEEKNUM(tblSales[[#This Row],[OrderDate]])</f>
        <v>29</v>
      </c>
      <c r="T225">
        <f>IF(ISBLANK(tblSales[[#This Row],[ShippedDate]]),"",tblSales[[#This Row],[ShippedDate]]-tblSales[[#This Row],[OrderDate]])</f>
        <v>12</v>
      </c>
      <c r="U225" t="str">
        <f>LEFT(tblSales[[#This Row],[ProductName]],20)</f>
        <v>Scottish Longbreads</v>
      </c>
    </row>
    <row r="226" spans="2:21" x14ac:dyDescent="0.2">
      <c r="B226">
        <v>10418</v>
      </c>
      <c r="C226" t="s">
        <v>8276</v>
      </c>
      <c r="D226" t="s">
        <v>8246</v>
      </c>
      <c r="E226" t="s">
        <v>8272</v>
      </c>
      <c r="F226" s="222">
        <v>15.2</v>
      </c>
      <c r="G226">
        <v>60</v>
      </c>
      <c r="H226" s="223">
        <v>0</v>
      </c>
      <c r="I226" s="222">
        <v>912</v>
      </c>
      <c r="J226" t="s">
        <v>8307</v>
      </c>
      <c r="K226" t="s">
        <v>8308</v>
      </c>
      <c r="L226" s="118">
        <v>43663</v>
      </c>
      <c r="M226" s="118">
        <v>43670</v>
      </c>
      <c r="N226" t="s">
        <v>8250</v>
      </c>
      <c r="O226" t="s">
        <v>8266</v>
      </c>
      <c r="P226" t="s">
        <v>8267</v>
      </c>
      <c r="Q226" t="str">
        <f>tblSales[[#This Row],[FirstName]]&amp; " " &amp;tblSales[[#This Row],[LastName]]</f>
        <v>Margaret Peacock</v>
      </c>
      <c r="R226">
        <f>YEAR(tblSales[[#This Row],[OrderDate]])</f>
        <v>2019</v>
      </c>
      <c r="S226">
        <f>WEEKNUM(tblSales[[#This Row],[OrderDate]])</f>
        <v>29</v>
      </c>
      <c r="T226">
        <f>IF(ISBLANK(tblSales[[#This Row],[ShippedDate]]),"",tblSales[[#This Row],[ShippedDate]]-tblSales[[#This Row],[OrderDate]])</f>
        <v>7</v>
      </c>
      <c r="U226" t="str">
        <f>LEFT(tblSales[[#This Row],[ProductName]],20)</f>
        <v>Chang</v>
      </c>
    </row>
    <row r="227" spans="2:21" x14ac:dyDescent="0.2">
      <c r="B227">
        <v>10418</v>
      </c>
      <c r="C227" t="s">
        <v>8409</v>
      </c>
      <c r="D227" t="s">
        <v>8246</v>
      </c>
      <c r="E227" t="s">
        <v>8254</v>
      </c>
      <c r="F227" s="222">
        <v>22.8</v>
      </c>
      <c r="G227">
        <v>16</v>
      </c>
      <c r="H227" s="223">
        <v>0</v>
      </c>
      <c r="I227" s="222">
        <v>364.8</v>
      </c>
      <c r="J227" t="s">
        <v>8307</v>
      </c>
      <c r="K227" t="s">
        <v>8308</v>
      </c>
      <c r="L227" s="118">
        <v>43663</v>
      </c>
      <c r="M227" s="118">
        <v>43670</v>
      </c>
      <c r="N227" t="s">
        <v>8250</v>
      </c>
      <c r="O227" t="s">
        <v>8266</v>
      </c>
      <c r="P227" t="s">
        <v>8267</v>
      </c>
      <c r="Q227" t="str">
        <f>tblSales[[#This Row],[FirstName]]&amp; " " &amp;tblSales[[#This Row],[LastName]]</f>
        <v>Margaret Peacock</v>
      </c>
      <c r="R227">
        <f>YEAR(tblSales[[#This Row],[OrderDate]])</f>
        <v>2019</v>
      </c>
      <c r="S227">
        <f>WEEKNUM(tblSales[[#This Row],[OrderDate]])</f>
        <v>29</v>
      </c>
      <c r="T227">
        <f>IF(ISBLANK(tblSales[[#This Row],[ShippedDate]]),"",tblSales[[#This Row],[ShippedDate]]-tblSales[[#This Row],[OrderDate]])</f>
        <v>7</v>
      </c>
      <c r="U227" t="str">
        <f>LEFT(tblSales[[#This Row],[ProductName]],20)</f>
        <v>Sirop d'érable</v>
      </c>
    </row>
    <row r="228" spans="2:21" x14ac:dyDescent="0.2">
      <c r="B228">
        <v>10418</v>
      </c>
      <c r="C228" t="s">
        <v>8410</v>
      </c>
      <c r="D228" t="s">
        <v>8246</v>
      </c>
      <c r="E228" t="s">
        <v>8262</v>
      </c>
      <c r="F228" s="222">
        <v>7.6</v>
      </c>
      <c r="G228">
        <v>55</v>
      </c>
      <c r="H228" s="223">
        <v>0</v>
      </c>
      <c r="I228" s="222">
        <v>418</v>
      </c>
      <c r="J228" t="s">
        <v>8307</v>
      </c>
      <c r="K228" t="s">
        <v>8308</v>
      </c>
      <c r="L228" s="118">
        <v>43663</v>
      </c>
      <c r="M228" s="118">
        <v>43670</v>
      </c>
      <c r="N228" t="s">
        <v>8250</v>
      </c>
      <c r="O228" t="s">
        <v>8266</v>
      </c>
      <c r="P228" t="s">
        <v>8267</v>
      </c>
      <c r="Q228" t="str">
        <f>tblSales[[#This Row],[FirstName]]&amp; " " &amp;tblSales[[#This Row],[LastName]]</f>
        <v>Margaret Peacock</v>
      </c>
      <c r="R228">
        <f>YEAR(tblSales[[#This Row],[OrderDate]])</f>
        <v>2019</v>
      </c>
      <c r="S228">
        <f>WEEKNUM(tblSales[[#This Row],[OrderDate]])</f>
        <v>29</v>
      </c>
      <c r="T228">
        <f>IF(ISBLANK(tblSales[[#This Row],[ShippedDate]]),"",tblSales[[#This Row],[ShippedDate]]-tblSales[[#This Row],[OrderDate]])</f>
        <v>7</v>
      </c>
      <c r="U228" t="str">
        <f>LEFT(tblSales[[#This Row],[ProductName]],20)</f>
        <v>Zaanse koeken</v>
      </c>
    </row>
    <row r="229" spans="2:21" x14ac:dyDescent="0.2">
      <c r="B229">
        <v>10418</v>
      </c>
      <c r="C229" t="s">
        <v>8275</v>
      </c>
      <c r="D229" t="s">
        <v>8246</v>
      </c>
      <c r="E229" t="s">
        <v>8247</v>
      </c>
      <c r="F229" s="222">
        <v>8</v>
      </c>
      <c r="G229">
        <v>15</v>
      </c>
      <c r="H229" s="223">
        <v>0</v>
      </c>
      <c r="I229" s="222">
        <v>120</v>
      </c>
      <c r="J229" t="s">
        <v>8307</v>
      </c>
      <c r="K229" t="s">
        <v>8308</v>
      </c>
      <c r="L229" s="118">
        <v>43663</v>
      </c>
      <c r="M229" s="118">
        <v>43670</v>
      </c>
      <c r="N229" t="s">
        <v>8250</v>
      </c>
      <c r="O229" t="s">
        <v>8266</v>
      </c>
      <c r="P229" t="s">
        <v>8267</v>
      </c>
      <c r="Q229" t="str">
        <f>tblSales[[#This Row],[FirstName]]&amp; " " &amp;tblSales[[#This Row],[LastName]]</f>
        <v>Margaret Peacock</v>
      </c>
      <c r="R229">
        <f>YEAR(tblSales[[#This Row],[OrderDate]])</f>
        <v>2019</v>
      </c>
      <c r="S229">
        <f>WEEKNUM(tblSales[[#This Row],[OrderDate]])</f>
        <v>29</v>
      </c>
      <c r="T229">
        <f>IF(ISBLANK(tblSales[[#This Row],[ShippedDate]]),"",tblSales[[#This Row],[ShippedDate]]-tblSales[[#This Row],[OrderDate]])</f>
        <v>7</v>
      </c>
      <c r="U229" t="str">
        <f>LEFT(tblSales[[#This Row],[ProductName]],20)</f>
        <v>Longlife Tofu</v>
      </c>
    </row>
    <row r="230" spans="2:21" x14ac:dyDescent="0.2">
      <c r="B230">
        <v>10419</v>
      </c>
      <c r="C230" t="s">
        <v>8268</v>
      </c>
      <c r="D230" t="s">
        <v>8271</v>
      </c>
      <c r="E230" t="s">
        <v>8237</v>
      </c>
      <c r="F230" s="222">
        <v>27.2</v>
      </c>
      <c r="G230">
        <v>60</v>
      </c>
      <c r="H230" s="223">
        <v>5.0000000745058101E-2</v>
      </c>
      <c r="I230" s="222">
        <v>1550.4</v>
      </c>
      <c r="J230" t="s">
        <v>8277</v>
      </c>
      <c r="K230" t="s">
        <v>8278</v>
      </c>
      <c r="L230" s="118">
        <v>43666</v>
      </c>
      <c r="M230" s="118">
        <v>43676</v>
      </c>
      <c r="N230" t="s">
        <v>8265</v>
      </c>
      <c r="O230" t="s">
        <v>8266</v>
      </c>
      <c r="P230" t="s">
        <v>8267</v>
      </c>
      <c r="Q230" t="str">
        <f>tblSales[[#This Row],[FirstName]]&amp; " " &amp;tblSales[[#This Row],[LastName]]</f>
        <v>Margaret Peacock</v>
      </c>
      <c r="R230">
        <f>YEAR(tblSales[[#This Row],[OrderDate]])</f>
        <v>2019</v>
      </c>
      <c r="S230">
        <f>WEEKNUM(tblSales[[#This Row],[OrderDate]])</f>
        <v>29</v>
      </c>
      <c r="T230">
        <f>IF(ISBLANK(tblSales[[#This Row],[ShippedDate]]),"",tblSales[[#This Row],[ShippedDate]]-tblSales[[#This Row],[OrderDate]])</f>
        <v>10</v>
      </c>
      <c r="U230" t="str">
        <f>LEFT(tblSales[[#This Row],[ProductName]],20)</f>
        <v>Camembert Pierrot</v>
      </c>
    </row>
    <row r="231" spans="2:21" x14ac:dyDescent="0.2">
      <c r="B231">
        <v>10419</v>
      </c>
      <c r="C231" t="s">
        <v>8353</v>
      </c>
      <c r="D231" t="s">
        <v>8271</v>
      </c>
      <c r="E231" t="s">
        <v>8237</v>
      </c>
      <c r="F231" s="222">
        <v>28.8</v>
      </c>
      <c r="G231">
        <v>20</v>
      </c>
      <c r="H231" s="223">
        <v>5.0000000745058101E-2</v>
      </c>
      <c r="I231" s="222">
        <v>547.20000000000005</v>
      </c>
      <c r="J231" t="s">
        <v>8277</v>
      </c>
      <c r="K231" t="s">
        <v>8278</v>
      </c>
      <c r="L231" s="118">
        <v>43666</v>
      </c>
      <c r="M231" s="118">
        <v>43676</v>
      </c>
      <c r="N231" t="s">
        <v>8265</v>
      </c>
      <c r="O231" t="s">
        <v>8266</v>
      </c>
      <c r="P231" t="s">
        <v>8267</v>
      </c>
      <c r="Q231" t="str">
        <f>tblSales[[#This Row],[FirstName]]&amp; " " &amp;tblSales[[#This Row],[LastName]]</f>
        <v>Margaret Peacock</v>
      </c>
      <c r="R231">
        <f>YEAR(tblSales[[#This Row],[OrderDate]])</f>
        <v>2019</v>
      </c>
      <c r="S231">
        <f>WEEKNUM(tblSales[[#This Row],[OrderDate]])</f>
        <v>29</v>
      </c>
      <c r="T231">
        <f>IF(ISBLANK(tblSales[[#This Row],[ShippedDate]]),"",tblSales[[#This Row],[ShippedDate]]-tblSales[[#This Row],[OrderDate]])</f>
        <v>10</v>
      </c>
      <c r="U231" t="str">
        <f>LEFT(tblSales[[#This Row],[ProductName]],20)</f>
        <v>Gudbrandsdalsost</v>
      </c>
    </row>
    <row r="232" spans="2:21" x14ac:dyDescent="0.2">
      <c r="B232">
        <v>10422</v>
      </c>
      <c r="C232" t="s">
        <v>8372</v>
      </c>
      <c r="D232" t="s">
        <v>8311</v>
      </c>
      <c r="E232" t="s">
        <v>8262</v>
      </c>
      <c r="F232" s="222">
        <v>24.9</v>
      </c>
      <c r="G232">
        <v>2</v>
      </c>
      <c r="H232" s="223">
        <v>0</v>
      </c>
      <c r="I232" s="222">
        <v>49.8</v>
      </c>
      <c r="J232" t="s">
        <v>8411</v>
      </c>
      <c r="K232" t="s">
        <v>8412</v>
      </c>
      <c r="L232" s="118">
        <v>43668</v>
      </c>
      <c r="M232" s="118">
        <v>43677</v>
      </c>
      <c r="N232" t="s">
        <v>8250</v>
      </c>
      <c r="O232" t="s">
        <v>8297</v>
      </c>
      <c r="P232" t="s">
        <v>8298</v>
      </c>
      <c r="Q232" t="str">
        <f>tblSales[[#This Row],[FirstName]]&amp; " " &amp;tblSales[[#This Row],[LastName]]</f>
        <v>Andrew Fuller</v>
      </c>
      <c r="R232">
        <f>YEAR(tblSales[[#This Row],[OrderDate]])</f>
        <v>2019</v>
      </c>
      <c r="S232">
        <f>WEEKNUM(tblSales[[#This Row],[OrderDate]])</f>
        <v>30</v>
      </c>
      <c r="T232">
        <f>IF(ISBLANK(tblSales[[#This Row],[ShippedDate]]),"",tblSales[[#This Row],[ShippedDate]]-tblSales[[#This Row],[OrderDate]])</f>
        <v>9</v>
      </c>
      <c r="U232" t="str">
        <f>LEFT(tblSales[[#This Row],[ProductName]],20)</f>
        <v>Gumbär Gummibärchen</v>
      </c>
    </row>
    <row r="233" spans="2:21" x14ac:dyDescent="0.2">
      <c r="B233">
        <v>11078</v>
      </c>
      <c r="C233" t="s">
        <v>8253</v>
      </c>
      <c r="D233" t="s">
        <v>8236</v>
      </c>
      <c r="E233" t="s">
        <v>8254</v>
      </c>
      <c r="F233" s="222">
        <v>16.8</v>
      </c>
      <c r="G233">
        <v>20</v>
      </c>
      <c r="H233" s="223">
        <v>0</v>
      </c>
      <c r="I233" s="222">
        <v>336</v>
      </c>
      <c r="J233" t="s">
        <v>8255</v>
      </c>
      <c r="K233" t="s">
        <v>8256</v>
      </c>
      <c r="L233" s="118">
        <v>43670</v>
      </c>
      <c r="M233" s="118">
        <v>43677</v>
      </c>
      <c r="N233" t="s">
        <v>8250</v>
      </c>
      <c r="O233" t="s">
        <v>8257</v>
      </c>
      <c r="P233" t="s">
        <v>6984</v>
      </c>
      <c r="Q233" t="str">
        <f>tblSales[[#This Row],[FirstName]]&amp; " " &amp;tblSales[[#This Row],[LastName]]</f>
        <v>Janet Leverling</v>
      </c>
      <c r="R233">
        <f>YEAR(tblSales[[#This Row],[OrderDate]])</f>
        <v>2019</v>
      </c>
      <c r="S233">
        <f>WEEKNUM(tblSales[[#This Row],[OrderDate]])</f>
        <v>30</v>
      </c>
      <c r="T233">
        <f>IF(ISBLANK(tblSales[[#This Row],[ShippedDate]]),"",tblSales[[#This Row],[ShippedDate]]-tblSales[[#This Row],[OrderDate]])</f>
        <v>7</v>
      </c>
      <c r="U233" t="str">
        <f>LEFT(tblSales[[#This Row],[ProductName]],20)</f>
        <v xml:space="preserve">Louisiana Fiery Hot </v>
      </c>
    </row>
    <row r="234" spans="2:21" x14ac:dyDescent="0.2">
      <c r="B234">
        <v>11078</v>
      </c>
      <c r="C234" t="s">
        <v>8258</v>
      </c>
      <c r="D234" t="s">
        <v>8236</v>
      </c>
      <c r="E234" t="s">
        <v>8244</v>
      </c>
      <c r="F234" s="222">
        <v>15.6</v>
      </c>
      <c r="G234">
        <v>15</v>
      </c>
      <c r="H234" s="223">
        <v>5.0000000745058101E-2</v>
      </c>
      <c r="I234" s="222">
        <v>222.3</v>
      </c>
      <c r="J234" t="s">
        <v>8255</v>
      </c>
      <c r="K234" t="s">
        <v>8256</v>
      </c>
      <c r="L234" s="118">
        <v>43670</v>
      </c>
      <c r="M234" s="118">
        <v>43677</v>
      </c>
      <c r="N234" t="s">
        <v>8250</v>
      </c>
      <c r="O234" t="s">
        <v>8257</v>
      </c>
      <c r="P234" t="s">
        <v>6984</v>
      </c>
      <c r="Q234" t="str">
        <f>tblSales[[#This Row],[FirstName]]&amp; " " &amp;tblSales[[#This Row],[LastName]]</f>
        <v>Janet Leverling</v>
      </c>
      <c r="R234">
        <f>YEAR(tblSales[[#This Row],[OrderDate]])</f>
        <v>2019</v>
      </c>
      <c r="S234">
        <f>WEEKNUM(tblSales[[#This Row],[OrderDate]])</f>
        <v>30</v>
      </c>
      <c r="T234">
        <f>IF(ISBLANK(tblSales[[#This Row],[ShippedDate]]),"",tblSales[[#This Row],[ShippedDate]]-tblSales[[#This Row],[OrderDate]])</f>
        <v>7</v>
      </c>
      <c r="U234" t="str">
        <f>LEFT(tblSales[[#This Row],[ProductName]],20)</f>
        <v>Ravioli Angelo</v>
      </c>
    </row>
    <row r="235" spans="2:21" x14ac:dyDescent="0.2">
      <c r="B235">
        <v>11078</v>
      </c>
      <c r="C235" t="s">
        <v>8259</v>
      </c>
      <c r="D235" t="s">
        <v>8236</v>
      </c>
      <c r="E235" t="s">
        <v>8244</v>
      </c>
      <c r="F235" s="222">
        <v>16.8</v>
      </c>
      <c r="G235">
        <v>6</v>
      </c>
      <c r="H235" s="223">
        <v>5.0000000745058101E-2</v>
      </c>
      <c r="I235" s="222">
        <v>95.76</v>
      </c>
      <c r="J235" t="s">
        <v>8255</v>
      </c>
      <c r="K235" t="s">
        <v>8256</v>
      </c>
      <c r="L235" s="118">
        <v>43670</v>
      </c>
      <c r="M235" s="118">
        <v>43677</v>
      </c>
      <c r="N235" t="s">
        <v>8250</v>
      </c>
      <c r="O235" t="s">
        <v>8257</v>
      </c>
      <c r="P235" t="s">
        <v>6984</v>
      </c>
      <c r="Q235" t="str">
        <f>tblSales[[#This Row],[FirstName]]&amp; " " &amp;tblSales[[#This Row],[LastName]]</f>
        <v>Janet Leverling</v>
      </c>
      <c r="R235">
        <f>YEAR(tblSales[[#This Row],[OrderDate]])</f>
        <v>2019</v>
      </c>
      <c r="S235">
        <f>WEEKNUM(tblSales[[#This Row],[OrderDate]])</f>
        <v>30</v>
      </c>
      <c r="T235">
        <f>IF(ISBLANK(tblSales[[#This Row],[ShippedDate]]),"",tblSales[[#This Row],[ShippedDate]]-tblSales[[#This Row],[OrderDate]])</f>
        <v>7</v>
      </c>
      <c r="U235" t="str">
        <f>LEFT(tblSales[[#This Row],[ProductName]],20)</f>
        <v>Gustaf's Knäckebröd</v>
      </c>
    </row>
    <row r="236" spans="2:21" x14ac:dyDescent="0.2">
      <c r="B236">
        <v>10425</v>
      </c>
      <c r="C236" t="s">
        <v>8303</v>
      </c>
      <c r="D236" t="s">
        <v>8236</v>
      </c>
      <c r="E236" t="s">
        <v>8272</v>
      </c>
      <c r="F236" s="222">
        <v>14.4</v>
      </c>
      <c r="G236">
        <v>20</v>
      </c>
      <c r="H236" s="223">
        <v>0.25</v>
      </c>
      <c r="I236" s="222">
        <v>216</v>
      </c>
      <c r="J236" t="s">
        <v>8382</v>
      </c>
      <c r="K236" t="s">
        <v>8383</v>
      </c>
      <c r="L236" s="118">
        <v>43670</v>
      </c>
      <c r="M236" s="118">
        <v>43691</v>
      </c>
      <c r="N236" t="s">
        <v>8265</v>
      </c>
      <c r="O236" t="s">
        <v>8251</v>
      </c>
      <c r="P236" t="s">
        <v>269</v>
      </c>
      <c r="Q236" t="str">
        <f>tblSales[[#This Row],[FirstName]]&amp; " " &amp;tblSales[[#This Row],[LastName]]</f>
        <v>Michael Suyama</v>
      </c>
      <c r="R236">
        <f>YEAR(tblSales[[#This Row],[OrderDate]])</f>
        <v>2019</v>
      </c>
      <c r="S236">
        <f>WEEKNUM(tblSales[[#This Row],[OrderDate]])</f>
        <v>30</v>
      </c>
      <c r="T236">
        <f>IF(ISBLANK(tblSales[[#This Row],[ShippedDate]]),"",tblSales[[#This Row],[ShippedDate]]-tblSales[[#This Row],[OrderDate]])</f>
        <v>21</v>
      </c>
      <c r="U236" t="str">
        <f>LEFT(tblSales[[#This Row],[ProductName]],20)</f>
        <v>Lakkalikööri</v>
      </c>
    </row>
    <row r="237" spans="2:21" x14ac:dyDescent="0.2">
      <c r="B237">
        <v>10426</v>
      </c>
      <c r="C237" t="s">
        <v>8340</v>
      </c>
      <c r="D237" t="s">
        <v>8324</v>
      </c>
      <c r="E237" t="s">
        <v>8244</v>
      </c>
      <c r="F237" s="222">
        <v>26.6</v>
      </c>
      <c r="G237">
        <v>7</v>
      </c>
      <c r="H237" s="223">
        <v>0</v>
      </c>
      <c r="I237" s="222">
        <v>186.2</v>
      </c>
      <c r="J237" t="s">
        <v>8398</v>
      </c>
      <c r="K237" t="s">
        <v>8399</v>
      </c>
      <c r="L237" s="118">
        <v>43673</v>
      </c>
      <c r="M237" s="118">
        <v>43683</v>
      </c>
      <c r="N237" t="s">
        <v>8250</v>
      </c>
      <c r="O237" t="s">
        <v>8266</v>
      </c>
      <c r="P237" t="s">
        <v>8267</v>
      </c>
      <c r="Q237" t="str">
        <f>tblSales[[#This Row],[FirstName]]&amp; " " &amp;tblSales[[#This Row],[LastName]]</f>
        <v>Margaret Peacock</v>
      </c>
      <c r="R237">
        <f>YEAR(tblSales[[#This Row],[OrderDate]])</f>
        <v>2019</v>
      </c>
      <c r="S237">
        <f>WEEKNUM(tblSales[[#This Row],[OrderDate]])</f>
        <v>30</v>
      </c>
      <c r="T237">
        <f>IF(ISBLANK(tblSales[[#This Row],[ShippedDate]]),"",tblSales[[#This Row],[ShippedDate]]-tblSales[[#This Row],[OrderDate]])</f>
        <v>10</v>
      </c>
      <c r="U237" t="str">
        <f>LEFT(tblSales[[#This Row],[ProductName]],20)</f>
        <v>Wimmers gute Semmelk</v>
      </c>
    </row>
    <row r="238" spans="2:21" x14ac:dyDescent="0.2">
      <c r="B238">
        <v>10426</v>
      </c>
      <c r="C238" t="s">
        <v>8341</v>
      </c>
      <c r="D238" t="s">
        <v>8324</v>
      </c>
      <c r="E238" t="s">
        <v>8244</v>
      </c>
      <c r="F238" s="222">
        <v>30.4</v>
      </c>
      <c r="G238">
        <v>5</v>
      </c>
      <c r="H238" s="223">
        <v>0</v>
      </c>
      <c r="I238" s="222">
        <v>152</v>
      </c>
      <c r="J238" t="s">
        <v>8398</v>
      </c>
      <c r="K238" t="s">
        <v>8399</v>
      </c>
      <c r="L238" s="118">
        <v>43673</v>
      </c>
      <c r="M238" s="118">
        <v>43683</v>
      </c>
      <c r="N238" t="s">
        <v>8250</v>
      </c>
      <c r="O238" t="s">
        <v>8266</v>
      </c>
      <c r="P238" t="s">
        <v>8267</v>
      </c>
      <c r="Q238" t="str">
        <f>tblSales[[#This Row],[FirstName]]&amp; " " &amp;tblSales[[#This Row],[LastName]]</f>
        <v>Margaret Peacock</v>
      </c>
      <c r="R238">
        <f>YEAR(tblSales[[#This Row],[OrderDate]])</f>
        <v>2019</v>
      </c>
      <c r="S238">
        <f>WEEKNUM(tblSales[[#This Row],[OrderDate]])</f>
        <v>30</v>
      </c>
      <c r="T238">
        <f>IF(ISBLANK(tblSales[[#This Row],[ShippedDate]]),"",tblSales[[#This Row],[ShippedDate]]-tblSales[[#This Row],[OrderDate]])</f>
        <v>10</v>
      </c>
      <c r="U238" t="str">
        <f>LEFT(tblSales[[#This Row],[ProductName]],20)</f>
        <v>Gnocchi di nonna Ali</v>
      </c>
    </row>
    <row r="239" spans="2:21" x14ac:dyDescent="0.2">
      <c r="B239">
        <v>10427</v>
      </c>
      <c r="C239" t="s">
        <v>8252</v>
      </c>
      <c r="D239" t="s">
        <v>8282</v>
      </c>
      <c r="E239" t="s">
        <v>8247</v>
      </c>
      <c r="F239" s="222">
        <v>18.600000000000001</v>
      </c>
      <c r="G239">
        <v>35</v>
      </c>
      <c r="H239" s="223">
        <v>0</v>
      </c>
      <c r="I239" s="222">
        <v>651</v>
      </c>
      <c r="J239" t="s">
        <v>8384</v>
      </c>
      <c r="K239" t="s">
        <v>8385</v>
      </c>
      <c r="L239" s="118">
        <v>43673</v>
      </c>
      <c r="M239" s="118">
        <v>43708</v>
      </c>
      <c r="N239" t="s">
        <v>8265</v>
      </c>
      <c r="O239" t="s">
        <v>8266</v>
      </c>
      <c r="P239" t="s">
        <v>8267</v>
      </c>
      <c r="Q239" t="str">
        <f>tblSales[[#This Row],[FirstName]]&amp; " " &amp;tblSales[[#This Row],[LastName]]</f>
        <v>Margaret Peacock</v>
      </c>
      <c r="R239">
        <f>YEAR(tblSales[[#This Row],[OrderDate]])</f>
        <v>2019</v>
      </c>
      <c r="S239">
        <f>WEEKNUM(tblSales[[#This Row],[OrderDate]])</f>
        <v>30</v>
      </c>
      <c r="T239">
        <f>IF(ISBLANK(tblSales[[#This Row],[ShippedDate]]),"",tblSales[[#This Row],[ShippedDate]]-tblSales[[#This Row],[OrderDate]])</f>
        <v>35</v>
      </c>
      <c r="U239" t="str">
        <f>LEFT(tblSales[[#This Row],[ProductName]],20)</f>
        <v>Tofu</v>
      </c>
    </row>
    <row r="240" spans="2:21" x14ac:dyDescent="0.2">
      <c r="B240">
        <v>10429</v>
      </c>
      <c r="C240" t="s">
        <v>8317</v>
      </c>
      <c r="D240" t="s">
        <v>8343</v>
      </c>
      <c r="E240" t="s">
        <v>8254</v>
      </c>
      <c r="F240" s="222">
        <v>35.1</v>
      </c>
      <c r="G240">
        <v>35</v>
      </c>
      <c r="H240" s="223">
        <v>0.25</v>
      </c>
      <c r="I240" s="222">
        <v>921.38</v>
      </c>
      <c r="J240" t="s">
        <v>8344</v>
      </c>
      <c r="K240" t="s">
        <v>8345</v>
      </c>
      <c r="L240" s="118">
        <v>43675</v>
      </c>
      <c r="M240" s="118">
        <v>43684</v>
      </c>
      <c r="N240" t="s">
        <v>8265</v>
      </c>
      <c r="O240" t="s">
        <v>8257</v>
      </c>
      <c r="P240" t="s">
        <v>6984</v>
      </c>
      <c r="Q240" t="str">
        <f>tblSales[[#This Row],[FirstName]]&amp; " " &amp;tblSales[[#This Row],[LastName]]</f>
        <v>Janet Leverling</v>
      </c>
      <c r="R240">
        <f>YEAR(tblSales[[#This Row],[OrderDate]])</f>
        <v>2019</v>
      </c>
      <c r="S240">
        <f>WEEKNUM(tblSales[[#This Row],[OrderDate]])</f>
        <v>31</v>
      </c>
      <c r="T240">
        <f>IF(ISBLANK(tblSales[[#This Row],[ShippedDate]]),"",tblSales[[#This Row],[ShippedDate]]-tblSales[[#This Row],[OrderDate]])</f>
        <v>9</v>
      </c>
      <c r="U240" t="str">
        <f>LEFT(tblSales[[#This Row],[ProductName]],20)</f>
        <v>Vegie-spread</v>
      </c>
    </row>
    <row r="241" spans="2:21" x14ac:dyDescent="0.2">
      <c r="B241">
        <v>10429</v>
      </c>
      <c r="C241" t="s">
        <v>8381</v>
      </c>
      <c r="D241" t="s">
        <v>8343</v>
      </c>
      <c r="E241" t="s">
        <v>8262</v>
      </c>
      <c r="F241" s="222">
        <v>13</v>
      </c>
      <c r="G241">
        <v>40</v>
      </c>
      <c r="H241" s="223">
        <v>0</v>
      </c>
      <c r="I241" s="222">
        <v>520</v>
      </c>
      <c r="J241" t="s">
        <v>8344</v>
      </c>
      <c r="K241" t="s">
        <v>8345</v>
      </c>
      <c r="L241" s="118">
        <v>43675</v>
      </c>
      <c r="M241" s="118">
        <v>43684</v>
      </c>
      <c r="N241" t="s">
        <v>8265</v>
      </c>
      <c r="O241" t="s">
        <v>8257</v>
      </c>
      <c r="P241" t="s">
        <v>6984</v>
      </c>
      <c r="Q241" t="str">
        <f>tblSales[[#This Row],[FirstName]]&amp; " " &amp;tblSales[[#This Row],[LastName]]</f>
        <v>Janet Leverling</v>
      </c>
      <c r="R241">
        <f>YEAR(tblSales[[#This Row],[OrderDate]])</f>
        <v>2019</v>
      </c>
      <c r="S241">
        <f>WEEKNUM(tblSales[[#This Row],[OrderDate]])</f>
        <v>31</v>
      </c>
      <c r="T241">
        <f>IF(ISBLANK(tblSales[[#This Row],[ShippedDate]]),"",tblSales[[#This Row],[ShippedDate]]-tblSales[[#This Row],[OrderDate]])</f>
        <v>9</v>
      </c>
      <c r="U241" t="str">
        <f>LEFT(tblSales[[#This Row],[ProductName]],20)</f>
        <v>Valkoinen suklaa</v>
      </c>
    </row>
    <row r="242" spans="2:21" x14ac:dyDescent="0.2">
      <c r="B242">
        <v>10430</v>
      </c>
      <c r="C242" t="s">
        <v>8368</v>
      </c>
      <c r="D242" t="s">
        <v>8282</v>
      </c>
      <c r="E242" t="s">
        <v>8262</v>
      </c>
      <c r="F242" s="222">
        <v>8</v>
      </c>
      <c r="G242">
        <v>50</v>
      </c>
      <c r="H242" s="223">
        <v>0</v>
      </c>
      <c r="I242" s="222">
        <v>400</v>
      </c>
      <c r="J242" t="s">
        <v>8283</v>
      </c>
      <c r="K242" t="s">
        <v>8284</v>
      </c>
      <c r="L242" s="118">
        <v>43676</v>
      </c>
      <c r="M242" s="118">
        <v>43680</v>
      </c>
      <c r="N242" t="s">
        <v>8250</v>
      </c>
      <c r="O242" t="s">
        <v>8266</v>
      </c>
      <c r="P242" t="s">
        <v>8267</v>
      </c>
      <c r="Q242" t="str">
        <f>tblSales[[#This Row],[FirstName]]&amp; " " &amp;tblSales[[#This Row],[LastName]]</f>
        <v>Margaret Peacock</v>
      </c>
      <c r="R242">
        <f>YEAR(tblSales[[#This Row],[OrderDate]])</f>
        <v>2019</v>
      </c>
      <c r="S242">
        <f>WEEKNUM(tblSales[[#This Row],[OrderDate]])</f>
        <v>31</v>
      </c>
      <c r="T242">
        <f>IF(ISBLANK(tblSales[[#This Row],[ShippedDate]]),"",tblSales[[#This Row],[ShippedDate]]-tblSales[[#This Row],[OrderDate]])</f>
        <v>4</v>
      </c>
      <c r="U242" t="str">
        <f>LEFT(tblSales[[#This Row],[ProductName]],20)</f>
        <v>Sir Rodney's Scones</v>
      </c>
    </row>
    <row r="243" spans="2:21" x14ac:dyDescent="0.2">
      <c r="B243">
        <v>10430</v>
      </c>
      <c r="C243" t="s">
        <v>8281</v>
      </c>
      <c r="D243" t="s">
        <v>8282</v>
      </c>
      <c r="E243" t="s">
        <v>8237</v>
      </c>
      <c r="F243" s="222">
        <v>44</v>
      </c>
      <c r="G243">
        <v>70</v>
      </c>
      <c r="H243" s="223">
        <v>0.20000000298023199</v>
      </c>
      <c r="I243" s="222">
        <v>2464</v>
      </c>
      <c r="J243" t="s">
        <v>8283</v>
      </c>
      <c r="K243" t="s">
        <v>8284</v>
      </c>
      <c r="L243" s="118">
        <v>43676</v>
      </c>
      <c r="M243" s="118">
        <v>43680</v>
      </c>
      <c r="N243" t="s">
        <v>8250</v>
      </c>
      <c r="O243" t="s">
        <v>8266</v>
      </c>
      <c r="P243" t="s">
        <v>8267</v>
      </c>
      <c r="Q243" t="str">
        <f>tblSales[[#This Row],[FirstName]]&amp; " " &amp;tblSales[[#This Row],[LastName]]</f>
        <v>Margaret Peacock</v>
      </c>
      <c r="R243">
        <f>YEAR(tblSales[[#This Row],[OrderDate]])</f>
        <v>2019</v>
      </c>
      <c r="S243">
        <f>WEEKNUM(tblSales[[#This Row],[OrderDate]])</f>
        <v>31</v>
      </c>
      <c r="T243">
        <f>IF(ISBLANK(tblSales[[#This Row],[ShippedDate]]),"",tblSales[[#This Row],[ShippedDate]]-tblSales[[#This Row],[OrderDate]])</f>
        <v>4</v>
      </c>
      <c r="U243" t="str">
        <f>LEFT(tblSales[[#This Row],[ProductName]],20)</f>
        <v>Raclette Courdavault</v>
      </c>
    </row>
    <row r="244" spans="2:21" x14ac:dyDescent="0.2">
      <c r="B244">
        <v>10430</v>
      </c>
      <c r="C244" t="s">
        <v>8341</v>
      </c>
      <c r="D244" t="s">
        <v>8282</v>
      </c>
      <c r="E244" t="s">
        <v>8244</v>
      </c>
      <c r="F244" s="222">
        <v>30.4</v>
      </c>
      <c r="G244">
        <v>30</v>
      </c>
      <c r="H244" s="223">
        <v>0</v>
      </c>
      <c r="I244" s="222">
        <v>912</v>
      </c>
      <c r="J244" t="s">
        <v>8283</v>
      </c>
      <c r="K244" t="s">
        <v>8284</v>
      </c>
      <c r="L244" s="118">
        <v>43676</v>
      </c>
      <c r="M244" s="118">
        <v>43680</v>
      </c>
      <c r="N244" t="s">
        <v>8250</v>
      </c>
      <c r="O244" t="s">
        <v>8266</v>
      </c>
      <c r="P244" t="s">
        <v>8267</v>
      </c>
      <c r="Q244" t="str">
        <f>tblSales[[#This Row],[FirstName]]&amp; " " &amp;tblSales[[#This Row],[LastName]]</f>
        <v>Margaret Peacock</v>
      </c>
      <c r="R244">
        <f>YEAR(tblSales[[#This Row],[OrderDate]])</f>
        <v>2019</v>
      </c>
      <c r="S244">
        <f>WEEKNUM(tblSales[[#This Row],[OrderDate]])</f>
        <v>31</v>
      </c>
      <c r="T244">
        <f>IF(ISBLANK(tblSales[[#This Row],[ShippedDate]]),"",tblSales[[#This Row],[ShippedDate]]-tblSales[[#This Row],[OrderDate]])</f>
        <v>4</v>
      </c>
      <c r="U244" t="str">
        <f>LEFT(tblSales[[#This Row],[ProductName]],20)</f>
        <v>Gnocchi di nonna Ali</v>
      </c>
    </row>
    <row r="245" spans="2:21" x14ac:dyDescent="0.2">
      <c r="B245">
        <v>10434</v>
      </c>
      <c r="C245" t="s">
        <v>8303</v>
      </c>
      <c r="D245" t="s">
        <v>8292</v>
      </c>
      <c r="E245" t="s">
        <v>8272</v>
      </c>
      <c r="F245" s="222">
        <v>14.4</v>
      </c>
      <c r="G245">
        <v>18</v>
      </c>
      <c r="H245" s="223">
        <v>0.15000000596046401</v>
      </c>
      <c r="I245" s="222">
        <v>220.32</v>
      </c>
      <c r="J245" t="s">
        <v>8293</v>
      </c>
      <c r="K245" t="s">
        <v>8294</v>
      </c>
      <c r="L245" s="118">
        <v>43680</v>
      </c>
      <c r="M245" s="118">
        <v>43690</v>
      </c>
      <c r="N245" t="s">
        <v>8265</v>
      </c>
      <c r="O245" t="s">
        <v>8257</v>
      </c>
      <c r="P245" t="s">
        <v>6984</v>
      </c>
      <c r="Q245" t="str">
        <f>tblSales[[#This Row],[FirstName]]&amp; " " &amp;tblSales[[#This Row],[LastName]]</f>
        <v>Janet Leverling</v>
      </c>
      <c r="R245">
        <f>YEAR(tblSales[[#This Row],[OrderDate]])</f>
        <v>2019</v>
      </c>
      <c r="S245">
        <f>WEEKNUM(tblSales[[#This Row],[OrderDate]])</f>
        <v>31</v>
      </c>
      <c r="T245">
        <f>IF(ISBLANK(tblSales[[#This Row],[ShippedDate]]),"",tblSales[[#This Row],[ShippedDate]]-tblSales[[#This Row],[OrderDate]])</f>
        <v>10</v>
      </c>
      <c r="U245" t="str">
        <f>LEFT(tblSales[[#This Row],[ProductName]],20)</f>
        <v>Lakkalikööri</v>
      </c>
    </row>
    <row r="246" spans="2:21" x14ac:dyDescent="0.2">
      <c r="B246">
        <v>10434</v>
      </c>
      <c r="C246" t="s">
        <v>8242</v>
      </c>
      <c r="D246" t="s">
        <v>8292</v>
      </c>
      <c r="E246" t="s">
        <v>8237</v>
      </c>
      <c r="F246" s="222">
        <v>16.8</v>
      </c>
      <c r="G246">
        <v>6</v>
      </c>
      <c r="H246" s="223">
        <v>0</v>
      </c>
      <c r="I246" s="222">
        <v>100.8</v>
      </c>
      <c r="J246" t="s">
        <v>8293</v>
      </c>
      <c r="K246" t="s">
        <v>8294</v>
      </c>
      <c r="L246" s="118">
        <v>43680</v>
      </c>
      <c r="M246" s="118">
        <v>43690</v>
      </c>
      <c r="N246" t="s">
        <v>8265</v>
      </c>
      <c r="O246" t="s">
        <v>8257</v>
      </c>
      <c r="P246" t="s">
        <v>6984</v>
      </c>
      <c r="Q246" t="str">
        <f>tblSales[[#This Row],[FirstName]]&amp; " " &amp;tblSales[[#This Row],[LastName]]</f>
        <v>Janet Leverling</v>
      </c>
      <c r="R246">
        <f>YEAR(tblSales[[#This Row],[OrderDate]])</f>
        <v>2019</v>
      </c>
      <c r="S246">
        <f>WEEKNUM(tblSales[[#This Row],[OrderDate]])</f>
        <v>31</v>
      </c>
      <c r="T246">
        <f>IF(ISBLANK(tblSales[[#This Row],[ShippedDate]]),"",tblSales[[#This Row],[ShippedDate]]-tblSales[[#This Row],[OrderDate]])</f>
        <v>10</v>
      </c>
      <c r="U246" t="str">
        <f>LEFT(tblSales[[#This Row],[ProductName]],20)</f>
        <v>Queso Cabrales</v>
      </c>
    </row>
    <row r="247" spans="2:21" x14ac:dyDescent="0.2">
      <c r="B247">
        <v>10433</v>
      </c>
      <c r="C247" t="s">
        <v>8341</v>
      </c>
      <c r="D247" t="s">
        <v>8365</v>
      </c>
      <c r="E247" t="s">
        <v>8244</v>
      </c>
      <c r="F247" s="222">
        <v>30.4</v>
      </c>
      <c r="G247">
        <v>28</v>
      </c>
      <c r="H247" s="223">
        <v>0</v>
      </c>
      <c r="I247" s="222">
        <v>851.2</v>
      </c>
      <c r="J247" t="s">
        <v>8370</v>
      </c>
      <c r="K247" t="s">
        <v>8371</v>
      </c>
      <c r="L247" s="118">
        <v>43680</v>
      </c>
      <c r="M247" s="118">
        <v>43709</v>
      </c>
      <c r="N247" t="s">
        <v>8240</v>
      </c>
      <c r="O247" t="s">
        <v>8257</v>
      </c>
      <c r="P247" t="s">
        <v>6984</v>
      </c>
      <c r="Q247" t="str">
        <f>tblSales[[#This Row],[FirstName]]&amp; " " &amp;tblSales[[#This Row],[LastName]]</f>
        <v>Janet Leverling</v>
      </c>
      <c r="R247">
        <f>YEAR(tblSales[[#This Row],[OrderDate]])</f>
        <v>2019</v>
      </c>
      <c r="S247">
        <f>WEEKNUM(tblSales[[#This Row],[OrderDate]])</f>
        <v>31</v>
      </c>
      <c r="T247">
        <f>IF(ISBLANK(tblSales[[#This Row],[ShippedDate]]),"",tblSales[[#This Row],[ShippedDate]]-tblSales[[#This Row],[OrderDate]])</f>
        <v>29</v>
      </c>
      <c r="U247" t="str">
        <f>LEFT(tblSales[[#This Row],[ProductName]],20)</f>
        <v>Gnocchi di nonna Ali</v>
      </c>
    </row>
    <row r="248" spans="2:21" x14ac:dyDescent="0.2">
      <c r="B248">
        <v>10435</v>
      </c>
      <c r="C248" t="s">
        <v>8276</v>
      </c>
      <c r="D248" t="s">
        <v>2434</v>
      </c>
      <c r="E248" t="s">
        <v>8272</v>
      </c>
      <c r="F248" s="222">
        <v>15.2</v>
      </c>
      <c r="G248">
        <v>10</v>
      </c>
      <c r="H248" s="223">
        <v>0</v>
      </c>
      <c r="I248" s="222">
        <v>152</v>
      </c>
      <c r="J248" t="s">
        <v>8413</v>
      </c>
      <c r="K248" t="s">
        <v>8414</v>
      </c>
      <c r="L248" s="118">
        <v>43681</v>
      </c>
      <c r="M248" s="118">
        <v>43684</v>
      </c>
      <c r="N248" t="s">
        <v>8265</v>
      </c>
      <c r="O248" t="s">
        <v>8320</v>
      </c>
      <c r="P248" t="s">
        <v>8321</v>
      </c>
      <c r="Q248" t="str">
        <f>tblSales[[#This Row],[FirstName]]&amp; " " &amp;tblSales[[#This Row],[LastName]]</f>
        <v>Laura Callahan</v>
      </c>
      <c r="R248">
        <f>YEAR(tblSales[[#This Row],[OrderDate]])</f>
        <v>2019</v>
      </c>
      <c r="S248">
        <f>WEEKNUM(tblSales[[#This Row],[OrderDate]])</f>
        <v>32</v>
      </c>
      <c r="T248">
        <f>IF(ISBLANK(tblSales[[#This Row],[ShippedDate]]),"",tblSales[[#This Row],[ShippedDate]]-tblSales[[#This Row],[OrderDate]])</f>
        <v>3</v>
      </c>
      <c r="U248" t="str">
        <f>LEFT(tblSales[[#This Row],[ProductName]],20)</f>
        <v>Chang</v>
      </c>
    </row>
    <row r="249" spans="2:21" x14ac:dyDescent="0.2">
      <c r="B249">
        <v>10435</v>
      </c>
      <c r="C249" t="s">
        <v>8235</v>
      </c>
      <c r="D249" t="s">
        <v>2434</v>
      </c>
      <c r="E249" t="s">
        <v>8237</v>
      </c>
      <c r="F249" s="222">
        <v>27.8</v>
      </c>
      <c r="G249">
        <v>10</v>
      </c>
      <c r="H249" s="223">
        <v>0</v>
      </c>
      <c r="I249" s="222">
        <v>278</v>
      </c>
      <c r="J249" t="s">
        <v>8413</v>
      </c>
      <c r="K249" t="s">
        <v>8414</v>
      </c>
      <c r="L249" s="118">
        <v>43681</v>
      </c>
      <c r="M249" s="118">
        <v>43684</v>
      </c>
      <c r="N249" t="s">
        <v>8265</v>
      </c>
      <c r="O249" t="s">
        <v>8320</v>
      </c>
      <c r="P249" t="s">
        <v>8321</v>
      </c>
      <c r="Q249" t="str">
        <f>tblSales[[#This Row],[FirstName]]&amp; " " &amp;tblSales[[#This Row],[LastName]]</f>
        <v>Laura Callahan</v>
      </c>
      <c r="R249">
        <f>YEAR(tblSales[[#This Row],[OrderDate]])</f>
        <v>2019</v>
      </c>
      <c r="S249">
        <f>WEEKNUM(tblSales[[#This Row],[OrderDate]])</f>
        <v>32</v>
      </c>
      <c r="T249">
        <f>IF(ISBLANK(tblSales[[#This Row],[ShippedDate]]),"",tblSales[[#This Row],[ShippedDate]]-tblSales[[#This Row],[OrderDate]])</f>
        <v>3</v>
      </c>
      <c r="U249" t="str">
        <f>LEFT(tblSales[[#This Row],[ProductName]],20)</f>
        <v>Mozzarella di Giovan</v>
      </c>
    </row>
    <row r="250" spans="2:21" x14ac:dyDescent="0.2">
      <c r="B250">
        <v>10435</v>
      </c>
      <c r="C250" t="s">
        <v>8259</v>
      </c>
      <c r="D250" t="s">
        <v>2434</v>
      </c>
      <c r="E250" t="s">
        <v>8244</v>
      </c>
      <c r="F250" s="222">
        <v>16.8</v>
      </c>
      <c r="G250">
        <v>12</v>
      </c>
      <c r="H250" s="223">
        <v>0</v>
      </c>
      <c r="I250" s="222">
        <v>201.6</v>
      </c>
      <c r="J250" t="s">
        <v>8413</v>
      </c>
      <c r="K250" t="s">
        <v>8414</v>
      </c>
      <c r="L250" s="118">
        <v>43681</v>
      </c>
      <c r="M250" s="118">
        <v>43684</v>
      </c>
      <c r="N250" t="s">
        <v>8265</v>
      </c>
      <c r="O250" t="s">
        <v>8320</v>
      </c>
      <c r="P250" t="s">
        <v>8321</v>
      </c>
      <c r="Q250" t="str">
        <f>tblSales[[#This Row],[FirstName]]&amp; " " &amp;tblSales[[#This Row],[LastName]]</f>
        <v>Laura Callahan</v>
      </c>
      <c r="R250">
        <f>YEAR(tblSales[[#This Row],[OrderDate]])</f>
        <v>2019</v>
      </c>
      <c r="S250">
        <f>WEEKNUM(tblSales[[#This Row],[OrderDate]])</f>
        <v>32</v>
      </c>
      <c r="T250">
        <f>IF(ISBLANK(tblSales[[#This Row],[ShippedDate]]),"",tblSales[[#This Row],[ShippedDate]]-tblSales[[#This Row],[OrderDate]])</f>
        <v>3</v>
      </c>
      <c r="U250" t="str">
        <f>LEFT(tblSales[[#This Row],[ProductName]],20)</f>
        <v>Gustaf's Knäckebröd</v>
      </c>
    </row>
    <row r="251" spans="2:21" x14ac:dyDescent="0.2">
      <c r="B251">
        <v>10436</v>
      </c>
      <c r="C251" t="s">
        <v>8328</v>
      </c>
      <c r="D251" t="s">
        <v>8236</v>
      </c>
      <c r="E251" t="s">
        <v>8272</v>
      </c>
      <c r="F251" s="222">
        <v>6.2</v>
      </c>
      <c r="G251">
        <v>24</v>
      </c>
      <c r="H251" s="223">
        <v>0.10000000149011599</v>
      </c>
      <c r="I251" s="222">
        <v>133.91999999999999</v>
      </c>
      <c r="J251" t="s">
        <v>8295</v>
      </c>
      <c r="K251" t="s">
        <v>8296</v>
      </c>
      <c r="L251" s="118">
        <v>43682</v>
      </c>
      <c r="M251" s="118">
        <v>43688</v>
      </c>
      <c r="N251" t="s">
        <v>8265</v>
      </c>
      <c r="O251" t="s">
        <v>8257</v>
      </c>
      <c r="P251" t="s">
        <v>6984</v>
      </c>
      <c r="Q251" t="str">
        <f>tblSales[[#This Row],[FirstName]]&amp; " " &amp;tblSales[[#This Row],[LastName]]</f>
        <v>Janet Leverling</v>
      </c>
      <c r="R251">
        <f>YEAR(tblSales[[#This Row],[OrderDate]])</f>
        <v>2019</v>
      </c>
      <c r="S251">
        <f>WEEKNUM(tblSales[[#This Row],[OrderDate]])</f>
        <v>32</v>
      </c>
      <c r="T251">
        <f>IF(ISBLANK(tblSales[[#This Row],[ShippedDate]]),"",tblSales[[#This Row],[ShippedDate]]-tblSales[[#This Row],[OrderDate]])</f>
        <v>6</v>
      </c>
      <c r="U251" t="str">
        <f>LEFT(tblSales[[#This Row],[ProductName]],20)</f>
        <v>Rhönbräu Klosterbier</v>
      </c>
    </row>
    <row r="252" spans="2:21" x14ac:dyDescent="0.2">
      <c r="B252">
        <v>10436</v>
      </c>
      <c r="C252" t="s">
        <v>8341</v>
      </c>
      <c r="D252" t="s">
        <v>8236</v>
      </c>
      <c r="E252" t="s">
        <v>8244</v>
      </c>
      <c r="F252" s="222">
        <v>30.4</v>
      </c>
      <c r="G252">
        <v>40</v>
      </c>
      <c r="H252" s="223">
        <v>0.10000000149011599</v>
      </c>
      <c r="I252" s="222">
        <v>1094.4000000000001</v>
      </c>
      <c r="J252" t="s">
        <v>8295</v>
      </c>
      <c r="K252" t="s">
        <v>8296</v>
      </c>
      <c r="L252" s="118">
        <v>43682</v>
      </c>
      <c r="M252" s="118">
        <v>43688</v>
      </c>
      <c r="N252" t="s">
        <v>8265</v>
      </c>
      <c r="O252" t="s">
        <v>8257</v>
      </c>
      <c r="P252" t="s">
        <v>6984</v>
      </c>
      <c r="Q252" t="str">
        <f>tblSales[[#This Row],[FirstName]]&amp; " " &amp;tblSales[[#This Row],[LastName]]</f>
        <v>Janet Leverling</v>
      </c>
      <c r="R252">
        <f>YEAR(tblSales[[#This Row],[OrderDate]])</f>
        <v>2019</v>
      </c>
      <c r="S252">
        <f>WEEKNUM(tblSales[[#This Row],[OrderDate]])</f>
        <v>32</v>
      </c>
      <c r="T252">
        <f>IF(ISBLANK(tblSales[[#This Row],[ShippedDate]]),"",tblSales[[#This Row],[ShippedDate]]-tblSales[[#This Row],[OrderDate]])</f>
        <v>6</v>
      </c>
      <c r="U252" t="str">
        <f>LEFT(tblSales[[#This Row],[ProductName]],20)</f>
        <v>Gnocchi di nonna Ali</v>
      </c>
    </row>
    <row r="253" spans="2:21" x14ac:dyDescent="0.2">
      <c r="B253">
        <v>10436</v>
      </c>
      <c r="C253" t="s">
        <v>8340</v>
      </c>
      <c r="D253" t="s">
        <v>8236</v>
      </c>
      <c r="E253" t="s">
        <v>8244</v>
      </c>
      <c r="F253" s="222">
        <v>26.6</v>
      </c>
      <c r="G253">
        <v>30</v>
      </c>
      <c r="H253" s="223">
        <v>0.10000000149011599</v>
      </c>
      <c r="I253" s="222">
        <v>718.2</v>
      </c>
      <c r="J253" t="s">
        <v>8295</v>
      </c>
      <c r="K253" t="s">
        <v>8296</v>
      </c>
      <c r="L253" s="118">
        <v>43682</v>
      </c>
      <c r="M253" s="118">
        <v>43688</v>
      </c>
      <c r="N253" t="s">
        <v>8265</v>
      </c>
      <c r="O253" t="s">
        <v>8257</v>
      </c>
      <c r="P253" t="s">
        <v>6984</v>
      </c>
      <c r="Q253" t="str">
        <f>tblSales[[#This Row],[FirstName]]&amp; " " &amp;tblSales[[#This Row],[LastName]]</f>
        <v>Janet Leverling</v>
      </c>
      <c r="R253">
        <f>YEAR(tblSales[[#This Row],[OrderDate]])</f>
        <v>2019</v>
      </c>
      <c r="S253">
        <f>WEEKNUM(tblSales[[#This Row],[OrderDate]])</f>
        <v>32</v>
      </c>
      <c r="T253">
        <f>IF(ISBLANK(tblSales[[#This Row],[ShippedDate]]),"",tblSales[[#This Row],[ShippedDate]]-tblSales[[#This Row],[OrderDate]])</f>
        <v>6</v>
      </c>
      <c r="U253" t="str">
        <f>LEFT(tblSales[[#This Row],[ProductName]],20)</f>
        <v>Wimmers gute Semmelk</v>
      </c>
    </row>
    <row r="254" spans="2:21" x14ac:dyDescent="0.2">
      <c r="B254">
        <v>10438</v>
      </c>
      <c r="C254" t="s">
        <v>8358</v>
      </c>
      <c r="D254" t="s">
        <v>8246</v>
      </c>
      <c r="E254" t="s">
        <v>8272</v>
      </c>
      <c r="F254" s="222">
        <v>11.2</v>
      </c>
      <c r="G254">
        <v>20</v>
      </c>
      <c r="H254" s="223">
        <v>0.20000000298023199</v>
      </c>
      <c r="I254" s="222">
        <v>179.2</v>
      </c>
      <c r="J254" t="s">
        <v>8248</v>
      </c>
      <c r="K254" t="s">
        <v>8249</v>
      </c>
      <c r="L254" s="118">
        <v>43683</v>
      </c>
      <c r="M254" s="118">
        <v>43691</v>
      </c>
      <c r="N254" t="s">
        <v>8265</v>
      </c>
      <c r="O254" t="s">
        <v>8257</v>
      </c>
      <c r="P254" t="s">
        <v>6984</v>
      </c>
      <c r="Q254" t="str">
        <f>tblSales[[#This Row],[FirstName]]&amp; " " &amp;tblSales[[#This Row],[LastName]]</f>
        <v>Janet Leverling</v>
      </c>
      <c r="R254">
        <f>YEAR(tblSales[[#This Row],[OrderDate]])</f>
        <v>2019</v>
      </c>
      <c r="S254">
        <f>WEEKNUM(tblSales[[#This Row],[OrderDate]])</f>
        <v>32</v>
      </c>
      <c r="T254">
        <f>IF(ISBLANK(tblSales[[#This Row],[ShippedDate]]),"",tblSales[[#This Row],[ShippedDate]]-tblSales[[#This Row],[OrderDate]])</f>
        <v>8</v>
      </c>
      <c r="U254" t="str">
        <f>LEFT(tblSales[[#This Row],[ProductName]],20)</f>
        <v>Sasquatch Ale</v>
      </c>
    </row>
    <row r="255" spans="2:21" x14ac:dyDescent="0.2">
      <c r="B255">
        <v>10438</v>
      </c>
      <c r="C255" t="s">
        <v>8327</v>
      </c>
      <c r="D255" t="s">
        <v>8246</v>
      </c>
      <c r="E255" t="s">
        <v>8262</v>
      </c>
      <c r="F255" s="222">
        <v>7.3</v>
      </c>
      <c r="G255">
        <v>15</v>
      </c>
      <c r="H255" s="223">
        <v>0.20000000298023199</v>
      </c>
      <c r="I255" s="222">
        <v>87.6</v>
      </c>
      <c r="J255" t="s">
        <v>8248</v>
      </c>
      <c r="K255" t="s">
        <v>8249</v>
      </c>
      <c r="L255" s="118">
        <v>43683</v>
      </c>
      <c r="M255" s="118">
        <v>43691</v>
      </c>
      <c r="N255" t="s">
        <v>8265</v>
      </c>
      <c r="O255" t="s">
        <v>8257</v>
      </c>
      <c r="P255" t="s">
        <v>6984</v>
      </c>
      <c r="Q255" t="str">
        <f>tblSales[[#This Row],[FirstName]]&amp; " " &amp;tblSales[[#This Row],[LastName]]</f>
        <v>Janet Leverling</v>
      </c>
      <c r="R255">
        <f>YEAR(tblSales[[#This Row],[OrderDate]])</f>
        <v>2019</v>
      </c>
      <c r="S255">
        <f>WEEKNUM(tblSales[[#This Row],[OrderDate]])</f>
        <v>32</v>
      </c>
      <c r="T255">
        <f>IF(ISBLANK(tblSales[[#This Row],[ShippedDate]]),"",tblSales[[#This Row],[ShippedDate]]-tblSales[[#This Row],[OrderDate]])</f>
        <v>8</v>
      </c>
      <c r="U255" t="str">
        <f>LEFT(tblSales[[#This Row],[ProductName]],20)</f>
        <v>Teatime Chocolate Bi</v>
      </c>
    </row>
    <row r="256" spans="2:21" x14ac:dyDescent="0.2">
      <c r="B256">
        <v>10438</v>
      </c>
      <c r="C256" t="s">
        <v>8258</v>
      </c>
      <c r="D256" t="s">
        <v>8246</v>
      </c>
      <c r="E256" t="s">
        <v>8244</v>
      </c>
      <c r="F256" s="222">
        <v>15.6</v>
      </c>
      <c r="G256">
        <v>15</v>
      </c>
      <c r="H256" s="223">
        <v>0.20000000298023199</v>
      </c>
      <c r="I256" s="222">
        <v>187.2</v>
      </c>
      <c r="J256" t="s">
        <v>8248</v>
      </c>
      <c r="K256" t="s">
        <v>8249</v>
      </c>
      <c r="L256" s="118">
        <v>43683</v>
      </c>
      <c r="M256" s="118">
        <v>43691</v>
      </c>
      <c r="N256" t="s">
        <v>8265</v>
      </c>
      <c r="O256" t="s">
        <v>8257</v>
      </c>
      <c r="P256" t="s">
        <v>6984</v>
      </c>
      <c r="Q256" t="str">
        <f>tblSales[[#This Row],[FirstName]]&amp; " " &amp;tblSales[[#This Row],[LastName]]</f>
        <v>Janet Leverling</v>
      </c>
      <c r="R256">
        <f>YEAR(tblSales[[#This Row],[OrderDate]])</f>
        <v>2019</v>
      </c>
      <c r="S256">
        <f>WEEKNUM(tblSales[[#This Row],[OrderDate]])</f>
        <v>32</v>
      </c>
      <c r="T256">
        <f>IF(ISBLANK(tblSales[[#This Row],[ShippedDate]]),"",tblSales[[#This Row],[ShippedDate]]-tblSales[[#This Row],[OrderDate]])</f>
        <v>8</v>
      </c>
      <c r="U256" t="str">
        <f>LEFT(tblSales[[#This Row],[ProductName]],20)</f>
        <v>Ravioli Angelo</v>
      </c>
    </row>
    <row r="257" spans="2:21" x14ac:dyDescent="0.2">
      <c r="B257">
        <v>11081</v>
      </c>
      <c r="C257" t="s">
        <v>8288</v>
      </c>
      <c r="D257" t="s">
        <v>8236</v>
      </c>
      <c r="E257" t="s">
        <v>8272</v>
      </c>
      <c r="F257" s="222">
        <v>12</v>
      </c>
      <c r="G257">
        <v>20</v>
      </c>
      <c r="H257" s="223">
        <v>0</v>
      </c>
      <c r="I257" s="222">
        <v>240</v>
      </c>
      <c r="J257" t="s">
        <v>8295</v>
      </c>
      <c r="K257" t="s">
        <v>8296</v>
      </c>
      <c r="L257" s="118">
        <v>43687</v>
      </c>
      <c r="M257" s="118">
        <v>43705</v>
      </c>
      <c r="N257" t="s">
        <v>8250</v>
      </c>
      <c r="O257" t="s">
        <v>8297</v>
      </c>
      <c r="P257" t="s">
        <v>8298</v>
      </c>
      <c r="Q257" t="str">
        <f>tblSales[[#This Row],[FirstName]]&amp; " " &amp;tblSales[[#This Row],[LastName]]</f>
        <v>Andrew Fuller</v>
      </c>
      <c r="R257">
        <f>YEAR(tblSales[[#This Row],[OrderDate]])</f>
        <v>2019</v>
      </c>
      <c r="S257">
        <f>WEEKNUM(tblSales[[#This Row],[OrderDate]])</f>
        <v>32</v>
      </c>
      <c r="T257">
        <f>IF(ISBLANK(tblSales[[#This Row],[ShippedDate]]),"",tblSales[[#This Row],[ShippedDate]]-tblSales[[#This Row],[OrderDate]])</f>
        <v>18</v>
      </c>
      <c r="U257" t="str">
        <f>LEFT(tblSales[[#This Row],[ProductName]],20)</f>
        <v>Outback Lager</v>
      </c>
    </row>
    <row r="258" spans="2:21" x14ac:dyDescent="0.2">
      <c r="B258">
        <v>10442</v>
      </c>
      <c r="C258" t="s">
        <v>8348</v>
      </c>
      <c r="D258" t="s">
        <v>8282</v>
      </c>
      <c r="E258" t="s">
        <v>8254</v>
      </c>
      <c r="F258" s="222">
        <v>13.6</v>
      </c>
      <c r="G258">
        <v>60</v>
      </c>
      <c r="H258" s="223">
        <v>0</v>
      </c>
      <c r="I258" s="222">
        <v>816</v>
      </c>
      <c r="J258" t="s">
        <v>8283</v>
      </c>
      <c r="K258" t="s">
        <v>8284</v>
      </c>
      <c r="L258" s="118">
        <v>43688</v>
      </c>
      <c r="M258" s="118">
        <v>43695</v>
      </c>
      <c r="N258" t="s">
        <v>8265</v>
      </c>
      <c r="O258" t="s">
        <v>8257</v>
      </c>
      <c r="P258" t="s">
        <v>6984</v>
      </c>
      <c r="Q258" t="str">
        <f>tblSales[[#This Row],[FirstName]]&amp; " " &amp;tblSales[[#This Row],[LastName]]</f>
        <v>Janet Leverling</v>
      </c>
      <c r="R258">
        <f>YEAR(tblSales[[#This Row],[OrderDate]])</f>
        <v>2019</v>
      </c>
      <c r="S258">
        <f>WEEKNUM(tblSales[[#This Row],[OrderDate]])</f>
        <v>33</v>
      </c>
      <c r="T258">
        <f>IF(ISBLANK(tblSales[[#This Row],[ShippedDate]]),"",tblSales[[#This Row],[ShippedDate]]-tblSales[[#This Row],[OrderDate]])</f>
        <v>7</v>
      </c>
      <c r="U258" t="str">
        <f>LEFT(tblSales[[#This Row],[ProductName]],20)</f>
        <v>Louisiana Hot Spiced</v>
      </c>
    </row>
    <row r="259" spans="2:21" x14ac:dyDescent="0.2">
      <c r="B259">
        <v>10442</v>
      </c>
      <c r="C259" t="s">
        <v>8242</v>
      </c>
      <c r="D259" t="s">
        <v>8282</v>
      </c>
      <c r="E259" t="s">
        <v>8237</v>
      </c>
      <c r="F259" s="222">
        <v>16.8</v>
      </c>
      <c r="G259">
        <v>30</v>
      </c>
      <c r="H259" s="223">
        <v>0</v>
      </c>
      <c r="I259" s="222">
        <v>504</v>
      </c>
      <c r="J259" t="s">
        <v>8283</v>
      </c>
      <c r="K259" t="s">
        <v>8284</v>
      </c>
      <c r="L259" s="118">
        <v>43688</v>
      </c>
      <c r="M259" s="118">
        <v>43695</v>
      </c>
      <c r="N259" t="s">
        <v>8265</v>
      </c>
      <c r="O259" t="s">
        <v>8257</v>
      </c>
      <c r="P259" t="s">
        <v>6984</v>
      </c>
      <c r="Q259" t="str">
        <f>tblSales[[#This Row],[FirstName]]&amp; " " &amp;tblSales[[#This Row],[LastName]]</f>
        <v>Janet Leverling</v>
      </c>
      <c r="R259">
        <f>YEAR(tblSales[[#This Row],[OrderDate]])</f>
        <v>2019</v>
      </c>
      <c r="S259">
        <f>WEEKNUM(tblSales[[#This Row],[OrderDate]])</f>
        <v>33</v>
      </c>
      <c r="T259">
        <f>IF(ISBLANK(tblSales[[#This Row],[ShippedDate]]),"",tblSales[[#This Row],[ShippedDate]]-tblSales[[#This Row],[OrderDate]])</f>
        <v>7</v>
      </c>
      <c r="U259" t="str">
        <f>LEFT(tblSales[[#This Row],[ProductName]],20)</f>
        <v>Queso Cabrales</v>
      </c>
    </row>
    <row r="260" spans="2:21" x14ac:dyDescent="0.2">
      <c r="B260">
        <v>10443</v>
      </c>
      <c r="C260" t="s">
        <v>8242</v>
      </c>
      <c r="D260" t="s">
        <v>8311</v>
      </c>
      <c r="E260" t="s">
        <v>8237</v>
      </c>
      <c r="F260" s="222">
        <v>16.8</v>
      </c>
      <c r="G260">
        <v>6</v>
      </c>
      <c r="H260" s="223">
        <v>0.20000000298023199</v>
      </c>
      <c r="I260" s="222">
        <v>80.64</v>
      </c>
      <c r="J260" t="s">
        <v>8335</v>
      </c>
      <c r="K260" t="s">
        <v>8336</v>
      </c>
      <c r="L260" s="118">
        <v>43689</v>
      </c>
      <c r="M260" s="118">
        <v>43691</v>
      </c>
      <c r="N260" t="s">
        <v>8250</v>
      </c>
      <c r="O260" t="s">
        <v>8320</v>
      </c>
      <c r="P260" t="s">
        <v>8321</v>
      </c>
      <c r="Q260" t="str">
        <f>tblSales[[#This Row],[FirstName]]&amp; " " &amp;tblSales[[#This Row],[LastName]]</f>
        <v>Laura Callahan</v>
      </c>
      <c r="R260">
        <f>YEAR(tblSales[[#This Row],[OrderDate]])</f>
        <v>2019</v>
      </c>
      <c r="S260">
        <f>WEEKNUM(tblSales[[#This Row],[OrderDate]])</f>
        <v>33</v>
      </c>
      <c r="T260">
        <f>IF(ISBLANK(tblSales[[#This Row],[ShippedDate]]),"",tblSales[[#This Row],[ShippedDate]]-tblSales[[#This Row],[OrderDate]])</f>
        <v>2</v>
      </c>
      <c r="U260" t="str">
        <f>LEFT(tblSales[[#This Row],[ProductName]],20)</f>
        <v>Queso Cabrales</v>
      </c>
    </row>
    <row r="261" spans="2:21" x14ac:dyDescent="0.2">
      <c r="B261">
        <v>10443</v>
      </c>
      <c r="C261" t="s">
        <v>8316</v>
      </c>
      <c r="D261" t="s">
        <v>8311</v>
      </c>
      <c r="E261" t="s">
        <v>8247</v>
      </c>
      <c r="F261" s="222">
        <v>36.4</v>
      </c>
      <c r="G261">
        <v>12</v>
      </c>
      <c r="H261" s="223">
        <v>0</v>
      </c>
      <c r="I261" s="222">
        <v>436.8</v>
      </c>
      <c r="J261" t="s">
        <v>8335</v>
      </c>
      <c r="K261" t="s">
        <v>8336</v>
      </c>
      <c r="L261" s="118">
        <v>43689</v>
      </c>
      <c r="M261" s="118">
        <v>43691</v>
      </c>
      <c r="N261" t="s">
        <v>8250</v>
      </c>
      <c r="O261" t="s">
        <v>8320</v>
      </c>
      <c r="P261" t="s">
        <v>8321</v>
      </c>
      <c r="Q261" t="str">
        <f>tblSales[[#This Row],[FirstName]]&amp; " " &amp;tblSales[[#This Row],[LastName]]</f>
        <v>Laura Callahan</v>
      </c>
      <c r="R261">
        <f>YEAR(tblSales[[#This Row],[OrderDate]])</f>
        <v>2019</v>
      </c>
      <c r="S261">
        <f>WEEKNUM(tblSales[[#This Row],[OrderDate]])</f>
        <v>33</v>
      </c>
      <c r="T261">
        <f>IF(ISBLANK(tblSales[[#This Row],[ShippedDate]]),"",tblSales[[#This Row],[ShippedDate]]-tblSales[[#This Row],[OrderDate]])</f>
        <v>2</v>
      </c>
      <c r="U261" t="str">
        <f>LEFT(tblSales[[#This Row],[ProductName]],20)</f>
        <v>Rössle Sauerkraut</v>
      </c>
    </row>
    <row r="262" spans="2:21" x14ac:dyDescent="0.2">
      <c r="B262">
        <v>10444</v>
      </c>
      <c r="C262" t="s">
        <v>8323</v>
      </c>
      <c r="D262" t="s">
        <v>8292</v>
      </c>
      <c r="E262" t="s">
        <v>8272</v>
      </c>
      <c r="F262" s="222">
        <v>14.4</v>
      </c>
      <c r="G262">
        <v>8</v>
      </c>
      <c r="H262" s="223">
        <v>0</v>
      </c>
      <c r="I262" s="222">
        <v>115.2</v>
      </c>
      <c r="J262" t="s">
        <v>8318</v>
      </c>
      <c r="K262" t="s">
        <v>8319</v>
      </c>
      <c r="L262" s="118">
        <v>43689</v>
      </c>
      <c r="M262" s="118">
        <v>43698</v>
      </c>
      <c r="N262" t="s">
        <v>8240</v>
      </c>
      <c r="O262" t="s">
        <v>8257</v>
      </c>
      <c r="P262" t="s">
        <v>6984</v>
      </c>
      <c r="Q262" t="str">
        <f>tblSales[[#This Row],[FirstName]]&amp; " " &amp;tblSales[[#This Row],[LastName]]</f>
        <v>Janet Leverling</v>
      </c>
      <c r="R262">
        <f>YEAR(tblSales[[#This Row],[OrderDate]])</f>
        <v>2019</v>
      </c>
      <c r="S262">
        <f>WEEKNUM(tblSales[[#This Row],[OrderDate]])</f>
        <v>33</v>
      </c>
      <c r="T262">
        <f>IF(ISBLANK(tblSales[[#This Row],[ShippedDate]]),"",tblSales[[#This Row],[ShippedDate]]-tblSales[[#This Row],[OrderDate]])</f>
        <v>9</v>
      </c>
      <c r="U262" t="str">
        <f>LEFT(tblSales[[#This Row],[ProductName]],20)</f>
        <v>Steeleye Stout</v>
      </c>
    </row>
    <row r="263" spans="2:21" x14ac:dyDescent="0.2">
      <c r="B263">
        <v>10444</v>
      </c>
      <c r="C263" t="s">
        <v>8372</v>
      </c>
      <c r="D263" t="s">
        <v>8292</v>
      </c>
      <c r="E263" t="s">
        <v>8262</v>
      </c>
      <c r="F263" s="222">
        <v>24.9</v>
      </c>
      <c r="G263">
        <v>15</v>
      </c>
      <c r="H263" s="223">
        <v>0</v>
      </c>
      <c r="I263" s="222">
        <v>373.5</v>
      </c>
      <c r="J263" t="s">
        <v>8318</v>
      </c>
      <c r="K263" t="s">
        <v>8319</v>
      </c>
      <c r="L263" s="118">
        <v>43689</v>
      </c>
      <c r="M263" s="118">
        <v>43698</v>
      </c>
      <c r="N263" t="s">
        <v>8240</v>
      </c>
      <c r="O263" t="s">
        <v>8257</v>
      </c>
      <c r="P263" t="s">
        <v>6984</v>
      </c>
      <c r="Q263" t="str">
        <f>tblSales[[#This Row],[FirstName]]&amp; " " &amp;tblSales[[#This Row],[LastName]]</f>
        <v>Janet Leverling</v>
      </c>
      <c r="R263">
        <f>YEAR(tblSales[[#This Row],[OrderDate]])</f>
        <v>2019</v>
      </c>
      <c r="S263">
        <f>WEEKNUM(tblSales[[#This Row],[OrderDate]])</f>
        <v>33</v>
      </c>
      <c r="T263">
        <f>IF(ISBLANK(tblSales[[#This Row],[ShippedDate]]),"",tblSales[[#This Row],[ShippedDate]]-tblSales[[#This Row],[OrderDate]])</f>
        <v>9</v>
      </c>
      <c r="U263" t="str">
        <f>LEFT(tblSales[[#This Row],[ProductName]],20)</f>
        <v>Gumbär Gummibärchen</v>
      </c>
    </row>
    <row r="264" spans="2:21" x14ac:dyDescent="0.2">
      <c r="B264">
        <v>10445</v>
      </c>
      <c r="C264" t="s">
        <v>8342</v>
      </c>
      <c r="D264" t="s">
        <v>8292</v>
      </c>
      <c r="E264" t="s">
        <v>8272</v>
      </c>
      <c r="F264" s="222">
        <v>14.4</v>
      </c>
      <c r="G264">
        <v>6</v>
      </c>
      <c r="H264" s="223">
        <v>0</v>
      </c>
      <c r="I264" s="222">
        <v>86.4</v>
      </c>
      <c r="J264" t="s">
        <v>8318</v>
      </c>
      <c r="K264" t="s">
        <v>8319</v>
      </c>
      <c r="L264" s="118">
        <v>43690</v>
      </c>
      <c r="M264" s="118">
        <v>43697</v>
      </c>
      <c r="N264" t="s">
        <v>8250</v>
      </c>
      <c r="O264" t="s">
        <v>8257</v>
      </c>
      <c r="P264" t="s">
        <v>6984</v>
      </c>
      <c r="Q264" t="str">
        <f>tblSales[[#This Row],[FirstName]]&amp; " " &amp;tblSales[[#This Row],[LastName]]</f>
        <v>Janet Leverling</v>
      </c>
      <c r="R264">
        <f>YEAR(tblSales[[#This Row],[OrderDate]])</f>
        <v>2019</v>
      </c>
      <c r="S264">
        <f>WEEKNUM(tblSales[[#This Row],[OrderDate]])</f>
        <v>33</v>
      </c>
      <c r="T264">
        <f>IF(ISBLANK(tblSales[[#This Row],[ShippedDate]]),"",tblSales[[#This Row],[ShippedDate]]-tblSales[[#This Row],[OrderDate]])</f>
        <v>7</v>
      </c>
      <c r="U264" t="str">
        <f>LEFT(tblSales[[#This Row],[ProductName]],20)</f>
        <v>Chartreuse verte</v>
      </c>
    </row>
    <row r="265" spans="2:21" x14ac:dyDescent="0.2">
      <c r="B265">
        <v>10446</v>
      </c>
      <c r="C265" t="s">
        <v>8270</v>
      </c>
      <c r="D265" t="s">
        <v>8246</v>
      </c>
      <c r="E265" t="s">
        <v>8272</v>
      </c>
      <c r="F265" s="222">
        <v>3.6</v>
      </c>
      <c r="G265">
        <v>20</v>
      </c>
      <c r="H265" s="223">
        <v>0.10000000149011599</v>
      </c>
      <c r="I265" s="222">
        <v>64.8</v>
      </c>
      <c r="J265" t="s">
        <v>8248</v>
      </c>
      <c r="K265" t="s">
        <v>8249</v>
      </c>
      <c r="L265" s="118">
        <v>43691</v>
      </c>
      <c r="M265" s="118">
        <v>43696</v>
      </c>
      <c r="N265" t="s">
        <v>8250</v>
      </c>
      <c r="O265" t="s">
        <v>8251</v>
      </c>
      <c r="P265" t="s">
        <v>269</v>
      </c>
      <c r="Q265" t="str">
        <f>tblSales[[#This Row],[FirstName]]&amp; " " &amp;tblSales[[#This Row],[LastName]]</f>
        <v>Michael Suyama</v>
      </c>
      <c r="R265">
        <f>YEAR(tblSales[[#This Row],[OrderDate]])</f>
        <v>2019</v>
      </c>
      <c r="S265">
        <f>WEEKNUM(tblSales[[#This Row],[OrderDate]])</f>
        <v>33</v>
      </c>
      <c r="T265">
        <f>IF(ISBLANK(tblSales[[#This Row],[ShippedDate]]),"",tblSales[[#This Row],[ShippedDate]]-tblSales[[#This Row],[OrderDate]])</f>
        <v>5</v>
      </c>
      <c r="U265" t="str">
        <f>LEFT(tblSales[[#This Row],[ProductName]],20)</f>
        <v>Guaraná Fantástica</v>
      </c>
    </row>
    <row r="266" spans="2:21" x14ac:dyDescent="0.2">
      <c r="B266">
        <v>10446</v>
      </c>
      <c r="C266" t="s">
        <v>8327</v>
      </c>
      <c r="D266" t="s">
        <v>8246</v>
      </c>
      <c r="E266" t="s">
        <v>8262</v>
      </c>
      <c r="F266" s="222">
        <v>7.3</v>
      </c>
      <c r="G266">
        <v>12</v>
      </c>
      <c r="H266" s="223">
        <v>0.10000000149011599</v>
      </c>
      <c r="I266" s="222">
        <v>78.84</v>
      </c>
      <c r="J266" t="s">
        <v>8248</v>
      </c>
      <c r="K266" t="s">
        <v>8249</v>
      </c>
      <c r="L266" s="118">
        <v>43691</v>
      </c>
      <c r="M266" s="118">
        <v>43696</v>
      </c>
      <c r="N266" t="s">
        <v>8250</v>
      </c>
      <c r="O266" t="s">
        <v>8251</v>
      </c>
      <c r="P266" t="s">
        <v>269</v>
      </c>
      <c r="Q266" t="str">
        <f>tblSales[[#This Row],[FirstName]]&amp; " " &amp;tblSales[[#This Row],[LastName]]</f>
        <v>Michael Suyama</v>
      </c>
      <c r="R266">
        <f>YEAR(tblSales[[#This Row],[OrderDate]])</f>
        <v>2019</v>
      </c>
      <c r="S266">
        <f>WEEKNUM(tblSales[[#This Row],[OrderDate]])</f>
        <v>33</v>
      </c>
      <c r="T266">
        <f>IF(ISBLANK(tblSales[[#This Row],[ShippedDate]]),"",tblSales[[#This Row],[ShippedDate]]-tblSales[[#This Row],[OrderDate]])</f>
        <v>5</v>
      </c>
      <c r="U266" t="str">
        <f>LEFT(tblSales[[#This Row],[ProductName]],20)</f>
        <v>Teatime Chocolate Bi</v>
      </c>
    </row>
    <row r="267" spans="2:21" x14ac:dyDescent="0.2">
      <c r="B267">
        <v>10446</v>
      </c>
      <c r="C267" t="s">
        <v>8309</v>
      </c>
      <c r="D267" t="s">
        <v>8246</v>
      </c>
      <c r="E267" t="s">
        <v>8237</v>
      </c>
      <c r="F267" s="222">
        <v>10</v>
      </c>
      <c r="G267">
        <v>3</v>
      </c>
      <c r="H267" s="223">
        <v>0.10000000149011599</v>
      </c>
      <c r="I267" s="222">
        <v>27</v>
      </c>
      <c r="J267" t="s">
        <v>8248</v>
      </c>
      <c r="K267" t="s">
        <v>8249</v>
      </c>
      <c r="L267" s="118">
        <v>43691</v>
      </c>
      <c r="M267" s="118">
        <v>43696</v>
      </c>
      <c r="N267" t="s">
        <v>8250</v>
      </c>
      <c r="O267" t="s">
        <v>8251</v>
      </c>
      <c r="P267" t="s">
        <v>269</v>
      </c>
      <c r="Q267" t="str">
        <f>tblSales[[#This Row],[FirstName]]&amp; " " &amp;tblSales[[#This Row],[LastName]]</f>
        <v>Michael Suyama</v>
      </c>
      <c r="R267">
        <f>YEAR(tblSales[[#This Row],[OrderDate]])</f>
        <v>2019</v>
      </c>
      <c r="S267">
        <f>WEEKNUM(tblSales[[#This Row],[OrderDate]])</f>
        <v>33</v>
      </c>
      <c r="T267">
        <f>IF(ISBLANK(tblSales[[#This Row],[ShippedDate]]),"",tblSales[[#This Row],[ShippedDate]]-tblSales[[#This Row],[OrderDate]])</f>
        <v>5</v>
      </c>
      <c r="U267" t="str">
        <f>LEFT(tblSales[[#This Row],[ProductName]],20)</f>
        <v>Gorgonzola Telino</v>
      </c>
    </row>
    <row r="268" spans="2:21" x14ac:dyDescent="0.2">
      <c r="B268">
        <v>10446</v>
      </c>
      <c r="C268" t="s">
        <v>8369</v>
      </c>
      <c r="D268" t="s">
        <v>8246</v>
      </c>
      <c r="E268" t="s">
        <v>8244</v>
      </c>
      <c r="F268" s="222">
        <v>5.6</v>
      </c>
      <c r="G268">
        <v>15</v>
      </c>
      <c r="H268" s="223">
        <v>0.10000000149011599</v>
      </c>
      <c r="I268" s="222">
        <v>75.599999999999994</v>
      </c>
      <c r="J268" t="s">
        <v>8248</v>
      </c>
      <c r="K268" t="s">
        <v>8249</v>
      </c>
      <c r="L268" s="118">
        <v>43691</v>
      </c>
      <c r="M268" s="118">
        <v>43696</v>
      </c>
      <c r="N268" t="s">
        <v>8250</v>
      </c>
      <c r="O268" t="s">
        <v>8251</v>
      </c>
      <c r="P268" t="s">
        <v>269</v>
      </c>
      <c r="Q268" t="str">
        <f>tblSales[[#This Row],[FirstName]]&amp; " " &amp;tblSales[[#This Row],[LastName]]</f>
        <v>Michael Suyama</v>
      </c>
      <c r="R268">
        <f>YEAR(tblSales[[#This Row],[OrderDate]])</f>
        <v>2019</v>
      </c>
      <c r="S268">
        <f>WEEKNUM(tblSales[[#This Row],[OrderDate]])</f>
        <v>33</v>
      </c>
      <c r="T268">
        <f>IF(ISBLANK(tblSales[[#This Row],[ShippedDate]]),"",tblSales[[#This Row],[ShippedDate]]-tblSales[[#This Row],[OrderDate]])</f>
        <v>5</v>
      </c>
      <c r="U268" t="str">
        <f>LEFT(tblSales[[#This Row],[ProductName]],20)</f>
        <v>Filo Mix</v>
      </c>
    </row>
    <row r="269" spans="2:21" x14ac:dyDescent="0.2">
      <c r="B269">
        <v>10449</v>
      </c>
      <c r="C269" t="s">
        <v>8291</v>
      </c>
      <c r="D269" t="s">
        <v>8236</v>
      </c>
      <c r="E269" t="s">
        <v>8262</v>
      </c>
      <c r="F269" s="222">
        <v>39.4</v>
      </c>
      <c r="G269">
        <v>35</v>
      </c>
      <c r="H269" s="223">
        <v>0</v>
      </c>
      <c r="I269" s="222">
        <v>1379</v>
      </c>
      <c r="J269" t="s">
        <v>8295</v>
      </c>
      <c r="K269" t="s">
        <v>8296</v>
      </c>
      <c r="L269" s="118">
        <v>43695</v>
      </c>
      <c r="M269" s="118">
        <v>43704</v>
      </c>
      <c r="N269" t="s">
        <v>8265</v>
      </c>
      <c r="O269" t="s">
        <v>8257</v>
      </c>
      <c r="P269" t="s">
        <v>6984</v>
      </c>
      <c r="Q269" t="str">
        <f>tblSales[[#This Row],[FirstName]]&amp; " " &amp;tblSales[[#This Row],[LastName]]</f>
        <v>Janet Leverling</v>
      </c>
      <c r="R269">
        <f>YEAR(tblSales[[#This Row],[OrderDate]])</f>
        <v>2019</v>
      </c>
      <c r="S269">
        <f>WEEKNUM(tblSales[[#This Row],[OrderDate]])</f>
        <v>34</v>
      </c>
      <c r="T269">
        <f>IF(ISBLANK(tblSales[[#This Row],[ShippedDate]]),"",tblSales[[#This Row],[ShippedDate]]-tblSales[[#This Row],[OrderDate]])</f>
        <v>9</v>
      </c>
      <c r="U269" t="str">
        <f>LEFT(tblSales[[#This Row],[ProductName]],20)</f>
        <v>Tarte au sucre</v>
      </c>
    </row>
    <row r="270" spans="2:21" x14ac:dyDescent="0.2">
      <c r="B270">
        <v>10449</v>
      </c>
      <c r="C270" t="s">
        <v>8369</v>
      </c>
      <c r="D270" t="s">
        <v>8236</v>
      </c>
      <c r="E270" t="s">
        <v>8244</v>
      </c>
      <c r="F270" s="222">
        <v>5.6</v>
      </c>
      <c r="G270">
        <v>20</v>
      </c>
      <c r="H270" s="223">
        <v>0</v>
      </c>
      <c r="I270" s="222">
        <v>112</v>
      </c>
      <c r="J270" t="s">
        <v>8295</v>
      </c>
      <c r="K270" t="s">
        <v>8296</v>
      </c>
      <c r="L270" s="118">
        <v>43695</v>
      </c>
      <c r="M270" s="118">
        <v>43704</v>
      </c>
      <c r="N270" t="s">
        <v>8265</v>
      </c>
      <c r="O270" t="s">
        <v>8257</v>
      </c>
      <c r="P270" t="s">
        <v>6984</v>
      </c>
      <c r="Q270" t="str">
        <f>tblSales[[#This Row],[FirstName]]&amp; " " &amp;tblSales[[#This Row],[LastName]]</f>
        <v>Janet Leverling</v>
      </c>
      <c r="R270">
        <f>YEAR(tblSales[[#This Row],[OrderDate]])</f>
        <v>2019</v>
      </c>
      <c r="S270">
        <f>WEEKNUM(tblSales[[#This Row],[OrderDate]])</f>
        <v>34</v>
      </c>
      <c r="T270">
        <f>IF(ISBLANK(tblSales[[#This Row],[ShippedDate]]),"",tblSales[[#This Row],[ShippedDate]]-tblSales[[#This Row],[OrderDate]])</f>
        <v>9</v>
      </c>
      <c r="U270" t="str">
        <f>LEFT(tblSales[[#This Row],[ProductName]],20)</f>
        <v>Filo Mix</v>
      </c>
    </row>
    <row r="271" spans="2:21" x14ac:dyDescent="0.2">
      <c r="B271">
        <v>10451</v>
      </c>
      <c r="C271" t="s">
        <v>8397</v>
      </c>
      <c r="D271" t="s">
        <v>8246</v>
      </c>
      <c r="E271" t="s">
        <v>8254</v>
      </c>
      <c r="F271" s="222">
        <v>10.4</v>
      </c>
      <c r="G271">
        <v>55</v>
      </c>
      <c r="H271" s="223">
        <v>0.10000000149011599</v>
      </c>
      <c r="I271" s="222">
        <v>514.79999999999995</v>
      </c>
      <c r="J271" t="s">
        <v>8307</v>
      </c>
      <c r="K271" t="s">
        <v>8308</v>
      </c>
      <c r="L271" s="118">
        <v>43696</v>
      </c>
      <c r="M271" s="118">
        <v>43717</v>
      </c>
      <c r="N271" t="s">
        <v>8240</v>
      </c>
      <c r="O271" t="s">
        <v>8266</v>
      </c>
      <c r="P271" t="s">
        <v>8267</v>
      </c>
      <c r="Q271" t="str">
        <f>tblSales[[#This Row],[FirstName]]&amp; " " &amp;tblSales[[#This Row],[LastName]]</f>
        <v>Margaret Peacock</v>
      </c>
      <c r="R271">
        <f>YEAR(tblSales[[#This Row],[OrderDate]])</f>
        <v>2019</v>
      </c>
      <c r="S271">
        <f>WEEKNUM(tblSales[[#This Row],[OrderDate]])</f>
        <v>34</v>
      </c>
      <c r="T271">
        <f>IF(ISBLANK(tblSales[[#This Row],[ShippedDate]]),"",tblSales[[#This Row],[ShippedDate]]-tblSales[[#This Row],[OrderDate]])</f>
        <v>21</v>
      </c>
      <c r="U271" t="str">
        <f>LEFT(tblSales[[#This Row],[ProductName]],20)</f>
        <v>Original Frankfurter</v>
      </c>
    </row>
    <row r="272" spans="2:21" x14ac:dyDescent="0.2">
      <c r="B272">
        <v>10451</v>
      </c>
      <c r="C272" t="s">
        <v>8253</v>
      </c>
      <c r="D272" t="s">
        <v>8246</v>
      </c>
      <c r="E272" t="s">
        <v>8254</v>
      </c>
      <c r="F272" s="222">
        <v>16.8</v>
      </c>
      <c r="G272">
        <v>28</v>
      </c>
      <c r="H272" s="223">
        <v>0.10000000149011599</v>
      </c>
      <c r="I272" s="222">
        <v>423.36</v>
      </c>
      <c r="J272" t="s">
        <v>8307</v>
      </c>
      <c r="K272" t="s">
        <v>8308</v>
      </c>
      <c r="L272" s="118">
        <v>43696</v>
      </c>
      <c r="M272" s="118">
        <v>43717</v>
      </c>
      <c r="N272" t="s">
        <v>8240</v>
      </c>
      <c r="O272" t="s">
        <v>8266</v>
      </c>
      <c r="P272" t="s">
        <v>8267</v>
      </c>
      <c r="Q272" t="str">
        <f>tblSales[[#This Row],[FirstName]]&amp; " " &amp;tblSales[[#This Row],[LastName]]</f>
        <v>Margaret Peacock</v>
      </c>
      <c r="R272">
        <f>YEAR(tblSales[[#This Row],[OrderDate]])</f>
        <v>2019</v>
      </c>
      <c r="S272">
        <f>WEEKNUM(tblSales[[#This Row],[OrderDate]])</f>
        <v>34</v>
      </c>
      <c r="T272">
        <f>IF(ISBLANK(tblSales[[#This Row],[ShippedDate]]),"",tblSales[[#This Row],[ShippedDate]]-tblSales[[#This Row],[OrderDate]])</f>
        <v>21</v>
      </c>
      <c r="U272" t="str">
        <f>LEFT(tblSales[[#This Row],[ProductName]],20)</f>
        <v xml:space="preserve">Louisiana Fiery Hot </v>
      </c>
    </row>
    <row r="273" spans="2:21" x14ac:dyDescent="0.2">
      <c r="B273">
        <v>10451</v>
      </c>
      <c r="C273" t="s">
        <v>8340</v>
      </c>
      <c r="D273" t="s">
        <v>8246</v>
      </c>
      <c r="E273" t="s">
        <v>8244</v>
      </c>
      <c r="F273" s="222">
        <v>26.6</v>
      </c>
      <c r="G273">
        <v>35</v>
      </c>
      <c r="H273" s="223">
        <v>0.10000000149011599</v>
      </c>
      <c r="I273" s="222">
        <v>837.9</v>
      </c>
      <c r="J273" t="s">
        <v>8307</v>
      </c>
      <c r="K273" t="s">
        <v>8308</v>
      </c>
      <c r="L273" s="118">
        <v>43696</v>
      </c>
      <c r="M273" s="118">
        <v>43717</v>
      </c>
      <c r="N273" t="s">
        <v>8240</v>
      </c>
      <c r="O273" t="s">
        <v>8266</v>
      </c>
      <c r="P273" t="s">
        <v>8267</v>
      </c>
      <c r="Q273" t="str">
        <f>tblSales[[#This Row],[FirstName]]&amp; " " &amp;tblSales[[#This Row],[LastName]]</f>
        <v>Margaret Peacock</v>
      </c>
      <c r="R273">
        <f>YEAR(tblSales[[#This Row],[OrderDate]])</f>
        <v>2019</v>
      </c>
      <c r="S273">
        <f>WEEKNUM(tblSales[[#This Row],[OrderDate]])</f>
        <v>34</v>
      </c>
      <c r="T273">
        <f>IF(ISBLANK(tblSales[[#This Row],[ShippedDate]]),"",tblSales[[#This Row],[ShippedDate]]-tblSales[[#This Row],[OrderDate]])</f>
        <v>21</v>
      </c>
      <c r="U273" t="str">
        <f>LEFT(tblSales[[#This Row],[ProductName]],20)</f>
        <v>Wimmers gute Semmelk</v>
      </c>
    </row>
    <row r="274" spans="2:21" x14ac:dyDescent="0.2">
      <c r="B274">
        <v>10454</v>
      </c>
      <c r="C274" t="s">
        <v>8280</v>
      </c>
      <c r="D274" t="s">
        <v>8236</v>
      </c>
      <c r="E274" t="s">
        <v>8262</v>
      </c>
      <c r="F274" s="222">
        <v>13.9</v>
      </c>
      <c r="G274">
        <v>20</v>
      </c>
      <c r="H274" s="223">
        <v>0.20000000298023199</v>
      </c>
      <c r="I274" s="222">
        <v>222.4</v>
      </c>
      <c r="J274" t="s">
        <v>8382</v>
      </c>
      <c r="K274" t="s">
        <v>8383</v>
      </c>
      <c r="L274" s="118">
        <v>43698</v>
      </c>
      <c r="M274" s="118">
        <v>43702</v>
      </c>
      <c r="N274" t="s">
        <v>8240</v>
      </c>
      <c r="O274" t="s">
        <v>8266</v>
      </c>
      <c r="P274" t="s">
        <v>8267</v>
      </c>
      <c r="Q274" t="str">
        <f>tblSales[[#This Row],[FirstName]]&amp; " " &amp;tblSales[[#This Row],[LastName]]</f>
        <v>Margaret Peacock</v>
      </c>
      <c r="R274">
        <f>YEAR(tblSales[[#This Row],[OrderDate]])</f>
        <v>2019</v>
      </c>
      <c r="S274">
        <f>WEEKNUM(tblSales[[#This Row],[OrderDate]])</f>
        <v>34</v>
      </c>
      <c r="T274">
        <f>IF(ISBLANK(tblSales[[#This Row],[ShippedDate]]),"",tblSales[[#This Row],[ShippedDate]]-tblSales[[#This Row],[OrderDate]])</f>
        <v>4</v>
      </c>
      <c r="U274" t="str">
        <f>LEFT(tblSales[[#This Row],[ProductName]],20)</f>
        <v>Pavlova</v>
      </c>
    </row>
    <row r="275" spans="2:21" x14ac:dyDescent="0.2">
      <c r="B275">
        <v>10454</v>
      </c>
      <c r="C275" t="s">
        <v>8269</v>
      </c>
      <c r="D275" t="s">
        <v>8236</v>
      </c>
      <c r="E275" t="s">
        <v>8237</v>
      </c>
      <c r="F275" s="222">
        <v>2</v>
      </c>
      <c r="G275">
        <v>20</v>
      </c>
      <c r="H275" s="223">
        <v>0.20000000298023199</v>
      </c>
      <c r="I275" s="222">
        <v>32</v>
      </c>
      <c r="J275" t="s">
        <v>8382</v>
      </c>
      <c r="K275" t="s">
        <v>8383</v>
      </c>
      <c r="L275" s="118">
        <v>43698</v>
      </c>
      <c r="M275" s="118">
        <v>43702</v>
      </c>
      <c r="N275" t="s">
        <v>8240</v>
      </c>
      <c r="O275" t="s">
        <v>8266</v>
      </c>
      <c r="P275" t="s">
        <v>8267</v>
      </c>
      <c r="Q275" t="str">
        <f>tblSales[[#This Row],[FirstName]]&amp; " " &amp;tblSales[[#This Row],[LastName]]</f>
        <v>Margaret Peacock</v>
      </c>
      <c r="R275">
        <f>YEAR(tblSales[[#This Row],[OrderDate]])</f>
        <v>2019</v>
      </c>
      <c r="S275">
        <f>WEEKNUM(tblSales[[#This Row],[OrderDate]])</f>
        <v>34</v>
      </c>
      <c r="T275">
        <f>IF(ISBLANK(tblSales[[#This Row],[ShippedDate]]),"",tblSales[[#This Row],[ShippedDate]]-tblSales[[#This Row],[OrderDate]])</f>
        <v>4</v>
      </c>
      <c r="U275" t="str">
        <f>LEFT(tblSales[[#This Row],[ProductName]],20)</f>
        <v>Geitost</v>
      </c>
    </row>
    <row r="276" spans="2:21" x14ac:dyDescent="0.2">
      <c r="B276">
        <v>10453</v>
      </c>
      <c r="C276" t="s">
        <v>8288</v>
      </c>
      <c r="D276" t="s">
        <v>2434</v>
      </c>
      <c r="E276" t="s">
        <v>8272</v>
      </c>
      <c r="F276" s="222">
        <v>12</v>
      </c>
      <c r="G276">
        <v>25</v>
      </c>
      <c r="H276" s="223">
        <v>0.10000000149011599</v>
      </c>
      <c r="I276" s="222">
        <v>270</v>
      </c>
      <c r="J276" t="s">
        <v>8386</v>
      </c>
      <c r="K276" t="s">
        <v>8387</v>
      </c>
      <c r="L276" s="118">
        <v>43698</v>
      </c>
      <c r="M276" s="118">
        <v>43703</v>
      </c>
      <c r="N276" t="s">
        <v>8265</v>
      </c>
      <c r="O276" t="s">
        <v>8285</v>
      </c>
      <c r="P276" t="s">
        <v>2317</v>
      </c>
      <c r="Q276" t="str">
        <f>tblSales[[#This Row],[FirstName]]&amp; " " &amp;tblSales[[#This Row],[LastName]]</f>
        <v>Nancy Davolio</v>
      </c>
      <c r="R276">
        <f>YEAR(tblSales[[#This Row],[OrderDate]])</f>
        <v>2019</v>
      </c>
      <c r="S276">
        <f>WEEKNUM(tblSales[[#This Row],[OrderDate]])</f>
        <v>34</v>
      </c>
      <c r="T276">
        <f>IF(ISBLANK(tblSales[[#This Row],[ShippedDate]]),"",tblSales[[#This Row],[ShippedDate]]-tblSales[[#This Row],[OrderDate]])</f>
        <v>5</v>
      </c>
      <c r="U276" t="str">
        <f>LEFT(tblSales[[#This Row],[ProductName]],20)</f>
        <v>Outback Lager</v>
      </c>
    </row>
    <row r="277" spans="2:21" x14ac:dyDescent="0.2">
      <c r="B277">
        <v>10453</v>
      </c>
      <c r="C277" t="s">
        <v>8406</v>
      </c>
      <c r="D277" t="s">
        <v>2434</v>
      </c>
      <c r="E277" t="s">
        <v>8262</v>
      </c>
      <c r="F277" s="222">
        <v>10.199999999999999</v>
      </c>
      <c r="G277">
        <v>15</v>
      </c>
      <c r="H277" s="223">
        <v>0.10000000149011599</v>
      </c>
      <c r="I277" s="222">
        <v>137.69999999999999</v>
      </c>
      <c r="J277" t="s">
        <v>8386</v>
      </c>
      <c r="K277" t="s">
        <v>8387</v>
      </c>
      <c r="L277" s="118">
        <v>43698</v>
      </c>
      <c r="M277" s="118">
        <v>43703</v>
      </c>
      <c r="N277" t="s">
        <v>8265</v>
      </c>
      <c r="O277" t="s">
        <v>8285</v>
      </c>
      <c r="P277" t="s">
        <v>2317</v>
      </c>
      <c r="Q277" t="str">
        <f>tblSales[[#This Row],[FirstName]]&amp; " " &amp;tblSales[[#This Row],[LastName]]</f>
        <v>Nancy Davolio</v>
      </c>
      <c r="R277">
        <f>YEAR(tblSales[[#This Row],[OrderDate]])</f>
        <v>2019</v>
      </c>
      <c r="S277">
        <f>WEEKNUM(tblSales[[#This Row],[OrderDate]])</f>
        <v>34</v>
      </c>
      <c r="T277">
        <f>IF(ISBLANK(tblSales[[#This Row],[ShippedDate]]),"",tblSales[[#This Row],[ShippedDate]]-tblSales[[#This Row],[OrderDate]])</f>
        <v>5</v>
      </c>
      <c r="U277" t="str">
        <f>LEFT(tblSales[[#This Row],[ProductName]],20)</f>
        <v>Chocolade</v>
      </c>
    </row>
    <row r="278" spans="2:21" x14ac:dyDescent="0.2">
      <c r="B278">
        <v>10455</v>
      </c>
      <c r="C278" t="s">
        <v>8342</v>
      </c>
      <c r="D278" t="s">
        <v>8300</v>
      </c>
      <c r="E278" t="s">
        <v>8272</v>
      </c>
      <c r="F278" s="222">
        <v>14.4</v>
      </c>
      <c r="G278">
        <v>20</v>
      </c>
      <c r="H278" s="223">
        <v>0</v>
      </c>
      <c r="I278" s="222">
        <v>288</v>
      </c>
      <c r="J278" t="s">
        <v>8301</v>
      </c>
      <c r="K278" t="s">
        <v>8302</v>
      </c>
      <c r="L278" s="118">
        <v>43701</v>
      </c>
      <c r="M278" s="118">
        <v>43708</v>
      </c>
      <c r="N278" t="s">
        <v>8265</v>
      </c>
      <c r="O278" t="s">
        <v>8320</v>
      </c>
      <c r="P278" t="s">
        <v>8321</v>
      </c>
      <c r="Q278" t="str">
        <f>tblSales[[#This Row],[FirstName]]&amp; " " &amp;tblSales[[#This Row],[LastName]]</f>
        <v>Laura Callahan</v>
      </c>
      <c r="R278">
        <f>YEAR(tblSales[[#This Row],[OrderDate]])</f>
        <v>2019</v>
      </c>
      <c r="S278">
        <f>WEEKNUM(tblSales[[#This Row],[OrderDate]])</f>
        <v>34</v>
      </c>
      <c r="T278">
        <f>IF(ISBLANK(tblSales[[#This Row],[ShippedDate]]),"",tblSales[[#This Row],[ShippedDate]]-tblSales[[#This Row],[OrderDate]])</f>
        <v>7</v>
      </c>
      <c r="U278" t="str">
        <f>LEFT(tblSales[[#This Row],[ProductName]],20)</f>
        <v>Chartreuse verte</v>
      </c>
    </row>
    <row r="279" spans="2:21" x14ac:dyDescent="0.2">
      <c r="B279">
        <v>10455</v>
      </c>
      <c r="C279" t="s">
        <v>8409</v>
      </c>
      <c r="D279" t="s">
        <v>8300</v>
      </c>
      <c r="E279" t="s">
        <v>8254</v>
      </c>
      <c r="F279" s="222">
        <v>22.8</v>
      </c>
      <c r="G279">
        <v>25</v>
      </c>
      <c r="H279" s="223">
        <v>0</v>
      </c>
      <c r="I279" s="222">
        <v>570</v>
      </c>
      <c r="J279" t="s">
        <v>8301</v>
      </c>
      <c r="K279" t="s">
        <v>8302</v>
      </c>
      <c r="L279" s="118">
        <v>43701</v>
      </c>
      <c r="M279" s="118">
        <v>43708</v>
      </c>
      <c r="N279" t="s">
        <v>8265</v>
      </c>
      <c r="O279" t="s">
        <v>8320</v>
      </c>
      <c r="P279" t="s">
        <v>8321</v>
      </c>
      <c r="Q279" t="str">
        <f>tblSales[[#This Row],[FirstName]]&amp; " " &amp;tblSales[[#This Row],[LastName]]</f>
        <v>Laura Callahan</v>
      </c>
      <c r="R279">
        <f>YEAR(tblSales[[#This Row],[OrderDate]])</f>
        <v>2019</v>
      </c>
      <c r="S279">
        <f>WEEKNUM(tblSales[[#This Row],[OrderDate]])</f>
        <v>34</v>
      </c>
      <c r="T279">
        <f>IF(ISBLANK(tblSales[[#This Row],[ShippedDate]]),"",tblSales[[#This Row],[ShippedDate]]-tblSales[[#This Row],[OrderDate]])</f>
        <v>7</v>
      </c>
      <c r="U279" t="str">
        <f>LEFT(tblSales[[#This Row],[ProductName]],20)</f>
        <v>Sirop d'érable</v>
      </c>
    </row>
    <row r="280" spans="2:21" x14ac:dyDescent="0.2">
      <c r="B280">
        <v>10455</v>
      </c>
      <c r="C280" t="s">
        <v>8310</v>
      </c>
      <c r="D280" t="s">
        <v>8300</v>
      </c>
      <c r="E280" t="s">
        <v>8237</v>
      </c>
      <c r="F280" s="222">
        <v>17.2</v>
      </c>
      <c r="G280">
        <v>30</v>
      </c>
      <c r="H280" s="223">
        <v>0</v>
      </c>
      <c r="I280" s="222">
        <v>516</v>
      </c>
      <c r="J280" t="s">
        <v>8301</v>
      </c>
      <c r="K280" t="s">
        <v>8302</v>
      </c>
      <c r="L280" s="118">
        <v>43701</v>
      </c>
      <c r="M280" s="118">
        <v>43708</v>
      </c>
      <c r="N280" t="s">
        <v>8265</v>
      </c>
      <c r="O280" t="s">
        <v>8320</v>
      </c>
      <c r="P280" t="s">
        <v>8321</v>
      </c>
      <c r="Q280" t="str">
        <f>tblSales[[#This Row],[FirstName]]&amp; " " &amp;tblSales[[#This Row],[LastName]]</f>
        <v>Laura Callahan</v>
      </c>
      <c r="R280">
        <f>YEAR(tblSales[[#This Row],[OrderDate]])</f>
        <v>2019</v>
      </c>
      <c r="S280">
        <f>WEEKNUM(tblSales[[#This Row],[OrderDate]])</f>
        <v>34</v>
      </c>
      <c r="T280">
        <f>IF(ISBLANK(tblSales[[#This Row],[ShippedDate]]),"",tblSales[[#This Row],[ShippedDate]]-tblSales[[#This Row],[OrderDate]])</f>
        <v>7</v>
      </c>
      <c r="U280" t="str">
        <f>LEFT(tblSales[[#This Row],[ProductName]],20)</f>
        <v>Fløtemysost</v>
      </c>
    </row>
    <row r="281" spans="2:21" x14ac:dyDescent="0.2">
      <c r="B281">
        <v>10456</v>
      </c>
      <c r="C281" t="s">
        <v>8390</v>
      </c>
      <c r="D281" t="s">
        <v>8246</v>
      </c>
      <c r="E281" t="s">
        <v>8262</v>
      </c>
      <c r="F281" s="222">
        <v>16</v>
      </c>
      <c r="G281">
        <v>21</v>
      </c>
      <c r="H281" s="223">
        <v>0.15000000596046401</v>
      </c>
      <c r="I281" s="222">
        <v>285.60000000000002</v>
      </c>
      <c r="J281" t="s">
        <v>8359</v>
      </c>
      <c r="K281" t="s">
        <v>8360</v>
      </c>
      <c r="L281" s="118">
        <v>43702</v>
      </c>
      <c r="M281" s="118">
        <v>43705</v>
      </c>
      <c r="N281" t="s">
        <v>8265</v>
      </c>
      <c r="O281" t="s">
        <v>8320</v>
      </c>
      <c r="P281" t="s">
        <v>8321</v>
      </c>
      <c r="Q281" t="str">
        <f>tblSales[[#This Row],[FirstName]]&amp; " " &amp;tblSales[[#This Row],[LastName]]</f>
        <v>Laura Callahan</v>
      </c>
      <c r="R281">
        <f>YEAR(tblSales[[#This Row],[OrderDate]])</f>
        <v>2019</v>
      </c>
      <c r="S281">
        <f>WEEKNUM(tblSales[[#This Row],[OrderDate]])</f>
        <v>35</v>
      </c>
      <c r="T281">
        <f>IF(ISBLANK(tblSales[[#This Row],[ShippedDate]]),"",tblSales[[#This Row],[ShippedDate]]-tblSales[[#This Row],[OrderDate]])</f>
        <v>3</v>
      </c>
      <c r="U281" t="str">
        <f>LEFT(tblSales[[#This Row],[ProductName]],20)</f>
        <v>Maxilaku</v>
      </c>
    </row>
    <row r="282" spans="2:21" x14ac:dyDescent="0.2">
      <c r="B282">
        <v>10456</v>
      </c>
      <c r="C282" t="s">
        <v>8368</v>
      </c>
      <c r="D282" t="s">
        <v>8246</v>
      </c>
      <c r="E282" t="s">
        <v>8262</v>
      </c>
      <c r="F282" s="222">
        <v>8</v>
      </c>
      <c r="G282">
        <v>40</v>
      </c>
      <c r="H282" s="223">
        <v>0.15000000596046401</v>
      </c>
      <c r="I282" s="222">
        <v>272</v>
      </c>
      <c r="J282" t="s">
        <v>8359</v>
      </c>
      <c r="K282" t="s">
        <v>8360</v>
      </c>
      <c r="L282" s="118">
        <v>43702</v>
      </c>
      <c r="M282" s="118">
        <v>43705</v>
      </c>
      <c r="N282" t="s">
        <v>8265</v>
      </c>
      <c r="O282" t="s">
        <v>8320</v>
      </c>
      <c r="P282" t="s">
        <v>8321</v>
      </c>
      <c r="Q282" t="str">
        <f>tblSales[[#This Row],[FirstName]]&amp; " " &amp;tblSales[[#This Row],[LastName]]</f>
        <v>Laura Callahan</v>
      </c>
      <c r="R282">
        <f>YEAR(tblSales[[#This Row],[OrderDate]])</f>
        <v>2019</v>
      </c>
      <c r="S282">
        <f>WEEKNUM(tblSales[[#This Row],[OrderDate]])</f>
        <v>35</v>
      </c>
      <c r="T282">
        <f>IF(ISBLANK(tblSales[[#This Row],[ShippedDate]]),"",tblSales[[#This Row],[ShippedDate]]-tblSales[[#This Row],[OrderDate]])</f>
        <v>3</v>
      </c>
      <c r="U282" t="str">
        <f>LEFT(tblSales[[#This Row],[ProductName]],20)</f>
        <v>Sir Rodney's Scones</v>
      </c>
    </row>
    <row r="283" spans="2:21" x14ac:dyDescent="0.2">
      <c r="B283">
        <v>10457</v>
      </c>
      <c r="C283" t="s">
        <v>8281</v>
      </c>
      <c r="D283" t="s">
        <v>8246</v>
      </c>
      <c r="E283" t="s">
        <v>8237</v>
      </c>
      <c r="F283" s="222">
        <v>44</v>
      </c>
      <c r="G283">
        <v>36</v>
      </c>
      <c r="H283" s="223">
        <v>0</v>
      </c>
      <c r="I283" s="222">
        <v>1584</v>
      </c>
      <c r="J283" t="s">
        <v>8359</v>
      </c>
      <c r="K283" t="s">
        <v>8360</v>
      </c>
      <c r="L283" s="118">
        <v>43702</v>
      </c>
      <c r="M283" s="118">
        <v>43708</v>
      </c>
      <c r="N283" t="s">
        <v>8250</v>
      </c>
      <c r="O283" t="s">
        <v>8297</v>
      </c>
      <c r="P283" t="s">
        <v>8298</v>
      </c>
      <c r="Q283" t="str">
        <f>tblSales[[#This Row],[FirstName]]&amp; " " &amp;tblSales[[#This Row],[LastName]]</f>
        <v>Andrew Fuller</v>
      </c>
      <c r="R283">
        <f>YEAR(tblSales[[#This Row],[OrderDate]])</f>
        <v>2019</v>
      </c>
      <c r="S283">
        <f>WEEKNUM(tblSales[[#This Row],[OrderDate]])</f>
        <v>35</v>
      </c>
      <c r="T283">
        <f>IF(ISBLANK(tblSales[[#This Row],[ShippedDate]]),"",tblSales[[#This Row],[ShippedDate]]-tblSales[[#This Row],[OrderDate]])</f>
        <v>6</v>
      </c>
      <c r="U283" t="str">
        <f>LEFT(tblSales[[#This Row],[ProductName]],20)</f>
        <v>Raclette Courdavault</v>
      </c>
    </row>
    <row r="284" spans="2:21" x14ac:dyDescent="0.2">
      <c r="B284">
        <v>10458</v>
      </c>
      <c r="C284" t="s">
        <v>8306</v>
      </c>
      <c r="D284" t="s">
        <v>8261</v>
      </c>
      <c r="E284" t="s">
        <v>8272</v>
      </c>
      <c r="F284" s="222">
        <v>36.799999999999997</v>
      </c>
      <c r="G284">
        <v>20</v>
      </c>
      <c r="H284" s="223">
        <v>0</v>
      </c>
      <c r="I284" s="222">
        <v>736</v>
      </c>
      <c r="J284" t="s">
        <v>8263</v>
      </c>
      <c r="K284" t="s">
        <v>8264</v>
      </c>
      <c r="L284" s="118">
        <v>43703</v>
      </c>
      <c r="M284" s="118">
        <v>43709</v>
      </c>
      <c r="N284" t="s">
        <v>8240</v>
      </c>
      <c r="O284" t="s">
        <v>8158</v>
      </c>
      <c r="P284" t="s">
        <v>861</v>
      </c>
      <c r="Q284" t="str">
        <f>tblSales[[#This Row],[FirstName]]&amp; " " &amp;tblSales[[#This Row],[LastName]]</f>
        <v>Robert King</v>
      </c>
      <c r="R284">
        <f>YEAR(tblSales[[#This Row],[OrderDate]])</f>
        <v>2019</v>
      </c>
      <c r="S284">
        <f>WEEKNUM(tblSales[[#This Row],[OrderDate]])</f>
        <v>35</v>
      </c>
      <c r="T284">
        <f>IF(ISBLANK(tblSales[[#This Row],[ShippedDate]]),"",tblSales[[#This Row],[ShippedDate]]-tblSales[[#This Row],[OrderDate]])</f>
        <v>6</v>
      </c>
      <c r="U284" t="str">
        <f>LEFT(tblSales[[#This Row],[ProductName]],20)</f>
        <v>Ipoh Coffee</v>
      </c>
    </row>
    <row r="285" spans="2:21" x14ac:dyDescent="0.2">
      <c r="B285">
        <v>10458</v>
      </c>
      <c r="C285" t="s">
        <v>8372</v>
      </c>
      <c r="D285" t="s">
        <v>8261</v>
      </c>
      <c r="E285" t="s">
        <v>8262</v>
      </c>
      <c r="F285" s="222">
        <v>24.9</v>
      </c>
      <c r="G285">
        <v>30</v>
      </c>
      <c r="H285" s="223">
        <v>0</v>
      </c>
      <c r="I285" s="222">
        <v>747</v>
      </c>
      <c r="J285" t="s">
        <v>8263</v>
      </c>
      <c r="K285" t="s">
        <v>8264</v>
      </c>
      <c r="L285" s="118">
        <v>43703</v>
      </c>
      <c r="M285" s="118">
        <v>43709</v>
      </c>
      <c r="N285" t="s">
        <v>8240</v>
      </c>
      <c r="O285" t="s">
        <v>8158</v>
      </c>
      <c r="P285" t="s">
        <v>861</v>
      </c>
      <c r="Q285" t="str">
        <f>tblSales[[#This Row],[FirstName]]&amp; " " &amp;tblSales[[#This Row],[LastName]]</f>
        <v>Robert King</v>
      </c>
      <c r="R285">
        <f>YEAR(tblSales[[#This Row],[OrderDate]])</f>
        <v>2019</v>
      </c>
      <c r="S285">
        <f>WEEKNUM(tblSales[[#This Row],[OrderDate]])</f>
        <v>35</v>
      </c>
      <c r="T285">
        <f>IF(ISBLANK(tblSales[[#This Row],[ShippedDate]]),"",tblSales[[#This Row],[ShippedDate]]-tblSales[[#This Row],[OrderDate]])</f>
        <v>6</v>
      </c>
      <c r="U285" t="str">
        <f>LEFT(tblSales[[#This Row],[ProductName]],20)</f>
        <v>Gumbär Gummibärchen</v>
      </c>
    </row>
    <row r="286" spans="2:21" x14ac:dyDescent="0.2">
      <c r="B286">
        <v>10458</v>
      </c>
      <c r="C286" t="s">
        <v>8310</v>
      </c>
      <c r="D286" t="s">
        <v>8261</v>
      </c>
      <c r="E286" t="s">
        <v>8237</v>
      </c>
      <c r="F286" s="222">
        <v>17.2</v>
      </c>
      <c r="G286">
        <v>50</v>
      </c>
      <c r="H286" s="223">
        <v>0</v>
      </c>
      <c r="I286" s="222">
        <v>860</v>
      </c>
      <c r="J286" t="s">
        <v>8263</v>
      </c>
      <c r="K286" t="s">
        <v>8264</v>
      </c>
      <c r="L286" s="118">
        <v>43703</v>
      </c>
      <c r="M286" s="118">
        <v>43709</v>
      </c>
      <c r="N286" t="s">
        <v>8240</v>
      </c>
      <c r="O286" t="s">
        <v>8158</v>
      </c>
      <c r="P286" t="s">
        <v>861</v>
      </c>
      <c r="Q286" t="str">
        <f>tblSales[[#This Row],[FirstName]]&amp; " " &amp;tblSales[[#This Row],[LastName]]</f>
        <v>Robert King</v>
      </c>
      <c r="R286">
        <f>YEAR(tblSales[[#This Row],[OrderDate]])</f>
        <v>2019</v>
      </c>
      <c r="S286">
        <f>WEEKNUM(tblSales[[#This Row],[OrderDate]])</f>
        <v>35</v>
      </c>
      <c r="T286">
        <f>IF(ISBLANK(tblSales[[#This Row],[ShippedDate]]),"",tblSales[[#This Row],[ShippedDate]]-tblSales[[#This Row],[OrderDate]])</f>
        <v>6</v>
      </c>
      <c r="U286" t="str">
        <f>LEFT(tblSales[[#This Row],[ProductName]],20)</f>
        <v>Fløtemysost</v>
      </c>
    </row>
    <row r="287" spans="2:21" x14ac:dyDescent="0.2">
      <c r="B287">
        <v>10458</v>
      </c>
      <c r="C287" t="s">
        <v>8341</v>
      </c>
      <c r="D287" t="s">
        <v>8261</v>
      </c>
      <c r="E287" t="s">
        <v>8244</v>
      </c>
      <c r="F287" s="222">
        <v>30.4</v>
      </c>
      <c r="G287">
        <v>15</v>
      </c>
      <c r="H287" s="223">
        <v>0</v>
      </c>
      <c r="I287" s="222">
        <v>456</v>
      </c>
      <c r="J287" t="s">
        <v>8263</v>
      </c>
      <c r="K287" t="s">
        <v>8264</v>
      </c>
      <c r="L287" s="118">
        <v>43703</v>
      </c>
      <c r="M287" s="118">
        <v>43709</v>
      </c>
      <c r="N287" t="s">
        <v>8240</v>
      </c>
      <c r="O287" t="s">
        <v>8158</v>
      </c>
      <c r="P287" t="s">
        <v>861</v>
      </c>
      <c r="Q287" t="str">
        <f>tblSales[[#This Row],[FirstName]]&amp; " " &amp;tblSales[[#This Row],[LastName]]</f>
        <v>Robert King</v>
      </c>
      <c r="R287">
        <f>YEAR(tblSales[[#This Row],[OrderDate]])</f>
        <v>2019</v>
      </c>
      <c r="S287">
        <f>WEEKNUM(tblSales[[#This Row],[OrderDate]])</f>
        <v>35</v>
      </c>
      <c r="T287">
        <f>IF(ISBLANK(tblSales[[#This Row],[ShippedDate]]),"",tblSales[[#This Row],[ShippedDate]]-tblSales[[#This Row],[OrderDate]])</f>
        <v>6</v>
      </c>
      <c r="U287" t="str">
        <f>LEFT(tblSales[[#This Row],[ProductName]],20)</f>
        <v>Gnocchi di nonna Ali</v>
      </c>
    </row>
    <row r="288" spans="2:21" x14ac:dyDescent="0.2">
      <c r="B288">
        <v>10458</v>
      </c>
      <c r="C288" t="s">
        <v>8316</v>
      </c>
      <c r="D288" t="s">
        <v>8261</v>
      </c>
      <c r="E288" t="s">
        <v>8247</v>
      </c>
      <c r="F288" s="222">
        <v>36.4</v>
      </c>
      <c r="G288">
        <v>30</v>
      </c>
      <c r="H288" s="223">
        <v>0</v>
      </c>
      <c r="I288" s="222">
        <v>1092</v>
      </c>
      <c r="J288" t="s">
        <v>8263</v>
      </c>
      <c r="K288" t="s">
        <v>8264</v>
      </c>
      <c r="L288" s="118">
        <v>43703</v>
      </c>
      <c r="M288" s="118">
        <v>43709</v>
      </c>
      <c r="N288" t="s">
        <v>8240</v>
      </c>
      <c r="O288" t="s">
        <v>8158</v>
      </c>
      <c r="P288" t="s">
        <v>861</v>
      </c>
      <c r="Q288" t="str">
        <f>tblSales[[#This Row],[FirstName]]&amp; " " &amp;tblSales[[#This Row],[LastName]]</f>
        <v>Robert King</v>
      </c>
      <c r="R288">
        <f>YEAR(tblSales[[#This Row],[OrderDate]])</f>
        <v>2019</v>
      </c>
      <c r="S288">
        <f>WEEKNUM(tblSales[[#This Row],[OrderDate]])</f>
        <v>35</v>
      </c>
      <c r="T288">
        <f>IF(ISBLANK(tblSales[[#This Row],[ShippedDate]]),"",tblSales[[#This Row],[ShippedDate]]-tblSales[[#This Row],[OrderDate]])</f>
        <v>6</v>
      </c>
      <c r="U288" t="str">
        <f>LEFT(tblSales[[#This Row],[ProductName]],20)</f>
        <v>Rössle Sauerkraut</v>
      </c>
    </row>
    <row r="289" spans="2:21" x14ac:dyDescent="0.2">
      <c r="B289">
        <v>10459</v>
      </c>
      <c r="C289" t="s">
        <v>8235</v>
      </c>
      <c r="D289" t="s">
        <v>8236</v>
      </c>
      <c r="E289" t="s">
        <v>8237</v>
      </c>
      <c r="F289" s="222">
        <v>27.8</v>
      </c>
      <c r="G289">
        <v>40</v>
      </c>
      <c r="H289" s="223">
        <v>0</v>
      </c>
      <c r="I289" s="222">
        <v>1112</v>
      </c>
      <c r="J289" t="s">
        <v>8255</v>
      </c>
      <c r="K289" t="s">
        <v>8256</v>
      </c>
      <c r="L289" s="118">
        <v>43704</v>
      </c>
      <c r="M289" s="118">
        <v>43705</v>
      </c>
      <c r="N289" t="s">
        <v>8265</v>
      </c>
      <c r="O289" t="s">
        <v>8266</v>
      </c>
      <c r="P289" t="s">
        <v>8267</v>
      </c>
      <c r="Q289" t="str">
        <f>tblSales[[#This Row],[FirstName]]&amp; " " &amp;tblSales[[#This Row],[LastName]]</f>
        <v>Margaret Peacock</v>
      </c>
      <c r="R289">
        <f>YEAR(tblSales[[#This Row],[OrderDate]])</f>
        <v>2019</v>
      </c>
      <c r="S289">
        <f>WEEKNUM(tblSales[[#This Row],[OrderDate]])</f>
        <v>35</v>
      </c>
      <c r="T289">
        <f>IF(ISBLANK(tblSales[[#This Row],[ShippedDate]]),"",tblSales[[#This Row],[ShippedDate]]-tblSales[[#This Row],[OrderDate]])</f>
        <v>1</v>
      </c>
      <c r="U289" t="str">
        <f>LEFT(tblSales[[#This Row],[ProductName]],20)</f>
        <v>Mozzarella di Giovan</v>
      </c>
    </row>
    <row r="290" spans="2:21" x14ac:dyDescent="0.2">
      <c r="B290">
        <v>10459</v>
      </c>
      <c r="C290" t="s">
        <v>8415</v>
      </c>
      <c r="D290" t="s">
        <v>8236</v>
      </c>
      <c r="E290" t="s">
        <v>8247</v>
      </c>
      <c r="F290" s="222">
        <v>24</v>
      </c>
      <c r="G290">
        <v>16</v>
      </c>
      <c r="H290" s="223">
        <v>5.0000000745058101E-2</v>
      </c>
      <c r="I290" s="222">
        <v>364.8</v>
      </c>
      <c r="J290" t="s">
        <v>8255</v>
      </c>
      <c r="K290" t="s">
        <v>8256</v>
      </c>
      <c r="L290" s="118">
        <v>43704</v>
      </c>
      <c r="M290" s="118">
        <v>43705</v>
      </c>
      <c r="N290" t="s">
        <v>8265</v>
      </c>
      <c r="O290" t="s">
        <v>8266</v>
      </c>
      <c r="P290" t="s">
        <v>8267</v>
      </c>
      <c r="Q290" t="str">
        <f>tblSales[[#This Row],[FirstName]]&amp; " " &amp;tblSales[[#This Row],[LastName]]</f>
        <v>Margaret Peacock</v>
      </c>
      <c r="R290">
        <f>YEAR(tblSales[[#This Row],[OrderDate]])</f>
        <v>2019</v>
      </c>
      <c r="S290">
        <f>WEEKNUM(tblSales[[#This Row],[OrderDate]])</f>
        <v>35</v>
      </c>
      <c r="T290">
        <f>IF(ISBLANK(tblSales[[#This Row],[ShippedDate]]),"",tblSales[[#This Row],[ShippedDate]]-tblSales[[#This Row],[OrderDate]])</f>
        <v>1</v>
      </c>
      <c r="U290" t="str">
        <f>LEFT(tblSales[[#This Row],[ProductName]],20)</f>
        <v xml:space="preserve">Uncle Bob's Organic </v>
      </c>
    </row>
    <row r="291" spans="2:21" x14ac:dyDescent="0.2">
      <c r="B291">
        <v>10460</v>
      </c>
      <c r="C291" t="s">
        <v>8328</v>
      </c>
      <c r="D291" t="s">
        <v>8292</v>
      </c>
      <c r="E291" t="s">
        <v>8272</v>
      </c>
      <c r="F291" s="222">
        <v>6.2</v>
      </c>
      <c r="G291">
        <v>4</v>
      </c>
      <c r="H291" s="223">
        <v>0.25</v>
      </c>
      <c r="I291" s="222">
        <v>18.600000000000001</v>
      </c>
      <c r="J291" t="s">
        <v>8293</v>
      </c>
      <c r="K291" t="s">
        <v>8294</v>
      </c>
      <c r="L291" s="118">
        <v>43705</v>
      </c>
      <c r="M291" s="118">
        <v>43708</v>
      </c>
      <c r="N291" t="s">
        <v>8250</v>
      </c>
      <c r="O291" t="s">
        <v>8320</v>
      </c>
      <c r="P291" t="s">
        <v>8321</v>
      </c>
      <c r="Q291" t="str">
        <f>tblSales[[#This Row],[FirstName]]&amp; " " &amp;tblSales[[#This Row],[LastName]]</f>
        <v>Laura Callahan</v>
      </c>
      <c r="R291">
        <f>YEAR(tblSales[[#This Row],[OrderDate]])</f>
        <v>2019</v>
      </c>
      <c r="S291">
        <f>WEEKNUM(tblSales[[#This Row],[OrderDate]])</f>
        <v>35</v>
      </c>
      <c r="T291">
        <f>IF(ISBLANK(tblSales[[#This Row],[ShippedDate]]),"",tblSales[[#This Row],[ShippedDate]]-tblSales[[#This Row],[OrderDate]])</f>
        <v>3</v>
      </c>
      <c r="U291" t="str">
        <f>LEFT(tblSales[[#This Row],[ProductName]],20)</f>
        <v>Rhönbräu Klosterbier</v>
      </c>
    </row>
    <row r="292" spans="2:21" x14ac:dyDescent="0.2">
      <c r="B292">
        <v>10460</v>
      </c>
      <c r="C292" t="s">
        <v>8334</v>
      </c>
      <c r="D292" t="s">
        <v>8292</v>
      </c>
      <c r="E292" t="s">
        <v>8262</v>
      </c>
      <c r="F292" s="222">
        <v>10</v>
      </c>
      <c r="G292">
        <v>21</v>
      </c>
      <c r="H292" s="223">
        <v>0.25</v>
      </c>
      <c r="I292" s="222">
        <v>157.5</v>
      </c>
      <c r="J292" t="s">
        <v>8293</v>
      </c>
      <c r="K292" t="s">
        <v>8294</v>
      </c>
      <c r="L292" s="118">
        <v>43705</v>
      </c>
      <c r="M292" s="118">
        <v>43708</v>
      </c>
      <c r="N292" t="s">
        <v>8250</v>
      </c>
      <c r="O292" t="s">
        <v>8320</v>
      </c>
      <c r="P292" t="s">
        <v>8321</v>
      </c>
      <c r="Q292" t="str">
        <f>tblSales[[#This Row],[FirstName]]&amp; " " &amp;tblSales[[#This Row],[LastName]]</f>
        <v>Laura Callahan</v>
      </c>
      <c r="R292">
        <f>YEAR(tblSales[[#This Row],[OrderDate]])</f>
        <v>2019</v>
      </c>
      <c r="S292">
        <f>WEEKNUM(tblSales[[#This Row],[OrderDate]])</f>
        <v>35</v>
      </c>
      <c r="T292">
        <f>IF(ISBLANK(tblSales[[#This Row],[ShippedDate]]),"",tblSales[[#This Row],[ShippedDate]]-tblSales[[#This Row],[OrderDate]])</f>
        <v>3</v>
      </c>
      <c r="U292" t="str">
        <f>LEFT(tblSales[[#This Row],[ProductName]],20)</f>
        <v>Scottish Longbreads</v>
      </c>
    </row>
    <row r="293" spans="2:21" x14ac:dyDescent="0.2">
      <c r="B293">
        <v>10462</v>
      </c>
      <c r="C293" t="s">
        <v>8373</v>
      </c>
      <c r="D293" t="s">
        <v>2434</v>
      </c>
      <c r="E293" t="s">
        <v>8244</v>
      </c>
      <c r="F293" s="222">
        <v>7.2</v>
      </c>
      <c r="G293">
        <v>21</v>
      </c>
      <c r="H293" s="223">
        <v>0</v>
      </c>
      <c r="I293" s="222">
        <v>151.19999999999999</v>
      </c>
      <c r="J293" t="s">
        <v>8413</v>
      </c>
      <c r="K293" t="s">
        <v>8414</v>
      </c>
      <c r="L293" s="118">
        <v>43708</v>
      </c>
      <c r="M293" s="118">
        <v>43723</v>
      </c>
      <c r="N293" t="s">
        <v>8250</v>
      </c>
      <c r="O293" t="s">
        <v>8297</v>
      </c>
      <c r="P293" t="s">
        <v>8298</v>
      </c>
      <c r="Q293" t="str">
        <f>tblSales[[#This Row],[FirstName]]&amp; " " &amp;tblSales[[#This Row],[LastName]]</f>
        <v>Andrew Fuller</v>
      </c>
      <c r="R293">
        <f>YEAR(tblSales[[#This Row],[OrderDate]])</f>
        <v>2019</v>
      </c>
      <c r="S293">
        <f>WEEKNUM(tblSales[[#This Row],[OrderDate]])</f>
        <v>35</v>
      </c>
      <c r="T293">
        <f>IF(ISBLANK(tblSales[[#This Row],[ShippedDate]]),"",tblSales[[#This Row],[ShippedDate]]-tblSales[[#This Row],[OrderDate]])</f>
        <v>15</v>
      </c>
      <c r="U293" t="str">
        <f>LEFT(tblSales[[#This Row],[ProductName]],20)</f>
        <v>Tunnbröd</v>
      </c>
    </row>
    <row r="294" spans="2:21" x14ac:dyDescent="0.2">
      <c r="B294">
        <v>10463</v>
      </c>
      <c r="C294" t="s">
        <v>8327</v>
      </c>
      <c r="D294" t="s">
        <v>8261</v>
      </c>
      <c r="E294" t="s">
        <v>8262</v>
      </c>
      <c r="F294" s="222">
        <v>7.3</v>
      </c>
      <c r="G294">
        <v>21</v>
      </c>
      <c r="H294" s="223">
        <v>0</v>
      </c>
      <c r="I294" s="222">
        <v>153.30000000000001</v>
      </c>
      <c r="J294" t="s">
        <v>8263</v>
      </c>
      <c r="K294" t="s">
        <v>8264</v>
      </c>
      <c r="L294" s="118">
        <v>43709</v>
      </c>
      <c r="M294" s="118">
        <v>43711</v>
      </c>
      <c r="N294" t="s">
        <v>8240</v>
      </c>
      <c r="O294" t="s">
        <v>8241</v>
      </c>
      <c r="P294" t="s">
        <v>6934</v>
      </c>
      <c r="Q294" t="str">
        <f>tblSales[[#This Row],[FirstName]]&amp; " " &amp;tblSales[[#This Row],[LastName]]</f>
        <v>Steven Buchanan</v>
      </c>
      <c r="R294">
        <f>YEAR(tblSales[[#This Row],[OrderDate]])</f>
        <v>2019</v>
      </c>
      <c r="S294">
        <f>WEEKNUM(tblSales[[#This Row],[OrderDate]])</f>
        <v>36</v>
      </c>
      <c r="T294">
        <f>IF(ISBLANK(tblSales[[#This Row],[ShippedDate]]),"",tblSales[[#This Row],[ShippedDate]]-tblSales[[#This Row],[OrderDate]])</f>
        <v>2</v>
      </c>
      <c r="U294" t="str">
        <f>LEFT(tblSales[[#This Row],[ProductName]],20)</f>
        <v>Teatime Chocolate Bi</v>
      </c>
    </row>
    <row r="295" spans="2:21" x14ac:dyDescent="0.2">
      <c r="B295">
        <v>10463</v>
      </c>
      <c r="C295" t="s">
        <v>8243</v>
      </c>
      <c r="D295" t="s">
        <v>8261</v>
      </c>
      <c r="E295" t="s">
        <v>8244</v>
      </c>
      <c r="F295" s="222">
        <v>11.2</v>
      </c>
      <c r="G295">
        <v>50</v>
      </c>
      <c r="H295" s="223">
        <v>0</v>
      </c>
      <c r="I295" s="222">
        <v>560</v>
      </c>
      <c r="J295" t="s">
        <v>8263</v>
      </c>
      <c r="K295" t="s">
        <v>8264</v>
      </c>
      <c r="L295" s="118">
        <v>43709</v>
      </c>
      <c r="M295" s="118">
        <v>43711</v>
      </c>
      <c r="N295" t="s">
        <v>8240</v>
      </c>
      <c r="O295" t="s">
        <v>8241</v>
      </c>
      <c r="P295" t="s">
        <v>6934</v>
      </c>
      <c r="Q295" t="str">
        <f>tblSales[[#This Row],[FirstName]]&amp; " " &amp;tblSales[[#This Row],[LastName]]</f>
        <v>Steven Buchanan</v>
      </c>
      <c r="R295">
        <f>YEAR(tblSales[[#This Row],[OrderDate]])</f>
        <v>2019</v>
      </c>
      <c r="S295">
        <f>WEEKNUM(tblSales[[#This Row],[OrderDate]])</f>
        <v>36</v>
      </c>
      <c r="T295">
        <f>IF(ISBLANK(tblSales[[#This Row],[ShippedDate]]),"",tblSales[[#This Row],[ShippedDate]]-tblSales[[#This Row],[OrderDate]])</f>
        <v>2</v>
      </c>
      <c r="U295" t="str">
        <f>LEFT(tblSales[[#This Row],[ProductName]],20)</f>
        <v xml:space="preserve">Singaporean Hokkien </v>
      </c>
    </row>
    <row r="296" spans="2:21" x14ac:dyDescent="0.2">
      <c r="B296">
        <v>10464</v>
      </c>
      <c r="C296" t="s">
        <v>8306</v>
      </c>
      <c r="D296" t="s">
        <v>8365</v>
      </c>
      <c r="E296" t="s">
        <v>8272</v>
      </c>
      <c r="F296" s="222">
        <v>36.799999999999997</v>
      </c>
      <c r="G296">
        <v>3</v>
      </c>
      <c r="H296" s="223">
        <v>0</v>
      </c>
      <c r="I296" s="222">
        <v>110.4</v>
      </c>
      <c r="J296" t="s">
        <v>8366</v>
      </c>
      <c r="K296" t="s">
        <v>8367</v>
      </c>
      <c r="L296" s="118">
        <v>43709</v>
      </c>
      <c r="M296" s="118">
        <v>43719</v>
      </c>
      <c r="N296" t="s">
        <v>8265</v>
      </c>
      <c r="O296" t="s">
        <v>8266</v>
      </c>
      <c r="P296" t="s">
        <v>8267</v>
      </c>
      <c r="Q296" t="str">
        <f>tblSales[[#This Row],[FirstName]]&amp; " " &amp;tblSales[[#This Row],[LastName]]</f>
        <v>Margaret Peacock</v>
      </c>
      <c r="R296">
        <f>YEAR(tblSales[[#This Row],[OrderDate]])</f>
        <v>2019</v>
      </c>
      <c r="S296">
        <f>WEEKNUM(tblSales[[#This Row],[OrderDate]])</f>
        <v>36</v>
      </c>
      <c r="T296">
        <f>IF(ISBLANK(tblSales[[#This Row],[ShippedDate]]),"",tblSales[[#This Row],[ShippedDate]]-tblSales[[#This Row],[OrderDate]])</f>
        <v>10</v>
      </c>
      <c r="U296" t="str">
        <f>LEFT(tblSales[[#This Row],[ProductName]],20)</f>
        <v>Ipoh Coffee</v>
      </c>
    </row>
    <row r="297" spans="2:21" x14ac:dyDescent="0.2">
      <c r="B297">
        <v>10464</v>
      </c>
      <c r="C297" t="s">
        <v>8352</v>
      </c>
      <c r="D297" t="s">
        <v>8365</v>
      </c>
      <c r="E297" t="s">
        <v>8254</v>
      </c>
      <c r="F297" s="222">
        <v>17.600000000000001</v>
      </c>
      <c r="G297">
        <v>16</v>
      </c>
      <c r="H297" s="223">
        <v>0.20000000298023199</v>
      </c>
      <c r="I297" s="222">
        <v>225.28</v>
      </c>
      <c r="J297" t="s">
        <v>8366</v>
      </c>
      <c r="K297" t="s">
        <v>8367</v>
      </c>
      <c r="L297" s="118">
        <v>43709</v>
      </c>
      <c r="M297" s="118">
        <v>43719</v>
      </c>
      <c r="N297" t="s">
        <v>8265</v>
      </c>
      <c r="O297" t="s">
        <v>8266</v>
      </c>
      <c r="P297" t="s">
        <v>8267</v>
      </c>
      <c r="Q297" t="str">
        <f>tblSales[[#This Row],[FirstName]]&amp; " " &amp;tblSales[[#This Row],[LastName]]</f>
        <v>Margaret Peacock</v>
      </c>
      <c r="R297">
        <f>YEAR(tblSales[[#This Row],[OrderDate]])</f>
        <v>2019</v>
      </c>
      <c r="S297">
        <f>WEEKNUM(tblSales[[#This Row],[OrderDate]])</f>
        <v>36</v>
      </c>
      <c r="T297">
        <f>IF(ISBLANK(tblSales[[#This Row],[ShippedDate]]),"",tblSales[[#This Row],[ShippedDate]]-tblSales[[#This Row],[OrderDate]])</f>
        <v>10</v>
      </c>
      <c r="U297" t="str">
        <f>LEFT(tblSales[[#This Row],[ProductName]],20)</f>
        <v>Chef Anton's Cajun S</v>
      </c>
    </row>
    <row r="298" spans="2:21" x14ac:dyDescent="0.2">
      <c r="B298">
        <v>10464</v>
      </c>
      <c r="C298" t="s">
        <v>8268</v>
      </c>
      <c r="D298" t="s">
        <v>8365</v>
      </c>
      <c r="E298" t="s">
        <v>8237</v>
      </c>
      <c r="F298" s="222">
        <v>27.2</v>
      </c>
      <c r="G298">
        <v>20</v>
      </c>
      <c r="H298" s="223">
        <v>0</v>
      </c>
      <c r="I298" s="222">
        <v>544</v>
      </c>
      <c r="J298" t="s">
        <v>8366</v>
      </c>
      <c r="K298" t="s">
        <v>8367</v>
      </c>
      <c r="L298" s="118">
        <v>43709</v>
      </c>
      <c r="M298" s="118">
        <v>43719</v>
      </c>
      <c r="N298" t="s">
        <v>8265</v>
      </c>
      <c r="O298" t="s">
        <v>8266</v>
      </c>
      <c r="P298" t="s">
        <v>8267</v>
      </c>
      <c r="Q298" t="str">
        <f>tblSales[[#This Row],[FirstName]]&amp; " " &amp;tblSales[[#This Row],[LastName]]</f>
        <v>Margaret Peacock</v>
      </c>
      <c r="R298">
        <f>YEAR(tblSales[[#This Row],[OrderDate]])</f>
        <v>2019</v>
      </c>
      <c r="S298">
        <f>WEEKNUM(tblSales[[#This Row],[OrderDate]])</f>
        <v>36</v>
      </c>
      <c r="T298">
        <f>IF(ISBLANK(tblSales[[#This Row],[ShippedDate]]),"",tblSales[[#This Row],[ShippedDate]]-tblSales[[#This Row],[OrderDate]])</f>
        <v>10</v>
      </c>
      <c r="U298" t="str">
        <f>LEFT(tblSales[[#This Row],[ProductName]],20)</f>
        <v>Camembert Pierrot</v>
      </c>
    </row>
    <row r="299" spans="2:21" x14ac:dyDescent="0.2">
      <c r="B299">
        <v>10464</v>
      </c>
      <c r="C299" t="s">
        <v>8341</v>
      </c>
      <c r="D299" t="s">
        <v>8365</v>
      </c>
      <c r="E299" t="s">
        <v>8244</v>
      </c>
      <c r="F299" s="222">
        <v>30.4</v>
      </c>
      <c r="G299">
        <v>30</v>
      </c>
      <c r="H299" s="223">
        <v>0.20000000298023199</v>
      </c>
      <c r="I299" s="222">
        <v>729.6</v>
      </c>
      <c r="J299" t="s">
        <v>8366</v>
      </c>
      <c r="K299" t="s">
        <v>8367</v>
      </c>
      <c r="L299" s="118">
        <v>43709</v>
      </c>
      <c r="M299" s="118">
        <v>43719</v>
      </c>
      <c r="N299" t="s">
        <v>8265</v>
      </c>
      <c r="O299" t="s">
        <v>8266</v>
      </c>
      <c r="P299" t="s">
        <v>8267</v>
      </c>
      <c r="Q299" t="str">
        <f>tblSales[[#This Row],[FirstName]]&amp; " " &amp;tblSales[[#This Row],[LastName]]</f>
        <v>Margaret Peacock</v>
      </c>
      <c r="R299">
        <f>YEAR(tblSales[[#This Row],[OrderDate]])</f>
        <v>2019</v>
      </c>
      <c r="S299">
        <f>WEEKNUM(tblSales[[#This Row],[OrderDate]])</f>
        <v>36</v>
      </c>
      <c r="T299">
        <f>IF(ISBLANK(tblSales[[#This Row],[ShippedDate]]),"",tblSales[[#This Row],[ShippedDate]]-tblSales[[#This Row],[OrderDate]])</f>
        <v>10</v>
      </c>
      <c r="U299" t="str">
        <f>LEFT(tblSales[[#This Row],[ProductName]],20)</f>
        <v>Gnocchi di nonna Ali</v>
      </c>
    </row>
    <row r="300" spans="2:21" x14ac:dyDescent="0.2">
      <c r="B300">
        <v>10465</v>
      </c>
      <c r="C300" t="s">
        <v>8270</v>
      </c>
      <c r="D300" t="s">
        <v>8374</v>
      </c>
      <c r="E300" t="s">
        <v>8272</v>
      </c>
      <c r="F300" s="222">
        <v>3.6</v>
      </c>
      <c r="G300">
        <v>25</v>
      </c>
      <c r="H300" s="223">
        <v>0</v>
      </c>
      <c r="I300" s="222">
        <v>90</v>
      </c>
      <c r="J300" t="s">
        <v>8395</v>
      </c>
      <c r="K300" t="s">
        <v>8396</v>
      </c>
      <c r="L300" s="118">
        <v>43710</v>
      </c>
      <c r="M300" s="118">
        <v>43719</v>
      </c>
      <c r="N300" t="s">
        <v>8240</v>
      </c>
      <c r="O300" t="s">
        <v>8285</v>
      </c>
      <c r="P300" t="s">
        <v>2317</v>
      </c>
      <c r="Q300" t="str">
        <f>tblSales[[#This Row],[FirstName]]&amp; " " &amp;tblSales[[#This Row],[LastName]]</f>
        <v>Nancy Davolio</v>
      </c>
      <c r="R300">
        <f>YEAR(tblSales[[#This Row],[OrderDate]])</f>
        <v>2019</v>
      </c>
      <c r="S300">
        <f>WEEKNUM(tblSales[[#This Row],[OrderDate]])</f>
        <v>36</v>
      </c>
      <c r="T300">
        <f>IF(ISBLANK(tblSales[[#This Row],[ShippedDate]]),"",tblSales[[#This Row],[ShippedDate]]-tblSales[[#This Row],[OrderDate]])</f>
        <v>9</v>
      </c>
      <c r="U300" t="str">
        <f>LEFT(tblSales[[#This Row],[ProductName]],20)</f>
        <v>Guaraná Fantástica</v>
      </c>
    </row>
    <row r="301" spans="2:21" x14ac:dyDescent="0.2">
      <c r="B301">
        <v>10465</v>
      </c>
      <c r="C301" t="s">
        <v>8381</v>
      </c>
      <c r="D301" t="s">
        <v>8374</v>
      </c>
      <c r="E301" t="s">
        <v>8262</v>
      </c>
      <c r="F301" s="222">
        <v>13</v>
      </c>
      <c r="G301">
        <v>25</v>
      </c>
      <c r="H301" s="223">
        <v>0</v>
      </c>
      <c r="I301" s="222">
        <v>325</v>
      </c>
      <c r="J301" t="s">
        <v>8395</v>
      </c>
      <c r="K301" t="s">
        <v>8396</v>
      </c>
      <c r="L301" s="118">
        <v>43710</v>
      </c>
      <c r="M301" s="118">
        <v>43719</v>
      </c>
      <c r="N301" t="s">
        <v>8240</v>
      </c>
      <c r="O301" t="s">
        <v>8285</v>
      </c>
      <c r="P301" t="s">
        <v>2317</v>
      </c>
      <c r="Q301" t="str">
        <f>tblSales[[#This Row],[FirstName]]&amp; " " &amp;tblSales[[#This Row],[LastName]]</f>
        <v>Nancy Davolio</v>
      </c>
      <c r="R301">
        <f>YEAR(tblSales[[#This Row],[OrderDate]])</f>
        <v>2019</v>
      </c>
      <c r="S301">
        <f>WEEKNUM(tblSales[[#This Row],[OrderDate]])</f>
        <v>36</v>
      </c>
      <c r="T301">
        <f>IF(ISBLANK(tblSales[[#This Row],[ShippedDate]]),"",tblSales[[#This Row],[ShippedDate]]-tblSales[[#This Row],[OrderDate]])</f>
        <v>9</v>
      </c>
      <c r="U301" t="str">
        <f>LEFT(tblSales[[#This Row],[ProductName]],20)</f>
        <v>Valkoinen suklaa</v>
      </c>
    </row>
    <row r="302" spans="2:21" x14ac:dyDescent="0.2">
      <c r="B302">
        <v>10467</v>
      </c>
      <c r="C302" t="s">
        <v>8270</v>
      </c>
      <c r="D302" t="s">
        <v>8311</v>
      </c>
      <c r="E302" t="s">
        <v>8272</v>
      </c>
      <c r="F302" s="222">
        <v>3.6</v>
      </c>
      <c r="G302">
        <v>28</v>
      </c>
      <c r="H302" s="223">
        <v>0</v>
      </c>
      <c r="I302" s="222">
        <v>100.8</v>
      </c>
      <c r="J302" t="s">
        <v>8312</v>
      </c>
      <c r="K302" t="s">
        <v>8313</v>
      </c>
      <c r="L302" s="118">
        <v>43711</v>
      </c>
      <c r="M302" s="118">
        <v>43716</v>
      </c>
      <c r="N302" t="s">
        <v>8265</v>
      </c>
      <c r="O302" t="s">
        <v>8320</v>
      </c>
      <c r="P302" t="s">
        <v>8321</v>
      </c>
      <c r="Q302" t="str">
        <f>tblSales[[#This Row],[FirstName]]&amp; " " &amp;tblSales[[#This Row],[LastName]]</f>
        <v>Laura Callahan</v>
      </c>
      <c r="R302">
        <f>YEAR(tblSales[[#This Row],[OrderDate]])</f>
        <v>2019</v>
      </c>
      <c r="S302">
        <f>WEEKNUM(tblSales[[#This Row],[OrderDate]])</f>
        <v>36</v>
      </c>
      <c r="T302">
        <f>IF(ISBLANK(tblSales[[#This Row],[ShippedDate]]),"",tblSales[[#This Row],[ShippedDate]]-tblSales[[#This Row],[OrderDate]])</f>
        <v>5</v>
      </c>
      <c r="U302" t="str">
        <f>LEFT(tblSales[[#This Row],[ProductName]],20)</f>
        <v>Guaraná Fantástica</v>
      </c>
    </row>
    <row r="303" spans="2:21" x14ac:dyDescent="0.2">
      <c r="B303">
        <v>10467</v>
      </c>
      <c r="C303" t="s">
        <v>8362</v>
      </c>
      <c r="D303" t="s">
        <v>8311</v>
      </c>
      <c r="E303" t="s">
        <v>8262</v>
      </c>
      <c r="F303" s="222">
        <v>11.2</v>
      </c>
      <c r="G303">
        <v>12</v>
      </c>
      <c r="H303" s="223">
        <v>0</v>
      </c>
      <c r="I303" s="222">
        <v>134.4</v>
      </c>
      <c r="J303" t="s">
        <v>8312</v>
      </c>
      <c r="K303" t="s">
        <v>8313</v>
      </c>
      <c r="L303" s="118">
        <v>43711</v>
      </c>
      <c r="M303" s="118">
        <v>43716</v>
      </c>
      <c r="N303" t="s">
        <v>8265</v>
      </c>
      <c r="O303" t="s">
        <v>8320</v>
      </c>
      <c r="P303" t="s">
        <v>8321</v>
      </c>
      <c r="Q303" t="str">
        <f>tblSales[[#This Row],[FirstName]]&amp; " " &amp;tblSales[[#This Row],[LastName]]</f>
        <v>Laura Callahan</v>
      </c>
      <c r="R303">
        <f>YEAR(tblSales[[#This Row],[OrderDate]])</f>
        <v>2019</v>
      </c>
      <c r="S303">
        <f>WEEKNUM(tblSales[[#This Row],[OrderDate]])</f>
        <v>36</v>
      </c>
      <c r="T303">
        <f>IF(ISBLANK(tblSales[[#This Row],[ShippedDate]]),"",tblSales[[#This Row],[ShippedDate]]-tblSales[[#This Row],[OrderDate]])</f>
        <v>5</v>
      </c>
      <c r="U303" t="str">
        <f>LEFT(tblSales[[#This Row],[ProductName]],20)</f>
        <v>NuNuCa Nuß-Nougat-Cr</v>
      </c>
    </row>
    <row r="304" spans="2:21" x14ac:dyDescent="0.2">
      <c r="B304">
        <v>10468</v>
      </c>
      <c r="C304" t="s">
        <v>8306</v>
      </c>
      <c r="D304" t="s">
        <v>8246</v>
      </c>
      <c r="E304" t="s">
        <v>8272</v>
      </c>
      <c r="F304" s="222">
        <v>36.799999999999997</v>
      </c>
      <c r="G304">
        <v>15</v>
      </c>
      <c r="H304" s="223">
        <v>0</v>
      </c>
      <c r="I304" s="222">
        <v>552</v>
      </c>
      <c r="J304" t="s">
        <v>8359</v>
      </c>
      <c r="K304" t="s">
        <v>8360</v>
      </c>
      <c r="L304" s="118">
        <v>43712</v>
      </c>
      <c r="M304" s="118">
        <v>43717</v>
      </c>
      <c r="N304" t="s">
        <v>8240</v>
      </c>
      <c r="O304" t="s">
        <v>8257</v>
      </c>
      <c r="P304" t="s">
        <v>6984</v>
      </c>
      <c r="Q304" t="str">
        <f>tblSales[[#This Row],[FirstName]]&amp; " " &amp;tblSales[[#This Row],[LastName]]</f>
        <v>Janet Leverling</v>
      </c>
      <c r="R304">
        <f>YEAR(tblSales[[#This Row],[OrderDate]])</f>
        <v>2019</v>
      </c>
      <c r="S304">
        <f>WEEKNUM(tblSales[[#This Row],[OrderDate]])</f>
        <v>36</v>
      </c>
      <c r="T304">
        <f>IF(ISBLANK(tblSales[[#This Row],[ShippedDate]]),"",tblSales[[#This Row],[ShippedDate]]-tblSales[[#This Row],[OrderDate]])</f>
        <v>5</v>
      </c>
      <c r="U304" t="str">
        <f>LEFT(tblSales[[#This Row],[ProductName]],20)</f>
        <v>Ipoh Coffee</v>
      </c>
    </row>
    <row r="305" spans="2:21" x14ac:dyDescent="0.2">
      <c r="B305">
        <v>10470</v>
      </c>
      <c r="C305" t="s">
        <v>8340</v>
      </c>
      <c r="D305" t="s">
        <v>8236</v>
      </c>
      <c r="E305" t="s">
        <v>8244</v>
      </c>
      <c r="F305" s="222">
        <v>26.6</v>
      </c>
      <c r="G305">
        <v>8</v>
      </c>
      <c r="H305" s="223">
        <v>0</v>
      </c>
      <c r="I305" s="222">
        <v>212.8</v>
      </c>
      <c r="J305" t="s">
        <v>8377</v>
      </c>
      <c r="K305" t="s">
        <v>8378</v>
      </c>
      <c r="L305" s="118">
        <v>43716</v>
      </c>
      <c r="M305" s="118">
        <v>43719</v>
      </c>
      <c r="N305" t="s">
        <v>8265</v>
      </c>
      <c r="O305" t="s">
        <v>8266</v>
      </c>
      <c r="P305" t="s">
        <v>8267</v>
      </c>
      <c r="Q305" t="str">
        <f>tblSales[[#This Row],[FirstName]]&amp; " " &amp;tblSales[[#This Row],[LastName]]</f>
        <v>Margaret Peacock</v>
      </c>
      <c r="R305">
        <f>YEAR(tblSales[[#This Row],[OrderDate]])</f>
        <v>2019</v>
      </c>
      <c r="S305">
        <f>WEEKNUM(tblSales[[#This Row],[OrderDate]])</f>
        <v>37</v>
      </c>
      <c r="T305">
        <f>IF(ISBLANK(tblSales[[#This Row],[ShippedDate]]),"",tblSales[[#This Row],[ShippedDate]]-tblSales[[#This Row],[OrderDate]])</f>
        <v>3</v>
      </c>
      <c r="U305" t="str">
        <f>LEFT(tblSales[[#This Row],[ProductName]],20)</f>
        <v>Wimmers gute Semmelk</v>
      </c>
    </row>
    <row r="306" spans="2:21" x14ac:dyDescent="0.2">
      <c r="B306">
        <v>10470</v>
      </c>
      <c r="C306" t="s">
        <v>8373</v>
      </c>
      <c r="D306" t="s">
        <v>8236</v>
      </c>
      <c r="E306" t="s">
        <v>8244</v>
      </c>
      <c r="F306" s="222">
        <v>7.2</v>
      </c>
      <c r="G306">
        <v>15</v>
      </c>
      <c r="H306" s="223">
        <v>0</v>
      </c>
      <c r="I306" s="222">
        <v>108</v>
      </c>
      <c r="J306" t="s">
        <v>8377</v>
      </c>
      <c r="K306" t="s">
        <v>8378</v>
      </c>
      <c r="L306" s="118">
        <v>43716</v>
      </c>
      <c r="M306" s="118">
        <v>43719</v>
      </c>
      <c r="N306" t="s">
        <v>8265</v>
      </c>
      <c r="O306" t="s">
        <v>8266</v>
      </c>
      <c r="P306" t="s">
        <v>8267</v>
      </c>
      <c r="Q306" t="str">
        <f>tblSales[[#This Row],[FirstName]]&amp; " " &amp;tblSales[[#This Row],[LastName]]</f>
        <v>Margaret Peacock</v>
      </c>
      <c r="R306">
        <f>YEAR(tblSales[[#This Row],[OrderDate]])</f>
        <v>2019</v>
      </c>
      <c r="S306">
        <f>WEEKNUM(tblSales[[#This Row],[OrderDate]])</f>
        <v>37</v>
      </c>
      <c r="T306">
        <f>IF(ISBLANK(tblSales[[#This Row],[ShippedDate]]),"",tblSales[[#This Row],[ShippedDate]]-tblSales[[#This Row],[OrderDate]])</f>
        <v>3</v>
      </c>
      <c r="U306" t="str">
        <f>LEFT(tblSales[[#This Row],[ProductName]],20)</f>
        <v>Tunnbröd</v>
      </c>
    </row>
    <row r="307" spans="2:21" x14ac:dyDescent="0.2">
      <c r="B307">
        <v>10471</v>
      </c>
      <c r="C307" t="s">
        <v>8341</v>
      </c>
      <c r="D307" t="s">
        <v>2434</v>
      </c>
      <c r="E307" t="s">
        <v>8244</v>
      </c>
      <c r="F307" s="222">
        <v>30.4</v>
      </c>
      <c r="G307">
        <v>20</v>
      </c>
      <c r="H307" s="223">
        <v>0</v>
      </c>
      <c r="I307" s="222">
        <v>608</v>
      </c>
      <c r="J307" t="s">
        <v>8338</v>
      </c>
      <c r="K307" t="s">
        <v>8339</v>
      </c>
      <c r="L307" s="118">
        <v>43716</v>
      </c>
      <c r="M307" s="118">
        <v>43723</v>
      </c>
      <c r="N307" t="s">
        <v>8240</v>
      </c>
      <c r="O307" t="s">
        <v>8297</v>
      </c>
      <c r="P307" t="s">
        <v>8298</v>
      </c>
      <c r="Q307" t="str">
        <f>tblSales[[#This Row],[FirstName]]&amp; " " &amp;tblSales[[#This Row],[LastName]]</f>
        <v>Andrew Fuller</v>
      </c>
      <c r="R307">
        <f>YEAR(tblSales[[#This Row],[OrderDate]])</f>
        <v>2019</v>
      </c>
      <c r="S307">
        <f>WEEKNUM(tblSales[[#This Row],[OrderDate]])</f>
        <v>37</v>
      </c>
      <c r="T307">
        <f>IF(ISBLANK(tblSales[[#This Row],[ShippedDate]]),"",tblSales[[#This Row],[ShippedDate]]-tblSales[[#This Row],[OrderDate]])</f>
        <v>7</v>
      </c>
      <c r="U307" t="str">
        <f>LEFT(tblSales[[#This Row],[ProductName]],20)</f>
        <v>Gnocchi di nonna Ali</v>
      </c>
    </row>
    <row r="308" spans="2:21" x14ac:dyDescent="0.2">
      <c r="B308">
        <v>10471</v>
      </c>
      <c r="C308" t="s">
        <v>8415</v>
      </c>
      <c r="D308" t="s">
        <v>2434</v>
      </c>
      <c r="E308" t="s">
        <v>8247</v>
      </c>
      <c r="F308" s="222">
        <v>24</v>
      </c>
      <c r="G308">
        <v>30</v>
      </c>
      <c r="H308" s="223">
        <v>0</v>
      </c>
      <c r="I308" s="222">
        <v>720</v>
      </c>
      <c r="J308" t="s">
        <v>8338</v>
      </c>
      <c r="K308" t="s">
        <v>8339</v>
      </c>
      <c r="L308" s="118">
        <v>43716</v>
      </c>
      <c r="M308" s="118">
        <v>43723</v>
      </c>
      <c r="N308" t="s">
        <v>8240</v>
      </c>
      <c r="O308" t="s">
        <v>8297</v>
      </c>
      <c r="P308" t="s">
        <v>8298</v>
      </c>
      <c r="Q308" t="str">
        <f>tblSales[[#This Row],[FirstName]]&amp; " " &amp;tblSales[[#This Row],[LastName]]</f>
        <v>Andrew Fuller</v>
      </c>
      <c r="R308">
        <f>YEAR(tblSales[[#This Row],[OrderDate]])</f>
        <v>2019</v>
      </c>
      <c r="S308">
        <f>WEEKNUM(tblSales[[#This Row],[OrderDate]])</f>
        <v>37</v>
      </c>
      <c r="T308">
        <f>IF(ISBLANK(tblSales[[#This Row],[ShippedDate]]),"",tblSales[[#This Row],[ShippedDate]]-tblSales[[#This Row],[OrderDate]])</f>
        <v>7</v>
      </c>
      <c r="U308" t="str">
        <f>LEFT(tblSales[[#This Row],[ProductName]],20)</f>
        <v xml:space="preserve">Uncle Bob's Organic </v>
      </c>
    </row>
    <row r="309" spans="2:21" x14ac:dyDescent="0.2">
      <c r="B309">
        <v>10472</v>
      </c>
      <c r="C309" t="s">
        <v>8270</v>
      </c>
      <c r="D309" t="s">
        <v>2434</v>
      </c>
      <c r="E309" t="s">
        <v>8272</v>
      </c>
      <c r="F309" s="222">
        <v>3.6</v>
      </c>
      <c r="G309">
        <v>80</v>
      </c>
      <c r="H309" s="223">
        <v>5.0000000745058101E-2</v>
      </c>
      <c r="I309" s="222">
        <v>273.60000000000002</v>
      </c>
      <c r="J309" t="s">
        <v>8388</v>
      </c>
      <c r="K309" t="s">
        <v>8389</v>
      </c>
      <c r="L309" s="118">
        <v>43717</v>
      </c>
      <c r="M309" s="118">
        <v>43724</v>
      </c>
      <c r="N309" t="s">
        <v>8250</v>
      </c>
      <c r="O309" t="s">
        <v>8320</v>
      </c>
      <c r="P309" t="s">
        <v>8321</v>
      </c>
      <c r="Q309" t="str">
        <f>tblSales[[#This Row],[FirstName]]&amp; " " &amp;tblSales[[#This Row],[LastName]]</f>
        <v>Laura Callahan</v>
      </c>
      <c r="R309">
        <f>YEAR(tblSales[[#This Row],[OrderDate]])</f>
        <v>2019</v>
      </c>
      <c r="S309">
        <f>WEEKNUM(tblSales[[#This Row],[OrderDate]])</f>
        <v>37</v>
      </c>
      <c r="T309">
        <f>IF(ISBLANK(tblSales[[#This Row],[ShippedDate]]),"",tblSales[[#This Row],[ShippedDate]]-tblSales[[#This Row],[OrderDate]])</f>
        <v>7</v>
      </c>
      <c r="U309" t="str">
        <f>LEFT(tblSales[[#This Row],[ProductName]],20)</f>
        <v>Guaraná Fantástica</v>
      </c>
    </row>
    <row r="310" spans="2:21" x14ac:dyDescent="0.2">
      <c r="B310">
        <v>10472</v>
      </c>
      <c r="C310" t="s">
        <v>8245</v>
      </c>
      <c r="D310" t="s">
        <v>2434</v>
      </c>
      <c r="E310" t="s">
        <v>8247</v>
      </c>
      <c r="F310" s="222">
        <v>42.4</v>
      </c>
      <c r="G310">
        <v>18</v>
      </c>
      <c r="H310" s="223">
        <v>0</v>
      </c>
      <c r="I310" s="222">
        <v>763.2</v>
      </c>
      <c r="J310" t="s">
        <v>8388</v>
      </c>
      <c r="K310" t="s">
        <v>8389</v>
      </c>
      <c r="L310" s="118">
        <v>43717</v>
      </c>
      <c r="M310" s="118">
        <v>43724</v>
      </c>
      <c r="N310" t="s">
        <v>8250</v>
      </c>
      <c r="O310" t="s">
        <v>8320</v>
      </c>
      <c r="P310" t="s">
        <v>8321</v>
      </c>
      <c r="Q310" t="str">
        <f>tblSales[[#This Row],[FirstName]]&amp; " " &amp;tblSales[[#This Row],[LastName]]</f>
        <v>Laura Callahan</v>
      </c>
      <c r="R310">
        <f>YEAR(tblSales[[#This Row],[OrderDate]])</f>
        <v>2019</v>
      </c>
      <c r="S310">
        <f>WEEKNUM(tblSales[[#This Row],[OrderDate]])</f>
        <v>37</v>
      </c>
      <c r="T310">
        <f>IF(ISBLANK(tblSales[[#This Row],[ShippedDate]]),"",tblSales[[#This Row],[ShippedDate]]-tblSales[[#This Row],[OrderDate]])</f>
        <v>7</v>
      </c>
      <c r="U310" t="str">
        <f>LEFT(tblSales[[#This Row],[ProductName]],20)</f>
        <v>Manjimup Dried Apple</v>
      </c>
    </row>
    <row r="311" spans="2:21" x14ac:dyDescent="0.2">
      <c r="B311">
        <v>10473</v>
      </c>
      <c r="C311" t="s">
        <v>8310</v>
      </c>
      <c r="D311" t="s">
        <v>2434</v>
      </c>
      <c r="E311" t="s">
        <v>8237</v>
      </c>
      <c r="F311" s="222">
        <v>17.2</v>
      </c>
      <c r="G311">
        <v>12</v>
      </c>
      <c r="H311" s="223">
        <v>0</v>
      </c>
      <c r="I311" s="222">
        <v>206.4</v>
      </c>
      <c r="J311" t="s">
        <v>8356</v>
      </c>
      <c r="K311" t="s">
        <v>8357</v>
      </c>
      <c r="L311" s="118">
        <v>43718</v>
      </c>
      <c r="M311" s="118">
        <v>43726</v>
      </c>
      <c r="N311" t="s">
        <v>8240</v>
      </c>
      <c r="O311" t="s">
        <v>8285</v>
      </c>
      <c r="P311" t="s">
        <v>2317</v>
      </c>
      <c r="Q311" t="str">
        <f>tblSales[[#This Row],[FirstName]]&amp; " " &amp;tblSales[[#This Row],[LastName]]</f>
        <v>Nancy Davolio</v>
      </c>
      <c r="R311">
        <f>YEAR(tblSales[[#This Row],[OrderDate]])</f>
        <v>2019</v>
      </c>
      <c r="S311">
        <f>WEEKNUM(tblSales[[#This Row],[OrderDate]])</f>
        <v>37</v>
      </c>
      <c r="T311">
        <f>IF(ISBLANK(tblSales[[#This Row],[ShippedDate]]),"",tblSales[[#This Row],[ShippedDate]]-tblSales[[#This Row],[OrderDate]])</f>
        <v>8</v>
      </c>
      <c r="U311" t="str">
        <f>LEFT(tblSales[[#This Row],[ProductName]],20)</f>
        <v>Fløtemysost</v>
      </c>
    </row>
    <row r="312" spans="2:21" x14ac:dyDescent="0.2">
      <c r="B312">
        <v>10473</v>
      </c>
      <c r="C312" t="s">
        <v>8269</v>
      </c>
      <c r="D312" t="s">
        <v>2434</v>
      </c>
      <c r="E312" t="s">
        <v>8237</v>
      </c>
      <c r="F312" s="222">
        <v>2</v>
      </c>
      <c r="G312">
        <v>12</v>
      </c>
      <c r="H312" s="223">
        <v>0</v>
      </c>
      <c r="I312" s="222">
        <v>24</v>
      </c>
      <c r="J312" t="s">
        <v>8356</v>
      </c>
      <c r="K312" t="s">
        <v>8357</v>
      </c>
      <c r="L312" s="118">
        <v>43718</v>
      </c>
      <c r="M312" s="118">
        <v>43726</v>
      </c>
      <c r="N312" t="s">
        <v>8240</v>
      </c>
      <c r="O312" t="s">
        <v>8285</v>
      </c>
      <c r="P312" t="s">
        <v>2317</v>
      </c>
      <c r="Q312" t="str">
        <f>tblSales[[#This Row],[FirstName]]&amp; " " &amp;tblSales[[#This Row],[LastName]]</f>
        <v>Nancy Davolio</v>
      </c>
      <c r="R312">
        <f>YEAR(tblSales[[#This Row],[OrderDate]])</f>
        <v>2019</v>
      </c>
      <c r="S312">
        <f>WEEKNUM(tblSales[[#This Row],[OrderDate]])</f>
        <v>37</v>
      </c>
      <c r="T312">
        <f>IF(ISBLANK(tblSales[[#This Row],[ShippedDate]]),"",tblSales[[#This Row],[ShippedDate]]-tblSales[[#This Row],[OrderDate]])</f>
        <v>8</v>
      </c>
      <c r="U312" t="str">
        <f>LEFT(tblSales[[#This Row],[ProductName]],20)</f>
        <v>Geitost</v>
      </c>
    </row>
    <row r="313" spans="2:21" x14ac:dyDescent="0.2">
      <c r="B313">
        <v>10475</v>
      </c>
      <c r="C313" t="s">
        <v>8303</v>
      </c>
      <c r="D313" t="s">
        <v>8261</v>
      </c>
      <c r="E313" t="s">
        <v>8272</v>
      </c>
      <c r="F313" s="222">
        <v>14.4</v>
      </c>
      <c r="G313">
        <v>42</v>
      </c>
      <c r="H313" s="223">
        <v>0.15000000596046401</v>
      </c>
      <c r="I313" s="222">
        <v>514.08000000000004</v>
      </c>
      <c r="J313" t="s">
        <v>8263</v>
      </c>
      <c r="K313" t="s">
        <v>8264</v>
      </c>
      <c r="L313" s="118">
        <v>43719</v>
      </c>
      <c r="M313" s="118">
        <v>43740</v>
      </c>
      <c r="N313" t="s">
        <v>8250</v>
      </c>
      <c r="O313" t="s">
        <v>8279</v>
      </c>
      <c r="P313" t="s">
        <v>710</v>
      </c>
      <c r="Q313" t="str">
        <f>tblSales[[#This Row],[FirstName]]&amp; " " &amp;tblSales[[#This Row],[LastName]]</f>
        <v>Anne Dodsworth</v>
      </c>
      <c r="R313">
        <f>YEAR(tblSales[[#This Row],[OrderDate]])</f>
        <v>2019</v>
      </c>
      <c r="S313">
        <f>WEEKNUM(tblSales[[#This Row],[OrderDate]])</f>
        <v>37</v>
      </c>
      <c r="T313">
        <f>IF(ISBLANK(tblSales[[#This Row],[ShippedDate]]),"",tblSales[[#This Row],[ShippedDate]]-tblSales[[#This Row],[OrderDate]])</f>
        <v>21</v>
      </c>
      <c r="U313" t="str">
        <f>LEFT(tblSales[[#This Row],[ProductName]],20)</f>
        <v>Lakkalikööri</v>
      </c>
    </row>
    <row r="314" spans="2:21" x14ac:dyDescent="0.2">
      <c r="B314">
        <v>10475</v>
      </c>
      <c r="C314" t="s">
        <v>8348</v>
      </c>
      <c r="D314" t="s">
        <v>8261</v>
      </c>
      <c r="E314" t="s">
        <v>8254</v>
      </c>
      <c r="F314" s="222">
        <v>13.6</v>
      </c>
      <c r="G314">
        <v>60</v>
      </c>
      <c r="H314" s="223">
        <v>0.15000000596046401</v>
      </c>
      <c r="I314" s="222">
        <v>693.6</v>
      </c>
      <c r="J314" t="s">
        <v>8263</v>
      </c>
      <c r="K314" t="s">
        <v>8264</v>
      </c>
      <c r="L314" s="118">
        <v>43719</v>
      </c>
      <c r="M314" s="118">
        <v>43740</v>
      </c>
      <c r="N314" t="s">
        <v>8250</v>
      </c>
      <c r="O314" t="s">
        <v>8279</v>
      </c>
      <c r="P314" t="s">
        <v>710</v>
      </c>
      <c r="Q314" t="str">
        <f>tblSales[[#This Row],[FirstName]]&amp; " " &amp;tblSales[[#This Row],[LastName]]</f>
        <v>Anne Dodsworth</v>
      </c>
      <c r="R314">
        <f>YEAR(tblSales[[#This Row],[OrderDate]])</f>
        <v>2019</v>
      </c>
      <c r="S314">
        <f>WEEKNUM(tblSales[[#This Row],[OrderDate]])</f>
        <v>37</v>
      </c>
      <c r="T314">
        <f>IF(ISBLANK(tblSales[[#This Row],[ShippedDate]]),"",tblSales[[#This Row],[ShippedDate]]-tblSales[[#This Row],[OrderDate]])</f>
        <v>21</v>
      </c>
      <c r="U314" t="str">
        <f>LEFT(tblSales[[#This Row],[ProductName]],20)</f>
        <v>Louisiana Hot Spiced</v>
      </c>
    </row>
    <row r="315" spans="2:21" x14ac:dyDescent="0.2">
      <c r="B315">
        <v>10475</v>
      </c>
      <c r="C315" t="s">
        <v>8309</v>
      </c>
      <c r="D315" t="s">
        <v>8261</v>
      </c>
      <c r="E315" t="s">
        <v>8237</v>
      </c>
      <c r="F315" s="222">
        <v>10</v>
      </c>
      <c r="G315">
        <v>35</v>
      </c>
      <c r="H315" s="223">
        <v>0.15000000596046401</v>
      </c>
      <c r="I315" s="222">
        <v>297.5</v>
      </c>
      <c r="J315" t="s">
        <v>8263</v>
      </c>
      <c r="K315" t="s">
        <v>8264</v>
      </c>
      <c r="L315" s="118">
        <v>43719</v>
      </c>
      <c r="M315" s="118">
        <v>43740</v>
      </c>
      <c r="N315" t="s">
        <v>8250</v>
      </c>
      <c r="O315" t="s">
        <v>8279</v>
      </c>
      <c r="P315" t="s">
        <v>710</v>
      </c>
      <c r="Q315" t="str">
        <f>tblSales[[#This Row],[FirstName]]&amp; " " &amp;tblSales[[#This Row],[LastName]]</f>
        <v>Anne Dodsworth</v>
      </c>
      <c r="R315">
        <f>YEAR(tblSales[[#This Row],[OrderDate]])</f>
        <v>2019</v>
      </c>
      <c r="S315">
        <f>WEEKNUM(tblSales[[#This Row],[OrderDate]])</f>
        <v>37</v>
      </c>
      <c r="T315">
        <f>IF(ISBLANK(tblSales[[#This Row],[ShippedDate]]),"",tblSales[[#This Row],[ShippedDate]]-tblSales[[#This Row],[OrderDate]])</f>
        <v>21</v>
      </c>
      <c r="U315" t="str">
        <f>LEFT(tblSales[[#This Row],[ProductName]],20)</f>
        <v>Gorgonzola Telino</v>
      </c>
    </row>
    <row r="316" spans="2:21" x14ac:dyDescent="0.2">
      <c r="B316">
        <v>10477</v>
      </c>
      <c r="C316" t="s">
        <v>8333</v>
      </c>
      <c r="D316" t="s">
        <v>8365</v>
      </c>
      <c r="E316" t="s">
        <v>8272</v>
      </c>
      <c r="F316" s="222">
        <v>14.4</v>
      </c>
      <c r="G316">
        <v>15</v>
      </c>
      <c r="H316" s="223">
        <v>0</v>
      </c>
      <c r="I316" s="222">
        <v>216</v>
      </c>
      <c r="J316" t="s">
        <v>8370</v>
      </c>
      <c r="K316" t="s">
        <v>8371</v>
      </c>
      <c r="L316" s="118">
        <v>43722</v>
      </c>
      <c r="M316" s="118">
        <v>43730</v>
      </c>
      <c r="N316" t="s">
        <v>8265</v>
      </c>
      <c r="O316" t="s">
        <v>8241</v>
      </c>
      <c r="P316" t="s">
        <v>6934</v>
      </c>
      <c r="Q316" t="str">
        <f>tblSales[[#This Row],[FirstName]]&amp; " " &amp;tblSales[[#This Row],[LastName]]</f>
        <v>Steven Buchanan</v>
      </c>
      <c r="R316">
        <f>YEAR(tblSales[[#This Row],[OrderDate]])</f>
        <v>2019</v>
      </c>
      <c r="S316">
        <f>WEEKNUM(tblSales[[#This Row],[OrderDate]])</f>
        <v>37</v>
      </c>
      <c r="T316">
        <f>IF(ISBLANK(tblSales[[#This Row],[ShippedDate]]),"",tblSales[[#This Row],[ShippedDate]]-tblSales[[#This Row],[OrderDate]])</f>
        <v>8</v>
      </c>
      <c r="U316" t="str">
        <f>LEFT(tblSales[[#This Row],[ProductName]],20)</f>
        <v>Chai</v>
      </c>
    </row>
    <row r="317" spans="2:21" x14ac:dyDescent="0.2">
      <c r="B317">
        <v>10477</v>
      </c>
      <c r="C317" t="s">
        <v>8342</v>
      </c>
      <c r="D317" t="s">
        <v>8365</v>
      </c>
      <c r="E317" t="s">
        <v>8272</v>
      </c>
      <c r="F317" s="222">
        <v>14.4</v>
      </c>
      <c r="G317">
        <v>20</v>
      </c>
      <c r="H317" s="223">
        <v>0.25</v>
      </c>
      <c r="I317" s="222">
        <v>216</v>
      </c>
      <c r="J317" t="s">
        <v>8370</v>
      </c>
      <c r="K317" t="s">
        <v>8371</v>
      </c>
      <c r="L317" s="118">
        <v>43722</v>
      </c>
      <c r="M317" s="118">
        <v>43730</v>
      </c>
      <c r="N317" t="s">
        <v>8265</v>
      </c>
      <c r="O317" t="s">
        <v>8241</v>
      </c>
      <c r="P317" t="s">
        <v>6934</v>
      </c>
      <c r="Q317" t="str">
        <f>tblSales[[#This Row],[FirstName]]&amp; " " &amp;tblSales[[#This Row],[LastName]]</f>
        <v>Steven Buchanan</v>
      </c>
      <c r="R317">
        <f>YEAR(tblSales[[#This Row],[OrderDate]])</f>
        <v>2019</v>
      </c>
      <c r="S317">
        <f>WEEKNUM(tblSales[[#This Row],[OrderDate]])</f>
        <v>37</v>
      </c>
      <c r="T317">
        <f>IF(ISBLANK(tblSales[[#This Row],[ShippedDate]]),"",tblSales[[#This Row],[ShippedDate]]-tblSales[[#This Row],[OrderDate]])</f>
        <v>8</v>
      </c>
      <c r="U317" t="str">
        <f>LEFT(tblSales[[#This Row],[ProductName]],20)</f>
        <v>Chartreuse verte</v>
      </c>
    </row>
    <row r="318" spans="2:21" x14ac:dyDescent="0.2">
      <c r="B318">
        <v>10477</v>
      </c>
      <c r="C318" t="s">
        <v>8368</v>
      </c>
      <c r="D318" t="s">
        <v>8365</v>
      </c>
      <c r="E318" t="s">
        <v>8262</v>
      </c>
      <c r="F318" s="222">
        <v>8</v>
      </c>
      <c r="G318">
        <v>21</v>
      </c>
      <c r="H318" s="223">
        <v>0.25</v>
      </c>
      <c r="I318" s="222">
        <v>126</v>
      </c>
      <c r="J318" t="s">
        <v>8370</v>
      </c>
      <c r="K318" t="s">
        <v>8371</v>
      </c>
      <c r="L318" s="118">
        <v>43722</v>
      </c>
      <c r="M318" s="118">
        <v>43730</v>
      </c>
      <c r="N318" t="s">
        <v>8265</v>
      </c>
      <c r="O318" t="s">
        <v>8241</v>
      </c>
      <c r="P318" t="s">
        <v>6934</v>
      </c>
      <c r="Q318" t="str">
        <f>tblSales[[#This Row],[FirstName]]&amp; " " &amp;tblSales[[#This Row],[LastName]]</f>
        <v>Steven Buchanan</v>
      </c>
      <c r="R318">
        <f>YEAR(tblSales[[#This Row],[OrderDate]])</f>
        <v>2019</v>
      </c>
      <c r="S318">
        <f>WEEKNUM(tblSales[[#This Row],[OrderDate]])</f>
        <v>37</v>
      </c>
      <c r="T318">
        <f>IF(ISBLANK(tblSales[[#This Row],[ShippedDate]]),"",tblSales[[#This Row],[ShippedDate]]-tblSales[[#This Row],[OrderDate]])</f>
        <v>8</v>
      </c>
      <c r="U318" t="str">
        <f>LEFT(tblSales[[#This Row],[ProductName]],20)</f>
        <v>Sir Rodney's Scones</v>
      </c>
    </row>
    <row r="319" spans="2:21" x14ac:dyDescent="0.2">
      <c r="B319">
        <v>10480</v>
      </c>
      <c r="C319" t="s">
        <v>8410</v>
      </c>
      <c r="D319" t="s">
        <v>8236</v>
      </c>
      <c r="E319" t="s">
        <v>8262</v>
      </c>
      <c r="F319" s="222">
        <v>7.6</v>
      </c>
      <c r="G319">
        <v>30</v>
      </c>
      <c r="H319" s="223">
        <v>0</v>
      </c>
      <c r="I319" s="222">
        <v>228</v>
      </c>
      <c r="J319" t="s">
        <v>8407</v>
      </c>
      <c r="K319" t="s">
        <v>8408</v>
      </c>
      <c r="L319" s="118">
        <v>43725</v>
      </c>
      <c r="M319" s="118">
        <v>43729</v>
      </c>
      <c r="N319" t="s">
        <v>8265</v>
      </c>
      <c r="O319" t="s">
        <v>8251</v>
      </c>
      <c r="P319" t="s">
        <v>269</v>
      </c>
      <c r="Q319" t="str">
        <f>tblSales[[#This Row],[FirstName]]&amp; " " &amp;tblSales[[#This Row],[LastName]]</f>
        <v>Michael Suyama</v>
      </c>
      <c r="R319">
        <f>YEAR(tblSales[[#This Row],[OrderDate]])</f>
        <v>2019</v>
      </c>
      <c r="S319">
        <f>WEEKNUM(tblSales[[#This Row],[OrderDate]])</f>
        <v>38</v>
      </c>
      <c r="T319">
        <f>IF(ISBLANK(tblSales[[#This Row],[ShippedDate]]),"",tblSales[[#This Row],[ShippedDate]]-tblSales[[#This Row],[OrderDate]])</f>
        <v>4</v>
      </c>
      <c r="U319" t="str">
        <f>LEFT(tblSales[[#This Row],[ProductName]],20)</f>
        <v>Zaanse koeken</v>
      </c>
    </row>
    <row r="320" spans="2:21" x14ac:dyDescent="0.2">
      <c r="B320">
        <v>10480</v>
      </c>
      <c r="C320" t="s">
        <v>8281</v>
      </c>
      <c r="D320" t="s">
        <v>8236</v>
      </c>
      <c r="E320" t="s">
        <v>8237</v>
      </c>
      <c r="F320" s="222">
        <v>44</v>
      </c>
      <c r="G320">
        <v>12</v>
      </c>
      <c r="H320" s="223">
        <v>0</v>
      </c>
      <c r="I320" s="222">
        <v>528</v>
      </c>
      <c r="J320" t="s">
        <v>8407</v>
      </c>
      <c r="K320" t="s">
        <v>8408</v>
      </c>
      <c r="L320" s="118">
        <v>43725</v>
      </c>
      <c r="M320" s="118">
        <v>43729</v>
      </c>
      <c r="N320" t="s">
        <v>8265</v>
      </c>
      <c r="O320" t="s">
        <v>8251</v>
      </c>
      <c r="P320" t="s">
        <v>269</v>
      </c>
      <c r="Q320" t="str">
        <f>tblSales[[#This Row],[FirstName]]&amp; " " &amp;tblSales[[#This Row],[LastName]]</f>
        <v>Michael Suyama</v>
      </c>
      <c r="R320">
        <f>YEAR(tblSales[[#This Row],[OrderDate]])</f>
        <v>2019</v>
      </c>
      <c r="S320">
        <f>WEEKNUM(tblSales[[#This Row],[OrderDate]])</f>
        <v>38</v>
      </c>
      <c r="T320">
        <f>IF(ISBLANK(tblSales[[#This Row],[ShippedDate]]),"",tblSales[[#This Row],[ShippedDate]]-tblSales[[#This Row],[OrderDate]])</f>
        <v>4</v>
      </c>
      <c r="U320" t="str">
        <f>LEFT(tblSales[[#This Row],[ProductName]],20)</f>
        <v>Raclette Courdavault</v>
      </c>
    </row>
    <row r="321" spans="2:21" x14ac:dyDescent="0.2">
      <c r="B321">
        <v>11084</v>
      </c>
      <c r="C321" t="s">
        <v>8342</v>
      </c>
      <c r="D321" t="s">
        <v>8236</v>
      </c>
      <c r="E321" t="s">
        <v>8272</v>
      </c>
      <c r="F321" s="222">
        <v>14.4</v>
      </c>
      <c r="G321">
        <v>60</v>
      </c>
      <c r="H321" s="223">
        <v>0</v>
      </c>
      <c r="I321" s="222">
        <v>864</v>
      </c>
      <c r="J321" t="s">
        <v>8295</v>
      </c>
      <c r="K321" t="s">
        <v>8296</v>
      </c>
      <c r="L321" s="118">
        <v>43728</v>
      </c>
      <c r="M321" s="118">
        <v>43734</v>
      </c>
      <c r="N321" t="s">
        <v>8265</v>
      </c>
      <c r="O321" t="s">
        <v>8241</v>
      </c>
      <c r="P321" t="s">
        <v>6934</v>
      </c>
      <c r="Q321" t="str">
        <f>tblSales[[#This Row],[FirstName]]&amp; " " &amp;tblSales[[#This Row],[LastName]]</f>
        <v>Steven Buchanan</v>
      </c>
      <c r="R321">
        <f>YEAR(tblSales[[#This Row],[OrderDate]])</f>
        <v>2019</v>
      </c>
      <c r="S321">
        <f>WEEKNUM(tblSales[[#This Row],[OrderDate]])</f>
        <v>38</v>
      </c>
      <c r="T321">
        <f>IF(ISBLANK(tblSales[[#This Row],[ShippedDate]]),"",tblSales[[#This Row],[ShippedDate]]-tblSales[[#This Row],[OrderDate]])</f>
        <v>6</v>
      </c>
      <c r="U321" t="str">
        <f>LEFT(tblSales[[#This Row],[ProductName]],20)</f>
        <v>Chartreuse verte</v>
      </c>
    </row>
    <row r="322" spans="2:21" x14ac:dyDescent="0.2">
      <c r="B322">
        <v>11084</v>
      </c>
      <c r="C322" t="s">
        <v>8235</v>
      </c>
      <c r="D322" t="s">
        <v>8236</v>
      </c>
      <c r="E322" t="s">
        <v>8237</v>
      </c>
      <c r="F322" s="222">
        <v>27.8</v>
      </c>
      <c r="G322">
        <v>20</v>
      </c>
      <c r="H322" s="223">
        <v>0</v>
      </c>
      <c r="I322" s="222">
        <v>556</v>
      </c>
      <c r="J322" t="s">
        <v>8295</v>
      </c>
      <c r="K322" t="s">
        <v>8296</v>
      </c>
      <c r="L322" s="118">
        <v>43728</v>
      </c>
      <c r="M322" s="118">
        <v>43734</v>
      </c>
      <c r="N322" t="s">
        <v>8265</v>
      </c>
      <c r="O322" t="s">
        <v>8241</v>
      </c>
      <c r="P322" t="s">
        <v>6934</v>
      </c>
      <c r="Q322" t="str">
        <f>tblSales[[#This Row],[FirstName]]&amp; " " &amp;tblSales[[#This Row],[LastName]]</f>
        <v>Steven Buchanan</v>
      </c>
      <c r="R322">
        <f>YEAR(tblSales[[#This Row],[OrderDate]])</f>
        <v>2019</v>
      </c>
      <c r="S322">
        <f>WEEKNUM(tblSales[[#This Row],[OrderDate]])</f>
        <v>38</v>
      </c>
      <c r="T322">
        <f>IF(ISBLANK(tblSales[[#This Row],[ShippedDate]]),"",tblSales[[#This Row],[ShippedDate]]-tblSales[[#This Row],[OrderDate]])</f>
        <v>6</v>
      </c>
      <c r="U322" t="str">
        <f>LEFT(tblSales[[#This Row],[ProductName]],20)</f>
        <v>Mozzarella di Giovan</v>
      </c>
    </row>
    <row r="323" spans="2:21" x14ac:dyDescent="0.2">
      <c r="B323">
        <v>10484</v>
      </c>
      <c r="C323" t="s">
        <v>8368</v>
      </c>
      <c r="D323" t="s">
        <v>2434</v>
      </c>
      <c r="E323" t="s">
        <v>8262</v>
      </c>
      <c r="F323" s="222">
        <v>8</v>
      </c>
      <c r="G323">
        <v>14</v>
      </c>
      <c r="H323" s="223">
        <v>0</v>
      </c>
      <c r="I323" s="222">
        <v>112</v>
      </c>
      <c r="J323" t="s">
        <v>8338</v>
      </c>
      <c r="K323" t="s">
        <v>8339</v>
      </c>
      <c r="L323" s="118">
        <v>43729</v>
      </c>
      <c r="M323" s="118">
        <v>43737</v>
      </c>
      <c r="N323" t="s">
        <v>8240</v>
      </c>
      <c r="O323" t="s">
        <v>8257</v>
      </c>
      <c r="P323" t="s">
        <v>6984</v>
      </c>
      <c r="Q323" t="str">
        <f>tblSales[[#This Row],[FirstName]]&amp; " " &amp;tblSales[[#This Row],[LastName]]</f>
        <v>Janet Leverling</v>
      </c>
      <c r="R323">
        <f>YEAR(tblSales[[#This Row],[OrderDate]])</f>
        <v>2019</v>
      </c>
      <c r="S323">
        <f>WEEKNUM(tblSales[[#This Row],[OrderDate]])</f>
        <v>38</v>
      </c>
      <c r="T323">
        <f>IF(ISBLANK(tblSales[[#This Row],[ShippedDate]]),"",tblSales[[#This Row],[ShippedDate]]-tblSales[[#This Row],[OrderDate]])</f>
        <v>8</v>
      </c>
      <c r="U323" t="str">
        <f>LEFT(tblSales[[#This Row],[ProductName]],20)</f>
        <v>Sir Rodney's Scones</v>
      </c>
    </row>
    <row r="324" spans="2:21" x14ac:dyDescent="0.2">
      <c r="B324">
        <v>10484</v>
      </c>
      <c r="C324" t="s">
        <v>8245</v>
      </c>
      <c r="D324" t="s">
        <v>2434</v>
      </c>
      <c r="E324" t="s">
        <v>8247</v>
      </c>
      <c r="F324" s="222">
        <v>42.4</v>
      </c>
      <c r="G324">
        <v>3</v>
      </c>
      <c r="H324" s="223">
        <v>0</v>
      </c>
      <c r="I324" s="222">
        <v>127.2</v>
      </c>
      <c r="J324" t="s">
        <v>8338</v>
      </c>
      <c r="K324" t="s">
        <v>8339</v>
      </c>
      <c r="L324" s="118">
        <v>43729</v>
      </c>
      <c r="M324" s="118">
        <v>43737</v>
      </c>
      <c r="N324" t="s">
        <v>8240</v>
      </c>
      <c r="O324" t="s">
        <v>8257</v>
      </c>
      <c r="P324" t="s">
        <v>6984</v>
      </c>
      <c r="Q324" t="str">
        <f>tblSales[[#This Row],[FirstName]]&amp; " " &amp;tblSales[[#This Row],[LastName]]</f>
        <v>Janet Leverling</v>
      </c>
      <c r="R324">
        <f>YEAR(tblSales[[#This Row],[OrderDate]])</f>
        <v>2019</v>
      </c>
      <c r="S324">
        <f>WEEKNUM(tblSales[[#This Row],[OrderDate]])</f>
        <v>38</v>
      </c>
      <c r="T324">
        <f>IF(ISBLANK(tblSales[[#This Row],[ShippedDate]]),"",tblSales[[#This Row],[ShippedDate]]-tblSales[[#This Row],[OrderDate]])</f>
        <v>8</v>
      </c>
      <c r="U324" t="str">
        <f>LEFT(tblSales[[#This Row],[ProductName]],20)</f>
        <v>Manjimup Dried Apple</v>
      </c>
    </row>
    <row r="325" spans="2:21" x14ac:dyDescent="0.2">
      <c r="B325">
        <v>10488</v>
      </c>
      <c r="C325" t="s">
        <v>8281</v>
      </c>
      <c r="D325" t="s">
        <v>8246</v>
      </c>
      <c r="E325" t="s">
        <v>8237</v>
      </c>
      <c r="F325" s="222">
        <v>44</v>
      </c>
      <c r="G325">
        <v>30</v>
      </c>
      <c r="H325" s="223">
        <v>0</v>
      </c>
      <c r="I325" s="222">
        <v>1320</v>
      </c>
      <c r="J325" t="s">
        <v>8304</v>
      </c>
      <c r="K325" t="s">
        <v>8305</v>
      </c>
      <c r="L325" s="118">
        <v>43732</v>
      </c>
      <c r="M325" s="118">
        <v>43738</v>
      </c>
      <c r="N325" t="s">
        <v>8265</v>
      </c>
      <c r="O325" t="s">
        <v>8320</v>
      </c>
      <c r="P325" t="s">
        <v>8321</v>
      </c>
      <c r="Q325" t="str">
        <f>tblSales[[#This Row],[FirstName]]&amp; " " &amp;tblSales[[#This Row],[LastName]]</f>
        <v>Laura Callahan</v>
      </c>
      <c r="R325">
        <f>YEAR(tblSales[[#This Row],[OrderDate]])</f>
        <v>2019</v>
      </c>
      <c r="S325">
        <f>WEEKNUM(tblSales[[#This Row],[OrderDate]])</f>
        <v>39</v>
      </c>
      <c r="T325">
        <f>IF(ISBLANK(tblSales[[#This Row],[ShippedDate]]),"",tblSales[[#This Row],[ShippedDate]]-tblSales[[#This Row],[OrderDate]])</f>
        <v>6</v>
      </c>
      <c r="U325" t="str">
        <f>LEFT(tblSales[[#This Row],[ProductName]],20)</f>
        <v>Raclette Courdavault</v>
      </c>
    </row>
    <row r="326" spans="2:21" x14ac:dyDescent="0.2">
      <c r="B326">
        <v>10489</v>
      </c>
      <c r="C326" t="s">
        <v>8280</v>
      </c>
      <c r="D326" t="s">
        <v>8282</v>
      </c>
      <c r="E326" t="s">
        <v>8262</v>
      </c>
      <c r="F326" s="222">
        <v>13.9</v>
      </c>
      <c r="G326">
        <v>18</v>
      </c>
      <c r="H326" s="223">
        <v>0</v>
      </c>
      <c r="I326" s="222">
        <v>250.2</v>
      </c>
      <c r="J326" t="s">
        <v>8384</v>
      </c>
      <c r="K326" t="s">
        <v>8385</v>
      </c>
      <c r="L326" s="118">
        <v>43733</v>
      </c>
      <c r="M326" s="118">
        <v>43745</v>
      </c>
      <c r="N326" t="s">
        <v>8265</v>
      </c>
      <c r="O326" t="s">
        <v>8251</v>
      </c>
      <c r="P326" t="s">
        <v>269</v>
      </c>
      <c r="Q326" t="str">
        <f>tblSales[[#This Row],[FirstName]]&amp; " " &amp;tblSales[[#This Row],[LastName]]</f>
        <v>Michael Suyama</v>
      </c>
      <c r="R326">
        <f>YEAR(tblSales[[#This Row],[OrderDate]])</f>
        <v>2019</v>
      </c>
      <c r="S326">
        <f>WEEKNUM(tblSales[[#This Row],[OrderDate]])</f>
        <v>39</v>
      </c>
      <c r="T326">
        <f>IF(ISBLANK(tblSales[[#This Row],[ShippedDate]]),"",tblSales[[#This Row],[ShippedDate]]-tblSales[[#This Row],[OrderDate]])</f>
        <v>12</v>
      </c>
      <c r="U326" t="str">
        <f>LEFT(tblSales[[#This Row],[ProductName]],20)</f>
        <v>Pavlova</v>
      </c>
    </row>
    <row r="327" spans="2:21" x14ac:dyDescent="0.2">
      <c r="B327">
        <v>10489</v>
      </c>
      <c r="C327" t="s">
        <v>8242</v>
      </c>
      <c r="D327" t="s">
        <v>8282</v>
      </c>
      <c r="E327" t="s">
        <v>8237</v>
      </c>
      <c r="F327" s="222">
        <v>16.8</v>
      </c>
      <c r="G327">
        <v>15</v>
      </c>
      <c r="H327" s="223">
        <v>0.25</v>
      </c>
      <c r="I327" s="222">
        <v>189</v>
      </c>
      <c r="J327" t="s">
        <v>8384</v>
      </c>
      <c r="K327" t="s">
        <v>8385</v>
      </c>
      <c r="L327" s="118">
        <v>43733</v>
      </c>
      <c r="M327" s="118">
        <v>43745</v>
      </c>
      <c r="N327" t="s">
        <v>8265</v>
      </c>
      <c r="O327" t="s">
        <v>8251</v>
      </c>
      <c r="P327" t="s">
        <v>269</v>
      </c>
      <c r="Q327" t="str">
        <f>tblSales[[#This Row],[FirstName]]&amp; " " &amp;tblSales[[#This Row],[LastName]]</f>
        <v>Michael Suyama</v>
      </c>
      <c r="R327">
        <f>YEAR(tblSales[[#This Row],[OrderDate]])</f>
        <v>2019</v>
      </c>
      <c r="S327">
        <f>WEEKNUM(tblSales[[#This Row],[OrderDate]])</f>
        <v>39</v>
      </c>
      <c r="T327">
        <f>IF(ISBLANK(tblSales[[#This Row],[ShippedDate]]),"",tblSales[[#This Row],[ShippedDate]]-tblSales[[#This Row],[OrderDate]])</f>
        <v>12</v>
      </c>
      <c r="U327" t="str">
        <f>LEFT(tblSales[[#This Row],[ProductName]],20)</f>
        <v>Queso Cabrales</v>
      </c>
    </row>
    <row r="328" spans="2:21" x14ac:dyDescent="0.2">
      <c r="B328">
        <v>10491</v>
      </c>
      <c r="C328" t="s">
        <v>8322</v>
      </c>
      <c r="D328" t="s">
        <v>8365</v>
      </c>
      <c r="E328" t="s">
        <v>8254</v>
      </c>
      <c r="F328" s="222">
        <v>15.5</v>
      </c>
      <c r="G328">
        <v>15</v>
      </c>
      <c r="H328" s="223">
        <v>0.15000000596046401</v>
      </c>
      <c r="I328" s="222">
        <v>197.62</v>
      </c>
      <c r="J328" t="s">
        <v>8366</v>
      </c>
      <c r="K328" t="s">
        <v>8367</v>
      </c>
      <c r="L328" s="118">
        <v>43736</v>
      </c>
      <c r="M328" s="118">
        <v>43744</v>
      </c>
      <c r="N328" t="s">
        <v>8240</v>
      </c>
      <c r="O328" t="s">
        <v>8320</v>
      </c>
      <c r="P328" t="s">
        <v>8321</v>
      </c>
      <c r="Q328" t="str">
        <f>tblSales[[#This Row],[FirstName]]&amp; " " &amp;tblSales[[#This Row],[LastName]]</f>
        <v>Laura Callahan</v>
      </c>
      <c r="R328">
        <f>YEAR(tblSales[[#This Row],[OrderDate]])</f>
        <v>2019</v>
      </c>
      <c r="S328">
        <f>WEEKNUM(tblSales[[#This Row],[OrderDate]])</f>
        <v>39</v>
      </c>
      <c r="T328">
        <f>IF(ISBLANK(tblSales[[#This Row],[ShippedDate]]),"",tblSales[[#This Row],[ShippedDate]]-tblSales[[#This Row],[OrderDate]])</f>
        <v>8</v>
      </c>
      <c r="U328" t="str">
        <f>LEFT(tblSales[[#This Row],[ProductName]],20)</f>
        <v>Gula Malacca</v>
      </c>
    </row>
    <row r="329" spans="2:21" x14ac:dyDescent="0.2">
      <c r="B329">
        <v>10491</v>
      </c>
      <c r="C329" t="s">
        <v>8397</v>
      </c>
      <c r="D329" t="s">
        <v>8365</v>
      </c>
      <c r="E329" t="s">
        <v>8254</v>
      </c>
      <c r="F329" s="222">
        <v>10.4</v>
      </c>
      <c r="G329">
        <v>7</v>
      </c>
      <c r="H329" s="223">
        <v>0.15000000596046401</v>
      </c>
      <c r="I329" s="222">
        <v>61.88</v>
      </c>
      <c r="J329" t="s">
        <v>8366</v>
      </c>
      <c r="K329" t="s">
        <v>8367</v>
      </c>
      <c r="L329" s="118">
        <v>43736</v>
      </c>
      <c r="M329" s="118">
        <v>43744</v>
      </c>
      <c r="N329" t="s">
        <v>8240</v>
      </c>
      <c r="O329" t="s">
        <v>8320</v>
      </c>
      <c r="P329" t="s">
        <v>8321</v>
      </c>
      <c r="Q329" t="str">
        <f>tblSales[[#This Row],[FirstName]]&amp; " " &amp;tblSales[[#This Row],[LastName]]</f>
        <v>Laura Callahan</v>
      </c>
      <c r="R329">
        <f>YEAR(tblSales[[#This Row],[OrderDate]])</f>
        <v>2019</v>
      </c>
      <c r="S329">
        <f>WEEKNUM(tblSales[[#This Row],[OrderDate]])</f>
        <v>39</v>
      </c>
      <c r="T329">
        <f>IF(ISBLANK(tblSales[[#This Row],[ShippedDate]]),"",tblSales[[#This Row],[ShippedDate]]-tblSales[[#This Row],[OrderDate]])</f>
        <v>8</v>
      </c>
      <c r="U329" t="str">
        <f>LEFT(tblSales[[#This Row],[ProductName]],20)</f>
        <v>Original Frankfurter</v>
      </c>
    </row>
    <row r="330" spans="2:21" x14ac:dyDescent="0.2">
      <c r="B330">
        <v>10493</v>
      </c>
      <c r="C330" t="s">
        <v>8253</v>
      </c>
      <c r="D330" t="s">
        <v>8236</v>
      </c>
      <c r="E330" t="s">
        <v>8254</v>
      </c>
      <c r="F330" s="222">
        <v>16.8</v>
      </c>
      <c r="G330">
        <v>15</v>
      </c>
      <c r="H330" s="223">
        <v>0.10000000149011599</v>
      </c>
      <c r="I330" s="222">
        <v>226.8</v>
      </c>
      <c r="J330" t="s">
        <v>8382</v>
      </c>
      <c r="K330" t="s">
        <v>8383</v>
      </c>
      <c r="L330" s="118">
        <v>43738</v>
      </c>
      <c r="M330" s="118">
        <v>43746</v>
      </c>
      <c r="N330" t="s">
        <v>8240</v>
      </c>
      <c r="O330" t="s">
        <v>8266</v>
      </c>
      <c r="P330" t="s">
        <v>8267</v>
      </c>
      <c r="Q330" t="str">
        <f>tblSales[[#This Row],[FirstName]]&amp; " " &amp;tblSales[[#This Row],[LastName]]</f>
        <v>Margaret Peacock</v>
      </c>
      <c r="R330">
        <f>YEAR(tblSales[[#This Row],[OrderDate]])</f>
        <v>2019</v>
      </c>
      <c r="S330">
        <f>WEEKNUM(tblSales[[#This Row],[OrderDate]])</f>
        <v>40</v>
      </c>
      <c r="T330">
        <f>IF(ISBLANK(tblSales[[#This Row],[ShippedDate]]),"",tblSales[[#This Row],[ShippedDate]]-tblSales[[#This Row],[OrderDate]])</f>
        <v>8</v>
      </c>
      <c r="U330" t="str">
        <f>LEFT(tblSales[[#This Row],[ProductName]],20)</f>
        <v xml:space="preserve">Louisiana Fiery Hot </v>
      </c>
    </row>
    <row r="331" spans="2:21" x14ac:dyDescent="0.2">
      <c r="B331">
        <v>10493</v>
      </c>
      <c r="C331" t="s">
        <v>8348</v>
      </c>
      <c r="D331" t="s">
        <v>8236</v>
      </c>
      <c r="E331" t="s">
        <v>8254</v>
      </c>
      <c r="F331" s="222">
        <v>13.6</v>
      </c>
      <c r="G331">
        <v>10</v>
      </c>
      <c r="H331" s="223">
        <v>0.10000000149011599</v>
      </c>
      <c r="I331" s="222">
        <v>122.4</v>
      </c>
      <c r="J331" t="s">
        <v>8382</v>
      </c>
      <c r="K331" t="s">
        <v>8383</v>
      </c>
      <c r="L331" s="118">
        <v>43738</v>
      </c>
      <c r="M331" s="118">
        <v>43746</v>
      </c>
      <c r="N331" t="s">
        <v>8240</v>
      </c>
      <c r="O331" t="s">
        <v>8266</v>
      </c>
      <c r="P331" t="s">
        <v>8267</v>
      </c>
      <c r="Q331" t="str">
        <f>tblSales[[#This Row],[FirstName]]&amp; " " &amp;tblSales[[#This Row],[LastName]]</f>
        <v>Margaret Peacock</v>
      </c>
      <c r="R331">
        <f>YEAR(tblSales[[#This Row],[OrderDate]])</f>
        <v>2019</v>
      </c>
      <c r="S331">
        <f>WEEKNUM(tblSales[[#This Row],[OrderDate]])</f>
        <v>40</v>
      </c>
      <c r="T331">
        <f>IF(ISBLANK(tblSales[[#This Row],[ShippedDate]]),"",tblSales[[#This Row],[ShippedDate]]-tblSales[[#This Row],[OrderDate]])</f>
        <v>8</v>
      </c>
      <c r="U331" t="str">
        <f>LEFT(tblSales[[#This Row],[ProductName]],20)</f>
        <v>Louisiana Hot Spiced</v>
      </c>
    </row>
    <row r="332" spans="2:21" x14ac:dyDescent="0.2">
      <c r="B332">
        <v>10493</v>
      </c>
      <c r="C332" t="s">
        <v>8353</v>
      </c>
      <c r="D332" t="s">
        <v>8236</v>
      </c>
      <c r="E332" t="s">
        <v>8237</v>
      </c>
      <c r="F332" s="222">
        <v>28.8</v>
      </c>
      <c r="G332">
        <v>10</v>
      </c>
      <c r="H332" s="223">
        <v>0.10000000149011599</v>
      </c>
      <c r="I332" s="222">
        <v>259.2</v>
      </c>
      <c r="J332" t="s">
        <v>8382</v>
      </c>
      <c r="K332" t="s">
        <v>8383</v>
      </c>
      <c r="L332" s="118">
        <v>43738</v>
      </c>
      <c r="M332" s="118">
        <v>43746</v>
      </c>
      <c r="N332" t="s">
        <v>8240</v>
      </c>
      <c r="O332" t="s">
        <v>8266</v>
      </c>
      <c r="P332" t="s">
        <v>8267</v>
      </c>
      <c r="Q332" t="str">
        <f>tblSales[[#This Row],[FirstName]]&amp; " " &amp;tblSales[[#This Row],[LastName]]</f>
        <v>Margaret Peacock</v>
      </c>
      <c r="R332">
        <f>YEAR(tblSales[[#This Row],[OrderDate]])</f>
        <v>2019</v>
      </c>
      <c r="S332">
        <f>WEEKNUM(tblSales[[#This Row],[OrderDate]])</f>
        <v>40</v>
      </c>
      <c r="T332">
        <f>IF(ISBLANK(tblSales[[#This Row],[ShippedDate]]),"",tblSales[[#This Row],[ShippedDate]]-tblSales[[#This Row],[OrderDate]])</f>
        <v>8</v>
      </c>
      <c r="U332" t="str">
        <f>LEFT(tblSales[[#This Row],[ProductName]],20)</f>
        <v>Gudbrandsdalsost</v>
      </c>
    </row>
    <row r="333" spans="2:21" x14ac:dyDescent="0.2">
      <c r="B333">
        <v>10497</v>
      </c>
      <c r="C333" t="s">
        <v>8397</v>
      </c>
      <c r="D333" t="s">
        <v>8246</v>
      </c>
      <c r="E333" t="s">
        <v>8254</v>
      </c>
      <c r="F333" s="222">
        <v>10.4</v>
      </c>
      <c r="G333">
        <v>25</v>
      </c>
      <c r="H333" s="223">
        <v>0</v>
      </c>
      <c r="I333" s="222">
        <v>260</v>
      </c>
      <c r="J333" t="s">
        <v>8330</v>
      </c>
      <c r="K333" t="s">
        <v>8331</v>
      </c>
      <c r="L333" s="118">
        <v>43740</v>
      </c>
      <c r="M333" s="118">
        <v>43743</v>
      </c>
      <c r="N333" t="s">
        <v>8250</v>
      </c>
      <c r="O333" t="s">
        <v>8158</v>
      </c>
      <c r="P333" t="s">
        <v>861</v>
      </c>
      <c r="Q333" t="str">
        <f>tblSales[[#This Row],[FirstName]]&amp; " " &amp;tblSales[[#This Row],[LastName]]</f>
        <v>Robert King</v>
      </c>
      <c r="R333">
        <f>YEAR(tblSales[[#This Row],[OrderDate]])</f>
        <v>2019</v>
      </c>
      <c r="S333">
        <f>WEEKNUM(tblSales[[#This Row],[OrderDate]])</f>
        <v>40</v>
      </c>
      <c r="T333">
        <f>IF(ISBLANK(tblSales[[#This Row],[ShippedDate]]),"",tblSales[[#This Row],[ShippedDate]]-tblSales[[#This Row],[OrderDate]])</f>
        <v>3</v>
      </c>
      <c r="U333" t="str">
        <f>LEFT(tblSales[[#This Row],[ProductName]],20)</f>
        <v>Original Frankfurter</v>
      </c>
    </row>
    <row r="334" spans="2:21" x14ac:dyDescent="0.2">
      <c r="B334">
        <v>10497</v>
      </c>
      <c r="C334" t="s">
        <v>8235</v>
      </c>
      <c r="D334" t="s">
        <v>8246</v>
      </c>
      <c r="E334" t="s">
        <v>8237</v>
      </c>
      <c r="F334" s="222">
        <v>27.8</v>
      </c>
      <c r="G334">
        <v>25</v>
      </c>
      <c r="H334" s="223">
        <v>0</v>
      </c>
      <c r="I334" s="222">
        <v>695</v>
      </c>
      <c r="J334" t="s">
        <v>8330</v>
      </c>
      <c r="K334" t="s">
        <v>8331</v>
      </c>
      <c r="L334" s="118">
        <v>43740</v>
      </c>
      <c r="M334" s="118">
        <v>43743</v>
      </c>
      <c r="N334" t="s">
        <v>8250</v>
      </c>
      <c r="O334" t="s">
        <v>8158</v>
      </c>
      <c r="P334" t="s">
        <v>861</v>
      </c>
      <c r="Q334" t="str">
        <f>tblSales[[#This Row],[FirstName]]&amp; " " &amp;tblSales[[#This Row],[LastName]]</f>
        <v>Robert King</v>
      </c>
      <c r="R334">
        <f>YEAR(tblSales[[#This Row],[OrderDate]])</f>
        <v>2019</v>
      </c>
      <c r="S334">
        <f>WEEKNUM(tblSales[[#This Row],[OrderDate]])</f>
        <v>40</v>
      </c>
      <c r="T334">
        <f>IF(ISBLANK(tblSales[[#This Row],[ShippedDate]]),"",tblSales[[#This Row],[ShippedDate]]-tblSales[[#This Row],[OrderDate]])</f>
        <v>3</v>
      </c>
      <c r="U334" t="str">
        <f>LEFT(tblSales[[#This Row],[ProductName]],20)</f>
        <v>Mozzarella di Giovan</v>
      </c>
    </row>
    <row r="335" spans="2:21" x14ac:dyDescent="0.2">
      <c r="B335">
        <v>10497</v>
      </c>
      <c r="C335" t="s">
        <v>8341</v>
      </c>
      <c r="D335" t="s">
        <v>8246</v>
      </c>
      <c r="E335" t="s">
        <v>8244</v>
      </c>
      <c r="F335" s="222">
        <v>30.4</v>
      </c>
      <c r="G335">
        <v>14</v>
      </c>
      <c r="H335" s="223">
        <v>0</v>
      </c>
      <c r="I335" s="222">
        <v>425.6</v>
      </c>
      <c r="J335" t="s">
        <v>8330</v>
      </c>
      <c r="K335" t="s">
        <v>8331</v>
      </c>
      <c r="L335" s="118">
        <v>43740</v>
      </c>
      <c r="M335" s="118">
        <v>43743</v>
      </c>
      <c r="N335" t="s">
        <v>8250</v>
      </c>
      <c r="O335" t="s">
        <v>8158</v>
      </c>
      <c r="P335" t="s">
        <v>861</v>
      </c>
      <c r="Q335" t="str">
        <f>tblSales[[#This Row],[FirstName]]&amp; " " &amp;tblSales[[#This Row],[LastName]]</f>
        <v>Robert King</v>
      </c>
      <c r="R335">
        <f>YEAR(tblSales[[#This Row],[OrderDate]])</f>
        <v>2019</v>
      </c>
      <c r="S335">
        <f>WEEKNUM(tblSales[[#This Row],[OrderDate]])</f>
        <v>40</v>
      </c>
      <c r="T335">
        <f>IF(ISBLANK(tblSales[[#This Row],[ShippedDate]]),"",tblSales[[#This Row],[ShippedDate]]-tblSales[[#This Row],[OrderDate]])</f>
        <v>3</v>
      </c>
      <c r="U335" t="str">
        <f>LEFT(tblSales[[#This Row],[ProductName]],20)</f>
        <v>Gnocchi di nonna Ali</v>
      </c>
    </row>
    <row r="336" spans="2:21" x14ac:dyDescent="0.2">
      <c r="B336">
        <v>10500</v>
      </c>
      <c r="C336" t="s">
        <v>8361</v>
      </c>
      <c r="D336" t="s">
        <v>8236</v>
      </c>
      <c r="E336" t="s">
        <v>8254</v>
      </c>
      <c r="F336" s="222">
        <v>15.5</v>
      </c>
      <c r="G336">
        <v>12</v>
      </c>
      <c r="H336" s="223">
        <v>5.0000000745058101E-2</v>
      </c>
      <c r="I336" s="222">
        <v>176.7</v>
      </c>
      <c r="J336" t="s">
        <v>8382</v>
      </c>
      <c r="K336" t="s">
        <v>8383</v>
      </c>
      <c r="L336" s="118">
        <v>43745</v>
      </c>
      <c r="M336" s="118">
        <v>43753</v>
      </c>
      <c r="N336" t="s">
        <v>8250</v>
      </c>
      <c r="O336" t="s">
        <v>8251</v>
      </c>
      <c r="P336" t="s">
        <v>269</v>
      </c>
      <c r="Q336" t="str">
        <f>tblSales[[#This Row],[FirstName]]&amp; " " &amp;tblSales[[#This Row],[LastName]]</f>
        <v>Michael Suyama</v>
      </c>
      <c r="R336">
        <f>YEAR(tblSales[[#This Row],[OrderDate]])</f>
        <v>2019</v>
      </c>
      <c r="S336">
        <f>WEEKNUM(tblSales[[#This Row],[OrderDate]])</f>
        <v>41</v>
      </c>
      <c r="T336">
        <f>IF(ISBLANK(tblSales[[#This Row],[ShippedDate]]),"",tblSales[[#This Row],[ShippedDate]]-tblSales[[#This Row],[OrderDate]])</f>
        <v>8</v>
      </c>
      <c r="U336" t="str">
        <f>LEFT(tblSales[[#This Row],[ProductName]],20)</f>
        <v>Genen Shouyu</v>
      </c>
    </row>
    <row r="337" spans="2:21" x14ac:dyDescent="0.2">
      <c r="B337">
        <v>10500</v>
      </c>
      <c r="C337" t="s">
        <v>8316</v>
      </c>
      <c r="D337" t="s">
        <v>8236</v>
      </c>
      <c r="E337" t="s">
        <v>8247</v>
      </c>
      <c r="F337" s="222">
        <v>45.6</v>
      </c>
      <c r="G337">
        <v>8</v>
      </c>
      <c r="H337" s="223">
        <v>5.0000000745058101E-2</v>
      </c>
      <c r="I337" s="222">
        <v>346.56</v>
      </c>
      <c r="J337" t="s">
        <v>8382</v>
      </c>
      <c r="K337" t="s">
        <v>8383</v>
      </c>
      <c r="L337" s="118">
        <v>43745</v>
      </c>
      <c r="M337" s="118">
        <v>43753</v>
      </c>
      <c r="N337" t="s">
        <v>8250</v>
      </c>
      <c r="O337" t="s">
        <v>8251</v>
      </c>
      <c r="P337" t="s">
        <v>269</v>
      </c>
      <c r="Q337" t="str">
        <f>tblSales[[#This Row],[FirstName]]&amp; " " &amp;tblSales[[#This Row],[LastName]]</f>
        <v>Michael Suyama</v>
      </c>
      <c r="R337">
        <f>YEAR(tblSales[[#This Row],[OrderDate]])</f>
        <v>2019</v>
      </c>
      <c r="S337">
        <f>WEEKNUM(tblSales[[#This Row],[OrderDate]])</f>
        <v>41</v>
      </c>
      <c r="T337">
        <f>IF(ISBLANK(tblSales[[#This Row],[ShippedDate]]),"",tblSales[[#This Row],[ShippedDate]]-tblSales[[#This Row],[OrderDate]])</f>
        <v>8</v>
      </c>
      <c r="U337" t="str">
        <f>LEFT(tblSales[[#This Row],[ProductName]],20)</f>
        <v>Rössle Sauerkraut</v>
      </c>
    </row>
    <row r="338" spans="2:21" x14ac:dyDescent="0.2">
      <c r="B338">
        <v>10503</v>
      </c>
      <c r="C338" t="s">
        <v>8253</v>
      </c>
      <c r="D338" t="s">
        <v>8343</v>
      </c>
      <c r="E338" t="s">
        <v>8254</v>
      </c>
      <c r="F338" s="222">
        <v>21.05</v>
      </c>
      <c r="G338">
        <v>20</v>
      </c>
      <c r="H338" s="223">
        <v>0</v>
      </c>
      <c r="I338" s="222">
        <v>421</v>
      </c>
      <c r="J338" t="s">
        <v>8344</v>
      </c>
      <c r="K338" t="s">
        <v>8345</v>
      </c>
      <c r="L338" s="118">
        <v>43747</v>
      </c>
      <c r="M338" s="118">
        <v>43752</v>
      </c>
      <c r="N338" t="s">
        <v>8265</v>
      </c>
      <c r="O338" t="s">
        <v>8251</v>
      </c>
      <c r="P338" t="s">
        <v>269</v>
      </c>
      <c r="Q338" t="str">
        <f>tblSales[[#This Row],[FirstName]]&amp; " " &amp;tblSales[[#This Row],[LastName]]</f>
        <v>Michael Suyama</v>
      </c>
      <c r="R338">
        <f>YEAR(tblSales[[#This Row],[OrderDate]])</f>
        <v>2019</v>
      </c>
      <c r="S338">
        <f>WEEKNUM(tblSales[[#This Row],[OrderDate]])</f>
        <v>41</v>
      </c>
      <c r="T338">
        <f>IF(ISBLANK(tblSales[[#This Row],[ShippedDate]]),"",tblSales[[#This Row],[ShippedDate]]-tblSales[[#This Row],[OrderDate]])</f>
        <v>5</v>
      </c>
      <c r="U338" t="str">
        <f>LEFT(tblSales[[#This Row],[ProductName]],20)</f>
        <v xml:space="preserve">Louisiana Fiery Hot </v>
      </c>
    </row>
    <row r="339" spans="2:21" x14ac:dyDescent="0.2">
      <c r="B339">
        <v>10503</v>
      </c>
      <c r="C339" t="s">
        <v>8252</v>
      </c>
      <c r="D339" t="s">
        <v>8343</v>
      </c>
      <c r="E339" t="s">
        <v>8247</v>
      </c>
      <c r="F339" s="222">
        <v>23.25</v>
      </c>
      <c r="G339">
        <v>70</v>
      </c>
      <c r="H339" s="223">
        <v>0</v>
      </c>
      <c r="I339" s="222">
        <v>1627.5</v>
      </c>
      <c r="J339" t="s">
        <v>8344</v>
      </c>
      <c r="K339" t="s">
        <v>8345</v>
      </c>
      <c r="L339" s="118">
        <v>43747</v>
      </c>
      <c r="M339" s="118">
        <v>43752</v>
      </c>
      <c r="N339" t="s">
        <v>8265</v>
      </c>
      <c r="O339" t="s">
        <v>8251</v>
      </c>
      <c r="P339" t="s">
        <v>269</v>
      </c>
      <c r="Q339" t="str">
        <f>tblSales[[#This Row],[FirstName]]&amp; " " &amp;tblSales[[#This Row],[LastName]]</f>
        <v>Michael Suyama</v>
      </c>
      <c r="R339">
        <f>YEAR(tblSales[[#This Row],[OrderDate]])</f>
        <v>2019</v>
      </c>
      <c r="S339">
        <f>WEEKNUM(tblSales[[#This Row],[OrderDate]])</f>
        <v>41</v>
      </c>
      <c r="T339">
        <f>IF(ISBLANK(tblSales[[#This Row],[ShippedDate]]),"",tblSales[[#This Row],[ShippedDate]]-tblSales[[#This Row],[OrderDate]])</f>
        <v>5</v>
      </c>
      <c r="U339" t="str">
        <f>LEFT(tblSales[[#This Row],[ProductName]],20)</f>
        <v>Tofu</v>
      </c>
    </row>
    <row r="340" spans="2:21" x14ac:dyDescent="0.2">
      <c r="B340">
        <v>10506</v>
      </c>
      <c r="C340" t="s">
        <v>8288</v>
      </c>
      <c r="D340" t="s">
        <v>8246</v>
      </c>
      <c r="E340" t="s">
        <v>8272</v>
      </c>
      <c r="F340" s="222">
        <v>15</v>
      </c>
      <c r="G340">
        <v>14</v>
      </c>
      <c r="H340" s="223">
        <v>0.10000000149011599</v>
      </c>
      <c r="I340" s="222">
        <v>189</v>
      </c>
      <c r="J340" t="s">
        <v>8359</v>
      </c>
      <c r="K340" t="s">
        <v>8360</v>
      </c>
      <c r="L340" s="118">
        <v>43751</v>
      </c>
      <c r="M340" s="118">
        <v>43768</v>
      </c>
      <c r="N340" t="s">
        <v>8265</v>
      </c>
      <c r="O340" t="s">
        <v>8279</v>
      </c>
      <c r="P340" t="s">
        <v>710</v>
      </c>
      <c r="Q340" t="str">
        <f>tblSales[[#This Row],[FirstName]]&amp; " " &amp;tblSales[[#This Row],[LastName]]</f>
        <v>Anne Dodsworth</v>
      </c>
      <c r="R340">
        <f>YEAR(tblSales[[#This Row],[OrderDate]])</f>
        <v>2019</v>
      </c>
      <c r="S340">
        <f>WEEKNUM(tblSales[[#This Row],[OrderDate]])</f>
        <v>42</v>
      </c>
      <c r="T340">
        <f>IF(ISBLANK(tblSales[[#This Row],[ShippedDate]]),"",tblSales[[#This Row],[ShippedDate]]-tblSales[[#This Row],[OrderDate]])</f>
        <v>17</v>
      </c>
      <c r="U340" t="str">
        <f>LEFT(tblSales[[#This Row],[ProductName]],20)</f>
        <v>Outback Lager</v>
      </c>
    </row>
    <row r="341" spans="2:21" x14ac:dyDescent="0.2">
      <c r="B341">
        <v>10506</v>
      </c>
      <c r="C341" t="s">
        <v>8362</v>
      </c>
      <c r="D341" t="s">
        <v>8246</v>
      </c>
      <c r="E341" t="s">
        <v>8262</v>
      </c>
      <c r="F341" s="222">
        <v>14</v>
      </c>
      <c r="G341">
        <v>18</v>
      </c>
      <c r="H341" s="223">
        <v>0.10000000149011599</v>
      </c>
      <c r="I341" s="222">
        <v>226.8</v>
      </c>
      <c r="J341" t="s">
        <v>8359</v>
      </c>
      <c r="K341" t="s">
        <v>8360</v>
      </c>
      <c r="L341" s="118">
        <v>43751</v>
      </c>
      <c r="M341" s="118">
        <v>43768</v>
      </c>
      <c r="N341" t="s">
        <v>8265</v>
      </c>
      <c r="O341" t="s">
        <v>8279</v>
      </c>
      <c r="P341" t="s">
        <v>710</v>
      </c>
      <c r="Q341" t="str">
        <f>tblSales[[#This Row],[FirstName]]&amp; " " &amp;tblSales[[#This Row],[LastName]]</f>
        <v>Anne Dodsworth</v>
      </c>
      <c r="R341">
        <f>YEAR(tblSales[[#This Row],[OrderDate]])</f>
        <v>2019</v>
      </c>
      <c r="S341">
        <f>WEEKNUM(tblSales[[#This Row],[OrderDate]])</f>
        <v>42</v>
      </c>
      <c r="T341">
        <f>IF(ISBLANK(tblSales[[#This Row],[ShippedDate]]),"",tblSales[[#This Row],[ShippedDate]]-tblSales[[#This Row],[OrderDate]])</f>
        <v>17</v>
      </c>
      <c r="U341" t="str">
        <f>LEFT(tblSales[[#This Row],[ProductName]],20)</f>
        <v>NuNuCa Nuß-Nougat-Cr</v>
      </c>
    </row>
    <row r="342" spans="2:21" x14ac:dyDescent="0.2">
      <c r="B342">
        <v>10508</v>
      </c>
      <c r="C342" t="s">
        <v>8342</v>
      </c>
      <c r="D342" t="s">
        <v>8246</v>
      </c>
      <c r="E342" t="s">
        <v>8272</v>
      </c>
      <c r="F342" s="222">
        <v>18</v>
      </c>
      <c r="G342">
        <v>10</v>
      </c>
      <c r="H342" s="223">
        <v>0</v>
      </c>
      <c r="I342" s="222">
        <v>180</v>
      </c>
      <c r="J342" t="s">
        <v>8289</v>
      </c>
      <c r="K342" t="s">
        <v>8290</v>
      </c>
      <c r="L342" s="118">
        <v>43752</v>
      </c>
      <c r="M342" s="118">
        <v>43779</v>
      </c>
      <c r="N342" t="s">
        <v>8265</v>
      </c>
      <c r="O342" t="s">
        <v>8285</v>
      </c>
      <c r="P342" t="s">
        <v>2317</v>
      </c>
      <c r="Q342" t="str">
        <f>tblSales[[#This Row],[FirstName]]&amp; " " &amp;tblSales[[#This Row],[LastName]]</f>
        <v>Nancy Davolio</v>
      </c>
      <c r="R342">
        <f>YEAR(tblSales[[#This Row],[OrderDate]])</f>
        <v>2019</v>
      </c>
      <c r="S342">
        <f>WEEKNUM(tblSales[[#This Row],[OrderDate]])</f>
        <v>42</v>
      </c>
      <c r="T342">
        <f>IF(ISBLANK(tblSales[[#This Row],[ShippedDate]]),"",tblSales[[#This Row],[ShippedDate]]-tblSales[[#This Row],[OrderDate]])</f>
        <v>27</v>
      </c>
      <c r="U342" t="str">
        <f>LEFT(tblSales[[#This Row],[ProductName]],20)</f>
        <v>Chartreuse verte</v>
      </c>
    </row>
    <row r="343" spans="2:21" x14ac:dyDescent="0.2">
      <c r="B343">
        <v>10509</v>
      </c>
      <c r="C343" t="s">
        <v>8316</v>
      </c>
      <c r="D343" t="s">
        <v>8246</v>
      </c>
      <c r="E343" t="s">
        <v>8247</v>
      </c>
      <c r="F343" s="222">
        <v>45.6</v>
      </c>
      <c r="G343">
        <v>3</v>
      </c>
      <c r="H343" s="223">
        <v>0</v>
      </c>
      <c r="I343" s="222">
        <v>136.80000000000001</v>
      </c>
      <c r="J343" t="s">
        <v>8416</v>
      </c>
      <c r="K343" t="s">
        <v>8417</v>
      </c>
      <c r="L343" s="118">
        <v>43753</v>
      </c>
      <c r="M343" s="118">
        <v>43765</v>
      </c>
      <c r="N343" t="s">
        <v>8250</v>
      </c>
      <c r="O343" t="s">
        <v>8266</v>
      </c>
      <c r="P343" t="s">
        <v>8267</v>
      </c>
      <c r="Q343" t="str">
        <f>tblSales[[#This Row],[FirstName]]&amp; " " &amp;tblSales[[#This Row],[LastName]]</f>
        <v>Margaret Peacock</v>
      </c>
      <c r="R343">
        <f>YEAR(tblSales[[#This Row],[OrderDate]])</f>
        <v>2019</v>
      </c>
      <c r="S343">
        <f>WEEKNUM(tblSales[[#This Row],[OrderDate]])</f>
        <v>42</v>
      </c>
      <c r="T343">
        <f>IF(ISBLANK(tblSales[[#This Row],[ShippedDate]]),"",tblSales[[#This Row],[ShippedDate]]-tblSales[[#This Row],[OrderDate]])</f>
        <v>12</v>
      </c>
      <c r="U343" t="str">
        <f>LEFT(tblSales[[#This Row],[ProductName]],20)</f>
        <v>Rössle Sauerkraut</v>
      </c>
    </row>
    <row r="344" spans="2:21" x14ac:dyDescent="0.2">
      <c r="B344">
        <v>10511</v>
      </c>
      <c r="C344" t="s">
        <v>8352</v>
      </c>
      <c r="D344" t="s">
        <v>8236</v>
      </c>
      <c r="E344" t="s">
        <v>8254</v>
      </c>
      <c r="F344" s="222">
        <v>22</v>
      </c>
      <c r="G344">
        <v>50</v>
      </c>
      <c r="H344" s="223">
        <v>0.15000000596046401</v>
      </c>
      <c r="I344" s="222">
        <v>935</v>
      </c>
      <c r="J344" t="s">
        <v>8377</v>
      </c>
      <c r="K344" t="s">
        <v>8378</v>
      </c>
      <c r="L344" s="118">
        <v>43754</v>
      </c>
      <c r="M344" s="118">
        <v>43757</v>
      </c>
      <c r="N344" t="s">
        <v>8240</v>
      </c>
      <c r="O344" t="s">
        <v>8266</v>
      </c>
      <c r="P344" t="s">
        <v>8267</v>
      </c>
      <c r="Q344" t="str">
        <f>tblSales[[#This Row],[FirstName]]&amp; " " &amp;tblSales[[#This Row],[LastName]]</f>
        <v>Margaret Peacock</v>
      </c>
      <c r="R344">
        <f>YEAR(tblSales[[#This Row],[OrderDate]])</f>
        <v>2019</v>
      </c>
      <c r="S344">
        <f>WEEKNUM(tblSales[[#This Row],[OrderDate]])</f>
        <v>42</v>
      </c>
      <c r="T344">
        <f>IF(ISBLANK(tblSales[[#This Row],[ShippedDate]]),"",tblSales[[#This Row],[ShippedDate]]-tblSales[[#This Row],[OrderDate]])</f>
        <v>3</v>
      </c>
      <c r="U344" t="str">
        <f>LEFT(tblSales[[#This Row],[ProductName]],20)</f>
        <v>Chef Anton's Cajun S</v>
      </c>
    </row>
    <row r="345" spans="2:21" x14ac:dyDescent="0.2">
      <c r="B345">
        <v>10511</v>
      </c>
      <c r="C345" t="s">
        <v>8379</v>
      </c>
      <c r="D345" t="s">
        <v>8236</v>
      </c>
      <c r="E345" t="s">
        <v>8254</v>
      </c>
      <c r="F345" s="222">
        <v>40</v>
      </c>
      <c r="G345">
        <v>10</v>
      </c>
      <c r="H345" s="223">
        <v>0.15000000596046401</v>
      </c>
      <c r="I345" s="222">
        <v>340</v>
      </c>
      <c r="J345" t="s">
        <v>8377</v>
      </c>
      <c r="K345" t="s">
        <v>8378</v>
      </c>
      <c r="L345" s="118">
        <v>43754</v>
      </c>
      <c r="M345" s="118">
        <v>43757</v>
      </c>
      <c r="N345" t="s">
        <v>8240</v>
      </c>
      <c r="O345" t="s">
        <v>8266</v>
      </c>
      <c r="P345" t="s">
        <v>8267</v>
      </c>
      <c r="Q345" t="str">
        <f>tblSales[[#This Row],[FirstName]]&amp; " " &amp;tblSales[[#This Row],[LastName]]</f>
        <v>Margaret Peacock</v>
      </c>
      <c r="R345">
        <f>YEAR(tblSales[[#This Row],[OrderDate]])</f>
        <v>2019</v>
      </c>
      <c r="S345">
        <f>WEEKNUM(tblSales[[#This Row],[OrderDate]])</f>
        <v>42</v>
      </c>
      <c r="T345">
        <f>IF(ISBLANK(tblSales[[#This Row],[ShippedDate]]),"",tblSales[[#This Row],[ShippedDate]]-tblSales[[#This Row],[OrderDate]])</f>
        <v>3</v>
      </c>
      <c r="U345" t="str">
        <f>LEFT(tblSales[[#This Row],[ProductName]],20)</f>
        <v>Northwoods Cranberry</v>
      </c>
    </row>
    <row r="346" spans="2:21" x14ac:dyDescent="0.2">
      <c r="B346">
        <v>10511</v>
      </c>
      <c r="C346" t="s">
        <v>8415</v>
      </c>
      <c r="D346" t="s">
        <v>8236</v>
      </c>
      <c r="E346" t="s">
        <v>8247</v>
      </c>
      <c r="F346" s="222">
        <v>30</v>
      </c>
      <c r="G346">
        <v>50</v>
      </c>
      <c r="H346" s="223">
        <v>0.15000000596046401</v>
      </c>
      <c r="I346" s="222">
        <v>1275</v>
      </c>
      <c r="J346" t="s">
        <v>8377</v>
      </c>
      <c r="K346" t="s">
        <v>8378</v>
      </c>
      <c r="L346" s="118">
        <v>43754</v>
      </c>
      <c r="M346" s="118">
        <v>43757</v>
      </c>
      <c r="N346" t="s">
        <v>8240</v>
      </c>
      <c r="O346" t="s">
        <v>8266</v>
      </c>
      <c r="P346" t="s">
        <v>8267</v>
      </c>
      <c r="Q346" t="str">
        <f>tblSales[[#This Row],[FirstName]]&amp; " " &amp;tblSales[[#This Row],[LastName]]</f>
        <v>Margaret Peacock</v>
      </c>
      <c r="R346">
        <f>YEAR(tblSales[[#This Row],[OrderDate]])</f>
        <v>2019</v>
      </c>
      <c r="S346">
        <f>WEEKNUM(tblSales[[#This Row],[OrderDate]])</f>
        <v>42</v>
      </c>
      <c r="T346">
        <f>IF(ISBLANK(tblSales[[#This Row],[ShippedDate]]),"",tblSales[[#This Row],[ShippedDate]]-tblSales[[#This Row],[OrderDate]])</f>
        <v>3</v>
      </c>
      <c r="U346" t="str">
        <f>LEFT(tblSales[[#This Row],[ProductName]],20)</f>
        <v xml:space="preserve">Uncle Bob's Organic </v>
      </c>
    </row>
    <row r="347" spans="2:21" x14ac:dyDescent="0.2">
      <c r="B347">
        <v>10513</v>
      </c>
      <c r="C347" t="s">
        <v>8409</v>
      </c>
      <c r="D347" t="s">
        <v>8246</v>
      </c>
      <c r="E347" t="s">
        <v>8254</v>
      </c>
      <c r="F347" s="222">
        <v>28.5</v>
      </c>
      <c r="G347">
        <v>15</v>
      </c>
      <c r="H347" s="223">
        <v>0.20000000298023199</v>
      </c>
      <c r="I347" s="222">
        <v>342</v>
      </c>
      <c r="J347" t="s">
        <v>8346</v>
      </c>
      <c r="K347" t="s">
        <v>8347</v>
      </c>
      <c r="L347" s="118">
        <v>43758</v>
      </c>
      <c r="M347" s="118">
        <v>43764</v>
      </c>
      <c r="N347" t="s">
        <v>8250</v>
      </c>
      <c r="O347" t="s">
        <v>8158</v>
      </c>
      <c r="P347" t="s">
        <v>861</v>
      </c>
      <c r="Q347" t="str">
        <f>tblSales[[#This Row],[FirstName]]&amp; " " &amp;tblSales[[#This Row],[LastName]]</f>
        <v>Robert King</v>
      </c>
      <c r="R347">
        <f>YEAR(tblSales[[#This Row],[OrderDate]])</f>
        <v>2019</v>
      </c>
      <c r="S347">
        <f>WEEKNUM(tblSales[[#This Row],[OrderDate]])</f>
        <v>43</v>
      </c>
      <c r="T347">
        <f>IF(ISBLANK(tblSales[[#This Row],[ShippedDate]]),"",tblSales[[#This Row],[ShippedDate]]-tblSales[[#This Row],[OrderDate]])</f>
        <v>6</v>
      </c>
      <c r="U347" t="str">
        <f>LEFT(tblSales[[#This Row],[ProductName]],20)</f>
        <v>Sirop d'érable</v>
      </c>
    </row>
    <row r="348" spans="2:21" x14ac:dyDescent="0.2">
      <c r="B348">
        <v>10513</v>
      </c>
      <c r="C348" t="s">
        <v>8368</v>
      </c>
      <c r="D348" t="s">
        <v>8246</v>
      </c>
      <c r="E348" t="s">
        <v>8262</v>
      </c>
      <c r="F348" s="222">
        <v>10</v>
      </c>
      <c r="G348">
        <v>40</v>
      </c>
      <c r="H348" s="223">
        <v>0.20000000298023199</v>
      </c>
      <c r="I348" s="222">
        <v>320</v>
      </c>
      <c r="J348" t="s">
        <v>8346</v>
      </c>
      <c r="K348" t="s">
        <v>8347</v>
      </c>
      <c r="L348" s="118">
        <v>43758</v>
      </c>
      <c r="M348" s="118">
        <v>43764</v>
      </c>
      <c r="N348" t="s">
        <v>8250</v>
      </c>
      <c r="O348" t="s">
        <v>8158</v>
      </c>
      <c r="P348" t="s">
        <v>861</v>
      </c>
      <c r="Q348" t="str">
        <f>tblSales[[#This Row],[FirstName]]&amp; " " &amp;tblSales[[#This Row],[LastName]]</f>
        <v>Robert King</v>
      </c>
      <c r="R348">
        <f>YEAR(tblSales[[#This Row],[OrderDate]])</f>
        <v>2019</v>
      </c>
      <c r="S348">
        <f>WEEKNUM(tblSales[[#This Row],[OrderDate]])</f>
        <v>43</v>
      </c>
      <c r="T348">
        <f>IF(ISBLANK(tblSales[[#This Row],[ShippedDate]]),"",tblSales[[#This Row],[ShippedDate]]-tblSales[[#This Row],[OrderDate]])</f>
        <v>6</v>
      </c>
      <c r="U348" t="str">
        <f>LEFT(tblSales[[#This Row],[ProductName]],20)</f>
        <v>Sir Rodney's Scones</v>
      </c>
    </row>
    <row r="349" spans="2:21" x14ac:dyDescent="0.2">
      <c r="B349">
        <v>10513</v>
      </c>
      <c r="C349" t="s">
        <v>8287</v>
      </c>
      <c r="D349" t="s">
        <v>8246</v>
      </c>
      <c r="E349" t="s">
        <v>8237</v>
      </c>
      <c r="F349" s="222">
        <v>32</v>
      </c>
      <c r="G349">
        <v>50</v>
      </c>
      <c r="H349" s="223">
        <v>0.20000000298023199</v>
      </c>
      <c r="I349" s="222">
        <v>1280</v>
      </c>
      <c r="J349" t="s">
        <v>8346</v>
      </c>
      <c r="K349" t="s">
        <v>8347</v>
      </c>
      <c r="L349" s="118">
        <v>43758</v>
      </c>
      <c r="M349" s="118">
        <v>43764</v>
      </c>
      <c r="N349" t="s">
        <v>8250</v>
      </c>
      <c r="O349" t="s">
        <v>8158</v>
      </c>
      <c r="P349" t="s">
        <v>861</v>
      </c>
      <c r="Q349" t="str">
        <f>tblSales[[#This Row],[FirstName]]&amp; " " &amp;tblSales[[#This Row],[LastName]]</f>
        <v>Robert King</v>
      </c>
      <c r="R349">
        <f>YEAR(tblSales[[#This Row],[OrderDate]])</f>
        <v>2019</v>
      </c>
      <c r="S349">
        <f>WEEKNUM(tblSales[[#This Row],[OrderDate]])</f>
        <v>43</v>
      </c>
      <c r="T349">
        <f>IF(ISBLANK(tblSales[[#This Row],[ShippedDate]]),"",tblSales[[#This Row],[ShippedDate]]-tblSales[[#This Row],[OrderDate]])</f>
        <v>6</v>
      </c>
      <c r="U349" t="str">
        <f>LEFT(tblSales[[#This Row],[ProductName]],20)</f>
        <v>Mascarpone Fabioli</v>
      </c>
    </row>
    <row r="350" spans="2:21" x14ac:dyDescent="0.2">
      <c r="B350">
        <v>10514</v>
      </c>
      <c r="C350" t="s">
        <v>8328</v>
      </c>
      <c r="D350" t="s">
        <v>8282</v>
      </c>
      <c r="E350" t="s">
        <v>8272</v>
      </c>
      <c r="F350" s="222">
        <v>7.75</v>
      </c>
      <c r="G350">
        <v>50</v>
      </c>
      <c r="H350" s="223">
        <v>0</v>
      </c>
      <c r="I350" s="222">
        <v>387.5</v>
      </c>
      <c r="J350" t="s">
        <v>8283</v>
      </c>
      <c r="K350" t="s">
        <v>8284</v>
      </c>
      <c r="L350" s="118">
        <v>43758</v>
      </c>
      <c r="M350" s="118">
        <v>43782</v>
      </c>
      <c r="N350" t="s">
        <v>8265</v>
      </c>
      <c r="O350" t="s">
        <v>8257</v>
      </c>
      <c r="P350" t="s">
        <v>6984</v>
      </c>
      <c r="Q350" t="str">
        <f>tblSales[[#This Row],[FirstName]]&amp; " " &amp;tblSales[[#This Row],[LastName]]</f>
        <v>Janet Leverling</v>
      </c>
      <c r="R350">
        <f>YEAR(tblSales[[#This Row],[OrderDate]])</f>
        <v>2019</v>
      </c>
      <c r="S350">
        <f>WEEKNUM(tblSales[[#This Row],[OrderDate]])</f>
        <v>43</v>
      </c>
      <c r="T350">
        <f>IF(ISBLANK(tblSales[[#This Row],[ShippedDate]]),"",tblSales[[#This Row],[ShippedDate]]-tblSales[[#This Row],[OrderDate]])</f>
        <v>24</v>
      </c>
      <c r="U350" t="str">
        <f>LEFT(tblSales[[#This Row],[ProductName]],20)</f>
        <v>Rhönbräu Klosterbier</v>
      </c>
    </row>
    <row r="351" spans="2:21" x14ac:dyDescent="0.2">
      <c r="B351">
        <v>10514</v>
      </c>
      <c r="C351" t="s">
        <v>8253</v>
      </c>
      <c r="D351" t="s">
        <v>8282</v>
      </c>
      <c r="E351" t="s">
        <v>8254</v>
      </c>
      <c r="F351" s="222">
        <v>21.05</v>
      </c>
      <c r="G351">
        <v>39</v>
      </c>
      <c r="H351" s="223">
        <v>0</v>
      </c>
      <c r="I351" s="222">
        <v>820.95</v>
      </c>
      <c r="J351" t="s">
        <v>8283</v>
      </c>
      <c r="K351" t="s">
        <v>8284</v>
      </c>
      <c r="L351" s="118">
        <v>43758</v>
      </c>
      <c r="M351" s="118">
        <v>43782</v>
      </c>
      <c r="N351" t="s">
        <v>8265</v>
      </c>
      <c r="O351" t="s">
        <v>8257</v>
      </c>
      <c r="P351" t="s">
        <v>6984</v>
      </c>
      <c r="Q351" t="str">
        <f>tblSales[[#This Row],[FirstName]]&amp; " " &amp;tblSales[[#This Row],[LastName]]</f>
        <v>Janet Leverling</v>
      </c>
      <c r="R351">
        <f>YEAR(tblSales[[#This Row],[OrderDate]])</f>
        <v>2019</v>
      </c>
      <c r="S351">
        <f>WEEKNUM(tblSales[[#This Row],[OrderDate]])</f>
        <v>43</v>
      </c>
      <c r="T351">
        <f>IF(ISBLANK(tblSales[[#This Row],[ShippedDate]]),"",tblSales[[#This Row],[ShippedDate]]-tblSales[[#This Row],[OrderDate]])</f>
        <v>24</v>
      </c>
      <c r="U351" t="str">
        <f>LEFT(tblSales[[#This Row],[ProductName]],20)</f>
        <v xml:space="preserve">Louisiana Fiery Hot </v>
      </c>
    </row>
    <row r="352" spans="2:21" x14ac:dyDescent="0.2">
      <c r="B352">
        <v>10514</v>
      </c>
      <c r="C352" t="s">
        <v>8260</v>
      </c>
      <c r="D352" t="s">
        <v>8282</v>
      </c>
      <c r="E352" t="s">
        <v>8262</v>
      </c>
      <c r="F352" s="222">
        <v>81</v>
      </c>
      <c r="G352">
        <v>39</v>
      </c>
      <c r="H352" s="223">
        <v>0</v>
      </c>
      <c r="I352" s="222">
        <v>3159</v>
      </c>
      <c r="J352" t="s">
        <v>8283</v>
      </c>
      <c r="K352" t="s">
        <v>8284</v>
      </c>
      <c r="L352" s="118">
        <v>43758</v>
      </c>
      <c r="M352" s="118">
        <v>43782</v>
      </c>
      <c r="N352" t="s">
        <v>8265</v>
      </c>
      <c r="O352" t="s">
        <v>8257</v>
      </c>
      <c r="P352" t="s">
        <v>6984</v>
      </c>
      <c r="Q352" t="str">
        <f>tblSales[[#This Row],[FirstName]]&amp; " " &amp;tblSales[[#This Row],[LastName]]</f>
        <v>Janet Leverling</v>
      </c>
      <c r="R352">
        <f>YEAR(tblSales[[#This Row],[OrderDate]])</f>
        <v>2019</v>
      </c>
      <c r="S352">
        <f>WEEKNUM(tblSales[[#This Row],[OrderDate]])</f>
        <v>43</v>
      </c>
      <c r="T352">
        <f>IF(ISBLANK(tblSales[[#This Row],[ShippedDate]]),"",tblSales[[#This Row],[ShippedDate]]-tblSales[[#This Row],[OrderDate]])</f>
        <v>24</v>
      </c>
      <c r="U352" t="str">
        <f>LEFT(tblSales[[#This Row],[ProductName]],20)</f>
        <v>Sir Rodney's Marmala</v>
      </c>
    </row>
    <row r="353" spans="2:21" x14ac:dyDescent="0.2">
      <c r="B353">
        <v>10514</v>
      </c>
      <c r="C353" t="s">
        <v>8341</v>
      </c>
      <c r="D353" t="s">
        <v>8282</v>
      </c>
      <c r="E353" t="s">
        <v>8244</v>
      </c>
      <c r="F353" s="222">
        <v>38</v>
      </c>
      <c r="G353">
        <v>70</v>
      </c>
      <c r="H353" s="223">
        <v>0</v>
      </c>
      <c r="I353" s="222">
        <v>2660</v>
      </c>
      <c r="J353" t="s">
        <v>8283</v>
      </c>
      <c r="K353" t="s">
        <v>8284</v>
      </c>
      <c r="L353" s="118">
        <v>43758</v>
      </c>
      <c r="M353" s="118">
        <v>43782</v>
      </c>
      <c r="N353" t="s">
        <v>8265</v>
      </c>
      <c r="O353" t="s">
        <v>8257</v>
      </c>
      <c r="P353" t="s">
        <v>6984</v>
      </c>
      <c r="Q353" t="str">
        <f>tblSales[[#This Row],[FirstName]]&amp; " " &amp;tblSales[[#This Row],[LastName]]</f>
        <v>Janet Leverling</v>
      </c>
      <c r="R353">
        <f>YEAR(tblSales[[#This Row],[OrderDate]])</f>
        <v>2019</v>
      </c>
      <c r="S353">
        <f>WEEKNUM(tblSales[[#This Row],[OrderDate]])</f>
        <v>43</v>
      </c>
      <c r="T353">
        <f>IF(ISBLANK(tblSales[[#This Row],[ShippedDate]]),"",tblSales[[#This Row],[ShippedDate]]-tblSales[[#This Row],[OrderDate]])</f>
        <v>24</v>
      </c>
      <c r="U353" t="str">
        <f>LEFT(tblSales[[#This Row],[ProductName]],20)</f>
        <v>Gnocchi di nonna Ali</v>
      </c>
    </row>
    <row r="354" spans="2:21" x14ac:dyDescent="0.2">
      <c r="B354">
        <v>10514</v>
      </c>
      <c r="C354" t="s">
        <v>8316</v>
      </c>
      <c r="D354" t="s">
        <v>8282</v>
      </c>
      <c r="E354" t="s">
        <v>8247</v>
      </c>
      <c r="F354" s="222">
        <v>45.6</v>
      </c>
      <c r="G354">
        <v>35</v>
      </c>
      <c r="H354" s="223">
        <v>0</v>
      </c>
      <c r="I354" s="222">
        <v>1596</v>
      </c>
      <c r="J354" t="s">
        <v>8283</v>
      </c>
      <c r="K354" t="s">
        <v>8284</v>
      </c>
      <c r="L354" s="118">
        <v>43758</v>
      </c>
      <c r="M354" s="118">
        <v>43782</v>
      </c>
      <c r="N354" t="s">
        <v>8265</v>
      </c>
      <c r="O354" t="s">
        <v>8257</v>
      </c>
      <c r="P354" t="s">
        <v>6984</v>
      </c>
      <c r="Q354" t="str">
        <f>tblSales[[#This Row],[FirstName]]&amp; " " &amp;tblSales[[#This Row],[LastName]]</f>
        <v>Janet Leverling</v>
      </c>
      <c r="R354">
        <f>YEAR(tblSales[[#This Row],[OrderDate]])</f>
        <v>2019</v>
      </c>
      <c r="S354">
        <f>WEEKNUM(tblSales[[#This Row],[OrderDate]])</f>
        <v>43</v>
      </c>
      <c r="T354">
        <f>IF(ISBLANK(tblSales[[#This Row],[ShippedDate]]),"",tblSales[[#This Row],[ShippedDate]]-tblSales[[#This Row],[OrderDate]])</f>
        <v>24</v>
      </c>
      <c r="U354" t="str">
        <f>LEFT(tblSales[[#This Row],[ProductName]],20)</f>
        <v>Rössle Sauerkraut</v>
      </c>
    </row>
    <row r="355" spans="2:21" x14ac:dyDescent="0.2">
      <c r="B355">
        <v>10515</v>
      </c>
      <c r="C355" t="s">
        <v>8332</v>
      </c>
      <c r="D355" t="s">
        <v>8246</v>
      </c>
      <c r="E355" t="s">
        <v>8262</v>
      </c>
      <c r="F355" s="222">
        <v>43.9</v>
      </c>
      <c r="G355">
        <v>120</v>
      </c>
      <c r="H355" s="223">
        <v>0</v>
      </c>
      <c r="I355" s="222">
        <v>5268</v>
      </c>
      <c r="J355" t="s">
        <v>8307</v>
      </c>
      <c r="K355" t="s">
        <v>8308</v>
      </c>
      <c r="L355" s="118">
        <v>43759</v>
      </c>
      <c r="M355" s="118">
        <v>43789</v>
      </c>
      <c r="N355" t="s">
        <v>8250</v>
      </c>
      <c r="O355" t="s">
        <v>8297</v>
      </c>
      <c r="P355" t="s">
        <v>8298</v>
      </c>
      <c r="Q355" t="str">
        <f>tblSales[[#This Row],[FirstName]]&amp; " " &amp;tblSales[[#This Row],[LastName]]</f>
        <v>Andrew Fuller</v>
      </c>
      <c r="R355">
        <f>YEAR(tblSales[[#This Row],[OrderDate]])</f>
        <v>2019</v>
      </c>
      <c r="S355">
        <f>WEEKNUM(tblSales[[#This Row],[OrderDate]])</f>
        <v>43</v>
      </c>
      <c r="T355">
        <f>IF(ISBLANK(tblSales[[#This Row],[ShippedDate]]),"",tblSales[[#This Row],[ShippedDate]]-tblSales[[#This Row],[OrderDate]])</f>
        <v>30</v>
      </c>
      <c r="U355" t="str">
        <f>LEFT(tblSales[[#This Row],[ProductName]],20)</f>
        <v>Schoggi Schokolade</v>
      </c>
    </row>
    <row r="356" spans="2:21" x14ac:dyDescent="0.2">
      <c r="B356">
        <v>10515</v>
      </c>
      <c r="C356" t="s">
        <v>8280</v>
      </c>
      <c r="D356" t="s">
        <v>8246</v>
      </c>
      <c r="E356" t="s">
        <v>8262</v>
      </c>
      <c r="F356" s="222">
        <v>17.45</v>
      </c>
      <c r="G356">
        <v>50</v>
      </c>
      <c r="H356" s="223">
        <v>0</v>
      </c>
      <c r="I356" s="222">
        <v>872.5</v>
      </c>
      <c r="J356" t="s">
        <v>8307</v>
      </c>
      <c r="K356" t="s">
        <v>8308</v>
      </c>
      <c r="L356" s="118">
        <v>43759</v>
      </c>
      <c r="M356" s="118">
        <v>43789</v>
      </c>
      <c r="N356" t="s">
        <v>8250</v>
      </c>
      <c r="O356" t="s">
        <v>8297</v>
      </c>
      <c r="P356" t="s">
        <v>8298</v>
      </c>
      <c r="Q356" t="str">
        <f>tblSales[[#This Row],[FirstName]]&amp; " " &amp;tblSales[[#This Row],[LastName]]</f>
        <v>Andrew Fuller</v>
      </c>
      <c r="R356">
        <f>YEAR(tblSales[[#This Row],[OrderDate]])</f>
        <v>2019</v>
      </c>
      <c r="S356">
        <f>WEEKNUM(tblSales[[#This Row],[OrderDate]])</f>
        <v>43</v>
      </c>
      <c r="T356">
        <f>IF(ISBLANK(tblSales[[#This Row],[ShippedDate]]),"",tblSales[[#This Row],[ShippedDate]]-tblSales[[#This Row],[OrderDate]])</f>
        <v>30</v>
      </c>
      <c r="U356" t="str">
        <f>LEFT(tblSales[[#This Row],[ProductName]],20)</f>
        <v>Pavlova</v>
      </c>
    </row>
    <row r="357" spans="2:21" x14ac:dyDescent="0.2">
      <c r="B357">
        <v>10515</v>
      </c>
      <c r="C357" t="s">
        <v>8268</v>
      </c>
      <c r="D357" t="s">
        <v>8246</v>
      </c>
      <c r="E357" t="s">
        <v>8237</v>
      </c>
      <c r="F357" s="222">
        <v>34</v>
      </c>
      <c r="G357">
        <v>84</v>
      </c>
      <c r="H357" s="223">
        <v>0.15000000596046401</v>
      </c>
      <c r="I357" s="222">
        <v>2427.6</v>
      </c>
      <c r="J357" t="s">
        <v>8307</v>
      </c>
      <c r="K357" t="s">
        <v>8308</v>
      </c>
      <c r="L357" s="118">
        <v>43759</v>
      </c>
      <c r="M357" s="118">
        <v>43789</v>
      </c>
      <c r="N357" t="s">
        <v>8250</v>
      </c>
      <c r="O357" t="s">
        <v>8297</v>
      </c>
      <c r="P357" t="s">
        <v>8298</v>
      </c>
      <c r="Q357" t="str">
        <f>tblSales[[#This Row],[FirstName]]&amp; " " &amp;tblSales[[#This Row],[LastName]]</f>
        <v>Andrew Fuller</v>
      </c>
      <c r="R357">
        <f>YEAR(tblSales[[#This Row],[OrderDate]])</f>
        <v>2019</v>
      </c>
      <c r="S357">
        <f>WEEKNUM(tblSales[[#This Row],[OrderDate]])</f>
        <v>43</v>
      </c>
      <c r="T357">
        <f>IF(ISBLANK(tblSales[[#This Row],[ShippedDate]]),"",tblSales[[#This Row],[ShippedDate]]-tblSales[[#This Row],[OrderDate]])</f>
        <v>30</v>
      </c>
      <c r="U357" t="str">
        <f>LEFT(tblSales[[#This Row],[ProductName]],20)</f>
        <v>Camembert Pierrot</v>
      </c>
    </row>
    <row r="358" spans="2:21" x14ac:dyDescent="0.2">
      <c r="B358">
        <v>10515</v>
      </c>
      <c r="C358" t="s">
        <v>8269</v>
      </c>
      <c r="D358" t="s">
        <v>8246</v>
      </c>
      <c r="E358" t="s">
        <v>8237</v>
      </c>
      <c r="F358" s="222">
        <v>2.5</v>
      </c>
      <c r="G358">
        <v>16</v>
      </c>
      <c r="H358" s="223">
        <v>0.15000000596046401</v>
      </c>
      <c r="I358" s="222">
        <v>34</v>
      </c>
      <c r="J358" t="s">
        <v>8307</v>
      </c>
      <c r="K358" t="s">
        <v>8308</v>
      </c>
      <c r="L358" s="118">
        <v>43759</v>
      </c>
      <c r="M358" s="118">
        <v>43789</v>
      </c>
      <c r="N358" t="s">
        <v>8250</v>
      </c>
      <c r="O358" t="s">
        <v>8297</v>
      </c>
      <c r="P358" t="s">
        <v>8298</v>
      </c>
      <c r="Q358" t="str">
        <f>tblSales[[#This Row],[FirstName]]&amp; " " &amp;tblSales[[#This Row],[LastName]]</f>
        <v>Andrew Fuller</v>
      </c>
      <c r="R358">
        <f>YEAR(tblSales[[#This Row],[OrderDate]])</f>
        <v>2019</v>
      </c>
      <c r="S358">
        <f>WEEKNUM(tblSales[[#This Row],[OrderDate]])</f>
        <v>43</v>
      </c>
      <c r="T358">
        <f>IF(ISBLANK(tblSales[[#This Row],[ShippedDate]]),"",tblSales[[#This Row],[ShippedDate]]-tblSales[[#This Row],[OrderDate]])</f>
        <v>30</v>
      </c>
      <c r="U358" t="str">
        <f>LEFT(tblSales[[#This Row],[ProductName]],20)</f>
        <v>Geitost</v>
      </c>
    </row>
    <row r="359" spans="2:21" x14ac:dyDescent="0.2">
      <c r="B359">
        <v>10517</v>
      </c>
      <c r="C359" t="s">
        <v>8288</v>
      </c>
      <c r="D359" t="s">
        <v>2434</v>
      </c>
      <c r="E359" t="s">
        <v>8272</v>
      </c>
      <c r="F359" s="222">
        <v>15</v>
      </c>
      <c r="G359">
        <v>6</v>
      </c>
      <c r="H359" s="223">
        <v>0</v>
      </c>
      <c r="I359" s="222">
        <v>90</v>
      </c>
      <c r="J359" t="s">
        <v>8418</v>
      </c>
      <c r="K359" t="s">
        <v>8419</v>
      </c>
      <c r="L359" s="118">
        <v>43760</v>
      </c>
      <c r="M359" s="118">
        <v>43765</v>
      </c>
      <c r="N359" t="s">
        <v>8240</v>
      </c>
      <c r="O359" t="s">
        <v>8257</v>
      </c>
      <c r="P359" t="s">
        <v>6984</v>
      </c>
      <c r="Q359" t="str">
        <f>tblSales[[#This Row],[FirstName]]&amp; " " &amp;tblSales[[#This Row],[LastName]]</f>
        <v>Janet Leverling</v>
      </c>
      <c r="R359">
        <f>YEAR(tblSales[[#This Row],[OrderDate]])</f>
        <v>2019</v>
      </c>
      <c r="S359">
        <f>WEEKNUM(tblSales[[#This Row],[OrderDate]])</f>
        <v>43</v>
      </c>
      <c r="T359">
        <f>IF(ISBLANK(tblSales[[#This Row],[ShippedDate]]),"",tblSales[[#This Row],[ShippedDate]]-tblSales[[#This Row],[OrderDate]])</f>
        <v>5</v>
      </c>
      <c r="U359" t="str">
        <f>LEFT(tblSales[[#This Row],[ProductName]],20)</f>
        <v>Outback Lager</v>
      </c>
    </row>
    <row r="360" spans="2:21" x14ac:dyDescent="0.2">
      <c r="B360">
        <v>10517</v>
      </c>
      <c r="C360" t="s">
        <v>8281</v>
      </c>
      <c r="D360" t="s">
        <v>2434</v>
      </c>
      <c r="E360" t="s">
        <v>8237</v>
      </c>
      <c r="F360" s="222">
        <v>55</v>
      </c>
      <c r="G360">
        <v>4</v>
      </c>
      <c r="H360" s="223">
        <v>0</v>
      </c>
      <c r="I360" s="222">
        <v>220</v>
      </c>
      <c r="J360" t="s">
        <v>8418</v>
      </c>
      <c r="K360" t="s">
        <v>8419</v>
      </c>
      <c r="L360" s="118">
        <v>43760</v>
      </c>
      <c r="M360" s="118">
        <v>43765</v>
      </c>
      <c r="N360" t="s">
        <v>8240</v>
      </c>
      <c r="O360" t="s">
        <v>8257</v>
      </c>
      <c r="P360" t="s">
        <v>6984</v>
      </c>
      <c r="Q360" t="str">
        <f>tblSales[[#This Row],[FirstName]]&amp; " " &amp;tblSales[[#This Row],[LastName]]</f>
        <v>Janet Leverling</v>
      </c>
      <c r="R360">
        <f>YEAR(tblSales[[#This Row],[OrderDate]])</f>
        <v>2019</v>
      </c>
      <c r="S360">
        <f>WEEKNUM(tblSales[[#This Row],[OrderDate]])</f>
        <v>43</v>
      </c>
      <c r="T360">
        <f>IF(ISBLANK(tblSales[[#This Row],[ShippedDate]]),"",tblSales[[#This Row],[ShippedDate]]-tblSales[[#This Row],[OrderDate]])</f>
        <v>5</v>
      </c>
      <c r="U360" t="str">
        <f>LEFT(tblSales[[#This Row],[ProductName]],20)</f>
        <v>Raclette Courdavault</v>
      </c>
    </row>
    <row r="361" spans="2:21" x14ac:dyDescent="0.2">
      <c r="B361">
        <v>10517</v>
      </c>
      <c r="C361" t="s">
        <v>8369</v>
      </c>
      <c r="D361" t="s">
        <v>2434</v>
      </c>
      <c r="E361" t="s">
        <v>8244</v>
      </c>
      <c r="F361" s="222">
        <v>7</v>
      </c>
      <c r="G361">
        <v>6</v>
      </c>
      <c r="H361" s="223">
        <v>0</v>
      </c>
      <c r="I361" s="222">
        <v>42</v>
      </c>
      <c r="J361" t="s">
        <v>8418</v>
      </c>
      <c r="K361" t="s">
        <v>8419</v>
      </c>
      <c r="L361" s="118">
        <v>43760</v>
      </c>
      <c r="M361" s="118">
        <v>43765</v>
      </c>
      <c r="N361" t="s">
        <v>8240</v>
      </c>
      <c r="O361" t="s">
        <v>8257</v>
      </c>
      <c r="P361" t="s">
        <v>6984</v>
      </c>
      <c r="Q361" t="str">
        <f>tblSales[[#This Row],[FirstName]]&amp; " " &amp;tblSales[[#This Row],[LastName]]</f>
        <v>Janet Leverling</v>
      </c>
      <c r="R361">
        <f>YEAR(tblSales[[#This Row],[OrderDate]])</f>
        <v>2019</v>
      </c>
      <c r="S361">
        <f>WEEKNUM(tblSales[[#This Row],[OrderDate]])</f>
        <v>43</v>
      </c>
      <c r="T361">
        <f>IF(ISBLANK(tblSales[[#This Row],[ShippedDate]]),"",tblSales[[#This Row],[ShippedDate]]-tblSales[[#This Row],[OrderDate]])</f>
        <v>5</v>
      </c>
      <c r="U361" t="str">
        <f>LEFT(tblSales[[#This Row],[ProductName]],20)</f>
        <v>Filo Mix</v>
      </c>
    </row>
    <row r="362" spans="2:21" x14ac:dyDescent="0.2">
      <c r="B362">
        <v>10516</v>
      </c>
      <c r="C362" t="s">
        <v>8243</v>
      </c>
      <c r="D362" t="s">
        <v>8343</v>
      </c>
      <c r="E362" t="s">
        <v>8244</v>
      </c>
      <c r="F362" s="222">
        <v>14</v>
      </c>
      <c r="G362">
        <v>20</v>
      </c>
      <c r="H362" s="223">
        <v>0</v>
      </c>
      <c r="I362" s="222">
        <v>280</v>
      </c>
      <c r="J362" t="s">
        <v>8344</v>
      </c>
      <c r="K362" t="s">
        <v>8345</v>
      </c>
      <c r="L362" s="118">
        <v>43760</v>
      </c>
      <c r="M362" s="118">
        <v>43767</v>
      </c>
      <c r="N362" t="s">
        <v>8240</v>
      </c>
      <c r="O362" t="s">
        <v>8297</v>
      </c>
      <c r="P362" t="s">
        <v>8298</v>
      </c>
      <c r="Q362" t="str">
        <f>tblSales[[#This Row],[FirstName]]&amp; " " &amp;tblSales[[#This Row],[LastName]]</f>
        <v>Andrew Fuller</v>
      </c>
      <c r="R362">
        <f>YEAR(tblSales[[#This Row],[OrderDate]])</f>
        <v>2019</v>
      </c>
      <c r="S362">
        <f>WEEKNUM(tblSales[[#This Row],[OrderDate]])</f>
        <v>43</v>
      </c>
      <c r="T362">
        <f>IF(ISBLANK(tblSales[[#This Row],[ShippedDate]]),"",tblSales[[#This Row],[ShippedDate]]-tblSales[[#This Row],[OrderDate]])</f>
        <v>7</v>
      </c>
      <c r="U362" t="str">
        <f>LEFT(tblSales[[#This Row],[ProductName]],20)</f>
        <v xml:space="preserve">Singaporean Hokkien </v>
      </c>
    </row>
    <row r="363" spans="2:21" x14ac:dyDescent="0.2">
      <c r="B363">
        <v>10519</v>
      </c>
      <c r="C363" t="s">
        <v>8268</v>
      </c>
      <c r="D363" t="s">
        <v>8271</v>
      </c>
      <c r="E363" t="s">
        <v>8237</v>
      </c>
      <c r="F363" s="222">
        <v>34</v>
      </c>
      <c r="G363">
        <v>10</v>
      </c>
      <c r="H363" s="223">
        <v>5.0000000745058101E-2</v>
      </c>
      <c r="I363" s="222">
        <v>323</v>
      </c>
      <c r="J363" t="s">
        <v>8273</v>
      </c>
      <c r="K363" t="s">
        <v>8274</v>
      </c>
      <c r="L363" s="118">
        <v>43764</v>
      </c>
      <c r="M363" s="118">
        <v>43767</v>
      </c>
      <c r="N363" t="s">
        <v>8240</v>
      </c>
      <c r="O363" t="s">
        <v>8251</v>
      </c>
      <c r="P363" t="s">
        <v>269</v>
      </c>
      <c r="Q363" t="str">
        <f>tblSales[[#This Row],[FirstName]]&amp; " " &amp;tblSales[[#This Row],[LastName]]</f>
        <v>Michael Suyama</v>
      </c>
      <c r="R363">
        <f>YEAR(tblSales[[#This Row],[OrderDate]])</f>
        <v>2019</v>
      </c>
      <c r="S363">
        <f>WEEKNUM(tblSales[[#This Row],[OrderDate]])</f>
        <v>43</v>
      </c>
      <c r="T363">
        <f>IF(ISBLANK(tblSales[[#This Row],[ShippedDate]]),"",tblSales[[#This Row],[ShippedDate]]-tblSales[[#This Row],[OrderDate]])</f>
        <v>3</v>
      </c>
      <c r="U363" t="str">
        <f>LEFT(tblSales[[#This Row],[ProductName]],20)</f>
        <v>Camembert Pierrot</v>
      </c>
    </row>
    <row r="364" spans="2:21" x14ac:dyDescent="0.2">
      <c r="B364">
        <v>10519</v>
      </c>
      <c r="C364" t="s">
        <v>8341</v>
      </c>
      <c r="D364" t="s">
        <v>8271</v>
      </c>
      <c r="E364" t="s">
        <v>8244</v>
      </c>
      <c r="F364" s="222">
        <v>38</v>
      </c>
      <c r="G364">
        <v>40</v>
      </c>
      <c r="H364" s="223">
        <v>0</v>
      </c>
      <c r="I364" s="222">
        <v>1520</v>
      </c>
      <c r="J364" t="s">
        <v>8273</v>
      </c>
      <c r="K364" t="s">
        <v>8274</v>
      </c>
      <c r="L364" s="118">
        <v>43764</v>
      </c>
      <c r="M364" s="118">
        <v>43767</v>
      </c>
      <c r="N364" t="s">
        <v>8240</v>
      </c>
      <c r="O364" t="s">
        <v>8251</v>
      </c>
      <c r="P364" t="s">
        <v>269</v>
      </c>
      <c r="Q364" t="str">
        <f>tblSales[[#This Row],[FirstName]]&amp; " " &amp;tblSales[[#This Row],[LastName]]</f>
        <v>Michael Suyama</v>
      </c>
      <c r="R364">
        <f>YEAR(tblSales[[#This Row],[OrderDate]])</f>
        <v>2019</v>
      </c>
      <c r="S364">
        <f>WEEKNUM(tblSales[[#This Row],[OrderDate]])</f>
        <v>43</v>
      </c>
      <c r="T364">
        <f>IF(ISBLANK(tblSales[[#This Row],[ShippedDate]]),"",tblSales[[#This Row],[ShippedDate]]-tblSales[[#This Row],[OrderDate]])</f>
        <v>3</v>
      </c>
      <c r="U364" t="str">
        <f>LEFT(tblSales[[#This Row],[ProductName]],20)</f>
        <v>Gnocchi di nonna Ali</v>
      </c>
    </row>
    <row r="365" spans="2:21" x14ac:dyDescent="0.2">
      <c r="B365">
        <v>10520</v>
      </c>
      <c r="C365" t="s">
        <v>8270</v>
      </c>
      <c r="D365" t="s">
        <v>8403</v>
      </c>
      <c r="E365" t="s">
        <v>8272</v>
      </c>
      <c r="F365" s="222">
        <v>4.5</v>
      </c>
      <c r="G365">
        <v>8</v>
      </c>
      <c r="H365" s="223">
        <v>0</v>
      </c>
      <c r="I365" s="222">
        <v>36</v>
      </c>
      <c r="J365" t="s">
        <v>8404</v>
      </c>
      <c r="K365" t="s">
        <v>8405</v>
      </c>
      <c r="L365" s="118">
        <v>43765</v>
      </c>
      <c r="M365" s="118">
        <v>43767</v>
      </c>
      <c r="N365" t="s">
        <v>8250</v>
      </c>
      <c r="O365" t="s">
        <v>8158</v>
      </c>
      <c r="P365" t="s">
        <v>861</v>
      </c>
      <c r="Q365" t="str">
        <f>tblSales[[#This Row],[FirstName]]&amp; " " &amp;tblSales[[#This Row],[LastName]]</f>
        <v>Robert King</v>
      </c>
      <c r="R365">
        <f>YEAR(tblSales[[#This Row],[OrderDate]])</f>
        <v>2019</v>
      </c>
      <c r="S365">
        <f>WEEKNUM(tblSales[[#This Row],[OrderDate]])</f>
        <v>44</v>
      </c>
      <c r="T365">
        <f>IF(ISBLANK(tblSales[[#This Row],[ShippedDate]]),"",tblSales[[#This Row],[ShippedDate]]-tblSales[[#This Row],[OrderDate]])</f>
        <v>2</v>
      </c>
      <c r="U365" t="str">
        <f>LEFT(tblSales[[#This Row],[ProductName]],20)</f>
        <v>Guaraná Fantástica</v>
      </c>
    </row>
    <row r="366" spans="2:21" x14ac:dyDescent="0.2">
      <c r="B366">
        <v>10522</v>
      </c>
      <c r="C366" t="s">
        <v>8333</v>
      </c>
      <c r="D366" t="s">
        <v>8246</v>
      </c>
      <c r="E366" t="s">
        <v>8272</v>
      </c>
      <c r="F366" s="222">
        <v>18</v>
      </c>
      <c r="G366">
        <v>40</v>
      </c>
      <c r="H366" s="223">
        <v>0.20000000298023199</v>
      </c>
      <c r="I366" s="222">
        <v>576</v>
      </c>
      <c r="J366" t="s">
        <v>8330</v>
      </c>
      <c r="K366" t="s">
        <v>8331</v>
      </c>
      <c r="L366" s="118">
        <v>43766</v>
      </c>
      <c r="M366" s="118">
        <v>43772</v>
      </c>
      <c r="N366" t="s">
        <v>8250</v>
      </c>
      <c r="O366" t="s">
        <v>8266</v>
      </c>
      <c r="P366" t="s">
        <v>8267</v>
      </c>
      <c r="Q366" t="str">
        <f>tblSales[[#This Row],[FirstName]]&amp; " " &amp;tblSales[[#This Row],[LastName]]</f>
        <v>Margaret Peacock</v>
      </c>
      <c r="R366">
        <f>YEAR(tblSales[[#This Row],[OrderDate]])</f>
        <v>2019</v>
      </c>
      <c r="S366">
        <f>WEEKNUM(tblSales[[#This Row],[OrderDate]])</f>
        <v>44</v>
      </c>
      <c r="T366">
        <f>IF(ISBLANK(tblSales[[#This Row],[ShippedDate]]),"",tblSales[[#This Row],[ShippedDate]]-tblSales[[#This Row],[OrderDate]])</f>
        <v>6</v>
      </c>
      <c r="U366" t="str">
        <f>LEFT(tblSales[[#This Row],[ProductName]],20)</f>
        <v>Chai</v>
      </c>
    </row>
    <row r="367" spans="2:21" x14ac:dyDescent="0.2">
      <c r="B367">
        <v>10522</v>
      </c>
      <c r="C367" t="s">
        <v>8379</v>
      </c>
      <c r="D367" t="s">
        <v>8246</v>
      </c>
      <c r="E367" t="s">
        <v>8254</v>
      </c>
      <c r="F367" s="222">
        <v>40</v>
      </c>
      <c r="G367">
        <v>24</v>
      </c>
      <c r="H367" s="223">
        <v>0</v>
      </c>
      <c r="I367" s="222">
        <v>960</v>
      </c>
      <c r="J367" t="s">
        <v>8330</v>
      </c>
      <c r="K367" t="s">
        <v>8331</v>
      </c>
      <c r="L367" s="118">
        <v>43766</v>
      </c>
      <c r="M367" s="118">
        <v>43772</v>
      </c>
      <c r="N367" t="s">
        <v>8250</v>
      </c>
      <c r="O367" t="s">
        <v>8266</v>
      </c>
      <c r="P367" t="s">
        <v>8267</v>
      </c>
      <c r="Q367" t="str">
        <f>tblSales[[#This Row],[FirstName]]&amp; " " &amp;tblSales[[#This Row],[LastName]]</f>
        <v>Margaret Peacock</v>
      </c>
      <c r="R367">
        <f>YEAR(tblSales[[#This Row],[OrderDate]])</f>
        <v>2019</v>
      </c>
      <c r="S367">
        <f>WEEKNUM(tblSales[[#This Row],[OrderDate]])</f>
        <v>44</v>
      </c>
      <c r="T367">
        <f>IF(ISBLANK(tblSales[[#This Row],[ShippedDate]]),"",tblSales[[#This Row],[ShippedDate]]-tblSales[[#This Row],[OrderDate]])</f>
        <v>6</v>
      </c>
      <c r="U367" t="str">
        <f>LEFT(tblSales[[#This Row],[ProductName]],20)</f>
        <v>Northwoods Cranberry</v>
      </c>
    </row>
    <row r="368" spans="2:21" x14ac:dyDescent="0.2">
      <c r="B368">
        <v>10524</v>
      </c>
      <c r="C368" t="s">
        <v>8306</v>
      </c>
      <c r="D368" t="s">
        <v>8292</v>
      </c>
      <c r="E368" t="s">
        <v>8272</v>
      </c>
      <c r="F368" s="222">
        <v>46</v>
      </c>
      <c r="G368">
        <v>60</v>
      </c>
      <c r="H368" s="223">
        <v>0</v>
      </c>
      <c r="I368" s="222">
        <v>2760</v>
      </c>
      <c r="J368" t="s">
        <v>8318</v>
      </c>
      <c r="K368" t="s">
        <v>8319</v>
      </c>
      <c r="L368" s="118">
        <v>43767</v>
      </c>
      <c r="M368" s="118">
        <v>43773</v>
      </c>
      <c r="N368" t="s">
        <v>8265</v>
      </c>
      <c r="O368" t="s">
        <v>8285</v>
      </c>
      <c r="P368" t="s">
        <v>2317</v>
      </c>
      <c r="Q368" t="str">
        <f>tblSales[[#This Row],[FirstName]]&amp; " " &amp;tblSales[[#This Row],[LastName]]</f>
        <v>Nancy Davolio</v>
      </c>
      <c r="R368">
        <f>YEAR(tblSales[[#This Row],[OrderDate]])</f>
        <v>2019</v>
      </c>
      <c r="S368">
        <f>WEEKNUM(tblSales[[#This Row],[OrderDate]])</f>
        <v>44</v>
      </c>
      <c r="T368">
        <f>IF(ISBLANK(tblSales[[#This Row],[ShippedDate]]),"",tblSales[[#This Row],[ShippedDate]]-tblSales[[#This Row],[OrderDate]])</f>
        <v>6</v>
      </c>
      <c r="U368" t="str">
        <f>LEFT(tblSales[[#This Row],[ProductName]],20)</f>
        <v>Ipoh Coffee</v>
      </c>
    </row>
    <row r="369" spans="2:21" x14ac:dyDescent="0.2">
      <c r="B369">
        <v>10523</v>
      </c>
      <c r="C369" t="s">
        <v>8260</v>
      </c>
      <c r="D369" t="s">
        <v>2434</v>
      </c>
      <c r="E369" t="s">
        <v>8262</v>
      </c>
      <c r="F369" s="222">
        <v>81</v>
      </c>
      <c r="G369">
        <v>15</v>
      </c>
      <c r="H369" s="223">
        <v>0.10000000149011599</v>
      </c>
      <c r="I369" s="222">
        <v>1093.5</v>
      </c>
      <c r="J369" t="s">
        <v>8388</v>
      </c>
      <c r="K369" t="s">
        <v>8389</v>
      </c>
      <c r="L369" s="118">
        <v>43767</v>
      </c>
      <c r="M369" s="118">
        <v>43796</v>
      </c>
      <c r="N369" t="s">
        <v>8265</v>
      </c>
      <c r="O369" t="s">
        <v>8158</v>
      </c>
      <c r="P369" t="s">
        <v>861</v>
      </c>
      <c r="Q369" t="str">
        <f>tblSales[[#This Row],[FirstName]]&amp; " " &amp;tblSales[[#This Row],[LastName]]</f>
        <v>Robert King</v>
      </c>
      <c r="R369">
        <f>YEAR(tblSales[[#This Row],[OrderDate]])</f>
        <v>2019</v>
      </c>
      <c r="S369">
        <f>WEEKNUM(tblSales[[#This Row],[OrderDate]])</f>
        <v>44</v>
      </c>
      <c r="T369">
        <f>IF(ISBLANK(tblSales[[#This Row],[ShippedDate]]),"",tblSales[[#This Row],[ShippedDate]]-tblSales[[#This Row],[OrderDate]])</f>
        <v>29</v>
      </c>
      <c r="U369" t="str">
        <f>LEFT(tblSales[[#This Row],[ProductName]],20)</f>
        <v>Sir Rodney's Marmala</v>
      </c>
    </row>
    <row r="370" spans="2:21" x14ac:dyDescent="0.2">
      <c r="B370">
        <v>10527</v>
      </c>
      <c r="C370" t="s">
        <v>8352</v>
      </c>
      <c r="D370" t="s">
        <v>8246</v>
      </c>
      <c r="E370" t="s">
        <v>8254</v>
      </c>
      <c r="F370" s="222">
        <v>22</v>
      </c>
      <c r="G370">
        <v>50</v>
      </c>
      <c r="H370" s="223">
        <v>0.10000000149011599</v>
      </c>
      <c r="I370" s="222">
        <v>990</v>
      </c>
      <c r="J370" t="s">
        <v>8307</v>
      </c>
      <c r="K370" t="s">
        <v>8308</v>
      </c>
      <c r="L370" s="118">
        <v>43771</v>
      </c>
      <c r="M370" s="118">
        <v>43773</v>
      </c>
      <c r="N370" t="s">
        <v>8250</v>
      </c>
      <c r="O370" t="s">
        <v>8158</v>
      </c>
      <c r="P370" t="s">
        <v>861</v>
      </c>
      <c r="Q370" t="str">
        <f>tblSales[[#This Row],[FirstName]]&amp; " " &amp;tblSales[[#This Row],[LastName]]</f>
        <v>Robert King</v>
      </c>
      <c r="R370">
        <f>YEAR(tblSales[[#This Row],[OrderDate]])</f>
        <v>2019</v>
      </c>
      <c r="S370">
        <f>WEEKNUM(tblSales[[#This Row],[OrderDate]])</f>
        <v>44</v>
      </c>
      <c r="T370">
        <f>IF(ISBLANK(tblSales[[#This Row],[ShippedDate]]),"",tblSales[[#This Row],[ShippedDate]]-tblSales[[#This Row],[OrderDate]])</f>
        <v>2</v>
      </c>
      <c r="U370" t="str">
        <f>LEFT(tblSales[[#This Row],[ProductName]],20)</f>
        <v>Chef Anton's Cajun S</v>
      </c>
    </row>
    <row r="371" spans="2:21" x14ac:dyDescent="0.2">
      <c r="B371">
        <v>10526</v>
      </c>
      <c r="C371" t="s">
        <v>8333</v>
      </c>
      <c r="D371" t="s">
        <v>8300</v>
      </c>
      <c r="E371" t="s">
        <v>8272</v>
      </c>
      <c r="F371" s="222">
        <v>18</v>
      </c>
      <c r="G371">
        <v>8</v>
      </c>
      <c r="H371" s="223">
        <v>0.15000000596046401</v>
      </c>
      <c r="I371" s="222">
        <v>122.4</v>
      </c>
      <c r="J371" t="s">
        <v>8301</v>
      </c>
      <c r="K371" t="s">
        <v>8302</v>
      </c>
      <c r="L371" s="118">
        <v>43771</v>
      </c>
      <c r="M371" s="118">
        <v>43781</v>
      </c>
      <c r="N371" t="s">
        <v>8265</v>
      </c>
      <c r="O371" t="s">
        <v>8266</v>
      </c>
      <c r="P371" t="s">
        <v>8267</v>
      </c>
      <c r="Q371" t="str">
        <f>tblSales[[#This Row],[FirstName]]&amp; " " &amp;tblSales[[#This Row],[LastName]]</f>
        <v>Margaret Peacock</v>
      </c>
      <c r="R371">
        <f>YEAR(tblSales[[#This Row],[OrderDate]])</f>
        <v>2019</v>
      </c>
      <c r="S371">
        <f>WEEKNUM(tblSales[[#This Row],[OrderDate]])</f>
        <v>44</v>
      </c>
      <c r="T371">
        <f>IF(ISBLANK(tblSales[[#This Row],[ShippedDate]]),"",tblSales[[#This Row],[ShippedDate]]-tblSales[[#This Row],[OrderDate]])</f>
        <v>10</v>
      </c>
      <c r="U371" t="str">
        <f>LEFT(tblSales[[#This Row],[ProductName]],20)</f>
        <v>Chai</v>
      </c>
    </row>
    <row r="372" spans="2:21" x14ac:dyDescent="0.2">
      <c r="B372">
        <v>10526</v>
      </c>
      <c r="C372" t="s">
        <v>8341</v>
      </c>
      <c r="D372" t="s">
        <v>8300</v>
      </c>
      <c r="E372" t="s">
        <v>8244</v>
      </c>
      <c r="F372" s="222">
        <v>38</v>
      </c>
      <c r="G372">
        <v>30</v>
      </c>
      <c r="H372" s="223">
        <v>0.15000000596046401</v>
      </c>
      <c r="I372" s="222">
        <v>969</v>
      </c>
      <c r="J372" t="s">
        <v>8301</v>
      </c>
      <c r="K372" t="s">
        <v>8302</v>
      </c>
      <c r="L372" s="118">
        <v>43771</v>
      </c>
      <c r="M372" s="118">
        <v>43781</v>
      </c>
      <c r="N372" t="s">
        <v>8265</v>
      </c>
      <c r="O372" t="s">
        <v>8266</v>
      </c>
      <c r="P372" t="s">
        <v>8267</v>
      </c>
      <c r="Q372" t="str">
        <f>tblSales[[#This Row],[FirstName]]&amp; " " &amp;tblSales[[#This Row],[LastName]]</f>
        <v>Margaret Peacock</v>
      </c>
      <c r="R372">
        <f>YEAR(tblSales[[#This Row],[OrderDate]])</f>
        <v>2019</v>
      </c>
      <c r="S372">
        <f>WEEKNUM(tblSales[[#This Row],[OrderDate]])</f>
        <v>44</v>
      </c>
      <c r="T372">
        <f>IF(ISBLANK(tblSales[[#This Row],[ShippedDate]]),"",tblSales[[#This Row],[ShippedDate]]-tblSales[[#This Row],[OrderDate]])</f>
        <v>10</v>
      </c>
      <c r="U372" t="str">
        <f>LEFT(tblSales[[#This Row],[ProductName]],20)</f>
        <v>Gnocchi di nonna Ali</v>
      </c>
    </row>
    <row r="373" spans="2:21" x14ac:dyDescent="0.2">
      <c r="B373">
        <v>10529</v>
      </c>
      <c r="C373" t="s">
        <v>8334</v>
      </c>
      <c r="D373" t="s">
        <v>8261</v>
      </c>
      <c r="E373" t="s">
        <v>8262</v>
      </c>
      <c r="F373" s="222">
        <v>12.5</v>
      </c>
      <c r="G373">
        <v>20</v>
      </c>
      <c r="H373" s="223">
        <v>0</v>
      </c>
      <c r="I373" s="222">
        <v>250</v>
      </c>
      <c r="J373" t="s">
        <v>8420</v>
      </c>
      <c r="K373" t="s">
        <v>8421</v>
      </c>
      <c r="L373" s="118">
        <v>43773</v>
      </c>
      <c r="M373" s="118">
        <v>43775</v>
      </c>
      <c r="N373" t="s">
        <v>8265</v>
      </c>
      <c r="O373" t="s">
        <v>8241</v>
      </c>
      <c r="P373" t="s">
        <v>6934</v>
      </c>
      <c r="Q373" t="str">
        <f>tblSales[[#This Row],[FirstName]]&amp; " " &amp;tblSales[[#This Row],[LastName]]</f>
        <v>Steven Buchanan</v>
      </c>
      <c r="R373">
        <f>YEAR(tblSales[[#This Row],[OrderDate]])</f>
        <v>2019</v>
      </c>
      <c r="S373">
        <f>WEEKNUM(tblSales[[#This Row],[OrderDate]])</f>
        <v>45</v>
      </c>
      <c r="T373">
        <f>IF(ISBLANK(tblSales[[#This Row],[ShippedDate]]),"",tblSales[[#This Row],[ShippedDate]]-tblSales[[#This Row],[OrderDate]])</f>
        <v>2</v>
      </c>
      <c r="U373" t="str">
        <f>LEFT(tblSales[[#This Row],[ProductName]],20)</f>
        <v>Scottish Longbreads</v>
      </c>
    </row>
    <row r="374" spans="2:21" x14ac:dyDescent="0.2">
      <c r="B374">
        <v>10529</v>
      </c>
      <c r="C374" t="s">
        <v>8353</v>
      </c>
      <c r="D374" t="s">
        <v>8261</v>
      </c>
      <c r="E374" t="s">
        <v>8237</v>
      </c>
      <c r="F374" s="222">
        <v>36</v>
      </c>
      <c r="G374">
        <v>10</v>
      </c>
      <c r="H374" s="223">
        <v>0</v>
      </c>
      <c r="I374" s="222">
        <v>360</v>
      </c>
      <c r="J374" t="s">
        <v>8420</v>
      </c>
      <c r="K374" t="s">
        <v>8421</v>
      </c>
      <c r="L374" s="118">
        <v>43773</v>
      </c>
      <c r="M374" s="118">
        <v>43775</v>
      </c>
      <c r="N374" t="s">
        <v>8265</v>
      </c>
      <c r="O374" t="s">
        <v>8241</v>
      </c>
      <c r="P374" t="s">
        <v>6934</v>
      </c>
      <c r="Q374" t="str">
        <f>tblSales[[#This Row],[FirstName]]&amp; " " &amp;tblSales[[#This Row],[LastName]]</f>
        <v>Steven Buchanan</v>
      </c>
      <c r="R374">
        <f>YEAR(tblSales[[#This Row],[OrderDate]])</f>
        <v>2019</v>
      </c>
      <c r="S374">
        <f>WEEKNUM(tblSales[[#This Row],[OrderDate]])</f>
        <v>45</v>
      </c>
      <c r="T374">
        <f>IF(ISBLANK(tblSales[[#This Row],[ShippedDate]]),"",tblSales[[#This Row],[ShippedDate]]-tblSales[[#This Row],[OrderDate]])</f>
        <v>2</v>
      </c>
      <c r="U374" t="str">
        <f>LEFT(tblSales[[#This Row],[ProductName]],20)</f>
        <v>Gudbrandsdalsost</v>
      </c>
    </row>
    <row r="375" spans="2:21" x14ac:dyDescent="0.2">
      <c r="B375">
        <v>10530</v>
      </c>
      <c r="C375" t="s">
        <v>8306</v>
      </c>
      <c r="D375" t="s">
        <v>8282</v>
      </c>
      <c r="E375" t="s">
        <v>8272</v>
      </c>
      <c r="F375" s="222">
        <v>46</v>
      </c>
      <c r="G375">
        <v>25</v>
      </c>
      <c r="H375" s="223">
        <v>0</v>
      </c>
      <c r="I375" s="222">
        <v>1150</v>
      </c>
      <c r="J375" t="s">
        <v>8384</v>
      </c>
      <c r="K375" t="s">
        <v>8385</v>
      </c>
      <c r="L375" s="118">
        <v>43774</v>
      </c>
      <c r="M375" s="118">
        <v>43778</v>
      </c>
      <c r="N375" t="s">
        <v>8265</v>
      </c>
      <c r="O375" t="s">
        <v>8257</v>
      </c>
      <c r="P375" t="s">
        <v>6984</v>
      </c>
      <c r="Q375" t="str">
        <f>tblSales[[#This Row],[FirstName]]&amp; " " &amp;tblSales[[#This Row],[LastName]]</f>
        <v>Janet Leverling</v>
      </c>
      <c r="R375">
        <f>YEAR(tblSales[[#This Row],[OrderDate]])</f>
        <v>2019</v>
      </c>
      <c r="S375">
        <f>WEEKNUM(tblSales[[#This Row],[OrderDate]])</f>
        <v>45</v>
      </c>
      <c r="T375">
        <f>IF(ISBLANK(tblSales[[#This Row],[ShippedDate]]),"",tblSales[[#This Row],[ShippedDate]]-tblSales[[#This Row],[OrderDate]])</f>
        <v>4</v>
      </c>
      <c r="U375" t="str">
        <f>LEFT(tblSales[[#This Row],[ProductName]],20)</f>
        <v>Ipoh Coffee</v>
      </c>
    </row>
    <row r="376" spans="2:21" x14ac:dyDescent="0.2">
      <c r="B376">
        <v>10530</v>
      </c>
      <c r="C376" t="s">
        <v>8303</v>
      </c>
      <c r="D376" t="s">
        <v>8282</v>
      </c>
      <c r="E376" t="s">
        <v>8272</v>
      </c>
      <c r="F376" s="222">
        <v>18</v>
      </c>
      <c r="G376">
        <v>50</v>
      </c>
      <c r="H376" s="223">
        <v>0</v>
      </c>
      <c r="I376" s="222">
        <v>900</v>
      </c>
      <c r="J376" t="s">
        <v>8384</v>
      </c>
      <c r="K376" t="s">
        <v>8385</v>
      </c>
      <c r="L376" s="118">
        <v>43774</v>
      </c>
      <c r="M376" s="118">
        <v>43778</v>
      </c>
      <c r="N376" t="s">
        <v>8265</v>
      </c>
      <c r="O376" t="s">
        <v>8257</v>
      </c>
      <c r="P376" t="s">
        <v>6984</v>
      </c>
      <c r="Q376" t="str">
        <f>tblSales[[#This Row],[FirstName]]&amp; " " &amp;tblSales[[#This Row],[LastName]]</f>
        <v>Janet Leverling</v>
      </c>
      <c r="R376">
        <f>YEAR(tblSales[[#This Row],[OrderDate]])</f>
        <v>2019</v>
      </c>
      <c r="S376">
        <f>WEEKNUM(tblSales[[#This Row],[OrderDate]])</f>
        <v>45</v>
      </c>
      <c r="T376">
        <f>IF(ISBLANK(tblSales[[#This Row],[ShippedDate]]),"",tblSales[[#This Row],[ShippedDate]]-tblSales[[#This Row],[OrderDate]])</f>
        <v>4</v>
      </c>
      <c r="U376" t="str">
        <f>LEFT(tblSales[[#This Row],[ProductName]],20)</f>
        <v>Lakkalikööri</v>
      </c>
    </row>
    <row r="377" spans="2:21" x14ac:dyDescent="0.2">
      <c r="B377">
        <v>10530</v>
      </c>
      <c r="C377" t="s">
        <v>8409</v>
      </c>
      <c r="D377" t="s">
        <v>8282</v>
      </c>
      <c r="E377" t="s">
        <v>8254</v>
      </c>
      <c r="F377" s="222">
        <v>28.5</v>
      </c>
      <c r="G377">
        <v>20</v>
      </c>
      <c r="H377" s="223">
        <v>0</v>
      </c>
      <c r="I377" s="222">
        <v>570</v>
      </c>
      <c r="J377" t="s">
        <v>8384</v>
      </c>
      <c r="K377" t="s">
        <v>8385</v>
      </c>
      <c r="L377" s="118">
        <v>43774</v>
      </c>
      <c r="M377" s="118">
        <v>43778</v>
      </c>
      <c r="N377" t="s">
        <v>8265</v>
      </c>
      <c r="O377" t="s">
        <v>8257</v>
      </c>
      <c r="P377" t="s">
        <v>6984</v>
      </c>
      <c r="Q377" t="str">
        <f>tblSales[[#This Row],[FirstName]]&amp; " " &amp;tblSales[[#This Row],[LastName]]</f>
        <v>Janet Leverling</v>
      </c>
      <c r="R377">
        <f>YEAR(tblSales[[#This Row],[OrderDate]])</f>
        <v>2019</v>
      </c>
      <c r="S377">
        <f>WEEKNUM(tblSales[[#This Row],[OrderDate]])</f>
        <v>45</v>
      </c>
      <c r="T377">
        <f>IF(ISBLANK(tblSales[[#This Row],[ShippedDate]]),"",tblSales[[#This Row],[ShippedDate]]-tblSales[[#This Row],[OrderDate]])</f>
        <v>4</v>
      </c>
      <c r="U377" t="str">
        <f>LEFT(tblSales[[#This Row],[ProductName]],20)</f>
        <v>Sirop d'érable</v>
      </c>
    </row>
    <row r="378" spans="2:21" x14ac:dyDescent="0.2">
      <c r="B378">
        <v>10532</v>
      </c>
      <c r="C378" t="s">
        <v>8348</v>
      </c>
      <c r="D378" t="s">
        <v>2434</v>
      </c>
      <c r="E378" t="s">
        <v>8254</v>
      </c>
      <c r="F378" s="222">
        <v>17</v>
      </c>
      <c r="G378">
        <v>24</v>
      </c>
      <c r="H378" s="223">
        <v>0</v>
      </c>
      <c r="I378" s="222">
        <v>408</v>
      </c>
      <c r="J378" t="s">
        <v>8393</v>
      </c>
      <c r="K378" t="s">
        <v>8394</v>
      </c>
      <c r="L378" s="118">
        <v>43775</v>
      </c>
      <c r="M378" s="118">
        <v>43778</v>
      </c>
      <c r="N378" t="s">
        <v>8240</v>
      </c>
      <c r="O378" t="s">
        <v>8158</v>
      </c>
      <c r="P378" t="s">
        <v>861</v>
      </c>
      <c r="Q378" t="str">
        <f>tblSales[[#This Row],[FirstName]]&amp; " " &amp;tblSales[[#This Row],[LastName]]</f>
        <v>Robert King</v>
      </c>
      <c r="R378">
        <f>YEAR(tblSales[[#This Row],[OrderDate]])</f>
        <v>2019</v>
      </c>
      <c r="S378">
        <f>WEEKNUM(tblSales[[#This Row],[OrderDate]])</f>
        <v>45</v>
      </c>
      <c r="T378">
        <f>IF(ISBLANK(tblSales[[#This Row],[ShippedDate]]),"",tblSales[[#This Row],[ShippedDate]]-tblSales[[#This Row],[OrderDate]])</f>
        <v>3</v>
      </c>
      <c r="U378" t="str">
        <f>LEFT(tblSales[[#This Row],[ProductName]],20)</f>
        <v>Louisiana Hot Spiced</v>
      </c>
    </row>
    <row r="379" spans="2:21" x14ac:dyDescent="0.2">
      <c r="B379">
        <v>11095</v>
      </c>
      <c r="C379" t="s">
        <v>8334</v>
      </c>
      <c r="D379" t="s">
        <v>8236</v>
      </c>
      <c r="E379" t="s">
        <v>8262</v>
      </c>
      <c r="F379" s="222">
        <v>10</v>
      </c>
      <c r="G379">
        <v>10</v>
      </c>
      <c r="H379" s="223">
        <v>0</v>
      </c>
      <c r="I379" s="222">
        <v>100</v>
      </c>
      <c r="J379" t="s">
        <v>8255</v>
      </c>
      <c r="K379" t="s">
        <v>8256</v>
      </c>
      <c r="L379" s="118">
        <v>43775</v>
      </c>
      <c r="M379" s="118">
        <v>43782</v>
      </c>
      <c r="N379" t="s">
        <v>8265</v>
      </c>
      <c r="O379" t="s">
        <v>8320</v>
      </c>
      <c r="P379" t="s">
        <v>8321</v>
      </c>
      <c r="Q379" t="str">
        <f>tblSales[[#This Row],[FirstName]]&amp; " " &amp;tblSales[[#This Row],[LastName]]</f>
        <v>Laura Callahan</v>
      </c>
      <c r="R379">
        <f>YEAR(tblSales[[#This Row],[OrderDate]])</f>
        <v>2019</v>
      </c>
      <c r="S379">
        <f>WEEKNUM(tblSales[[#This Row],[OrderDate]])</f>
        <v>45</v>
      </c>
      <c r="T379">
        <f>IF(ISBLANK(tblSales[[#This Row],[ShippedDate]]),"",tblSales[[#This Row],[ShippedDate]]-tblSales[[#This Row],[OrderDate]])</f>
        <v>7</v>
      </c>
      <c r="U379" t="str">
        <f>LEFT(tblSales[[#This Row],[ProductName]],20)</f>
        <v>Scottish Longbreads</v>
      </c>
    </row>
    <row r="380" spans="2:21" x14ac:dyDescent="0.2">
      <c r="B380">
        <v>11095</v>
      </c>
      <c r="C380" t="s">
        <v>8369</v>
      </c>
      <c r="D380" t="s">
        <v>8236</v>
      </c>
      <c r="E380" t="s">
        <v>8244</v>
      </c>
      <c r="F380" s="222">
        <v>5.6</v>
      </c>
      <c r="G380">
        <v>8</v>
      </c>
      <c r="H380" s="223">
        <v>0</v>
      </c>
      <c r="I380" s="222">
        <v>44.8</v>
      </c>
      <c r="J380" t="s">
        <v>8255</v>
      </c>
      <c r="K380" t="s">
        <v>8256</v>
      </c>
      <c r="L380" s="118">
        <v>43775</v>
      </c>
      <c r="M380" s="118">
        <v>43782</v>
      </c>
      <c r="N380" t="s">
        <v>8265</v>
      </c>
      <c r="O380" t="s">
        <v>8320</v>
      </c>
      <c r="P380" t="s">
        <v>8321</v>
      </c>
      <c r="Q380" t="str">
        <f>tblSales[[#This Row],[FirstName]]&amp; " " &amp;tblSales[[#This Row],[LastName]]</f>
        <v>Laura Callahan</v>
      </c>
      <c r="R380">
        <f>YEAR(tblSales[[#This Row],[OrderDate]])</f>
        <v>2019</v>
      </c>
      <c r="S380">
        <f>WEEKNUM(tblSales[[#This Row],[OrderDate]])</f>
        <v>45</v>
      </c>
      <c r="T380">
        <f>IF(ISBLANK(tblSales[[#This Row],[ShippedDate]]),"",tblSales[[#This Row],[ShippedDate]]-tblSales[[#This Row],[OrderDate]])</f>
        <v>7</v>
      </c>
      <c r="U380" t="str">
        <f>LEFT(tblSales[[#This Row],[ProductName]],20)</f>
        <v>Filo Mix</v>
      </c>
    </row>
    <row r="381" spans="2:21" x14ac:dyDescent="0.2">
      <c r="B381">
        <v>10533</v>
      </c>
      <c r="C381" t="s">
        <v>8352</v>
      </c>
      <c r="D381" t="s">
        <v>8292</v>
      </c>
      <c r="E381" t="s">
        <v>8254</v>
      </c>
      <c r="F381" s="222">
        <v>22</v>
      </c>
      <c r="G381">
        <v>50</v>
      </c>
      <c r="H381" s="223">
        <v>5.0000000745058101E-2</v>
      </c>
      <c r="I381" s="222">
        <v>1045</v>
      </c>
      <c r="J381" t="s">
        <v>8293</v>
      </c>
      <c r="K381" t="s">
        <v>8294</v>
      </c>
      <c r="L381" s="118">
        <v>43778</v>
      </c>
      <c r="M381" s="118">
        <v>43788</v>
      </c>
      <c r="N381" t="s">
        <v>8250</v>
      </c>
      <c r="O381" t="s">
        <v>8320</v>
      </c>
      <c r="P381" t="s">
        <v>8321</v>
      </c>
      <c r="Q381" t="str">
        <f>tblSales[[#This Row],[FirstName]]&amp; " " &amp;tblSales[[#This Row],[LastName]]</f>
        <v>Laura Callahan</v>
      </c>
      <c r="R381">
        <f>YEAR(tblSales[[#This Row],[OrderDate]])</f>
        <v>2019</v>
      </c>
      <c r="S381">
        <f>WEEKNUM(tblSales[[#This Row],[OrderDate]])</f>
        <v>45</v>
      </c>
      <c r="T381">
        <f>IF(ISBLANK(tblSales[[#This Row],[ShippedDate]]),"",tblSales[[#This Row],[ShippedDate]]-tblSales[[#This Row],[OrderDate]])</f>
        <v>10</v>
      </c>
      <c r="U381" t="str">
        <f>LEFT(tblSales[[#This Row],[ProductName]],20)</f>
        <v>Chef Anton's Cajun S</v>
      </c>
    </row>
    <row r="382" spans="2:21" x14ac:dyDescent="0.2">
      <c r="B382">
        <v>10533</v>
      </c>
      <c r="C382" t="s">
        <v>8235</v>
      </c>
      <c r="D382" t="s">
        <v>8292</v>
      </c>
      <c r="E382" t="s">
        <v>8237</v>
      </c>
      <c r="F382" s="222">
        <v>34.799999999999997</v>
      </c>
      <c r="G382">
        <v>24</v>
      </c>
      <c r="H382" s="223">
        <v>0</v>
      </c>
      <c r="I382" s="222">
        <v>835.2</v>
      </c>
      <c r="J382" t="s">
        <v>8293</v>
      </c>
      <c r="K382" t="s">
        <v>8294</v>
      </c>
      <c r="L382" s="118">
        <v>43778</v>
      </c>
      <c r="M382" s="118">
        <v>43788</v>
      </c>
      <c r="N382" t="s">
        <v>8250</v>
      </c>
      <c r="O382" t="s">
        <v>8320</v>
      </c>
      <c r="P382" t="s">
        <v>8321</v>
      </c>
      <c r="Q382" t="str">
        <f>tblSales[[#This Row],[FirstName]]&amp; " " &amp;tblSales[[#This Row],[LastName]]</f>
        <v>Laura Callahan</v>
      </c>
      <c r="R382">
        <f>YEAR(tblSales[[#This Row],[OrderDate]])</f>
        <v>2019</v>
      </c>
      <c r="S382">
        <f>WEEKNUM(tblSales[[#This Row],[OrderDate]])</f>
        <v>45</v>
      </c>
      <c r="T382">
        <f>IF(ISBLANK(tblSales[[#This Row],[ShippedDate]]),"",tblSales[[#This Row],[ShippedDate]]-tblSales[[#This Row],[OrderDate]])</f>
        <v>10</v>
      </c>
      <c r="U382" t="str">
        <f>LEFT(tblSales[[#This Row],[ProductName]],20)</f>
        <v>Mozzarella di Giovan</v>
      </c>
    </row>
    <row r="383" spans="2:21" x14ac:dyDescent="0.2">
      <c r="B383">
        <v>10537</v>
      </c>
      <c r="C383" t="s">
        <v>8235</v>
      </c>
      <c r="D383" t="s">
        <v>8271</v>
      </c>
      <c r="E383" t="s">
        <v>8237</v>
      </c>
      <c r="F383" s="222">
        <v>34.799999999999997</v>
      </c>
      <c r="G383">
        <v>21</v>
      </c>
      <c r="H383" s="223">
        <v>0</v>
      </c>
      <c r="I383" s="222">
        <v>730.8</v>
      </c>
      <c r="J383" t="s">
        <v>8277</v>
      </c>
      <c r="K383" t="s">
        <v>8278</v>
      </c>
      <c r="L383" s="118">
        <v>43780</v>
      </c>
      <c r="M383" s="118">
        <v>43785</v>
      </c>
      <c r="N383" t="s">
        <v>8250</v>
      </c>
      <c r="O383" t="s">
        <v>8285</v>
      </c>
      <c r="P383" t="s">
        <v>2317</v>
      </c>
      <c r="Q383" t="str">
        <f>tblSales[[#This Row],[FirstName]]&amp; " " &amp;tblSales[[#This Row],[LastName]]</f>
        <v>Nancy Davolio</v>
      </c>
      <c r="R383">
        <f>YEAR(tblSales[[#This Row],[OrderDate]])</f>
        <v>2019</v>
      </c>
      <c r="S383">
        <f>WEEKNUM(tblSales[[#This Row],[OrderDate]])</f>
        <v>46</v>
      </c>
      <c r="T383">
        <f>IF(ISBLANK(tblSales[[#This Row],[ShippedDate]]),"",tblSales[[#This Row],[ShippedDate]]-tblSales[[#This Row],[OrderDate]])</f>
        <v>5</v>
      </c>
      <c r="U383" t="str">
        <f>LEFT(tblSales[[#This Row],[ProductName]],20)</f>
        <v>Mozzarella di Giovan</v>
      </c>
    </row>
    <row r="384" spans="2:21" x14ac:dyDescent="0.2">
      <c r="B384">
        <v>10537</v>
      </c>
      <c r="C384" t="s">
        <v>8309</v>
      </c>
      <c r="D384" t="s">
        <v>8271</v>
      </c>
      <c r="E384" t="s">
        <v>8237</v>
      </c>
      <c r="F384" s="222">
        <v>12.5</v>
      </c>
      <c r="G384">
        <v>30</v>
      </c>
      <c r="H384" s="223">
        <v>0</v>
      </c>
      <c r="I384" s="222">
        <v>375</v>
      </c>
      <c r="J384" t="s">
        <v>8277</v>
      </c>
      <c r="K384" t="s">
        <v>8278</v>
      </c>
      <c r="L384" s="118">
        <v>43780</v>
      </c>
      <c r="M384" s="118">
        <v>43785</v>
      </c>
      <c r="N384" t="s">
        <v>8250</v>
      </c>
      <c r="O384" t="s">
        <v>8285</v>
      </c>
      <c r="P384" t="s">
        <v>2317</v>
      </c>
      <c r="Q384" t="str">
        <f>tblSales[[#This Row],[FirstName]]&amp; " " &amp;tblSales[[#This Row],[LastName]]</f>
        <v>Nancy Davolio</v>
      </c>
      <c r="R384">
        <f>YEAR(tblSales[[#This Row],[OrderDate]])</f>
        <v>2019</v>
      </c>
      <c r="S384">
        <f>WEEKNUM(tblSales[[#This Row],[OrderDate]])</f>
        <v>46</v>
      </c>
      <c r="T384">
        <f>IF(ISBLANK(tblSales[[#This Row],[ShippedDate]]),"",tblSales[[#This Row],[ShippedDate]]-tblSales[[#This Row],[OrderDate]])</f>
        <v>5</v>
      </c>
      <c r="U384" t="str">
        <f>LEFT(tblSales[[#This Row],[ProductName]],20)</f>
        <v>Gorgonzola Telino</v>
      </c>
    </row>
    <row r="385" spans="2:21" x14ac:dyDescent="0.2">
      <c r="B385">
        <v>10537</v>
      </c>
      <c r="C385" t="s">
        <v>8245</v>
      </c>
      <c r="D385" t="s">
        <v>8271</v>
      </c>
      <c r="E385" t="s">
        <v>8247</v>
      </c>
      <c r="F385" s="222">
        <v>53</v>
      </c>
      <c r="G385">
        <v>6</v>
      </c>
      <c r="H385" s="223">
        <v>0</v>
      </c>
      <c r="I385" s="222">
        <v>318</v>
      </c>
      <c r="J385" t="s">
        <v>8277</v>
      </c>
      <c r="K385" t="s">
        <v>8278</v>
      </c>
      <c r="L385" s="118">
        <v>43780</v>
      </c>
      <c r="M385" s="118">
        <v>43785</v>
      </c>
      <c r="N385" t="s">
        <v>8250</v>
      </c>
      <c r="O385" t="s">
        <v>8285</v>
      </c>
      <c r="P385" t="s">
        <v>2317</v>
      </c>
      <c r="Q385" t="str">
        <f>tblSales[[#This Row],[FirstName]]&amp; " " &amp;tblSales[[#This Row],[LastName]]</f>
        <v>Nancy Davolio</v>
      </c>
      <c r="R385">
        <f>YEAR(tblSales[[#This Row],[OrderDate]])</f>
        <v>2019</v>
      </c>
      <c r="S385">
        <f>WEEKNUM(tblSales[[#This Row],[OrderDate]])</f>
        <v>46</v>
      </c>
      <c r="T385">
        <f>IF(ISBLANK(tblSales[[#This Row],[ShippedDate]]),"",tblSales[[#This Row],[ShippedDate]]-tblSales[[#This Row],[OrderDate]])</f>
        <v>5</v>
      </c>
      <c r="U385" t="str">
        <f>LEFT(tblSales[[#This Row],[ProductName]],20)</f>
        <v>Manjimup Dried Apple</v>
      </c>
    </row>
    <row r="386" spans="2:21" x14ac:dyDescent="0.2">
      <c r="B386">
        <v>10536</v>
      </c>
      <c r="C386" t="s">
        <v>8268</v>
      </c>
      <c r="D386" t="s">
        <v>8246</v>
      </c>
      <c r="E386" t="s">
        <v>8237</v>
      </c>
      <c r="F386" s="222">
        <v>34</v>
      </c>
      <c r="G386">
        <v>35</v>
      </c>
      <c r="H386" s="223">
        <v>0.25</v>
      </c>
      <c r="I386" s="222">
        <v>892.5</v>
      </c>
      <c r="J386" t="s">
        <v>8330</v>
      </c>
      <c r="K386" t="s">
        <v>8331</v>
      </c>
      <c r="L386" s="118">
        <v>43780</v>
      </c>
      <c r="M386" s="118">
        <v>43803</v>
      </c>
      <c r="N386" t="s">
        <v>8265</v>
      </c>
      <c r="O386" t="s">
        <v>8257</v>
      </c>
      <c r="P386" t="s">
        <v>6984</v>
      </c>
      <c r="Q386" t="str">
        <f>tblSales[[#This Row],[FirstName]]&amp; " " &amp;tblSales[[#This Row],[LastName]]</f>
        <v>Janet Leverling</v>
      </c>
      <c r="R386">
        <f>YEAR(tblSales[[#This Row],[OrderDate]])</f>
        <v>2019</v>
      </c>
      <c r="S386">
        <f>WEEKNUM(tblSales[[#This Row],[OrderDate]])</f>
        <v>46</v>
      </c>
      <c r="T386">
        <f>IF(ISBLANK(tblSales[[#This Row],[ShippedDate]]),"",tblSales[[#This Row],[ShippedDate]]-tblSales[[#This Row],[OrderDate]])</f>
        <v>23</v>
      </c>
      <c r="U386" t="str">
        <f>LEFT(tblSales[[#This Row],[ProductName]],20)</f>
        <v>Camembert Pierrot</v>
      </c>
    </row>
    <row r="387" spans="2:21" x14ac:dyDescent="0.2">
      <c r="B387">
        <v>10536</v>
      </c>
      <c r="C387" t="s">
        <v>8299</v>
      </c>
      <c r="D387" t="s">
        <v>8246</v>
      </c>
      <c r="E387" t="s">
        <v>8237</v>
      </c>
      <c r="F387" s="222">
        <v>38</v>
      </c>
      <c r="G387">
        <v>15</v>
      </c>
      <c r="H387" s="223">
        <v>0.25</v>
      </c>
      <c r="I387" s="222">
        <v>427.5</v>
      </c>
      <c r="J387" t="s">
        <v>8330</v>
      </c>
      <c r="K387" t="s">
        <v>8331</v>
      </c>
      <c r="L387" s="118">
        <v>43780</v>
      </c>
      <c r="M387" s="118">
        <v>43803</v>
      </c>
      <c r="N387" t="s">
        <v>8265</v>
      </c>
      <c r="O387" t="s">
        <v>8257</v>
      </c>
      <c r="P387" t="s">
        <v>6984</v>
      </c>
      <c r="Q387" t="str">
        <f>tblSales[[#This Row],[FirstName]]&amp; " " &amp;tblSales[[#This Row],[LastName]]</f>
        <v>Janet Leverling</v>
      </c>
      <c r="R387">
        <f>YEAR(tblSales[[#This Row],[OrderDate]])</f>
        <v>2019</v>
      </c>
      <c r="S387">
        <f>WEEKNUM(tblSales[[#This Row],[OrderDate]])</f>
        <v>46</v>
      </c>
      <c r="T387">
        <f>IF(ISBLANK(tblSales[[#This Row],[ShippedDate]]),"",tblSales[[#This Row],[ShippedDate]]-tblSales[[#This Row],[OrderDate]])</f>
        <v>23</v>
      </c>
      <c r="U387" t="str">
        <f>LEFT(tblSales[[#This Row],[ProductName]],20)</f>
        <v>Queso Manchego La Pa</v>
      </c>
    </row>
    <row r="388" spans="2:21" x14ac:dyDescent="0.2">
      <c r="B388">
        <v>10536</v>
      </c>
      <c r="C388" t="s">
        <v>8309</v>
      </c>
      <c r="D388" t="s">
        <v>8246</v>
      </c>
      <c r="E388" t="s">
        <v>8237</v>
      </c>
      <c r="F388" s="222">
        <v>12.5</v>
      </c>
      <c r="G388">
        <v>20</v>
      </c>
      <c r="H388" s="223">
        <v>0</v>
      </c>
      <c r="I388" s="222">
        <v>250</v>
      </c>
      <c r="J388" t="s">
        <v>8330</v>
      </c>
      <c r="K388" t="s">
        <v>8331</v>
      </c>
      <c r="L388" s="118">
        <v>43780</v>
      </c>
      <c r="M388" s="118">
        <v>43803</v>
      </c>
      <c r="N388" t="s">
        <v>8265</v>
      </c>
      <c r="O388" t="s">
        <v>8257</v>
      </c>
      <c r="P388" t="s">
        <v>6984</v>
      </c>
      <c r="Q388" t="str">
        <f>tblSales[[#This Row],[FirstName]]&amp; " " &amp;tblSales[[#This Row],[LastName]]</f>
        <v>Janet Leverling</v>
      </c>
      <c r="R388">
        <f>YEAR(tblSales[[#This Row],[OrderDate]])</f>
        <v>2019</v>
      </c>
      <c r="S388">
        <f>WEEKNUM(tblSales[[#This Row],[OrderDate]])</f>
        <v>46</v>
      </c>
      <c r="T388">
        <f>IF(ISBLANK(tblSales[[#This Row],[ShippedDate]]),"",tblSales[[#This Row],[ShippedDate]]-tblSales[[#This Row],[OrderDate]])</f>
        <v>23</v>
      </c>
      <c r="U388" t="str">
        <f>LEFT(tblSales[[#This Row],[ProductName]],20)</f>
        <v>Gorgonzola Telino</v>
      </c>
    </row>
    <row r="389" spans="2:21" x14ac:dyDescent="0.2">
      <c r="B389">
        <v>10536</v>
      </c>
      <c r="C389" t="s">
        <v>8269</v>
      </c>
      <c r="D389" t="s">
        <v>8246</v>
      </c>
      <c r="E389" t="s">
        <v>8237</v>
      </c>
      <c r="F389" s="222">
        <v>2.5</v>
      </c>
      <c r="G389">
        <v>30</v>
      </c>
      <c r="H389" s="223">
        <v>0</v>
      </c>
      <c r="I389" s="222">
        <v>75</v>
      </c>
      <c r="J389" t="s">
        <v>8330</v>
      </c>
      <c r="K389" t="s">
        <v>8331</v>
      </c>
      <c r="L389" s="118">
        <v>43780</v>
      </c>
      <c r="M389" s="118">
        <v>43803</v>
      </c>
      <c r="N389" t="s">
        <v>8265</v>
      </c>
      <c r="O389" t="s">
        <v>8257</v>
      </c>
      <c r="P389" t="s">
        <v>6984</v>
      </c>
      <c r="Q389" t="str">
        <f>tblSales[[#This Row],[FirstName]]&amp; " " &amp;tblSales[[#This Row],[LastName]]</f>
        <v>Janet Leverling</v>
      </c>
      <c r="R389">
        <f>YEAR(tblSales[[#This Row],[OrderDate]])</f>
        <v>2019</v>
      </c>
      <c r="S389">
        <f>WEEKNUM(tblSales[[#This Row],[OrderDate]])</f>
        <v>46</v>
      </c>
      <c r="T389">
        <f>IF(ISBLANK(tblSales[[#This Row],[ShippedDate]]),"",tblSales[[#This Row],[ShippedDate]]-tblSales[[#This Row],[OrderDate]])</f>
        <v>23</v>
      </c>
      <c r="U389" t="str">
        <f>LEFT(tblSales[[#This Row],[ProductName]],20)</f>
        <v>Geitost</v>
      </c>
    </row>
    <row r="390" spans="2:21" x14ac:dyDescent="0.2">
      <c r="B390">
        <v>10538</v>
      </c>
      <c r="C390" t="s">
        <v>8288</v>
      </c>
      <c r="D390" t="s">
        <v>2434</v>
      </c>
      <c r="E390" t="s">
        <v>8272</v>
      </c>
      <c r="F390" s="222">
        <v>15</v>
      </c>
      <c r="G390">
        <v>7</v>
      </c>
      <c r="H390" s="223">
        <v>0</v>
      </c>
      <c r="I390" s="222">
        <v>105</v>
      </c>
      <c r="J390" t="s">
        <v>8338</v>
      </c>
      <c r="K390" t="s">
        <v>8339</v>
      </c>
      <c r="L390" s="118">
        <v>43781</v>
      </c>
      <c r="M390" s="118">
        <v>43782</v>
      </c>
      <c r="N390" t="s">
        <v>8240</v>
      </c>
      <c r="O390" t="s">
        <v>8279</v>
      </c>
      <c r="P390" t="s">
        <v>710</v>
      </c>
      <c r="Q390" t="str">
        <f>tblSales[[#This Row],[FirstName]]&amp; " " &amp;tblSales[[#This Row],[LastName]]</f>
        <v>Anne Dodsworth</v>
      </c>
      <c r="R390">
        <f>YEAR(tblSales[[#This Row],[OrderDate]])</f>
        <v>2019</v>
      </c>
      <c r="S390">
        <f>WEEKNUM(tblSales[[#This Row],[OrderDate]])</f>
        <v>46</v>
      </c>
      <c r="T390">
        <f>IF(ISBLANK(tblSales[[#This Row],[ShippedDate]]),"",tblSales[[#This Row],[ShippedDate]]-tblSales[[#This Row],[OrderDate]])</f>
        <v>1</v>
      </c>
      <c r="U390" t="str">
        <f>LEFT(tblSales[[#This Row],[ProductName]],20)</f>
        <v>Outback Lager</v>
      </c>
    </row>
    <row r="391" spans="2:21" x14ac:dyDescent="0.2">
      <c r="B391">
        <v>10538</v>
      </c>
      <c r="C391" t="s">
        <v>8235</v>
      </c>
      <c r="D391" t="s">
        <v>2434</v>
      </c>
      <c r="E391" t="s">
        <v>8237</v>
      </c>
      <c r="F391" s="222">
        <v>34.799999999999997</v>
      </c>
      <c r="G391">
        <v>1</v>
      </c>
      <c r="H391" s="223">
        <v>0</v>
      </c>
      <c r="I391" s="222">
        <v>34.799999999999997</v>
      </c>
      <c r="J391" t="s">
        <v>8338</v>
      </c>
      <c r="K391" t="s">
        <v>8339</v>
      </c>
      <c r="L391" s="118">
        <v>43781</v>
      </c>
      <c r="M391" s="118">
        <v>43782</v>
      </c>
      <c r="N391" t="s">
        <v>8240</v>
      </c>
      <c r="O391" t="s">
        <v>8279</v>
      </c>
      <c r="P391" t="s">
        <v>710</v>
      </c>
      <c r="Q391" t="str">
        <f>tblSales[[#This Row],[FirstName]]&amp; " " &amp;tblSales[[#This Row],[LastName]]</f>
        <v>Anne Dodsworth</v>
      </c>
      <c r="R391">
        <f>YEAR(tblSales[[#This Row],[OrderDate]])</f>
        <v>2019</v>
      </c>
      <c r="S391">
        <f>WEEKNUM(tblSales[[#This Row],[OrderDate]])</f>
        <v>46</v>
      </c>
      <c r="T391">
        <f>IF(ISBLANK(tblSales[[#This Row],[ShippedDate]]),"",tblSales[[#This Row],[ShippedDate]]-tblSales[[#This Row],[OrderDate]])</f>
        <v>1</v>
      </c>
      <c r="U391" t="str">
        <f>LEFT(tblSales[[#This Row],[ProductName]],20)</f>
        <v>Mozzarella di Giovan</v>
      </c>
    </row>
    <row r="392" spans="2:21" x14ac:dyDescent="0.2">
      <c r="B392">
        <v>10539</v>
      </c>
      <c r="C392" t="s">
        <v>8368</v>
      </c>
      <c r="D392" t="s">
        <v>2434</v>
      </c>
      <c r="E392" t="s">
        <v>8262</v>
      </c>
      <c r="F392" s="222">
        <v>10</v>
      </c>
      <c r="G392">
        <v>15</v>
      </c>
      <c r="H392" s="223">
        <v>0</v>
      </c>
      <c r="I392" s="222">
        <v>150</v>
      </c>
      <c r="J392" t="s">
        <v>8338</v>
      </c>
      <c r="K392" t="s">
        <v>8339</v>
      </c>
      <c r="L392" s="118">
        <v>43782</v>
      </c>
      <c r="M392" s="118">
        <v>43789</v>
      </c>
      <c r="N392" t="s">
        <v>8240</v>
      </c>
      <c r="O392" t="s">
        <v>8251</v>
      </c>
      <c r="P392" t="s">
        <v>269</v>
      </c>
      <c r="Q392" t="str">
        <f>tblSales[[#This Row],[FirstName]]&amp; " " &amp;tblSales[[#This Row],[LastName]]</f>
        <v>Michael Suyama</v>
      </c>
      <c r="R392">
        <f>YEAR(tblSales[[#This Row],[OrderDate]])</f>
        <v>2019</v>
      </c>
      <c r="S392">
        <f>WEEKNUM(tblSales[[#This Row],[OrderDate]])</f>
        <v>46</v>
      </c>
      <c r="T392">
        <f>IF(ISBLANK(tblSales[[#This Row],[ShippedDate]]),"",tblSales[[#This Row],[ShippedDate]]-tblSales[[#This Row],[OrderDate]])</f>
        <v>7</v>
      </c>
      <c r="U392" t="str">
        <f>LEFT(tblSales[[#This Row],[ProductName]],20)</f>
        <v>Sir Rodney's Scones</v>
      </c>
    </row>
    <row r="393" spans="2:21" x14ac:dyDescent="0.2">
      <c r="B393">
        <v>10539</v>
      </c>
      <c r="C393" t="s">
        <v>8390</v>
      </c>
      <c r="D393" t="s">
        <v>2434</v>
      </c>
      <c r="E393" t="s">
        <v>8262</v>
      </c>
      <c r="F393" s="222">
        <v>20</v>
      </c>
      <c r="G393">
        <v>6</v>
      </c>
      <c r="H393" s="223">
        <v>0</v>
      </c>
      <c r="I393" s="222">
        <v>120</v>
      </c>
      <c r="J393" t="s">
        <v>8338</v>
      </c>
      <c r="K393" t="s">
        <v>8339</v>
      </c>
      <c r="L393" s="118">
        <v>43782</v>
      </c>
      <c r="M393" s="118">
        <v>43789</v>
      </c>
      <c r="N393" t="s">
        <v>8240</v>
      </c>
      <c r="O393" t="s">
        <v>8251</v>
      </c>
      <c r="P393" t="s">
        <v>269</v>
      </c>
      <c r="Q393" t="str">
        <f>tblSales[[#This Row],[FirstName]]&amp; " " &amp;tblSales[[#This Row],[LastName]]</f>
        <v>Michael Suyama</v>
      </c>
      <c r="R393">
        <f>YEAR(tblSales[[#This Row],[OrderDate]])</f>
        <v>2019</v>
      </c>
      <c r="S393">
        <f>WEEKNUM(tblSales[[#This Row],[OrderDate]])</f>
        <v>46</v>
      </c>
      <c r="T393">
        <f>IF(ISBLANK(tblSales[[#This Row],[ShippedDate]]),"",tblSales[[#This Row],[ShippedDate]]-tblSales[[#This Row],[OrderDate]])</f>
        <v>7</v>
      </c>
      <c r="U393" t="str">
        <f>LEFT(tblSales[[#This Row],[ProductName]],20)</f>
        <v>Maxilaku</v>
      </c>
    </row>
    <row r="394" spans="2:21" x14ac:dyDescent="0.2">
      <c r="B394">
        <v>10539</v>
      </c>
      <c r="C394" t="s">
        <v>8269</v>
      </c>
      <c r="D394" t="s">
        <v>2434</v>
      </c>
      <c r="E394" t="s">
        <v>8237</v>
      </c>
      <c r="F394" s="222">
        <v>2.5</v>
      </c>
      <c r="G394">
        <v>15</v>
      </c>
      <c r="H394" s="223">
        <v>0</v>
      </c>
      <c r="I394" s="222">
        <v>37.5</v>
      </c>
      <c r="J394" t="s">
        <v>8338</v>
      </c>
      <c r="K394" t="s">
        <v>8339</v>
      </c>
      <c r="L394" s="118">
        <v>43782</v>
      </c>
      <c r="M394" s="118">
        <v>43789</v>
      </c>
      <c r="N394" t="s">
        <v>8240</v>
      </c>
      <c r="O394" t="s">
        <v>8251</v>
      </c>
      <c r="P394" t="s">
        <v>269</v>
      </c>
      <c r="Q394" t="str">
        <f>tblSales[[#This Row],[FirstName]]&amp; " " &amp;tblSales[[#This Row],[LastName]]</f>
        <v>Michael Suyama</v>
      </c>
      <c r="R394">
        <f>YEAR(tblSales[[#This Row],[OrderDate]])</f>
        <v>2019</v>
      </c>
      <c r="S394">
        <f>WEEKNUM(tblSales[[#This Row],[OrderDate]])</f>
        <v>46</v>
      </c>
      <c r="T394">
        <f>IF(ISBLANK(tblSales[[#This Row],[ShippedDate]]),"",tblSales[[#This Row],[ShippedDate]]-tblSales[[#This Row],[OrderDate]])</f>
        <v>7</v>
      </c>
      <c r="U394" t="str">
        <f>LEFT(tblSales[[#This Row],[ProductName]],20)</f>
        <v>Geitost</v>
      </c>
    </row>
    <row r="395" spans="2:21" x14ac:dyDescent="0.2">
      <c r="B395">
        <v>11099</v>
      </c>
      <c r="C395" t="s">
        <v>8306</v>
      </c>
      <c r="D395" t="s">
        <v>8236</v>
      </c>
      <c r="E395" t="s">
        <v>8272</v>
      </c>
      <c r="F395" s="222">
        <v>36.799999999999997</v>
      </c>
      <c r="G395">
        <v>40</v>
      </c>
      <c r="H395" s="223">
        <v>5.0000000745058101E-2</v>
      </c>
      <c r="I395" s="222">
        <v>1398.4</v>
      </c>
      <c r="J395" t="s">
        <v>8377</v>
      </c>
      <c r="K395" t="s">
        <v>8378</v>
      </c>
      <c r="L395" s="118">
        <v>43783</v>
      </c>
      <c r="M395" s="118">
        <v>43793</v>
      </c>
      <c r="N395" t="s">
        <v>8240</v>
      </c>
      <c r="O395" t="s">
        <v>8285</v>
      </c>
      <c r="P395" t="s">
        <v>2317</v>
      </c>
      <c r="Q395" t="str">
        <f>tblSales[[#This Row],[FirstName]]&amp; " " &amp;tblSales[[#This Row],[LastName]]</f>
        <v>Nancy Davolio</v>
      </c>
      <c r="R395">
        <f>YEAR(tblSales[[#This Row],[OrderDate]])</f>
        <v>2019</v>
      </c>
      <c r="S395">
        <f>WEEKNUM(tblSales[[#This Row],[OrderDate]])</f>
        <v>46</v>
      </c>
      <c r="T395">
        <f>IF(ISBLANK(tblSales[[#This Row],[ShippedDate]]),"",tblSales[[#This Row],[ShippedDate]]-tblSales[[#This Row],[OrderDate]])</f>
        <v>10</v>
      </c>
      <c r="U395" t="str">
        <f>LEFT(tblSales[[#This Row],[ProductName]],20)</f>
        <v>Ipoh Coffee</v>
      </c>
    </row>
    <row r="396" spans="2:21" x14ac:dyDescent="0.2">
      <c r="B396">
        <v>10540</v>
      </c>
      <c r="C396" t="s">
        <v>8380</v>
      </c>
      <c r="D396" t="s">
        <v>8246</v>
      </c>
      <c r="E396" t="s">
        <v>8272</v>
      </c>
      <c r="F396" s="222">
        <v>263.5</v>
      </c>
      <c r="G396">
        <v>30</v>
      </c>
      <c r="H396" s="223">
        <v>0</v>
      </c>
      <c r="I396" s="222">
        <v>7905</v>
      </c>
      <c r="J396" t="s">
        <v>8307</v>
      </c>
      <c r="K396" t="s">
        <v>8308</v>
      </c>
      <c r="L396" s="118">
        <v>43785</v>
      </c>
      <c r="M396" s="118">
        <v>43810</v>
      </c>
      <c r="N396" t="s">
        <v>8240</v>
      </c>
      <c r="O396" t="s">
        <v>8257</v>
      </c>
      <c r="P396" t="s">
        <v>6984</v>
      </c>
      <c r="Q396" t="str">
        <f>tblSales[[#This Row],[FirstName]]&amp; " " &amp;tblSales[[#This Row],[LastName]]</f>
        <v>Janet Leverling</v>
      </c>
      <c r="R396">
        <f>YEAR(tblSales[[#This Row],[OrderDate]])</f>
        <v>2019</v>
      </c>
      <c r="S396">
        <f>WEEKNUM(tblSales[[#This Row],[OrderDate]])</f>
        <v>46</v>
      </c>
      <c r="T396">
        <f>IF(ISBLANK(tblSales[[#This Row],[ShippedDate]]),"",tblSales[[#This Row],[ShippedDate]]-tblSales[[#This Row],[OrderDate]])</f>
        <v>25</v>
      </c>
      <c r="U396" t="str">
        <f>LEFT(tblSales[[#This Row],[ProductName]],20)</f>
        <v>Côte de Blaye</v>
      </c>
    </row>
    <row r="397" spans="2:21" x14ac:dyDescent="0.2">
      <c r="B397">
        <v>10540</v>
      </c>
      <c r="C397" t="s">
        <v>8337</v>
      </c>
      <c r="D397" t="s">
        <v>8246</v>
      </c>
      <c r="E397" t="s">
        <v>8254</v>
      </c>
      <c r="F397" s="222">
        <v>10</v>
      </c>
      <c r="G397">
        <v>60</v>
      </c>
      <c r="H397" s="223">
        <v>0</v>
      </c>
      <c r="I397" s="222">
        <v>600</v>
      </c>
      <c r="J397" t="s">
        <v>8307</v>
      </c>
      <c r="K397" t="s">
        <v>8308</v>
      </c>
      <c r="L397" s="118">
        <v>43785</v>
      </c>
      <c r="M397" s="118">
        <v>43810</v>
      </c>
      <c r="N397" t="s">
        <v>8240</v>
      </c>
      <c r="O397" t="s">
        <v>8257</v>
      </c>
      <c r="P397" t="s">
        <v>6984</v>
      </c>
      <c r="Q397" t="str">
        <f>tblSales[[#This Row],[FirstName]]&amp; " " &amp;tblSales[[#This Row],[LastName]]</f>
        <v>Janet Leverling</v>
      </c>
      <c r="R397">
        <f>YEAR(tblSales[[#This Row],[OrderDate]])</f>
        <v>2019</v>
      </c>
      <c r="S397">
        <f>WEEKNUM(tblSales[[#This Row],[OrderDate]])</f>
        <v>46</v>
      </c>
      <c r="T397">
        <f>IF(ISBLANK(tblSales[[#This Row],[ShippedDate]]),"",tblSales[[#This Row],[ShippedDate]]-tblSales[[#This Row],[OrderDate]])</f>
        <v>25</v>
      </c>
      <c r="U397" t="str">
        <f>LEFT(tblSales[[#This Row],[ProductName]],20)</f>
        <v>Aniseed Syrup</v>
      </c>
    </row>
    <row r="398" spans="2:21" x14ac:dyDescent="0.2">
      <c r="B398">
        <v>10540</v>
      </c>
      <c r="C398" t="s">
        <v>8372</v>
      </c>
      <c r="D398" t="s">
        <v>8246</v>
      </c>
      <c r="E398" t="s">
        <v>8262</v>
      </c>
      <c r="F398" s="222">
        <v>31.23</v>
      </c>
      <c r="G398">
        <v>40</v>
      </c>
      <c r="H398" s="223">
        <v>0</v>
      </c>
      <c r="I398" s="222">
        <v>1249.2</v>
      </c>
      <c r="J398" t="s">
        <v>8307</v>
      </c>
      <c r="K398" t="s">
        <v>8308</v>
      </c>
      <c r="L398" s="118">
        <v>43785</v>
      </c>
      <c r="M398" s="118">
        <v>43810</v>
      </c>
      <c r="N398" t="s">
        <v>8240</v>
      </c>
      <c r="O398" t="s">
        <v>8257</v>
      </c>
      <c r="P398" t="s">
        <v>6984</v>
      </c>
      <c r="Q398" t="str">
        <f>tblSales[[#This Row],[FirstName]]&amp; " " &amp;tblSales[[#This Row],[LastName]]</f>
        <v>Janet Leverling</v>
      </c>
      <c r="R398">
        <f>YEAR(tblSales[[#This Row],[OrderDate]])</f>
        <v>2019</v>
      </c>
      <c r="S398">
        <f>WEEKNUM(tblSales[[#This Row],[OrderDate]])</f>
        <v>46</v>
      </c>
      <c r="T398">
        <f>IF(ISBLANK(tblSales[[#This Row],[ShippedDate]]),"",tblSales[[#This Row],[ShippedDate]]-tblSales[[#This Row],[OrderDate]])</f>
        <v>25</v>
      </c>
      <c r="U398" t="str">
        <f>LEFT(tblSales[[#This Row],[ProductName]],20)</f>
        <v>Gumbär Gummibärchen</v>
      </c>
    </row>
    <row r="399" spans="2:21" x14ac:dyDescent="0.2">
      <c r="B399">
        <v>10540</v>
      </c>
      <c r="C399" t="s">
        <v>8334</v>
      </c>
      <c r="D399" t="s">
        <v>8246</v>
      </c>
      <c r="E399" t="s">
        <v>8262</v>
      </c>
      <c r="F399" s="222">
        <v>12.5</v>
      </c>
      <c r="G399">
        <v>35</v>
      </c>
      <c r="H399" s="223">
        <v>0</v>
      </c>
      <c r="I399" s="222">
        <v>437.5</v>
      </c>
      <c r="J399" t="s">
        <v>8307</v>
      </c>
      <c r="K399" t="s">
        <v>8308</v>
      </c>
      <c r="L399" s="118">
        <v>43785</v>
      </c>
      <c r="M399" s="118">
        <v>43810</v>
      </c>
      <c r="N399" t="s">
        <v>8240</v>
      </c>
      <c r="O399" t="s">
        <v>8257</v>
      </c>
      <c r="P399" t="s">
        <v>6984</v>
      </c>
      <c r="Q399" t="str">
        <f>tblSales[[#This Row],[FirstName]]&amp; " " &amp;tblSales[[#This Row],[LastName]]</f>
        <v>Janet Leverling</v>
      </c>
      <c r="R399">
        <f>YEAR(tblSales[[#This Row],[OrderDate]])</f>
        <v>2019</v>
      </c>
      <c r="S399">
        <f>WEEKNUM(tblSales[[#This Row],[OrderDate]])</f>
        <v>46</v>
      </c>
      <c r="T399">
        <f>IF(ISBLANK(tblSales[[#This Row],[ShippedDate]]),"",tblSales[[#This Row],[ShippedDate]]-tblSales[[#This Row],[OrderDate]])</f>
        <v>25</v>
      </c>
      <c r="U399" t="str">
        <f>LEFT(tblSales[[#This Row],[ProductName]],20)</f>
        <v>Scottish Longbreads</v>
      </c>
    </row>
    <row r="400" spans="2:21" x14ac:dyDescent="0.2">
      <c r="B400">
        <v>10542</v>
      </c>
      <c r="C400" t="s">
        <v>8242</v>
      </c>
      <c r="D400" t="s">
        <v>8246</v>
      </c>
      <c r="E400" t="s">
        <v>8237</v>
      </c>
      <c r="F400" s="222">
        <v>21</v>
      </c>
      <c r="G400">
        <v>15</v>
      </c>
      <c r="H400" s="223">
        <v>5.0000000745058101E-2</v>
      </c>
      <c r="I400" s="222">
        <v>299.25</v>
      </c>
      <c r="J400" t="s">
        <v>8359</v>
      </c>
      <c r="K400" t="s">
        <v>8360</v>
      </c>
      <c r="L400" s="118">
        <v>43786</v>
      </c>
      <c r="M400" s="118">
        <v>43792</v>
      </c>
      <c r="N400" t="s">
        <v>8240</v>
      </c>
      <c r="O400" t="s">
        <v>8285</v>
      </c>
      <c r="P400" t="s">
        <v>2317</v>
      </c>
      <c r="Q400" t="str">
        <f>tblSales[[#This Row],[FirstName]]&amp; " " &amp;tblSales[[#This Row],[LastName]]</f>
        <v>Nancy Davolio</v>
      </c>
      <c r="R400">
        <f>YEAR(tblSales[[#This Row],[OrderDate]])</f>
        <v>2019</v>
      </c>
      <c r="S400">
        <f>WEEKNUM(tblSales[[#This Row],[OrderDate]])</f>
        <v>47</v>
      </c>
      <c r="T400">
        <f>IF(ISBLANK(tblSales[[#This Row],[ShippedDate]]),"",tblSales[[#This Row],[ShippedDate]]-tblSales[[#This Row],[OrderDate]])</f>
        <v>6</v>
      </c>
      <c r="U400" t="str">
        <f>LEFT(tblSales[[#This Row],[ProductName]],20)</f>
        <v>Queso Cabrales</v>
      </c>
    </row>
    <row r="401" spans="2:21" x14ac:dyDescent="0.2">
      <c r="B401">
        <v>10546</v>
      </c>
      <c r="C401" t="s">
        <v>8323</v>
      </c>
      <c r="D401" t="s">
        <v>8236</v>
      </c>
      <c r="E401" t="s">
        <v>8272</v>
      </c>
      <c r="F401" s="222">
        <v>18</v>
      </c>
      <c r="G401">
        <v>30</v>
      </c>
      <c r="H401" s="223">
        <v>0</v>
      </c>
      <c r="I401" s="222">
        <v>540</v>
      </c>
      <c r="J401" t="s">
        <v>8255</v>
      </c>
      <c r="K401" t="s">
        <v>8256</v>
      </c>
      <c r="L401" s="118">
        <v>43789</v>
      </c>
      <c r="M401" s="118">
        <v>43793</v>
      </c>
      <c r="N401" t="s">
        <v>8240</v>
      </c>
      <c r="O401" t="s">
        <v>8285</v>
      </c>
      <c r="P401" t="s">
        <v>2317</v>
      </c>
      <c r="Q401" t="str">
        <f>tblSales[[#This Row],[FirstName]]&amp; " " &amp;tblSales[[#This Row],[LastName]]</f>
        <v>Nancy Davolio</v>
      </c>
      <c r="R401">
        <f>YEAR(tblSales[[#This Row],[OrderDate]])</f>
        <v>2019</v>
      </c>
      <c r="S401">
        <f>WEEKNUM(tblSales[[#This Row],[OrderDate]])</f>
        <v>47</v>
      </c>
      <c r="T401">
        <f>IF(ISBLANK(tblSales[[#This Row],[ShippedDate]]),"",tblSales[[#This Row],[ShippedDate]]-tblSales[[#This Row],[OrderDate]])</f>
        <v>4</v>
      </c>
      <c r="U401" t="str">
        <f>LEFT(tblSales[[#This Row],[ProductName]],20)</f>
        <v>Steeleye Stout</v>
      </c>
    </row>
    <row r="402" spans="2:21" x14ac:dyDescent="0.2">
      <c r="B402">
        <v>10546</v>
      </c>
      <c r="C402" t="s">
        <v>8291</v>
      </c>
      <c r="D402" t="s">
        <v>8236</v>
      </c>
      <c r="E402" t="s">
        <v>8262</v>
      </c>
      <c r="F402" s="222">
        <v>49.3</v>
      </c>
      <c r="G402">
        <v>40</v>
      </c>
      <c r="H402" s="223">
        <v>0</v>
      </c>
      <c r="I402" s="222">
        <v>1972</v>
      </c>
      <c r="J402" t="s">
        <v>8255</v>
      </c>
      <c r="K402" t="s">
        <v>8256</v>
      </c>
      <c r="L402" s="118">
        <v>43789</v>
      </c>
      <c r="M402" s="118">
        <v>43793</v>
      </c>
      <c r="N402" t="s">
        <v>8240</v>
      </c>
      <c r="O402" t="s">
        <v>8285</v>
      </c>
      <c r="P402" t="s">
        <v>2317</v>
      </c>
      <c r="Q402" t="str">
        <f>tblSales[[#This Row],[FirstName]]&amp; " " &amp;tblSales[[#This Row],[LastName]]</f>
        <v>Nancy Davolio</v>
      </c>
      <c r="R402">
        <f>YEAR(tblSales[[#This Row],[OrderDate]])</f>
        <v>2019</v>
      </c>
      <c r="S402">
        <f>WEEKNUM(tblSales[[#This Row],[OrderDate]])</f>
        <v>47</v>
      </c>
      <c r="T402">
        <f>IF(ISBLANK(tblSales[[#This Row],[ShippedDate]]),"",tblSales[[#This Row],[ShippedDate]]-tblSales[[#This Row],[OrderDate]])</f>
        <v>4</v>
      </c>
      <c r="U402" t="str">
        <f>LEFT(tblSales[[#This Row],[ProductName]],20)</f>
        <v>Tarte au sucre</v>
      </c>
    </row>
    <row r="403" spans="2:21" x14ac:dyDescent="0.2">
      <c r="B403">
        <v>10546</v>
      </c>
      <c r="C403" t="s">
        <v>8415</v>
      </c>
      <c r="D403" t="s">
        <v>8236</v>
      </c>
      <c r="E403" t="s">
        <v>8247</v>
      </c>
      <c r="F403" s="222">
        <v>30</v>
      </c>
      <c r="G403">
        <v>10</v>
      </c>
      <c r="H403" s="223">
        <v>0</v>
      </c>
      <c r="I403" s="222">
        <v>300</v>
      </c>
      <c r="J403" t="s">
        <v>8255</v>
      </c>
      <c r="K403" t="s">
        <v>8256</v>
      </c>
      <c r="L403" s="118">
        <v>43789</v>
      </c>
      <c r="M403" s="118">
        <v>43793</v>
      </c>
      <c r="N403" t="s">
        <v>8240</v>
      </c>
      <c r="O403" t="s">
        <v>8285</v>
      </c>
      <c r="P403" t="s">
        <v>2317</v>
      </c>
      <c r="Q403" t="str">
        <f>tblSales[[#This Row],[FirstName]]&amp; " " &amp;tblSales[[#This Row],[LastName]]</f>
        <v>Nancy Davolio</v>
      </c>
      <c r="R403">
        <f>YEAR(tblSales[[#This Row],[OrderDate]])</f>
        <v>2019</v>
      </c>
      <c r="S403">
        <f>WEEKNUM(tblSales[[#This Row],[OrderDate]])</f>
        <v>47</v>
      </c>
      <c r="T403">
        <f>IF(ISBLANK(tblSales[[#This Row],[ShippedDate]]),"",tblSales[[#This Row],[ShippedDate]]-tblSales[[#This Row],[OrderDate]])</f>
        <v>4</v>
      </c>
      <c r="U403" t="str">
        <f>LEFT(tblSales[[#This Row],[ProductName]],20)</f>
        <v xml:space="preserve">Uncle Bob's Organic </v>
      </c>
    </row>
    <row r="404" spans="2:21" x14ac:dyDescent="0.2">
      <c r="B404">
        <v>10547</v>
      </c>
      <c r="C404" t="s">
        <v>8287</v>
      </c>
      <c r="D404" t="s">
        <v>2434</v>
      </c>
      <c r="E404" t="s">
        <v>8237</v>
      </c>
      <c r="F404" s="222">
        <v>32</v>
      </c>
      <c r="G404">
        <v>24</v>
      </c>
      <c r="H404" s="223">
        <v>0.15000000596046401</v>
      </c>
      <c r="I404" s="222">
        <v>652.79999999999995</v>
      </c>
      <c r="J404" t="s">
        <v>8388</v>
      </c>
      <c r="K404" t="s">
        <v>8389</v>
      </c>
      <c r="L404" s="118">
        <v>43789</v>
      </c>
      <c r="M404" s="118">
        <v>43799</v>
      </c>
      <c r="N404" t="s">
        <v>8265</v>
      </c>
      <c r="O404" t="s">
        <v>8257</v>
      </c>
      <c r="P404" t="s">
        <v>6984</v>
      </c>
      <c r="Q404" t="str">
        <f>tblSales[[#This Row],[FirstName]]&amp; " " &amp;tblSales[[#This Row],[LastName]]</f>
        <v>Janet Leverling</v>
      </c>
      <c r="R404">
        <f>YEAR(tblSales[[#This Row],[OrderDate]])</f>
        <v>2019</v>
      </c>
      <c r="S404">
        <f>WEEKNUM(tblSales[[#This Row],[OrderDate]])</f>
        <v>47</v>
      </c>
      <c r="T404">
        <f>IF(ISBLANK(tblSales[[#This Row],[ShippedDate]]),"",tblSales[[#This Row],[ShippedDate]]-tblSales[[#This Row],[OrderDate]])</f>
        <v>10</v>
      </c>
      <c r="U404" t="str">
        <f>LEFT(tblSales[[#This Row],[ProductName]],20)</f>
        <v>Mascarpone Fabioli</v>
      </c>
    </row>
    <row r="405" spans="2:21" x14ac:dyDescent="0.2">
      <c r="B405">
        <v>10548</v>
      </c>
      <c r="C405" t="s">
        <v>8358</v>
      </c>
      <c r="D405" t="s">
        <v>8246</v>
      </c>
      <c r="E405" t="s">
        <v>8272</v>
      </c>
      <c r="F405" s="222">
        <v>14</v>
      </c>
      <c r="G405">
        <v>10</v>
      </c>
      <c r="H405" s="223">
        <v>0.25</v>
      </c>
      <c r="I405" s="222">
        <v>105</v>
      </c>
      <c r="J405" t="s">
        <v>8248</v>
      </c>
      <c r="K405" t="s">
        <v>8249</v>
      </c>
      <c r="L405" s="118">
        <v>43792</v>
      </c>
      <c r="M405" s="118">
        <v>43799</v>
      </c>
      <c r="N405" t="s">
        <v>8265</v>
      </c>
      <c r="O405" t="s">
        <v>8257</v>
      </c>
      <c r="P405" t="s">
        <v>6984</v>
      </c>
      <c r="Q405" t="str">
        <f>tblSales[[#This Row],[FirstName]]&amp; " " &amp;tblSales[[#This Row],[LastName]]</f>
        <v>Janet Leverling</v>
      </c>
      <c r="R405">
        <f>YEAR(tblSales[[#This Row],[OrderDate]])</f>
        <v>2019</v>
      </c>
      <c r="S405">
        <f>WEEKNUM(tblSales[[#This Row],[OrderDate]])</f>
        <v>47</v>
      </c>
      <c r="T405">
        <f>IF(ISBLANK(tblSales[[#This Row],[ShippedDate]]),"",tblSales[[#This Row],[ShippedDate]]-tblSales[[#This Row],[OrderDate]])</f>
        <v>7</v>
      </c>
      <c r="U405" t="str">
        <f>LEFT(tblSales[[#This Row],[ProductName]],20)</f>
        <v>Sasquatch Ale</v>
      </c>
    </row>
    <row r="406" spans="2:21" x14ac:dyDescent="0.2">
      <c r="B406">
        <v>10549</v>
      </c>
      <c r="C406" t="s">
        <v>8309</v>
      </c>
      <c r="D406" t="s">
        <v>8246</v>
      </c>
      <c r="E406" t="s">
        <v>8237</v>
      </c>
      <c r="F406" s="222">
        <v>12.5</v>
      </c>
      <c r="G406">
        <v>55</v>
      </c>
      <c r="H406" s="223">
        <v>0.15000000596046401</v>
      </c>
      <c r="I406" s="222">
        <v>584.37</v>
      </c>
      <c r="J406" t="s">
        <v>8307</v>
      </c>
      <c r="K406" t="s">
        <v>8308</v>
      </c>
      <c r="L406" s="118">
        <v>43793</v>
      </c>
      <c r="M406" s="118">
        <v>43796</v>
      </c>
      <c r="N406" t="s">
        <v>8250</v>
      </c>
      <c r="O406" t="s">
        <v>8241</v>
      </c>
      <c r="P406" t="s">
        <v>6934</v>
      </c>
      <c r="Q406" t="str">
        <f>tblSales[[#This Row],[FirstName]]&amp; " " &amp;tblSales[[#This Row],[LastName]]</f>
        <v>Steven Buchanan</v>
      </c>
      <c r="R406">
        <f>YEAR(tblSales[[#This Row],[OrderDate]])</f>
        <v>2019</v>
      </c>
      <c r="S406">
        <f>WEEKNUM(tblSales[[#This Row],[OrderDate]])</f>
        <v>48</v>
      </c>
      <c r="T406">
        <f>IF(ISBLANK(tblSales[[#This Row],[ShippedDate]]),"",tblSales[[#This Row],[ShippedDate]]-tblSales[[#This Row],[OrderDate]])</f>
        <v>3</v>
      </c>
      <c r="U406" t="str">
        <f>LEFT(tblSales[[#This Row],[ProductName]],20)</f>
        <v>Gorgonzola Telino</v>
      </c>
    </row>
    <row r="407" spans="2:21" x14ac:dyDescent="0.2">
      <c r="B407">
        <v>10549</v>
      </c>
      <c r="C407" t="s">
        <v>8245</v>
      </c>
      <c r="D407" t="s">
        <v>8246</v>
      </c>
      <c r="E407" t="s">
        <v>8247</v>
      </c>
      <c r="F407" s="222">
        <v>53</v>
      </c>
      <c r="G407">
        <v>48</v>
      </c>
      <c r="H407" s="223">
        <v>0.15000000596046401</v>
      </c>
      <c r="I407" s="222">
        <v>2162.4</v>
      </c>
      <c r="J407" t="s">
        <v>8307</v>
      </c>
      <c r="K407" t="s">
        <v>8308</v>
      </c>
      <c r="L407" s="118">
        <v>43793</v>
      </c>
      <c r="M407" s="118">
        <v>43796</v>
      </c>
      <c r="N407" t="s">
        <v>8250</v>
      </c>
      <c r="O407" t="s">
        <v>8241</v>
      </c>
      <c r="P407" t="s">
        <v>6934</v>
      </c>
      <c r="Q407" t="str">
        <f>tblSales[[#This Row],[FirstName]]&amp; " " &amp;tblSales[[#This Row],[LastName]]</f>
        <v>Steven Buchanan</v>
      </c>
      <c r="R407">
        <f>YEAR(tblSales[[#This Row],[OrderDate]])</f>
        <v>2019</v>
      </c>
      <c r="S407">
        <f>WEEKNUM(tblSales[[#This Row],[OrderDate]])</f>
        <v>48</v>
      </c>
      <c r="T407">
        <f>IF(ISBLANK(tblSales[[#This Row],[ShippedDate]]),"",tblSales[[#This Row],[ShippedDate]]-tblSales[[#This Row],[OrderDate]])</f>
        <v>3</v>
      </c>
      <c r="U407" t="str">
        <f>LEFT(tblSales[[#This Row],[ProductName]],20)</f>
        <v>Manjimup Dried Apple</v>
      </c>
    </row>
    <row r="408" spans="2:21" x14ac:dyDescent="0.2">
      <c r="B408">
        <v>10550</v>
      </c>
      <c r="C408" t="s">
        <v>8409</v>
      </c>
      <c r="D408" t="s">
        <v>8324</v>
      </c>
      <c r="E408" t="s">
        <v>8254</v>
      </c>
      <c r="F408" s="222">
        <v>28.5</v>
      </c>
      <c r="G408">
        <v>10</v>
      </c>
      <c r="H408" s="223">
        <v>0.10000000149011599</v>
      </c>
      <c r="I408" s="222">
        <v>256.5</v>
      </c>
      <c r="J408" t="s">
        <v>8349</v>
      </c>
      <c r="K408" t="s">
        <v>8350</v>
      </c>
      <c r="L408" s="118">
        <v>43794</v>
      </c>
      <c r="M408" s="118">
        <v>43803</v>
      </c>
      <c r="N408" t="s">
        <v>8240</v>
      </c>
      <c r="O408" t="s">
        <v>8158</v>
      </c>
      <c r="P408" t="s">
        <v>861</v>
      </c>
      <c r="Q408" t="str">
        <f>tblSales[[#This Row],[FirstName]]&amp; " " &amp;tblSales[[#This Row],[LastName]]</f>
        <v>Robert King</v>
      </c>
      <c r="R408">
        <f>YEAR(tblSales[[#This Row],[OrderDate]])</f>
        <v>2019</v>
      </c>
      <c r="S408">
        <f>WEEKNUM(tblSales[[#This Row],[OrderDate]])</f>
        <v>48</v>
      </c>
      <c r="T408">
        <f>IF(ISBLANK(tblSales[[#This Row],[ShippedDate]]),"",tblSales[[#This Row],[ShippedDate]]-tblSales[[#This Row],[OrderDate]])</f>
        <v>9</v>
      </c>
      <c r="U408" t="str">
        <f>LEFT(tblSales[[#This Row],[ProductName]],20)</f>
        <v>Sirop d'érable</v>
      </c>
    </row>
    <row r="409" spans="2:21" x14ac:dyDescent="0.2">
      <c r="B409">
        <v>10550</v>
      </c>
      <c r="C409" t="s">
        <v>8327</v>
      </c>
      <c r="D409" t="s">
        <v>8324</v>
      </c>
      <c r="E409" t="s">
        <v>8262</v>
      </c>
      <c r="F409" s="222">
        <v>9.1999999999999993</v>
      </c>
      <c r="G409">
        <v>10</v>
      </c>
      <c r="H409" s="223">
        <v>0</v>
      </c>
      <c r="I409" s="222">
        <v>92</v>
      </c>
      <c r="J409" t="s">
        <v>8349</v>
      </c>
      <c r="K409" t="s">
        <v>8350</v>
      </c>
      <c r="L409" s="118">
        <v>43794</v>
      </c>
      <c r="M409" s="118">
        <v>43803</v>
      </c>
      <c r="N409" t="s">
        <v>8240</v>
      </c>
      <c r="O409" t="s">
        <v>8158</v>
      </c>
      <c r="P409" t="s">
        <v>861</v>
      </c>
      <c r="Q409" t="str">
        <f>tblSales[[#This Row],[FirstName]]&amp; " " &amp;tblSales[[#This Row],[LastName]]</f>
        <v>Robert King</v>
      </c>
      <c r="R409">
        <f>YEAR(tblSales[[#This Row],[OrderDate]])</f>
        <v>2019</v>
      </c>
      <c r="S409">
        <f>WEEKNUM(tblSales[[#This Row],[OrderDate]])</f>
        <v>48</v>
      </c>
      <c r="T409">
        <f>IF(ISBLANK(tblSales[[#This Row],[ShippedDate]]),"",tblSales[[#This Row],[ShippedDate]]-tblSales[[#This Row],[OrderDate]])</f>
        <v>9</v>
      </c>
      <c r="U409" t="str">
        <f>LEFT(tblSales[[#This Row],[ProductName]],20)</f>
        <v>Teatime Chocolate Bi</v>
      </c>
    </row>
    <row r="410" spans="2:21" x14ac:dyDescent="0.2">
      <c r="B410">
        <v>10550</v>
      </c>
      <c r="C410" t="s">
        <v>8368</v>
      </c>
      <c r="D410" t="s">
        <v>8324</v>
      </c>
      <c r="E410" t="s">
        <v>8262</v>
      </c>
      <c r="F410" s="222">
        <v>10</v>
      </c>
      <c r="G410">
        <v>6</v>
      </c>
      <c r="H410" s="223">
        <v>0.10000000149011599</v>
      </c>
      <c r="I410" s="222">
        <v>54</v>
      </c>
      <c r="J410" t="s">
        <v>8349</v>
      </c>
      <c r="K410" t="s">
        <v>8350</v>
      </c>
      <c r="L410" s="118">
        <v>43794</v>
      </c>
      <c r="M410" s="118">
        <v>43803</v>
      </c>
      <c r="N410" t="s">
        <v>8240</v>
      </c>
      <c r="O410" t="s">
        <v>8158</v>
      </c>
      <c r="P410" t="s">
        <v>861</v>
      </c>
      <c r="Q410" t="str">
        <f>tblSales[[#This Row],[FirstName]]&amp; " " &amp;tblSales[[#This Row],[LastName]]</f>
        <v>Robert King</v>
      </c>
      <c r="R410">
        <f>YEAR(tblSales[[#This Row],[OrderDate]])</f>
        <v>2019</v>
      </c>
      <c r="S410">
        <f>WEEKNUM(tblSales[[#This Row],[OrderDate]])</f>
        <v>48</v>
      </c>
      <c r="T410">
        <f>IF(ISBLANK(tblSales[[#This Row],[ShippedDate]]),"",tblSales[[#This Row],[ShippedDate]]-tblSales[[#This Row],[OrderDate]])</f>
        <v>9</v>
      </c>
      <c r="U410" t="str">
        <f>LEFT(tblSales[[#This Row],[ProductName]],20)</f>
        <v>Sir Rodney's Scones</v>
      </c>
    </row>
    <row r="411" spans="2:21" x14ac:dyDescent="0.2">
      <c r="B411">
        <v>10551</v>
      </c>
      <c r="C411" t="s">
        <v>8323</v>
      </c>
      <c r="D411" t="s">
        <v>8365</v>
      </c>
      <c r="E411" t="s">
        <v>8272</v>
      </c>
      <c r="F411" s="222">
        <v>18</v>
      </c>
      <c r="G411">
        <v>20</v>
      </c>
      <c r="H411" s="223">
        <v>0.15000000596046401</v>
      </c>
      <c r="I411" s="222">
        <v>306</v>
      </c>
      <c r="J411" t="s">
        <v>8366</v>
      </c>
      <c r="K411" t="s">
        <v>8367</v>
      </c>
      <c r="L411" s="118">
        <v>43794</v>
      </c>
      <c r="M411" s="118">
        <v>43803</v>
      </c>
      <c r="N411" t="s">
        <v>8240</v>
      </c>
      <c r="O411" t="s">
        <v>8266</v>
      </c>
      <c r="P411" t="s">
        <v>8267</v>
      </c>
      <c r="Q411" t="str">
        <f>tblSales[[#This Row],[FirstName]]&amp; " " &amp;tblSales[[#This Row],[LastName]]</f>
        <v>Margaret Peacock</v>
      </c>
      <c r="R411">
        <f>YEAR(tblSales[[#This Row],[OrderDate]])</f>
        <v>2019</v>
      </c>
      <c r="S411">
        <f>WEEKNUM(tblSales[[#This Row],[OrderDate]])</f>
        <v>48</v>
      </c>
      <c r="T411">
        <f>IF(ISBLANK(tblSales[[#This Row],[ShippedDate]]),"",tblSales[[#This Row],[ShippedDate]]-tblSales[[#This Row],[OrderDate]])</f>
        <v>9</v>
      </c>
      <c r="U411" t="str">
        <f>LEFT(tblSales[[#This Row],[ProductName]],20)</f>
        <v>Steeleye Stout</v>
      </c>
    </row>
    <row r="412" spans="2:21" x14ac:dyDescent="0.2">
      <c r="B412">
        <v>10551</v>
      </c>
      <c r="C412" t="s">
        <v>8322</v>
      </c>
      <c r="D412" t="s">
        <v>8365</v>
      </c>
      <c r="E412" t="s">
        <v>8254</v>
      </c>
      <c r="F412" s="222">
        <v>19.45</v>
      </c>
      <c r="G412">
        <v>40</v>
      </c>
      <c r="H412" s="223">
        <v>0</v>
      </c>
      <c r="I412" s="222">
        <v>778</v>
      </c>
      <c r="J412" t="s">
        <v>8366</v>
      </c>
      <c r="K412" t="s">
        <v>8367</v>
      </c>
      <c r="L412" s="118">
        <v>43794</v>
      </c>
      <c r="M412" s="118">
        <v>43803</v>
      </c>
      <c r="N412" t="s">
        <v>8240</v>
      </c>
      <c r="O412" t="s">
        <v>8266</v>
      </c>
      <c r="P412" t="s">
        <v>8267</v>
      </c>
      <c r="Q412" t="str">
        <f>tblSales[[#This Row],[FirstName]]&amp; " " &amp;tblSales[[#This Row],[LastName]]</f>
        <v>Margaret Peacock</v>
      </c>
      <c r="R412">
        <f>YEAR(tblSales[[#This Row],[OrderDate]])</f>
        <v>2019</v>
      </c>
      <c r="S412">
        <f>WEEKNUM(tblSales[[#This Row],[OrderDate]])</f>
        <v>48</v>
      </c>
      <c r="T412">
        <f>IF(ISBLANK(tblSales[[#This Row],[ShippedDate]]),"",tblSales[[#This Row],[ShippedDate]]-tblSales[[#This Row],[OrderDate]])</f>
        <v>9</v>
      </c>
      <c r="U412" t="str">
        <f>LEFT(tblSales[[#This Row],[ProductName]],20)</f>
        <v>Gula Malacca</v>
      </c>
    </row>
    <row r="413" spans="2:21" x14ac:dyDescent="0.2">
      <c r="B413">
        <v>10551</v>
      </c>
      <c r="C413" t="s">
        <v>8280</v>
      </c>
      <c r="D413" t="s">
        <v>8365</v>
      </c>
      <c r="E413" t="s">
        <v>8262</v>
      </c>
      <c r="F413" s="222">
        <v>17.45</v>
      </c>
      <c r="G413">
        <v>40</v>
      </c>
      <c r="H413" s="223">
        <v>0.15000000596046401</v>
      </c>
      <c r="I413" s="222">
        <v>593.29999999999995</v>
      </c>
      <c r="J413" t="s">
        <v>8366</v>
      </c>
      <c r="K413" t="s">
        <v>8367</v>
      </c>
      <c r="L413" s="118">
        <v>43794</v>
      </c>
      <c r="M413" s="118">
        <v>43803</v>
      </c>
      <c r="N413" t="s">
        <v>8240</v>
      </c>
      <c r="O413" t="s">
        <v>8266</v>
      </c>
      <c r="P413" t="s">
        <v>8267</v>
      </c>
      <c r="Q413" t="str">
        <f>tblSales[[#This Row],[FirstName]]&amp; " " &amp;tblSales[[#This Row],[LastName]]</f>
        <v>Margaret Peacock</v>
      </c>
      <c r="R413">
        <f>YEAR(tblSales[[#This Row],[OrderDate]])</f>
        <v>2019</v>
      </c>
      <c r="S413">
        <f>WEEKNUM(tblSales[[#This Row],[OrderDate]])</f>
        <v>48</v>
      </c>
      <c r="T413">
        <f>IF(ISBLANK(tblSales[[#This Row],[ShippedDate]]),"",tblSales[[#This Row],[ShippedDate]]-tblSales[[#This Row],[OrderDate]])</f>
        <v>9</v>
      </c>
      <c r="U413" t="str">
        <f>LEFT(tblSales[[#This Row],[ProductName]],20)</f>
        <v>Pavlova</v>
      </c>
    </row>
    <row r="414" spans="2:21" x14ac:dyDescent="0.2">
      <c r="B414">
        <v>10553</v>
      </c>
      <c r="C414" t="s">
        <v>8323</v>
      </c>
      <c r="D414" t="s">
        <v>8300</v>
      </c>
      <c r="E414" t="s">
        <v>8272</v>
      </c>
      <c r="F414" s="222">
        <v>18</v>
      </c>
      <c r="G414">
        <v>6</v>
      </c>
      <c r="H414" s="223">
        <v>0</v>
      </c>
      <c r="I414" s="222">
        <v>108</v>
      </c>
      <c r="J414" t="s">
        <v>8301</v>
      </c>
      <c r="K414" t="s">
        <v>8302</v>
      </c>
      <c r="L414" s="118">
        <v>43796</v>
      </c>
      <c r="M414" s="118">
        <v>43800</v>
      </c>
      <c r="N414" t="s">
        <v>8265</v>
      </c>
      <c r="O414" t="s">
        <v>8297</v>
      </c>
      <c r="P414" t="s">
        <v>8298</v>
      </c>
      <c r="Q414" t="str">
        <f>tblSales[[#This Row],[FirstName]]&amp; " " &amp;tblSales[[#This Row],[LastName]]</f>
        <v>Andrew Fuller</v>
      </c>
      <c r="R414">
        <f>YEAR(tblSales[[#This Row],[OrderDate]])</f>
        <v>2019</v>
      </c>
      <c r="S414">
        <f>WEEKNUM(tblSales[[#This Row],[OrderDate]])</f>
        <v>48</v>
      </c>
      <c r="T414">
        <f>IF(ISBLANK(tblSales[[#This Row],[ShippedDate]]),"",tblSales[[#This Row],[ShippedDate]]-tblSales[[#This Row],[OrderDate]])</f>
        <v>4</v>
      </c>
      <c r="U414" t="str">
        <f>LEFT(tblSales[[#This Row],[ProductName]],20)</f>
        <v>Steeleye Stout</v>
      </c>
    </row>
    <row r="415" spans="2:21" x14ac:dyDescent="0.2">
      <c r="B415">
        <v>10553</v>
      </c>
      <c r="C415" t="s">
        <v>8280</v>
      </c>
      <c r="D415" t="s">
        <v>8300</v>
      </c>
      <c r="E415" t="s">
        <v>8262</v>
      </c>
      <c r="F415" s="222">
        <v>17.45</v>
      </c>
      <c r="G415">
        <v>14</v>
      </c>
      <c r="H415" s="223">
        <v>0</v>
      </c>
      <c r="I415" s="222">
        <v>244.3</v>
      </c>
      <c r="J415" t="s">
        <v>8301</v>
      </c>
      <c r="K415" t="s">
        <v>8302</v>
      </c>
      <c r="L415" s="118">
        <v>43796</v>
      </c>
      <c r="M415" s="118">
        <v>43800</v>
      </c>
      <c r="N415" t="s">
        <v>8265</v>
      </c>
      <c r="O415" t="s">
        <v>8297</v>
      </c>
      <c r="P415" t="s">
        <v>8298</v>
      </c>
      <c r="Q415" t="str">
        <f>tblSales[[#This Row],[FirstName]]&amp; " " &amp;tblSales[[#This Row],[LastName]]</f>
        <v>Andrew Fuller</v>
      </c>
      <c r="R415">
        <f>YEAR(tblSales[[#This Row],[OrderDate]])</f>
        <v>2019</v>
      </c>
      <c r="S415">
        <f>WEEKNUM(tblSales[[#This Row],[OrderDate]])</f>
        <v>48</v>
      </c>
      <c r="T415">
        <f>IF(ISBLANK(tblSales[[#This Row],[ShippedDate]]),"",tblSales[[#This Row],[ShippedDate]]-tblSales[[#This Row],[OrderDate]])</f>
        <v>4</v>
      </c>
      <c r="U415" t="str">
        <f>LEFT(tblSales[[#This Row],[ProductName]],20)</f>
        <v>Pavlova</v>
      </c>
    </row>
    <row r="416" spans="2:21" x14ac:dyDescent="0.2">
      <c r="B416">
        <v>10553</v>
      </c>
      <c r="C416" t="s">
        <v>8309</v>
      </c>
      <c r="D416" t="s">
        <v>8300</v>
      </c>
      <c r="E416" t="s">
        <v>8237</v>
      </c>
      <c r="F416" s="222">
        <v>12.5</v>
      </c>
      <c r="G416">
        <v>30</v>
      </c>
      <c r="H416" s="223">
        <v>0</v>
      </c>
      <c r="I416" s="222">
        <v>375</v>
      </c>
      <c r="J416" t="s">
        <v>8301</v>
      </c>
      <c r="K416" t="s">
        <v>8302</v>
      </c>
      <c r="L416" s="118">
        <v>43796</v>
      </c>
      <c r="M416" s="118">
        <v>43800</v>
      </c>
      <c r="N416" t="s">
        <v>8265</v>
      </c>
      <c r="O416" t="s">
        <v>8297</v>
      </c>
      <c r="P416" t="s">
        <v>8298</v>
      </c>
      <c r="Q416" t="str">
        <f>tblSales[[#This Row],[FirstName]]&amp; " " &amp;tblSales[[#This Row],[LastName]]</f>
        <v>Andrew Fuller</v>
      </c>
      <c r="R416">
        <f>YEAR(tblSales[[#This Row],[OrderDate]])</f>
        <v>2019</v>
      </c>
      <c r="S416">
        <f>WEEKNUM(tblSales[[#This Row],[OrderDate]])</f>
        <v>48</v>
      </c>
      <c r="T416">
        <f>IF(ISBLANK(tblSales[[#This Row],[ShippedDate]]),"",tblSales[[#This Row],[ShippedDate]]-tblSales[[#This Row],[OrderDate]])</f>
        <v>4</v>
      </c>
      <c r="U416" t="str">
        <f>LEFT(tblSales[[#This Row],[ProductName]],20)</f>
        <v>Gorgonzola Telino</v>
      </c>
    </row>
    <row r="417" spans="2:21" x14ac:dyDescent="0.2">
      <c r="B417">
        <v>10553</v>
      </c>
      <c r="C417" t="s">
        <v>8242</v>
      </c>
      <c r="D417" t="s">
        <v>8300</v>
      </c>
      <c r="E417" t="s">
        <v>8237</v>
      </c>
      <c r="F417" s="222">
        <v>21</v>
      </c>
      <c r="G417">
        <v>15</v>
      </c>
      <c r="H417" s="223">
        <v>0</v>
      </c>
      <c r="I417" s="222">
        <v>315</v>
      </c>
      <c r="J417" t="s">
        <v>8301</v>
      </c>
      <c r="K417" t="s">
        <v>8302</v>
      </c>
      <c r="L417" s="118">
        <v>43796</v>
      </c>
      <c r="M417" s="118">
        <v>43800</v>
      </c>
      <c r="N417" t="s">
        <v>8265</v>
      </c>
      <c r="O417" t="s">
        <v>8297</v>
      </c>
      <c r="P417" t="s">
        <v>8298</v>
      </c>
      <c r="Q417" t="str">
        <f>tblSales[[#This Row],[FirstName]]&amp; " " &amp;tblSales[[#This Row],[LastName]]</f>
        <v>Andrew Fuller</v>
      </c>
      <c r="R417">
        <f>YEAR(tblSales[[#This Row],[OrderDate]])</f>
        <v>2019</v>
      </c>
      <c r="S417">
        <f>WEEKNUM(tblSales[[#This Row],[OrderDate]])</f>
        <v>48</v>
      </c>
      <c r="T417">
        <f>IF(ISBLANK(tblSales[[#This Row],[ShippedDate]]),"",tblSales[[#This Row],[ShippedDate]]-tblSales[[#This Row],[OrderDate]])</f>
        <v>4</v>
      </c>
      <c r="U417" t="str">
        <f>LEFT(tblSales[[#This Row],[ProductName]],20)</f>
        <v>Queso Cabrales</v>
      </c>
    </row>
    <row r="418" spans="2:21" x14ac:dyDescent="0.2">
      <c r="B418">
        <v>10553</v>
      </c>
      <c r="C418" t="s">
        <v>8259</v>
      </c>
      <c r="D418" t="s">
        <v>8300</v>
      </c>
      <c r="E418" t="s">
        <v>8244</v>
      </c>
      <c r="F418" s="222">
        <v>21</v>
      </c>
      <c r="G418">
        <v>24</v>
      </c>
      <c r="H418" s="223">
        <v>0</v>
      </c>
      <c r="I418" s="222">
        <v>504</v>
      </c>
      <c r="J418" t="s">
        <v>8301</v>
      </c>
      <c r="K418" t="s">
        <v>8302</v>
      </c>
      <c r="L418" s="118">
        <v>43796</v>
      </c>
      <c r="M418" s="118">
        <v>43800</v>
      </c>
      <c r="N418" t="s">
        <v>8265</v>
      </c>
      <c r="O418" t="s">
        <v>8297</v>
      </c>
      <c r="P418" t="s">
        <v>8298</v>
      </c>
      <c r="Q418" t="str">
        <f>tblSales[[#This Row],[FirstName]]&amp; " " &amp;tblSales[[#This Row],[LastName]]</f>
        <v>Andrew Fuller</v>
      </c>
      <c r="R418">
        <f>YEAR(tblSales[[#This Row],[OrderDate]])</f>
        <v>2019</v>
      </c>
      <c r="S418">
        <f>WEEKNUM(tblSales[[#This Row],[OrderDate]])</f>
        <v>48</v>
      </c>
      <c r="T418">
        <f>IF(ISBLANK(tblSales[[#This Row],[ShippedDate]]),"",tblSales[[#This Row],[ShippedDate]]-tblSales[[#This Row],[OrderDate]])</f>
        <v>4</v>
      </c>
      <c r="U418" t="str">
        <f>LEFT(tblSales[[#This Row],[ProductName]],20)</f>
        <v>Gustaf's Knäckebröd</v>
      </c>
    </row>
    <row r="419" spans="2:21" x14ac:dyDescent="0.2">
      <c r="B419">
        <v>10554</v>
      </c>
      <c r="C419" t="s">
        <v>8397</v>
      </c>
      <c r="D419" t="s">
        <v>8246</v>
      </c>
      <c r="E419" t="s">
        <v>8254</v>
      </c>
      <c r="F419" s="222">
        <v>13</v>
      </c>
      <c r="G419">
        <v>10</v>
      </c>
      <c r="H419" s="223">
        <v>5.0000000745058101E-2</v>
      </c>
      <c r="I419" s="222">
        <v>123.5</v>
      </c>
      <c r="J419" t="s">
        <v>8289</v>
      </c>
      <c r="K419" t="s">
        <v>8290</v>
      </c>
      <c r="L419" s="118">
        <v>43796</v>
      </c>
      <c r="M419" s="118">
        <v>43802</v>
      </c>
      <c r="N419" t="s">
        <v>8240</v>
      </c>
      <c r="O419" t="s">
        <v>8266</v>
      </c>
      <c r="P419" t="s">
        <v>8267</v>
      </c>
      <c r="Q419" t="str">
        <f>tblSales[[#This Row],[FirstName]]&amp; " " &amp;tblSales[[#This Row],[LastName]]</f>
        <v>Margaret Peacock</v>
      </c>
      <c r="R419">
        <f>YEAR(tblSales[[#This Row],[OrderDate]])</f>
        <v>2019</v>
      </c>
      <c r="S419">
        <f>WEEKNUM(tblSales[[#This Row],[OrderDate]])</f>
        <v>48</v>
      </c>
      <c r="T419">
        <f>IF(ISBLANK(tblSales[[#This Row],[ShippedDate]]),"",tblSales[[#This Row],[ShippedDate]]-tblSales[[#This Row],[OrderDate]])</f>
        <v>6</v>
      </c>
      <c r="U419" t="str">
        <f>LEFT(tblSales[[#This Row],[ProductName]],20)</f>
        <v>Original Frankfurter</v>
      </c>
    </row>
    <row r="420" spans="2:21" x14ac:dyDescent="0.2">
      <c r="B420">
        <v>10554</v>
      </c>
      <c r="C420" t="s">
        <v>8291</v>
      </c>
      <c r="D420" t="s">
        <v>8246</v>
      </c>
      <c r="E420" t="s">
        <v>8262</v>
      </c>
      <c r="F420" s="222">
        <v>49.3</v>
      </c>
      <c r="G420">
        <v>20</v>
      </c>
      <c r="H420" s="223">
        <v>5.0000000745058101E-2</v>
      </c>
      <c r="I420" s="222">
        <v>936.7</v>
      </c>
      <c r="J420" t="s">
        <v>8289</v>
      </c>
      <c r="K420" t="s">
        <v>8290</v>
      </c>
      <c r="L420" s="118">
        <v>43796</v>
      </c>
      <c r="M420" s="118">
        <v>43802</v>
      </c>
      <c r="N420" t="s">
        <v>8240</v>
      </c>
      <c r="O420" t="s">
        <v>8266</v>
      </c>
      <c r="P420" t="s">
        <v>8267</v>
      </c>
      <c r="Q420" t="str">
        <f>tblSales[[#This Row],[FirstName]]&amp; " " &amp;tblSales[[#This Row],[LastName]]</f>
        <v>Margaret Peacock</v>
      </c>
      <c r="R420">
        <f>YEAR(tblSales[[#This Row],[OrderDate]])</f>
        <v>2019</v>
      </c>
      <c r="S420">
        <f>WEEKNUM(tblSales[[#This Row],[OrderDate]])</f>
        <v>48</v>
      </c>
      <c r="T420">
        <f>IF(ISBLANK(tblSales[[#This Row],[ShippedDate]]),"",tblSales[[#This Row],[ShippedDate]]-tblSales[[#This Row],[OrderDate]])</f>
        <v>6</v>
      </c>
      <c r="U420" t="str">
        <f>LEFT(tblSales[[#This Row],[ProductName]],20)</f>
        <v>Tarte au sucre</v>
      </c>
    </row>
    <row r="421" spans="2:21" x14ac:dyDescent="0.2">
      <c r="B421">
        <v>10554</v>
      </c>
      <c r="C421" t="s">
        <v>8280</v>
      </c>
      <c r="D421" t="s">
        <v>8246</v>
      </c>
      <c r="E421" t="s">
        <v>8262</v>
      </c>
      <c r="F421" s="222">
        <v>17.45</v>
      </c>
      <c r="G421">
        <v>30</v>
      </c>
      <c r="H421" s="223">
        <v>5.0000000745058101E-2</v>
      </c>
      <c r="I421" s="222">
        <v>497.32</v>
      </c>
      <c r="J421" t="s">
        <v>8289</v>
      </c>
      <c r="K421" t="s">
        <v>8290</v>
      </c>
      <c r="L421" s="118">
        <v>43796</v>
      </c>
      <c r="M421" s="118">
        <v>43802</v>
      </c>
      <c r="N421" t="s">
        <v>8240</v>
      </c>
      <c r="O421" t="s">
        <v>8266</v>
      </c>
      <c r="P421" t="s">
        <v>8267</v>
      </c>
      <c r="Q421" t="str">
        <f>tblSales[[#This Row],[FirstName]]&amp; " " &amp;tblSales[[#This Row],[LastName]]</f>
        <v>Margaret Peacock</v>
      </c>
      <c r="R421">
        <f>YEAR(tblSales[[#This Row],[OrderDate]])</f>
        <v>2019</v>
      </c>
      <c r="S421">
        <f>WEEKNUM(tblSales[[#This Row],[OrderDate]])</f>
        <v>48</v>
      </c>
      <c r="T421">
        <f>IF(ISBLANK(tblSales[[#This Row],[ShippedDate]]),"",tblSales[[#This Row],[ShippedDate]]-tblSales[[#This Row],[OrderDate]])</f>
        <v>6</v>
      </c>
      <c r="U421" t="str">
        <f>LEFT(tblSales[[#This Row],[ProductName]],20)</f>
        <v>Pavlova</v>
      </c>
    </row>
    <row r="422" spans="2:21" x14ac:dyDescent="0.2">
      <c r="B422">
        <v>10554</v>
      </c>
      <c r="C422" t="s">
        <v>8373</v>
      </c>
      <c r="D422" t="s">
        <v>8246</v>
      </c>
      <c r="E422" t="s">
        <v>8244</v>
      </c>
      <c r="F422" s="222">
        <v>9</v>
      </c>
      <c r="G422">
        <v>20</v>
      </c>
      <c r="H422" s="223">
        <v>5.0000000745058101E-2</v>
      </c>
      <c r="I422" s="222">
        <v>171</v>
      </c>
      <c r="J422" t="s">
        <v>8289</v>
      </c>
      <c r="K422" t="s">
        <v>8290</v>
      </c>
      <c r="L422" s="118">
        <v>43796</v>
      </c>
      <c r="M422" s="118">
        <v>43802</v>
      </c>
      <c r="N422" t="s">
        <v>8240</v>
      </c>
      <c r="O422" t="s">
        <v>8266</v>
      </c>
      <c r="P422" t="s">
        <v>8267</v>
      </c>
      <c r="Q422" t="str">
        <f>tblSales[[#This Row],[FirstName]]&amp; " " &amp;tblSales[[#This Row],[LastName]]</f>
        <v>Margaret Peacock</v>
      </c>
      <c r="R422">
        <f>YEAR(tblSales[[#This Row],[OrderDate]])</f>
        <v>2019</v>
      </c>
      <c r="S422">
        <f>WEEKNUM(tblSales[[#This Row],[OrderDate]])</f>
        <v>48</v>
      </c>
      <c r="T422">
        <f>IF(ISBLANK(tblSales[[#This Row],[ShippedDate]]),"",tblSales[[#This Row],[ShippedDate]]-tblSales[[#This Row],[OrderDate]])</f>
        <v>6</v>
      </c>
      <c r="U422" t="str">
        <f>LEFT(tblSales[[#This Row],[ProductName]],20)</f>
        <v>Tunnbröd</v>
      </c>
    </row>
    <row r="423" spans="2:21" x14ac:dyDescent="0.2">
      <c r="B423">
        <v>11115</v>
      </c>
      <c r="C423" t="s">
        <v>8381</v>
      </c>
      <c r="D423" t="s">
        <v>8236</v>
      </c>
      <c r="E423" t="s">
        <v>8262</v>
      </c>
      <c r="F423" s="222">
        <v>13</v>
      </c>
      <c r="G423">
        <v>15</v>
      </c>
      <c r="H423" s="223">
        <v>0.10000000149011599</v>
      </c>
      <c r="I423" s="222">
        <v>175.5</v>
      </c>
      <c r="J423" t="s">
        <v>8382</v>
      </c>
      <c r="K423" t="s">
        <v>8383</v>
      </c>
      <c r="L423" s="118">
        <v>43796</v>
      </c>
      <c r="M423" s="118">
        <v>43818</v>
      </c>
      <c r="N423" t="s">
        <v>8265</v>
      </c>
      <c r="O423" t="s">
        <v>8251</v>
      </c>
      <c r="P423" t="s">
        <v>269</v>
      </c>
      <c r="Q423" t="str">
        <f>tblSales[[#This Row],[FirstName]]&amp; " " &amp;tblSales[[#This Row],[LastName]]</f>
        <v>Michael Suyama</v>
      </c>
      <c r="R423">
        <f>YEAR(tblSales[[#This Row],[OrderDate]])</f>
        <v>2019</v>
      </c>
      <c r="S423">
        <f>WEEKNUM(tblSales[[#This Row],[OrderDate]])</f>
        <v>48</v>
      </c>
      <c r="T423">
        <f>IF(ISBLANK(tblSales[[#This Row],[ShippedDate]]),"",tblSales[[#This Row],[ShippedDate]]-tblSales[[#This Row],[OrderDate]])</f>
        <v>22</v>
      </c>
      <c r="U423" t="str">
        <f>LEFT(tblSales[[#This Row],[ProductName]],20)</f>
        <v>Valkoinen suklaa</v>
      </c>
    </row>
    <row r="424" spans="2:21" x14ac:dyDescent="0.2">
      <c r="B424">
        <v>11115</v>
      </c>
      <c r="C424" t="s">
        <v>8353</v>
      </c>
      <c r="D424" t="s">
        <v>8236</v>
      </c>
      <c r="E424" t="s">
        <v>8237</v>
      </c>
      <c r="F424" s="222">
        <v>28.8</v>
      </c>
      <c r="G424">
        <v>18</v>
      </c>
      <c r="H424" s="223">
        <v>0.10000000149011599</v>
      </c>
      <c r="I424" s="222">
        <v>466.56</v>
      </c>
      <c r="J424" t="s">
        <v>8382</v>
      </c>
      <c r="K424" t="s">
        <v>8383</v>
      </c>
      <c r="L424" s="118">
        <v>43796</v>
      </c>
      <c r="M424" s="118">
        <v>43818</v>
      </c>
      <c r="N424" t="s">
        <v>8265</v>
      </c>
      <c r="O424" t="s">
        <v>8251</v>
      </c>
      <c r="P424" t="s">
        <v>269</v>
      </c>
      <c r="Q424" t="str">
        <f>tblSales[[#This Row],[FirstName]]&amp; " " &amp;tblSales[[#This Row],[LastName]]</f>
        <v>Michael Suyama</v>
      </c>
      <c r="R424">
        <f>YEAR(tblSales[[#This Row],[OrderDate]])</f>
        <v>2019</v>
      </c>
      <c r="S424">
        <f>WEEKNUM(tblSales[[#This Row],[OrderDate]])</f>
        <v>48</v>
      </c>
      <c r="T424">
        <f>IF(ISBLANK(tblSales[[#This Row],[ShippedDate]]),"",tblSales[[#This Row],[ShippedDate]]-tblSales[[#This Row],[OrderDate]])</f>
        <v>22</v>
      </c>
      <c r="U424" t="str">
        <f>LEFT(tblSales[[#This Row],[ProductName]],20)</f>
        <v>Gudbrandsdalsost</v>
      </c>
    </row>
    <row r="425" spans="2:21" x14ac:dyDescent="0.2">
      <c r="B425">
        <v>10557</v>
      </c>
      <c r="C425" t="s">
        <v>8328</v>
      </c>
      <c r="D425" t="s">
        <v>8246</v>
      </c>
      <c r="E425" t="s">
        <v>8272</v>
      </c>
      <c r="F425" s="222">
        <v>7.75</v>
      </c>
      <c r="G425">
        <v>20</v>
      </c>
      <c r="H425" s="223">
        <v>0</v>
      </c>
      <c r="I425" s="222">
        <v>155</v>
      </c>
      <c r="J425" t="s">
        <v>8330</v>
      </c>
      <c r="K425" t="s">
        <v>8331</v>
      </c>
      <c r="L425" s="118">
        <v>43800</v>
      </c>
      <c r="M425" s="118">
        <v>43803</v>
      </c>
      <c r="N425" t="s">
        <v>8265</v>
      </c>
      <c r="O425" t="s">
        <v>8279</v>
      </c>
      <c r="P425" t="s">
        <v>710</v>
      </c>
      <c r="Q425" t="str">
        <f>tblSales[[#This Row],[FirstName]]&amp; " " &amp;tblSales[[#This Row],[LastName]]</f>
        <v>Anne Dodsworth</v>
      </c>
      <c r="R425">
        <f>YEAR(tblSales[[#This Row],[OrderDate]])</f>
        <v>2019</v>
      </c>
      <c r="S425">
        <f>WEEKNUM(tblSales[[#This Row],[OrderDate]])</f>
        <v>49</v>
      </c>
      <c r="T425">
        <f>IF(ISBLANK(tblSales[[#This Row],[ShippedDate]]),"",tblSales[[#This Row],[ShippedDate]]-tblSales[[#This Row],[OrderDate]])</f>
        <v>3</v>
      </c>
      <c r="U425" t="str">
        <f>LEFT(tblSales[[#This Row],[ProductName]],20)</f>
        <v>Rhönbräu Klosterbier</v>
      </c>
    </row>
    <row r="426" spans="2:21" x14ac:dyDescent="0.2">
      <c r="B426">
        <v>10557</v>
      </c>
      <c r="C426" t="s">
        <v>8340</v>
      </c>
      <c r="D426" t="s">
        <v>8246</v>
      </c>
      <c r="E426" t="s">
        <v>8244</v>
      </c>
      <c r="F426" s="222">
        <v>33.25</v>
      </c>
      <c r="G426">
        <v>30</v>
      </c>
      <c r="H426" s="223">
        <v>0</v>
      </c>
      <c r="I426" s="222">
        <v>997.5</v>
      </c>
      <c r="J426" t="s">
        <v>8330</v>
      </c>
      <c r="K426" t="s">
        <v>8331</v>
      </c>
      <c r="L426" s="118">
        <v>43800</v>
      </c>
      <c r="M426" s="118">
        <v>43803</v>
      </c>
      <c r="N426" t="s">
        <v>8265</v>
      </c>
      <c r="O426" t="s">
        <v>8279</v>
      </c>
      <c r="P426" t="s">
        <v>710</v>
      </c>
      <c r="Q426" t="str">
        <f>tblSales[[#This Row],[FirstName]]&amp; " " &amp;tblSales[[#This Row],[LastName]]</f>
        <v>Anne Dodsworth</v>
      </c>
      <c r="R426">
        <f>YEAR(tblSales[[#This Row],[OrderDate]])</f>
        <v>2019</v>
      </c>
      <c r="S426">
        <f>WEEKNUM(tblSales[[#This Row],[OrderDate]])</f>
        <v>49</v>
      </c>
      <c r="T426">
        <f>IF(ISBLANK(tblSales[[#This Row],[ShippedDate]]),"",tblSales[[#This Row],[ShippedDate]]-tblSales[[#This Row],[OrderDate]])</f>
        <v>3</v>
      </c>
      <c r="U426" t="str">
        <f>LEFT(tblSales[[#This Row],[ProductName]],20)</f>
        <v>Wimmers gute Semmelk</v>
      </c>
    </row>
    <row r="427" spans="2:21" x14ac:dyDescent="0.2">
      <c r="B427">
        <v>11102</v>
      </c>
      <c r="C427" t="s">
        <v>8270</v>
      </c>
      <c r="D427" t="s">
        <v>2434</v>
      </c>
      <c r="E427" t="s">
        <v>8272</v>
      </c>
      <c r="F427" s="222">
        <v>3.6</v>
      </c>
      <c r="G427">
        <v>25</v>
      </c>
      <c r="H427" s="223">
        <v>0</v>
      </c>
      <c r="I427" s="222">
        <v>90</v>
      </c>
      <c r="J427" t="s">
        <v>8386</v>
      </c>
      <c r="K427" t="s">
        <v>8387</v>
      </c>
      <c r="L427" s="118">
        <v>43800</v>
      </c>
      <c r="M427" s="118">
        <v>43805</v>
      </c>
      <c r="N427" t="s">
        <v>8250</v>
      </c>
      <c r="O427" t="s">
        <v>8251</v>
      </c>
      <c r="P427" t="s">
        <v>269</v>
      </c>
      <c r="Q427" t="str">
        <f>tblSales[[#This Row],[FirstName]]&amp; " " &amp;tblSales[[#This Row],[LastName]]</f>
        <v>Michael Suyama</v>
      </c>
      <c r="R427">
        <f>YEAR(tblSales[[#This Row],[OrderDate]])</f>
        <v>2019</v>
      </c>
      <c r="S427">
        <f>WEEKNUM(tblSales[[#This Row],[OrderDate]])</f>
        <v>49</v>
      </c>
      <c r="T427">
        <f>IF(ISBLANK(tblSales[[#This Row],[ShippedDate]]),"",tblSales[[#This Row],[ShippedDate]]-tblSales[[#This Row],[OrderDate]])</f>
        <v>5</v>
      </c>
      <c r="U427" t="str">
        <f>LEFT(tblSales[[#This Row],[ProductName]],20)</f>
        <v>Guaraná Fantástica</v>
      </c>
    </row>
    <row r="428" spans="2:21" x14ac:dyDescent="0.2">
      <c r="B428">
        <v>11102</v>
      </c>
      <c r="C428" t="s">
        <v>8258</v>
      </c>
      <c r="D428" t="s">
        <v>2434</v>
      </c>
      <c r="E428" t="s">
        <v>8244</v>
      </c>
      <c r="F428" s="222">
        <v>15.6</v>
      </c>
      <c r="G428">
        <v>25</v>
      </c>
      <c r="H428" s="223">
        <v>0</v>
      </c>
      <c r="I428" s="222">
        <v>390</v>
      </c>
      <c r="J428" t="s">
        <v>8386</v>
      </c>
      <c r="K428" t="s">
        <v>8387</v>
      </c>
      <c r="L428" s="118">
        <v>43800</v>
      </c>
      <c r="M428" s="118">
        <v>43805</v>
      </c>
      <c r="N428" t="s">
        <v>8250</v>
      </c>
      <c r="O428" t="s">
        <v>8251</v>
      </c>
      <c r="P428" t="s">
        <v>269</v>
      </c>
      <c r="Q428" t="str">
        <f>tblSales[[#This Row],[FirstName]]&amp; " " &amp;tblSales[[#This Row],[LastName]]</f>
        <v>Michael Suyama</v>
      </c>
      <c r="R428">
        <f>YEAR(tblSales[[#This Row],[OrderDate]])</f>
        <v>2019</v>
      </c>
      <c r="S428">
        <f>WEEKNUM(tblSales[[#This Row],[OrderDate]])</f>
        <v>49</v>
      </c>
      <c r="T428">
        <f>IF(ISBLANK(tblSales[[#This Row],[ShippedDate]]),"",tblSales[[#This Row],[ShippedDate]]-tblSales[[#This Row],[OrderDate]])</f>
        <v>5</v>
      </c>
      <c r="U428" t="str">
        <f>LEFT(tblSales[[#This Row],[ProductName]],20)</f>
        <v>Ravioli Angelo</v>
      </c>
    </row>
    <row r="429" spans="2:21" x14ac:dyDescent="0.2">
      <c r="B429">
        <v>10556</v>
      </c>
      <c r="C429" t="s">
        <v>8235</v>
      </c>
      <c r="D429" t="s">
        <v>8374</v>
      </c>
      <c r="E429" t="s">
        <v>8237</v>
      </c>
      <c r="F429" s="222">
        <v>34.799999999999997</v>
      </c>
      <c r="G429">
        <v>24</v>
      </c>
      <c r="H429" s="223">
        <v>0</v>
      </c>
      <c r="I429" s="222">
        <v>835.2</v>
      </c>
      <c r="J429" t="s">
        <v>8375</v>
      </c>
      <c r="K429" t="s">
        <v>8376</v>
      </c>
      <c r="L429" s="118">
        <v>43800</v>
      </c>
      <c r="M429" s="118">
        <v>43810</v>
      </c>
      <c r="N429" t="s">
        <v>8250</v>
      </c>
      <c r="O429" t="s">
        <v>8297</v>
      </c>
      <c r="P429" t="s">
        <v>8298</v>
      </c>
      <c r="Q429" t="str">
        <f>tblSales[[#This Row],[FirstName]]&amp; " " &amp;tblSales[[#This Row],[LastName]]</f>
        <v>Andrew Fuller</v>
      </c>
      <c r="R429">
        <f>YEAR(tblSales[[#This Row],[OrderDate]])</f>
        <v>2019</v>
      </c>
      <c r="S429">
        <f>WEEKNUM(tblSales[[#This Row],[OrderDate]])</f>
        <v>49</v>
      </c>
      <c r="T429">
        <f>IF(ISBLANK(tblSales[[#This Row],[ShippedDate]]),"",tblSales[[#This Row],[ShippedDate]]-tblSales[[#This Row],[OrderDate]])</f>
        <v>10</v>
      </c>
      <c r="U429" t="str">
        <f>LEFT(tblSales[[#This Row],[ProductName]],20)</f>
        <v>Mozzarella di Giovan</v>
      </c>
    </row>
    <row r="430" spans="2:21" x14ac:dyDescent="0.2">
      <c r="B430">
        <v>10558</v>
      </c>
      <c r="C430" t="s">
        <v>8410</v>
      </c>
      <c r="D430" t="s">
        <v>2434</v>
      </c>
      <c r="E430" t="s">
        <v>8262</v>
      </c>
      <c r="F430" s="222">
        <v>9.5</v>
      </c>
      <c r="G430">
        <v>25</v>
      </c>
      <c r="H430" s="223">
        <v>0</v>
      </c>
      <c r="I430" s="222">
        <v>237.5</v>
      </c>
      <c r="J430" t="s">
        <v>8386</v>
      </c>
      <c r="K430" t="s">
        <v>8387</v>
      </c>
      <c r="L430" s="118">
        <v>43801</v>
      </c>
      <c r="M430" s="118">
        <v>43807</v>
      </c>
      <c r="N430" t="s">
        <v>8265</v>
      </c>
      <c r="O430" t="s">
        <v>8285</v>
      </c>
      <c r="P430" t="s">
        <v>2317</v>
      </c>
      <c r="Q430" t="str">
        <f>tblSales[[#This Row],[FirstName]]&amp; " " &amp;tblSales[[#This Row],[LastName]]</f>
        <v>Nancy Davolio</v>
      </c>
      <c r="R430">
        <f>YEAR(tblSales[[#This Row],[OrderDate]])</f>
        <v>2019</v>
      </c>
      <c r="S430">
        <f>WEEKNUM(tblSales[[#This Row],[OrderDate]])</f>
        <v>49</v>
      </c>
      <c r="T430">
        <f>IF(ISBLANK(tblSales[[#This Row],[ShippedDate]]),"",tblSales[[#This Row],[ShippedDate]]-tblSales[[#This Row],[OrderDate]])</f>
        <v>6</v>
      </c>
      <c r="U430" t="str">
        <f>LEFT(tblSales[[#This Row],[ProductName]],20)</f>
        <v>Zaanse koeken</v>
      </c>
    </row>
    <row r="431" spans="2:21" x14ac:dyDescent="0.2">
      <c r="B431">
        <v>10558</v>
      </c>
      <c r="C431" t="s">
        <v>8369</v>
      </c>
      <c r="D431" t="s">
        <v>2434</v>
      </c>
      <c r="E431" t="s">
        <v>8244</v>
      </c>
      <c r="F431" s="222">
        <v>7</v>
      </c>
      <c r="G431">
        <v>30</v>
      </c>
      <c r="H431" s="223">
        <v>0</v>
      </c>
      <c r="I431" s="222">
        <v>210</v>
      </c>
      <c r="J431" t="s">
        <v>8386</v>
      </c>
      <c r="K431" t="s">
        <v>8387</v>
      </c>
      <c r="L431" s="118">
        <v>43801</v>
      </c>
      <c r="M431" s="118">
        <v>43807</v>
      </c>
      <c r="N431" t="s">
        <v>8265</v>
      </c>
      <c r="O431" t="s">
        <v>8285</v>
      </c>
      <c r="P431" t="s">
        <v>2317</v>
      </c>
      <c r="Q431" t="str">
        <f>tblSales[[#This Row],[FirstName]]&amp; " " &amp;tblSales[[#This Row],[LastName]]</f>
        <v>Nancy Davolio</v>
      </c>
      <c r="R431">
        <f>YEAR(tblSales[[#This Row],[OrderDate]])</f>
        <v>2019</v>
      </c>
      <c r="S431">
        <f>WEEKNUM(tblSales[[#This Row],[OrderDate]])</f>
        <v>49</v>
      </c>
      <c r="T431">
        <f>IF(ISBLANK(tblSales[[#This Row],[ShippedDate]]),"",tblSales[[#This Row],[ShippedDate]]-tblSales[[#This Row],[OrderDate]])</f>
        <v>6</v>
      </c>
      <c r="U431" t="str">
        <f>LEFT(tblSales[[#This Row],[ProductName]],20)</f>
        <v>Filo Mix</v>
      </c>
    </row>
    <row r="432" spans="2:21" x14ac:dyDescent="0.2">
      <c r="B432">
        <v>10558</v>
      </c>
      <c r="C432" t="s">
        <v>8245</v>
      </c>
      <c r="D432" t="s">
        <v>2434</v>
      </c>
      <c r="E432" t="s">
        <v>8247</v>
      </c>
      <c r="F432" s="222">
        <v>53</v>
      </c>
      <c r="G432">
        <v>20</v>
      </c>
      <c r="H432" s="223">
        <v>0</v>
      </c>
      <c r="I432" s="222">
        <v>1060</v>
      </c>
      <c r="J432" t="s">
        <v>8386</v>
      </c>
      <c r="K432" t="s">
        <v>8387</v>
      </c>
      <c r="L432" s="118">
        <v>43801</v>
      </c>
      <c r="M432" s="118">
        <v>43807</v>
      </c>
      <c r="N432" t="s">
        <v>8265</v>
      </c>
      <c r="O432" t="s">
        <v>8285</v>
      </c>
      <c r="P432" t="s">
        <v>2317</v>
      </c>
      <c r="Q432" t="str">
        <f>tblSales[[#This Row],[FirstName]]&amp; " " &amp;tblSales[[#This Row],[LastName]]</f>
        <v>Nancy Davolio</v>
      </c>
      <c r="R432">
        <f>YEAR(tblSales[[#This Row],[OrderDate]])</f>
        <v>2019</v>
      </c>
      <c r="S432">
        <f>WEEKNUM(tblSales[[#This Row],[OrderDate]])</f>
        <v>49</v>
      </c>
      <c r="T432">
        <f>IF(ISBLANK(tblSales[[#This Row],[ShippedDate]]),"",tblSales[[#This Row],[ShippedDate]]-tblSales[[#This Row],[OrderDate]])</f>
        <v>6</v>
      </c>
      <c r="U432" t="str">
        <f>LEFT(tblSales[[#This Row],[ProductName]],20)</f>
        <v>Manjimup Dried Apple</v>
      </c>
    </row>
    <row r="433" spans="2:21" x14ac:dyDescent="0.2">
      <c r="B433">
        <v>10560</v>
      </c>
      <c r="C433" t="s">
        <v>8291</v>
      </c>
      <c r="D433" t="s">
        <v>8246</v>
      </c>
      <c r="E433" t="s">
        <v>8262</v>
      </c>
      <c r="F433" s="222">
        <v>49.3</v>
      </c>
      <c r="G433">
        <v>15</v>
      </c>
      <c r="H433" s="223">
        <v>0.25</v>
      </c>
      <c r="I433" s="222">
        <v>554.62</v>
      </c>
      <c r="J433" t="s">
        <v>8304</v>
      </c>
      <c r="K433" t="s">
        <v>8305</v>
      </c>
      <c r="L433" s="118">
        <v>43803</v>
      </c>
      <c r="M433" s="118">
        <v>43806</v>
      </c>
      <c r="N433" t="s">
        <v>8250</v>
      </c>
      <c r="O433" t="s">
        <v>8320</v>
      </c>
      <c r="P433" t="s">
        <v>8321</v>
      </c>
      <c r="Q433" t="str">
        <f>tblSales[[#This Row],[FirstName]]&amp; " " &amp;tblSales[[#This Row],[LastName]]</f>
        <v>Laura Callahan</v>
      </c>
      <c r="R433">
        <f>YEAR(tblSales[[#This Row],[OrderDate]])</f>
        <v>2019</v>
      </c>
      <c r="S433">
        <f>WEEKNUM(tblSales[[#This Row],[OrderDate]])</f>
        <v>49</v>
      </c>
      <c r="T433">
        <f>IF(ISBLANK(tblSales[[#This Row],[ShippedDate]]),"",tblSales[[#This Row],[ShippedDate]]-tblSales[[#This Row],[OrderDate]])</f>
        <v>3</v>
      </c>
      <c r="U433" t="str">
        <f>LEFT(tblSales[[#This Row],[ProductName]],20)</f>
        <v>Tarte au sucre</v>
      </c>
    </row>
    <row r="434" spans="2:21" x14ac:dyDescent="0.2">
      <c r="B434">
        <v>10561</v>
      </c>
      <c r="C434" t="s">
        <v>8322</v>
      </c>
      <c r="D434" t="s">
        <v>8292</v>
      </c>
      <c r="E434" t="s">
        <v>8254</v>
      </c>
      <c r="F434" s="222">
        <v>19.45</v>
      </c>
      <c r="G434">
        <v>10</v>
      </c>
      <c r="H434" s="223">
        <v>0</v>
      </c>
      <c r="I434" s="222">
        <v>194.5</v>
      </c>
      <c r="J434" t="s">
        <v>8293</v>
      </c>
      <c r="K434" t="s">
        <v>8294</v>
      </c>
      <c r="L434" s="118">
        <v>43803</v>
      </c>
      <c r="M434" s="118">
        <v>43806</v>
      </c>
      <c r="N434" t="s">
        <v>8265</v>
      </c>
      <c r="O434" t="s">
        <v>8297</v>
      </c>
      <c r="P434" t="s">
        <v>8298</v>
      </c>
      <c r="Q434" t="str">
        <f>tblSales[[#This Row],[FirstName]]&amp; " " &amp;tblSales[[#This Row],[LastName]]</f>
        <v>Andrew Fuller</v>
      </c>
      <c r="R434">
        <f>YEAR(tblSales[[#This Row],[OrderDate]])</f>
        <v>2019</v>
      </c>
      <c r="S434">
        <f>WEEKNUM(tblSales[[#This Row],[OrderDate]])</f>
        <v>49</v>
      </c>
      <c r="T434">
        <f>IF(ISBLANK(tblSales[[#This Row],[ShippedDate]]),"",tblSales[[#This Row],[ShippedDate]]-tblSales[[#This Row],[OrderDate]])</f>
        <v>3</v>
      </c>
      <c r="U434" t="str">
        <f>LEFT(tblSales[[#This Row],[ProductName]],20)</f>
        <v>Gula Malacca</v>
      </c>
    </row>
    <row r="435" spans="2:21" x14ac:dyDescent="0.2">
      <c r="B435">
        <v>10561</v>
      </c>
      <c r="C435" t="s">
        <v>8245</v>
      </c>
      <c r="D435" t="s">
        <v>8292</v>
      </c>
      <c r="E435" t="s">
        <v>8247</v>
      </c>
      <c r="F435" s="222">
        <v>53</v>
      </c>
      <c r="G435">
        <v>50</v>
      </c>
      <c r="H435" s="223">
        <v>0</v>
      </c>
      <c r="I435" s="222">
        <v>2650</v>
      </c>
      <c r="J435" t="s">
        <v>8293</v>
      </c>
      <c r="K435" t="s">
        <v>8294</v>
      </c>
      <c r="L435" s="118">
        <v>43803</v>
      </c>
      <c r="M435" s="118">
        <v>43806</v>
      </c>
      <c r="N435" t="s">
        <v>8265</v>
      </c>
      <c r="O435" t="s">
        <v>8297</v>
      </c>
      <c r="P435" t="s">
        <v>8298</v>
      </c>
      <c r="Q435" t="str">
        <f>tblSales[[#This Row],[FirstName]]&amp; " " &amp;tblSales[[#This Row],[LastName]]</f>
        <v>Andrew Fuller</v>
      </c>
      <c r="R435">
        <f>YEAR(tblSales[[#This Row],[OrderDate]])</f>
        <v>2019</v>
      </c>
      <c r="S435">
        <f>WEEKNUM(tblSales[[#This Row],[OrderDate]])</f>
        <v>49</v>
      </c>
      <c r="T435">
        <f>IF(ISBLANK(tblSales[[#This Row],[ShippedDate]]),"",tblSales[[#This Row],[ShippedDate]]-tblSales[[#This Row],[OrderDate]])</f>
        <v>3</v>
      </c>
      <c r="U435" t="str">
        <f>LEFT(tblSales[[#This Row],[ProductName]],20)</f>
        <v>Manjimup Dried Apple</v>
      </c>
    </row>
    <row r="436" spans="2:21" x14ac:dyDescent="0.2">
      <c r="B436">
        <v>11104</v>
      </c>
      <c r="C436" t="s">
        <v>8358</v>
      </c>
      <c r="D436" t="s">
        <v>8236</v>
      </c>
      <c r="E436" t="s">
        <v>8272</v>
      </c>
      <c r="F436" s="222">
        <v>11.2</v>
      </c>
      <c r="G436">
        <v>10</v>
      </c>
      <c r="H436" s="223">
        <v>5.0000000745058101E-2</v>
      </c>
      <c r="I436" s="222">
        <v>106.4</v>
      </c>
      <c r="J436" t="s">
        <v>8382</v>
      </c>
      <c r="K436" t="s">
        <v>8383</v>
      </c>
      <c r="L436" s="118">
        <v>43805</v>
      </c>
      <c r="M436" s="118">
        <v>43812</v>
      </c>
      <c r="N436" t="s">
        <v>8250</v>
      </c>
      <c r="O436" t="s">
        <v>8241</v>
      </c>
      <c r="P436" t="s">
        <v>6934</v>
      </c>
      <c r="Q436" t="str">
        <f>tblSales[[#This Row],[FirstName]]&amp; " " &amp;tblSales[[#This Row],[LastName]]</f>
        <v>Steven Buchanan</v>
      </c>
      <c r="R436">
        <f>YEAR(tblSales[[#This Row],[OrderDate]])</f>
        <v>2019</v>
      </c>
      <c r="S436">
        <f>WEEKNUM(tblSales[[#This Row],[OrderDate]])</f>
        <v>49</v>
      </c>
      <c r="T436">
        <f>IF(ISBLANK(tblSales[[#This Row],[ShippedDate]]),"",tblSales[[#This Row],[ShippedDate]]-tblSales[[#This Row],[OrderDate]])</f>
        <v>7</v>
      </c>
      <c r="U436" t="str">
        <f>LEFT(tblSales[[#This Row],[ProductName]],20)</f>
        <v>Sasquatch Ale</v>
      </c>
    </row>
    <row r="437" spans="2:21" x14ac:dyDescent="0.2">
      <c r="B437">
        <v>11104</v>
      </c>
      <c r="C437" t="s">
        <v>8270</v>
      </c>
      <c r="D437" t="s">
        <v>8236</v>
      </c>
      <c r="E437" t="s">
        <v>8272</v>
      </c>
      <c r="F437" s="222">
        <v>3.6</v>
      </c>
      <c r="G437">
        <v>10</v>
      </c>
      <c r="H437" s="223">
        <v>5.0000000745058101E-2</v>
      </c>
      <c r="I437" s="222">
        <v>34.200000000000003</v>
      </c>
      <c r="J437" t="s">
        <v>8382</v>
      </c>
      <c r="K437" t="s">
        <v>8383</v>
      </c>
      <c r="L437" s="118">
        <v>43805</v>
      </c>
      <c r="M437" s="118">
        <v>43812</v>
      </c>
      <c r="N437" t="s">
        <v>8250</v>
      </c>
      <c r="O437" t="s">
        <v>8241</v>
      </c>
      <c r="P437" t="s">
        <v>6934</v>
      </c>
      <c r="Q437" t="str">
        <f>tblSales[[#This Row],[FirstName]]&amp; " " &amp;tblSales[[#This Row],[LastName]]</f>
        <v>Steven Buchanan</v>
      </c>
      <c r="R437">
        <f>YEAR(tblSales[[#This Row],[OrderDate]])</f>
        <v>2019</v>
      </c>
      <c r="S437">
        <f>WEEKNUM(tblSales[[#This Row],[OrderDate]])</f>
        <v>49</v>
      </c>
      <c r="T437">
        <f>IF(ISBLANK(tblSales[[#This Row],[ShippedDate]]),"",tblSales[[#This Row],[ShippedDate]]-tblSales[[#This Row],[OrderDate]])</f>
        <v>7</v>
      </c>
      <c r="U437" t="str">
        <f>LEFT(tblSales[[#This Row],[ProductName]],20)</f>
        <v>Guaraná Fantástica</v>
      </c>
    </row>
    <row r="438" spans="2:21" x14ac:dyDescent="0.2">
      <c r="B438">
        <v>10562</v>
      </c>
      <c r="C438" t="s">
        <v>8291</v>
      </c>
      <c r="D438" t="s">
        <v>8311</v>
      </c>
      <c r="E438" t="s">
        <v>8262</v>
      </c>
      <c r="F438" s="222">
        <v>49.3</v>
      </c>
      <c r="G438">
        <v>10</v>
      </c>
      <c r="H438" s="223">
        <v>0.10000000149011599</v>
      </c>
      <c r="I438" s="222">
        <v>443.7</v>
      </c>
      <c r="J438" t="s">
        <v>8335</v>
      </c>
      <c r="K438" t="s">
        <v>8336</v>
      </c>
      <c r="L438" s="118">
        <v>43806</v>
      </c>
      <c r="M438" s="118">
        <v>43809</v>
      </c>
      <c r="N438" t="s">
        <v>8250</v>
      </c>
      <c r="O438" t="s">
        <v>8285</v>
      </c>
      <c r="P438" t="s">
        <v>2317</v>
      </c>
      <c r="Q438" t="str">
        <f>tblSales[[#This Row],[FirstName]]&amp; " " &amp;tblSales[[#This Row],[LastName]]</f>
        <v>Nancy Davolio</v>
      </c>
      <c r="R438">
        <f>YEAR(tblSales[[#This Row],[OrderDate]])</f>
        <v>2019</v>
      </c>
      <c r="S438">
        <f>WEEKNUM(tblSales[[#This Row],[OrderDate]])</f>
        <v>49</v>
      </c>
      <c r="T438">
        <f>IF(ISBLANK(tblSales[[#This Row],[ShippedDate]]),"",tblSales[[#This Row],[ShippedDate]]-tblSales[[#This Row],[OrderDate]])</f>
        <v>3</v>
      </c>
      <c r="U438" t="str">
        <f>LEFT(tblSales[[#This Row],[ProductName]],20)</f>
        <v>Tarte au sucre</v>
      </c>
    </row>
    <row r="439" spans="2:21" x14ac:dyDescent="0.2">
      <c r="B439">
        <v>10562</v>
      </c>
      <c r="C439" t="s">
        <v>8269</v>
      </c>
      <c r="D439" t="s">
        <v>8311</v>
      </c>
      <c r="E439" t="s">
        <v>8237</v>
      </c>
      <c r="F439" s="222">
        <v>2.5</v>
      </c>
      <c r="G439">
        <v>20</v>
      </c>
      <c r="H439" s="223">
        <v>0.10000000149011599</v>
      </c>
      <c r="I439" s="222">
        <v>45</v>
      </c>
      <c r="J439" t="s">
        <v>8335</v>
      </c>
      <c r="K439" t="s">
        <v>8336</v>
      </c>
      <c r="L439" s="118">
        <v>43806</v>
      </c>
      <c r="M439" s="118">
        <v>43809</v>
      </c>
      <c r="N439" t="s">
        <v>8250</v>
      </c>
      <c r="O439" t="s">
        <v>8285</v>
      </c>
      <c r="P439" t="s">
        <v>2317</v>
      </c>
      <c r="Q439" t="str">
        <f>tblSales[[#This Row],[FirstName]]&amp; " " &amp;tblSales[[#This Row],[LastName]]</f>
        <v>Nancy Davolio</v>
      </c>
      <c r="R439">
        <f>YEAR(tblSales[[#This Row],[OrderDate]])</f>
        <v>2019</v>
      </c>
      <c r="S439">
        <f>WEEKNUM(tblSales[[#This Row],[OrderDate]])</f>
        <v>49</v>
      </c>
      <c r="T439">
        <f>IF(ISBLANK(tblSales[[#This Row],[ShippedDate]]),"",tblSales[[#This Row],[ShippedDate]]-tblSales[[#This Row],[OrderDate]])</f>
        <v>3</v>
      </c>
      <c r="U439" t="str">
        <f>LEFT(tblSales[[#This Row],[ProductName]],20)</f>
        <v>Geitost</v>
      </c>
    </row>
    <row r="440" spans="2:21" x14ac:dyDescent="0.2">
      <c r="B440">
        <v>11110</v>
      </c>
      <c r="C440" t="s">
        <v>8380</v>
      </c>
      <c r="D440" t="s">
        <v>8236</v>
      </c>
      <c r="E440" t="s">
        <v>8272</v>
      </c>
      <c r="F440" s="222">
        <v>210.8</v>
      </c>
      <c r="G440">
        <v>10</v>
      </c>
      <c r="H440" s="223">
        <v>0</v>
      </c>
      <c r="I440" s="222">
        <v>2108</v>
      </c>
      <c r="J440" t="s">
        <v>8295</v>
      </c>
      <c r="K440" t="s">
        <v>8296</v>
      </c>
      <c r="L440" s="118">
        <v>43807</v>
      </c>
      <c r="M440" s="118">
        <v>43817</v>
      </c>
      <c r="N440" t="s">
        <v>8240</v>
      </c>
      <c r="O440" t="s">
        <v>8266</v>
      </c>
      <c r="P440" t="s">
        <v>8267</v>
      </c>
      <c r="Q440" t="str">
        <f>tblSales[[#This Row],[FirstName]]&amp; " " &amp;tblSales[[#This Row],[LastName]]</f>
        <v>Margaret Peacock</v>
      </c>
      <c r="R440">
        <f>YEAR(tblSales[[#This Row],[OrderDate]])</f>
        <v>2019</v>
      </c>
      <c r="S440">
        <f>WEEKNUM(tblSales[[#This Row],[OrderDate]])</f>
        <v>50</v>
      </c>
      <c r="T440">
        <f>IF(ISBLANK(tblSales[[#This Row],[ShippedDate]]),"",tblSales[[#This Row],[ShippedDate]]-tblSales[[#This Row],[OrderDate]])</f>
        <v>10</v>
      </c>
      <c r="U440" t="str">
        <f>LEFT(tblSales[[#This Row],[ProductName]],20)</f>
        <v>Côte de Blaye</v>
      </c>
    </row>
    <row r="441" spans="2:21" x14ac:dyDescent="0.2">
      <c r="B441">
        <v>11110</v>
      </c>
      <c r="C441" t="s">
        <v>8390</v>
      </c>
      <c r="D441" t="s">
        <v>8236</v>
      </c>
      <c r="E441" t="s">
        <v>8262</v>
      </c>
      <c r="F441" s="222">
        <v>16</v>
      </c>
      <c r="G441">
        <v>35</v>
      </c>
      <c r="H441" s="223">
        <v>0</v>
      </c>
      <c r="I441" s="222">
        <v>560</v>
      </c>
      <c r="J441" t="s">
        <v>8295</v>
      </c>
      <c r="K441" t="s">
        <v>8296</v>
      </c>
      <c r="L441" s="118">
        <v>43807</v>
      </c>
      <c r="M441" s="118">
        <v>43817</v>
      </c>
      <c r="N441" t="s">
        <v>8240</v>
      </c>
      <c r="O441" t="s">
        <v>8266</v>
      </c>
      <c r="P441" t="s">
        <v>8267</v>
      </c>
      <c r="Q441" t="str">
        <f>tblSales[[#This Row],[FirstName]]&amp; " " &amp;tblSales[[#This Row],[LastName]]</f>
        <v>Margaret Peacock</v>
      </c>
      <c r="R441">
        <f>YEAR(tblSales[[#This Row],[OrderDate]])</f>
        <v>2019</v>
      </c>
      <c r="S441">
        <f>WEEKNUM(tblSales[[#This Row],[OrderDate]])</f>
        <v>50</v>
      </c>
      <c r="T441">
        <f>IF(ISBLANK(tblSales[[#This Row],[ShippedDate]]),"",tblSales[[#This Row],[ShippedDate]]-tblSales[[#This Row],[OrderDate]])</f>
        <v>10</v>
      </c>
      <c r="U441" t="str">
        <f>LEFT(tblSales[[#This Row],[ProductName]],20)</f>
        <v>Maxilaku</v>
      </c>
    </row>
    <row r="442" spans="2:21" x14ac:dyDescent="0.2">
      <c r="B442">
        <v>11110</v>
      </c>
      <c r="C442" t="s">
        <v>8316</v>
      </c>
      <c r="D442" t="s">
        <v>8236</v>
      </c>
      <c r="E442" t="s">
        <v>8247</v>
      </c>
      <c r="F442" s="222">
        <v>36.4</v>
      </c>
      <c r="G442">
        <v>30</v>
      </c>
      <c r="H442" s="223">
        <v>0</v>
      </c>
      <c r="I442" s="222">
        <v>1092</v>
      </c>
      <c r="J442" t="s">
        <v>8295</v>
      </c>
      <c r="K442" t="s">
        <v>8296</v>
      </c>
      <c r="L442" s="118">
        <v>43807</v>
      </c>
      <c r="M442" s="118">
        <v>43817</v>
      </c>
      <c r="N442" t="s">
        <v>8240</v>
      </c>
      <c r="O442" t="s">
        <v>8266</v>
      </c>
      <c r="P442" t="s">
        <v>8267</v>
      </c>
      <c r="Q442" t="str">
        <f>tblSales[[#This Row],[FirstName]]&amp; " " &amp;tblSales[[#This Row],[LastName]]</f>
        <v>Margaret Peacock</v>
      </c>
      <c r="R442">
        <f>YEAR(tblSales[[#This Row],[OrderDate]])</f>
        <v>2019</v>
      </c>
      <c r="S442">
        <f>WEEKNUM(tblSales[[#This Row],[OrderDate]])</f>
        <v>50</v>
      </c>
      <c r="T442">
        <f>IF(ISBLANK(tblSales[[#This Row],[ShippedDate]]),"",tblSales[[#This Row],[ShippedDate]]-tblSales[[#This Row],[OrderDate]])</f>
        <v>10</v>
      </c>
      <c r="U442" t="str">
        <f>LEFT(tblSales[[#This Row],[ProductName]],20)</f>
        <v>Rössle Sauerkraut</v>
      </c>
    </row>
    <row r="443" spans="2:21" x14ac:dyDescent="0.2">
      <c r="B443">
        <v>10567</v>
      </c>
      <c r="C443" t="s">
        <v>8281</v>
      </c>
      <c r="D443" t="s">
        <v>8343</v>
      </c>
      <c r="E443" t="s">
        <v>8237</v>
      </c>
      <c r="F443" s="222">
        <v>55</v>
      </c>
      <c r="G443">
        <v>40</v>
      </c>
      <c r="H443" s="223">
        <v>0.20000000298023199</v>
      </c>
      <c r="I443" s="222">
        <v>1760</v>
      </c>
      <c r="J443" t="s">
        <v>8344</v>
      </c>
      <c r="K443" t="s">
        <v>8345</v>
      </c>
      <c r="L443" s="118">
        <v>43809</v>
      </c>
      <c r="M443" s="118">
        <v>43814</v>
      </c>
      <c r="N443" t="s">
        <v>8250</v>
      </c>
      <c r="O443" t="s">
        <v>8285</v>
      </c>
      <c r="P443" t="s">
        <v>2317</v>
      </c>
      <c r="Q443" t="str">
        <f>tblSales[[#This Row],[FirstName]]&amp; " " &amp;tblSales[[#This Row],[LastName]]</f>
        <v>Nancy Davolio</v>
      </c>
      <c r="R443">
        <f>YEAR(tblSales[[#This Row],[OrderDate]])</f>
        <v>2019</v>
      </c>
      <c r="S443">
        <f>WEEKNUM(tblSales[[#This Row],[OrderDate]])</f>
        <v>50</v>
      </c>
      <c r="T443">
        <f>IF(ISBLANK(tblSales[[#This Row],[ShippedDate]]),"",tblSales[[#This Row],[ShippedDate]]-tblSales[[#This Row],[OrderDate]])</f>
        <v>5</v>
      </c>
      <c r="U443" t="str">
        <f>LEFT(tblSales[[#This Row],[ProductName]],20)</f>
        <v>Raclette Courdavault</v>
      </c>
    </row>
    <row r="444" spans="2:21" x14ac:dyDescent="0.2">
      <c r="B444">
        <v>10567</v>
      </c>
      <c r="C444" t="s">
        <v>8309</v>
      </c>
      <c r="D444" t="s">
        <v>8343</v>
      </c>
      <c r="E444" t="s">
        <v>8237</v>
      </c>
      <c r="F444" s="222">
        <v>12.5</v>
      </c>
      <c r="G444">
        <v>60</v>
      </c>
      <c r="H444" s="223">
        <v>0.20000000298023199</v>
      </c>
      <c r="I444" s="222">
        <v>600</v>
      </c>
      <c r="J444" t="s">
        <v>8344</v>
      </c>
      <c r="K444" t="s">
        <v>8345</v>
      </c>
      <c r="L444" s="118">
        <v>43809</v>
      </c>
      <c r="M444" s="118">
        <v>43814</v>
      </c>
      <c r="N444" t="s">
        <v>8250</v>
      </c>
      <c r="O444" t="s">
        <v>8285</v>
      </c>
      <c r="P444" t="s">
        <v>2317</v>
      </c>
      <c r="Q444" t="str">
        <f>tblSales[[#This Row],[FirstName]]&amp; " " &amp;tblSales[[#This Row],[LastName]]</f>
        <v>Nancy Davolio</v>
      </c>
      <c r="R444">
        <f>YEAR(tblSales[[#This Row],[OrderDate]])</f>
        <v>2019</v>
      </c>
      <c r="S444">
        <f>WEEKNUM(tblSales[[#This Row],[OrderDate]])</f>
        <v>50</v>
      </c>
      <c r="T444">
        <f>IF(ISBLANK(tblSales[[#This Row],[ShippedDate]]),"",tblSales[[#This Row],[ShippedDate]]-tblSales[[#This Row],[OrderDate]])</f>
        <v>5</v>
      </c>
      <c r="U444" t="str">
        <f>LEFT(tblSales[[#This Row],[ProductName]],20)</f>
        <v>Gorgonzola Telino</v>
      </c>
    </row>
    <row r="445" spans="2:21" x14ac:dyDescent="0.2">
      <c r="B445">
        <v>10567</v>
      </c>
      <c r="C445" t="s">
        <v>8245</v>
      </c>
      <c r="D445" t="s">
        <v>8343</v>
      </c>
      <c r="E445" t="s">
        <v>8247</v>
      </c>
      <c r="F445" s="222">
        <v>53</v>
      </c>
      <c r="G445">
        <v>3</v>
      </c>
      <c r="H445" s="223">
        <v>0</v>
      </c>
      <c r="I445" s="222">
        <v>159</v>
      </c>
      <c r="J445" t="s">
        <v>8344</v>
      </c>
      <c r="K445" t="s">
        <v>8345</v>
      </c>
      <c r="L445" s="118">
        <v>43809</v>
      </c>
      <c r="M445" s="118">
        <v>43814</v>
      </c>
      <c r="N445" t="s">
        <v>8250</v>
      </c>
      <c r="O445" t="s">
        <v>8285</v>
      </c>
      <c r="P445" t="s">
        <v>2317</v>
      </c>
      <c r="Q445" t="str">
        <f>tblSales[[#This Row],[FirstName]]&amp; " " &amp;tblSales[[#This Row],[LastName]]</f>
        <v>Nancy Davolio</v>
      </c>
      <c r="R445">
        <f>YEAR(tblSales[[#This Row],[OrderDate]])</f>
        <v>2019</v>
      </c>
      <c r="S445">
        <f>WEEKNUM(tblSales[[#This Row],[OrderDate]])</f>
        <v>50</v>
      </c>
      <c r="T445">
        <f>IF(ISBLANK(tblSales[[#This Row],[ShippedDate]]),"",tblSales[[#This Row],[ShippedDate]]-tblSales[[#This Row],[OrderDate]])</f>
        <v>5</v>
      </c>
      <c r="U445" t="str">
        <f>LEFT(tblSales[[#This Row],[ProductName]],20)</f>
        <v>Manjimup Dried Apple</v>
      </c>
    </row>
    <row r="446" spans="2:21" x14ac:dyDescent="0.2">
      <c r="B446">
        <v>10566</v>
      </c>
      <c r="C446" t="s">
        <v>8303</v>
      </c>
      <c r="D446" t="s">
        <v>8236</v>
      </c>
      <c r="E446" t="s">
        <v>8272</v>
      </c>
      <c r="F446" s="222">
        <v>18</v>
      </c>
      <c r="G446">
        <v>10</v>
      </c>
      <c r="H446" s="223">
        <v>0</v>
      </c>
      <c r="I446" s="222">
        <v>180</v>
      </c>
      <c r="J446" t="s">
        <v>8295</v>
      </c>
      <c r="K446" t="s">
        <v>8296</v>
      </c>
      <c r="L446" s="118">
        <v>43809</v>
      </c>
      <c r="M446" s="118">
        <v>43815</v>
      </c>
      <c r="N446" t="s">
        <v>8250</v>
      </c>
      <c r="O446" t="s">
        <v>8279</v>
      </c>
      <c r="P446" t="s">
        <v>710</v>
      </c>
      <c r="Q446" t="str">
        <f>tblSales[[#This Row],[FirstName]]&amp; " " &amp;tblSales[[#This Row],[LastName]]</f>
        <v>Anne Dodsworth</v>
      </c>
      <c r="R446">
        <f>YEAR(tblSales[[#This Row],[OrderDate]])</f>
        <v>2019</v>
      </c>
      <c r="S446">
        <f>WEEKNUM(tblSales[[#This Row],[OrderDate]])</f>
        <v>50</v>
      </c>
      <c r="T446">
        <f>IF(ISBLANK(tblSales[[#This Row],[ShippedDate]]),"",tblSales[[#This Row],[ShippedDate]]-tblSales[[#This Row],[OrderDate]])</f>
        <v>6</v>
      </c>
      <c r="U446" t="str">
        <f>LEFT(tblSales[[#This Row],[ProductName]],20)</f>
        <v>Lakkalikööri</v>
      </c>
    </row>
    <row r="447" spans="2:21" x14ac:dyDescent="0.2">
      <c r="B447">
        <v>10566</v>
      </c>
      <c r="C447" t="s">
        <v>8242</v>
      </c>
      <c r="D447" t="s">
        <v>8236</v>
      </c>
      <c r="E447" t="s">
        <v>8237</v>
      </c>
      <c r="F447" s="222">
        <v>21</v>
      </c>
      <c r="G447">
        <v>35</v>
      </c>
      <c r="H447" s="223">
        <v>0.15000000596046401</v>
      </c>
      <c r="I447" s="222">
        <v>624.75</v>
      </c>
      <c r="J447" t="s">
        <v>8295</v>
      </c>
      <c r="K447" t="s">
        <v>8296</v>
      </c>
      <c r="L447" s="118">
        <v>43809</v>
      </c>
      <c r="M447" s="118">
        <v>43815</v>
      </c>
      <c r="N447" t="s">
        <v>8250</v>
      </c>
      <c r="O447" t="s">
        <v>8279</v>
      </c>
      <c r="P447" t="s">
        <v>710</v>
      </c>
      <c r="Q447" t="str">
        <f>tblSales[[#This Row],[FirstName]]&amp; " " &amp;tblSales[[#This Row],[LastName]]</f>
        <v>Anne Dodsworth</v>
      </c>
      <c r="R447">
        <f>YEAR(tblSales[[#This Row],[OrderDate]])</f>
        <v>2019</v>
      </c>
      <c r="S447">
        <f>WEEKNUM(tblSales[[#This Row],[OrderDate]])</f>
        <v>50</v>
      </c>
      <c r="T447">
        <f>IF(ISBLANK(tblSales[[#This Row],[ShippedDate]]),"",tblSales[[#This Row],[ShippedDate]]-tblSales[[#This Row],[OrderDate]])</f>
        <v>6</v>
      </c>
      <c r="U447" t="str">
        <f>LEFT(tblSales[[#This Row],[ProductName]],20)</f>
        <v>Queso Cabrales</v>
      </c>
    </row>
    <row r="448" spans="2:21" x14ac:dyDescent="0.2">
      <c r="B448">
        <v>11107</v>
      </c>
      <c r="C448" t="s">
        <v>8362</v>
      </c>
      <c r="D448" t="s">
        <v>8236</v>
      </c>
      <c r="E448" t="s">
        <v>8262</v>
      </c>
      <c r="F448" s="222">
        <v>11.2</v>
      </c>
      <c r="G448">
        <v>50</v>
      </c>
      <c r="H448" s="223">
        <v>0</v>
      </c>
      <c r="I448" s="222">
        <v>560</v>
      </c>
      <c r="J448" t="s">
        <v>8377</v>
      </c>
      <c r="K448" t="s">
        <v>8378</v>
      </c>
      <c r="L448" s="118">
        <v>43810</v>
      </c>
      <c r="M448" s="118">
        <v>43813</v>
      </c>
      <c r="N448" t="s">
        <v>8250</v>
      </c>
      <c r="O448" t="s">
        <v>8257</v>
      </c>
      <c r="P448" t="s">
        <v>6984</v>
      </c>
      <c r="Q448" t="str">
        <f>tblSales[[#This Row],[FirstName]]&amp; " " &amp;tblSales[[#This Row],[LastName]]</f>
        <v>Janet Leverling</v>
      </c>
      <c r="R448">
        <f>YEAR(tblSales[[#This Row],[OrderDate]])</f>
        <v>2019</v>
      </c>
      <c r="S448">
        <f>WEEKNUM(tblSales[[#This Row],[OrderDate]])</f>
        <v>50</v>
      </c>
      <c r="T448">
        <f>IF(ISBLANK(tblSales[[#This Row],[ShippedDate]]),"",tblSales[[#This Row],[ShippedDate]]-tblSales[[#This Row],[OrderDate]])</f>
        <v>3</v>
      </c>
      <c r="U448" t="str">
        <f>LEFT(tblSales[[#This Row],[ProductName]],20)</f>
        <v>NuNuCa Nuß-Nougat-Cr</v>
      </c>
    </row>
    <row r="449" spans="2:21" x14ac:dyDescent="0.2">
      <c r="B449">
        <v>11107</v>
      </c>
      <c r="C449" t="s">
        <v>8245</v>
      </c>
      <c r="D449" t="s">
        <v>8236</v>
      </c>
      <c r="E449" t="s">
        <v>8247</v>
      </c>
      <c r="F449" s="222">
        <v>42.4</v>
      </c>
      <c r="G449">
        <v>20</v>
      </c>
      <c r="H449" s="223">
        <v>0</v>
      </c>
      <c r="I449" s="222">
        <v>848</v>
      </c>
      <c r="J449" t="s">
        <v>8377</v>
      </c>
      <c r="K449" t="s">
        <v>8378</v>
      </c>
      <c r="L449" s="118">
        <v>43810</v>
      </c>
      <c r="M449" s="118">
        <v>43813</v>
      </c>
      <c r="N449" t="s">
        <v>8250</v>
      </c>
      <c r="O449" t="s">
        <v>8257</v>
      </c>
      <c r="P449" t="s">
        <v>6984</v>
      </c>
      <c r="Q449" t="str">
        <f>tblSales[[#This Row],[FirstName]]&amp; " " &amp;tblSales[[#This Row],[LastName]]</f>
        <v>Janet Leverling</v>
      </c>
      <c r="R449">
        <f>YEAR(tblSales[[#This Row],[OrderDate]])</f>
        <v>2019</v>
      </c>
      <c r="S449">
        <f>WEEKNUM(tblSales[[#This Row],[OrderDate]])</f>
        <v>50</v>
      </c>
      <c r="T449">
        <f>IF(ISBLANK(tblSales[[#This Row],[ShippedDate]]),"",tblSales[[#This Row],[ShippedDate]]-tblSales[[#This Row],[OrderDate]])</f>
        <v>3</v>
      </c>
      <c r="U449" t="str">
        <f>LEFT(tblSales[[#This Row],[ProductName]],20)</f>
        <v>Manjimup Dried Apple</v>
      </c>
    </row>
    <row r="450" spans="2:21" x14ac:dyDescent="0.2">
      <c r="B450">
        <v>10571</v>
      </c>
      <c r="C450" t="s">
        <v>8243</v>
      </c>
      <c r="D450" t="s">
        <v>8282</v>
      </c>
      <c r="E450" t="s">
        <v>8244</v>
      </c>
      <c r="F450" s="222">
        <v>14</v>
      </c>
      <c r="G450">
        <v>28</v>
      </c>
      <c r="H450" s="223">
        <v>0.15000000596046401</v>
      </c>
      <c r="I450" s="222">
        <v>333.2</v>
      </c>
      <c r="J450" t="s">
        <v>8283</v>
      </c>
      <c r="K450" t="s">
        <v>8284</v>
      </c>
      <c r="L450" s="118">
        <v>43814</v>
      </c>
      <c r="M450" s="118">
        <v>43831</v>
      </c>
      <c r="N450" t="s">
        <v>8240</v>
      </c>
      <c r="O450" t="s">
        <v>8320</v>
      </c>
      <c r="P450" t="s">
        <v>8321</v>
      </c>
      <c r="Q450" t="str">
        <f>tblSales[[#This Row],[FirstName]]&amp; " " &amp;tblSales[[#This Row],[LastName]]</f>
        <v>Laura Callahan</v>
      </c>
      <c r="R450">
        <f>YEAR(tblSales[[#This Row],[OrderDate]])</f>
        <v>2019</v>
      </c>
      <c r="S450">
        <f>WEEKNUM(tblSales[[#This Row],[OrderDate]])</f>
        <v>51</v>
      </c>
      <c r="T450">
        <f>IF(ISBLANK(tblSales[[#This Row],[ShippedDate]]),"",tblSales[[#This Row],[ShippedDate]]-tblSales[[#This Row],[OrderDate]])</f>
        <v>17</v>
      </c>
      <c r="U450" t="str">
        <f>LEFT(tblSales[[#This Row],[ProductName]],20)</f>
        <v xml:space="preserve">Singaporean Hokkien </v>
      </c>
    </row>
    <row r="451" spans="2:21" x14ac:dyDescent="0.2">
      <c r="B451">
        <v>10571</v>
      </c>
      <c r="C451" t="s">
        <v>8252</v>
      </c>
      <c r="D451" t="s">
        <v>8282</v>
      </c>
      <c r="E451" t="s">
        <v>8247</v>
      </c>
      <c r="F451" s="222">
        <v>23.25</v>
      </c>
      <c r="G451">
        <v>11</v>
      </c>
      <c r="H451" s="223">
        <v>0.15000000596046401</v>
      </c>
      <c r="I451" s="222">
        <v>217.39</v>
      </c>
      <c r="J451" t="s">
        <v>8283</v>
      </c>
      <c r="K451" t="s">
        <v>8284</v>
      </c>
      <c r="L451" s="118">
        <v>43814</v>
      </c>
      <c r="M451" s="118">
        <v>43831</v>
      </c>
      <c r="N451" t="s">
        <v>8240</v>
      </c>
      <c r="O451" t="s">
        <v>8320</v>
      </c>
      <c r="P451" t="s">
        <v>8321</v>
      </c>
      <c r="Q451" t="str">
        <f>tblSales[[#This Row],[FirstName]]&amp; " " &amp;tblSales[[#This Row],[LastName]]</f>
        <v>Laura Callahan</v>
      </c>
      <c r="R451">
        <f>YEAR(tblSales[[#This Row],[OrderDate]])</f>
        <v>2019</v>
      </c>
      <c r="S451">
        <f>WEEKNUM(tblSales[[#This Row],[OrderDate]])</f>
        <v>51</v>
      </c>
      <c r="T451">
        <f>IF(ISBLANK(tblSales[[#This Row],[ShippedDate]]),"",tblSales[[#This Row],[ShippedDate]]-tblSales[[#This Row],[OrderDate]])</f>
        <v>17</v>
      </c>
      <c r="U451" t="str">
        <f>LEFT(tblSales[[#This Row],[ProductName]],20)</f>
        <v>Tofu</v>
      </c>
    </row>
    <row r="452" spans="2:21" x14ac:dyDescent="0.2">
      <c r="B452">
        <v>10572</v>
      </c>
      <c r="C452" t="s">
        <v>8328</v>
      </c>
      <c r="D452" t="s">
        <v>8292</v>
      </c>
      <c r="E452" t="s">
        <v>8272</v>
      </c>
      <c r="F452" s="222">
        <v>7.75</v>
      </c>
      <c r="G452">
        <v>15</v>
      </c>
      <c r="H452" s="223">
        <v>0.10000000149011599</v>
      </c>
      <c r="I452" s="222">
        <v>104.62</v>
      </c>
      <c r="J452" t="s">
        <v>8318</v>
      </c>
      <c r="K452" t="s">
        <v>8319</v>
      </c>
      <c r="L452" s="118">
        <v>43815</v>
      </c>
      <c r="M452" s="118">
        <v>43822</v>
      </c>
      <c r="N452" t="s">
        <v>8265</v>
      </c>
      <c r="O452" t="s">
        <v>8257</v>
      </c>
      <c r="P452" t="s">
        <v>6984</v>
      </c>
      <c r="Q452" t="str">
        <f>tblSales[[#This Row],[FirstName]]&amp; " " &amp;tblSales[[#This Row],[LastName]]</f>
        <v>Janet Leverling</v>
      </c>
      <c r="R452">
        <f>YEAR(tblSales[[#This Row],[OrderDate]])</f>
        <v>2019</v>
      </c>
      <c r="S452">
        <f>WEEKNUM(tblSales[[#This Row],[OrderDate]])</f>
        <v>51</v>
      </c>
      <c r="T452">
        <f>IF(ISBLANK(tblSales[[#This Row],[ShippedDate]]),"",tblSales[[#This Row],[ShippedDate]]-tblSales[[#This Row],[OrderDate]])</f>
        <v>7</v>
      </c>
      <c r="U452" t="str">
        <f>LEFT(tblSales[[#This Row],[ProductName]],20)</f>
        <v>Rhönbräu Klosterbier</v>
      </c>
    </row>
    <row r="453" spans="2:21" x14ac:dyDescent="0.2">
      <c r="B453">
        <v>10572</v>
      </c>
      <c r="C453" t="s">
        <v>8280</v>
      </c>
      <c r="D453" t="s">
        <v>8292</v>
      </c>
      <c r="E453" t="s">
        <v>8262</v>
      </c>
      <c r="F453" s="222">
        <v>17.45</v>
      </c>
      <c r="G453">
        <v>12</v>
      </c>
      <c r="H453" s="223">
        <v>0.10000000149011599</v>
      </c>
      <c r="I453" s="222">
        <v>188.46</v>
      </c>
      <c r="J453" t="s">
        <v>8318</v>
      </c>
      <c r="K453" t="s">
        <v>8319</v>
      </c>
      <c r="L453" s="118">
        <v>43815</v>
      </c>
      <c r="M453" s="118">
        <v>43822</v>
      </c>
      <c r="N453" t="s">
        <v>8265</v>
      </c>
      <c r="O453" t="s">
        <v>8257</v>
      </c>
      <c r="P453" t="s">
        <v>6984</v>
      </c>
      <c r="Q453" t="str">
        <f>tblSales[[#This Row],[FirstName]]&amp; " " &amp;tblSales[[#This Row],[LastName]]</f>
        <v>Janet Leverling</v>
      </c>
      <c r="R453">
        <f>YEAR(tblSales[[#This Row],[OrderDate]])</f>
        <v>2019</v>
      </c>
      <c r="S453">
        <f>WEEKNUM(tblSales[[#This Row],[OrderDate]])</f>
        <v>51</v>
      </c>
      <c r="T453">
        <f>IF(ISBLANK(tblSales[[#This Row],[ShippedDate]]),"",tblSales[[#This Row],[ShippedDate]]-tblSales[[#This Row],[OrderDate]])</f>
        <v>7</v>
      </c>
      <c r="U453" t="str">
        <f>LEFT(tblSales[[#This Row],[ProductName]],20)</f>
        <v>Pavlova</v>
      </c>
    </row>
    <row r="454" spans="2:21" x14ac:dyDescent="0.2">
      <c r="B454">
        <v>10572</v>
      </c>
      <c r="C454" t="s">
        <v>8287</v>
      </c>
      <c r="D454" t="s">
        <v>8292</v>
      </c>
      <c r="E454" t="s">
        <v>8237</v>
      </c>
      <c r="F454" s="222">
        <v>32</v>
      </c>
      <c r="G454">
        <v>10</v>
      </c>
      <c r="H454" s="223">
        <v>0.10000000149011599</v>
      </c>
      <c r="I454" s="222">
        <v>288</v>
      </c>
      <c r="J454" t="s">
        <v>8318</v>
      </c>
      <c r="K454" t="s">
        <v>8319</v>
      </c>
      <c r="L454" s="118">
        <v>43815</v>
      </c>
      <c r="M454" s="118">
        <v>43822</v>
      </c>
      <c r="N454" t="s">
        <v>8265</v>
      </c>
      <c r="O454" t="s">
        <v>8257</v>
      </c>
      <c r="P454" t="s">
        <v>6984</v>
      </c>
      <c r="Q454" t="str">
        <f>tblSales[[#This Row],[FirstName]]&amp; " " &amp;tblSales[[#This Row],[LastName]]</f>
        <v>Janet Leverling</v>
      </c>
      <c r="R454">
        <f>YEAR(tblSales[[#This Row],[OrderDate]])</f>
        <v>2019</v>
      </c>
      <c r="S454">
        <f>WEEKNUM(tblSales[[#This Row],[OrderDate]])</f>
        <v>51</v>
      </c>
      <c r="T454">
        <f>IF(ISBLANK(tblSales[[#This Row],[ShippedDate]]),"",tblSales[[#This Row],[ShippedDate]]-tblSales[[#This Row],[OrderDate]])</f>
        <v>7</v>
      </c>
      <c r="U454" t="str">
        <f>LEFT(tblSales[[#This Row],[ProductName]],20)</f>
        <v>Mascarpone Fabioli</v>
      </c>
    </row>
    <row r="455" spans="2:21" x14ac:dyDescent="0.2">
      <c r="B455">
        <v>10575</v>
      </c>
      <c r="C455" t="s">
        <v>8303</v>
      </c>
      <c r="D455" t="s">
        <v>8246</v>
      </c>
      <c r="E455" t="s">
        <v>8272</v>
      </c>
      <c r="F455" s="222">
        <v>18</v>
      </c>
      <c r="G455">
        <v>10</v>
      </c>
      <c r="H455" s="223">
        <v>0</v>
      </c>
      <c r="I455" s="222">
        <v>180</v>
      </c>
      <c r="J455" t="s">
        <v>8314</v>
      </c>
      <c r="K455" t="s">
        <v>8315</v>
      </c>
      <c r="L455" s="118">
        <v>43817</v>
      </c>
      <c r="M455" s="118">
        <v>43827</v>
      </c>
      <c r="N455" t="s">
        <v>8250</v>
      </c>
      <c r="O455" t="s">
        <v>8241</v>
      </c>
      <c r="P455" t="s">
        <v>6934</v>
      </c>
      <c r="Q455" t="str">
        <f>tblSales[[#This Row],[FirstName]]&amp; " " &amp;tblSales[[#This Row],[LastName]]</f>
        <v>Steven Buchanan</v>
      </c>
      <c r="R455">
        <f>YEAR(tblSales[[#This Row],[OrderDate]])</f>
        <v>2019</v>
      </c>
      <c r="S455">
        <f>WEEKNUM(tblSales[[#This Row],[OrderDate]])</f>
        <v>51</v>
      </c>
      <c r="T455">
        <f>IF(ISBLANK(tblSales[[#This Row],[ShippedDate]]),"",tblSales[[#This Row],[ShippedDate]]-tblSales[[#This Row],[OrderDate]])</f>
        <v>10</v>
      </c>
      <c r="U455" t="str">
        <f>LEFT(tblSales[[#This Row],[ProductName]],20)</f>
        <v>Lakkalikööri</v>
      </c>
    </row>
    <row r="456" spans="2:21" x14ac:dyDescent="0.2">
      <c r="B456">
        <v>10575</v>
      </c>
      <c r="C456" t="s">
        <v>8317</v>
      </c>
      <c r="D456" t="s">
        <v>8246</v>
      </c>
      <c r="E456" t="s">
        <v>8254</v>
      </c>
      <c r="F456" s="222">
        <v>43.9</v>
      </c>
      <c r="G456">
        <v>6</v>
      </c>
      <c r="H456" s="223">
        <v>0</v>
      </c>
      <c r="I456" s="222">
        <v>263.39999999999998</v>
      </c>
      <c r="J456" t="s">
        <v>8314</v>
      </c>
      <c r="K456" t="s">
        <v>8315</v>
      </c>
      <c r="L456" s="118">
        <v>43817</v>
      </c>
      <c r="M456" s="118">
        <v>43827</v>
      </c>
      <c r="N456" t="s">
        <v>8250</v>
      </c>
      <c r="O456" t="s">
        <v>8241</v>
      </c>
      <c r="P456" t="s">
        <v>6934</v>
      </c>
      <c r="Q456" t="str">
        <f>tblSales[[#This Row],[FirstName]]&amp; " " &amp;tblSales[[#This Row],[LastName]]</f>
        <v>Steven Buchanan</v>
      </c>
      <c r="R456">
        <f>YEAR(tblSales[[#This Row],[OrderDate]])</f>
        <v>2019</v>
      </c>
      <c r="S456">
        <f>WEEKNUM(tblSales[[#This Row],[OrderDate]])</f>
        <v>51</v>
      </c>
      <c r="T456">
        <f>IF(ISBLANK(tblSales[[#This Row],[ShippedDate]]),"",tblSales[[#This Row],[ShippedDate]]-tblSales[[#This Row],[OrderDate]])</f>
        <v>10</v>
      </c>
      <c r="U456" t="str">
        <f>LEFT(tblSales[[#This Row],[ProductName]],20)</f>
        <v>Vegie-spread</v>
      </c>
    </row>
    <row r="457" spans="2:21" x14ac:dyDescent="0.2">
      <c r="B457">
        <v>10575</v>
      </c>
      <c r="C457" t="s">
        <v>8235</v>
      </c>
      <c r="D457" t="s">
        <v>8246</v>
      </c>
      <c r="E457" t="s">
        <v>8237</v>
      </c>
      <c r="F457" s="222">
        <v>34.799999999999997</v>
      </c>
      <c r="G457">
        <v>30</v>
      </c>
      <c r="H457" s="223">
        <v>0</v>
      </c>
      <c r="I457" s="222">
        <v>1044</v>
      </c>
      <c r="J457" t="s">
        <v>8314</v>
      </c>
      <c r="K457" t="s">
        <v>8315</v>
      </c>
      <c r="L457" s="118">
        <v>43817</v>
      </c>
      <c r="M457" s="118">
        <v>43827</v>
      </c>
      <c r="N457" t="s">
        <v>8250</v>
      </c>
      <c r="O457" t="s">
        <v>8241</v>
      </c>
      <c r="P457" t="s">
        <v>6934</v>
      </c>
      <c r="Q457" t="str">
        <f>tblSales[[#This Row],[FirstName]]&amp; " " &amp;tblSales[[#This Row],[LastName]]</f>
        <v>Steven Buchanan</v>
      </c>
      <c r="R457">
        <f>YEAR(tblSales[[#This Row],[OrderDate]])</f>
        <v>2019</v>
      </c>
      <c r="S457">
        <f>WEEKNUM(tblSales[[#This Row],[OrderDate]])</f>
        <v>51</v>
      </c>
      <c r="T457">
        <f>IF(ISBLANK(tblSales[[#This Row],[ShippedDate]]),"",tblSales[[#This Row],[ShippedDate]]-tblSales[[#This Row],[OrderDate]])</f>
        <v>10</v>
      </c>
      <c r="U457" t="str">
        <f>LEFT(tblSales[[#This Row],[ProductName]],20)</f>
        <v>Mozzarella di Giovan</v>
      </c>
    </row>
    <row r="458" spans="2:21" x14ac:dyDescent="0.2">
      <c r="B458">
        <v>10575</v>
      </c>
      <c r="C458" t="s">
        <v>8281</v>
      </c>
      <c r="D458" t="s">
        <v>8246</v>
      </c>
      <c r="E458" t="s">
        <v>8237</v>
      </c>
      <c r="F458" s="222">
        <v>55</v>
      </c>
      <c r="G458">
        <v>12</v>
      </c>
      <c r="H458" s="223">
        <v>0</v>
      </c>
      <c r="I458" s="222">
        <v>660</v>
      </c>
      <c r="J458" t="s">
        <v>8314</v>
      </c>
      <c r="K458" t="s">
        <v>8315</v>
      </c>
      <c r="L458" s="118">
        <v>43817</v>
      </c>
      <c r="M458" s="118">
        <v>43827</v>
      </c>
      <c r="N458" t="s">
        <v>8250</v>
      </c>
      <c r="O458" t="s">
        <v>8241</v>
      </c>
      <c r="P458" t="s">
        <v>6934</v>
      </c>
      <c r="Q458" t="str">
        <f>tblSales[[#This Row],[FirstName]]&amp; " " &amp;tblSales[[#This Row],[LastName]]</f>
        <v>Steven Buchanan</v>
      </c>
      <c r="R458">
        <f>YEAR(tblSales[[#This Row],[OrderDate]])</f>
        <v>2019</v>
      </c>
      <c r="S458">
        <f>WEEKNUM(tblSales[[#This Row],[OrderDate]])</f>
        <v>51</v>
      </c>
      <c r="T458">
        <f>IF(ISBLANK(tblSales[[#This Row],[ShippedDate]]),"",tblSales[[#This Row],[ShippedDate]]-tblSales[[#This Row],[OrderDate]])</f>
        <v>10</v>
      </c>
      <c r="U458" t="str">
        <f>LEFT(tblSales[[#This Row],[ProductName]],20)</f>
        <v>Raclette Courdavault</v>
      </c>
    </row>
    <row r="459" spans="2:21" x14ac:dyDescent="0.2">
      <c r="B459">
        <v>10578</v>
      </c>
      <c r="C459" t="s">
        <v>8323</v>
      </c>
      <c r="D459" t="s">
        <v>2434</v>
      </c>
      <c r="E459" t="s">
        <v>8272</v>
      </c>
      <c r="F459" s="222">
        <v>18</v>
      </c>
      <c r="G459">
        <v>20</v>
      </c>
      <c r="H459" s="223">
        <v>0</v>
      </c>
      <c r="I459" s="222">
        <v>360</v>
      </c>
      <c r="J459" t="s">
        <v>8338</v>
      </c>
      <c r="K459" t="s">
        <v>8339</v>
      </c>
      <c r="L459" s="118">
        <v>43821</v>
      </c>
      <c r="M459" s="118">
        <v>43852</v>
      </c>
      <c r="N459" t="s">
        <v>8240</v>
      </c>
      <c r="O459" t="s">
        <v>8266</v>
      </c>
      <c r="P459" t="s">
        <v>8267</v>
      </c>
      <c r="Q459" t="str">
        <f>tblSales[[#This Row],[FirstName]]&amp; " " &amp;tblSales[[#This Row],[LastName]]</f>
        <v>Margaret Peacock</v>
      </c>
      <c r="R459">
        <f>YEAR(tblSales[[#This Row],[OrderDate]])</f>
        <v>2019</v>
      </c>
      <c r="S459">
        <f>WEEKNUM(tblSales[[#This Row],[OrderDate]])</f>
        <v>52</v>
      </c>
      <c r="T459">
        <f>IF(ISBLANK(tblSales[[#This Row],[ShippedDate]]),"",tblSales[[#This Row],[ShippedDate]]-tblSales[[#This Row],[OrderDate]])</f>
        <v>31</v>
      </c>
      <c r="U459" t="str">
        <f>LEFT(tblSales[[#This Row],[ProductName]],20)</f>
        <v>Steeleye Stout</v>
      </c>
    </row>
    <row r="460" spans="2:21" x14ac:dyDescent="0.2">
      <c r="B460">
        <v>10578</v>
      </c>
      <c r="C460" t="s">
        <v>8258</v>
      </c>
      <c r="D460" t="s">
        <v>2434</v>
      </c>
      <c r="E460" t="s">
        <v>8244</v>
      </c>
      <c r="F460" s="222">
        <v>19.5</v>
      </c>
      <c r="G460">
        <v>6</v>
      </c>
      <c r="H460" s="223">
        <v>0</v>
      </c>
      <c r="I460" s="222">
        <v>117</v>
      </c>
      <c r="J460" t="s">
        <v>8338</v>
      </c>
      <c r="K460" t="s">
        <v>8339</v>
      </c>
      <c r="L460" s="118">
        <v>43821</v>
      </c>
      <c r="M460" s="118">
        <v>43852</v>
      </c>
      <c r="N460" t="s">
        <v>8240</v>
      </c>
      <c r="O460" t="s">
        <v>8266</v>
      </c>
      <c r="P460" t="s">
        <v>8267</v>
      </c>
      <c r="Q460" t="str">
        <f>tblSales[[#This Row],[FirstName]]&amp; " " &amp;tblSales[[#This Row],[LastName]]</f>
        <v>Margaret Peacock</v>
      </c>
      <c r="R460">
        <f>YEAR(tblSales[[#This Row],[OrderDate]])</f>
        <v>2019</v>
      </c>
      <c r="S460">
        <f>WEEKNUM(tblSales[[#This Row],[OrderDate]])</f>
        <v>52</v>
      </c>
      <c r="T460">
        <f>IF(ISBLANK(tblSales[[#This Row],[ShippedDate]]),"",tblSales[[#This Row],[ShippedDate]]-tblSales[[#This Row],[OrderDate]])</f>
        <v>31</v>
      </c>
      <c r="U460" t="str">
        <f>LEFT(tblSales[[#This Row],[ProductName]],20)</f>
        <v>Ravioli Angelo</v>
      </c>
    </row>
    <row r="461" spans="2:21" x14ac:dyDescent="0.2">
      <c r="B461">
        <v>10580</v>
      </c>
      <c r="C461" t="s">
        <v>8253</v>
      </c>
      <c r="D461" t="s">
        <v>8246</v>
      </c>
      <c r="E461" t="s">
        <v>8254</v>
      </c>
      <c r="F461" s="222">
        <v>21.05</v>
      </c>
      <c r="G461">
        <v>30</v>
      </c>
      <c r="H461" s="223">
        <v>5.0000000745058101E-2</v>
      </c>
      <c r="I461" s="222">
        <v>599.91999999999996</v>
      </c>
      <c r="J461" t="s">
        <v>8289</v>
      </c>
      <c r="K461" t="s">
        <v>8290</v>
      </c>
      <c r="L461" s="118">
        <v>43823</v>
      </c>
      <c r="M461" s="118">
        <v>43828</v>
      </c>
      <c r="N461" t="s">
        <v>8240</v>
      </c>
      <c r="O461" t="s">
        <v>8266</v>
      </c>
      <c r="P461" t="s">
        <v>8267</v>
      </c>
      <c r="Q461" t="str">
        <f>tblSales[[#This Row],[FirstName]]&amp; " " &amp;tblSales[[#This Row],[LastName]]</f>
        <v>Margaret Peacock</v>
      </c>
      <c r="R461">
        <f>YEAR(tblSales[[#This Row],[OrderDate]])</f>
        <v>2019</v>
      </c>
      <c r="S461">
        <f>WEEKNUM(tblSales[[#This Row],[OrderDate]])</f>
        <v>52</v>
      </c>
      <c r="T461">
        <f>IF(ISBLANK(tblSales[[#This Row],[ShippedDate]]),"",tblSales[[#This Row],[ShippedDate]]-tblSales[[#This Row],[OrderDate]])</f>
        <v>5</v>
      </c>
      <c r="U461" t="str">
        <f>LEFT(tblSales[[#This Row],[ProductName]],20)</f>
        <v xml:space="preserve">Louisiana Fiery Hot </v>
      </c>
    </row>
    <row r="462" spans="2:21" x14ac:dyDescent="0.2">
      <c r="B462">
        <v>10580</v>
      </c>
      <c r="C462" t="s">
        <v>8252</v>
      </c>
      <c r="D462" t="s">
        <v>8246</v>
      </c>
      <c r="E462" t="s">
        <v>8247</v>
      </c>
      <c r="F462" s="222">
        <v>23.25</v>
      </c>
      <c r="G462">
        <v>15</v>
      </c>
      <c r="H462" s="223">
        <v>5.0000000745058101E-2</v>
      </c>
      <c r="I462" s="222">
        <v>331.31</v>
      </c>
      <c r="J462" t="s">
        <v>8289</v>
      </c>
      <c r="K462" t="s">
        <v>8290</v>
      </c>
      <c r="L462" s="118">
        <v>43823</v>
      </c>
      <c r="M462" s="118">
        <v>43828</v>
      </c>
      <c r="N462" t="s">
        <v>8240</v>
      </c>
      <c r="O462" t="s">
        <v>8266</v>
      </c>
      <c r="P462" t="s">
        <v>8267</v>
      </c>
      <c r="Q462" t="str">
        <f>tblSales[[#This Row],[FirstName]]&amp; " " &amp;tblSales[[#This Row],[LastName]]</f>
        <v>Margaret Peacock</v>
      </c>
      <c r="R462">
        <f>YEAR(tblSales[[#This Row],[OrderDate]])</f>
        <v>2019</v>
      </c>
      <c r="S462">
        <f>WEEKNUM(tblSales[[#This Row],[OrderDate]])</f>
        <v>52</v>
      </c>
      <c r="T462">
        <f>IF(ISBLANK(tblSales[[#This Row],[ShippedDate]]),"",tblSales[[#This Row],[ShippedDate]]-tblSales[[#This Row],[OrderDate]])</f>
        <v>5</v>
      </c>
      <c r="U462" t="str">
        <f>LEFT(tblSales[[#This Row],[ProductName]],20)</f>
        <v>Tofu</v>
      </c>
    </row>
    <row r="463" spans="2:21" x14ac:dyDescent="0.2">
      <c r="B463">
        <v>10582</v>
      </c>
      <c r="C463" t="s">
        <v>8303</v>
      </c>
      <c r="D463" t="s">
        <v>8246</v>
      </c>
      <c r="E463" t="s">
        <v>8272</v>
      </c>
      <c r="F463" s="222">
        <v>18</v>
      </c>
      <c r="G463">
        <v>14</v>
      </c>
      <c r="H463" s="223">
        <v>0</v>
      </c>
      <c r="I463" s="222">
        <v>252</v>
      </c>
      <c r="J463" t="s">
        <v>8416</v>
      </c>
      <c r="K463" t="s">
        <v>8417</v>
      </c>
      <c r="L463" s="118">
        <v>43824</v>
      </c>
      <c r="M463" s="118">
        <v>43841</v>
      </c>
      <c r="N463" t="s">
        <v>8265</v>
      </c>
      <c r="O463" t="s">
        <v>8257</v>
      </c>
      <c r="P463" t="s">
        <v>6984</v>
      </c>
      <c r="Q463" t="str">
        <f>tblSales[[#This Row],[FirstName]]&amp; " " &amp;tblSales[[#This Row],[LastName]]</f>
        <v>Janet Leverling</v>
      </c>
      <c r="R463">
        <f>YEAR(tblSales[[#This Row],[OrderDate]])</f>
        <v>2019</v>
      </c>
      <c r="S463">
        <f>WEEKNUM(tblSales[[#This Row],[OrderDate]])</f>
        <v>52</v>
      </c>
      <c r="T463">
        <f>IF(ISBLANK(tblSales[[#This Row],[ShippedDate]]),"",tblSales[[#This Row],[ShippedDate]]-tblSales[[#This Row],[OrderDate]])</f>
        <v>17</v>
      </c>
      <c r="U463" t="str">
        <f>LEFT(tblSales[[#This Row],[ProductName]],20)</f>
        <v>Lakkalikööri</v>
      </c>
    </row>
    <row r="464" spans="2:21" x14ac:dyDescent="0.2">
      <c r="B464">
        <v>10582</v>
      </c>
      <c r="C464" t="s">
        <v>8258</v>
      </c>
      <c r="D464" t="s">
        <v>8246</v>
      </c>
      <c r="E464" t="s">
        <v>8244</v>
      </c>
      <c r="F464" s="222">
        <v>19.5</v>
      </c>
      <c r="G464">
        <v>4</v>
      </c>
      <c r="H464" s="223">
        <v>0</v>
      </c>
      <c r="I464" s="222">
        <v>78</v>
      </c>
      <c r="J464" t="s">
        <v>8416</v>
      </c>
      <c r="K464" t="s">
        <v>8417</v>
      </c>
      <c r="L464" s="118">
        <v>43824</v>
      </c>
      <c r="M464" s="118">
        <v>43841</v>
      </c>
      <c r="N464" t="s">
        <v>8265</v>
      </c>
      <c r="O464" t="s">
        <v>8257</v>
      </c>
      <c r="P464" t="s">
        <v>6984</v>
      </c>
      <c r="Q464" t="str">
        <f>tblSales[[#This Row],[FirstName]]&amp; " " &amp;tblSales[[#This Row],[LastName]]</f>
        <v>Janet Leverling</v>
      </c>
      <c r="R464">
        <f>YEAR(tblSales[[#This Row],[OrderDate]])</f>
        <v>2019</v>
      </c>
      <c r="S464">
        <f>WEEKNUM(tblSales[[#This Row],[OrderDate]])</f>
        <v>52</v>
      </c>
      <c r="T464">
        <f>IF(ISBLANK(tblSales[[#This Row],[ShippedDate]]),"",tblSales[[#This Row],[ShippedDate]]-tblSales[[#This Row],[OrderDate]])</f>
        <v>17</v>
      </c>
      <c r="U464" t="str">
        <f>LEFT(tblSales[[#This Row],[ProductName]],20)</f>
        <v>Ravioli Angelo</v>
      </c>
    </row>
    <row r="465" spans="2:21" x14ac:dyDescent="0.2">
      <c r="B465">
        <v>10583</v>
      </c>
      <c r="C465" t="s">
        <v>8268</v>
      </c>
      <c r="D465" t="s">
        <v>8300</v>
      </c>
      <c r="E465" t="s">
        <v>8237</v>
      </c>
      <c r="F465" s="222">
        <v>34</v>
      </c>
      <c r="G465">
        <v>24</v>
      </c>
      <c r="H465" s="223">
        <v>0.15000000596046401</v>
      </c>
      <c r="I465" s="222">
        <v>693.6</v>
      </c>
      <c r="J465" t="s">
        <v>8301</v>
      </c>
      <c r="K465" t="s">
        <v>8302</v>
      </c>
      <c r="L465" s="118">
        <v>43827</v>
      </c>
      <c r="M465" s="118">
        <v>43831</v>
      </c>
      <c r="N465" t="s">
        <v>8265</v>
      </c>
      <c r="O465" t="s">
        <v>8297</v>
      </c>
      <c r="P465" t="s">
        <v>8298</v>
      </c>
      <c r="Q465" t="str">
        <f>tblSales[[#This Row],[FirstName]]&amp; " " &amp;tblSales[[#This Row],[LastName]]</f>
        <v>Andrew Fuller</v>
      </c>
      <c r="R465">
        <f>YEAR(tblSales[[#This Row],[OrderDate]])</f>
        <v>2019</v>
      </c>
      <c r="S465">
        <f>WEEKNUM(tblSales[[#This Row],[OrderDate]])</f>
        <v>52</v>
      </c>
      <c r="T465">
        <f>IF(ISBLANK(tblSales[[#This Row],[ShippedDate]]),"",tblSales[[#This Row],[ShippedDate]]-tblSales[[#This Row],[OrderDate]])</f>
        <v>4</v>
      </c>
      <c r="U465" t="str">
        <f>LEFT(tblSales[[#This Row],[ProductName]],20)</f>
        <v>Camembert Pierrot</v>
      </c>
    </row>
    <row r="466" spans="2:21" x14ac:dyDescent="0.2">
      <c r="B466">
        <v>10583</v>
      </c>
      <c r="C466" t="s">
        <v>8353</v>
      </c>
      <c r="D466" t="s">
        <v>8300</v>
      </c>
      <c r="E466" t="s">
        <v>8237</v>
      </c>
      <c r="F466" s="222">
        <v>36</v>
      </c>
      <c r="G466">
        <v>10</v>
      </c>
      <c r="H466" s="223">
        <v>0.15000000596046401</v>
      </c>
      <c r="I466" s="222">
        <v>306</v>
      </c>
      <c r="J466" t="s">
        <v>8301</v>
      </c>
      <c r="K466" t="s">
        <v>8302</v>
      </c>
      <c r="L466" s="118">
        <v>43827</v>
      </c>
      <c r="M466" s="118">
        <v>43831</v>
      </c>
      <c r="N466" t="s">
        <v>8265</v>
      </c>
      <c r="O466" t="s">
        <v>8297</v>
      </c>
      <c r="P466" t="s">
        <v>8298</v>
      </c>
      <c r="Q466" t="str">
        <f>tblSales[[#This Row],[FirstName]]&amp; " " &amp;tblSales[[#This Row],[LastName]]</f>
        <v>Andrew Fuller</v>
      </c>
      <c r="R466">
        <f>YEAR(tblSales[[#This Row],[OrderDate]])</f>
        <v>2019</v>
      </c>
      <c r="S466">
        <f>WEEKNUM(tblSales[[#This Row],[OrderDate]])</f>
        <v>52</v>
      </c>
      <c r="T466">
        <f>IF(ISBLANK(tblSales[[#This Row],[ShippedDate]]),"",tblSales[[#This Row],[ShippedDate]]-tblSales[[#This Row],[OrderDate]])</f>
        <v>4</v>
      </c>
      <c r="U466" t="str">
        <f>LEFT(tblSales[[#This Row],[ProductName]],20)</f>
        <v>Gudbrandsdalsost</v>
      </c>
    </row>
    <row r="467" spans="2:21" x14ac:dyDescent="0.2">
      <c r="B467">
        <v>10584</v>
      </c>
      <c r="C467" t="s">
        <v>8309</v>
      </c>
      <c r="D467" t="s">
        <v>8236</v>
      </c>
      <c r="E467" t="s">
        <v>8237</v>
      </c>
      <c r="F467" s="222">
        <v>12.5</v>
      </c>
      <c r="G467">
        <v>50</v>
      </c>
      <c r="H467" s="223">
        <v>5.0000000745058101E-2</v>
      </c>
      <c r="I467" s="222">
        <v>593.75</v>
      </c>
      <c r="J467" t="s">
        <v>8295</v>
      </c>
      <c r="K467" t="s">
        <v>8296</v>
      </c>
      <c r="L467" s="118">
        <v>43827</v>
      </c>
      <c r="M467" s="118">
        <v>43831</v>
      </c>
      <c r="N467" t="s">
        <v>8250</v>
      </c>
      <c r="O467" t="s">
        <v>8266</v>
      </c>
      <c r="P467" t="s">
        <v>8267</v>
      </c>
      <c r="Q467" t="str">
        <f>tblSales[[#This Row],[FirstName]]&amp; " " &amp;tblSales[[#This Row],[LastName]]</f>
        <v>Margaret Peacock</v>
      </c>
      <c r="R467">
        <f>YEAR(tblSales[[#This Row],[OrderDate]])</f>
        <v>2019</v>
      </c>
      <c r="S467">
        <f>WEEKNUM(tblSales[[#This Row],[OrderDate]])</f>
        <v>52</v>
      </c>
      <c r="T467">
        <f>IF(ISBLANK(tblSales[[#This Row],[ShippedDate]]),"",tblSales[[#This Row],[ShippedDate]]-tblSales[[#This Row],[OrderDate]])</f>
        <v>4</v>
      </c>
      <c r="U467" t="str">
        <f>LEFT(tblSales[[#This Row],[ProductName]],20)</f>
        <v>Gorgonzola Telino</v>
      </c>
    </row>
    <row r="468" spans="2:21" x14ac:dyDescent="0.2">
      <c r="B468">
        <v>10586</v>
      </c>
      <c r="C468" t="s">
        <v>8369</v>
      </c>
      <c r="D468" t="s">
        <v>8311</v>
      </c>
      <c r="E468" t="s">
        <v>8244</v>
      </c>
      <c r="F468" s="222">
        <v>7</v>
      </c>
      <c r="G468">
        <v>4</v>
      </c>
      <c r="H468" s="223">
        <v>0.15000000596046401</v>
      </c>
      <c r="I468" s="222">
        <v>23.8</v>
      </c>
      <c r="J468" t="s">
        <v>8335</v>
      </c>
      <c r="K468" t="s">
        <v>8336</v>
      </c>
      <c r="L468" s="118">
        <v>43829</v>
      </c>
      <c r="M468" s="118">
        <v>43836</v>
      </c>
      <c r="N468" t="s">
        <v>8250</v>
      </c>
      <c r="O468" t="s">
        <v>8279</v>
      </c>
      <c r="P468" t="s">
        <v>710</v>
      </c>
      <c r="Q468" t="str">
        <f>tblSales[[#This Row],[FirstName]]&amp; " " &amp;tblSales[[#This Row],[LastName]]</f>
        <v>Anne Dodsworth</v>
      </c>
      <c r="R468">
        <f>YEAR(tblSales[[#This Row],[OrderDate]])</f>
        <v>2019</v>
      </c>
      <c r="S468">
        <f>WEEKNUM(tblSales[[#This Row],[OrderDate]])</f>
        <v>53</v>
      </c>
      <c r="T468">
        <f>IF(ISBLANK(tblSales[[#This Row],[ShippedDate]]),"",tblSales[[#This Row],[ShippedDate]]-tblSales[[#This Row],[OrderDate]])</f>
        <v>7</v>
      </c>
      <c r="U468" t="str">
        <f>LEFT(tblSales[[#This Row],[ProductName]],20)</f>
        <v>Filo Mix</v>
      </c>
    </row>
    <row r="469" spans="2:21" x14ac:dyDescent="0.2">
      <c r="B469">
        <v>10588</v>
      </c>
      <c r="C469" t="s">
        <v>8243</v>
      </c>
      <c r="D469" t="s">
        <v>8246</v>
      </c>
      <c r="E469" t="s">
        <v>8244</v>
      </c>
      <c r="F469" s="222">
        <v>14</v>
      </c>
      <c r="G469">
        <v>100</v>
      </c>
      <c r="H469" s="223">
        <v>0.20000000298023199</v>
      </c>
      <c r="I469" s="222">
        <v>1120</v>
      </c>
      <c r="J469" t="s">
        <v>8307</v>
      </c>
      <c r="K469" t="s">
        <v>8308</v>
      </c>
      <c r="L469" s="118">
        <v>43830</v>
      </c>
      <c r="M469" s="118">
        <v>43837</v>
      </c>
      <c r="N469" t="s">
        <v>8240</v>
      </c>
      <c r="O469" t="s">
        <v>8297</v>
      </c>
      <c r="P469" t="s">
        <v>8298</v>
      </c>
      <c r="Q469" t="str">
        <f>tblSales[[#This Row],[FirstName]]&amp; " " &amp;tblSales[[#This Row],[LastName]]</f>
        <v>Andrew Fuller</v>
      </c>
      <c r="R469">
        <f>YEAR(tblSales[[#This Row],[OrderDate]])</f>
        <v>2019</v>
      </c>
      <c r="S469">
        <f>WEEKNUM(tblSales[[#This Row],[OrderDate]])</f>
        <v>53</v>
      </c>
      <c r="T469">
        <f>IF(ISBLANK(tblSales[[#This Row],[ShippedDate]]),"",tblSales[[#This Row],[ShippedDate]]-tblSales[[#This Row],[OrderDate]])</f>
        <v>7</v>
      </c>
      <c r="U469" t="str">
        <f>LEFT(tblSales[[#This Row],[ProductName]],20)</f>
        <v xml:space="preserve">Singaporean Hokkien </v>
      </c>
    </row>
    <row r="470" spans="2:21" x14ac:dyDescent="0.2">
      <c r="B470">
        <v>11117</v>
      </c>
      <c r="C470" t="s">
        <v>8381</v>
      </c>
      <c r="D470" t="s">
        <v>2434</v>
      </c>
      <c r="E470" t="s">
        <v>8262</v>
      </c>
      <c r="F470" s="222">
        <v>13</v>
      </c>
      <c r="G470">
        <v>15</v>
      </c>
      <c r="H470" s="223">
        <v>0</v>
      </c>
      <c r="I470" s="222">
        <v>195</v>
      </c>
      <c r="J470" t="s">
        <v>8386</v>
      </c>
      <c r="K470" t="s">
        <v>8387</v>
      </c>
      <c r="L470" s="118">
        <v>43831</v>
      </c>
      <c r="M470" s="118">
        <v>43833</v>
      </c>
      <c r="N470" t="s">
        <v>8240</v>
      </c>
      <c r="O470" t="s">
        <v>8320</v>
      </c>
      <c r="P470" t="s">
        <v>8321</v>
      </c>
      <c r="Q470" t="str">
        <f>tblSales[[#This Row],[FirstName]]&amp; " " &amp;tblSales[[#This Row],[LastName]]</f>
        <v>Laura Callahan</v>
      </c>
      <c r="R470">
        <f>YEAR(tblSales[[#This Row],[OrderDate]])</f>
        <v>2020</v>
      </c>
      <c r="S470">
        <f>WEEKNUM(tblSales[[#This Row],[OrderDate]])</f>
        <v>1</v>
      </c>
      <c r="T470">
        <f>IF(ISBLANK(tblSales[[#This Row],[ShippedDate]]),"",tblSales[[#This Row],[ShippedDate]]-tblSales[[#This Row],[OrderDate]])</f>
        <v>2</v>
      </c>
      <c r="U470" t="str">
        <f>LEFT(tblSales[[#This Row],[ProductName]],20)</f>
        <v>Valkoinen suklaa</v>
      </c>
    </row>
    <row r="471" spans="2:21" x14ac:dyDescent="0.2">
      <c r="B471">
        <v>11117</v>
      </c>
      <c r="C471" t="s">
        <v>8341</v>
      </c>
      <c r="D471" t="s">
        <v>2434</v>
      </c>
      <c r="E471" t="s">
        <v>8244</v>
      </c>
      <c r="F471" s="222">
        <v>30.4</v>
      </c>
      <c r="G471">
        <v>20</v>
      </c>
      <c r="H471" s="223">
        <v>0</v>
      </c>
      <c r="I471" s="222">
        <v>608</v>
      </c>
      <c r="J471" t="s">
        <v>8386</v>
      </c>
      <c r="K471" t="s">
        <v>8387</v>
      </c>
      <c r="L471" s="118">
        <v>43831</v>
      </c>
      <c r="M471" s="118">
        <v>43833</v>
      </c>
      <c r="N471" t="s">
        <v>8240</v>
      </c>
      <c r="O471" t="s">
        <v>8320</v>
      </c>
      <c r="P471" t="s">
        <v>8321</v>
      </c>
      <c r="Q471" t="str">
        <f>tblSales[[#This Row],[FirstName]]&amp; " " &amp;tblSales[[#This Row],[LastName]]</f>
        <v>Laura Callahan</v>
      </c>
      <c r="R471">
        <f>YEAR(tblSales[[#This Row],[OrderDate]])</f>
        <v>2020</v>
      </c>
      <c r="S471">
        <f>WEEKNUM(tblSales[[#This Row],[OrderDate]])</f>
        <v>1</v>
      </c>
      <c r="T471">
        <f>IF(ISBLANK(tblSales[[#This Row],[ShippedDate]]),"",tblSales[[#This Row],[ShippedDate]]-tblSales[[#This Row],[OrderDate]])</f>
        <v>2</v>
      </c>
      <c r="U471" t="str">
        <f>LEFT(tblSales[[#This Row],[ProductName]],20)</f>
        <v>Gnocchi di nonna Ali</v>
      </c>
    </row>
    <row r="472" spans="2:21" x14ac:dyDescent="0.2">
      <c r="B472">
        <v>10591</v>
      </c>
      <c r="C472" t="s">
        <v>8337</v>
      </c>
      <c r="D472" t="s">
        <v>8374</v>
      </c>
      <c r="E472" t="s">
        <v>8254</v>
      </c>
      <c r="F472" s="222">
        <v>10</v>
      </c>
      <c r="G472">
        <v>14</v>
      </c>
      <c r="H472" s="223">
        <v>0</v>
      </c>
      <c r="I472" s="222">
        <v>140</v>
      </c>
      <c r="J472" t="s">
        <v>8395</v>
      </c>
      <c r="K472" t="s">
        <v>8396</v>
      </c>
      <c r="L472" s="118">
        <v>43834</v>
      </c>
      <c r="M472" s="118">
        <v>43843</v>
      </c>
      <c r="N472" t="s">
        <v>8250</v>
      </c>
      <c r="O472" t="s">
        <v>8285</v>
      </c>
      <c r="P472" t="s">
        <v>2317</v>
      </c>
      <c r="Q472" t="str">
        <f>tblSales[[#This Row],[FirstName]]&amp; " " &amp;tblSales[[#This Row],[LastName]]</f>
        <v>Nancy Davolio</v>
      </c>
      <c r="R472">
        <f>YEAR(tblSales[[#This Row],[OrderDate]])</f>
        <v>2020</v>
      </c>
      <c r="S472">
        <f>WEEKNUM(tblSales[[#This Row],[OrderDate]])</f>
        <v>1</v>
      </c>
      <c r="T472">
        <f>IF(ISBLANK(tblSales[[#This Row],[ShippedDate]]),"",tblSales[[#This Row],[ShippedDate]]-tblSales[[#This Row],[OrderDate]])</f>
        <v>9</v>
      </c>
      <c r="U472" t="str">
        <f>LEFT(tblSales[[#This Row],[ProductName]],20)</f>
        <v>Aniseed Syrup</v>
      </c>
    </row>
    <row r="473" spans="2:21" x14ac:dyDescent="0.2">
      <c r="B473">
        <v>10591</v>
      </c>
      <c r="C473" t="s">
        <v>8415</v>
      </c>
      <c r="D473" t="s">
        <v>8374</v>
      </c>
      <c r="E473" t="s">
        <v>8247</v>
      </c>
      <c r="F473" s="222">
        <v>30</v>
      </c>
      <c r="G473">
        <v>10</v>
      </c>
      <c r="H473" s="223">
        <v>0</v>
      </c>
      <c r="I473" s="222">
        <v>300</v>
      </c>
      <c r="J473" t="s">
        <v>8395</v>
      </c>
      <c r="K473" t="s">
        <v>8396</v>
      </c>
      <c r="L473" s="118">
        <v>43834</v>
      </c>
      <c r="M473" s="118">
        <v>43843</v>
      </c>
      <c r="N473" t="s">
        <v>8250</v>
      </c>
      <c r="O473" t="s">
        <v>8285</v>
      </c>
      <c r="P473" t="s">
        <v>2317</v>
      </c>
      <c r="Q473" t="str">
        <f>tblSales[[#This Row],[FirstName]]&amp; " " &amp;tblSales[[#This Row],[LastName]]</f>
        <v>Nancy Davolio</v>
      </c>
      <c r="R473">
        <f>YEAR(tblSales[[#This Row],[OrderDate]])</f>
        <v>2020</v>
      </c>
      <c r="S473">
        <f>WEEKNUM(tblSales[[#This Row],[OrderDate]])</f>
        <v>1</v>
      </c>
      <c r="T473">
        <f>IF(ISBLANK(tblSales[[#This Row],[ShippedDate]]),"",tblSales[[#This Row],[ShippedDate]]-tblSales[[#This Row],[OrderDate]])</f>
        <v>9</v>
      </c>
      <c r="U473" t="str">
        <f>LEFT(tblSales[[#This Row],[ProductName]],20)</f>
        <v xml:space="preserve">Uncle Bob's Organic </v>
      </c>
    </row>
    <row r="474" spans="2:21" x14ac:dyDescent="0.2">
      <c r="B474">
        <v>10592</v>
      </c>
      <c r="C474" t="s">
        <v>8361</v>
      </c>
      <c r="D474" t="s">
        <v>8246</v>
      </c>
      <c r="E474" t="s">
        <v>8254</v>
      </c>
      <c r="F474" s="222">
        <v>15.5</v>
      </c>
      <c r="G474">
        <v>25</v>
      </c>
      <c r="H474" s="223">
        <v>5.0000000745058101E-2</v>
      </c>
      <c r="I474" s="222">
        <v>368.12</v>
      </c>
      <c r="J474" t="s">
        <v>8330</v>
      </c>
      <c r="K474" t="s">
        <v>8331</v>
      </c>
      <c r="L474" s="118">
        <v>43835</v>
      </c>
      <c r="M474" s="118">
        <v>43843</v>
      </c>
      <c r="N474" t="s">
        <v>8250</v>
      </c>
      <c r="O474" t="s">
        <v>8257</v>
      </c>
      <c r="P474" t="s">
        <v>6984</v>
      </c>
      <c r="Q474" t="str">
        <f>tblSales[[#This Row],[FirstName]]&amp; " " &amp;tblSales[[#This Row],[LastName]]</f>
        <v>Janet Leverling</v>
      </c>
      <c r="R474">
        <f>YEAR(tblSales[[#This Row],[OrderDate]])</f>
        <v>2020</v>
      </c>
      <c r="S474">
        <f>WEEKNUM(tblSales[[#This Row],[OrderDate]])</f>
        <v>2</v>
      </c>
      <c r="T474">
        <f>IF(ISBLANK(tblSales[[#This Row],[ShippedDate]]),"",tblSales[[#This Row],[ShippedDate]]-tblSales[[#This Row],[OrderDate]])</f>
        <v>8</v>
      </c>
      <c r="U474" t="str">
        <f>LEFT(tblSales[[#This Row],[ProductName]],20)</f>
        <v>Genen Shouyu</v>
      </c>
    </row>
    <row r="475" spans="2:21" x14ac:dyDescent="0.2">
      <c r="B475">
        <v>10592</v>
      </c>
      <c r="C475" t="s">
        <v>8372</v>
      </c>
      <c r="D475" t="s">
        <v>8246</v>
      </c>
      <c r="E475" t="s">
        <v>8262</v>
      </c>
      <c r="F475" s="222">
        <v>31.23</v>
      </c>
      <c r="G475">
        <v>5</v>
      </c>
      <c r="H475" s="223">
        <v>5.0000000745058101E-2</v>
      </c>
      <c r="I475" s="222">
        <v>148.34</v>
      </c>
      <c r="J475" t="s">
        <v>8330</v>
      </c>
      <c r="K475" t="s">
        <v>8331</v>
      </c>
      <c r="L475" s="118">
        <v>43835</v>
      </c>
      <c r="M475" s="118">
        <v>43843</v>
      </c>
      <c r="N475" t="s">
        <v>8250</v>
      </c>
      <c r="O475" t="s">
        <v>8257</v>
      </c>
      <c r="P475" t="s">
        <v>6984</v>
      </c>
      <c r="Q475" t="str">
        <f>tblSales[[#This Row],[FirstName]]&amp; " " &amp;tblSales[[#This Row],[LastName]]</f>
        <v>Janet Leverling</v>
      </c>
      <c r="R475">
        <f>YEAR(tblSales[[#This Row],[OrderDate]])</f>
        <v>2020</v>
      </c>
      <c r="S475">
        <f>WEEKNUM(tblSales[[#This Row],[OrderDate]])</f>
        <v>2</v>
      </c>
      <c r="T475">
        <f>IF(ISBLANK(tblSales[[#This Row],[ShippedDate]]),"",tblSales[[#This Row],[ShippedDate]]-tblSales[[#This Row],[OrderDate]])</f>
        <v>8</v>
      </c>
      <c r="U475" t="str">
        <f>LEFT(tblSales[[#This Row],[ProductName]],20)</f>
        <v>Gumbär Gummibärchen</v>
      </c>
    </row>
    <row r="476" spans="2:21" x14ac:dyDescent="0.2">
      <c r="B476">
        <v>10593</v>
      </c>
      <c r="C476" t="s">
        <v>8303</v>
      </c>
      <c r="D476" t="s">
        <v>8246</v>
      </c>
      <c r="E476" t="s">
        <v>8272</v>
      </c>
      <c r="F476" s="222">
        <v>18</v>
      </c>
      <c r="G476">
        <v>4</v>
      </c>
      <c r="H476" s="223">
        <v>0.20000000298023199</v>
      </c>
      <c r="I476" s="222">
        <v>57.6</v>
      </c>
      <c r="J476" t="s">
        <v>8330</v>
      </c>
      <c r="K476" t="s">
        <v>8331</v>
      </c>
      <c r="L476" s="118">
        <v>43836</v>
      </c>
      <c r="M476" s="118">
        <v>43871</v>
      </c>
      <c r="N476" t="s">
        <v>8265</v>
      </c>
      <c r="O476" t="s">
        <v>8158</v>
      </c>
      <c r="P476" t="s">
        <v>861</v>
      </c>
      <c r="Q476" t="str">
        <f>tblSales[[#This Row],[FirstName]]&amp; " " &amp;tblSales[[#This Row],[LastName]]</f>
        <v>Robert King</v>
      </c>
      <c r="R476">
        <f>YEAR(tblSales[[#This Row],[OrderDate]])</f>
        <v>2020</v>
      </c>
      <c r="S476">
        <f>WEEKNUM(tblSales[[#This Row],[OrderDate]])</f>
        <v>2</v>
      </c>
      <c r="T476">
        <f>IF(ISBLANK(tblSales[[#This Row],[ShippedDate]]),"",tblSales[[#This Row],[ShippedDate]]-tblSales[[#This Row],[OrderDate]])</f>
        <v>35</v>
      </c>
      <c r="U476" t="str">
        <f>LEFT(tblSales[[#This Row],[ProductName]],20)</f>
        <v>Lakkalikööri</v>
      </c>
    </row>
    <row r="477" spans="2:21" x14ac:dyDescent="0.2">
      <c r="B477">
        <v>10593</v>
      </c>
      <c r="C477" t="s">
        <v>8260</v>
      </c>
      <c r="D477" t="s">
        <v>8246</v>
      </c>
      <c r="E477" t="s">
        <v>8262</v>
      </c>
      <c r="F477" s="222">
        <v>81</v>
      </c>
      <c r="G477">
        <v>21</v>
      </c>
      <c r="H477" s="223">
        <v>0.20000000298023199</v>
      </c>
      <c r="I477" s="222">
        <v>1360.8</v>
      </c>
      <c r="J477" t="s">
        <v>8330</v>
      </c>
      <c r="K477" t="s">
        <v>8331</v>
      </c>
      <c r="L477" s="118">
        <v>43836</v>
      </c>
      <c r="M477" s="118">
        <v>43871</v>
      </c>
      <c r="N477" t="s">
        <v>8265</v>
      </c>
      <c r="O477" t="s">
        <v>8158</v>
      </c>
      <c r="P477" t="s">
        <v>861</v>
      </c>
      <c r="Q477" t="str">
        <f>tblSales[[#This Row],[FirstName]]&amp; " " &amp;tblSales[[#This Row],[LastName]]</f>
        <v>Robert King</v>
      </c>
      <c r="R477">
        <f>YEAR(tblSales[[#This Row],[OrderDate]])</f>
        <v>2020</v>
      </c>
      <c r="S477">
        <f>WEEKNUM(tblSales[[#This Row],[OrderDate]])</f>
        <v>2</v>
      </c>
      <c r="T477">
        <f>IF(ISBLANK(tblSales[[#This Row],[ShippedDate]]),"",tblSales[[#This Row],[ShippedDate]]-tblSales[[#This Row],[OrderDate]])</f>
        <v>35</v>
      </c>
      <c r="U477" t="str">
        <f>LEFT(tblSales[[#This Row],[ProductName]],20)</f>
        <v>Sir Rodney's Marmala</v>
      </c>
    </row>
    <row r="478" spans="2:21" x14ac:dyDescent="0.2">
      <c r="B478">
        <v>10593</v>
      </c>
      <c r="C478" t="s">
        <v>8353</v>
      </c>
      <c r="D478" t="s">
        <v>8246</v>
      </c>
      <c r="E478" t="s">
        <v>8237</v>
      </c>
      <c r="F478" s="222">
        <v>36</v>
      </c>
      <c r="G478">
        <v>20</v>
      </c>
      <c r="H478" s="223">
        <v>0.20000000298023199</v>
      </c>
      <c r="I478" s="222">
        <v>576</v>
      </c>
      <c r="J478" t="s">
        <v>8330</v>
      </c>
      <c r="K478" t="s">
        <v>8331</v>
      </c>
      <c r="L478" s="118">
        <v>43836</v>
      </c>
      <c r="M478" s="118">
        <v>43871</v>
      </c>
      <c r="N478" t="s">
        <v>8265</v>
      </c>
      <c r="O478" t="s">
        <v>8158</v>
      </c>
      <c r="P478" t="s">
        <v>861</v>
      </c>
      <c r="Q478" t="str">
        <f>tblSales[[#This Row],[FirstName]]&amp; " " &amp;tblSales[[#This Row],[LastName]]</f>
        <v>Robert King</v>
      </c>
      <c r="R478">
        <f>YEAR(tblSales[[#This Row],[OrderDate]])</f>
        <v>2020</v>
      </c>
      <c r="S478">
        <f>WEEKNUM(tblSales[[#This Row],[OrderDate]])</f>
        <v>2</v>
      </c>
      <c r="T478">
        <f>IF(ISBLANK(tblSales[[#This Row],[ShippedDate]]),"",tblSales[[#This Row],[ShippedDate]]-tblSales[[#This Row],[OrderDate]])</f>
        <v>35</v>
      </c>
      <c r="U478" t="str">
        <f>LEFT(tblSales[[#This Row],[ProductName]],20)</f>
        <v>Gudbrandsdalsost</v>
      </c>
    </row>
    <row r="479" spans="2:21" x14ac:dyDescent="0.2">
      <c r="B479">
        <v>10595</v>
      </c>
      <c r="C479" t="s">
        <v>8323</v>
      </c>
      <c r="D479" t="s">
        <v>8282</v>
      </c>
      <c r="E479" t="s">
        <v>8272</v>
      </c>
      <c r="F479" s="222">
        <v>18</v>
      </c>
      <c r="G479">
        <v>30</v>
      </c>
      <c r="H479" s="223">
        <v>0.25</v>
      </c>
      <c r="I479" s="222">
        <v>405</v>
      </c>
      <c r="J479" t="s">
        <v>8283</v>
      </c>
      <c r="K479" t="s">
        <v>8284</v>
      </c>
      <c r="L479" s="118">
        <v>43837</v>
      </c>
      <c r="M479" s="118">
        <v>43841</v>
      </c>
      <c r="N479" t="s">
        <v>8250</v>
      </c>
      <c r="O479" t="s">
        <v>8297</v>
      </c>
      <c r="P479" t="s">
        <v>8298</v>
      </c>
      <c r="Q479" t="str">
        <f>tblSales[[#This Row],[FirstName]]&amp; " " &amp;tblSales[[#This Row],[LastName]]</f>
        <v>Andrew Fuller</v>
      </c>
      <c r="R479">
        <f>YEAR(tblSales[[#This Row],[OrderDate]])</f>
        <v>2020</v>
      </c>
      <c r="S479">
        <f>WEEKNUM(tblSales[[#This Row],[OrderDate]])</f>
        <v>2</v>
      </c>
      <c r="T479">
        <f>IF(ISBLANK(tblSales[[#This Row],[ShippedDate]]),"",tblSales[[#This Row],[ShippedDate]]-tblSales[[#This Row],[OrderDate]])</f>
        <v>4</v>
      </c>
      <c r="U479" t="str">
        <f>LEFT(tblSales[[#This Row],[ProductName]],20)</f>
        <v>Steeleye Stout</v>
      </c>
    </row>
    <row r="480" spans="2:21" x14ac:dyDescent="0.2">
      <c r="B480">
        <v>10595</v>
      </c>
      <c r="C480" t="s">
        <v>8409</v>
      </c>
      <c r="D480" t="s">
        <v>8282</v>
      </c>
      <c r="E480" t="s">
        <v>8254</v>
      </c>
      <c r="F480" s="222">
        <v>28.5</v>
      </c>
      <c r="G480">
        <v>120</v>
      </c>
      <c r="H480" s="223">
        <v>0.25</v>
      </c>
      <c r="I480" s="222">
        <v>2565</v>
      </c>
      <c r="J480" t="s">
        <v>8283</v>
      </c>
      <c r="K480" t="s">
        <v>8284</v>
      </c>
      <c r="L480" s="118">
        <v>43837</v>
      </c>
      <c r="M480" s="118">
        <v>43841</v>
      </c>
      <c r="N480" t="s">
        <v>8250</v>
      </c>
      <c r="O480" t="s">
        <v>8297</v>
      </c>
      <c r="P480" t="s">
        <v>8298</v>
      </c>
      <c r="Q480" t="str">
        <f>tblSales[[#This Row],[FirstName]]&amp; " " &amp;tblSales[[#This Row],[LastName]]</f>
        <v>Andrew Fuller</v>
      </c>
      <c r="R480">
        <f>YEAR(tblSales[[#This Row],[OrderDate]])</f>
        <v>2020</v>
      </c>
      <c r="S480">
        <f>WEEKNUM(tblSales[[#This Row],[OrderDate]])</f>
        <v>2</v>
      </c>
      <c r="T480">
        <f>IF(ISBLANK(tblSales[[#This Row],[ShippedDate]]),"",tblSales[[#This Row],[ShippedDate]]-tblSales[[#This Row],[OrderDate]])</f>
        <v>4</v>
      </c>
      <c r="U480" t="str">
        <f>LEFT(tblSales[[#This Row],[ProductName]],20)</f>
        <v>Sirop d'érable</v>
      </c>
    </row>
    <row r="481" spans="2:21" x14ac:dyDescent="0.2">
      <c r="B481">
        <v>10595</v>
      </c>
      <c r="C481" t="s">
        <v>8353</v>
      </c>
      <c r="D481" t="s">
        <v>8282</v>
      </c>
      <c r="E481" t="s">
        <v>8237</v>
      </c>
      <c r="F481" s="222">
        <v>36</v>
      </c>
      <c r="G481">
        <v>65</v>
      </c>
      <c r="H481" s="223">
        <v>0.25</v>
      </c>
      <c r="I481" s="222">
        <v>1755</v>
      </c>
      <c r="J481" t="s">
        <v>8283</v>
      </c>
      <c r="K481" t="s">
        <v>8284</v>
      </c>
      <c r="L481" s="118">
        <v>43837</v>
      </c>
      <c r="M481" s="118">
        <v>43841</v>
      </c>
      <c r="N481" t="s">
        <v>8250</v>
      </c>
      <c r="O481" t="s">
        <v>8297</v>
      </c>
      <c r="P481" t="s">
        <v>8298</v>
      </c>
      <c r="Q481" t="str">
        <f>tblSales[[#This Row],[FirstName]]&amp; " " &amp;tblSales[[#This Row],[LastName]]</f>
        <v>Andrew Fuller</v>
      </c>
      <c r="R481">
        <f>YEAR(tblSales[[#This Row],[OrderDate]])</f>
        <v>2020</v>
      </c>
      <c r="S481">
        <f>WEEKNUM(tblSales[[#This Row],[OrderDate]])</f>
        <v>2</v>
      </c>
      <c r="T481">
        <f>IF(ISBLANK(tblSales[[#This Row],[ShippedDate]]),"",tblSales[[#This Row],[ShippedDate]]-tblSales[[#This Row],[OrderDate]])</f>
        <v>4</v>
      </c>
      <c r="U481" t="str">
        <f>LEFT(tblSales[[#This Row],[ProductName]],20)</f>
        <v>Gudbrandsdalsost</v>
      </c>
    </row>
    <row r="482" spans="2:21" x14ac:dyDescent="0.2">
      <c r="B482">
        <v>10597</v>
      </c>
      <c r="C482" t="s">
        <v>8270</v>
      </c>
      <c r="D482" t="s">
        <v>8282</v>
      </c>
      <c r="E482" t="s">
        <v>8272</v>
      </c>
      <c r="F482" s="222">
        <v>4.5</v>
      </c>
      <c r="G482">
        <v>35</v>
      </c>
      <c r="H482" s="223">
        <v>0.20000000298023199</v>
      </c>
      <c r="I482" s="222">
        <v>126</v>
      </c>
      <c r="J482" t="s">
        <v>8384</v>
      </c>
      <c r="K482" t="s">
        <v>8385</v>
      </c>
      <c r="L482" s="118">
        <v>43838</v>
      </c>
      <c r="M482" s="118">
        <v>43845</v>
      </c>
      <c r="N482" t="s">
        <v>8240</v>
      </c>
      <c r="O482" t="s">
        <v>8158</v>
      </c>
      <c r="P482" t="s">
        <v>861</v>
      </c>
      <c r="Q482" t="str">
        <f>tblSales[[#This Row],[FirstName]]&amp; " " &amp;tblSales[[#This Row],[LastName]]</f>
        <v>Robert King</v>
      </c>
      <c r="R482">
        <f>YEAR(tblSales[[#This Row],[OrderDate]])</f>
        <v>2020</v>
      </c>
      <c r="S482">
        <f>WEEKNUM(tblSales[[#This Row],[OrderDate]])</f>
        <v>2</v>
      </c>
      <c r="T482">
        <f>IF(ISBLANK(tblSales[[#This Row],[ShippedDate]]),"",tblSales[[#This Row],[ShippedDate]]-tblSales[[#This Row],[OrderDate]])</f>
        <v>7</v>
      </c>
      <c r="U482" t="str">
        <f>LEFT(tblSales[[#This Row],[ProductName]],20)</f>
        <v>Guaraná Fantástica</v>
      </c>
    </row>
    <row r="483" spans="2:21" x14ac:dyDescent="0.2">
      <c r="B483">
        <v>10597</v>
      </c>
      <c r="C483" t="s">
        <v>8253</v>
      </c>
      <c r="D483" t="s">
        <v>8282</v>
      </c>
      <c r="E483" t="s">
        <v>8254</v>
      </c>
      <c r="F483" s="222">
        <v>21.05</v>
      </c>
      <c r="G483">
        <v>12</v>
      </c>
      <c r="H483" s="223">
        <v>0.20000000298023199</v>
      </c>
      <c r="I483" s="222">
        <v>202.08</v>
      </c>
      <c r="J483" t="s">
        <v>8384</v>
      </c>
      <c r="K483" t="s">
        <v>8385</v>
      </c>
      <c r="L483" s="118">
        <v>43838</v>
      </c>
      <c r="M483" s="118">
        <v>43845</v>
      </c>
      <c r="N483" t="s">
        <v>8240</v>
      </c>
      <c r="O483" t="s">
        <v>8158</v>
      </c>
      <c r="P483" t="s">
        <v>861</v>
      </c>
      <c r="Q483" t="str">
        <f>tblSales[[#This Row],[FirstName]]&amp; " " &amp;tblSales[[#This Row],[LastName]]</f>
        <v>Robert King</v>
      </c>
      <c r="R483">
        <f>YEAR(tblSales[[#This Row],[OrderDate]])</f>
        <v>2020</v>
      </c>
      <c r="S483">
        <f>WEEKNUM(tblSales[[#This Row],[OrderDate]])</f>
        <v>2</v>
      </c>
      <c r="T483">
        <f>IF(ISBLANK(tblSales[[#This Row],[ShippedDate]]),"",tblSales[[#This Row],[ShippedDate]]-tblSales[[#This Row],[OrderDate]])</f>
        <v>7</v>
      </c>
      <c r="U483" t="str">
        <f>LEFT(tblSales[[#This Row],[ProductName]],20)</f>
        <v xml:space="preserve">Louisiana Fiery Hot </v>
      </c>
    </row>
    <row r="484" spans="2:21" x14ac:dyDescent="0.2">
      <c r="B484">
        <v>10597</v>
      </c>
      <c r="C484" t="s">
        <v>8258</v>
      </c>
      <c r="D484" t="s">
        <v>8282</v>
      </c>
      <c r="E484" t="s">
        <v>8244</v>
      </c>
      <c r="F484" s="222">
        <v>19.5</v>
      </c>
      <c r="G484">
        <v>20</v>
      </c>
      <c r="H484" s="223">
        <v>0</v>
      </c>
      <c r="I484" s="222">
        <v>390</v>
      </c>
      <c r="J484" t="s">
        <v>8384</v>
      </c>
      <c r="K484" t="s">
        <v>8385</v>
      </c>
      <c r="L484" s="118">
        <v>43838</v>
      </c>
      <c r="M484" s="118">
        <v>43845</v>
      </c>
      <c r="N484" t="s">
        <v>8240</v>
      </c>
      <c r="O484" t="s">
        <v>8158</v>
      </c>
      <c r="P484" t="s">
        <v>861</v>
      </c>
      <c r="Q484" t="str">
        <f>tblSales[[#This Row],[FirstName]]&amp; " " &amp;tblSales[[#This Row],[LastName]]</f>
        <v>Robert King</v>
      </c>
      <c r="R484">
        <f>YEAR(tblSales[[#This Row],[OrderDate]])</f>
        <v>2020</v>
      </c>
      <c r="S484">
        <f>WEEKNUM(tblSales[[#This Row],[OrderDate]])</f>
        <v>2</v>
      </c>
      <c r="T484">
        <f>IF(ISBLANK(tblSales[[#This Row],[ShippedDate]]),"",tblSales[[#This Row],[ShippedDate]]-tblSales[[#This Row],[OrderDate]])</f>
        <v>7</v>
      </c>
      <c r="U484" t="str">
        <f>LEFT(tblSales[[#This Row],[ProductName]],20)</f>
        <v>Ravioli Angelo</v>
      </c>
    </row>
    <row r="485" spans="2:21" x14ac:dyDescent="0.2">
      <c r="B485">
        <v>10599</v>
      </c>
      <c r="C485" t="s">
        <v>8291</v>
      </c>
      <c r="D485" t="s">
        <v>2434</v>
      </c>
      <c r="E485" t="s">
        <v>8262</v>
      </c>
      <c r="F485" s="222">
        <v>49.3</v>
      </c>
      <c r="G485">
        <v>10</v>
      </c>
      <c r="H485" s="223">
        <v>0</v>
      </c>
      <c r="I485" s="222">
        <v>493</v>
      </c>
      <c r="J485" t="s">
        <v>8338</v>
      </c>
      <c r="K485" t="s">
        <v>8339</v>
      </c>
      <c r="L485" s="118">
        <v>43842</v>
      </c>
      <c r="M485" s="118">
        <v>43848</v>
      </c>
      <c r="N485" t="s">
        <v>8240</v>
      </c>
      <c r="O485" t="s">
        <v>8251</v>
      </c>
      <c r="P485" t="s">
        <v>269</v>
      </c>
      <c r="Q485" t="str">
        <f>tblSales[[#This Row],[FirstName]]&amp; " " &amp;tblSales[[#This Row],[LastName]]</f>
        <v>Michael Suyama</v>
      </c>
      <c r="R485">
        <f>YEAR(tblSales[[#This Row],[OrderDate]])</f>
        <v>2020</v>
      </c>
      <c r="S485">
        <f>WEEKNUM(tblSales[[#This Row],[OrderDate]])</f>
        <v>3</v>
      </c>
      <c r="T485">
        <f>IF(ISBLANK(tblSales[[#This Row],[ShippedDate]]),"",tblSales[[#This Row],[ShippedDate]]-tblSales[[#This Row],[OrderDate]])</f>
        <v>6</v>
      </c>
      <c r="U485" t="str">
        <f>LEFT(tblSales[[#This Row],[ProductName]],20)</f>
        <v>Tarte au sucre</v>
      </c>
    </row>
    <row r="486" spans="2:21" x14ac:dyDescent="0.2">
      <c r="B486">
        <v>10602</v>
      </c>
      <c r="C486" t="s">
        <v>8397</v>
      </c>
      <c r="D486" t="s">
        <v>8374</v>
      </c>
      <c r="E486" t="s">
        <v>8254</v>
      </c>
      <c r="F486" s="222">
        <v>13</v>
      </c>
      <c r="G486">
        <v>5</v>
      </c>
      <c r="H486" s="223">
        <v>0.25</v>
      </c>
      <c r="I486" s="222">
        <v>48.75</v>
      </c>
      <c r="J486" t="s">
        <v>8395</v>
      </c>
      <c r="K486" t="s">
        <v>8396</v>
      </c>
      <c r="L486" s="118">
        <v>43844</v>
      </c>
      <c r="M486" s="118">
        <v>43849</v>
      </c>
      <c r="N486" t="s">
        <v>8265</v>
      </c>
      <c r="O486" t="s">
        <v>8320</v>
      </c>
      <c r="P486" t="s">
        <v>8321</v>
      </c>
      <c r="Q486" t="str">
        <f>tblSales[[#This Row],[FirstName]]&amp; " " &amp;tblSales[[#This Row],[LastName]]</f>
        <v>Laura Callahan</v>
      </c>
      <c r="R486">
        <f>YEAR(tblSales[[#This Row],[OrderDate]])</f>
        <v>2020</v>
      </c>
      <c r="S486">
        <f>WEEKNUM(tblSales[[#This Row],[OrderDate]])</f>
        <v>3</v>
      </c>
      <c r="T486">
        <f>IF(ISBLANK(tblSales[[#This Row],[ShippedDate]]),"",tblSales[[#This Row],[ShippedDate]]-tblSales[[#This Row],[OrderDate]])</f>
        <v>5</v>
      </c>
      <c r="U486" t="str">
        <f>LEFT(tblSales[[#This Row],[ProductName]],20)</f>
        <v>Original Frankfurter</v>
      </c>
    </row>
    <row r="487" spans="2:21" x14ac:dyDescent="0.2">
      <c r="B487">
        <v>10604</v>
      </c>
      <c r="C487" t="s">
        <v>8303</v>
      </c>
      <c r="D487" t="s">
        <v>8365</v>
      </c>
      <c r="E487" t="s">
        <v>8272</v>
      </c>
      <c r="F487" s="222">
        <v>18</v>
      </c>
      <c r="G487">
        <v>10</v>
      </c>
      <c r="H487" s="223">
        <v>0.10000000149011599</v>
      </c>
      <c r="I487" s="222">
        <v>162</v>
      </c>
      <c r="J487" t="s">
        <v>8366</v>
      </c>
      <c r="K487" t="s">
        <v>8367</v>
      </c>
      <c r="L487" s="118">
        <v>43845</v>
      </c>
      <c r="M487" s="118">
        <v>43856</v>
      </c>
      <c r="N487" t="s">
        <v>8250</v>
      </c>
      <c r="O487" t="s">
        <v>8285</v>
      </c>
      <c r="P487" t="s">
        <v>2317</v>
      </c>
      <c r="Q487" t="str">
        <f>tblSales[[#This Row],[FirstName]]&amp; " " &amp;tblSales[[#This Row],[LastName]]</f>
        <v>Nancy Davolio</v>
      </c>
      <c r="R487">
        <f>YEAR(tblSales[[#This Row],[OrderDate]])</f>
        <v>2020</v>
      </c>
      <c r="S487">
        <f>WEEKNUM(tblSales[[#This Row],[OrderDate]])</f>
        <v>3</v>
      </c>
      <c r="T487">
        <f>IF(ISBLANK(tblSales[[#This Row],[ShippedDate]]),"",tblSales[[#This Row],[ShippedDate]]-tblSales[[#This Row],[OrderDate]])</f>
        <v>11</v>
      </c>
      <c r="U487" t="str">
        <f>LEFT(tblSales[[#This Row],[ProductName]],20)</f>
        <v>Lakkalikööri</v>
      </c>
    </row>
    <row r="488" spans="2:21" x14ac:dyDescent="0.2">
      <c r="B488">
        <v>10604</v>
      </c>
      <c r="C488" t="s">
        <v>8406</v>
      </c>
      <c r="D488" t="s">
        <v>8365</v>
      </c>
      <c r="E488" t="s">
        <v>8262</v>
      </c>
      <c r="F488" s="222">
        <v>12.75</v>
      </c>
      <c r="G488">
        <v>6</v>
      </c>
      <c r="H488" s="223">
        <v>0.10000000149011599</v>
      </c>
      <c r="I488" s="222">
        <v>68.849999999999994</v>
      </c>
      <c r="J488" t="s">
        <v>8366</v>
      </c>
      <c r="K488" t="s">
        <v>8367</v>
      </c>
      <c r="L488" s="118">
        <v>43845</v>
      </c>
      <c r="M488" s="118">
        <v>43856</v>
      </c>
      <c r="N488" t="s">
        <v>8250</v>
      </c>
      <c r="O488" t="s">
        <v>8285</v>
      </c>
      <c r="P488" t="s">
        <v>2317</v>
      </c>
      <c r="Q488" t="str">
        <f>tblSales[[#This Row],[FirstName]]&amp; " " &amp;tblSales[[#This Row],[LastName]]</f>
        <v>Nancy Davolio</v>
      </c>
      <c r="R488">
        <f>YEAR(tblSales[[#This Row],[OrderDate]])</f>
        <v>2020</v>
      </c>
      <c r="S488">
        <f>WEEKNUM(tblSales[[#This Row],[OrderDate]])</f>
        <v>3</v>
      </c>
      <c r="T488">
        <f>IF(ISBLANK(tblSales[[#This Row],[ShippedDate]]),"",tblSales[[#This Row],[ShippedDate]]-tblSales[[#This Row],[OrderDate]])</f>
        <v>11</v>
      </c>
      <c r="U488" t="str">
        <f>LEFT(tblSales[[#This Row],[ProductName]],20)</f>
        <v>Chocolade</v>
      </c>
    </row>
    <row r="489" spans="2:21" x14ac:dyDescent="0.2">
      <c r="B489">
        <v>10608</v>
      </c>
      <c r="C489" t="s">
        <v>8341</v>
      </c>
      <c r="D489" t="s">
        <v>8246</v>
      </c>
      <c r="E489" t="s">
        <v>8244</v>
      </c>
      <c r="F489" s="222">
        <v>38</v>
      </c>
      <c r="G489">
        <v>28</v>
      </c>
      <c r="H489" s="223">
        <v>0</v>
      </c>
      <c r="I489" s="222">
        <v>1064</v>
      </c>
      <c r="J489" t="s">
        <v>8248</v>
      </c>
      <c r="K489" t="s">
        <v>8249</v>
      </c>
      <c r="L489" s="118">
        <v>43850</v>
      </c>
      <c r="M489" s="118">
        <v>43859</v>
      </c>
      <c r="N489" t="s">
        <v>8265</v>
      </c>
      <c r="O489" t="s">
        <v>8266</v>
      </c>
      <c r="P489" t="s">
        <v>8267</v>
      </c>
      <c r="Q489" t="str">
        <f>tblSales[[#This Row],[FirstName]]&amp; " " &amp;tblSales[[#This Row],[LastName]]</f>
        <v>Margaret Peacock</v>
      </c>
      <c r="R489">
        <f>YEAR(tblSales[[#This Row],[OrderDate]])</f>
        <v>2020</v>
      </c>
      <c r="S489">
        <f>WEEKNUM(tblSales[[#This Row],[OrderDate]])</f>
        <v>4</v>
      </c>
      <c r="T489">
        <f>IF(ISBLANK(tblSales[[#This Row],[ShippedDate]]),"",tblSales[[#This Row],[ShippedDate]]-tblSales[[#This Row],[OrderDate]])</f>
        <v>9</v>
      </c>
      <c r="U489" t="str">
        <f>LEFT(tblSales[[#This Row],[ProductName]],20)</f>
        <v>Gnocchi di nonna Ali</v>
      </c>
    </row>
    <row r="490" spans="2:21" x14ac:dyDescent="0.2">
      <c r="B490">
        <v>10609</v>
      </c>
      <c r="C490" t="s">
        <v>8333</v>
      </c>
      <c r="D490" t="s">
        <v>8236</v>
      </c>
      <c r="E490" t="s">
        <v>8272</v>
      </c>
      <c r="F490" s="222">
        <v>18</v>
      </c>
      <c r="G490">
        <v>3</v>
      </c>
      <c r="H490" s="223">
        <v>0</v>
      </c>
      <c r="I490" s="222">
        <v>54</v>
      </c>
      <c r="J490" t="s">
        <v>8354</v>
      </c>
      <c r="K490" t="s">
        <v>8355</v>
      </c>
      <c r="L490" s="118">
        <v>43851</v>
      </c>
      <c r="M490" s="118">
        <v>43857</v>
      </c>
      <c r="N490" t="s">
        <v>8265</v>
      </c>
      <c r="O490" t="s">
        <v>8158</v>
      </c>
      <c r="P490" t="s">
        <v>861</v>
      </c>
      <c r="Q490" t="str">
        <f>tblSales[[#This Row],[FirstName]]&amp; " " &amp;tblSales[[#This Row],[LastName]]</f>
        <v>Robert King</v>
      </c>
      <c r="R490">
        <f>YEAR(tblSales[[#This Row],[OrderDate]])</f>
        <v>2020</v>
      </c>
      <c r="S490">
        <f>WEEKNUM(tblSales[[#This Row],[OrderDate]])</f>
        <v>4</v>
      </c>
      <c r="T490">
        <f>IF(ISBLANK(tblSales[[#This Row],[ShippedDate]]),"",tblSales[[#This Row],[ShippedDate]]-tblSales[[#This Row],[OrderDate]])</f>
        <v>6</v>
      </c>
      <c r="U490" t="str">
        <f>LEFT(tblSales[[#This Row],[ProductName]],20)</f>
        <v>Chai</v>
      </c>
    </row>
    <row r="491" spans="2:21" x14ac:dyDescent="0.2">
      <c r="B491">
        <v>10609</v>
      </c>
      <c r="C491" t="s">
        <v>8368</v>
      </c>
      <c r="D491" t="s">
        <v>8236</v>
      </c>
      <c r="E491" t="s">
        <v>8262</v>
      </c>
      <c r="F491" s="222">
        <v>10</v>
      </c>
      <c r="G491">
        <v>6</v>
      </c>
      <c r="H491" s="223">
        <v>0</v>
      </c>
      <c r="I491" s="222">
        <v>60</v>
      </c>
      <c r="J491" t="s">
        <v>8354</v>
      </c>
      <c r="K491" t="s">
        <v>8355</v>
      </c>
      <c r="L491" s="118">
        <v>43851</v>
      </c>
      <c r="M491" s="118">
        <v>43857</v>
      </c>
      <c r="N491" t="s">
        <v>8265</v>
      </c>
      <c r="O491" t="s">
        <v>8158</v>
      </c>
      <c r="P491" t="s">
        <v>861</v>
      </c>
      <c r="Q491" t="str">
        <f>tblSales[[#This Row],[FirstName]]&amp; " " &amp;tblSales[[#This Row],[LastName]]</f>
        <v>Robert King</v>
      </c>
      <c r="R491">
        <f>YEAR(tblSales[[#This Row],[OrderDate]])</f>
        <v>2020</v>
      </c>
      <c r="S491">
        <f>WEEKNUM(tblSales[[#This Row],[OrderDate]])</f>
        <v>4</v>
      </c>
      <c r="T491">
        <f>IF(ISBLANK(tblSales[[#This Row],[ShippedDate]]),"",tblSales[[#This Row],[ShippedDate]]-tblSales[[#This Row],[OrderDate]])</f>
        <v>6</v>
      </c>
      <c r="U491" t="str">
        <f>LEFT(tblSales[[#This Row],[ProductName]],20)</f>
        <v>Sir Rodney's Scones</v>
      </c>
    </row>
    <row r="492" spans="2:21" x14ac:dyDescent="0.2">
      <c r="B492">
        <v>10611</v>
      </c>
      <c r="C492" t="s">
        <v>8276</v>
      </c>
      <c r="D492" t="s">
        <v>8400</v>
      </c>
      <c r="E492" t="s">
        <v>8272</v>
      </c>
      <c r="F492" s="222">
        <v>19</v>
      </c>
      <c r="G492">
        <v>10</v>
      </c>
      <c r="H492" s="223">
        <v>0</v>
      </c>
      <c r="I492" s="222">
        <v>190</v>
      </c>
      <c r="J492" t="s">
        <v>8401</v>
      </c>
      <c r="K492" t="s">
        <v>8402</v>
      </c>
      <c r="L492" s="118">
        <v>43852</v>
      </c>
      <c r="M492" s="118">
        <v>43859</v>
      </c>
      <c r="N492" t="s">
        <v>8265</v>
      </c>
      <c r="O492" t="s">
        <v>8251</v>
      </c>
      <c r="P492" t="s">
        <v>269</v>
      </c>
      <c r="Q492" t="str">
        <f>tblSales[[#This Row],[FirstName]]&amp; " " &amp;tblSales[[#This Row],[LastName]]</f>
        <v>Michael Suyama</v>
      </c>
      <c r="R492">
        <f>YEAR(tblSales[[#This Row],[OrderDate]])</f>
        <v>2020</v>
      </c>
      <c r="S492">
        <f>WEEKNUM(tblSales[[#This Row],[OrderDate]])</f>
        <v>4</v>
      </c>
      <c r="T492">
        <f>IF(ISBLANK(tblSales[[#This Row],[ShippedDate]]),"",tblSales[[#This Row],[ShippedDate]]-tblSales[[#This Row],[OrderDate]])</f>
        <v>7</v>
      </c>
      <c r="U492" t="str">
        <f>LEFT(tblSales[[#This Row],[ProductName]],20)</f>
        <v>Chang</v>
      </c>
    </row>
    <row r="493" spans="2:21" x14ac:dyDescent="0.2">
      <c r="B493">
        <v>10611</v>
      </c>
      <c r="C493" t="s">
        <v>8333</v>
      </c>
      <c r="D493" t="s">
        <v>8400</v>
      </c>
      <c r="E493" t="s">
        <v>8272</v>
      </c>
      <c r="F493" s="222">
        <v>18</v>
      </c>
      <c r="G493">
        <v>6</v>
      </c>
      <c r="H493" s="223">
        <v>0</v>
      </c>
      <c r="I493" s="222">
        <v>108</v>
      </c>
      <c r="J493" t="s">
        <v>8401</v>
      </c>
      <c r="K493" t="s">
        <v>8402</v>
      </c>
      <c r="L493" s="118">
        <v>43852</v>
      </c>
      <c r="M493" s="118">
        <v>43859</v>
      </c>
      <c r="N493" t="s">
        <v>8265</v>
      </c>
      <c r="O493" t="s">
        <v>8251</v>
      </c>
      <c r="P493" t="s">
        <v>269</v>
      </c>
      <c r="Q493" t="str">
        <f>tblSales[[#This Row],[FirstName]]&amp; " " &amp;tblSales[[#This Row],[LastName]]</f>
        <v>Michael Suyama</v>
      </c>
      <c r="R493">
        <f>YEAR(tblSales[[#This Row],[OrderDate]])</f>
        <v>2020</v>
      </c>
      <c r="S493">
        <f>WEEKNUM(tblSales[[#This Row],[OrderDate]])</f>
        <v>4</v>
      </c>
      <c r="T493">
        <f>IF(ISBLANK(tblSales[[#This Row],[ShippedDate]]),"",tblSales[[#This Row],[ShippedDate]]-tblSales[[#This Row],[OrderDate]])</f>
        <v>7</v>
      </c>
      <c r="U493" t="str">
        <f>LEFT(tblSales[[#This Row],[ProductName]],20)</f>
        <v>Chai</v>
      </c>
    </row>
    <row r="494" spans="2:21" x14ac:dyDescent="0.2">
      <c r="B494">
        <v>10611</v>
      </c>
      <c r="C494" t="s">
        <v>8268</v>
      </c>
      <c r="D494" t="s">
        <v>8400</v>
      </c>
      <c r="E494" t="s">
        <v>8237</v>
      </c>
      <c r="F494" s="222">
        <v>34</v>
      </c>
      <c r="G494">
        <v>15</v>
      </c>
      <c r="H494" s="223">
        <v>0</v>
      </c>
      <c r="I494" s="222">
        <v>510</v>
      </c>
      <c r="J494" t="s">
        <v>8401</v>
      </c>
      <c r="K494" t="s">
        <v>8402</v>
      </c>
      <c r="L494" s="118">
        <v>43852</v>
      </c>
      <c r="M494" s="118">
        <v>43859</v>
      </c>
      <c r="N494" t="s">
        <v>8265</v>
      </c>
      <c r="O494" t="s">
        <v>8251</v>
      </c>
      <c r="P494" t="s">
        <v>269</v>
      </c>
      <c r="Q494" t="str">
        <f>tblSales[[#This Row],[FirstName]]&amp; " " &amp;tblSales[[#This Row],[LastName]]</f>
        <v>Michael Suyama</v>
      </c>
      <c r="R494">
        <f>YEAR(tblSales[[#This Row],[OrderDate]])</f>
        <v>2020</v>
      </c>
      <c r="S494">
        <f>WEEKNUM(tblSales[[#This Row],[OrderDate]])</f>
        <v>4</v>
      </c>
      <c r="T494">
        <f>IF(ISBLANK(tblSales[[#This Row],[ShippedDate]]),"",tblSales[[#This Row],[ShippedDate]]-tblSales[[#This Row],[OrderDate]])</f>
        <v>7</v>
      </c>
      <c r="U494" t="str">
        <f>LEFT(tblSales[[#This Row],[ProductName]],20)</f>
        <v>Camembert Pierrot</v>
      </c>
    </row>
    <row r="495" spans="2:21" x14ac:dyDescent="0.2">
      <c r="B495">
        <v>11132</v>
      </c>
      <c r="C495" t="s">
        <v>8291</v>
      </c>
      <c r="D495" t="s">
        <v>8236</v>
      </c>
      <c r="E495" t="s">
        <v>8262</v>
      </c>
      <c r="F495" s="222">
        <v>39.4</v>
      </c>
      <c r="G495">
        <v>35</v>
      </c>
      <c r="H495" s="223">
        <v>0</v>
      </c>
      <c r="I495" s="222">
        <v>1379</v>
      </c>
      <c r="J495" t="s">
        <v>8407</v>
      </c>
      <c r="K495" t="s">
        <v>8408</v>
      </c>
      <c r="L495" s="118">
        <v>43854</v>
      </c>
      <c r="M495" s="118">
        <v>43860</v>
      </c>
      <c r="N495" t="s">
        <v>8250</v>
      </c>
      <c r="O495" t="s">
        <v>8320</v>
      </c>
      <c r="P495" t="s">
        <v>8321</v>
      </c>
      <c r="Q495" t="str">
        <f>tblSales[[#This Row],[FirstName]]&amp; " " &amp;tblSales[[#This Row],[LastName]]</f>
        <v>Laura Callahan</v>
      </c>
      <c r="R495">
        <f>YEAR(tblSales[[#This Row],[OrderDate]])</f>
        <v>2020</v>
      </c>
      <c r="S495">
        <f>WEEKNUM(tblSales[[#This Row],[OrderDate]])</f>
        <v>4</v>
      </c>
      <c r="T495">
        <f>IF(ISBLANK(tblSales[[#This Row],[ShippedDate]]),"",tblSales[[#This Row],[ShippedDate]]-tblSales[[#This Row],[OrderDate]])</f>
        <v>6</v>
      </c>
      <c r="U495" t="str">
        <f>LEFT(tblSales[[#This Row],[ProductName]],20)</f>
        <v>Tarte au sucre</v>
      </c>
    </row>
    <row r="496" spans="2:21" x14ac:dyDescent="0.2">
      <c r="B496">
        <v>10614</v>
      </c>
      <c r="C496" t="s">
        <v>8342</v>
      </c>
      <c r="D496" t="s">
        <v>8246</v>
      </c>
      <c r="E496" t="s">
        <v>8272</v>
      </c>
      <c r="F496" s="222">
        <v>18</v>
      </c>
      <c r="G496">
        <v>5</v>
      </c>
      <c r="H496" s="223">
        <v>0</v>
      </c>
      <c r="I496" s="222">
        <v>90</v>
      </c>
      <c r="J496" t="s">
        <v>8416</v>
      </c>
      <c r="K496" t="s">
        <v>8417</v>
      </c>
      <c r="L496" s="118">
        <v>43856</v>
      </c>
      <c r="M496" s="118">
        <v>43859</v>
      </c>
      <c r="N496" t="s">
        <v>8240</v>
      </c>
      <c r="O496" t="s">
        <v>8320</v>
      </c>
      <c r="P496" t="s">
        <v>8321</v>
      </c>
      <c r="Q496" t="str">
        <f>tblSales[[#This Row],[FirstName]]&amp; " " &amp;tblSales[[#This Row],[LastName]]</f>
        <v>Laura Callahan</v>
      </c>
      <c r="R496">
        <f>YEAR(tblSales[[#This Row],[OrderDate]])</f>
        <v>2020</v>
      </c>
      <c r="S496">
        <f>WEEKNUM(tblSales[[#This Row],[OrderDate]])</f>
        <v>5</v>
      </c>
      <c r="T496">
        <f>IF(ISBLANK(tblSales[[#This Row],[ShippedDate]]),"",tblSales[[#This Row],[ShippedDate]]-tblSales[[#This Row],[OrderDate]])</f>
        <v>3</v>
      </c>
      <c r="U496" t="str">
        <f>LEFT(tblSales[[#This Row],[ProductName]],20)</f>
        <v>Chartreuse verte</v>
      </c>
    </row>
    <row r="497" spans="2:21" x14ac:dyDescent="0.2">
      <c r="B497">
        <v>10614</v>
      </c>
      <c r="C497" t="s">
        <v>8368</v>
      </c>
      <c r="D497" t="s">
        <v>8246</v>
      </c>
      <c r="E497" t="s">
        <v>8262</v>
      </c>
      <c r="F497" s="222">
        <v>10</v>
      </c>
      <c r="G497">
        <v>8</v>
      </c>
      <c r="H497" s="223">
        <v>0</v>
      </c>
      <c r="I497" s="222">
        <v>80</v>
      </c>
      <c r="J497" t="s">
        <v>8416</v>
      </c>
      <c r="K497" t="s">
        <v>8417</v>
      </c>
      <c r="L497" s="118">
        <v>43856</v>
      </c>
      <c r="M497" s="118">
        <v>43859</v>
      </c>
      <c r="N497" t="s">
        <v>8240</v>
      </c>
      <c r="O497" t="s">
        <v>8320</v>
      </c>
      <c r="P497" t="s">
        <v>8321</v>
      </c>
      <c r="Q497" t="str">
        <f>tblSales[[#This Row],[FirstName]]&amp; " " &amp;tblSales[[#This Row],[LastName]]</f>
        <v>Laura Callahan</v>
      </c>
      <c r="R497">
        <f>YEAR(tblSales[[#This Row],[OrderDate]])</f>
        <v>2020</v>
      </c>
      <c r="S497">
        <f>WEEKNUM(tblSales[[#This Row],[OrderDate]])</f>
        <v>5</v>
      </c>
      <c r="T497">
        <f>IF(ISBLANK(tblSales[[#This Row],[ShippedDate]]),"",tblSales[[#This Row],[ShippedDate]]-tblSales[[#This Row],[OrderDate]])</f>
        <v>3</v>
      </c>
      <c r="U497" t="str">
        <f>LEFT(tblSales[[#This Row],[ProductName]],20)</f>
        <v>Sir Rodney's Scones</v>
      </c>
    </row>
    <row r="498" spans="2:21" x14ac:dyDescent="0.2">
      <c r="B498">
        <v>10614</v>
      </c>
      <c r="C498" t="s">
        <v>8242</v>
      </c>
      <c r="D498" t="s">
        <v>8246</v>
      </c>
      <c r="E498" t="s">
        <v>8237</v>
      </c>
      <c r="F498" s="222">
        <v>21</v>
      </c>
      <c r="G498">
        <v>14</v>
      </c>
      <c r="H498" s="223">
        <v>0</v>
      </c>
      <c r="I498" s="222">
        <v>294</v>
      </c>
      <c r="J498" t="s">
        <v>8416</v>
      </c>
      <c r="K498" t="s">
        <v>8417</v>
      </c>
      <c r="L498" s="118">
        <v>43856</v>
      </c>
      <c r="M498" s="118">
        <v>43859</v>
      </c>
      <c r="N498" t="s">
        <v>8240</v>
      </c>
      <c r="O498" t="s">
        <v>8320</v>
      </c>
      <c r="P498" t="s">
        <v>8321</v>
      </c>
      <c r="Q498" t="str">
        <f>tblSales[[#This Row],[FirstName]]&amp; " " &amp;tblSales[[#This Row],[LastName]]</f>
        <v>Laura Callahan</v>
      </c>
      <c r="R498">
        <f>YEAR(tblSales[[#This Row],[OrderDate]])</f>
        <v>2020</v>
      </c>
      <c r="S498">
        <f>WEEKNUM(tblSales[[#This Row],[OrderDate]])</f>
        <v>5</v>
      </c>
      <c r="T498">
        <f>IF(ISBLANK(tblSales[[#This Row],[ShippedDate]]),"",tblSales[[#This Row],[ShippedDate]]-tblSales[[#This Row],[OrderDate]])</f>
        <v>3</v>
      </c>
      <c r="U498" t="str">
        <f>LEFT(tblSales[[#This Row],[ProductName]],20)</f>
        <v>Queso Cabrales</v>
      </c>
    </row>
    <row r="499" spans="2:21" x14ac:dyDescent="0.2">
      <c r="B499">
        <v>11137</v>
      </c>
      <c r="C499" t="s">
        <v>8333</v>
      </c>
      <c r="D499" t="s">
        <v>8236</v>
      </c>
      <c r="E499" t="s">
        <v>8272</v>
      </c>
      <c r="F499" s="222">
        <v>14.4</v>
      </c>
      <c r="G499">
        <v>24</v>
      </c>
      <c r="H499" s="223">
        <v>0</v>
      </c>
      <c r="I499" s="222">
        <v>345.6</v>
      </c>
      <c r="J499" t="s">
        <v>8382</v>
      </c>
      <c r="K499" t="s">
        <v>8383</v>
      </c>
      <c r="L499" s="118">
        <v>43860</v>
      </c>
      <c r="M499" s="118">
        <v>43862</v>
      </c>
      <c r="N499" t="s">
        <v>8265</v>
      </c>
      <c r="O499" t="s">
        <v>8257</v>
      </c>
      <c r="P499" t="s">
        <v>6984</v>
      </c>
      <c r="Q499" t="str">
        <f>tblSales[[#This Row],[FirstName]]&amp; " " &amp;tblSales[[#This Row],[LastName]]</f>
        <v>Janet Leverling</v>
      </c>
      <c r="R499">
        <f>YEAR(tblSales[[#This Row],[OrderDate]])</f>
        <v>2020</v>
      </c>
      <c r="S499">
        <f>WEEKNUM(tblSales[[#This Row],[OrderDate]])</f>
        <v>5</v>
      </c>
      <c r="T499">
        <f>IF(ISBLANK(tblSales[[#This Row],[ShippedDate]]),"",tblSales[[#This Row],[ShippedDate]]-tblSales[[#This Row],[OrderDate]])</f>
        <v>2</v>
      </c>
      <c r="U499" t="str">
        <f>LEFT(tblSales[[#This Row],[ProductName]],20)</f>
        <v>Chai</v>
      </c>
    </row>
    <row r="500" spans="2:21" x14ac:dyDescent="0.2">
      <c r="B500">
        <v>11137</v>
      </c>
      <c r="C500" t="s">
        <v>8303</v>
      </c>
      <c r="D500" t="s">
        <v>8236</v>
      </c>
      <c r="E500" t="s">
        <v>8272</v>
      </c>
      <c r="F500" s="222">
        <v>14.4</v>
      </c>
      <c r="G500">
        <v>14</v>
      </c>
      <c r="H500" s="223">
        <v>0</v>
      </c>
      <c r="I500" s="222">
        <v>201.6</v>
      </c>
      <c r="J500" t="s">
        <v>8382</v>
      </c>
      <c r="K500" t="s">
        <v>8383</v>
      </c>
      <c r="L500" s="118">
        <v>43860</v>
      </c>
      <c r="M500" s="118">
        <v>43862</v>
      </c>
      <c r="N500" t="s">
        <v>8265</v>
      </c>
      <c r="O500" t="s">
        <v>8257</v>
      </c>
      <c r="P500" t="s">
        <v>6984</v>
      </c>
      <c r="Q500" t="str">
        <f>tblSales[[#This Row],[FirstName]]&amp; " " &amp;tblSales[[#This Row],[LastName]]</f>
        <v>Janet Leverling</v>
      </c>
      <c r="R500">
        <f>YEAR(tblSales[[#This Row],[OrderDate]])</f>
        <v>2020</v>
      </c>
      <c r="S500">
        <f>WEEKNUM(tblSales[[#This Row],[OrderDate]])</f>
        <v>5</v>
      </c>
      <c r="T500">
        <f>IF(ISBLANK(tblSales[[#This Row],[ShippedDate]]),"",tblSales[[#This Row],[ShippedDate]]-tblSales[[#This Row],[OrderDate]])</f>
        <v>2</v>
      </c>
      <c r="U500" t="str">
        <f>LEFT(tblSales[[#This Row],[ProductName]],20)</f>
        <v>Lakkalikööri</v>
      </c>
    </row>
    <row r="501" spans="2:21" x14ac:dyDescent="0.2">
      <c r="B501">
        <v>11137</v>
      </c>
      <c r="C501" t="s">
        <v>8291</v>
      </c>
      <c r="D501" t="s">
        <v>8236</v>
      </c>
      <c r="E501" t="s">
        <v>8262</v>
      </c>
      <c r="F501" s="222">
        <v>39.4</v>
      </c>
      <c r="G501">
        <v>40</v>
      </c>
      <c r="H501" s="223">
        <v>0</v>
      </c>
      <c r="I501" s="222">
        <v>1576</v>
      </c>
      <c r="J501" t="s">
        <v>8382</v>
      </c>
      <c r="K501" t="s">
        <v>8383</v>
      </c>
      <c r="L501" s="118">
        <v>43860</v>
      </c>
      <c r="M501" s="118">
        <v>43862</v>
      </c>
      <c r="N501" t="s">
        <v>8265</v>
      </c>
      <c r="O501" t="s">
        <v>8257</v>
      </c>
      <c r="P501" t="s">
        <v>6984</v>
      </c>
      <c r="Q501" t="str">
        <f>tblSales[[#This Row],[FirstName]]&amp; " " &amp;tblSales[[#This Row],[LastName]]</f>
        <v>Janet Leverling</v>
      </c>
      <c r="R501">
        <f>YEAR(tblSales[[#This Row],[OrderDate]])</f>
        <v>2020</v>
      </c>
      <c r="S501">
        <f>WEEKNUM(tblSales[[#This Row],[OrderDate]])</f>
        <v>5</v>
      </c>
      <c r="T501">
        <f>IF(ISBLANK(tblSales[[#This Row],[ShippedDate]]),"",tblSales[[#This Row],[ShippedDate]]-tblSales[[#This Row],[OrderDate]])</f>
        <v>2</v>
      </c>
      <c r="U501" t="str">
        <f>LEFT(tblSales[[#This Row],[ProductName]],20)</f>
        <v>Tarte au sucre</v>
      </c>
    </row>
    <row r="502" spans="2:21" x14ac:dyDescent="0.2">
      <c r="B502">
        <v>10621</v>
      </c>
      <c r="C502" t="s">
        <v>8288</v>
      </c>
      <c r="D502" t="s">
        <v>2434</v>
      </c>
      <c r="E502" t="s">
        <v>8272</v>
      </c>
      <c r="F502" s="222">
        <v>15</v>
      </c>
      <c r="G502">
        <v>20</v>
      </c>
      <c r="H502" s="223">
        <v>0</v>
      </c>
      <c r="I502" s="222">
        <v>300</v>
      </c>
      <c r="J502" t="s">
        <v>8356</v>
      </c>
      <c r="K502" t="s">
        <v>8357</v>
      </c>
      <c r="L502" s="118">
        <v>43863</v>
      </c>
      <c r="M502" s="118">
        <v>43869</v>
      </c>
      <c r="N502" t="s">
        <v>8265</v>
      </c>
      <c r="O502" t="s">
        <v>8266</v>
      </c>
      <c r="P502" t="s">
        <v>8267</v>
      </c>
      <c r="Q502" t="str">
        <f>tblSales[[#This Row],[FirstName]]&amp; " " &amp;tblSales[[#This Row],[LastName]]</f>
        <v>Margaret Peacock</v>
      </c>
      <c r="R502">
        <f>YEAR(tblSales[[#This Row],[OrderDate]])</f>
        <v>2020</v>
      </c>
      <c r="S502">
        <f>WEEKNUM(tblSales[[#This Row],[OrderDate]])</f>
        <v>6</v>
      </c>
      <c r="T502">
        <f>IF(ISBLANK(tblSales[[#This Row],[ShippedDate]]),"",tblSales[[#This Row],[ShippedDate]]-tblSales[[#This Row],[OrderDate]])</f>
        <v>6</v>
      </c>
      <c r="U502" t="str">
        <f>LEFT(tblSales[[#This Row],[ProductName]],20)</f>
        <v>Outback Lager</v>
      </c>
    </row>
    <row r="503" spans="2:21" x14ac:dyDescent="0.2">
      <c r="B503">
        <v>10621</v>
      </c>
      <c r="C503" t="s">
        <v>8327</v>
      </c>
      <c r="D503" t="s">
        <v>2434</v>
      </c>
      <c r="E503" t="s">
        <v>8262</v>
      </c>
      <c r="F503" s="222">
        <v>9.1999999999999993</v>
      </c>
      <c r="G503">
        <v>5</v>
      </c>
      <c r="H503" s="223">
        <v>0</v>
      </c>
      <c r="I503" s="222">
        <v>46</v>
      </c>
      <c r="J503" t="s">
        <v>8356</v>
      </c>
      <c r="K503" t="s">
        <v>8357</v>
      </c>
      <c r="L503" s="118">
        <v>43863</v>
      </c>
      <c r="M503" s="118">
        <v>43869</v>
      </c>
      <c r="N503" t="s">
        <v>8265</v>
      </c>
      <c r="O503" t="s">
        <v>8266</v>
      </c>
      <c r="P503" t="s">
        <v>8267</v>
      </c>
      <c r="Q503" t="str">
        <f>tblSales[[#This Row],[FirstName]]&amp; " " &amp;tblSales[[#This Row],[LastName]]</f>
        <v>Margaret Peacock</v>
      </c>
      <c r="R503">
        <f>YEAR(tblSales[[#This Row],[OrderDate]])</f>
        <v>2020</v>
      </c>
      <c r="S503">
        <f>WEEKNUM(tblSales[[#This Row],[OrderDate]])</f>
        <v>6</v>
      </c>
      <c r="T503">
        <f>IF(ISBLANK(tblSales[[#This Row],[ShippedDate]]),"",tblSales[[#This Row],[ShippedDate]]-tblSales[[#This Row],[OrderDate]])</f>
        <v>6</v>
      </c>
      <c r="U503" t="str">
        <f>LEFT(tblSales[[#This Row],[ProductName]],20)</f>
        <v>Teatime Chocolate Bi</v>
      </c>
    </row>
    <row r="504" spans="2:21" x14ac:dyDescent="0.2">
      <c r="B504">
        <v>10621</v>
      </c>
      <c r="C504" t="s">
        <v>8310</v>
      </c>
      <c r="D504" t="s">
        <v>2434</v>
      </c>
      <c r="E504" t="s">
        <v>8237</v>
      </c>
      <c r="F504" s="222">
        <v>21.5</v>
      </c>
      <c r="G504">
        <v>15</v>
      </c>
      <c r="H504" s="223">
        <v>0</v>
      </c>
      <c r="I504" s="222">
        <v>322.5</v>
      </c>
      <c r="J504" t="s">
        <v>8356</v>
      </c>
      <c r="K504" t="s">
        <v>8357</v>
      </c>
      <c r="L504" s="118">
        <v>43863</v>
      </c>
      <c r="M504" s="118">
        <v>43869</v>
      </c>
      <c r="N504" t="s">
        <v>8265</v>
      </c>
      <c r="O504" t="s">
        <v>8266</v>
      </c>
      <c r="P504" t="s">
        <v>8267</v>
      </c>
      <c r="Q504" t="str">
        <f>tblSales[[#This Row],[FirstName]]&amp; " " &amp;tblSales[[#This Row],[LastName]]</f>
        <v>Margaret Peacock</v>
      </c>
      <c r="R504">
        <f>YEAR(tblSales[[#This Row],[OrderDate]])</f>
        <v>2020</v>
      </c>
      <c r="S504">
        <f>WEEKNUM(tblSales[[#This Row],[OrderDate]])</f>
        <v>6</v>
      </c>
      <c r="T504">
        <f>IF(ISBLANK(tblSales[[#This Row],[ShippedDate]]),"",tblSales[[#This Row],[ShippedDate]]-tblSales[[#This Row],[OrderDate]])</f>
        <v>6</v>
      </c>
      <c r="U504" t="str">
        <f>LEFT(tblSales[[#This Row],[ProductName]],20)</f>
        <v>Fløtemysost</v>
      </c>
    </row>
    <row r="505" spans="2:21" x14ac:dyDescent="0.2">
      <c r="B505">
        <v>10621</v>
      </c>
      <c r="C505" t="s">
        <v>8373</v>
      </c>
      <c r="D505" t="s">
        <v>2434</v>
      </c>
      <c r="E505" t="s">
        <v>8244</v>
      </c>
      <c r="F505" s="222">
        <v>9</v>
      </c>
      <c r="G505">
        <v>10</v>
      </c>
      <c r="H505" s="223">
        <v>0</v>
      </c>
      <c r="I505" s="222">
        <v>90</v>
      </c>
      <c r="J505" t="s">
        <v>8356</v>
      </c>
      <c r="K505" t="s">
        <v>8357</v>
      </c>
      <c r="L505" s="118">
        <v>43863</v>
      </c>
      <c r="M505" s="118">
        <v>43869</v>
      </c>
      <c r="N505" t="s">
        <v>8265</v>
      </c>
      <c r="O505" t="s">
        <v>8266</v>
      </c>
      <c r="P505" t="s">
        <v>8267</v>
      </c>
      <c r="Q505" t="str">
        <f>tblSales[[#This Row],[FirstName]]&amp; " " &amp;tblSales[[#This Row],[LastName]]</f>
        <v>Margaret Peacock</v>
      </c>
      <c r="R505">
        <f>YEAR(tblSales[[#This Row],[OrderDate]])</f>
        <v>2020</v>
      </c>
      <c r="S505">
        <f>WEEKNUM(tblSales[[#This Row],[OrderDate]])</f>
        <v>6</v>
      </c>
      <c r="T505">
        <f>IF(ISBLANK(tblSales[[#This Row],[ShippedDate]]),"",tblSales[[#This Row],[ShippedDate]]-tblSales[[#This Row],[OrderDate]])</f>
        <v>6</v>
      </c>
      <c r="U505" t="str">
        <f>LEFT(tblSales[[#This Row],[ProductName]],20)</f>
        <v>Tunnbröd</v>
      </c>
    </row>
    <row r="506" spans="2:21" x14ac:dyDescent="0.2">
      <c r="B506">
        <v>10623</v>
      </c>
      <c r="C506" t="s">
        <v>8323</v>
      </c>
      <c r="D506" t="s">
        <v>8246</v>
      </c>
      <c r="E506" t="s">
        <v>8272</v>
      </c>
      <c r="F506" s="222">
        <v>18</v>
      </c>
      <c r="G506">
        <v>30</v>
      </c>
      <c r="H506" s="223">
        <v>0.10000000149011599</v>
      </c>
      <c r="I506" s="222">
        <v>486</v>
      </c>
      <c r="J506" t="s">
        <v>8304</v>
      </c>
      <c r="K506" t="s">
        <v>8305</v>
      </c>
      <c r="L506" s="118">
        <v>43865</v>
      </c>
      <c r="M506" s="118">
        <v>43870</v>
      </c>
      <c r="N506" t="s">
        <v>8265</v>
      </c>
      <c r="O506" t="s">
        <v>8320</v>
      </c>
      <c r="P506" t="s">
        <v>8321</v>
      </c>
      <c r="Q506" t="str">
        <f>tblSales[[#This Row],[FirstName]]&amp; " " &amp;tblSales[[#This Row],[LastName]]</f>
        <v>Laura Callahan</v>
      </c>
      <c r="R506">
        <f>YEAR(tblSales[[#This Row],[OrderDate]])</f>
        <v>2020</v>
      </c>
      <c r="S506">
        <f>WEEKNUM(tblSales[[#This Row],[OrderDate]])</f>
        <v>6</v>
      </c>
      <c r="T506">
        <f>IF(ISBLANK(tblSales[[#This Row],[ShippedDate]]),"",tblSales[[#This Row],[ShippedDate]]-tblSales[[#This Row],[OrderDate]])</f>
        <v>5</v>
      </c>
      <c r="U506" t="str">
        <f>LEFT(tblSales[[#This Row],[ProductName]],20)</f>
        <v>Steeleye Stout</v>
      </c>
    </row>
    <row r="507" spans="2:21" x14ac:dyDescent="0.2">
      <c r="B507">
        <v>10623</v>
      </c>
      <c r="C507" t="s">
        <v>8270</v>
      </c>
      <c r="D507" t="s">
        <v>8246</v>
      </c>
      <c r="E507" t="s">
        <v>8272</v>
      </c>
      <c r="F507" s="222">
        <v>4.5</v>
      </c>
      <c r="G507">
        <v>3</v>
      </c>
      <c r="H507" s="223">
        <v>0</v>
      </c>
      <c r="I507" s="222">
        <v>13.5</v>
      </c>
      <c r="J507" t="s">
        <v>8304</v>
      </c>
      <c r="K507" t="s">
        <v>8305</v>
      </c>
      <c r="L507" s="118">
        <v>43865</v>
      </c>
      <c r="M507" s="118">
        <v>43870</v>
      </c>
      <c r="N507" t="s">
        <v>8265</v>
      </c>
      <c r="O507" t="s">
        <v>8320</v>
      </c>
      <c r="P507" t="s">
        <v>8321</v>
      </c>
      <c r="Q507" t="str">
        <f>tblSales[[#This Row],[FirstName]]&amp; " " &amp;tblSales[[#This Row],[LastName]]</f>
        <v>Laura Callahan</v>
      </c>
      <c r="R507">
        <f>YEAR(tblSales[[#This Row],[OrderDate]])</f>
        <v>2020</v>
      </c>
      <c r="S507">
        <f>WEEKNUM(tblSales[[#This Row],[OrderDate]])</f>
        <v>6</v>
      </c>
      <c r="T507">
        <f>IF(ISBLANK(tblSales[[#This Row],[ShippedDate]]),"",tblSales[[#This Row],[ShippedDate]]-tblSales[[#This Row],[OrderDate]])</f>
        <v>5</v>
      </c>
      <c r="U507" t="str">
        <f>LEFT(tblSales[[#This Row],[ProductName]],20)</f>
        <v>Guaraná Fantástica</v>
      </c>
    </row>
    <row r="508" spans="2:21" x14ac:dyDescent="0.2">
      <c r="B508">
        <v>10623</v>
      </c>
      <c r="C508" t="s">
        <v>8368</v>
      </c>
      <c r="D508" t="s">
        <v>8246</v>
      </c>
      <c r="E508" t="s">
        <v>8262</v>
      </c>
      <c r="F508" s="222">
        <v>10</v>
      </c>
      <c r="G508">
        <v>25</v>
      </c>
      <c r="H508" s="223">
        <v>0.10000000149011599</v>
      </c>
      <c r="I508" s="222">
        <v>225</v>
      </c>
      <c r="J508" t="s">
        <v>8304</v>
      </c>
      <c r="K508" t="s">
        <v>8305</v>
      </c>
      <c r="L508" s="118">
        <v>43865</v>
      </c>
      <c r="M508" s="118">
        <v>43870</v>
      </c>
      <c r="N508" t="s">
        <v>8265</v>
      </c>
      <c r="O508" t="s">
        <v>8320</v>
      </c>
      <c r="P508" t="s">
        <v>8321</v>
      </c>
      <c r="Q508" t="str">
        <f>tblSales[[#This Row],[FirstName]]&amp; " " &amp;tblSales[[#This Row],[LastName]]</f>
        <v>Laura Callahan</v>
      </c>
      <c r="R508">
        <f>YEAR(tblSales[[#This Row],[OrderDate]])</f>
        <v>2020</v>
      </c>
      <c r="S508">
        <f>WEEKNUM(tblSales[[#This Row],[OrderDate]])</f>
        <v>6</v>
      </c>
      <c r="T508">
        <f>IF(ISBLANK(tblSales[[#This Row],[ShippedDate]]),"",tblSales[[#This Row],[ShippedDate]]-tblSales[[#This Row],[OrderDate]])</f>
        <v>5</v>
      </c>
      <c r="U508" t="str">
        <f>LEFT(tblSales[[#This Row],[ProductName]],20)</f>
        <v>Sir Rodney's Scones</v>
      </c>
    </row>
    <row r="509" spans="2:21" x14ac:dyDescent="0.2">
      <c r="B509">
        <v>10623</v>
      </c>
      <c r="C509" t="s">
        <v>8327</v>
      </c>
      <c r="D509" t="s">
        <v>8246</v>
      </c>
      <c r="E509" t="s">
        <v>8262</v>
      </c>
      <c r="F509" s="222">
        <v>9.1999999999999993</v>
      </c>
      <c r="G509">
        <v>15</v>
      </c>
      <c r="H509" s="223">
        <v>0.10000000149011599</v>
      </c>
      <c r="I509" s="222">
        <v>124.2</v>
      </c>
      <c r="J509" t="s">
        <v>8304</v>
      </c>
      <c r="K509" t="s">
        <v>8305</v>
      </c>
      <c r="L509" s="118">
        <v>43865</v>
      </c>
      <c r="M509" s="118">
        <v>43870</v>
      </c>
      <c r="N509" t="s">
        <v>8265</v>
      </c>
      <c r="O509" t="s">
        <v>8320</v>
      </c>
      <c r="P509" t="s">
        <v>8321</v>
      </c>
      <c r="Q509" t="str">
        <f>tblSales[[#This Row],[FirstName]]&amp; " " &amp;tblSales[[#This Row],[LastName]]</f>
        <v>Laura Callahan</v>
      </c>
      <c r="R509">
        <f>YEAR(tblSales[[#This Row],[OrderDate]])</f>
        <v>2020</v>
      </c>
      <c r="S509">
        <f>WEEKNUM(tblSales[[#This Row],[OrderDate]])</f>
        <v>6</v>
      </c>
      <c r="T509">
        <f>IF(ISBLANK(tblSales[[#This Row],[ShippedDate]]),"",tblSales[[#This Row],[ShippedDate]]-tblSales[[#This Row],[OrderDate]])</f>
        <v>5</v>
      </c>
      <c r="U509" t="str">
        <f>LEFT(tblSales[[#This Row],[ProductName]],20)</f>
        <v>Teatime Chocolate Bi</v>
      </c>
    </row>
    <row r="510" spans="2:21" x14ac:dyDescent="0.2">
      <c r="B510">
        <v>10623</v>
      </c>
      <c r="C510" t="s">
        <v>8252</v>
      </c>
      <c r="D510" t="s">
        <v>8246</v>
      </c>
      <c r="E510" t="s">
        <v>8247</v>
      </c>
      <c r="F510" s="222">
        <v>23.25</v>
      </c>
      <c r="G510">
        <v>21</v>
      </c>
      <c r="H510" s="223">
        <v>0</v>
      </c>
      <c r="I510" s="222">
        <v>488.25</v>
      </c>
      <c r="J510" t="s">
        <v>8304</v>
      </c>
      <c r="K510" t="s">
        <v>8305</v>
      </c>
      <c r="L510" s="118">
        <v>43865</v>
      </c>
      <c r="M510" s="118">
        <v>43870</v>
      </c>
      <c r="N510" t="s">
        <v>8265</v>
      </c>
      <c r="O510" t="s">
        <v>8320</v>
      </c>
      <c r="P510" t="s">
        <v>8321</v>
      </c>
      <c r="Q510" t="str">
        <f>tblSales[[#This Row],[FirstName]]&amp; " " &amp;tblSales[[#This Row],[LastName]]</f>
        <v>Laura Callahan</v>
      </c>
      <c r="R510">
        <f>YEAR(tblSales[[#This Row],[OrderDate]])</f>
        <v>2020</v>
      </c>
      <c r="S510">
        <f>WEEKNUM(tblSales[[#This Row],[OrderDate]])</f>
        <v>6</v>
      </c>
      <c r="T510">
        <f>IF(ISBLANK(tblSales[[#This Row],[ShippedDate]]),"",tblSales[[#This Row],[ShippedDate]]-tblSales[[#This Row],[OrderDate]])</f>
        <v>5</v>
      </c>
      <c r="U510" t="str">
        <f>LEFT(tblSales[[#This Row],[ProductName]],20)</f>
        <v>Tofu</v>
      </c>
    </row>
    <row r="511" spans="2:21" x14ac:dyDescent="0.2">
      <c r="B511">
        <v>10626</v>
      </c>
      <c r="C511" t="s">
        <v>8268</v>
      </c>
      <c r="D511" t="s">
        <v>8292</v>
      </c>
      <c r="E511" t="s">
        <v>8237</v>
      </c>
      <c r="F511" s="222">
        <v>34</v>
      </c>
      <c r="G511">
        <v>20</v>
      </c>
      <c r="H511" s="223">
        <v>0</v>
      </c>
      <c r="I511" s="222">
        <v>680</v>
      </c>
      <c r="J511" t="s">
        <v>8318</v>
      </c>
      <c r="K511" t="s">
        <v>8319</v>
      </c>
      <c r="L511" s="118">
        <v>43869</v>
      </c>
      <c r="M511" s="118">
        <v>43878</v>
      </c>
      <c r="N511" t="s">
        <v>8265</v>
      </c>
      <c r="O511" t="s">
        <v>8285</v>
      </c>
      <c r="P511" t="s">
        <v>2317</v>
      </c>
      <c r="Q511" t="str">
        <f>tblSales[[#This Row],[FirstName]]&amp; " " &amp;tblSales[[#This Row],[LastName]]</f>
        <v>Nancy Davolio</v>
      </c>
      <c r="R511">
        <f>YEAR(tblSales[[#This Row],[OrderDate]])</f>
        <v>2020</v>
      </c>
      <c r="S511">
        <f>WEEKNUM(tblSales[[#This Row],[OrderDate]])</f>
        <v>6</v>
      </c>
      <c r="T511">
        <f>IF(ISBLANK(tblSales[[#This Row],[ShippedDate]]),"",tblSales[[#This Row],[ShippedDate]]-tblSales[[#This Row],[OrderDate]])</f>
        <v>9</v>
      </c>
      <c r="U511" t="str">
        <f>LEFT(tblSales[[#This Row],[ProductName]],20)</f>
        <v>Camembert Pierrot</v>
      </c>
    </row>
    <row r="512" spans="2:21" x14ac:dyDescent="0.2">
      <c r="B512">
        <v>10626</v>
      </c>
      <c r="C512" t="s">
        <v>8310</v>
      </c>
      <c r="D512" t="s">
        <v>8292</v>
      </c>
      <c r="E512" t="s">
        <v>8237</v>
      </c>
      <c r="F512" s="222">
        <v>21.5</v>
      </c>
      <c r="G512">
        <v>20</v>
      </c>
      <c r="H512" s="223">
        <v>0</v>
      </c>
      <c r="I512" s="222">
        <v>430</v>
      </c>
      <c r="J512" t="s">
        <v>8318</v>
      </c>
      <c r="K512" t="s">
        <v>8319</v>
      </c>
      <c r="L512" s="118">
        <v>43869</v>
      </c>
      <c r="M512" s="118">
        <v>43878</v>
      </c>
      <c r="N512" t="s">
        <v>8265</v>
      </c>
      <c r="O512" t="s">
        <v>8285</v>
      </c>
      <c r="P512" t="s">
        <v>2317</v>
      </c>
      <c r="Q512" t="str">
        <f>tblSales[[#This Row],[FirstName]]&amp; " " &amp;tblSales[[#This Row],[LastName]]</f>
        <v>Nancy Davolio</v>
      </c>
      <c r="R512">
        <f>YEAR(tblSales[[#This Row],[OrderDate]])</f>
        <v>2020</v>
      </c>
      <c r="S512">
        <f>WEEKNUM(tblSales[[#This Row],[OrderDate]])</f>
        <v>6</v>
      </c>
      <c r="T512">
        <f>IF(ISBLANK(tblSales[[#This Row],[ShippedDate]]),"",tblSales[[#This Row],[ShippedDate]]-tblSales[[#This Row],[OrderDate]])</f>
        <v>9</v>
      </c>
      <c r="U512" t="str">
        <f>LEFT(tblSales[[#This Row],[ProductName]],20)</f>
        <v>Fløtemysost</v>
      </c>
    </row>
    <row r="513" spans="2:21" x14ac:dyDescent="0.2">
      <c r="B513">
        <v>10628</v>
      </c>
      <c r="C513" t="s">
        <v>8333</v>
      </c>
      <c r="D513" t="s">
        <v>8236</v>
      </c>
      <c r="E513" t="s">
        <v>8272</v>
      </c>
      <c r="F513" s="222">
        <v>18</v>
      </c>
      <c r="G513">
        <v>25</v>
      </c>
      <c r="H513" s="223">
        <v>0</v>
      </c>
      <c r="I513" s="222">
        <v>450</v>
      </c>
      <c r="J513" t="s">
        <v>8295</v>
      </c>
      <c r="K513" t="s">
        <v>8296</v>
      </c>
      <c r="L513" s="118">
        <v>43870</v>
      </c>
      <c r="M513" s="118">
        <v>43878</v>
      </c>
      <c r="N513" t="s">
        <v>8240</v>
      </c>
      <c r="O513" t="s">
        <v>8266</v>
      </c>
      <c r="P513" t="s">
        <v>8267</v>
      </c>
      <c r="Q513" t="str">
        <f>tblSales[[#This Row],[FirstName]]&amp; " " &amp;tblSales[[#This Row],[LastName]]</f>
        <v>Margaret Peacock</v>
      </c>
      <c r="R513">
        <f>YEAR(tblSales[[#This Row],[OrderDate]])</f>
        <v>2020</v>
      </c>
      <c r="S513">
        <f>WEEKNUM(tblSales[[#This Row],[OrderDate]])</f>
        <v>7</v>
      </c>
      <c r="T513">
        <f>IF(ISBLANK(tblSales[[#This Row],[ShippedDate]]),"",tblSales[[#This Row],[ShippedDate]]-tblSales[[#This Row],[OrderDate]])</f>
        <v>8</v>
      </c>
      <c r="U513" t="str">
        <f>LEFT(tblSales[[#This Row],[ProductName]],20)</f>
        <v>Chai</v>
      </c>
    </row>
    <row r="514" spans="2:21" x14ac:dyDescent="0.2">
      <c r="B514">
        <v>10629</v>
      </c>
      <c r="C514" t="s">
        <v>8340</v>
      </c>
      <c r="D514" t="s">
        <v>8324</v>
      </c>
      <c r="E514" t="s">
        <v>8244</v>
      </c>
      <c r="F514" s="222">
        <v>33.25</v>
      </c>
      <c r="G514">
        <v>9</v>
      </c>
      <c r="H514" s="223">
        <v>0</v>
      </c>
      <c r="I514" s="222">
        <v>299.25</v>
      </c>
      <c r="J514" t="s">
        <v>8349</v>
      </c>
      <c r="K514" t="s">
        <v>8350</v>
      </c>
      <c r="L514" s="118">
        <v>43870</v>
      </c>
      <c r="M514" s="118">
        <v>43878</v>
      </c>
      <c r="N514" t="s">
        <v>8240</v>
      </c>
      <c r="O514" t="s">
        <v>8266</v>
      </c>
      <c r="P514" t="s">
        <v>8267</v>
      </c>
      <c r="Q514" t="str">
        <f>tblSales[[#This Row],[FirstName]]&amp; " " &amp;tblSales[[#This Row],[LastName]]</f>
        <v>Margaret Peacock</v>
      </c>
      <c r="R514">
        <f>YEAR(tblSales[[#This Row],[OrderDate]])</f>
        <v>2020</v>
      </c>
      <c r="S514">
        <f>WEEKNUM(tblSales[[#This Row],[OrderDate]])</f>
        <v>7</v>
      </c>
      <c r="T514">
        <f>IF(ISBLANK(tblSales[[#This Row],[ShippedDate]]),"",tblSales[[#This Row],[ShippedDate]]-tblSales[[#This Row],[OrderDate]])</f>
        <v>8</v>
      </c>
      <c r="U514" t="str">
        <f>LEFT(tblSales[[#This Row],[ProductName]],20)</f>
        <v>Wimmers gute Semmelk</v>
      </c>
    </row>
    <row r="515" spans="2:21" x14ac:dyDescent="0.2">
      <c r="B515">
        <v>11150</v>
      </c>
      <c r="C515" t="s">
        <v>8303</v>
      </c>
      <c r="D515" t="s">
        <v>8236</v>
      </c>
      <c r="E515" t="s">
        <v>8272</v>
      </c>
      <c r="F515" s="222">
        <v>14.4</v>
      </c>
      <c r="G515">
        <v>20</v>
      </c>
      <c r="H515" s="223">
        <v>0.25</v>
      </c>
      <c r="I515" s="222">
        <v>216</v>
      </c>
      <c r="J515" t="s">
        <v>8382</v>
      </c>
      <c r="K515" t="s">
        <v>8383</v>
      </c>
      <c r="L515" s="118">
        <v>43870</v>
      </c>
      <c r="M515" s="118">
        <v>43891</v>
      </c>
      <c r="N515" t="s">
        <v>8265</v>
      </c>
      <c r="O515" t="s">
        <v>8251</v>
      </c>
      <c r="P515" t="s">
        <v>269</v>
      </c>
      <c r="Q515" t="str">
        <f>tblSales[[#This Row],[FirstName]]&amp; " " &amp;tblSales[[#This Row],[LastName]]</f>
        <v>Michael Suyama</v>
      </c>
      <c r="R515">
        <f>YEAR(tblSales[[#This Row],[OrderDate]])</f>
        <v>2020</v>
      </c>
      <c r="S515">
        <f>WEEKNUM(tblSales[[#This Row],[OrderDate]])</f>
        <v>7</v>
      </c>
      <c r="T515">
        <f>IF(ISBLANK(tblSales[[#This Row],[ShippedDate]]),"",tblSales[[#This Row],[ShippedDate]]-tblSales[[#This Row],[OrderDate]])</f>
        <v>21</v>
      </c>
      <c r="U515" t="str">
        <f>LEFT(tblSales[[#This Row],[ProductName]],20)</f>
        <v>Lakkalikööri</v>
      </c>
    </row>
    <row r="516" spans="2:21" x14ac:dyDescent="0.2">
      <c r="B516">
        <v>10630</v>
      </c>
      <c r="C516" t="s">
        <v>8303</v>
      </c>
      <c r="D516" t="s">
        <v>8246</v>
      </c>
      <c r="E516" t="s">
        <v>8272</v>
      </c>
      <c r="F516" s="222">
        <v>18</v>
      </c>
      <c r="G516">
        <v>35</v>
      </c>
      <c r="H516" s="223">
        <v>0</v>
      </c>
      <c r="I516" s="222">
        <v>630</v>
      </c>
      <c r="J516" t="s">
        <v>8359</v>
      </c>
      <c r="K516" t="s">
        <v>8360</v>
      </c>
      <c r="L516" s="118">
        <v>43871</v>
      </c>
      <c r="M516" s="118">
        <v>43877</v>
      </c>
      <c r="N516" t="s">
        <v>8265</v>
      </c>
      <c r="O516" t="s">
        <v>8285</v>
      </c>
      <c r="P516" t="s">
        <v>2317</v>
      </c>
      <c r="Q516" t="str">
        <f>tblSales[[#This Row],[FirstName]]&amp; " " &amp;tblSales[[#This Row],[LastName]]</f>
        <v>Nancy Davolio</v>
      </c>
      <c r="R516">
        <f>YEAR(tblSales[[#This Row],[OrderDate]])</f>
        <v>2020</v>
      </c>
      <c r="S516">
        <f>WEEKNUM(tblSales[[#This Row],[OrderDate]])</f>
        <v>7</v>
      </c>
      <c r="T516">
        <f>IF(ISBLANK(tblSales[[#This Row],[ShippedDate]]),"",tblSales[[#This Row],[ShippedDate]]-tblSales[[#This Row],[OrderDate]])</f>
        <v>6</v>
      </c>
      <c r="U516" t="str">
        <f>LEFT(tblSales[[#This Row],[ProductName]],20)</f>
        <v>Lakkalikööri</v>
      </c>
    </row>
    <row r="517" spans="2:21" x14ac:dyDescent="0.2">
      <c r="B517">
        <v>10631</v>
      </c>
      <c r="C517" t="s">
        <v>8328</v>
      </c>
      <c r="D517" t="s">
        <v>8236</v>
      </c>
      <c r="E517" t="s">
        <v>8272</v>
      </c>
      <c r="F517" s="222">
        <v>7.75</v>
      </c>
      <c r="G517">
        <v>8</v>
      </c>
      <c r="H517" s="223">
        <v>0.10000000149011599</v>
      </c>
      <c r="I517" s="222">
        <v>55.8</v>
      </c>
      <c r="J517" t="s">
        <v>8382</v>
      </c>
      <c r="K517" t="s">
        <v>8383</v>
      </c>
      <c r="L517" s="118">
        <v>43872</v>
      </c>
      <c r="M517" s="118">
        <v>43873</v>
      </c>
      <c r="N517" t="s">
        <v>8250</v>
      </c>
      <c r="O517" t="s">
        <v>8320</v>
      </c>
      <c r="P517" t="s">
        <v>8321</v>
      </c>
      <c r="Q517" t="str">
        <f>tblSales[[#This Row],[FirstName]]&amp; " " &amp;tblSales[[#This Row],[LastName]]</f>
        <v>Laura Callahan</v>
      </c>
      <c r="R517">
        <f>YEAR(tblSales[[#This Row],[OrderDate]])</f>
        <v>2020</v>
      </c>
      <c r="S517">
        <f>WEEKNUM(tblSales[[#This Row],[OrderDate]])</f>
        <v>7</v>
      </c>
      <c r="T517">
        <f>IF(ISBLANK(tblSales[[#This Row],[ShippedDate]]),"",tblSales[[#This Row],[ShippedDate]]-tblSales[[#This Row],[OrderDate]])</f>
        <v>1</v>
      </c>
      <c r="U517" t="str">
        <f>LEFT(tblSales[[#This Row],[ProductName]],20)</f>
        <v>Rhönbräu Klosterbier</v>
      </c>
    </row>
    <row r="518" spans="2:21" x14ac:dyDescent="0.2">
      <c r="B518">
        <v>10632</v>
      </c>
      <c r="C518" t="s">
        <v>8276</v>
      </c>
      <c r="D518" t="s">
        <v>8246</v>
      </c>
      <c r="E518" t="s">
        <v>8272</v>
      </c>
      <c r="F518" s="222">
        <v>19</v>
      </c>
      <c r="G518">
        <v>30</v>
      </c>
      <c r="H518" s="223">
        <v>5.0000000745058101E-2</v>
      </c>
      <c r="I518" s="222">
        <v>541.5</v>
      </c>
      <c r="J518" t="s">
        <v>8346</v>
      </c>
      <c r="K518" t="s">
        <v>8347</v>
      </c>
      <c r="L518" s="118">
        <v>43872</v>
      </c>
      <c r="M518" s="118">
        <v>43877</v>
      </c>
      <c r="N518" t="s">
        <v>8250</v>
      </c>
      <c r="O518" t="s">
        <v>8320</v>
      </c>
      <c r="P518" t="s">
        <v>8321</v>
      </c>
      <c r="Q518" t="str">
        <f>tblSales[[#This Row],[FirstName]]&amp; " " &amp;tblSales[[#This Row],[LastName]]</f>
        <v>Laura Callahan</v>
      </c>
      <c r="R518">
        <f>YEAR(tblSales[[#This Row],[OrderDate]])</f>
        <v>2020</v>
      </c>
      <c r="S518">
        <f>WEEKNUM(tblSales[[#This Row],[OrderDate]])</f>
        <v>7</v>
      </c>
      <c r="T518">
        <f>IF(ISBLANK(tblSales[[#This Row],[ShippedDate]]),"",tblSales[[#This Row],[ShippedDate]]-tblSales[[#This Row],[OrderDate]])</f>
        <v>5</v>
      </c>
      <c r="U518" t="str">
        <f>LEFT(tblSales[[#This Row],[ProductName]],20)</f>
        <v>Chang</v>
      </c>
    </row>
    <row r="519" spans="2:21" x14ac:dyDescent="0.2">
      <c r="B519">
        <v>10632</v>
      </c>
      <c r="C519" t="s">
        <v>8269</v>
      </c>
      <c r="D519" t="s">
        <v>8246</v>
      </c>
      <c r="E519" t="s">
        <v>8237</v>
      </c>
      <c r="F519" s="222">
        <v>2.5</v>
      </c>
      <c r="G519">
        <v>20</v>
      </c>
      <c r="H519" s="223">
        <v>5.0000000745058101E-2</v>
      </c>
      <c r="I519" s="222">
        <v>47.5</v>
      </c>
      <c r="J519" t="s">
        <v>8346</v>
      </c>
      <c r="K519" t="s">
        <v>8347</v>
      </c>
      <c r="L519" s="118">
        <v>43872</v>
      </c>
      <c r="M519" s="118">
        <v>43877</v>
      </c>
      <c r="N519" t="s">
        <v>8250</v>
      </c>
      <c r="O519" t="s">
        <v>8320</v>
      </c>
      <c r="P519" t="s">
        <v>8321</v>
      </c>
      <c r="Q519" t="str">
        <f>tblSales[[#This Row],[FirstName]]&amp; " " &amp;tblSales[[#This Row],[LastName]]</f>
        <v>Laura Callahan</v>
      </c>
      <c r="R519">
        <f>YEAR(tblSales[[#This Row],[OrderDate]])</f>
        <v>2020</v>
      </c>
      <c r="S519">
        <f>WEEKNUM(tblSales[[#This Row],[OrderDate]])</f>
        <v>7</v>
      </c>
      <c r="T519">
        <f>IF(ISBLANK(tblSales[[#This Row],[ShippedDate]]),"",tblSales[[#This Row],[ShippedDate]]-tblSales[[#This Row],[OrderDate]])</f>
        <v>5</v>
      </c>
      <c r="U519" t="str">
        <f>LEFT(tblSales[[#This Row],[ProductName]],20)</f>
        <v>Geitost</v>
      </c>
    </row>
    <row r="520" spans="2:21" x14ac:dyDescent="0.2">
      <c r="B520">
        <v>10633</v>
      </c>
      <c r="C520" t="s">
        <v>8291</v>
      </c>
      <c r="D520" t="s">
        <v>8282</v>
      </c>
      <c r="E520" t="s">
        <v>8262</v>
      </c>
      <c r="F520" s="222">
        <v>49.3</v>
      </c>
      <c r="G520">
        <v>80</v>
      </c>
      <c r="H520" s="223">
        <v>0.15000000596046401</v>
      </c>
      <c r="I520" s="222">
        <v>3352.4</v>
      </c>
      <c r="J520" t="s">
        <v>8283</v>
      </c>
      <c r="K520" t="s">
        <v>8284</v>
      </c>
      <c r="L520" s="118">
        <v>43873</v>
      </c>
      <c r="M520" s="118">
        <v>43876</v>
      </c>
      <c r="N520" t="s">
        <v>8240</v>
      </c>
      <c r="O520" t="s">
        <v>8158</v>
      </c>
      <c r="P520" t="s">
        <v>861</v>
      </c>
      <c r="Q520" t="str">
        <f>tblSales[[#This Row],[FirstName]]&amp; " " &amp;tblSales[[#This Row],[LastName]]</f>
        <v>Robert King</v>
      </c>
      <c r="R520">
        <f>YEAR(tblSales[[#This Row],[OrderDate]])</f>
        <v>2020</v>
      </c>
      <c r="S520">
        <f>WEEKNUM(tblSales[[#This Row],[OrderDate]])</f>
        <v>7</v>
      </c>
      <c r="T520">
        <f>IF(ISBLANK(tblSales[[#This Row],[ShippedDate]]),"",tblSales[[#This Row],[ShippedDate]]-tblSales[[#This Row],[OrderDate]])</f>
        <v>3</v>
      </c>
      <c r="U520" t="str">
        <f>LEFT(tblSales[[#This Row],[ProductName]],20)</f>
        <v>Tarte au sucre</v>
      </c>
    </row>
    <row r="521" spans="2:21" x14ac:dyDescent="0.2">
      <c r="B521">
        <v>10633</v>
      </c>
      <c r="C521" t="s">
        <v>8372</v>
      </c>
      <c r="D521" t="s">
        <v>8282</v>
      </c>
      <c r="E521" t="s">
        <v>8262</v>
      </c>
      <c r="F521" s="222">
        <v>31.23</v>
      </c>
      <c r="G521">
        <v>35</v>
      </c>
      <c r="H521" s="223">
        <v>0.15000000596046401</v>
      </c>
      <c r="I521" s="222">
        <v>929.09</v>
      </c>
      <c r="J521" t="s">
        <v>8283</v>
      </c>
      <c r="K521" t="s">
        <v>8284</v>
      </c>
      <c r="L521" s="118">
        <v>43873</v>
      </c>
      <c r="M521" s="118">
        <v>43876</v>
      </c>
      <c r="N521" t="s">
        <v>8240</v>
      </c>
      <c r="O521" t="s">
        <v>8158</v>
      </c>
      <c r="P521" t="s">
        <v>861</v>
      </c>
      <c r="Q521" t="str">
        <f>tblSales[[#This Row],[FirstName]]&amp; " " &amp;tblSales[[#This Row],[LastName]]</f>
        <v>Robert King</v>
      </c>
      <c r="R521">
        <f>YEAR(tblSales[[#This Row],[OrderDate]])</f>
        <v>2020</v>
      </c>
      <c r="S521">
        <f>WEEKNUM(tblSales[[#This Row],[OrderDate]])</f>
        <v>7</v>
      </c>
      <c r="T521">
        <f>IF(ISBLANK(tblSales[[#This Row],[ShippedDate]]),"",tblSales[[#This Row],[ShippedDate]]-tblSales[[#This Row],[OrderDate]])</f>
        <v>3</v>
      </c>
      <c r="U521" t="str">
        <f>LEFT(tblSales[[#This Row],[ProductName]],20)</f>
        <v>Gumbär Gummibärchen</v>
      </c>
    </row>
    <row r="522" spans="2:21" x14ac:dyDescent="0.2">
      <c r="B522">
        <v>10633</v>
      </c>
      <c r="C522" t="s">
        <v>8299</v>
      </c>
      <c r="D522" t="s">
        <v>8282</v>
      </c>
      <c r="E522" t="s">
        <v>8237</v>
      </c>
      <c r="F522" s="222">
        <v>38</v>
      </c>
      <c r="G522">
        <v>36</v>
      </c>
      <c r="H522" s="223">
        <v>0.15000000596046401</v>
      </c>
      <c r="I522" s="222">
        <v>1162.8</v>
      </c>
      <c r="J522" t="s">
        <v>8283</v>
      </c>
      <c r="K522" t="s">
        <v>8284</v>
      </c>
      <c r="L522" s="118">
        <v>43873</v>
      </c>
      <c r="M522" s="118">
        <v>43876</v>
      </c>
      <c r="N522" t="s">
        <v>8240</v>
      </c>
      <c r="O522" t="s">
        <v>8158</v>
      </c>
      <c r="P522" t="s">
        <v>861</v>
      </c>
      <c r="Q522" t="str">
        <f>tblSales[[#This Row],[FirstName]]&amp; " " &amp;tblSales[[#This Row],[LastName]]</f>
        <v>Robert King</v>
      </c>
      <c r="R522">
        <f>YEAR(tblSales[[#This Row],[OrderDate]])</f>
        <v>2020</v>
      </c>
      <c r="S522">
        <f>WEEKNUM(tblSales[[#This Row],[OrderDate]])</f>
        <v>7</v>
      </c>
      <c r="T522">
        <f>IF(ISBLANK(tblSales[[#This Row],[ShippedDate]]),"",tblSales[[#This Row],[ShippedDate]]-tblSales[[#This Row],[OrderDate]])</f>
        <v>3</v>
      </c>
      <c r="U522" t="str">
        <f>LEFT(tblSales[[#This Row],[ProductName]],20)</f>
        <v>Queso Manchego La Pa</v>
      </c>
    </row>
    <row r="523" spans="2:21" x14ac:dyDescent="0.2">
      <c r="B523">
        <v>10634</v>
      </c>
      <c r="C523" t="s">
        <v>8328</v>
      </c>
      <c r="D523" t="s">
        <v>8236</v>
      </c>
      <c r="E523" t="s">
        <v>8272</v>
      </c>
      <c r="F523" s="222">
        <v>7.75</v>
      </c>
      <c r="G523">
        <v>2</v>
      </c>
      <c r="H523" s="223">
        <v>0</v>
      </c>
      <c r="I523" s="222">
        <v>15.5</v>
      </c>
      <c r="J523" t="s">
        <v>8407</v>
      </c>
      <c r="K523" t="s">
        <v>8408</v>
      </c>
      <c r="L523" s="118">
        <v>43873</v>
      </c>
      <c r="M523" s="118">
        <v>43879</v>
      </c>
      <c r="N523" t="s">
        <v>8240</v>
      </c>
      <c r="O523" t="s">
        <v>8266</v>
      </c>
      <c r="P523" t="s">
        <v>8267</v>
      </c>
      <c r="Q523" t="str">
        <f>tblSales[[#This Row],[FirstName]]&amp; " " &amp;tblSales[[#This Row],[LastName]]</f>
        <v>Margaret Peacock</v>
      </c>
      <c r="R523">
        <f>YEAR(tblSales[[#This Row],[OrderDate]])</f>
        <v>2020</v>
      </c>
      <c r="S523">
        <f>WEEKNUM(tblSales[[#This Row],[OrderDate]])</f>
        <v>7</v>
      </c>
      <c r="T523">
        <f>IF(ISBLANK(tblSales[[#This Row],[ShippedDate]]),"",tblSales[[#This Row],[ShippedDate]]-tblSales[[#This Row],[OrderDate]])</f>
        <v>6</v>
      </c>
      <c r="U523" t="str">
        <f>LEFT(tblSales[[#This Row],[ProductName]],20)</f>
        <v>Rhönbräu Klosterbier</v>
      </c>
    </row>
    <row r="524" spans="2:21" x14ac:dyDescent="0.2">
      <c r="B524">
        <v>10634</v>
      </c>
      <c r="C524" t="s">
        <v>8415</v>
      </c>
      <c r="D524" t="s">
        <v>8236</v>
      </c>
      <c r="E524" t="s">
        <v>8247</v>
      </c>
      <c r="F524" s="222">
        <v>30</v>
      </c>
      <c r="G524">
        <v>35</v>
      </c>
      <c r="H524" s="223">
        <v>0</v>
      </c>
      <c r="I524" s="222">
        <v>1050</v>
      </c>
      <c r="J524" t="s">
        <v>8407</v>
      </c>
      <c r="K524" t="s">
        <v>8408</v>
      </c>
      <c r="L524" s="118">
        <v>43873</v>
      </c>
      <c r="M524" s="118">
        <v>43879</v>
      </c>
      <c r="N524" t="s">
        <v>8240</v>
      </c>
      <c r="O524" t="s">
        <v>8266</v>
      </c>
      <c r="P524" t="s">
        <v>8267</v>
      </c>
      <c r="Q524" t="str">
        <f>tblSales[[#This Row],[FirstName]]&amp; " " &amp;tblSales[[#This Row],[LastName]]</f>
        <v>Margaret Peacock</v>
      </c>
      <c r="R524">
        <f>YEAR(tblSales[[#This Row],[OrderDate]])</f>
        <v>2020</v>
      </c>
      <c r="S524">
        <f>WEEKNUM(tblSales[[#This Row],[OrderDate]])</f>
        <v>7</v>
      </c>
      <c r="T524">
        <f>IF(ISBLANK(tblSales[[#This Row],[ShippedDate]]),"",tblSales[[#This Row],[ShippedDate]]-tblSales[[#This Row],[OrderDate]])</f>
        <v>6</v>
      </c>
      <c r="U524" t="str">
        <f>LEFT(tblSales[[#This Row],[ProductName]],20)</f>
        <v xml:space="preserve">Uncle Bob's Organic </v>
      </c>
    </row>
    <row r="525" spans="2:21" x14ac:dyDescent="0.2">
      <c r="B525">
        <v>10634</v>
      </c>
      <c r="C525" t="s">
        <v>8245</v>
      </c>
      <c r="D525" t="s">
        <v>8236</v>
      </c>
      <c r="E525" t="s">
        <v>8247</v>
      </c>
      <c r="F525" s="222">
        <v>53</v>
      </c>
      <c r="G525">
        <v>15</v>
      </c>
      <c r="H525" s="223">
        <v>0</v>
      </c>
      <c r="I525" s="222">
        <v>795</v>
      </c>
      <c r="J525" t="s">
        <v>8407</v>
      </c>
      <c r="K525" t="s">
        <v>8408</v>
      </c>
      <c r="L525" s="118">
        <v>43873</v>
      </c>
      <c r="M525" s="118">
        <v>43879</v>
      </c>
      <c r="N525" t="s">
        <v>8240</v>
      </c>
      <c r="O525" t="s">
        <v>8266</v>
      </c>
      <c r="P525" t="s">
        <v>8267</v>
      </c>
      <c r="Q525" t="str">
        <f>tblSales[[#This Row],[FirstName]]&amp; " " &amp;tblSales[[#This Row],[LastName]]</f>
        <v>Margaret Peacock</v>
      </c>
      <c r="R525">
        <f>YEAR(tblSales[[#This Row],[OrderDate]])</f>
        <v>2020</v>
      </c>
      <c r="S525">
        <f>WEEKNUM(tblSales[[#This Row],[OrderDate]])</f>
        <v>7</v>
      </c>
      <c r="T525">
        <f>IF(ISBLANK(tblSales[[#This Row],[ShippedDate]]),"",tblSales[[#This Row],[ShippedDate]]-tblSales[[#This Row],[OrderDate]])</f>
        <v>6</v>
      </c>
      <c r="U525" t="str">
        <f>LEFT(tblSales[[#This Row],[ProductName]],20)</f>
        <v>Manjimup Dried Apple</v>
      </c>
    </row>
    <row r="526" spans="2:21" x14ac:dyDescent="0.2">
      <c r="B526">
        <v>10635</v>
      </c>
      <c r="C526" t="s">
        <v>8286</v>
      </c>
      <c r="D526" t="s">
        <v>8311</v>
      </c>
      <c r="E526" t="s">
        <v>8254</v>
      </c>
      <c r="F526" s="222">
        <v>21.35</v>
      </c>
      <c r="G526">
        <v>15</v>
      </c>
      <c r="H526" s="223">
        <v>0.10000000149011599</v>
      </c>
      <c r="I526" s="222">
        <v>288.22000000000003</v>
      </c>
      <c r="J526" t="s">
        <v>8312</v>
      </c>
      <c r="K526" t="s">
        <v>8313</v>
      </c>
      <c r="L526" s="118">
        <v>43876</v>
      </c>
      <c r="M526" s="118">
        <v>43879</v>
      </c>
      <c r="N526" t="s">
        <v>8240</v>
      </c>
      <c r="O526" t="s">
        <v>8320</v>
      </c>
      <c r="P526" t="s">
        <v>8321</v>
      </c>
      <c r="Q526" t="str">
        <f>tblSales[[#This Row],[FirstName]]&amp; " " &amp;tblSales[[#This Row],[LastName]]</f>
        <v>Laura Callahan</v>
      </c>
      <c r="R526">
        <f>YEAR(tblSales[[#This Row],[OrderDate]])</f>
        <v>2020</v>
      </c>
      <c r="S526">
        <f>WEEKNUM(tblSales[[#This Row],[OrderDate]])</f>
        <v>7</v>
      </c>
      <c r="T526">
        <f>IF(ISBLANK(tblSales[[#This Row],[ShippedDate]]),"",tblSales[[#This Row],[ShippedDate]]-tblSales[[#This Row],[OrderDate]])</f>
        <v>3</v>
      </c>
      <c r="U526" t="str">
        <f>LEFT(tblSales[[#This Row],[ProductName]],20)</f>
        <v>Chef Anton's Gumbo M</v>
      </c>
    </row>
    <row r="527" spans="2:21" x14ac:dyDescent="0.2">
      <c r="B527">
        <v>10635</v>
      </c>
      <c r="C527" t="s">
        <v>8352</v>
      </c>
      <c r="D527" t="s">
        <v>8311</v>
      </c>
      <c r="E527" t="s">
        <v>8254</v>
      </c>
      <c r="F527" s="222">
        <v>22</v>
      </c>
      <c r="G527">
        <v>10</v>
      </c>
      <c r="H527" s="223">
        <v>0.10000000149011599</v>
      </c>
      <c r="I527" s="222">
        <v>198</v>
      </c>
      <c r="J527" t="s">
        <v>8312</v>
      </c>
      <c r="K527" t="s">
        <v>8313</v>
      </c>
      <c r="L527" s="118">
        <v>43876</v>
      </c>
      <c r="M527" s="118">
        <v>43879</v>
      </c>
      <c r="N527" t="s">
        <v>8240</v>
      </c>
      <c r="O527" t="s">
        <v>8320</v>
      </c>
      <c r="P527" t="s">
        <v>8321</v>
      </c>
      <c r="Q527" t="str">
        <f>tblSales[[#This Row],[FirstName]]&amp; " " &amp;tblSales[[#This Row],[LastName]]</f>
        <v>Laura Callahan</v>
      </c>
      <c r="R527">
        <f>YEAR(tblSales[[#This Row],[OrderDate]])</f>
        <v>2020</v>
      </c>
      <c r="S527">
        <f>WEEKNUM(tblSales[[#This Row],[OrderDate]])</f>
        <v>7</v>
      </c>
      <c r="T527">
        <f>IF(ISBLANK(tblSales[[#This Row],[ShippedDate]]),"",tblSales[[#This Row],[ShippedDate]]-tblSales[[#This Row],[OrderDate]])</f>
        <v>3</v>
      </c>
      <c r="U527" t="str">
        <f>LEFT(tblSales[[#This Row],[ProductName]],20)</f>
        <v>Chef Anton's Cajun S</v>
      </c>
    </row>
    <row r="528" spans="2:21" x14ac:dyDescent="0.2">
      <c r="B528">
        <v>10635</v>
      </c>
      <c r="C528" t="s">
        <v>8259</v>
      </c>
      <c r="D528" t="s">
        <v>8311</v>
      </c>
      <c r="E528" t="s">
        <v>8244</v>
      </c>
      <c r="F528" s="222">
        <v>21</v>
      </c>
      <c r="G528">
        <v>40</v>
      </c>
      <c r="H528" s="223">
        <v>0</v>
      </c>
      <c r="I528" s="222">
        <v>840</v>
      </c>
      <c r="J528" t="s">
        <v>8312</v>
      </c>
      <c r="K528" t="s">
        <v>8313</v>
      </c>
      <c r="L528" s="118">
        <v>43876</v>
      </c>
      <c r="M528" s="118">
        <v>43879</v>
      </c>
      <c r="N528" t="s">
        <v>8240</v>
      </c>
      <c r="O528" t="s">
        <v>8320</v>
      </c>
      <c r="P528" t="s">
        <v>8321</v>
      </c>
      <c r="Q528" t="str">
        <f>tblSales[[#This Row],[FirstName]]&amp; " " &amp;tblSales[[#This Row],[LastName]]</f>
        <v>Laura Callahan</v>
      </c>
      <c r="R528">
        <f>YEAR(tblSales[[#This Row],[OrderDate]])</f>
        <v>2020</v>
      </c>
      <c r="S528">
        <f>WEEKNUM(tblSales[[#This Row],[OrderDate]])</f>
        <v>7</v>
      </c>
      <c r="T528">
        <f>IF(ISBLANK(tblSales[[#This Row],[ShippedDate]]),"",tblSales[[#This Row],[ShippedDate]]-tblSales[[#This Row],[OrderDate]])</f>
        <v>3</v>
      </c>
      <c r="U528" t="str">
        <f>LEFT(tblSales[[#This Row],[ProductName]],20)</f>
        <v>Gustaf's Knäckebröd</v>
      </c>
    </row>
    <row r="529" spans="2:21" x14ac:dyDescent="0.2">
      <c r="B529">
        <v>10636</v>
      </c>
      <c r="C529" t="s">
        <v>8352</v>
      </c>
      <c r="D529" t="s">
        <v>8300</v>
      </c>
      <c r="E529" t="s">
        <v>8254</v>
      </c>
      <c r="F529" s="222">
        <v>22</v>
      </c>
      <c r="G529">
        <v>25</v>
      </c>
      <c r="H529" s="223">
        <v>0</v>
      </c>
      <c r="I529" s="222">
        <v>550</v>
      </c>
      <c r="J529" t="s">
        <v>8301</v>
      </c>
      <c r="K529" t="s">
        <v>8302</v>
      </c>
      <c r="L529" s="118">
        <v>43877</v>
      </c>
      <c r="M529" s="118">
        <v>43884</v>
      </c>
      <c r="N529" t="s">
        <v>8250</v>
      </c>
      <c r="O529" t="s">
        <v>8266</v>
      </c>
      <c r="P529" t="s">
        <v>8267</v>
      </c>
      <c r="Q529" t="str">
        <f>tblSales[[#This Row],[FirstName]]&amp; " " &amp;tblSales[[#This Row],[LastName]]</f>
        <v>Margaret Peacock</v>
      </c>
      <c r="R529">
        <f>YEAR(tblSales[[#This Row],[OrderDate]])</f>
        <v>2020</v>
      </c>
      <c r="S529">
        <f>WEEKNUM(tblSales[[#This Row],[OrderDate]])</f>
        <v>8</v>
      </c>
      <c r="T529">
        <f>IF(ISBLANK(tblSales[[#This Row],[ShippedDate]]),"",tblSales[[#This Row],[ShippedDate]]-tblSales[[#This Row],[OrderDate]])</f>
        <v>7</v>
      </c>
      <c r="U529" t="str">
        <f>LEFT(tblSales[[#This Row],[ProductName]],20)</f>
        <v>Chef Anton's Cajun S</v>
      </c>
    </row>
    <row r="530" spans="2:21" x14ac:dyDescent="0.2">
      <c r="B530">
        <v>10640</v>
      </c>
      <c r="C530" t="s">
        <v>8288</v>
      </c>
      <c r="D530" t="s">
        <v>8246</v>
      </c>
      <c r="E530" t="s">
        <v>8272</v>
      </c>
      <c r="F530" s="222">
        <v>15</v>
      </c>
      <c r="G530">
        <v>15</v>
      </c>
      <c r="H530" s="223">
        <v>0.25</v>
      </c>
      <c r="I530" s="222">
        <v>168.75</v>
      </c>
      <c r="J530" t="s">
        <v>8346</v>
      </c>
      <c r="K530" t="s">
        <v>8347</v>
      </c>
      <c r="L530" s="118">
        <v>43879</v>
      </c>
      <c r="M530" s="118">
        <v>43886</v>
      </c>
      <c r="N530" t="s">
        <v>8250</v>
      </c>
      <c r="O530" t="s">
        <v>8266</v>
      </c>
      <c r="P530" t="s">
        <v>8267</v>
      </c>
      <c r="Q530" t="str">
        <f>tblSales[[#This Row],[FirstName]]&amp; " " &amp;tblSales[[#This Row],[LastName]]</f>
        <v>Margaret Peacock</v>
      </c>
      <c r="R530">
        <f>YEAR(tblSales[[#This Row],[OrderDate]])</f>
        <v>2020</v>
      </c>
      <c r="S530">
        <f>WEEKNUM(tblSales[[#This Row],[OrderDate]])</f>
        <v>8</v>
      </c>
      <c r="T530">
        <f>IF(ISBLANK(tblSales[[#This Row],[ShippedDate]]),"",tblSales[[#This Row],[ShippedDate]]-tblSales[[#This Row],[OrderDate]])</f>
        <v>7</v>
      </c>
      <c r="U530" t="str">
        <f>LEFT(tblSales[[#This Row],[ProductName]],20)</f>
        <v>Outback Lager</v>
      </c>
    </row>
    <row r="531" spans="2:21" x14ac:dyDescent="0.2">
      <c r="B531">
        <v>10640</v>
      </c>
      <c r="C531" t="s">
        <v>8353</v>
      </c>
      <c r="D531" t="s">
        <v>8246</v>
      </c>
      <c r="E531" t="s">
        <v>8237</v>
      </c>
      <c r="F531" s="222">
        <v>36</v>
      </c>
      <c r="G531">
        <v>20</v>
      </c>
      <c r="H531" s="223">
        <v>0.25</v>
      </c>
      <c r="I531" s="222">
        <v>540</v>
      </c>
      <c r="J531" t="s">
        <v>8346</v>
      </c>
      <c r="K531" t="s">
        <v>8347</v>
      </c>
      <c r="L531" s="118">
        <v>43879</v>
      </c>
      <c r="M531" s="118">
        <v>43886</v>
      </c>
      <c r="N531" t="s">
        <v>8250</v>
      </c>
      <c r="O531" t="s">
        <v>8266</v>
      </c>
      <c r="P531" t="s">
        <v>8267</v>
      </c>
      <c r="Q531" t="str">
        <f>tblSales[[#This Row],[FirstName]]&amp; " " &amp;tblSales[[#This Row],[LastName]]</f>
        <v>Margaret Peacock</v>
      </c>
      <c r="R531">
        <f>YEAR(tblSales[[#This Row],[OrderDate]])</f>
        <v>2020</v>
      </c>
      <c r="S531">
        <f>WEEKNUM(tblSales[[#This Row],[OrderDate]])</f>
        <v>8</v>
      </c>
      <c r="T531">
        <f>IF(ISBLANK(tblSales[[#This Row],[ShippedDate]]),"",tblSales[[#This Row],[ShippedDate]]-tblSales[[#This Row],[OrderDate]])</f>
        <v>7</v>
      </c>
      <c r="U531" t="str">
        <f>LEFT(tblSales[[#This Row],[ProductName]],20)</f>
        <v>Gudbrandsdalsost</v>
      </c>
    </row>
    <row r="532" spans="2:21" x14ac:dyDescent="0.2">
      <c r="B532">
        <v>10642</v>
      </c>
      <c r="C532" t="s">
        <v>8409</v>
      </c>
      <c r="D532" t="s">
        <v>8374</v>
      </c>
      <c r="E532" t="s">
        <v>8254</v>
      </c>
      <c r="F532" s="222">
        <v>28.5</v>
      </c>
      <c r="G532">
        <v>20</v>
      </c>
      <c r="H532" s="223">
        <v>0.20000000298023199</v>
      </c>
      <c r="I532" s="222">
        <v>456</v>
      </c>
      <c r="J532" t="s">
        <v>8375</v>
      </c>
      <c r="K532" t="s">
        <v>8376</v>
      </c>
      <c r="L532" s="118">
        <v>43880</v>
      </c>
      <c r="M532" s="118">
        <v>43894</v>
      </c>
      <c r="N532" t="s">
        <v>8240</v>
      </c>
      <c r="O532" t="s">
        <v>8158</v>
      </c>
      <c r="P532" t="s">
        <v>861</v>
      </c>
      <c r="Q532" t="str">
        <f>tblSales[[#This Row],[FirstName]]&amp; " " &amp;tblSales[[#This Row],[LastName]]</f>
        <v>Robert King</v>
      </c>
      <c r="R532">
        <f>YEAR(tblSales[[#This Row],[OrderDate]])</f>
        <v>2020</v>
      </c>
      <c r="S532">
        <f>WEEKNUM(tblSales[[#This Row],[OrderDate]])</f>
        <v>8</v>
      </c>
      <c r="T532">
        <f>IF(ISBLANK(tblSales[[#This Row],[ShippedDate]]),"",tblSales[[#This Row],[ShippedDate]]-tblSales[[#This Row],[OrderDate]])</f>
        <v>14</v>
      </c>
      <c r="U532" t="str">
        <f>LEFT(tblSales[[#This Row],[ProductName]],20)</f>
        <v>Sirop d'érable</v>
      </c>
    </row>
    <row r="533" spans="2:21" x14ac:dyDescent="0.2">
      <c r="B533">
        <v>10642</v>
      </c>
      <c r="C533" t="s">
        <v>8368</v>
      </c>
      <c r="D533" t="s">
        <v>8374</v>
      </c>
      <c r="E533" t="s">
        <v>8262</v>
      </c>
      <c r="F533" s="222">
        <v>10</v>
      </c>
      <c r="G533">
        <v>30</v>
      </c>
      <c r="H533" s="223">
        <v>0.20000000298023199</v>
      </c>
      <c r="I533" s="222">
        <v>240</v>
      </c>
      <c r="J533" t="s">
        <v>8375</v>
      </c>
      <c r="K533" t="s">
        <v>8376</v>
      </c>
      <c r="L533" s="118">
        <v>43880</v>
      </c>
      <c r="M533" s="118">
        <v>43894</v>
      </c>
      <c r="N533" t="s">
        <v>8240</v>
      </c>
      <c r="O533" t="s">
        <v>8158</v>
      </c>
      <c r="P533" t="s">
        <v>861</v>
      </c>
      <c r="Q533" t="str">
        <f>tblSales[[#This Row],[FirstName]]&amp; " " &amp;tblSales[[#This Row],[LastName]]</f>
        <v>Robert King</v>
      </c>
      <c r="R533">
        <f>YEAR(tblSales[[#This Row],[OrderDate]])</f>
        <v>2020</v>
      </c>
      <c r="S533">
        <f>WEEKNUM(tblSales[[#This Row],[OrderDate]])</f>
        <v>8</v>
      </c>
      <c r="T533">
        <f>IF(ISBLANK(tblSales[[#This Row],[ShippedDate]]),"",tblSales[[#This Row],[ShippedDate]]-tblSales[[#This Row],[OrderDate]])</f>
        <v>14</v>
      </c>
      <c r="U533" t="str">
        <f>LEFT(tblSales[[#This Row],[ProductName]],20)</f>
        <v>Sir Rodney's Scones</v>
      </c>
    </row>
    <row r="534" spans="2:21" x14ac:dyDescent="0.2">
      <c r="B534">
        <v>11146</v>
      </c>
      <c r="C534" t="s">
        <v>8328</v>
      </c>
      <c r="D534" t="s">
        <v>8236</v>
      </c>
      <c r="E534" t="s">
        <v>8272</v>
      </c>
      <c r="F534" s="222">
        <v>6.2</v>
      </c>
      <c r="G534">
        <v>24</v>
      </c>
      <c r="H534" s="223">
        <v>0.10000000149011599</v>
      </c>
      <c r="I534" s="222">
        <v>133.91999999999999</v>
      </c>
      <c r="J534" t="s">
        <v>8295</v>
      </c>
      <c r="K534" t="s">
        <v>8296</v>
      </c>
      <c r="L534" s="118">
        <v>43882</v>
      </c>
      <c r="M534" s="118">
        <v>43888</v>
      </c>
      <c r="N534" t="s">
        <v>8265</v>
      </c>
      <c r="O534" t="s">
        <v>8257</v>
      </c>
      <c r="P534" t="s">
        <v>6984</v>
      </c>
      <c r="Q534" t="str">
        <f>tblSales[[#This Row],[FirstName]]&amp; " " &amp;tblSales[[#This Row],[LastName]]</f>
        <v>Janet Leverling</v>
      </c>
      <c r="R534">
        <f>YEAR(tblSales[[#This Row],[OrderDate]])</f>
        <v>2020</v>
      </c>
      <c r="S534">
        <f>WEEKNUM(tblSales[[#This Row],[OrderDate]])</f>
        <v>8</v>
      </c>
      <c r="T534">
        <f>IF(ISBLANK(tblSales[[#This Row],[ShippedDate]]),"",tblSales[[#This Row],[ShippedDate]]-tblSales[[#This Row],[OrderDate]])</f>
        <v>6</v>
      </c>
      <c r="U534" t="str">
        <f>LEFT(tblSales[[#This Row],[ProductName]],20)</f>
        <v>Rhönbräu Klosterbier</v>
      </c>
    </row>
    <row r="535" spans="2:21" x14ac:dyDescent="0.2">
      <c r="B535">
        <v>11146</v>
      </c>
      <c r="C535" t="s">
        <v>8341</v>
      </c>
      <c r="D535" t="s">
        <v>8236</v>
      </c>
      <c r="E535" t="s">
        <v>8244</v>
      </c>
      <c r="F535" s="222">
        <v>30.4</v>
      </c>
      <c r="G535">
        <v>40</v>
      </c>
      <c r="H535" s="223">
        <v>0.10000000149011599</v>
      </c>
      <c r="I535" s="222">
        <v>1094.4000000000001</v>
      </c>
      <c r="J535" t="s">
        <v>8295</v>
      </c>
      <c r="K535" t="s">
        <v>8296</v>
      </c>
      <c r="L535" s="118">
        <v>43882</v>
      </c>
      <c r="M535" s="118">
        <v>43888</v>
      </c>
      <c r="N535" t="s">
        <v>8265</v>
      </c>
      <c r="O535" t="s">
        <v>8257</v>
      </c>
      <c r="P535" t="s">
        <v>6984</v>
      </c>
      <c r="Q535" t="str">
        <f>tblSales[[#This Row],[FirstName]]&amp; " " &amp;tblSales[[#This Row],[LastName]]</f>
        <v>Janet Leverling</v>
      </c>
      <c r="R535">
        <f>YEAR(tblSales[[#This Row],[OrderDate]])</f>
        <v>2020</v>
      </c>
      <c r="S535">
        <f>WEEKNUM(tblSales[[#This Row],[OrderDate]])</f>
        <v>8</v>
      </c>
      <c r="T535">
        <f>IF(ISBLANK(tblSales[[#This Row],[ShippedDate]]),"",tblSales[[#This Row],[ShippedDate]]-tblSales[[#This Row],[OrderDate]])</f>
        <v>6</v>
      </c>
      <c r="U535" t="str">
        <f>LEFT(tblSales[[#This Row],[ProductName]],20)</f>
        <v>Gnocchi di nonna Ali</v>
      </c>
    </row>
    <row r="536" spans="2:21" x14ac:dyDescent="0.2">
      <c r="B536">
        <v>11146</v>
      </c>
      <c r="C536" t="s">
        <v>8340</v>
      </c>
      <c r="D536" t="s">
        <v>8236</v>
      </c>
      <c r="E536" t="s">
        <v>8244</v>
      </c>
      <c r="F536" s="222">
        <v>26.6</v>
      </c>
      <c r="G536">
        <v>30</v>
      </c>
      <c r="H536" s="223">
        <v>0.10000000149011599</v>
      </c>
      <c r="I536" s="222">
        <v>718.2</v>
      </c>
      <c r="J536" t="s">
        <v>8295</v>
      </c>
      <c r="K536" t="s">
        <v>8296</v>
      </c>
      <c r="L536" s="118">
        <v>43882</v>
      </c>
      <c r="M536" s="118">
        <v>43888</v>
      </c>
      <c r="N536" t="s">
        <v>8265</v>
      </c>
      <c r="O536" t="s">
        <v>8257</v>
      </c>
      <c r="P536" t="s">
        <v>6984</v>
      </c>
      <c r="Q536" t="str">
        <f>tblSales[[#This Row],[FirstName]]&amp; " " &amp;tblSales[[#This Row],[LastName]]</f>
        <v>Janet Leverling</v>
      </c>
      <c r="R536">
        <f>YEAR(tblSales[[#This Row],[OrderDate]])</f>
        <v>2020</v>
      </c>
      <c r="S536">
        <f>WEEKNUM(tblSales[[#This Row],[OrderDate]])</f>
        <v>8</v>
      </c>
      <c r="T536">
        <f>IF(ISBLANK(tblSales[[#This Row],[ShippedDate]]),"",tblSales[[#This Row],[ShippedDate]]-tblSales[[#This Row],[OrderDate]])</f>
        <v>6</v>
      </c>
      <c r="U536" t="str">
        <f>LEFT(tblSales[[#This Row],[ProductName]],20)</f>
        <v>Wimmers gute Semmelk</v>
      </c>
    </row>
    <row r="537" spans="2:21" x14ac:dyDescent="0.2">
      <c r="B537">
        <v>10643</v>
      </c>
      <c r="C537" t="s">
        <v>8342</v>
      </c>
      <c r="D537" t="s">
        <v>8246</v>
      </c>
      <c r="E537" t="s">
        <v>8272</v>
      </c>
      <c r="F537" s="222">
        <v>18</v>
      </c>
      <c r="G537">
        <v>21</v>
      </c>
      <c r="H537" s="223">
        <v>0.25</v>
      </c>
      <c r="I537" s="222">
        <v>283.5</v>
      </c>
      <c r="J537" t="s">
        <v>8422</v>
      </c>
      <c r="K537" t="s">
        <v>8423</v>
      </c>
      <c r="L537" s="118">
        <v>43883</v>
      </c>
      <c r="M537" s="118">
        <v>43891</v>
      </c>
      <c r="N537" t="s">
        <v>8250</v>
      </c>
      <c r="O537" t="s">
        <v>8251</v>
      </c>
      <c r="P537" t="s">
        <v>269</v>
      </c>
      <c r="Q537" t="str">
        <f>tblSales[[#This Row],[FirstName]]&amp; " " &amp;tblSales[[#This Row],[LastName]]</f>
        <v>Michael Suyama</v>
      </c>
      <c r="R537">
        <f>YEAR(tblSales[[#This Row],[OrderDate]])</f>
        <v>2020</v>
      </c>
      <c r="S537">
        <f>WEEKNUM(tblSales[[#This Row],[OrderDate]])</f>
        <v>8</v>
      </c>
      <c r="T537">
        <f>IF(ISBLANK(tblSales[[#This Row],[ShippedDate]]),"",tblSales[[#This Row],[ShippedDate]]-tblSales[[#This Row],[OrderDate]])</f>
        <v>8</v>
      </c>
      <c r="U537" t="str">
        <f>LEFT(tblSales[[#This Row],[ProductName]],20)</f>
        <v>Chartreuse verte</v>
      </c>
    </row>
    <row r="538" spans="2:21" x14ac:dyDescent="0.2">
      <c r="B538">
        <v>10643</v>
      </c>
      <c r="C538" t="s">
        <v>8316</v>
      </c>
      <c r="D538" t="s">
        <v>8246</v>
      </c>
      <c r="E538" t="s">
        <v>8247</v>
      </c>
      <c r="F538" s="222">
        <v>45.6</v>
      </c>
      <c r="G538">
        <v>15</v>
      </c>
      <c r="H538" s="223">
        <v>0.25</v>
      </c>
      <c r="I538" s="222">
        <v>513</v>
      </c>
      <c r="J538" t="s">
        <v>8422</v>
      </c>
      <c r="K538" t="s">
        <v>8423</v>
      </c>
      <c r="L538" s="118">
        <v>43883</v>
      </c>
      <c r="M538" s="118">
        <v>43891</v>
      </c>
      <c r="N538" t="s">
        <v>8250</v>
      </c>
      <c r="O538" t="s">
        <v>8251</v>
      </c>
      <c r="P538" t="s">
        <v>269</v>
      </c>
      <c r="Q538" t="str">
        <f>tblSales[[#This Row],[FirstName]]&amp; " " &amp;tblSales[[#This Row],[LastName]]</f>
        <v>Michael Suyama</v>
      </c>
      <c r="R538">
        <f>YEAR(tblSales[[#This Row],[OrderDate]])</f>
        <v>2020</v>
      </c>
      <c r="S538">
        <f>WEEKNUM(tblSales[[#This Row],[OrderDate]])</f>
        <v>8</v>
      </c>
      <c r="T538">
        <f>IF(ISBLANK(tblSales[[#This Row],[ShippedDate]]),"",tblSales[[#This Row],[ShippedDate]]-tblSales[[#This Row],[OrderDate]])</f>
        <v>8</v>
      </c>
      <c r="U538" t="str">
        <f>LEFT(tblSales[[#This Row],[ProductName]],20)</f>
        <v>Rössle Sauerkraut</v>
      </c>
    </row>
    <row r="539" spans="2:21" x14ac:dyDescent="0.2">
      <c r="B539">
        <v>10646</v>
      </c>
      <c r="C539" t="s">
        <v>8333</v>
      </c>
      <c r="D539" t="s">
        <v>8343</v>
      </c>
      <c r="E539" t="s">
        <v>8272</v>
      </c>
      <c r="F539" s="222">
        <v>18</v>
      </c>
      <c r="G539">
        <v>15</v>
      </c>
      <c r="H539" s="223">
        <v>0.25</v>
      </c>
      <c r="I539" s="222">
        <v>202.5</v>
      </c>
      <c r="J539" t="s">
        <v>8344</v>
      </c>
      <c r="K539" t="s">
        <v>8345</v>
      </c>
      <c r="L539" s="118">
        <v>43885</v>
      </c>
      <c r="M539" s="118">
        <v>43892</v>
      </c>
      <c r="N539" t="s">
        <v>8240</v>
      </c>
      <c r="O539" t="s">
        <v>8279</v>
      </c>
      <c r="P539" t="s">
        <v>710</v>
      </c>
      <c r="Q539" t="str">
        <f>tblSales[[#This Row],[FirstName]]&amp; " " &amp;tblSales[[#This Row],[LastName]]</f>
        <v>Anne Dodsworth</v>
      </c>
      <c r="R539">
        <f>YEAR(tblSales[[#This Row],[OrderDate]])</f>
        <v>2020</v>
      </c>
      <c r="S539">
        <f>WEEKNUM(tblSales[[#This Row],[OrderDate]])</f>
        <v>9</v>
      </c>
      <c r="T539">
        <f>IF(ISBLANK(tblSales[[#This Row],[ShippedDate]]),"",tblSales[[#This Row],[ShippedDate]]-tblSales[[#This Row],[OrderDate]])</f>
        <v>7</v>
      </c>
      <c r="U539" t="str">
        <f>LEFT(tblSales[[#This Row],[ProductName]],20)</f>
        <v>Chai</v>
      </c>
    </row>
    <row r="540" spans="2:21" x14ac:dyDescent="0.2">
      <c r="B540">
        <v>10646</v>
      </c>
      <c r="C540" t="s">
        <v>8397</v>
      </c>
      <c r="D540" t="s">
        <v>8343</v>
      </c>
      <c r="E540" t="s">
        <v>8254</v>
      </c>
      <c r="F540" s="222">
        <v>13</v>
      </c>
      <c r="G540">
        <v>35</v>
      </c>
      <c r="H540" s="223">
        <v>0.25</v>
      </c>
      <c r="I540" s="222">
        <v>341.25</v>
      </c>
      <c r="J540" t="s">
        <v>8344</v>
      </c>
      <c r="K540" t="s">
        <v>8345</v>
      </c>
      <c r="L540" s="118">
        <v>43885</v>
      </c>
      <c r="M540" s="118">
        <v>43892</v>
      </c>
      <c r="N540" t="s">
        <v>8240</v>
      </c>
      <c r="O540" t="s">
        <v>8279</v>
      </c>
      <c r="P540" t="s">
        <v>710</v>
      </c>
      <c r="Q540" t="str">
        <f>tblSales[[#This Row],[FirstName]]&amp; " " &amp;tblSales[[#This Row],[LastName]]</f>
        <v>Anne Dodsworth</v>
      </c>
      <c r="R540">
        <f>YEAR(tblSales[[#This Row],[OrderDate]])</f>
        <v>2020</v>
      </c>
      <c r="S540">
        <f>WEEKNUM(tblSales[[#This Row],[OrderDate]])</f>
        <v>9</v>
      </c>
      <c r="T540">
        <f>IF(ISBLANK(tblSales[[#This Row],[ShippedDate]]),"",tblSales[[#This Row],[ShippedDate]]-tblSales[[#This Row],[OrderDate]])</f>
        <v>7</v>
      </c>
      <c r="U540" t="str">
        <f>LEFT(tblSales[[#This Row],[ProductName]],20)</f>
        <v>Original Frankfurter</v>
      </c>
    </row>
    <row r="541" spans="2:21" x14ac:dyDescent="0.2">
      <c r="B541">
        <v>10646</v>
      </c>
      <c r="C541" t="s">
        <v>8310</v>
      </c>
      <c r="D541" t="s">
        <v>8343</v>
      </c>
      <c r="E541" t="s">
        <v>8237</v>
      </c>
      <c r="F541" s="222">
        <v>21.5</v>
      </c>
      <c r="G541">
        <v>30</v>
      </c>
      <c r="H541" s="223">
        <v>0.25</v>
      </c>
      <c r="I541" s="222">
        <v>483.75</v>
      </c>
      <c r="J541" t="s">
        <v>8344</v>
      </c>
      <c r="K541" t="s">
        <v>8345</v>
      </c>
      <c r="L541" s="118">
        <v>43885</v>
      </c>
      <c r="M541" s="118">
        <v>43892</v>
      </c>
      <c r="N541" t="s">
        <v>8240</v>
      </c>
      <c r="O541" t="s">
        <v>8279</v>
      </c>
      <c r="P541" t="s">
        <v>710</v>
      </c>
      <c r="Q541" t="str">
        <f>tblSales[[#This Row],[FirstName]]&amp; " " &amp;tblSales[[#This Row],[LastName]]</f>
        <v>Anne Dodsworth</v>
      </c>
      <c r="R541">
        <f>YEAR(tblSales[[#This Row],[OrderDate]])</f>
        <v>2020</v>
      </c>
      <c r="S541">
        <f>WEEKNUM(tblSales[[#This Row],[OrderDate]])</f>
        <v>9</v>
      </c>
      <c r="T541">
        <f>IF(ISBLANK(tblSales[[#This Row],[ShippedDate]]),"",tblSales[[#This Row],[ShippedDate]]-tblSales[[#This Row],[OrderDate]])</f>
        <v>7</v>
      </c>
      <c r="U541" t="str">
        <f>LEFT(tblSales[[#This Row],[ProductName]],20)</f>
        <v>Fløtemysost</v>
      </c>
    </row>
    <row r="542" spans="2:21" x14ac:dyDescent="0.2">
      <c r="B542">
        <v>10649</v>
      </c>
      <c r="C542" t="s">
        <v>8235</v>
      </c>
      <c r="D542" t="s">
        <v>8261</v>
      </c>
      <c r="E542" t="s">
        <v>8237</v>
      </c>
      <c r="F542" s="222">
        <v>34.799999999999997</v>
      </c>
      <c r="G542">
        <v>15</v>
      </c>
      <c r="H542" s="223">
        <v>0</v>
      </c>
      <c r="I542" s="222">
        <v>522</v>
      </c>
      <c r="J542" t="s">
        <v>8420</v>
      </c>
      <c r="K542" t="s">
        <v>8421</v>
      </c>
      <c r="L542" s="118">
        <v>43886</v>
      </c>
      <c r="M542" s="118">
        <v>43887</v>
      </c>
      <c r="N542" t="s">
        <v>8240</v>
      </c>
      <c r="O542" t="s">
        <v>8241</v>
      </c>
      <c r="P542" t="s">
        <v>6934</v>
      </c>
      <c r="Q542" t="str">
        <f>tblSales[[#This Row],[FirstName]]&amp; " " &amp;tblSales[[#This Row],[LastName]]</f>
        <v>Steven Buchanan</v>
      </c>
      <c r="R542">
        <f>YEAR(tblSales[[#This Row],[OrderDate]])</f>
        <v>2020</v>
      </c>
      <c r="S542">
        <f>WEEKNUM(tblSales[[#This Row],[OrderDate]])</f>
        <v>9</v>
      </c>
      <c r="T542">
        <f>IF(ISBLANK(tblSales[[#This Row],[ShippedDate]]),"",tblSales[[#This Row],[ShippedDate]]-tblSales[[#This Row],[OrderDate]])</f>
        <v>1</v>
      </c>
      <c r="U542" t="str">
        <f>LEFT(tblSales[[#This Row],[ProductName]],20)</f>
        <v>Mozzarella di Giovan</v>
      </c>
    </row>
    <row r="543" spans="2:21" x14ac:dyDescent="0.2">
      <c r="B543">
        <v>10649</v>
      </c>
      <c r="C543" t="s">
        <v>8316</v>
      </c>
      <c r="D543" t="s">
        <v>8261</v>
      </c>
      <c r="E543" t="s">
        <v>8247</v>
      </c>
      <c r="F543" s="222">
        <v>45.6</v>
      </c>
      <c r="G543">
        <v>20</v>
      </c>
      <c r="H543" s="223">
        <v>0</v>
      </c>
      <c r="I543" s="222">
        <v>912</v>
      </c>
      <c r="J543" t="s">
        <v>8420</v>
      </c>
      <c r="K543" t="s">
        <v>8421</v>
      </c>
      <c r="L543" s="118">
        <v>43886</v>
      </c>
      <c r="M543" s="118">
        <v>43887</v>
      </c>
      <c r="N543" t="s">
        <v>8240</v>
      </c>
      <c r="O543" t="s">
        <v>8241</v>
      </c>
      <c r="P543" t="s">
        <v>6934</v>
      </c>
      <c r="Q543" t="str">
        <f>tblSales[[#This Row],[FirstName]]&amp; " " &amp;tblSales[[#This Row],[LastName]]</f>
        <v>Steven Buchanan</v>
      </c>
      <c r="R543">
        <f>YEAR(tblSales[[#This Row],[OrderDate]])</f>
        <v>2020</v>
      </c>
      <c r="S543">
        <f>WEEKNUM(tblSales[[#This Row],[OrderDate]])</f>
        <v>9</v>
      </c>
      <c r="T543">
        <f>IF(ISBLANK(tblSales[[#This Row],[ShippedDate]]),"",tblSales[[#This Row],[ShippedDate]]-tblSales[[#This Row],[OrderDate]])</f>
        <v>1</v>
      </c>
      <c r="U543" t="str">
        <f>LEFT(tblSales[[#This Row],[ProductName]],20)</f>
        <v>Rössle Sauerkraut</v>
      </c>
    </row>
    <row r="544" spans="2:21" x14ac:dyDescent="0.2">
      <c r="B544">
        <v>10651</v>
      </c>
      <c r="C544" t="s">
        <v>8327</v>
      </c>
      <c r="D544" t="s">
        <v>8246</v>
      </c>
      <c r="E544" t="s">
        <v>8262</v>
      </c>
      <c r="F544" s="222">
        <v>9.1999999999999993</v>
      </c>
      <c r="G544">
        <v>12</v>
      </c>
      <c r="H544" s="223">
        <v>0.25</v>
      </c>
      <c r="I544" s="222">
        <v>82.8</v>
      </c>
      <c r="J544" t="s">
        <v>8346</v>
      </c>
      <c r="K544" t="s">
        <v>8347</v>
      </c>
      <c r="L544" s="118">
        <v>43890</v>
      </c>
      <c r="M544" s="118">
        <v>43900</v>
      </c>
      <c r="N544" t="s">
        <v>8265</v>
      </c>
      <c r="O544" t="s">
        <v>8320</v>
      </c>
      <c r="P544" t="s">
        <v>8321</v>
      </c>
      <c r="Q544" t="str">
        <f>tblSales[[#This Row],[FirstName]]&amp; " " &amp;tblSales[[#This Row],[LastName]]</f>
        <v>Laura Callahan</v>
      </c>
      <c r="R544">
        <f>YEAR(tblSales[[#This Row],[OrderDate]])</f>
        <v>2020</v>
      </c>
      <c r="S544">
        <f>WEEKNUM(tblSales[[#This Row],[OrderDate]])</f>
        <v>9</v>
      </c>
      <c r="T544">
        <f>IF(ISBLANK(tblSales[[#This Row],[ShippedDate]]),"",tblSales[[#This Row],[ShippedDate]]-tblSales[[#This Row],[OrderDate]])</f>
        <v>10</v>
      </c>
      <c r="U544" t="str">
        <f>LEFT(tblSales[[#This Row],[ProductName]],20)</f>
        <v>Teatime Chocolate Bi</v>
      </c>
    </row>
    <row r="545" spans="2:21" x14ac:dyDescent="0.2">
      <c r="B545">
        <v>10651</v>
      </c>
      <c r="C545" t="s">
        <v>8259</v>
      </c>
      <c r="D545" t="s">
        <v>8246</v>
      </c>
      <c r="E545" t="s">
        <v>8244</v>
      </c>
      <c r="F545" s="222">
        <v>21</v>
      </c>
      <c r="G545">
        <v>20</v>
      </c>
      <c r="H545" s="223">
        <v>0.25</v>
      </c>
      <c r="I545" s="222">
        <v>315</v>
      </c>
      <c r="J545" t="s">
        <v>8346</v>
      </c>
      <c r="K545" t="s">
        <v>8347</v>
      </c>
      <c r="L545" s="118">
        <v>43890</v>
      </c>
      <c r="M545" s="118">
        <v>43900</v>
      </c>
      <c r="N545" t="s">
        <v>8265</v>
      </c>
      <c r="O545" t="s">
        <v>8320</v>
      </c>
      <c r="P545" t="s">
        <v>8321</v>
      </c>
      <c r="Q545" t="str">
        <f>tblSales[[#This Row],[FirstName]]&amp; " " &amp;tblSales[[#This Row],[LastName]]</f>
        <v>Laura Callahan</v>
      </c>
      <c r="R545">
        <f>YEAR(tblSales[[#This Row],[OrderDate]])</f>
        <v>2020</v>
      </c>
      <c r="S545">
        <f>WEEKNUM(tblSales[[#This Row],[OrderDate]])</f>
        <v>9</v>
      </c>
      <c r="T545">
        <f>IF(ISBLANK(tblSales[[#This Row],[ShippedDate]]),"",tblSales[[#This Row],[ShippedDate]]-tblSales[[#This Row],[OrderDate]])</f>
        <v>10</v>
      </c>
      <c r="U545" t="str">
        <f>LEFT(tblSales[[#This Row],[ProductName]],20)</f>
        <v>Gustaf's Knäckebröd</v>
      </c>
    </row>
    <row r="546" spans="2:21" x14ac:dyDescent="0.2">
      <c r="B546">
        <v>10654</v>
      </c>
      <c r="C546" t="s">
        <v>8342</v>
      </c>
      <c r="D546" t="s">
        <v>8292</v>
      </c>
      <c r="E546" t="s">
        <v>8272</v>
      </c>
      <c r="F546" s="222">
        <v>18</v>
      </c>
      <c r="G546">
        <v>20</v>
      </c>
      <c r="H546" s="223">
        <v>0.10000000149011599</v>
      </c>
      <c r="I546" s="222">
        <v>324</v>
      </c>
      <c r="J546" t="s">
        <v>8318</v>
      </c>
      <c r="K546" t="s">
        <v>8319</v>
      </c>
      <c r="L546" s="118">
        <v>43891</v>
      </c>
      <c r="M546" s="118">
        <v>43900</v>
      </c>
      <c r="N546" t="s">
        <v>8250</v>
      </c>
      <c r="O546" t="s">
        <v>8241</v>
      </c>
      <c r="P546" t="s">
        <v>6934</v>
      </c>
      <c r="Q546" t="str">
        <f>tblSales[[#This Row],[FirstName]]&amp; " " &amp;tblSales[[#This Row],[LastName]]</f>
        <v>Steven Buchanan</v>
      </c>
      <c r="R546">
        <f>YEAR(tblSales[[#This Row],[OrderDate]])</f>
        <v>2020</v>
      </c>
      <c r="S546">
        <f>WEEKNUM(tblSales[[#This Row],[OrderDate]])</f>
        <v>10</v>
      </c>
      <c r="T546">
        <f>IF(ISBLANK(tblSales[[#This Row],[ShippedDate]]),"",tblSales[[#This Row],[ShippedDate]]-tblSales[[#This Row],[OrderDate]])</f>
        <v>9</v>
      </c>
      <c r="U546" t="str">
        <f>LEFT(tblSales[[#This Row],[ProductName]],20)</f>
        <v>Chartreuse verte</v>
      </c>
    </row>
    <row r="547" spans="2:21" x14ac:dyDescent="0.2">
      <c r="B547">
        <v>10654</v>
      </c>
      <c r="C547" t="s">
        <v>8352</v>
      </c>
      <c r="D547" t="s">
        <v>8292</v>
      </c>
      <c r="E547" t="s">
        <v>8254</v>
      </c>
      <c r="F547" s="222">
        <v>22</v>
      </c>
      <c r="G547">
        <v>12</v>
      </c>
      <c r="H547" s="223">
        <v>0.10000000149011599</v>
      </c>
      <c r="I547" s="222">
        <v>237.6</v>
      </c>
      <c r="J547" t="s">
        <v>8318</v>
      </c>
      <c r="K547" t="s">
        <v>8319</v>
      </c>
      <c r="L547" s="118">
        <v>43891</v>
      </c>
      <c r="M547" s="118">
        <v>43900</v>
      </c>
      <c r="N547" t="s">
        <v>8250</v>
      </c>
      <c r="O547" t="s">
        <v>8241</v>
      </c>
      <c r="P547" t="s">
        <v>6934</v>
      </c>
      <c r="Q547" t="str">
        <f>tblSales[[#This Row],[FirstName]]&amp; " " &amp;tblSales[[#This Row],[LastName]]</f>
        <v>Steven Buchanan</v>
      </c>
      <c r="R547">
        <f>YEAR(tblSales[[#This Row],[OrderDate]])</f>
        <v>2020</v>
      </c>
      <c r="S547">
        <f>WEEKNUM(tblSales[[#This Row],[OrderDate]])</f>
        <v>10</v>
      </c>
      <c r="T547">
        <f>IF(ISBLANK(tblSales[[#This Row],[ShippedDate]]),"",tblSales[[#This Row],[ShippedDate]]-tblSales[[#This Row],[OrderDate]])</f>
        <v>9</v>
      </c>
      <c r="U547" t="str">
        <f>LEFT(tblSales[[#This Row],[ProductName]],20)</f>
        <v>Chef Anton's Cajun S</v>
      </c>
    </row>
    <row r="548" spans="2:21" x14ac:dyDescent="0.2">
      <c r="B548">
        <v>10653</v>
      </c>
      <c r="C548" t="s">
        <v>8280</v>
      </c>
      <c r="D548" t="s">
        <v>8246</v>
      </c>
      <c r="E548" t="s">
        <v>8262</v>
      </c>
      <c r="F548" s="222">
        <v>17.45</v>
      </c>
      <c r="G548">
        <v>30</v>
      </c>
      <c r="H548" s="223">
        <v>0.10000000149011599</v>
      </c>
      <c r="I548" s="222">
        <v>471.15</v>
      </c>
      <c r="J548" t="s">
        <v>8304</v>
      </c>
      <c r="K548" t="s">
        <v>8305</v>
      </c>
      <c r="L548" s="118">
        <v>43891</v>
      </c>
      <c r="M548" s="118">
        <v>43908</v>
      </c>
      <c r="N548" t="s">
        <v>8250</v>
      </c>
      <c r="O548" t="s">
        <v>8285</v>
      </c>
      <c r="P548" t="s">
        <v>2317</v>
      </c>
      <c r="Q548" t="str">
        <f>tblSales[[#This Row],[FirstName]]&amp; " " &amp;tblSales[[#This Row],[LastName]]</f>
        <v>Nancy Davolio</v>
      </c>
      <c r="R548">
        <f>YEAR(tblSales[[#This Row],[OrderDate]])</f>
        <v>2020</v>
      </c>
      <c r="S548">
        <f>WEEKNUM(tblSales[[#This Row],[OrderDate]])</f>
        <v>10</v>
      </c>
      <c r="T548">
        <f>IF(ISBLANK(tblSales[[#This Row],[ShippedDate]]),"",tblSales[[#This Row],[ShippedDate]]-tblSales[[#This Row],[OrderDate]])</f>
        <v>17</v>
      </c>
      <c r="U548" t="str">
        <f>LEFT(tblSales[[#This Row],[ProductName]],20)</f>
        <v>Pavlova</v>
      </c>
    </row>
    <row r="549" spans="2:21" x14ac:dyDescent="0.2">
      <c r="B549">
        <v>10653</v>
      </c>
      <c r="C549" t="s">
        <v>8268</v>
      </c>
      <c r="D549" t="s">
        <v>8246</v>
      </c>
      <c r="E549" t="s">
        <v>8237</v>
      </c>
      <c r="F549" s="222">
        <v>34</v>
      </c>
      <c r="G549">
        <v>20</v>
      </c>
      <c r="H549" s="223">
        <v>0.10000000149011599</v>
      </c>
      <c r="I549" s="222">
        <v>612</v>
      </c>
      <c r="J549" t="s">
        <v>8304</v>
      </c>
      <c r="K549" t="s">
        <v>8305</v>
      </c>
      <c r="L549" s="118">
        <v>43891</v>
      </c>
      <c r="M549" s="118">
        <v>43908</v>
      </c>
      <c r="N549" t="s">
        <v>8250</v>
      </c>
      <c r="O549" t="s">
        <v>8285</v>
      </c>
      <c r="P549" t="s">
        <v>2317</v>
      </c>
      <c r="Q549" t="str">
        <f>tblSales[[#This Row],[FirstName]]&amp; " " &amp;tblSales[[#This Row],[LastName]]</f>
        <v>Nancy Davolio</v>
      </c>
      <c r="R549">
        <f>YEAR(tblSales[[#This Row],[OrderDate]])</f>
        <v>2020</v>
      </c>
      <c r="S549">
        <f>WEEKNUM(tblSales[[#This Row],[OrderDate]])</f>
        <v>10</v>
      </c>
      <c r="T549">
        <f>IF(ISBLANK(tblSales[[#This Row],[ShippedDate]]),"",tblSales[[#This Row],[ShippedDate]]-tblSales[[#This Row],[OrderDate]])</f>
        <v>17</v>
      </c>
      <c r="U549" t="str">
        <f>LEFT(tblSales[[#This Row],[ProductName]],20)</f>
        <v>Camembert Pierrot</v>
      </c>
    </row>
    <row r="550" spans="2:21" x14ac:dyDescent="0.2">
      <c r="B550">
        <v>10658</v>
      </c>
      <c r="C550" t="s">
        <v>8397</v>
      </c>
      <c r="D550" t="s">
        <v>8246</v>
      </c>
      <c r="E550" t="s">
        <v>8254</v>
      </c>
      <c r="F550" s="222">
        <v>13</v>
      </c>
      <c r="G550">
        <v>70</v>
      </c>
      <c r="H550" s="223">
        <v>5.0000000745058101E-2</v>
      </c>
      <c r="I550" s="222">
        <v>864.5</v>
      </c>
      <c r="J550" t="s">
        <v>8307</v>
      </c>
      <c r="K550" t="s">
        <v>8308</v>
      </c>
      <c r="L550" s="118">
        <v>43894</v>
      </c>
      <c r="M550" s="118">
        <v>43897</v>
      </c>
      <c r="N550" t="s">
        <v>8250</v>
      </c>
      <c r="O550" t="s">
        <v>8266</v>
      </c>
      <c r="P550" t="s">
        <v>8267</v>
      </c>
      <c r="Q550" t="str">
        <f>tblSales[[#This Row],[FirstName]]&amp; " " &amp;tblSales[[#This Row],[LastName]]</f>
        <v>Margaret Peacock</v>
      </c>
      <c r="R550">
        <f>YEAR(tblSales[[#This Row],[OrderDate]])</f>
        <v>2020</v>
      </c>
      <c r="S550">
        <f>WEEKNUM(tblSales[[#This Row],[OrderDate]])</f>
        <v>10</v>
      </c>
      <c r="T550">
        <f>IF(ISBLANK(tblSales[[#This Row],[ShippedDate]]),"",tblSales[[#This Row],[ShippedDate]]-tblSales[[#This Row],[OrderDate]])</f>
        <v>3</v>
      </c>
      <c r="U550" t="str">
        <f>LEFT(tblSales[[#This Row],[ProductName]],20)</f>
        <v>Original Frankfurter</v>
      </c>
    </row>
    <row r="551" spans="2:21" x14ac:dyDescent="0.2">
      <c r="B551">
        <v>10658</v>
      </c>
      <c r="C551" t="s">
        <v>8368</v>
      </c>
      <c r="D551" t="s">
        <v>8246</v>
      </c>
      <c r="E551" t="s">
        <v>8262</v>
      </c>
      <c r="F551" s="222">
        <v>10</v>
      </c>
      <c r="G551">
        <v>60</v>
      </c>
      <c r="H551" s="223">
        <v>0</v>
      </c>
      <c r="I551" s="222">
        <v>600</v>
      </c>
      <c r="J551" t="s">
        <v>8307</v>
      </c>
      <c r="K551" t="s">
        <v>8308</v>
      </c>
      <c r="L551" s="118">
        <v>43894</v>
      </c>
      <c r="M551" s="118">
        <v>43897</v>
      </c>
      <c r="N551" t="s">
        <v>8250</v>
      </c>
      <c r="O551" t="s">
        <v>8266</v>
      </c>
      <c r="P551" t="s">
        <v>8267</v>
      </c>
      <c r="Q551" t="str">
        <f>tblSales[[#This Row],[FirstName]]&amp; " " &amp;tblSales[[#This Row],[LastName]]</f>
        <v>Margaret Peacock</v>
      </c>
      <c r="R551">
        <f>YEAR(tblSales[[#This Row],[OrderDate]])</f>
        <v>2020</v>
      </c>
      <c r="S551">
        <f>WEEKNUM(tblSales[[#This Row],[OrderDate]])</f>
        <v>10</v>
      </c>
      <c r="T551">
        <f>IF(ISBLANK(tblSales[[#This Row],[ShippedDate]]),"",tblSales[[#This Row],[ShippedDate]]-tblSales[[#This Row],[OrderDate]])</f>
        <v>3</v>
      </c>
      <c r="U551" t="str">
        <f>LEFT(tblSales[[#This Row],[ProductName]],20)</f>
        <v>Sir Rodney's Scones</v>
      </c>
    </row>
    <row r="552" spans="2:21" x14ac:dyDescent="0.2">
      <c r="B552">
        <v>10658</v>
      </c>
      <c r="C552" t="s">
        <v>8268</v>
      </c>
      <c r="D552" t="s">
        <v>8246</v>
      </c>
      <c r="E552" t="s">
        <v>8237</v>
      </c>
      <c r="F552" s="222">
        <v>34</v>
      </c>
      <c r="G552">
        <v>55</v>
      </c>
      <c r="H552" s="223">
        <v>5.0000000745058101E-2</v>
      </c>
      <c r="I552" s="222">
        <v>1776.5</v>
      </c>
      <c r="J552" t="s">
        <v>8307</v>
      </c>
      <c r="K552" t="s">
        <v>8308</v>
      </c>
      <c r="L552" s="118">
        <v>43894</v>
      </c>
      <c r="M552" s="118">
        <v>43897</v>
      </c>
      <c r="N552" t="s">
        <v>8250</v>
      </c>
      <c r="O552" t="s">
        <v>8266</v>
      </c>
      <c r="P552" t="s">
        <v>8267</v>
      </c>
      <c r="Q552" t="str">
        <f>tblSales[[#This Row],[FirstName]]&amp; " " &amp;tblSales[[#This Row],[LastName]]</f>
        <v>Margaret Peacock</v>
      </c>
      <c r="R552">
        <f>YEAR(tblSales[[#This Row],[OrderDate]])</f>
        <v>2020</v>
      </c>
      <c r="S552">
        <f>WEEKNUM(tblSales[[#This Row],[OrderDate]])</f>
        <v>10</v>
      </c>
      <c r="T552">
        <f>IF(ISBLANK(tblSales[[#This Row],[ShippedDate]]),"",tblSales[[#This Row],[ShippedDate]]-tblSales[[#This Row],[OrderDate]])</f>
        <v>3</v>
      </c>
      <c r="U552" t="str">
        <f>LEFT(tblSales[[#This Row],[ProductName]],20)</f>
        <v>Camembert Pierrot</v>
      </c>
    </row>
    <row r="553" spans="2:21" x14ac:dyDescent="0.2">
      <c r="B553">
        <v>11159</v>
      </c>
      <c r="C553" t="s">
        <v>8291</v>
      </c>
      <c r="D553" t="s">
        <v>8236</v>
      </c>
      <c r="E553" t="s">
        <v>8262</v>
      </c>
      <c r="F553" s="222">
        <v>39.4</v>
      </c>
      <c r="G553">
        <v>35</v>
      </c>
      <c r="H553" s="223">
        <v>0</v>
      </c>
      <c r="I553" s="222">
        <v>1379</v>
      </c>
      <c r="J553" t="s">
        <v>8295</v>
      </c>
      <c r="K553" t="s">
        <v>8296</v>
      </c>
      <c r="L553" s="118">
        <v>43895</v>
      </c>
      <c r="M553" s="118">
        <v>43904</v>
      </c>
      <c r="N553" t="s">
        <v>8265</v>
      </c>
      <c r="O553" t="s">
        <v>8257</v>
      </c>
      <c r="P553" t="s">
        <v>6984</v>
      </c>
      <c r="Q553" t="str">
        <f>tblSales[[#This Row],[FirstName]]&amp; " " &amp;tblSales[[#This Row],[LastName]]</f>
        <v>Janet Leverling</v>
      </c>
      <c r="R553">
        <f>YEAR(tblSales[[#This Row],[OrderDate]])</f>
        <v>2020</v>
      </c>
      <c r="S553">
        <f>WEEKNUM(tblSales[[#This Row],[OrderDate]])</f>
        <v>10</v>
      </c>
      <c r="T553">
        <f>IF(ISBLANK(tblSales[[#This Row],[ShippedDate]]),"",tblSales[[#This Row],[ShippedDate]]-tblSales[[#This Row],[OrderDate]])</f>
        <v>9</v>
      </c>
      <c r="U553" t="str">
        <f>LEFT(tblSales[[#This Row],[ProductName]],20)</f>
        <v>Tarte au sucre</v>
      </c>
    </row>
    <row r="554" spans="2:21" x14ac:dyDescent="0.2">
      <c r="B554">
        <v>11159</v>
      </c>
      <c r="C554" t="s">
        <v>8369</v>
      </c>
      <c r="D554" t="s">
        <v>8236</v>
      </c>
      <c r="E554" t="s">
        <v>8244</v>
      </c>
      <c r="F554" s="222">
        <v>5.6</v>
      </c>
      <c r="G554">
        <v>20</v>
      </c>
      <c r="H554" s="223">
        <v>0</v>
      </c>
      <c r="I554" s="222">
        <v>112</v>
      </c>
      <c r="J554" t="s">
        <v>8295</v>
      </c>
      <c r="K554" t="s">
        <v>8296</v>
      </c>
      <c r="L554" s="118">
        <v>43895</v>
      </c>
      <c r="M554" s="118">
        <v>43904</v>
      </c>
      <c r="N554" t="s">
        <v>8265</v>
      </c>
      <c r="O554" t="s">
        <v>8257</v>
      </c>
      <c r="P554" t="s">
        <v>6984</v>
      </c>
      <c r="Q554" t="str">
        <f>tblSales[[#This Row],[FirstName]]&amp; " " &amp;tblSales[[#This Row],[LastName]]</f>
        <v>Janet Leverling</v>
      </c>
      <c r="R554">
        <f>YEAR(tblSales[[#This Row],[OrderDate]])</f>
        <v>2020</v>
      </c>
      <c r="S554">
        <f>WEEKNUM(tblSales[[#This Row],[OrderDate]])</f>
        <v>10</v>
      </c>
      <c r="T554">
        <f>IF(ISBLANK(tblSales[[#This Row],[ShippedDate]]),"",tblSales[[#This Row],[ShippedDate]]-tblSales[[#This Row],[OrderDate]])</f>
        <v>9</v>
      </c>
      <c r="U554" t="str">
        <f>LEFT(tblSales[[#This Row],[ProductName]],20)</f>
        <v>Filo Mix</v>
      </c>
    </row>
    <row r="555" spans="2:21" x14ac:dyDescent="0.2">
      <c r="B555">
        <v>11150</v>
      </c>
      <c r="C555" t="s">
        <v>8280</v>
      </c>
      <c r="D555" t="s">
        <v>8236</v>
      </c>
      <c r="E555" t="s">
        <v>8262</v>
      </c>
      <c r="F555" s="222">
        <v>13.9</v>
      </c>
      <c r="G555">
        <v>20</v>
      </c>
      <c r="H555" s="223">
        <v>0.20000000298023199</v>
      </c>
      <c r="I555" s="222">
        <v>222.4</v>
      </c>
      <c r="J555" t="s">
        <v>8382</v>
      </c>
      <c r="K555" t="s">
        <v>8383</v>
      </c>
      <c r="L555" s="118">
        <v>43898</v>
      </c>
      <c r="M555" s="118">
        <v>43902</v>
      </c>
      <c r="N555" t="s">
        <v>8240</v>
      </c>
      <c r="O555" t="s">
        <v>8266</v>
      </c>
      <c r="P555" t="s">
        <v>8267</v>
      </c>
      <c r="Q555" t="str">
        <f>tblSales[[#This Row],[FirstName]]&amp; " " &amp;tblSales[[#This Row],[LastName]]</f>
        <v>Margaret Peacock</v>
      </c>
      <c r="R555">
        <f>YEAR(tblSales[[#This Row],[OrderDate]])</f>
        <v>2020</v>
      </c>
      <c r="S555">
        <f>WEEKNUM(tblSales[[#This Row],[OrderDate]])</f>
        <v>11</v>
      </c>
      <c r="T555">
        <f>IF(ISBLANK(tblSales[[#This Row],[ShippedDate]]),"",tblSales[[#This Row],[ShippedDate]]-tblSales[[#This Row],[OrderDate]])</f>
        <v>4</v>
      </c>
      <c r="U555" t="str">
        <f>LEFT(tblSales[[#This Row],[ProductName]],20)</f>
        <v>Pavlova</v>
      </c>
    </row>
    <row r="556" spans="2:21" x14ac:dyDescent="0.2">
      <c r="B556">
        <v>11150</v>
      </c>
      <c r="C556" t="s">
        <v>8269</v>
      </c>
      <c r="D556" t="s">
        <v>8236</v>
      </c>
      <c r="E556" t="s">
        <v>8237</v>
      </c>
      <c r="F556" s="222">
        <v>2</v>
      </c>
      <c r="G556">
        <v>20</v>
      </c>
      <c r="H556" s="223">
        <v>0.20000000298023199</v>
      </c>
      <c r="I556" s="222">
        <v>32</v>
      </c>
      <c r="J556" t="s">
        <v>8382</v>
      </c>
      <c r="K556" t="s">
        <v>8383</v>
      </c>
      <c r="L556" s="118">
        <v>43898</v>
      </c>
      <c r="M556" s="118">
        <v>43902</v>
      </c>
      <c r="N556" t="s">
        <v>8240</v>
      </c>
      <c r="O556" t="s">
        <v>8266</v>
      </c>
      <c r="P556" t="s">
        <v>8267</v>
      </c>
      <c r="Q556" t="str">
        <f>tblSales[[#This Row],[FirstName]]&amp; " " &amp;tblSales[[#This Row],[LastName]]</f>
        <v>Margaret Peacock</v>
      </c>
      <c r="R556">
        <f>YEAR(tblSales[[#This Row],[OrderDate]])</f>
        <v>2020</v>
      </c>
      <c r="S556">
        <f>WEEKNUM(tblSales[[#This Row],[OrderDate]])</f>
        <v>11</v>
      </c>
      <c r="T556">
        <f>IF(ISBLANK(tblSales[[#This Row],[ShippedDate]]),"",tblSales[[#This Row],[ShippedDate]]-tblSales[[#This Row],[OrderDate]])</f>
        <v>4</v>
      </c>
      <c r="U556" t="str">
        <f>LEFT(tblSales[[#This Row],[ProductName]],20)</f>
        <v>Geitost</v>
      </c>
    </row>
    <row r="557" spans="2:21" x14ac:dyDescent="0.2">
      <c r="B557">
        <v>11155</v>
      </c>
      <c r="C557" t="s">
        <v>8288</v>
      </c>
      <c r="D557" t="s">
        <v>2434</v>
      </c>
      <c r="E557" t="s">
        <v>8272</v>
      </c>
      <c r="F557" s="222">
        <v>12</v>
      </c>
      <c r="G557">
        <v>25</v>
      </c>
      <c r="H557" s="223">
        <v>0.10000000149011599</v>
      </c>
      <c r="I557" s="222">
        <v>270</v>
      </c>
      <c r="J557" t="s">
        <v>8386</v>
      </c>
      <c r="K557" t="s">
        <v>8387</v>
      </c>
      <c r="L557" s="118">
        <v>43898</v>
      </c>
      <c r="M557" s="118">
        <v>43903</v>
      </c>
      <c r="N557" t="s">
        <v>8265</v>
      </c>
      <c r="O557" t="s">
        <v>8285</v>
      </c>
      <c r="P557" t="s">
        <v>2317</v>
      </c>
      <c r="Q557" t="str">
        <f>tblSales[[#This Row],[FirstName]]&amp; " " &amp;tblSales[[#This Row],[LastName]]</f>
        <v>Nancy Davolio</v>
      </c>
      <c r="R557">
        <f>YEAR(tblSales[[#This Row],[OrderDate]])</f>
        <v>2020</v>
      </c>
      <c r="S557">
        <f>WEEKNUM(tblSales[[#This Row],[OrderDate]])</f>
        <v>11</v>
      </c>
      <c r="T557">
        <f>IF(ISBLANK(tblSales[[#This Row],[ShippedDate]]),"",tblSales[[#This Row],[ShippedDate]]-tblSales[[#This Row],[OrderDate]])</f>
        <v>5</v>
      </c>
      <c r="U557" t="str">
        <f>LEFT(tblSales[[#This Row],[ProductName]],20)</f>
        <v>Outback Lager</v>
      </c>
    </row>
    <row r="558" spans="2:21" x14ac:dyDescent="0.2">
      <c r="B558">
        <v>11155</v>
      </c>
      <c r="C558" t="s">
        <v>8406</v>
      </c>
      <c r="D558" t="s">
        <v>2434</v>
      </c>
      <c r="E558" t="s">
        <v>8262</v>
      </c>
      <c r="F558" s="222">
        <v>10.199999999999999</v>
      </c>
      <c r="G558">
        <v>15</v>
      </c>
      <c r="H558" s="223">
        <v>0.10000000149011599</v>
      </c>
      <c r="I558" s="222">
        <v>137.69999999999999</v>
      </c>
      <c r="J558" t="s">
        <v>8386</v>
      </c>
      <c r="K558" t="s">
        <v>8387</v>
      </c>
      <c r="L558" s="118">
        <v>43898</v>
      </c>
      <c r="M558" s="118">
        <v>43903</v>
      </c>
      <c r="N558" t="s">
        <v>8265</v>
      </c>
      <c r="O558" t="s">
        <v>8285</v>
      </c>
      <c r="P558" t="s">
        <v>2317</v>
      </c>
      <c r="Q558" t="str">
        <f>tblSales[[#This Row],[FirstName]]&amp; " " &amp;tblSales[[#This Row],[LastName]]</f>
        <v>Nancy Davolio</v>
      </c>
      <c r="R558">
        <f>YEAR(tblSales[[#This Row],[OrderDate]])</f>
        <v>2020</v>
      </c>
      <c r="S558">
        <f>WEEKNUM(tblSales[[#This Row],[OrderDate]])</f>
        <v>11</v>
      </c>
      <c r="T558">
        <f>IF(ISBLANK(tblSales[[#This Row],[ShippedDate]]),"",tblSales[[#This Row],[ShippedDate]]-tblSales[[#This Row],[OrderDate]])</f>
        <v>5</v>
      </c>
      <c r="U558" t="str">
        <f>LEFT(tblSales[[#This Row],[ProductName]],20)</f>
        <v>Chocolade</v>
      </c>
    </row>
    <row r="559" spans="2:21" x14ac:dyDescent="0.2">
      <c r="B559">
        <v>10661</v>
      </c>
      <c r="C559" t="s">
        <v>8342</v>
      </c>
      <c r="D559" t="s">
        <v>8343</v>
      </c>
      <c r="E559" t="s">
        <v>8272</v>
      </c>
      <c r="F559" s="222">
        <v>18</v>
      </c>
      <c r="G559">
        <v>3</v>
      </c>
      <c r="H559" s="223">
        <v>0.20000000298023199</v>
      </c>
      <c r="I559" s="222">
        <v>43.2</v>
      </c>
      <c r="J559" t="s">
        <v>8344</v>
      </c>
      <c r="K559" t="s">
        <v>8345</v>
      </c>
      <c r="L559" s="118">
        <v>43898</v>
      </c>
      <c r="M559" s="118">
        <v>43904</v>
      </c>
      <c r="N559" t="s">
        <v>8240</v>
      </c>
      <c r="O559" t="s">
        <v>8158</v>
      </c>
      <c r="P559" t="s">
        <v>861</v>
      </c>
      <c r="Q559" t="str">
        <f>tblSales[[#This Row],[FirstName]]&amp; " " &amp;tblSales[[#This Row],[LastName]]</f>
        <v>Robert King</v>
      </c>
      <c r="R559">
        <f>YEAR(tblSales[[#This Row],[OrderDate]])</f>
        <v>2020</v>
      </c>
      <c r="S559">
        <f>WEEKNUM(tblSales[[#This Row],[OrderDate]])</f>
        <v>11</v>
      </c>
      <c r="T559">
        <f>IF(ISBLANK(tblSales[[#This Row],[ShippedDate]]),"",tblSales[[#This Row],[ShippedDate]]-tblSales[[#This Row],[OrderDate]])</f>
        <v>6</v>
      </c>
      <c r="U559" t="str">
        <f>LEFT(tblSales[[#This Row],[ProductName]],20)</f>
        <v>Chartreuse verte</v>
      </c>
    </row>
    <row r="560" spans="2:21" x14ac:dyDescent="0.2">
      <c r="B560">
        <v>10664</v>
      </c>
      <c r="C560" t="s">
        <v>8253</v>
      </c>
      <c r="D560" t="s">
        <v>8365</v>
      </c>
      <c r="E560" t="s">
        <v>8254</v>
      </c>
      <c r="F560" s="222">
        <v>21.05</v>
      </c>
      <c r="G560">
        <v>15</v>
      </c>
      <c r="H560" s="223">
        <v>0.15000000596046401</v>
      </c>
      <c r="I560" s="222">
        <v>268.39</v>
      </c>
      <c r="J560" t="s">
        <v>8366</v>
      </c>
      <c r="K560" t="s">
        <v>8367</v>
      </c>
      <c r="L560" s="118">
        <v>43899</v>
      </c>
      <c r="M560" s="118">
        <v>43908</v>
      </c>
      <c r="N560" t="s">
        <v>8240</v>
      </c>
      <c r="O560" t="s">
        <v>8285</v>
      </c>
      <c r="P560" t="s">
        <v>2317</v>
      </c>
      <c r="Q560" t="str">
        <f>tblSales[[#This Row],[FirstName]]&amp; " " &amp;tblSales[[#This Row],[LastName]]</f>
        <v>Nancy Davolio</v>
      </c>
      <c r="R560">
        <f>YEAR(tblSales[[#This Row],[OrderDate]])</f>
        <v>2020</v>
      </c>
      <c r="S560">
        <f>WEEKNUM(tblSales[[#This Row],[OrderDate]])</f>
        <v>11</v>
      </c>
      <c r="T560">
        <f>IF(ISBLANK(tblSales[[#This Row],[ShippedDate]]),"",tblSales[[#This Row],[ShippedDate]]-tblSales[[#This Row],[OrderDate]])</f>
        <v>9</v>
      </c>
      <c r="U560" t="str">
        <f>LEFT(tblSales[[#This Row],[ProductName]],20)</f>
        <v xml:space="preserve">Louisiana Fiery Hot </v>
      </c>
    </row>
    <row r="561" spans="2:21" x14ac:dyDescent="0.2">
      <c r="B561">
        <v>10664</v>
      </c>
      <c r="C561" t="s">
        <v>8341</v>
      </c>
      <c r="D561" t="s">
        <v>8365</v>
      </c>
      <c r="E561" t="s">
        <v>8244</v>
      </c>
      <c r="F561" s="222">
        <v>38</v>
      </c>
      <c r="G561">
        <v>12</v>
      </c>
      <c r="H561" s="223">
        <v>0.15000000596046401</v>
      </c>
      <c r="I561" s="222">
        <v>387.6</v>
      </c>
      <c r="J561" t="s">
        <v>8366</v>
      </c>
      <c r="K561" t="s">
        <v>8367</v>
      </c>
      <c r="L561" s="118">
        <v>43899</v>
      </c>
      <c r="M561" s="118">
        <v>43908</v>
      </c>
      <c r="N561" t="s">
        <v>8240</v>
      </c>
      <c r="O561" t="s">
        <v>8285</v>
      </c>
      <c r="P561" t="s">
        <v>2317</v>
      </c>
      <c r="Q561" t="str">
        <f>tblSales[[#This Row],[FirstName]]&amp; " " &amp;tblSales[[#This Row],[LastName]]</f>
        <v>Nancy Davolio</v>
      </c>
      <c r="R561">
        <f>YEAR(tblSales[[#This Row],[OrderDate]])</f>
        <v>2020</v>
      </c>
      <c r="S561">
        <f>WEEKNUM(tblSales[[#This Row],[OrderDate]])</f>
        <v>11</v>
      </c>
      <c r="T561">
        <f>IF(ISBLANK(tblSales[[#This Row],[ShippedDate]]),"",tblSales[[#This Row],[ShippedDate]]-tblSales[[#This Row],[OrderDate]])</f>
        <v>9</v>
      </c>
      <c r="U561" t="str">
        <f>LEFT(tblSales[[#This Row],[ProductName]],20)</f>
        <v>Gnocchi di nonna Ali</v>
      </c>
    </row>
    <row r="562" spans="2:21" x14ac:dyDescent="0.2">
      <c r="B562">
        <v>10663</v>
      </c>
      <c r="C562" t="s">
        <v>8243</v>
      </c>
      <c r="D562" t="s">
        <v>8236</v>
      </c>
      <c r="E562" t="s">
        <v>8244</v>
      </c>
      <c r="F562" s="222">
        <v>14</v>
      </c>
      <c r="G562">
        <v>30</v>
      </c>
      <c r="H562" s="223">
        <v>5.0000000745058101E-2</v>
      </c>
      <c r="I562" s="222">
        <v>399</v>
      </c>
      <c r="J562" t="s">
        <v>8377</v>
      </c>
      <c r="K562" t="s">
        <v>8378</v>
      </c>
      <c r="L562" s="118">
        <v>43899</v>
      </c>
      <c r="M562" s="118">
        <v>43922</v>
      </c>
      <c r="N562" t="s">
        <v>8265</v>
      </c>
      <c r="O562" t="s">
        <v>8297</v>
      </c>
      <c r="P562" t="s">
        <v>8298</v>
      </c>
      <c r="Q562" t="str">
        <f>tblSales[[#This Row],[FirstName]]&amp; " " &amp;tblSales[[#This Row],[LastName]]</f>
        <v>Andrew Fuller</v>
      </c>
      <c r="R562">
        <f>YEAR(tblSales[[#This Row],[OrderDate]])</f>
        <v>2020</v>
      </c>
      <c r="S562">
        <f>WEEKNUM(tblSales[[#This Row],[OrderDate]])</f>
        <v>11</v>
      </c>
      <c r="T562">
        <f>IF(ISBLANK(tblSales[[#This Row],[ShippedDate]]),"",tblSales[[#This Row],[ShippedDate]]-tblSales[[#This Row],[OrderDate]])</f>
        <v>23</v>
      </c>
      <c r="U562" t="str">
        <f>LEFT(tblSales[[#This Row],[ProductName]],20)</f>
        <v xml:space="preserve">Singaporean Hokkien </v>
      </c>
    </row>
    <row r="563" spans="2:21" x14ac:dyDescent="0.2">
      <c r="B563">
        <v>10663</v>
      </c>
      <c r="C563" t="s">
        <v>8245</v>
      </c>
      <c r="D563" t="s">
        <v>8236</v>
      </c>
      <c r="E563" t="s">
        <v>8247</v>
      </c>
      <c r="F563" s="222">
        <v>53</v>
      </c>
      <c r="G563">
        <v>20</v>
      </c>
      <c r="H563" s="223">
        <v>5.0000000745058101E-2</v>
      </c>
      <c r="I563" s="222">
        <v>1007</v>
      </c>
      <c r="J563" t="s">
        <v>8377</v>
      </c>
      <c r="K563" t="s">
        <v>8378</v>
      </c>
      <c r="L563" s="118">
        <v>43899</v>
      </c>
      <c r="M563" s="118">
        <v>43922</v>
      </c>
      <c r="N563" t="s">
        <v>8265</v>
      </c>
      <c r="O563" t="s">
        <v>8297</v>
      </c>
      <c r="P563" t="s">
        <v>8298</v>
      </c>
      <c r="Q563" t="str">
        <f>tblSales[[#This Row],[FirstName]]&amp; " " &amp;tblSales[[#This Row],[LastName]]</f>
        <v>Andrew Fuller</v>
      </c>
      <c r="R563">
        <f>YEAR(tblSales[[#This Row],[OrderDate]])</f>
        <v>2020</v>
      </c>
      <c r="S563">
        <f>WEEKNUM(tblSales[[#This Row],[OrderDate]])</f>
        <v>11</v>
      </c>
      <c r="T563">
        <f>IF(ISBLANK(tblSales[[#This Row],[ShippedDate]]),"",tblSales[[#This Row],[ShippedDate]]-tblSales[[#This Row],[OrderDate]])</f>
        <v>23</v>
      </c>
      <c r="U563" t="str">
        <f>LEFT(tblSales[[#This Row],[ProductName]],20)</f>
        <v>Manjimup Dried Apple</v>
      </c>
    </row>
    <row r="564" spans="2:21" x14ac:dyDescent="0.2">
      <c r="B564">
        <v>10667</v>
      </c>
      <c r="C564" t="s">
        <v>8353</v>
      </c>
      <c r="D564" t="s">
        <v>8282</v>
      </c>
      <c r="E564" t="s">
        <v>8237</v>
      </c>
      <c r="F564" s="222">
        <v>36</v>
      </c>
      <c r="G564">
        <v>45</v>
      </c>
      <c r="H564" s="223">
        <v>0.20000000298023199</v>
      </c>
      <c r="I564" s="222">
        <v>1296</v>
      </c>
      <c r="J564" t="s">
        <v>8283</v>
      </c>
      <c r="K564" t="s">
        <v>8284</v>
      </c>
      <c r="L564" s="118">
        <v>43901</v>
      </c>
      <c r="M564" s="118">
        <v>43908</v>
      </c>
      <c r="N564" t="s">
        <v>8250</v>
      </c>
      <c r="O564" t="s">
        <v>8158</v>
      </c>
      <c r="P564" t="s">
        <v>861</v>
      </c>
      <c r="Q564" t="str">
        <f>tblSales[[#This Row],[FirstName]]&amp; " " &amp;tblSales[[#This Row],[LastName]]</f>
        <v>Robert King</v>
      </c>
      <c r="R564">
        <f>YEAR(tblSales[[#This Row],[OrderDate]])</f>
        <v>2020</v>
      </c>
      <c r="S564">
        <f>WEEKNUM(tblSales[[#This Row],[OrderDate]])</f>
        <v>11</v>
      </c>
      <c r="T564">
        <f>IF(ISBLANK(tblSales[[#This Row],[ShippedDate]]),"",tblSales[[#This Row],[ShippedDate]]-tblSales[[#This Row],[OrderDate]])</f>
        <v>7</v>
      </c>
      <c r="U564" t="str">
        <f>LEFT(tblSales[[#This Row],[ProductName]],20)</f>
        <v>Gudbrandsdalsost</v>
      </c>
    </row>
    <row r="565" spans="2:21" x14ac:dyDescent="0.2">
      <c r="B565">
        <v>10667</v>
      </c>
      <c r="C565" t="s">
        <v>8310</v>
      </c>
      <c r="D565" t="s">
        <v>8282</v>
      </c>
      <c r="E565" t="s">
        <v>8237</v>
      </c>
      <c r="F565" s="222">
        <v>21.5</v>
      </c>
      <c r="G565">
        <v>14</v>
      </c>
      <c r="H565" s="223">
        <v>0.20000000298023199</v>
      </c>
      <c r="I565" s="222">
        <v>240.8</v>
      </c>
      <c r="J565" t="s">
        <v>8283</v>
      </c>
      <c r="K565" t="s">
        <v>8284</v>
      </c>
      <c r="L565" s="118">
        <v>43901</v>
      </c>
      <c r="M565" s="118">
        <v>43908</v>
      </c>
      <c r="N565" t="s">
        <v>8250</v>
      </c>
      <c r="O565" t="s">
        <v>8158</v>
      </c>
      <c r="P565" t="s">
        <v>861</v>
      </c>
      <c r="Q565" t="str">
        <f>tblSales[[#This Row],[FirstName]]&amp; " " &amp;tblSales[[#This Row],[LastName]]</f>
        <v>Robert King</v>
      </c>
      <c r="R565">
        <f>YEAR(tblSales[[#This Row],[OrderDate]])</f>
        <v>2020</v>
      </c>
      <c r="S565">
        <f>WEEKNUM(tblSales[[#This Row],[OrderDate]])</f>
        <v>11</v>
      </c>
      <c r="T565">
        <f>IF(ISBLANK(tblSales[[#This Row],[ShippedDate]]),"",tblSales[[#This Row],[ShippedDate]]-tblSales[[#This Row],[OrderDate]])</f>
        <v>7</v>
      </c>
      <c r="U565" t="str">
        <f>LEFT(tblSales[[#This Row],[ProductName]],20)</f>
        <v>Fløtemysost</v>
      </c>
    </row>
    <row r="566" spans="2:21" x14ac:dyDescent="0.2">
      <c r="B566">
        <v>10666</v>
      </c>
      <c r="C566" t="s">
        <v>8253</v>
      </c>
      <c r="D566" t="s">
        <v>8271</v>
      </c>
      <c r="E566" t="s">
        <v>8254</v>
      </c>
      <c r="F566" s="222">
        <v>21.05</v>
      </c>
      <c r="G566">
        <v>10</v>
      </c>
      <c r="H566" s="223">
        <v>0</v>
      </c>
      <c r="I566" s="222">
        <v>210.5</v>
      </c>
      <c r="J566" t="s">
        <v>8277</v>
      </c>
      <c r="K566" t="s">
        <v>8278</v>
      </c>
      <c r="L566" s="118">
        <v>43901</v>
      </c>
      <c r="M566" s="118">
        <v>43911</v>
      </c>
      <c r="N566" t="s">
        <v>8265</v>
      </c>
      <c r="O566" t="s">
        <v>8158</v>
      </c>
      <c r="P566" t="s">
        <v>861</v>
      </c>
      <c r="Q566" t="str">
        <f>tblSales[[#This Row],[FirstName]]&amp; " " &amp;tblSales[[#This Row],[LastName]]</f>
        <v>Robert King</v>
      </c>
      <c r="R566">
        <f>YEAR(tblSales[[#This Row],[OrderDate]])</f>
        <v>2020</v>
      </c>
      <c r="S566">
        <f>WEEKNUM(tblSales[[#This Row],[OrderDate]])</f>
        <v>11</v>
      </c>
      <c r="T566">
        <f>IF(ISBLANK(tblSales[[#This Row],[ShippedDate]]),"",tblSales[[#This Row],[ShippedDate]]-tblSales[[#This Row],[OrderDate]])</f>
        <v>10</v>
      </c>
      <c r="U566" t="str">
        <f>LEFT(tblSales[[#This Row],[ProductName]],20)</f>
        <v xml:space="preserve">Louisiana Fiery Hot </v>
      </c>
    </row>
    <row r="567" spans="2:21" x14ac:dyDescent="0.2">
      <c r="B567">
        <v>11166</v>
      </c>
      <c r="C567" t="s">
        <v>8235</v>
      </c>
      <c r="D567" t="s">
        <v>8236</v>
      </c>
      <c r="E567" t="s">
        <v>8237</v>
      </c>
      <c r="F567" s="222">
        <v>27.8</v>
      </c>
      <c r="G567">
        <v>40</v>
      </c>
      <c r="H567" s="223">
        <v>0</v>
      </c>
      <c r="I567" s="222">
        <v>1112</v>
      </c>
      <c r="J567" t="s">
        <v>8255</v>
      </c>
      <c r="K567" t="s">
        <v>8256</v>
      </c>
      <c r="L567" s="118">
        <v>43904</v>
      </c>
      <c r="M567" s="118">
        <v>43905</v>
      </c>
      <c r="N567" t="s">
        <v>8265</v>
      </c>
      <c r="O567" t="s">
        <v>8266</v>
      </c>
      <c r="P567" t="s">
        <v>8267</v>
      </c>
      <c r="Q567" t="str">
        <f>tblSales[[#This Row],[FirstName]]&amp; " " &amp;tblSales[[#This Row],[LastName]]</f>
        <v>Margaret Peacock</v>
      </c>
      <c r="R567">
        <f>YEAR(tblSales[[#This Row],[OrderDate]])</f>
        <v>2020</v>
      </c>
      <c r="S567">
        <f>WEEKNUM(tblSales[[#This Row],[OrderDate]])</f>
        <v>11</v>
      </c>
      <c r="T567">
        <f>IF(ISBLANK(tblSales[[#This Row],[ShippedDate]]),"",tblSales[[#This Row],[ShippedDate]]-tblSales[[#This Row],[OrderDate]])</f>
        <v>1</v>
      </c>
      <c r="U567" t="str">
        <f>LEFT(tblSales[[#This Row],[ProductName]],20)</f>
        <v>Mozzarella di Giovan</v>
      </c>
    </row>
    <row r="568" spans="2:21" x14ac:dyDescent="0.2">
      <c r="B568">
        <v>11166</v>
      </c>
      <c r="C568" t="s">
        <v>8415</v>
      </c>
      <c r="D568" t="s">
        <v>8236</v>
      </c>
      <c r="E568" t="s">
        <v>8247</v>
      </c>
      <c r="F568" s="222">
        <v>24</v>
      </c>
      <c r="G568">
        <v>16</v>
      </c>
      <c r="H568" s="223">
        <v>5.0000000745058101E-2</v>
      </c>
      <c r="I568" s="222">
        <v>364.8</v>
      </c>
      <c r="J568" t="s">
        <v>8255</v>
      </c>
      <c r="K568" t="s">
        <v>8256</v>
      </c>
      <c r="L568" s="118">
        <v>43904</v>
      </c>
      <c r="M568" s="118">
        <v>43905</v>
      </c>
      <c r="N568" t="s">
        <v>8265</v>
      </c>
      <c r="O568" t="s">
        <v>8266</v>
      </c>
      <c r="P568" t="s">
        <v>8267</v>
      </c>
      <c r="Q568" t="str">
        <f>tblSales[[#This Row],[FirstName]]&amp; " " &amp;tblSales[[#This Row],[LastName]]</f>
        <v>Margaret Peacock</v>
      </c>
      <c r="R568">
        <f>YEAR(tblSales[[#This Row],[OrderDate]])</f>
        <v>2020</v>
      </c>
      <c r="S568">
        <f>WEEKNUM(tblSales[[#This Row],[OrderDate]])</f>
        <v>11</v>
      </c>
      <c r="T568">
        <f>IF(ISBLANK(tblSales[[#This Row],[ShippedDate]]),"",tblSales[[#This Row],[ShippedDate]]-tblSales[[#This Row],[OrderDate]])</f>
        <v>1</v>
      </c>
      <c r="U568" t="str">
        <f>LEFT(tblSales[[#This Row],[ProductName]],20)</f>
        <v xml:space="preserve">Uncle Bob's Organic </v>
      </c>
    </row>
    <row r="569" spans="2:21" x14ac:dyDescent="0.2">
      <c r="B569">
        <v>10668</v>
      </c>
      <c r="C569" t="s">
        <v>8309</v>
      </c>
      <c r="D569" t="s">
        <v>8246</v>
      </c>
      <c r="E569" t="s">
        <v>8237</v>
      </c>
      <c r="F569" s="222">
        <v>12.5</v>
      </c>
      <c r="G569">
        <v>8</v>
      </c>
      <c r="H569" s="223">
        <v>0.10000000149011599</v>
      </c>
      <c r="I569" s="222">
        <v>90</v>
      </c>
      <c r="J569" t="s">
        <v>8346</v>
      </c>
      <c r="K569" t="s">
        <v>8347</v>
      </c>
      <c r="L569" s="118">
        <v>43904</v>
      </c>
      <c r="M569" s="118">
        <v>43912</v>
      </c>
      <c r="N569" t="s">
        <v>8265</v>
      </c>
      <c r="O569" t="s">
        <v>8285</v>
      </c>
      <c r="P569" t="s">
        <v>2317</v>
      </c>
      <c r="Q569" t="str">
        <f>tblSales[[#This Row],[FirstName]]&amp; " " &amp;tblSales[[#This Row],[LastName]]</f>
        <v>Nancy Davolio</v>
      </c>
      <c r="R569">
        <f>YEAR(tblSales[[#This Row],[OrderDate]])</f>
        <v>2020</v>
      </c>
      <c r="S569">
        <f>WEEKNUM(tblSales[[#This Row],[OrderDate]])</f>
        <v>11</v>
      </c>
      <c r="T569">
        <f>IF(ISBLANK(tblSales[[#This Row],[ShippedDate]]),"",tblSales[[#This Row],[ShippedDate]]-tblSales[[#This Row],[OrderDate]])</f>
        <v>8</v>
      </c>
      <c r="U569" t="str">
        <f>LEFT(tblSales[[#This Row],[ProductName]],20)</f>
        <v>Gorgonzola Telino</v>
      </c>
    </row>
    <row r="570" spans="2:21" x14ac:dyDescent="0.2">
      <c r="B570">
        <v>10668</v>
      </c>
      <c r="C570" t="s">
        <v>8340</v>
      </c>
      <c r="D570" t="s">
        <v>8246</v>
      </c>
      <c r="E570" t="s">
        <v>8244</v>
      </c>
      <c r="F570" s="222">
        <v>33.25</v>
      </c>
      <c r="G570">
        <v>15</v>
      </c>
      <c r="H570" s="223">
        <v>0.10000000149011599</v>
      </c>
      <c r="I570" s="222">
        <v>448.87</v>
      </c>
      <c r="J570" t="s">
        <v>8346</v>
      </c>
      <c r="K570" t="s">
        <v>8347</v>
      </c>
      <c r="L570" s="118">
        <v>43904</v>
      </c>
      <c r="M570" s="118">
        <v>43912</v>
      </c>
      <c r="N570" t="s">
        <v>8265</v>
      </c>
      <c r="O570" t="s">
        <v>8285</v>
      </c>
      <c r="P570" t="s">
        <v>2317</v>
      </c>
      <c r="Q570" t="str">
        <f>tblSales[[#This Row],[FirstName]]&amp; " " &amp;tblSales[[#This Row],[LastName]]</f>
        <v>Nancy Davolio</v>
      </c>
      <c r="R570">
        <f>YEAR(tblSales[[#This Row],[OrderDate]])</f>
        <v>2020</v>
      </c>
      <c r="S570">
        <f>WEEKNUM(tblSales[[#This Row],[OrderDate]])</f>
        <v>11</v>
      </c>
      <c r="T570">
        <f>IF(ISBLANK(tblSales[[#This Row],[ShippedDate]]),"",tblSales[[#This Row],[ShippedDate]]-tblSales[[#This Row],[OrderDate]])</f>
        <v>8</v>
      </c>
      <c r="U570" t="str">
        <f>LEFT(tblSales[[#This Row],[ProductName]],20)</f>
        <v>Wimmers gute Semmelk</v>
      </c>
    </row>
    <row r="571" spans="2:21" x14ac:dyDescent="0.2">
      <c r="B571">
        <v>10670</v>
      </c>
      <c r="C571" t="s">
        <v>8329</v>
      </c>
      <c r="D571" t="s">
        <v>8246</v>
      </c>
      <c r="E571" t="s">
        <v>8272</v>
      </c>
      <c r="F571" s="222">
        <v>14</v>
      </c>
      <c r="G571">
        <v>25</v>
      </c>
      <c r="H571" s="223">
        <v>0</v>
      </c>
      <c r="I571" s="222">
        <v>350</v>
      </c>
      <c r="J571" t="s">
        <v>8304</v>
      </c>
      <c r="K571" t="s">
        <v>8305</v>
      </c>
      <c r="L571" s="118">
        <v>43905</v>
      </c>
      <c r="M571" s="118">
        <v>43907</v>
      </c>
      <c r="N571" t="s">
        <v>8250</v>
      </c>
      <c r="O571" t="s">
        <v>8266</v>
      </c>
      <c r="P571" t="s">
        <v>8267</v>
      </c>
      <c r="Q571" t="str">
        <f>tblSales[[#This Row],[FirstName]]&amp; " " &amp;tblSales[[#This Row],[LastName]]</f>
        <v>Margaret Peacock</v>
      </c>
      <c r="R571">
        <f>YEAR(tblSales[[#This Row],[OrderDate]])</f>
        <v>2020</v>
      </c>
      <c r="S571">
        <f>WEEKNUM(tblSales[[#This Row],[OrderDate]])</f>
        <v>12</v>
      </c>
      <c r="T571">
        <f>IF(ISBLANK(tblSales[[#This Row],[ShippedDate]]),"",tblSales[[#This Row],[ShippedDate]]-tblSales[[#This Row],[OrderDate]])</f>
        <v>2</v>
      </c>
      <c r="U571" t="str">
        <f>LEFT(tblSales[[#This Row],[ProductName]],20)</f>
        <v xml:space="preserve">Laughing Lumberjack </v>
      </c>
    </row>
    <row r="572" spans="2:21" x14ac:dyDescent="0.2">
      <c r="B572">
        <v>10670</v>
      </c>
      <c r="C572" t="s">
        <v>8328</v>
      </c>
      <c r="D572" t="s">
        <v>8246</v>
      </c>
      <c r="E572" t="s">
        <v>8272</v>
      </c>
      <c r="F572" s="222">
        <v>7.75</v>
      </c>
      <c r="G572">
        <v>25</v>
      </c>
      <c r="H572" s="223">
        <v>0</v>
      </c>
      <c r="I572" s="222">
        <v>193.75</v>
      </c>
      <c r="J572" t="s">
        <v>8304</v>
      </c>
      <c r="K572" t="s">
        <v>8305</v>
      </c>
      <c r="L572" s="118">
        <v>43905</v>
      </c>
      <c r="M572" s="118">
        <v>43907</v>
      </c>
      <c r="N572" t="s">
        <v>8250</v>
      </c>
      <c r="O572" t="s">
        <v>8266</v>
      </c>
      <c r="P572" t="s">
        <v>8267</v>
      </c>
      <c r="Q572" t="str">
        <f>tblSales[[#This Row],[FirstName]]&amp; " " &amp;tblSales[[#This Row],[LastName]]</f>
        <v>Margaret Peacock</v>
      </c>
      <c r="R572">
        <f>YEAR(tblSales[[#This Row],[OrderDate]])</f>
        <v>2020</v>
      </c>
      <c r="S572">
        <f>WEEKNUM(tblSales[[#This Row],[OrderDate]])</f>
        <v>12</v>
      </c>
      <c r="T572">
        <f>IF(ISBLANK(tblSales[[#This Row],[ShippedDate]]),"",tblSales[[#This Row],[ShippedDate]]-tblSales[[#This Row],[OrderDate]])</f>
        <v>2</v>
      </c>
      <c r="U572" t="str">
        <f>LEFT(tblSales[[#This Row],[ProductName]],20)</f>
        <v>Rhönbräu Klosterbier</v>
      </c>
    </row>
    <row r="573" spans="2:21" x14ac:dyDescent="0.2">
      <c r="B573">
        <v>10670</v>
      </c>
      <c r="C573" t="s">
        <v>8373</v>
      </c>
      <c r="D573" t="s">
        <v>8246</v>
      </c>
      <c r="E573" t="s">
        <v>8244</v>
      </c>
      <c r="F573" s="222">
        <v>9</v>
      </c>
      <c r="G573">
        <v>32</v>
      </c>
      <c r="H573" s="223">
        <v>0</v>
      </c>
      <c r="I573" s="222">
        <v>288</v>
      </c>
      <c r="J573" t="s">
        <v>8304</v>
      </c>
      <c r="K573" t="s">
        <v>8305</v>
      </c>
      <c r="L573" s="118">
        <v>43905</v>
      </c>
      <c r="M573" s="118">
        <v>43907</v>
      </c>
      <c r="N573" t="s">
        <v>8250</v>
      </c>
      <c r="O573" t="s">
        <v>8266</v>
      </c>
      <c r="P573" t="s">
        <v>8267</v>
      </c>
      <c r="Q573" t="str">
        <f>tblSales[[#This Row],[FirstName]]&amp; " " &amp;tblSales[[#This Row],[LastName]]</f>
        <v>Margaret Peacock</v>
      </c>
      <c r="R573">
        <f>YEAR(tblSales[[#This Row],[OrderDate]])</f>
        <v>2020</v>
      </c>
      <c r="S573">
        <f>WEEKNUM(tblSales[[#This Row],[OrderDate]])</f>
        <v>12</v>
      </c>
      <c r="T573">
        <f>IF(ISBLANK(tblSales[[#This Row],[ShippedDate]]),"",tblSales[[#This Row],[ShippedDate]]-tblSales[[#This Row],[OrderDate]])</f>
        <v>2</v>
      </c>
      <c r="U573" t="str">
        <f>LEFT(tblSales[[#This Row],[ProductName]],20)</f>
        <v>Tunnbröd</v>
      </c>
    </row>
    <row r="574" spans="2:21" x14ac:dyDescent="0.2">
      <c r="B574">
        <v>10671</v>
      </c>
      <c r="C574" t="s">
        <v>8253</v>
      </c>
      <c r="D574" t="s">
        <v>8236</v>
      </c>
      <c r="E574" t="s">
        <v>8254</v>
      </c>
      <c r="F574" s="222">
        <v>21.05</v>
      </c>
      <c r="G574">
        <v>12</v>
      </c>
      <c r="H574" s="223">
        <v>0</v>
      </c>
      <c r="I574" s="222">
        <v>252.6</v>
      </c>
      <c r="J574" t="s">
        <v>8424</v>
      </c>
      <c r="K574" t="s">
        <v>8425</v>
      </c>
      <c r="L574" s="118">
        <v>43906</v>
      </c>
      <c r="M574" s="118">
        <v>43913</v>
      </c>
      <c r="N574" t="s">
        <v>8250</v>
      </c>
      <c r="O574" t="s">
        <v>8285</v>
      </c>
      <c r="P574" t="s">
        <v>2317</v>
      </c>
      <c r="Q574" t="str">
        <f>tblSales[[#This Row],[FirstName]]&amp; " " &amp;tblSales[[#This Row],[LastName]]</f>
        <v>Nancy Davolio</v>
      </c>
      <c r="R574">
        <f>YEAR(tblSales[[#This Row],[OrderDate]])</f>
        <v>2020</v>
      </c>
      <c r="S574">
        <f>WEEKNUM(tblSales[[#This Row],[OrderDate]])</f>
        <v>12</v>
      </c>
      <c r="T574">
        <f>IF(ISBLANK(tblSales[[#This Row],[ShippedDate]]),"",tblSales[[#This Row],[ShippedDate]]-tblSales[[#This Row],[OrderDate]])</f>
        <v>7</v>
      </c>
      <c r="U574" t="str">
        <f>LEFT(tblSales[[#This Row],[ProductName]],20)</f>
        <v xml:space="preserve">Louisiana Fiery Hot </v>
      </c>
    </row>
    <row r="575" spans="2:21" x14ac:dyDescent="0.2">
      <c r="B575">
        <v>10671</v>
      </c>
      <c r="C575" t="s">
        <v>8291</v>
      </c>
      <c r="D575" t="s">
        <v>8236</v>
      </c>
      <c r="E575" t="s">
        <v>8262</v>
      </c>
      <c r="F575" s="222">
        <v>49.3</v>
      </c>
      <c r="G575">
        <v>10</v>
      </c>
      <c r="H575" s="223">
        <v>0</v>
      </c>
      <c r="I575" s="222">
        <v>493</v>
      </c>
      <c r="J575" t="s">
        <v>8424</v>
      </c>
      <c r="K575" t="s">
        <v>8425</v>
      </c>
      <c r="L575" s="118">
        <v>43906</v>
      </c>
      <c r="M575" s="118">
        <v>43913</v>
      </c>
      <c r="N575" t="s">
        <v>8250</v>
      </c>
      <c r="O575" t="s">
        <v>8285</v>
      </c>
      <c r="P575" t="s">
        <v>2317</v>
      </c>
      <c r="Q575" t="str">
        <f>tblSales[[#This Row],[FirstName]]&amp; " " &amp;tblSales[[#This Row],[LastName]]</f>
        <v>Nancy Davolio</v>
      </c>
      <c r="R575">
        <f>YEAR(tblSales[[#This Row],[OrderDate]])</f>
        <v>2020</v>
      </c>
      <c r="S575">
        <f>WEEKNUM(tblSales[[#This Row],[OrderDate]])</f>
        <v>12</v>
      </c>
      <c r="T575">
        <f>IF(ISBLANK(tblSales[[#This Row],[ShippedDate]]),"",tblSales[[#This Row],[ShippedDate]]-tblSales[[#This Row],[OrderDate]])</f>
        <v>7</v>
      </c>
      <c r="U575" t="str">
        <f>LEFT(tblSales[[#This Row],[ProductName]],20)</f>
        <v>Tarte au sucre</v>
      </c>
    </row>
    <row r="576" spans="2:21" x14ac:dyDescent="0.2">
      <c r="B576">
        <v>10671</v>
      </c>
      <c r="C576" t="s">
        <v>8280</v>
      </c>
      <c r="D576" t="s">
        <v>8236</v>
      </c>
      <c r="E576" t="s">
        <v>8262</v>
      </c>
      <c r="F576" s="222">
        <v>17.45</v>
      </c>
      <c r="G576">
        <v>10</v>
      </c>
      <c r="H576" s="223">
        <v>0</v>
      </c>
      <c r="I576" s="222">
        <v>174.5</v>
      </c>
      <c r="J576" t="s">
        <v>8424</v>
      </c>
      <c r="K576" t="s">
        <v>8425</v>
      </c>
      <c r="L576" s="118">
        <v>43906</v>
      </c>
      <c r="M576" s="118">
        <v>43913</v>
      </c>
      <c r="N576" t="s">
        <v>8250</v>
      </c>
      <c r="O576" t="s">
        <v>8285</v>
      </c>
      <c r="P576" t="s">
        <v>2317</v>
      </c>
      <c r="Q576" t="str">
        <f>tblSales[[#This Row],[FirstName]]&amp; " " &amp;tblSales[[#This Row],[LastName]]</f>
        <v>Nancy Davolio</v>
      </c>
      <c r="R576">
        <f>YEAR(tblSales[[#This Row],[OrderDate]])</f>
        <v>2020</v>
      </c>
      <c r="S576">
        <f>WEEKNUM(tblSales[[#This Row],[OrderDate]])</f>
        <v>12</v>
      </c>
      <c r="T576">
        <f>IF(ISBLANK(tblSales[[#This Row],[ShippedDate]]),"",tblSales[[#This Row],[ShippedDate]]-tblSales[[#This Row],[OrderDate]])</f>
        <v>7</v>
      </c>
      <c r="U576" t="str">
        <f>LEFT(tblSales[[#This Row],[ProductName]],20)</f>
        <v>Pavlova</v>
      </c>
    </row>
    <row r="577" spans="2:21" x14ac:dyDescent="0.2">
      <c r="B577">
        <v>10672</v>
      </c>
      <c r="C577" t="s">
        <v>8380</v>
      </c>
      <c r="D577" t="s">
        <v>8292</v>
      </c>
      <c r="E577" t="s">
        <v>8272</v>
      </c>
      <c r="F577" s="222">
        <v>263.5</v>
      </c>
      <c r="G577">
        <v>15</v>
      </c>
      <c r="H577" s="223">
        <v>0.10000000149011599</v>
      </c>
      <c r="I577" s="222">
        <v>3557.25</v>
      </c>
      <c r="J577" t="s">
        <v>8318</v>
      </c>
      <c r="K577" t="s">
        <v>8319</v>
      </c>
      <c r="L577" s="118">
        <v>43906</v>
      </c>
      <c r="M577" s="118">
        <v>43915</v>
      </c>
      <c r="N577" t="s">
        <v>8265</v>
      </c>
      <c r="O577" t="s">
        <v>8279</v>
      </c>
      <c r="P577" t="s">
        <v>710</v>
      </c>
      <c r="Q577" t="str">
        <f>tblSales[[#This Row],[FirstName]]&amp; " " &amp;tblSales[[#This Row],[LastName]]</f>
        <v>Anne Dodsworth</v>
      </c>
      <c r="R577">
        <f>YEAR(tblSales[[#This Row],[OrderDate]])</f>
        <v>2020</v>
      </c>
      <c r="S577">
        <f>WEEKNUM(tblSales[[#This Row],[OrderDate]])</f>
        <v>12</v>
      </c>
      <c r="T577">
        <f>IF(ISBLANK(tblSales[[#This Row],[ShippedDate]]),"",tblSales[[#This Row],[ShippedDate]]-tblSales[[#This Row],[OrderDate]])</f>
        <v>9</v>
      </c>
      <c r="U577" t="str">
        <f>LEFT(tblSales[[#This Row],[ProductName]],20)</f>
        <v>Côte de Blaye</v>
      </c>
    </row>
    <row r="578" spans="2:21" x14ac:dyDescent="0.2">
      <c r="B578">
        <v>10672</v>
      </c>
      <c r="C578" t="s">
        <v>8310</v>
      </c>
      <c r="D578" t="s">
        <v>8292</v>
      </c>
      <c r="E578" t="s">
        <v>8237</v>
      </c>
      <c r="F578" s="222">
        <v>21.5</v>
      </c>
      <c r="G578">
        <v>12</v>
      </c>
      <c r="H578" s="223">
        <v>0</v>
      </c>
      <c r="I578" s="222">
        <v>258</v>
      </c>
      <c r="J578" t="s">
        <v>8318</v>
      </c>
      <c r="K578" t="s">
        <v>8319</v>
      </c>
      <c r="L578" s="118">
        <v>43906</v>
      </c>
      <c r="M578" s="118">
        <v>43915</v>
      </c>
      <c r="N578" t="s">
        <v>8265</v>
      </c>
      <c r="O578" t="s">
        <v>8279</v>
      </c>
      <c r="P578" t="s">
        <v>710</v>
      </c>
      <c r="Q578" t="str">
        <f>tblSales[[#This Row],[FirstName]]&amp; " " &amp;tblSales[[#This Row],[LastName]]</f>
        <v>Anne Dodsworth</v>
      </c>
      <c r="R578">
        <f>YEAR(tblSales[[#This Row],[OrderDate]])</f>
        <v>2020</v>
      </c>
      <c r="S578">
        <f>WEEKNUM(tblSales[[#This Row],[OrderDate]])</f>
        <v>12</v>
      </c>
      <c r="T578">
        <f>IF(ISBLANK(tblSales[[#This Row],[ShippedDate]]),"",tblSales[[#This Row],[ShippedDate]]-tblSales[[#This Row],[OrderDate]])</f>
        <v>9</v>
      </c>
      <c r="U578" t="str">
        <f>LEFT(tblSales[[#This Row],[ProductName]],20)</f>
        <v>Fløtemysost</v>
      </c>
    </row>
    <row r="579" spans="2:21" x14ac:dyDescent="0.2">
      <c r="B579">
        <v>10673</v>
      </c>
      <c r="C579" t="s">
        <v>8306</v>
      </c>
      <c r="D579" t="s">
        <v>8300</v>
      </c>
      <c r="E579" t="s">
        <v>8272</v>
      </c>
      <c r="F579" s="222">
        <v>46</v>
      </c>
      <c r="G579">
        <v>6</v>
      </c>
      <c r="H579" s="223">
        <v>0</v>
      </c>
      <c r="I579" s="222">
        <v>276</v>
      </c>
      <c r="J579" t="s">
        <v>8426</v>
      </c>
      <c r="K579" t="s">
        <v>8427</v>
      </c>
      <c r="L579" s="118">
        <v>43907</v>
      </c>
      <c r="M579" s="118">
        <v>43908</v>
      </c>
      <c r="N579" t="s">
        <v>8250</v>
      </c>
      <c r="O579" t="s">
        <v>8297</v>
      </c>
      <c r="P579" t="s">
        <v>8298</v>
      </c>
      <c r="Q579" t="str">
        <f>tblSales[[#This Row],[FirstName]]&amp; " " &amp;tblSales[[#This Row],[LastName]]</f>
        <v>Andrew Fuller</v>
      </c>
      <c r="R579">
        <f>YEAR(tblSales[[#This Row],[OrderDate]])</f>
        <v>2020</v>
      </c>
      <c r="S579">
        <f>WEEKNUM(tblSales[[#This Row],[OrderDate]])</f>
        <v>12</v>
      </c>
      <c r="T579">
        <f>IF(ISBLANK(tblSales[[#This Row],[ShippedDate]]),"",tblSales[[#This Row],[ShippedDate]]-tblSales[[#This Row],[OrderDate]])</f>
        <v>1</v>
      </c>
      <c r="U579" t="str">
        <f>LEFT(tblSales[[#This Row],[ProductName]],20)</f>
        <v>Ipoh Coffee</v>
      </c>
    </row>
    <row r="580" spans="2:21" x14ac:dyDescent="0.2">
      <c r="B580">
        <v>10673</v>
      </c>
      <c r="C580" t="s">
        <v>8280</v>
      </c>
      <c r="D580" t="s">
        <v>8300</v>
      </c>
      <c r="E580" t="s">
        <v>8262</v>
      </c>
      <c r="F580" s="222">
        <v>17.45</v>
      </c>
      <c r="G580">
        <v>3</v>
      </c>
      <c r="H580" s="223">
        <v>0</v>
      </c>
      <c r="I580" s="222">
        <v>52.35</v>
      </c>
      <c r="J580" t="s">
        <v>8426</v>
      </c>
      <c r="K580" t="s">
        <v>8427</v>
      </c>
      <c r="L580" s="118">
        <v>43907</v>
      </c>
      <c r="M580" s="118">
        <v>43908</v>
      </c>
      <c r="N580" t="s">
        <v>8250</v>
      </c>
      <c r="O580" t="s">
        <v>8297</v>
      </c>
      <c r="P580" t="s">
        <v>8298</v>
      </c>
      <c r="Q580" t="str">
        <f>tblSales[[#This Row],[FirstName]]&amp; " " &amp;tblSales[[#This Row],[LastName]]</f>
        <v>Andrew Fuller</v>
      </c>
      <c r="R580">
        <f>YEAR(tblSales[[#This Row],[OrderDate]])</f>
        <v>2020</v>
      </c>
      <c r="S580">
        <f>WEEKNUM(tblSales[[#This Row],[OrderDate]])</f>
        <v>12</v>
      </c>
      <c r="T580">
        <f>IF(ISBLANK(tblSales[[#This Row],[ShippedDate]]),"",tblSales[[#This Row],[ShippedDate]]-tblSales[[#This Row],[OrderDate]])</f>
        <v>1</v>
      </c>
      <c r="U580" t="str">
        <f>LEFT(tblSales[[#This Row],[ProductName]],20)</f>
        <v>Pavlova</v>
      </c>
    </row>
    <row r="581" spans="2:21" x14ac:dyDescent="0.2">
      <c r="B581">
        <v>10673</v>
      </c>
      <c r="C581" t="s">
        <v>8243</v>
      </c>
      <c r="D581" t="s">
        <v>8300</v>
      </c>
      <c r="E581" t="s">
        <v>8244</v>
      </c>
      <c r="F581" s="222">
        <v>14</v>
      </c>
      <c r="G581">
        <v>6</v>
      </c>
      <c r="H581" s="223">
        <v>0</v>
      </c>
      <c r="I581" s="222">
        <v>84</v>
      </c>
      <c r="J581" t="s">
        <v>8426</v>
      </c>
      <c r="K581" t="s">
        <v>8427</v>
      </c>
      <c r="L581" s="118">
        <v>43907</v>
      </c>
      <c r="M581" s="118">
        <v>43908</v>
      </c>
      <c r="N581" t="s">
        <v>8250</v>
      </c>
      <c r="O581" t="s">
        <v>8297</v>
      </c>
      <c r="P581" t="s">
        <v>8298</v>
      </c>
      <c r="Q581" t="str">
        <f>tblSales[[#This Row],[FirstName]]&amp; " " &amp;tblSales[[#This Row],[LastName]]</f>
        <v>Andrew Fuller</v>
      </c>
      <c r="R581">
        <f>YEAR(tblSales[[#This Row],[OrderDate]])</f>
        <v>2020</v>
      </c>
      <c r="S581">
        <f>WEEKNUM(tblSales[[#This Row],[OrderDate]])</f>
        <v>12</v>
      </c>
      <c r="T581">
        <f>IF(ISBLANK(tblSales[[#This Row],[ShippedDate]]),"",tblSales[[#This Row],[ShippedDate]]-tblSales[[#This Row],[OrderDate]])</f>
        <v>1</v>
      </c>
      <c r="U581" t="str">
        <f>LEFT(tblSales[[#This Row],[ProductName]],20)</f>
        <v xml:space="preserve">Singaporean Hokkien </v>
      </c>
    </row>
    <row r="582" spans="2:21" x14ac:dyDescent="0.2">
      <c r="B582">
        <v>10674</v>
      </c>
      <c r="C582" t="s">
        <v>8373</v>
      </c>
      <c r="D582" t="s">
        <v>2434</v>
      </c>
      <c r="E582" t="s">
        <v>8244</v>
      </c>
      <c r="F582" s="222">
        <v>9</v>
      </c>
      <c r="G582">
        <v>5</v>
      </c>
      <c r="H582" s="223">
        <v>0</v>
      </c>
      <c r="I582" s="222">
        <v>45</v>
      </c>
      <c r="J582" t="s">
        <v>8356</v>
      </c>
      <c r="K582" t="s">
        <v>8357</v>
      </c>
      <c r="L582" s="118">
        <v>43907</v>
      </c>
      <c r="M582" s="118">
        <v>43919</v>
      </c>
      <c r="N582" t="s">
        <v>8265</v>
      </c>
      <c r="O582" t="s">
        <v>8266</v>
      </c>
      <c r="P582" t="s">
        <v>8267</v>
      </c>
      <c r="Q582" t="str">
        <f>tblSales[[#This Row],[FirstName]]&amp; " " &amp;tblSales[[#This Row],[LastName]]</f>
        <v>Margaret Peacock</v>
      </c>
      <c r="R582">
        <f>YEAR(tblSales[[#This Row],[OrderDate]])</f>
        <v>2020</v>
      </c>
      <c r="S582">
        <f>WEEKNUM(tblSales[[#This Row],[OrderDate]])</f>
        <v>12</v>
      </c>
      <c r="T582">
        <f>IF(ISBLANK(tblSales[[#This Row],[ShippedDate]]),"",tblSales[[#This Row],[ShippedDate]]-tblSales[[#This Row],[OrderDate]])</f>
        <v>12</v>
      </c>
      <c r="U582" t="str">
        <f>LEFT(tblSales[[#This Row],[ProductName]],20)</f>
        <v>Tunnbröd</v>
      </c>
    </row>
    <row r="583" spans="2:21" x14ac:dyDescent="0.2">
      <c r="B583">
        <v>10675</v>
      </c>
      <c r="C583" t="s">
        <v>8252</v>
      </c>
      <c r="D583" t="s">
        <v>8246</v>
      </c>
      <c r="E583" t="s">
        <v>8247</v>
      </c>
      <c r="F583" s="222">
        <v>23.25</v>
      </c>
      <c r="G583">
        <v>30</v>
      </c>
      <c r="H583" s="223">
        <v>0</v>
      </c>
      <c r="I583" s="222">
        <v>697.5</v>
      </c>
      <c r="J583" t="s">
        <v>8304</v>
      </c>
      <c r="K583" t="s">
        <v>8305</v>
      </c>
      <c r="L583" s="118">
        <v>43908</v>
      </c>
      <c r="M583" s="118">
        <v>43912</v>
      </c>
      <c r="N583" t="s">
        <v>8265</v>
      </c>
      <c r="O583" t="s">
        <v>8241</v>
      </c>
      <c r="P583" t="s">
        <v>6934</v>
      </c>
      <c r="Q583" t="str">
        <f>tblSales[[#This Row],[FirstName]]&amp; " " &amp;tblSales[[#This Row],[LastName]]</f>
        <v>Steven Buchanan</v>
      </c>
      <c r="R583">
        <f>YEAR(tblSales[[#This Row],[OrderDate]])</f>
        <v>2020</v>
      </c>
      <c r="S583">
        <f>WEEKNUM(tblSales[[#This Row],[OrderDate]])</f>
        <v>12</v>
      </c>
      <c r="T583">
        <f>IF(ISBLANK(tblSales[[#This Row],[ShippedDate]]),"",tblSales[[#This Row],[ShippedDate]]-tblSales[[#This Row],[OrderDate]])</f>
        <v>4</v>
      </c>
      <c r="U583" t="str">
        <f>LEFT(tblSales[[#This Row],[ProductName]],20)</f>
        <v>Tofu</v>
      </c>
    </row>
    <row r="584" spans="2:21" x14ac:dyDescent="0.2">
      <c r="B584">
        <v>10679</v>
      </c>
      <c r="C584" t="s">
        <v>8281</v>
      </c>
      <c r="D584" t="s">
        <v>8236</v>
      </c>
      <c r="E584" t="s">
        <v>8237</v>
      </c>
      <c r="F584" s="222">
        <v>55</v>
      </c>
      <c r="G584">
        <v>12</v>
      </c>
      <c r="H584" s="223">
        <v>0</v>
      </c>
      <c r="I584" s="222">
        <v>660</v>
      </c>
      <c r="J584" t="s">
        <v>8295</v>
      </c>
      <c r="K584" t="s">
        <v>8296</v>
      </c>
      <c r="L584" s="118">
        <v>43912</v>
      </c>
      <c r="M584" s="118">
        <v>43919</v>
      </c>
      <c r="N584" t="s">
        <v>8240</v>
      </c>
      <c r="O584" t="s">
        <v>8320</v>
      </c>
      <c r="P584" t="s">
        <v>8321</v>
      </c>
      <c r="Q584" t="str">
        <f>tblSales[[#This Row],[FirstName]]&amp; " " &amp;tblSales[[#This Row],[LastName]]</f>
        <v>Laura Callahan</v>
      </c>
      <c r="R584">
        <f>YEAR(tblSales[[#This Row],[OrderDate]])</f>
        <v>2020</v>
      </c>
      <c r="S584">
        <f>WEEKNUM(tblSales[[#This Row],[OrderDate]])</f>
        <v>13</v>
      </c>
      <c r="T584">
        <f>IF(ISBLANK(tblSales[[#This Row],[ShippedDate]]),"",tblSales[[#This Row],[ShippedDate]]-tblSales[[#This Row],[OrderDate]])</f>
        <v>7</v>
      </c>
      <c r="U584" t="str">
        <f>LEFT(tblSales[[#This Row],[ProductName]],20)</f>
        <v>Raclette Courdavault</v>
      </c>
    </row>
    <row r="585" spans="2:21" x14ac:dyDescent="0.2">
      <c r="B585">
        <v>10684</v>
      </c>
      <c r="C585" t="s">
        <v>8410</v>
      </c>
      <c r="D585" t="s">
        <v>8246</v>
      </c>
      <c r="E585" t="s">
        <v>8262</v>
      </c>
      <c r="F585" s="222">
        <v>9.5</v>
      </c>
      <c r="G585">
        <v>40</v>
      </c>
      <c r="H585" s="223">
        <v>0</v>
      </c>
      <c r="I585" s="222">
        <v>380</v>
      </c>
      <c r="J585" t="s">
        <v>8289</v>
      </c>
      <c r="K585" t="s">
        <v>8290</v>
      </c>
      <c r="L585" s="118">
        <v>43915</v>
      </c>
      <c r="M585" s="118">
        <v>43919</v>
      </c>
      <c r="N585" t="s">
        <v>8250</v>
      </c>
      <c r="O585" t="s">
        <v>8257</v>
      </c>
      <c r="P585" t="s">
        <v>6984</v>
      </c>
      <c r="Q585" t="str">
        <f>tblSales[[#This Row],[FirstName]]&amp; " " &amp;tblSales[[#This Row],[LastName]]</f>
        <v>Janet Leverling</v>
      </c>
      <c r="R585">
        <f>YEAR(tblSales[[#This Row],[OrderDate]])</f>
        <v>2020</v>
      </c>
      <c r="S585">
        <f>WEEKNUM(tblSales[[#This Row],[OrderDate]])</f>
        <v>13</v>
      </c>
      <c r="T585">
        <f>IF(ISBLANK(tblSales[[#This Row],[ShippedDate]]),"",tblSales[[#This Row],[ShippedDate]]-tblSales[[#This Row],[OrderDate]])</f>
        <v>4</v>
      </c>
      <c r="U585" t="str">
        <f>LEFT(tblSales[[#This Row],[ProductName]],20)</f>
        <v>Zaanse koeken</v>
      </c>
    </row>
    <row r="586" spans="2:21" x14ac:dyDescent="0.2">
      <c r="B586">
        <v>10684</v>
      </c>
      <c r="C586" t="s">
        <v>8268</v>
      </c>
      <c r="D586" t="s">
        <v>8246</v>
      </c>
      <c r="E586" t="s">
        <v>8237</v>
      </c>
      <c r="F586" s="222">
        <v>34</v>
      </c>
      <c r="G586">
        <v>30</v>
      </c>
      <c r="H586" s="223">
        <v>0</v>
      </c>
      <c r="I586" s="222">
        <v>1020</v>
      </c>
      <c r="J586" t="s">
        <v>8289</v>
      </c>
      <c r="K586" t="s">
        <v>8290</v>
      </c>
      <c r="L586" s="118">
        <v>43915</v>
      </c>
      <c r="M586" s="118">
        <v>43919</v>
      </c>
      <c r="N586" t="s">
        <v>8250</v>
      </c>
      <c r="O586" t="s">
        <v>8257</v>
      </c>
      <c r="P586" t="s">
        <v>6984</v>
      </c>
      <c r="Q586" t="str">
        <f>tblSales[[#This Row],[FirstName]]&amp; " " &amp;tblSales[[#This Row],[LastName]]</f>
        <v>Janet Leverling</v>
      </c>
      <c r="R586">
        <f>YEAR(tblSales[[#This Row],[OrderDate]])</f>
        <v>2020</v>
      </c>
      <c r="S586">
        <f>WEEKNUM(tblSales[[#This Row],[OrderDate]])</f>
        <v>13</v>
      </c>
      <c r="T586">
        <f>IF(ISBLANK(tblSales[[#This Row],[ShippedDate]]),"",tblSales[[#This Row],[ShippedDate]]-tblSales[[#This Row],[OrderDate]])</f>
        <v>4</v>
      </c>
      <c r="U586" t="str">
        <f>LEFT(tblSales[[#This Row],[ProductName]],20)</f>
        <v>Camembert Pierrot</v>
      </c>
    </row>
    <row r="587" spans="2:21" x14ac:dyDescent="0.2">
      <c r="B587">
        <v>10683</v>
      </c>
      <c r="C587" t="s">
        <v>8369</v>
      </c>
      <c r="D587" t="s">
        <v>8236</v>
      </c>
      <c r="E587" t="s">
        <v>8244</v>
      </c>
      <c r="F587" s="222">
        <v>7</v>
      </c>
      <c r="G587">
        <v>9</v>
      </c>
      <c r="H587" s="223">
        <v>0</v>
      </c>
      <c r="I587" s="222">
        <v>63</v>
      </c>
      <c r="J587" t="s">
        <v>8354</v>
      </c>
      <c r="K587" t="s">
        <v>8355</v>
      </c>
      <c r="L587" s="118">
        <v>43915</v>
      </c>
      <c r="M587" s="118">
        <v>43920</v>
      </c>
      <c r="N587" t="s">
        <v>8250</v>
      </c>
      <c r="O587" t="s">
        <v>8297</v>
      </c>
      <c r="P587" t="s">
        <v>8298</v>
      </c>
      <c r="Q587" t="str">
        <f>tblSales[[#This Row],[FirstName]]&amp; " " &amp;tblSales[[#This Row],[LastName]]</f>
        <v>Andrew Fuller</v>
      </c>
      <c r="R587">
        <f>YEAR(tblSales[[#This Row],[OrderDate]])</f>
        <v>2020</v>
      </c>
      <c r="S587">
        <f>WEEKNUM(tblSales[[#This Row],[OrderDate]])</f>
        <v>13</v>
      </c>
      <c r="T587">
        <f>IF(ISBLANK(tblSales[[#This Row],[ShippedDate]]),"",tblSales[[#This Row],[ShippedDate]]-tblSales[[#This Row],[OrderDate]])</f>
        <v>5</v>
      </c>
      <c r="U587" t="str">
        <f>LEFT(tblSales[[#This Row],[ProductName]],20)</f>
        <v>Filo Mix</v>
      </c>
    </row>
    <row r="588" spans="2:21" x14ac:dyDescent="0.2">
      <c r="B588">
        <v>11171</v>
      </c>
      <c r="C588" t="s">
        <v>8340</v>
      </c>
      <c r="D588" t="s">
        <v>8236</v>
      </c>
      <c r="E588" t="s">
        <v>8244</v>
      </c>
      <c r="F588" s="222">
        <v>26.6</v>
      </c>
      <c r="G588">
        <v>8</v>
      </c>
      <c r="H588" s="223">
        <v>0</v>
      </c>
      <c r="I588" s="222">
        <v>212.8</v>
      </c>
      <c r="J588" t="s">
        <v>8377</v>
      </c>
      <c r="K588" t="s">
        <v>8378</v>
      </c>
      <c r="L588" s="118">
        <v>43916</v>
      </c>
      <c r="M588" s="118">
        <v>43919</v>
      </c>
      <c r="N588" t="s">
        <v>8265</v>
      </c>
      <c r="O588" t="s">
        <v>8266</v>
      </c>
      <c r="P588" t="s">
        <v>8267</v>
      </c>
      <c r="Q588" t="str">
        <f>tblSales[[#This Row],[FirstName]]&amp; " " &amp;tblSales[[#This Row],[LastName]]</f>
        <v>Margaret Peacock</v>
      </c>
      <c r="R588">
        <f>YEAR(tblSales[[#This Row],[OrderDate]])</f>
        <v>2020</v>
      </c>
      <c r="S588">
        <f>WEEKNUM(tblSales[[#This Row],[OrderDate]])</f>
        <v>13</v>
      </c>
      <c r="T588">
        <f>IF(ISBLANK(tblSales[[#This Row],[ShippedDate]]),"",tblSales[[#This Row],[ShippedDate]]-tblSales[[#This Row],[OrderDate]])</f>
        <v>3</v>
      </c>
      <c r="U588" t="str">
        <f>LEFT(tblSales[[#This Row],[ProductName]],20)</f>
        <v>Wimmers gute Semmelk</v>
      </c>
    </row>
    <row r="589" spans="2:21" x14ac:dyDescent="0.2">
      <c r="B589">
        <v>11171</v>
      </c>
      <c r="C589" t="s">
        <v>8373</v>
      </c>
      <c r="D589" t="s">
        <v>8236</v>
      </c>
      <c r="E589" t="s">
        <v>8244</v>
      </c>
      <c r="F589" s="222">
        <v>7.2</v>
      </c>
      <c r="G589">
        <v>15</v>
      </c>
      <c r="H589" s="223">
        <v>0</v>
      </c>
      <c r="I589" s="222">
        <v>108</v>
      </c>
      <c r="J589" t="s">
        <v>8377</v>
      </c>
      <c r="K589" t="s">
        <v>8378</v>
      </c>
      <c r="L589" s="118">
        <v>43916</v>
      </c>
      <c r="M589" s="118">
        <v>43919</v>
      </c>
      <c r="N589" t="s">
        <v>8265</v>
      </c>
      <c r="O589" t="s">
        <v>8266</v>
      </c>
      <c r="P589" t="s">
        <v>8267</v>
      </c>
      <c r="Q589" t="str">
        <f>tblSales[[#This Row],[FirstName]]&amp; " " &amp;tblSales[[#This Row],[LastName]]</f>
        <v>Margaret Peacock</v>
      </c>
      <c r="R589">
        <f>YEAR(tblSales[[#This Row],[OrderDate]])</f>
        <v>2020</v>
      </c>
      <c r="S589">
        <f>WEEKNUM(tblSales[[#This Row],[OrderDate]])</f>
        <v>13</v>
      </c>
      <c r="T589">
        <f>IF(ISBLANK(tblSales[[#This Row],[ShippedDate]]),"",tblSales[[#This Row],[ShippedDate]]-tblSales[[#This Row],[OrderDate]])</f>
        <v>3</v>
      </c>
      <c r="U589" t="str">
        <f>LEFT(tblSales[[#This Row],[ProductName]],20)</f>
        <v>Tunnbröd</v>
      </c>
    </row>
    <row r="590" spans="2:21" x14ac:dyDescent="0.2">
      <c r="B590">
        <v>10686</v>
      </c>
      <c r="C590" t="s">
        <v>8372</v>
      </c>
      <c r="D590" t="s">
        <v>8282</v>
      </c>
      <c r="E590" t="s">
        <v>8262</v>
      </c>
      <c r="F590" s="222">
        <v>31.23</v>
      </c>
      <c r="G590">
        <v>15</v>
      </c>
      <c r="H590" s="223">
        <v>0</v>
      </c>
      <c r="I590" s="222">
        <v>468.45</v>
      </c>
      <c r="J590" t="s">
        <v>8384</v>
      </c>
      <c r="K590" t="s">
        <v>8385</v>
      </c>
      <c r="L590" s="118">
        <v>43919</v>
      </c>
      <c r="M590" s="118">
        <v>43927</v>
      </c>
      <c r="N590" t="s">
        <v>8250</v>
      </c>
      <c r="O590" t="s">
        <v>8297</v>
      </c>
      <c r="P590" t="s">
        <v>8298</v>
      </c>
      <c r="Q590" t="str">
        <f>tblSales[[#This Row],[FirstName]]&amp; " " &amp;tblSales[[#This Row],[LastName]]</f>
        <v>Andrew Fuller</v>
      </c>
      <c r="R590">
        <f>YEAR(tblSales[[#This Row],[OrderDate]])</f>
        <v>2020</v>
      </c>
      <c r="S590">
        <f>WEEKNUM(tblSales[[#This Row],[OrderDate]])</f>
        <v>14</v>
      </c>
      <c r="T590">
        <f>IF(ISBLANK(tblSales[[#This Row],[ShippedDate]]),"",tblSales[[#This Row],[ShippedDate]]-tblSales[[#This Row],[OrderDate]])</f>
        <v>8</v>
      </c>
      <c r="U590" t="str">
        <f>LEFT(tblSales[[#This Row],[ProductName]],20)</f>
        <v>Gumbär Gummibärchen</v>
      </c>
    </row>
    <row r="591" spans="2:21" x14ac:dyDescent="0.2">
      <c r="B591">
        <v>10688</v>
      </c>
      <c r="C591" t="s">
        <v>8358</v>
      </c>
      <c r="D591" t="s">
        <v>8374</v>
      </c>
      <c r="E591" t="s">
        <v>8272</v>
      </c>
      <c r="F591" s="222">
        <v>14</v>
      </c>
      <c r="G591">
        <v>14</v>
      </c>
      <c r="H591" s="223">
        <v>0</v>
      </c>
      <c r="I591" s="222">
        <v>196</v>
      </c>
      <c r="J591" t="s">
        <v>8395</v>
      </c>
      <c r="K591" t="s">
        <v>8396</v>
      </c>
      <c r="L591" s="118">
        <v>43920</v>
      </c>
      <c r="M591" s="118">
        <v>43926</v>
      </c>
      <c r="N591" t="s">
        <v>8265</v>
      </c>
      <c r="O591" t="s">
        <v>8266</v>
      </c>
      <c r="P591" t="s">
        <v>8267</v>
      </c>
      <c r="Q591" t="str">
        <f>tblSales[[#This Row],[FirstName]]&amp; " " &amp;tblSales[[#This Row],[LastName]]</f>
        <v>Margaret Peacock</v>
      </c>
      <c r="R591">
        <f>YEAR(tblSales[[#This Row],[OrderDate]])</f>
        <v>2020</v>
      </c>
      <c r="S591">
        <f>WEEKNUM(tblSales[[#This Row],[OrderDate]])</f>
        <v>14</v>
      </c>
      <c r="T591">
        <f>IF(ISBLANK(tblSales[[#This Row],[ShippedDate]]),"",tblSales[[#This Row],[ShippedDate]]-tblSales[[#This Row],[OrderDate]])</f>
        <v>6</v>
      </c>
      <c r="U591" t="str">
        <f>LEFT(tblSales[[#This Row],[ProductName]],20)</f>
        <v>Sasquatch Ale</v>
      </c>
    </row>
    <row r="592" spans="2:21" x14ac:dyDescent="0.2">
      <c r="B592">
        <v>10688</v>
      </c>
      <c r="C592" t="s">
        <v>8316</v>
      </c>
      <c r="D592" t="s">
        <v>8374</v>
      </c>
      <c r="E592" t="s">
        <v>8247</v>
      </c>
      <c r="F592" s="222">
        <v>45.6</v>
      </c>
      <c r="G592">
        <v>60</v>
      </c>
      <c r="H592" s="223">
        <v>0.10000000149011599</v>
      </c>
      <c r="I592" s="222">
        <v>2462.4</v>
      </c>
      <c r="J592" t="s">
        <v>8395</v>
      </c>
      <c r="K592" t="s">
        <v>8396</v>
      </c>
      <c r="L592" s="118">
        <v>43920</v>
      </c>
      <c r="M592" s="118">
        <v>43926</v>
      </c>
      <c r="N592" t="s">
        <v>8265</v>
      </c>
      <c r="O592" t="s">
        <v>8266</v>
      </c>
      <c r="P592" t="s">
        <v>8267</v>
      </c>
      <c r="Q592" t="str">
        <f>tblSales[[#This Row],[FirstName]]&amp; " " &amp;tblSales[[#This Row],[LastName]]</f>
        <v>Margaret Peacock</v>
      </c>
      <c r="R592">
        <f>YEAR(tblSales[[#This Row],[OrderDate]])</f>
        <v>2020</v>
      </c>
      <c r="S592">
        <f>WEEKNUM(tblSales[[#This Row],[OrderDate]])</f>
        <v>14</v>
      </c>
      <c r="T592">
        <f>IF(ISBLANK(tblSales[[#This Row],[ShippedDate]]),"",tblSales[[#This Row],[ShippedDate]]-tblSales[[#This Row],[OrderDate]])</f>
        <v>6</v>
      </c>
      <c r="U592" t="str">
        <f>LEFT(tblSales[[#This Row],[ProductName]],20)</f>
        <v>Rössle Sauerkraut</v>
      </c>
    </row>
    <row r="593" spans="2:21" x14ac:dyDescent="0.2">
      <c r="B593">
        <v>10689</v>
      </c>
      <c r="C593" t="s">
        <v>8333</v>
      </c>
      <c r="D593" t="s">
        <v>8292</v>
      </c>
      <c r="E593" t="s">
        <v>8272</v>
      </c>
      <c r="F593" s="222">
        <v>18</v>
      </c>
      <c r="G593">
        <v>35</v>
      </c>
      <c r="H593" s="223">
        <v>0.25</v>
      </c>
      <c r="I593" s="222">
        <v>472.5</v>
      </c>
      <c r="J593" t="s">
        <v>8318</v>
      </c>
      <c r="K593" t="s">
        <v>8319</v>
      </c>
      <c r="L593" s="118">
        <v>43920</v>
      </c>
      <c r="M593" s="118">
        <v>43926</v>
      </c>
      <c r="N593" t="s">
        <v>8265</v>
      </c>
      <c r="O593" t="s">
        <v>8285</v>
      </c>
      <c r="P593" t="s">
        <v>2317</v>
      </c>
      <c r="Q593" t="str">
        <f>tblSales[[#This Row],[FirstName]]&amp; " " &amp;tblSales[[#This Row],[LastName]]</f>
        <v>Nancy Davolio</v>
      </c>
      <c r="R593">
        <f>YEAR(tblSales[[#This Row],[OrderDate]])</f>
        <v>2020</v>
      </c>
      <c r="S593">
        <f>WEEKNUM(tblSales[[#This Row],[OrderDate]])</f>
        <v>14</v>
      </c>
      <c r="T593">
        <f>IF(ISBLANK(tblSales[[#This Row],[ShippedDate]]),"",tblSales[[#This Row],[ShippedDate]]-tblSales[[#This Row],[OrderDate]])</f>
        <v>6</v>
      </c>
      <c r="U593" t="str">
        <f>LEFT(tblSales[[#This Row],[ProductName]],20)</f>
        <v>Chai</v>
      </c>
    </row>
    <row r="594" spans="2:21" x14ac:dyDescent="0.2">
      <c r="B594">
        <v>10692</v>
      </c>
      <c r="C594" t="s">
        <v>8317</v>
      </c>
      <c r="D594" t="s">
        <v>8246</v>
      </c>
      <c r="E594" t="s">
        <v>8254</v>
      </c>
      <c r="F594" s="222">
        <v>43.9</v>
      </c>
      <c r="G594">
        <v>20</v>
      </c>
      <c r="H594" s="223">
        <v>0</v>
      </c>
      <c r="I594" s="222">
        <v>878</v>
      </c>
      <c r="J594" t="s">
        <v>8422</v>
      </c>
      <c r="K594" t="s">
        <v>8423</v>
      </c>
      <c r="L594" s="118">
        <v>43922</v>
      </c>
      <c r="M594" s="118">
        <v>43932</v>
      </c>
      <c r="N594" t="s">
        <v>8265</v>
      </c>
      <c r="O594" t="s">
        <v>8266</v>
      </c>
      <c r="P594" t="s">
        <v>8267</v>
      </c>
      <c r="Q594" t="str">
        <f>tblSales[[#This Row],[FirstName]]&amp; " " &amp;tblSales[[#This Row],[LastName]]</f>
        <v>Margaret Peacock</v>
      </c>
      <c r="R594">
        <f>YEAR(tblSales[[#This Row],[OrderDate]])</f>
        <v>2020</v>
      </c>
      <c r="S594">
        <f>WEEKNUM(tblSales[[#This Row],[OrderDate]])</f>
        <v>14</v>
      </c>
      <c r="T594">
        <f>IF(ISBLANK(tblSales[[#This Row],[ShippedDate]]),"",tblSales[[#This Row],[ShippedDate]]-tblSales[[#This Row],[OrderDate]])</f>
        <v>10</v>
      </c>
      <c r="U594" t="str">
        <f>LEFT(tblSales[[#This Row],[ProductName]],20)</f>
        <v>Vegie-spread</v>
      </c>
    </row>
    <row r="595" spans="2:21" x14ac:dyDescent="0.2">
      <c r="B595">
        <v>10691</v>
      </c>
      <c r="C595" t="s">
        <v>8306</v>
      </c>
      <c r="D595" t="s">
        <v>8246</v>
      </c>
      <c r="E595" t="s">
        <v>8272</v>
      </c>
      <c r="F595" s="222">
        <v>46</v>
      </c>
      <c r="G595">
        <v>40</v>
      </c>
      <c r="H595" s="223">
        <v>0</v>
      </c>
      <c r="I595" s="222">
        <v>1840</v>
      </c>
      <c r="J595" t="s">
        <v>8307</v>
      </c>
      <c r="K595" t="s">
        <v>8308</v>
      </c>
      <c r="L595" s="118">
        <v>43922</v>
      </c>
      <c r="M595" s="118">
        <v>43941</v>
      </c>
      <c r="N595" t="s">
        <v>8265</v>
      </c>
      <c r="O595" t="s">
        <v>8297</v>
      </c>
      <c r="P595" t="s">
        <v>8298</v>
      </c>
      <c r="Q595" t="str">
        <f>tblSales[[#This Row],[FirstName]]&amp; " " &amp;tblSales[[#This Row],[LastName]]</f>
        <v>Andrew Fuller</v>
      </c>
      <c r="R595">
        <f>YEAR(tblSales[[#This Row],[OrderDate]])</f>
        <v>2020</v>
      </c>
      <c r="S595">
        <f>WEEKNUM(tblSales[[#This Row],[OrderDate]])</f>
        <v>14</v>
      </c>
      <c r="T595">
        <f>IF(ISBLANK(tblSales[[#This Row],[ShippedDate]]),"",tblSales[[#This Row],[ShippedDate]]-tblSales[[#This Row],[OrderDate]])</f>
        <v>19</v>
      </c>
      <c r="U595" t="str">
        <f>LEFT(tblSales[[#This Row],[ProductName]],20)</f>
        <v>Ipoh Coffee</v>
      </c>
    </row>
    <row r="596" spans="2:21" x14ac:dyDescent="0.2">
      <c r="B596">
        <v>10691</v>
      </c>
      <c r="C596" t="s">
        <v>8333</v>
      </c>
      <c r="D596" t="s">
        <v>8246</v>
      </c>
      <c r="E596" t="s">
        <v>8272</v>
      </c>
      <c r="F596" s="222">
        <v>18</v>
      </c>
      <c r="G596">
        <v>30</v>
      </c>
      <c r="H596" s="223">
        <v>0</v>
      </c>
      <c r="I596" s="222">
        <v>540</v>
      </c>
      <c r="J596" t="s">
        <v>8307</v>
      </c>
      <c r="K596" t="s">
        <v>8308</v>
      </c>
      <c r="L596" s="118">
        <v>43922</v>
      </c>
      <c r="M596" s="118">
        <v>43941</v>
      </c>
      <c r="N596" t="s">
        <v>8265</v>
      </c>
      <c r="O596" t="s">
        <v>8297</v>
      </c>
      <c r="P596" t="s">
        <v>8298</v>
      </c>
      <c r="Q596" t="str">
        <f>tblSales[[#This Row],[FirstName]]&amp; " " &amp;tblSales[[#This Row],[LastName]]</f>
        <v>Andrew Fuller</v>
      </c>
      <c r="R596">
        <f>YEAR(tblSales[[#This Row],[OrderDate]])</f>
        <v>2020</v>
      </c>
      <c r="S596">
        <f>WEEKNUM(tblSales[[#This Row],[OrderDate]])</f>
        <v>14</v>
      </c>
      <c r="T596">
        <f>IF(ISBLANK(tblSales[[#This Row],[ShippedDate]]),"",tblSales[[#This Row],[ShippedDate]]-tblSales[[#This Row],[OrderDate]])</f>
        <v>19</v>
      </c>
      <c r="U596" t="str">
        <f>LEFT(tblSales[[#This Row],[ProductName]],20)</f>
        <v>Chai</v>
      </c>
    </row>
    <row r="597" spans="2:21" x14ac:dyDescent="0.2">
      <c r="B597">
        <v>10691</v>
      </c>
      <c r="C597" t="s">
        <v>8322</v>
      </c>
      <c r="D597" t="s">
        <v>8246</v>
      </c>
      <c r="E597" t="s">
        <v>8254</v>
      </c>
      <c r="F597" s="222">
        <v>19.45</v>
      </c>
      <c r="G597">
        <v>24</v>
      </c>
      <c r="H597" s="223">
        <v>0</v>
      </c>
      <c r="I597" s="222">
        <v>466.8</v>
      </c>
      <c r="J597" t="s">
        <v>8307</v>
      </c>
      <c r="K597" t="s">
        <v>8308</v>
      </c>
      <c r="L597" s="118">
        <v>43922</v>
      </c>
      <c r="M597" s="118">
        <v>43941</v>
      </c>
      <c r="N597" t="s">
        <v>8265</v>
      </c>
      <c r="O597" t="s">
        <v>8297</v>
      </c>
      <c r="P597" t="s">
        <v>8298</v>
      </c>
      <c r="Q597" t="str">
        <f>tblSales[[#This Row],[FirstName]]&amp; " " &amp;tblSales[[#This Row],[LastName]]</f>
        <v>Andrew Fuller</v>
      </c>
      <c r="R597">
        <f>YEAR(tblSales[[#This Row],[OrderDate]])</f>
        <v>2020</v>
      </c>
      <c r="S597">
        <f>WEEKNUM(tblSales[[#This Row],[OrderDate]])</f>
        <v>14</v>
      </c>
      <c r="T597">
        <f>IF(ISBLANK(tblSales[[#This Row],[ShippedDate]]),"",tblSales[[#This Row],[ShippedDate]]-tblSales[[#This Row],[OrderDate]])</f>
        <v>19</v>
      </c>
      <c r="U597" t="str">
        <f>LEFT(tblSales[[#This Row],[ProductName]],20)</f>
        <v>Gula Malacca</v>
      </c>
    </row>
    <row r="598" spans="2:21" x14ac:dyDescent="0.2">
      <c r="B598">
        <v>10691</v>
      </c>
      <c r="C598" t="s">
        <v>8291</v>
      </c>
      <c r="D598" t="s">
        <v>8246</v>
      </c>
      <c r="E598" t="s">
        <v>8262</v>
      </c>
      <c r="F598" s="222">
        <v>49.3</v>
      </c>
      <c r="G598">
        <v>48</v>
      </c>
      <c r="H598" s="223">
        <v>0</v>
      </c>
      <c r="I598" s="222">
        <v>2366.4</v>
      </c>
      <c r="J598" t="s">
        <v>8307</v>
      </c>
      <c r="K598" t="s">
        <v>8308</v>
      </c>
      <c r="L598" s="118">
        <v>43922</v>
      </c>
      <c r="M598" s="118">
        <v>43941</v>
      </c>
      <c r="N598" t="s">
        <v>8265</v>
      </c>
      <c r="O598" t="s">
        <v>8297</v>
      </c>
      <c r="P598" t="s">
        <v>8298</v>
      </c>
      <c r="Q598" t="str">
        <f>tblSales[[#This Row],[FirstName]]&amp; " " &amp;tblSales[[#This Row],[LastName]]</f>
        <v>Andrew Fuller</v>
      </c>
      <c r="R598">
        <f>YEAR(tblSales[[#This Row],[OrderDate]])</f>
        <v>2020</v>
      </c>
      <c r="S598">
        <f>WEEKNUM(tblSales[[#This Row],[OrderDate]])</f>
        <v>14</v>
      </c>
      <c r="T598">
        <f>IF(ISBLANK(tblSales[[#This Row],[ShippedDate]]),"",tblSales[[#This Row],[ShippedDate]]-tblSales[[#This Row],[OrderDate]])</f>
        <v>19</v>
      </c>
      <c r="U598" t="str">
        <f>LEFT(tblSales[[#This Row],[ProductName]],20)</f>
        <v>Tarte au sucre</v>
      </c>
    </row>
    <row r="599" spans="2:21" x14ac:dyDescent="0.2">
      <c r="B599">
        <v>10694</v>
      </c>
      <c r="C599" t="s">
        <v>8288</v>
      </c>
      <c r="D599" t="s">
        <v>8246</v>
      </c>
      <c r="E599" t="s">
        <v>8272</v>
      </c>
      <c r="F599" s="222">
        <v>15</v>
      </c>
      <c r="G599">
        <v>50</v>
      </c>
      <c r="H599" s="223">
        <v>0</v>
      </c>
      <c r="I599" s="222">
        <v>750</v>
      </c>
      <c r="J599" t="s">
        <v>8307</v>
      </c>
      <c r="K599" t="s">
        <v>8308</v>
      </c>
      <c r="L599" s="118">
        <v>43925</v>
      </c>
      <c r="M599" s="118">
        <v>43928</v>
      </c>
      <c r="N599" t="s">
        <v>8240</v>
      </c>
      <c r="O599" t="s">
        <v>8320</v>
      </c>
      <c r="P599" t="s">
        <v>8321</v>
      </c>
      <c r="Q599" t="str">
        <f>tblSales[[#This Row],[FirstName]]&amp; " " &amp;tblSales[[#This Row],[LastName]]</f>
        <v>Laura Callahan</v>
      </c>
      <c r="R599">
        <f>YEAR(tblSales[[#This Row],[OrderDate]])</f>
        <v>2020</v>
      </c>
      <c r="S599">
        <f>WEEKNUM(tblSales[[#This Row],[OrderDate]])</f>
        <v>14</v>
      </c>
      <c r="T599">
        <f>IF(ISBLANK(tblSales[[#This Row],[ShippedDate]]),"",tblSales[[#This Row],[ShippedDate]]-tblSales[[#This Row],[OrderDate]])</f>
        <v>3</v>
      </c>
      <c r="U599" t="str">
        <f>LEFT(tblSales[[#This Row],[ProductName]],20)</f>
        <v>Outback Lager</v>
      </c>
    </row>
    <row r="600" spans="2:21" x14ac:dyDescent="0.2">
      <c r="B600">
        <v>10694</v>
      </c>
      <c r="C600" t="s">
        <v>8281</v>
      </c>
      <c r="D600" t="s">
        <v>8246</v>
      </c>
      <c r="E600" t="s">
        <v>8237</v>
      </c>
      <c r="F600" s="222">
        <v>55</v>
      </c>
      <c r="G600">
        <v>25</v>
      </c>
      <c r="H600" s="223">
        <v>0</v>
      </c>
      <c r="I600" s="222">
        <v>1375</v>
      </c>
      <c r="J600" t="s">
        <v>8307</v>
      </c>
      <c r="K600" t="s">
        <v>8308</v>
      </c>
      <c r="L600" s="118">
        <v>43925</v>
      </c>
      <c r="M600" s="118">
        <v>43928</v>
      </c>
      <c r="N600" t="s">
        <v>8240</v>
      </c>
      <c r="O600" t="s">
        <v>8320</v>
      </c>
      <c r="P600" t="s">
        <v>8321</v>
      </c>
      <c r="Q600" t="str">
        <f>tblSales[[#This Row],[FirstName]]&amp; " " &amp;tblSales[[#This Row],[LastName]]</f>
        <v>Laura Callahan</v>
      </c>
      <c r="R600">
        <f>YEAR(tblSales[[#This Row],[OrderDate]])</f>
        <v>2020</v>
      </c>
      <c r="S600">
        <f>WEEKNUM(tblSales[[#This Row],[OrderDate]])</f>
        <v>14</v>
      </c>
      <c r="T600">
        <f>IF(ISBLANK(tblSales[[#This Row],[ShippedDate]]),"",tblSales[[#This Row],[ShippedDate]]-tblSales[[#This Row],[OrderDate]])</f>
        <v>3</v>
      </c>
      <c r="U600" t="str">
        <f>LEFT(tblSales[[#This Row],[ProductName]],20)</f>
        <v>Raclette Courdavault</v>
      </c>
    </row>
    <row r="601" spans="2:21" x14ac:dyDescent="0.2">
      <c r="B601">
        <v>10694</v>
      </c>
      <c r="C601" t="s">
        <v>8415</v>
      </c>
      <c r="D601" t="s">
        <v>8246</v>
      </c>
      <c r="E601" t="s">
        <v>8247</v>
      </c>
      <c r="F601" s="222">
        <v>30</v>
      </c>
      <c r="G601">
        <v>90</v>
      </c>
      <c r="H601" s="223">
        <v>0</v>
      </c>
      <c r="I601" s="222">
        <v>2700</v>
      </c>
      <c r="J601" t="s">
        <v>8307</v>
      </c>
      <c r="K601" t="s">
        <v>8308</v>
      </c>
      <c r="L601" s="118">
        <v>43925</v>
      </c>
      <c r="M601" s="118">
        <v>43928</v>
      </c>
      <c r="N601" t="s">
        <v>8240</v>
      </c>
      <c r="O601" t="s">
        <v>8320</v>
      </c>
      <c r="P601" t="s">
        <v>8321</v>
      </c>
      <c r="Q601" t="str">
        <f>tblSales[[#This Row],[FirstName]]&amp; " " &amp;tblSales[[#This Row],[LastName]]</f>
        <v>Laura Callahan</v>
      </c>
      <c r="R601">
        <f>YEAR(tblSales[[#This Row],[OrderDate]])</f>
        <v>2020</v>
      </c>
      <c r="S601">
        <f>WEEKNUM(tblSales[[#This Row],[OrderDate]])</f>
        <v>14</v>
      </c>
      <c r="T601">
        <f>IF(ISBLANK(tblSales[[#This Row],[ShippedDate]]),"",tblSales[[#This Row],[ShippedDate]]-tblSales[[#This Row],[OrderDate]])</f>
        <v>3</v>
      </c>
      <c r="U601" t="str">
        <f>LEFT(tblSales[[#This Row],[ProductName]],20)</f>
        <v xml:space="preserve">Uncle Bob's Organic </v>
      </c>
    </row>
    <row r="602" spans="2:21" x14ac:dyDescent="0.2">
      <c r="B602">
        <v>11175</v>
      </c>
      <c r="C602" t="s">
        <v>8410</v>
      </c>
      <c r="D602" t="s">
        <v>8236</v>
      </c>
      <c r="E602" t="s">
        <v>8262</v>
      </c>
      <c r="F602" s="222">
        <v>7.6</v>
      </c>
      <c r="G602">
        <v>30</v>
      </c>
      <c r="H602" s="223">
        <v>0</v>
      </c>
      <c r="I602" s="222">
        <v>228</v>
      </c>
      <c r="J602" t="s">
        <v>8407</v>
      </c>
      <c r="K602" t="s">
        <v>8408</v>
      </c>
      <c r="L602" s="118">
        <v>43925</v>
      </c>
      <c r="M602" s="118">
        <v>43929</v>
      </c>
      <c r="N602" t="s">
        <v>8265</v>
      </c>
      <c r="O602" t="s">
        <v>8251</v>
      </c>
      <c r="P602" t="s">
        <v>269</v>
      </c>
      <c r="Q602" t="str">
        <f>tblSales[[#This Row],[FirstName]]&amp; " " &amp;tblSales[[#This Row],[LastName]]</f>
        <v>Michael Suyama</v>
      </c>
      <c r="R602">
        <f>YEAR(tblSales[[#This Row],[OrderDate]])</f>
        <v>2020</v>
      </c>
      <c r="S602">
        <f>WEEKNUM(tblSales[[#This Row],[OrderDate]])</f>
        <v>14</v>
      </c>
      <c r="T602">
        <f>IF(ISBLANK(tblSales[[#This Row],[ShippedDate]]),"",tblSales[[#This Row],[ShippedDate]]-tblSales[[#This Row],[OrderDate]])</f>
        <v>4</v>
      </c>
      <c r="U602" t="str">
        <f>LEFT(tblSales[[#This Row],[ProductName]],20)</f>
        <v>Zaanse koeken</v>
      </c>
    </row>
    <row r="603" spans="2:21" x14ac:dyDescent="0.2">
      <c r="B603">
        <v>11175</v>
      </c>
      <c r="C603" t="s">
        <v>8281</v>
      </c>
      <c r="D603" t="s">
        <v>8236</v>
      </c>
      <c r="E603" t="s">
        <v>8237</v>
      </c>
      <c r="F603" s="222">
        <v>44</v>
      </c>
      <c r="G603">
        <v>12</v>
      </c>
      <c r="H603" s="223">
        <v>0</v>
      </c>
      <c r="I603" s="222">
        <v>528</v>
      </c>
      <c r="J603" t="s">
        <v>8407</v>
      </c>
      <c r="K603" t="s">
        <v>8408</v>
      </c>
      <c r="L603" s="118">
        <v>43925</v>
      </c>
      <c r="M603" s="118">
        <v>43929</v>
      </c>
      <c r="N603" t="s">
        <v>8265</v>
      </c>
      <c r="O603" t="s">
        <v>8251</v>
      </c>
      <c r="P603" t="s">
        <v>269</v>
      </c>
      <c r="Q603" t="str">
        <f>tblSales[[#This Row],[FirstName]]&amp; " " &amp;tblSales[[#This Row],[LastName]]</f>
        <v>Michael Suyama</v>
      </c>
      <c r="R603">
        <f>YEAR(tblSales[[#This Row],[OrderDate]])</f>
        <v>2020</v>
      </c>
      <c r="S603">
        <f>WEEKNUM(tblSales[[#This Row],[OrderDate]])</f>
        <v>14</v>
      </c>
      <c r="T603">
        <f>IF(ISBLANK(tblSales[[#This Row],[ShippedDate]]),"",tblSales[[#This Row],[ShippedDate]]-tblSales[[#This Row],[OrderDate]])</f>
        <v>4</v>
      </c>
      <c r="U603" t="str">
        <f>LEFT(tblSales[[#This Row],[ProductName]],20)</f>
        <v>Raclette Courdavault</v>
      </c>
    </row>
    <row r="604" spans="2:21" x14ac:dyDescent="0.2">
      <c r="B604">
        <v>10695</v>
      </c>
      <c r="C604" t="s">
        <v>8270</v>
      </c>
      <c r="D604" t="s">
        <v>8300</v>
      </c>
      <c r="E604" t="s">
        <v>8272</v>
      </c>
      <c r="F604" s="222">
        <v>4.5</v>
      </c>
      <c r="G604">
        <v>20</v>
      </c>
      <c r="H604" s="223">
        <v>0</v>
      </c>
      <c r="I604" s="222">
        <v>90</v>
      </c>
      <c r="J604" t="s">
        <v>8426</v>
      </c>
      <c r="K604" t="s">
        <v>8427</v>
      </c>
      <c r="L604" s="118">
        <v>43926</v>
      </c>
      <c r="M604" s="118">
        <v>43933</v>
      </c>
      <c r="N604" t="s">
        <v>8250</v>
      </c>
      <c r="O604" t="s">
        <v>8158</v>
      </c>
      <c r="P604" t="s">
        <v>861</v>
      </c>
      <c r="Q604" t="str">
        <f>tblSales[[#This Row],[FirstName]]&amp; " " &amp;tblSales[[#This Row],[LastName]]</f>
        <v>Robert King</v>
      </c>
      <c r="R604">
        <f>YEAR(tblSales[[#This Row],[OrderDate]])</f>
        <v>2020</v>
      </c>
      <c r="S604">
        <f>WEEKNUM(tblSales[[#This Row],[OrderDate]])</f>
        <v>15</v>
      </c>
      <c r="T604">
        <f>IF(ISBLANK(tblSales[[#This Row],[ShippedDate]]),"",tblSales[[#This Row],[ShippedDate]]-tblSales[[#This Row],[OrderDate]])</f>
        <v>7</v>
      </c>
      <c r="U604" t="str">
        <f>LEFT(tblSales[[#This Row],[ProductName]],20)</f>
        <v>Guaraná Fantástica</v>
      </c>
    </row>
    <row r="605" spans="2:21" x14ac:dyDescent="0.2">
      <c r="B605">
        <v>10695</v>
      </c>
      <c r="C605" t="s">
        <v>8379</v>
      </c>
      <c r="D605" t="s">
        <v>8300</v>
      </c>
      <c r="E605" t="s">
        <v>8254</v>
      </c>
      <c r="F605" s="222">
        <v>40</v>
      </c>
      <c r="G605">
        <v>10</v>
      </c>
      <c r="H605" s="223">
        <v>0</v>
      </c>
      <c r="I605" s="222">
        <v>400</v>
      </c>
      <c r="J605" t="s">
        <v>8426</v>
      </c>
      <c r="K605" t="s">
        <v>8427</v>
      </c>
      <c r="L605" s="118">
        <v>43926</v>
      </c>
      <c r="M605" s="118">
        <v>43933</v>
      </c>
      <c r="N605" t="s">
        <v>8250</v>
      </c>
      <c r="O605" t="s">
        <v>8158</v>
      </c>
      <c r="P605" t="s">
        <v>861</v>
      </c>
      <c r="Q605" t="str">
        <f>tblSales[[#This Row],[FirstName]]&amp; " " &amp;tblSales[[#This Row],[LastName]]</f>
        <v>Robert King</v>
      </c>
      <c r="R605">
        <f>YEAR(tblSales[[#This Row],[OrderDate]])</f>
        <v>2020</v>
      </c>
      <c r="S605">
        <f>WEEKNUM(tblSales[[#This Row],[OrderDate]])</f>
        <v>15</v>
      </c>
      <c r="T605">
        <f>IF(ISBLANK(tblSales[[#This Row],[ShippedDate]]),"",tblSales[[#This Row],[ShippedDate]]-tblSales[[#This Row],[OrderDate]])</f>
        <v>7</v>
      </c>
      <c r="U605" t="str">
        <f>LEFT(tblSales[[#This Row],[ProductName]],20)</f>
        <v>Northwoods Cranberry</v>
      </c>
    </row>
    <row r="606" spans="2:21" x14ac:dyDescent="0.2">
      <c r="B606">
        <v>10695</v>
      </c>
      <c r="C606" t="s">
        <v>8299</v>
      </c>
      <c r="D606" t="s">
        <v>8300</v>
      </c>
      <c r="E606" t="s">
        <v>8237</v>
      </c>
      <c r="F606" s="222">
        <v>38</v>
      </c>
      <c r="G606">
        <v>4</v>
      </c>
      <c r="H606" s="223">
        <v>0</v>
      </c>
      <c r="I606" s="222">
        <v>152</v>
      </c>
      <c r="J606" t="s">
        <v>8426</v>
      </c>
      <c r="K606" t="s">
        <v>8427</v>
      </c>
      <c r="L606" s="118">
        <v>43926</v>
      </c>
      <c r="M606" s="118">
        <v>43933</v>
      </c>
      <c r="N606" t="s">
        <v>8250</v>
      </c>
      <c r="O606" t="s">
        <v>8158</v>
      </c>
      <c r="P606" t="s">
        <v>861</v>
      </c>
      <c r="Q606" t="str">
        <f>tblSales[[#This Row],[FirstName]]&amp; " " &amp;tblSales[[#This Row],[LastName]]</f>
        <v>Robert King</v>
      </c>
      <c r="R606">
        <f>YEAR(tblSales[[#This Row],[OrderDate]])</f>
        <v>2020</v>
      </c>
      <c r="S606">
        <f>WEEKNUM(tblSales[[#This Row],[OrderDate]])</f>
        <v>15</v>
      </c>
      <c r="T606">
        <f>IF(ISBLANK(tblSales[[#This Row],[ShippedDate]]),"",tblSales[[#This Row],[ShippedDate]]-tblSales[[#This Row],[OrderDate]])</f>
        <v>7</v>
      </c>
      <c r="U606" t="str">
        <f>LEFT(tblSales[[#This Row],[ProductName]],20)</f>
        <v>Queso Manchego La Pa</v>
      </c>
    </row>
    <row r="607" spans="2:21" x14ac:dyDescent="0.2">
      <c r="B607">
        <v>10699</v>
      </c>
      <c r="C607" t="s">
        <v>8410</v>
      </c>
      <c r="D607" t="s">
        <v>8246</v>
      </c>
      <c r="E607" t="s">
        <v>8262</v>
      </c>
      <c r="F607" s="222">
        <v>9.5</v>
      </c>
      <c r="G607">
        <v>12</v>
      </c>
      <c r="H607" s="223">
        <v>0</v>
      </c>
      <c r="I607" s="222">
        <v>114</v>
      </c>
      <c r="J607" t="s">
        <v>8314</v>
      </c>
      <c r="K607" t="s">
        <v>8315</v>
      </c>
      <c r="L607" s="118">
        <v>43928</v>
      </c>
      <c r="M607" s="118">
        <v>43932</v>
      </c>
      <c r="N607" t="s">
        <v>8240</v>
      </c>
      <c r="O607" t="s">
        <v>8257</v>
      </c>
      <c r="P607" t="s">
        <v>6984</v>
      </c>
      <c r="Q607" t="str">
        <f>tblSales[[#This Row],[FirstName]]&amp; " " &amp;tblSales[[#This Row],[LastName]]</f>
        <v>Janet Leverling</v>
      </c>
      <c r="R607">
        <f>YEAR(tblSales[[#This Row],[OrderDate]])</f>
        <v>2020</v>
      </c>
      <c r="S607">
        <f>WEEKNUM(tblSales[[#This Row],[OrderDate]])</f>
        <v>15</v>
      </c>
      <c r="T607">
        <f>IF(ISBLANK(tblSales[[#This Row],[ShippedDate]]),"",tblSales[[#This Row],[ShippedDate]]-tblSales[[#This Row],[OrderDate]])</f>
        <v>4</v>
      </c>
      <c r="U607" t="str">
        <f>LEFT(tblSales[[#This Row],[ProductName]],20)</f>
        <v>Zaanse koeken</v>
      </c>
    </row>
    <row r="608" spans="2:21" x14ac:dyDescent="0.2">
      <c r="B608">
        <v>10698</v>
      </c>
      <c r="C608" t="s">
        <v>8288</v>
      </c>
      <c r="D608" t="s">
        <v>8282</v>
      </c>
      <c r="E608" t="s">
        <v>8272</v>
      </c>
      <c r="F608" s="222">
        <v>15</v>
      </c>
      <c r="G608">
        <v>8</v>
      </c>
      <c r="H608" s="223">
        <v>5.0000000745058101E-2</v>
      </c>
      <c r="I608" s="222">
        <v>114</v>
      </c>
      <c r="J608" t="s">
        <v>8283</v>
      </c>
      <c r="K608" t="s">
        <v>8284</v>
      </c>
      <c r="L608" s="118">
        <v>43928</v>
      </c>
      <c r="M608" s="118">
        <v>43936</v>
      </c>
      <c r="N608" t="s">
        <v>8250</v>
      </c>
      <c r="O608" t="s">
        <v>8266</v>
      </c>
      <c r="P608" t="s">
        <v>8267</v>
      </c>
      <c r="Q608" t="str">
        <f>tblSales[[#This Row],[FirstName]]&amp; " " &amp;tblSales[[#This Row],[LastName]]</f>
        <v>Margaret Peacock</v>
      </c>
      <c r="R608">
        <f>YEAR(tblSales[[#This Row],[OrderDate]])</f>
        <v>2020</v>
      </c>
      <c r="S608">
        <f>WEEKNUM(tblSales[[#This Row],[OrderDate]])</f>
        <v>15</v>
      </c>
      <c r="T608">
        <f>IF(ISBLANK(tblSales[[#This Row],[ShippedDate]]),"",tblSales[[#This Row],[ShippedDate]]-tblSales[[#This Row],[OrderDate]])</f>
        <v>8</v>
      </c>
      <c r="U608" t="str">
        <f>LEFT(tblSales[[#This Row],[ProductName]],20)</f>
        <v>Outback Lager</v>
      </c>
    </row>
    <row r="609" spans="2:21" x14ac:dyDescent="0.2">
      <c r="B609">
        <v>10698</v>
      </c>
      <c r="C609" t="s">
        <v>8253</v>
      </c>
      <c r="D609" t="s">
        <v>8282</v>
      </c>
      <c r="E609" t="s">
        <v>8254</v>
      </c>
      <c r="F609" s="222">
        <v>21.05</v>
      </c>
      <c r="G609">
        <v>65</v>
      </c>
      <c r="H609" s="223">
        <v>5.0000000745058101E-2</v>
      </c>
      <c r="I609" s="222">
        <v>1299.8399999999999</v>
      </c>
      <c r="J609" t="s">
        <v>8283</v>
      </c>
      <c r="K609" t="s">
        <v>8284</v>
      </c>
      <c r="L609" s="118">
        <v>43928</v>
      </c>
      <c r="M609" s="118">
        <v>43936</v>
      </c>
      <c r="N609" t="s">
        <v>8250</v>
      </c>
      <c r="O609" t="s">
        <v>8266</v>
      </c>
      <c r="P609" t="s">
        <v>8267</v>
      </c>
      <c r="Q609" t="str">
        <f>tblSales[[#This Row],[FirstName]]&amp; " " &amp;tblSales[[#This Row],[LastName]]</f>
        <v>Margaret Peacock</v>
      </c>
      <c r="R609">
        <f>YEAR(tblSales[[#This Row],[OrderDate]])</f>
        <v>2020</v>
      </c>
      <c r="S609">
        <f>WEEKNUM(tblSales[[#This Row],[OrderDate]])</f>
        <v>15</v>
      </c>
      <c r="T609">
        <f>IF(ISBLANK(tblSales[[#This Row],[ShippedDate]]),"",tblSales[[#This Row],[ShippedDate]]-tblSales[[#This Row],[OrderDate]])</f>
        <v>8</v>
      </c>
      <c r="U609" t="str">
        <f>LEFT(tblSales[[#This Row],[ProductName]],20)</f>
        <v xml:space="preserve">Louisiana Fiery Hot </v>
      </c>
    </row>
    <row r="610" spans="2:21" x14ac:dyDescent="0.2">
      <c r="B610">
        <v>10698</v>
      </c>
      <c r="C610" t="s">
        <v>8242</v>
      </c>
      <c r="D610" t="s">
        <v>8282</v>
      </c>
      <c r="E610" t="s">
        <v>8237</v>
      </c>
      <c r="F610" s="222">
        <v>21</v>
      </c>
      <c r="G610">
        <v>15</v>
      </c>
      <c r="H610" s="223">
        <v>0</v>
      </c>
      <c r="I610" s="222">
        <v>315</v>
      </c>
      <c r="J610" t="s">
        <v>8283</v>
      </c>
      <c r="K610" t="s">
        <v>8284</v>
      </c>
      <c r="L610" s="118">
        <v>43928</v>
      </c>
      <c r="M610" s="118">
        <v>43936</v>
      </c>
      <c r="N610" t="s">
        <v>8250</v>
      </c>
      <c r="O610" t="s">
        <v>8266</v>
      </c>
      <c r="P610" t="s">
        <v>8267</v>
      </c>
      <c r="Q610" t="str">
        <f>tblSales[[#This Row],[FirstName]]&amp; " " &amp;tblSales[[#This Row],[LastName]]</f>
        <v>Margaret Peacock</v>
      </c>
      <c r="R610">
        <f>YEAR(tblSales[[#This Row],[OrderDate]])</f>
        <v>2020</v>
      </c>
      <c r="S610">
        <f>WEEKNUM(tblSales[[#This Row],[OrderDate]])</f>
        <v>15</v>
      </c>
      <c r="T610">
        <f>IF(ISBLANK(tblSales[[#This Row],[ShippedDate]]),"",tblSales[[#This Row],[ShippedDate]]-tblSales[[#This Row],[OrderDate]])</f>
        <v>8</v>
      </c>
      <c r="U610" t="str">
        <f>LEFT(tblSales[[#This Row],[ProductName]],20)</f>
        <v>Queso Cabrales</v>
      </c>
    </row>
    <row r="611" spans="2:21" x14ac:dyDescent="0.2">
      <c r="B611">
        <v>10701</v>
      </c>
      <c r="C611" t="s">
        <v>8303</v>
      </c>
      <c r="D611" t="s">
        <v>8343</v>
      </c>
      <c r="E611" t="s">
        <v>8272</v>
      </c>
      <c r="F611" s="222">
        <v>18</v>
      </c>
      <c r="G611">
        <v>35</v>
      </c>
      <c r="H611" s="223">
        <v>0.15000000596046401</v>
      </c>
      <c r="I611" s="222">
        <v>535.5</v>
      </c>
      <c r="J611" t="s">
        <v>8344</v>
      </c>
      <c r="K611" t="s">
        <v>8345</v>
      </c>
      <c r="L611" s="118">
        <v>43932</v>
      </c>
      <c r="M611" s="118">
        <v>43934</v>
      </c>
      <c r="N611" t="s">
        <v>8240</v>
      </c>
      <c r="O611" t="s">
        <v>8251</v>
      </c>
      <c r="P611" t="s">
        <v>269</v>
      </c>
      <c r="Q611" t="str">
        <f>tblSales[[#This Row],[FirstName]]&amp; " " &amp;tblSales[[#This Row],[LastName]]</f>
        <v>Michael Suyama</v>
      </c>
      <c r="R611">
        <f>YEAR(tblSales[[#This Row],[OrderDate]])</f>
        <v>2020</v>
      </c>
      <c r="S611">
        <f>WEEKNUM(tblSales[[#This Row],[OrderDate]])</f>
        <v>15</v>
      </c>
      <c r="T611">
        <f>IF(ISBLANK(tblSales[[#This Row],[ShippedDate]]),"",tblSales[[#This Row],[ShippedDate]]-tblSales[[#This Row],[OrderDate]])</f>
        <v>2</v>
      </c>
      <c r="U611" t="str">
        <f>LEFT(tblSales[[#This Row],[ProductName]],20)</f>
        <v>Lakkalikööri</v>
      </c>
    </row>
    <row r="612" spans="2:21" x14ac:dyDescent="0.2">
      <c r="B612">
        <v>10701</v>
      </c>
      <c r="C612" t="s">
        <v>8281</v>
      </c>
      <c r="D612" t="s">
        <v>8343</v>
      </c>
      <c r="E612" t="s">
        <v>8237</v>
      </c>
      <c r="F612" s="222">
        <v>55</v>
      </c>
      <c r="G612">
        <v>42</v>
      </c>
      <c r="H612" s="223">
        <v>0.15000000596046401</v>
      </c>
      <c r="I612" s="222">
        <v>1963.5</v>
      </c>
      <c r="J612" t="s">
        <v>8344</v>
      </c>
      <c r="K612" t="s">
        <v>8345</v>
      </c>
      <c r="L612" s="118">
        <v>43932</v>
      </c>
      <c r="M612" s="118">
        <v>43934</v>
      </c>
      <c r="N612" t="s">
        <v>8240</v>
      </c>
      <c r="O612" t="s">
        <v>8251</v>
      </c>
      <c r="P612" t="s">
        <v>269</v>
      </c>
      <c r="Q612" t="str">
        <f>tblSales[[#This Row],[FirstName]]&amp; " " &amp;tblSales[[#This Row],[LastName]]</f>
        <v>Michael Suyama</v>
      </c>
      <c r="R612">
        <f>YEAR(tblSales[[#This Row],[OrderDate]])</f>
        <v>2020</v>
      </c>
      <c r="S612">
        <f>WEEKNUM(tblSales[[#This Row],[OrderDate]])</f>
        <v>15</v>
      </c>
      <c r="T612">
        <f>IF(ISBLANK(tblSales[[#This Row],[ShippedDate]]),"",tblSales[[#This Row],[ShippedDate]]-tblSales[[#This Row],[OrderDate]])</f>
        <v>2</v>
      </c>
      <c r="U612" t="str">
        <f>LEFT(tblSales[[#This Row],[ProductName]],20)</f>
        <v>Raclette Courdavault</v>
      </c>
    </row>
    <row r="613" spans="2:21" x14ac:dyDescent="0.2">
      <c r="B613">
        <v>10701</v>
      </c>
      <c r="C613" t="s">
        <v>8310</v>
      </c>
      <c r="D613" t="s">
        <v>8343</v>
      </c>
      <c r="E613" t="s">
        <v>8237</v>
      </c>
      <c r="F613" s="222">
        <v>21.5</v>
      </c>
      <c r="G613">
        <v>20</v>
      </c>
      <c r="H613" s="223">
        <v>0.15000000596046401</v>
      </c>
      <c r="I613" s="222">
        <v>365.5</v>
      </c>
      <c r="J613" t="s">
        <v>8344</v>
      </c>
      <c r="K613" t="s">
        <v>8345</v>
      </c>
      <c r="L613" s="118">
        <v>43932</v>
      </c>
      <c r="M613" s="118">
        <v>43934</v>
      </c>
      <c r="N613" t="s">
        <v>8240</v>
      </c>
      <c r="O613" t="s">
        <v>8251</v>
      </c>
      <c r="P613" t="s">
        <v>269</v>
      </c>
      <c r="Q613" t="str">
        <f>tblSales[[#This Row],[FirstName]]&amp; " " &amp;tblSales[[#This Row],[LastName]]</f>
        <v>Michael Suyama</v>
      </c>
      <c r="R613">
        <f>YEAR(tblSales[[#This Row],[OrderDate]])</f>
        <v>2020</v>
      </c>
      <c r="S613">
        <f>WEEKNUM(tblSales[[#This Row],[OrderDate]])</f>
        <v>15</v>
      </c>
      <c r="T613">
        <f>IF(ISBLANK(tblSales[[#This Row],[ShippedDate]]),"",tblSales[[#This Row],[ShippedDate]]-tblSales[[#This Row],[OrderDate]])</f>
        <v>2</v>
      </c>
      <c r="U613" t="str">
        <f>LEFT(tblSales[[#This Row],[ProductName]],20)</f>
        <v>Fløtemysost</v>
      </c>
    </row>
    <row r="614" spans="2:21" x14ac:dyDescent="0.2">
      <c r="B614">
        <v>10702</v>
      </c>
      <c r="C614" t="s">
        <v>8303</v>
      </c>
      <c r="D614" t="s">
        <v>8246</v>
      </c>
      <c r="E614" t="s">
        <v>8272</v>
      </c>
      <c r="F614" s="222">
        <v>18</v>
      </c>
      <c r="G614">
        <v>15</v>
      </c>
      <c r="H614" s="223">
        <v>0</v>
      </c>
      <c r="I614" s="222">
        <v>270</v>
      </c>
      <c r="J614" t="s">
        <v>8422</v>
      </c>
      <c r="K614" t="s">
        <v>8423</v>
      </c>
      <c r="L614" s="118">
        <v>43932</v>
      </c>
      <c r="M614" s="118">
        <v>43940</v>
      </c>
      <c r="N614" t="s">
        <v>8250</v>
      </c>
      <c r="O614" t="s">
        <v>8266</v>
      </c>
      <c r="P614" t="s">
        <v>8267</v>
      </c>
      <c r="Q614" t="str">
        <f>tblSales[[#This Row],[FirstName]]&amp; " " &amp;tblSales[[#This Row],[LastName]]</f>
        <v>Margaret Peacock</v>
      </c>
      <c r="R614">
        <f>YEAR(tblSales[[#This Row],[OrderDate]])</f>
        <v>2020</v>
      </c>
      <c r="S614">
        <f>WEEKNUM(tblSales[[#This Row],[OrderDate]])</f>
        <v>15</v>
      </c>
      <c r="T614">
        <f>IF(ISBLANK(tblSales[[#This Row],[ShippedDate]]),"",tblSales[[#This Row],[ShippedDate]]-tblSales[[#This Row],[OrderDate]])</f>
        <v>8</v>
      </c>
      <c r="U614" t="str">
        <f>LEFT(tblSales[[#This Row],[ProductName]],20)</f>
        <v>Lakkalikööri</v>
      </c>
    </row>
    <row r="615" spans="2:21" x14ac:dyDescent="0.2">
      <c r="B615">
        <v>10702</v>
      </c>
      <c r="C615" t="s">
        <v>8337</v>
      </c>
      <c r="D615" t="s">
        <v>8246</v>
      </c>
      <c r="E615" t="s">
        <v>8254</v>
      </c>
      <c r="F615" s="222">
        <v>10</v>
      </c>
      <c r="G615">
        <v>6</v>
      </c>
      <c r="H615" s="223">
        <v>0</v>
      </c>
      <c r="I615" s="222">
        <v>60</v>
      </c>
      <c r="J615" t="s">
        <v>8422</v>
      </c>
      <c r="K615" t="s">
        <v>8423</v>
      </c>
      <c r="L615" s="118">
        <v>43932</v>
      </c>
      <c r="M615" s="118">
        <v>43940</v>
      </c>
      <c r="N615" t="s">
        <v>8250</v>
      </c>
      <c r="O615" t="s">
        <v>8266</v>
      </c>
      <c r="P615" t="s">
        <v>8267</v>
      </c>
      <c r="Q615" t="str">
        <f>tblSales[[#This Row],[FirstName]]&amp; " " &amp;tblSales[[#This Row],[LastName]]</f>
        <v>Margaret Peacock</v>
      </c>
      <c r="R615">
        <f>YEAR(tblSales[[#This Row],[OrderDate]])</f>
        <v>2020</v>
      </c>
      <c r="S615">
        <f>WEEKNUM(tblSales[[#This Row],[OrderDate]])</f>
        <v>15</v>
      </c>
      <c r="T615">
        <f>IF(ISBLANK(tblSales[[#This Row],[ShippedDate]]),"",tblSales[[#This Row],[ShippedDate]]-tblSales[[#This Row],[OrderDate]])</f>
        <v>8</v>
      </c>
      <c r="U615" t="str">
        <f>LEFT(tblSales[[#This Row],[ProductName]],20)</f>
        <v>Aniseed Syrup</v>
      </c>
    </row>
    <row r="616" spans="2:21" x14ac:dyDescent="0.2">
      <c r="B616">
        <v>10703</v>
      </c>
      <c r="C616" t="s">
        <v>8276</v>
      </c>
      <c r="D616" t="s">
        <v>8292</v>
      </c>
      <c r="E616" t="s">
        <v>8272</v>
      </c>
      <c r="F616" s="222">
        <v>19</v>
      </c>
      <c r="G616">
        <v>5</v>
      </c>
      <c r="H616" s="223">
        <v>0</v>
      </c>
      <c r="I616" s="222">
        <v>95</v>
      </c>
      <c r="J616" t="s">
        <v>8293</v>
      </c>
      <c r="K616" t="s">
        <v>8294</v>
      </c>
      <c r="L616" s="118">
        <v>43933</v>
      </c>
      <c r="M616" s="118">
        <v>43939</v>
      </c>
      <c r="N616" t="s">
        <v>8265</v>
      </c>
      <c r="O616" t="s">
        <v>8251</v>
      </c>
      <c r="P616" t="s">
        <v>269</v>
      </c>
      <c r="Q616" t="str">
        <f>tblSales[[#This Row],[FirstName]]&amp; " " &amp;tblSales[[#This Row],[LastName]]</f>
        <v>Michael Suyama</v>
      </c>
      <c r="R616">
        <f>YEAR(tblSales[[#This Row],[OrderDate]])</f>
        <v>2020</v>
      </c>
      <c r="S616">
        <f>WEEKNUM(tblSales[[#This Row],[OrderDate]])</f>
        <v>16</v>
      </c>
      <c r="T616">
        <f>IF(ISBLANK(tblSales[[#This Row],[ShippedDate]]),"",tblSales[[#This Row],[ShippedDate]]-tblSales[[#This Row],[OrderDate]])</f>
        <v>6</v>
      </c>
      <c r="U616" t="str">
        <f>LEFT(tblSales[[#This Row],[ProductName]],20)</f>
        <v>Chang</v>
      </c>
    </row>
    <row r="617" spans="2:21" x14ac:dyDescent="0.2">
      <c r="B617">
        <v>10703</v>
      </c>
      <c r="C617" t="s">
        <v>8281</v>
      </c>
      <c r="D617" t="s">
        <v>8292</v>
      </c>
      <c r="E617" t="s">
        <v>8237</v>
      </c>
      <c r="F617" s="222">
        <v>55</v>
      </c>
      <c r="G617">
        <v>35</v>
      </c>
      <c r="H617" s="223">
        <v>0</v>
      </c>
      <c r="I617" s="222">
        <v>1925</v>
      </c>
      <c r="J617" t="s">
        <v>8293</v>
      </c>
      <c r="K617" t="s">
        <v>8294</v>
      </c>
      <c r="L617" s="118">
        <v>43933</v>
      </c>
      <c r="M617" s="118">
        <v>43939</v>
      </c>
      <c r="N617" t="s">
        <v>8265</v>
      </c>
      <c r="O617" t="s">
        <v>8251</v>
      </c>
      <c r="P617" t="s">
        <v>269</v>
      </c>
      <c r="Q617" t="str">
        <f>tblSales[[#This Row],[FirstName]]&amp; " " &amp;tblSales[[#This Row],[LastName]]</f>
        <v>Michael Suyama</v>
      </c>
      <c r="R617">
        <f>YEAR(tblSales[[#This Row],[OrderDate]])</f>
        <v>2020</v>
      </c>
      <c r="S617">
        <f>WEEKNUM(tblSales[[#This Row],[OrderDate]])</f>
        <v>16</v>
      </c>
      <c r="T617">
        <f>IF(ISBLANK(tblSales[[#This Row],[ShippedDate]]),"",tblSales[[#This Row],[ShippedDate]]-tblSales[[#This Row],[OrderDate]])</f>
        <v>6</v>
      </c>
      <c r="U617" t="str">
        <f>LEFT(tblSales[[#This Row],[ProductName]],20)</f>
        <v>Raclette Courdavault</v>
      </c>
    </row>
    <row r="618" spans="2:21" x14ac:dyDescent="0.2">
      <c r="B618">
        <v>10707</v>
      </c>
      <c r="C618" t="s">
        <v>8288</v>
      </c>
      <c r="D618" t="s">
        <v>2434</v>
      </c>
      <c r="E618" t="s">
        <v>8272</v>
      </c>
      <c r="F618" s="222">
        <v>15</v>
      </c>
      <c r="G618">
        <v>28</v>
      </c>
      <c r="H618" s="223">
        <v>0.15000000596046401</v>
      </c>
      <c r="I618" s="222">
        <v>357</v>
      </c>
      <c r="J618" t="s">
        <v>8386</v>
      </c>
      <c r="K618" t="s">
        <v>8387</v>
      </c>
      <c r="L618" s="118">
        <v>43935</v>
      </c>
      <c r="M618" s="118">
        <v>43942</v>
      </c>
      <c r="N618" t="s">
        <v>8240</v>
      </c>
      <c r="O618" t="s">
        <v>8266</v>
      </c>
      <c r="P618" t="s">
        <v>8267</v>
      </c>
      <c r="Q618" t="str">
        <f>tblSales[[#This Row],[FirstName]]&amp; " " &amp;tblSales[[#This Row],[LastName]]</f>
        <v>Margaret Peacock</v>
      </c>
      <c r="R618">
        <f>YEAR(tblSales[[#This Row],[OrderDate]])</f>
        <v>2020</v>
      </c>
      <c r="S618">
        <f>WEEKNUM(tblSales[[#This Row],[OrderDate]])</f>
        <v>16</v>
      </c>
      <c r="T618">
        <f>IF(ISBLANK(tblSales[[#This Row],[ShippedDate]]),"",tblSales[[#This Row],[ShippedDate]]-tblSales[[#This Row],[OrderDate]])</f>
        <v>7</v>
      </c>
      <c r="U618" t="str">
        <f>LEFT(tblSales[[#This Row],[ProductName]],20)</f>
        <v>Outback Lager</v>
      </c>
    </row>
    <row r="619" spans="2:21" x14ac:dyDescent="0.2">
      <c r="B619">
        <v>10707</v>
      </c>
      <c r="C619" t="s">
        <v>8258</v>
      </c>
      <c r="D619" t="s">
        <v>2434</v>
      </c>
      <c r="E619" t="s">
        <v>8244</v>
      </c>
      <c r="F619" s="222">
        <v>19.5</v>
      </c>
      <c r="G619">
        <v>40</v>
      </c>
      <c r="H619" s="223">
        <v>0</v>
      </c>
      <c r="I619" s="222">
        <v>780</v>
      </c>
      <c r="J619" t="s">
        <v>8386</v>
      </c>
      <c r="K619" t="s">
        <v>8387</v>
      </c>
      <c r="L619" s="118">
        <v>43935</v>
      </c>
      <c r="M619" s="118">
        <v>43942</v>
      </c>
      <c r="N619" t="s">
        <v>8240</v>
      </c>
      <c r="O619" t="s">
        <v>8266</v>
      </c>
      <c r="P619" t="s">
        <v>8267</v>
      </c>
      <c r="Q619" t="str">
        <f>tblSales[[#This Row],[FirstName]]&amp; " " &amp;tblSales[[#This Row],[LastName]]</f>
        <v>Margaret Peacock</v>
      </c>
      <c r="R619">
        <f>YEAR(tblSales[[#This Row],[OrderDate]])</f>
        <v>2020</v>
      </c>
      <c r="S619">
        <f>WEEKNUM(tblSales[[#This Row],[OrderDate]])</f>
        <v>16</v>
      </c>
      <c r="T619">
        <f>IF(ISBLANK(tblSales[[#This Row],[ShippedDate]]),"",tblSales[[#This Row],[ShippedDate]]-tblSales[[#This Row],[OrderDate]])</f>
        <v>7</v>
      </c>
      <c r="U619" t="str">
        <f>LEFT(tblSales[[#This Row],[ProductName]],20)</f>
        <v>Ravioli Angelo</v>
      </c>
    </row>
    <row r="620" spans="2:21" x14ac:dyDescent="0.2">
      <c r="B620">
        <v>11178</v>
      </c>
      <c r="C620" t="s">
        <v>8253</v>
      </c>
      <c r="D620" t="s">
        <v>8236</v>
      </c>
      <c r="E620" t="s">
        <v>8254</v>
      </c>
      <c r="F620" s="222">
        <v>16.8</v>
      </c>
      <c r="G620">
        <v>15</v>
      </c>
      <c r="H620" s="223">
        <v>0.10000000149011599</v>
      </c>
      <c r="I620" s="222">
        <v>226.8</v>
      </c>
      <c r="J620" t="s">
        <v>8382</v>
      </c>
      <c r="K620" t="s">
        <v>8383</v>
      </c>
      <c r="L620" s="118">
        <v>43938</v>
      </c>
      <c r="M620" s="118">
        <v>43946</v>
      </c>
      <c r="N620" t="s">
        <v>8240</v>
      </c>
      <c r="O620" t="s">
        <v>8266</v>
      </c>
      <c r="P620" t="s">
        <v>8267</v>
      </c>
      <c r="Q620" t="str">
        <f>tblSales[[#This Row],[FirstName]]&amp; " " &amp;tblSales[[#This Row],[LastName]]</f>
        <v>Margaret Peacock</v>
      </c>
      <c r="R620">
        <f>YEAR(tblSales[[#This Row],[OrderDate]])</f>
        <v>2020</v>
      </c>
      <c r="S620">
        <f>WEEKNUM(tblSales[[#This Row],[OrderDate]])</f>
        <v>16</v>
      </c>
      <c r="T620">
        <f>IF(ISBLANK(tblSales[[#This Row],[ShippedDate]]),"",tblSales[[#This Row],[ShippedDate]]-tblSales[[#This Row],[OrderDate]])</f>
        <v>8</v>
      </c>
      <c r="U620" t="str">
        <f>LEFT(tblSales[[#This Row],[ProductName]],20)</f>
        <v xml:space="preserve">Louisiana Fiery Hot </v>
      </c>
    </row>
    <row r="621" spans="2:21" x14ac:dyDescent="0.2">
      <c r="B621">
        <v>11178</v>
      </c>
      <c r="C621" t="s">
        <v>8348</v>
      </c>
      <c r="D621" t="s">
        <v>8236</v>
      </c>
      <c r="E621" t="s">
        <v>8254</v>
      </c>
      <c r="F621" s="222">
        <v>13.6</v>
      </c>
      <c r="G621">
        <v>10</v>
      </c>
      <c r="H621" s="223">
        <v>0.10000000149011599</v>
      </c>
      <c r="I621" s="222">
        <v>122.4</v>
      </c>
      <c r="J621" t="s">
        <v>8382</v>
      </c>
      <c r="K621" t="s">
        <v>8383</v>
      </c>
      <c r="L621" s="118">
        <v>43938</v>
      </c>
      <c r="M621" s="118">
        <v>43946</v>
      </c>
      <c r="N621" t="s">
        <v>8240</v>
      </c>
      <c r="O621" t="s">
        <v>8266</v>
      </c>
      <c r="P621" t="s">
        <v>8267</v>
      </c>
      <c r="Q621" t="str">
        <f>tblSales[[#This Row],[FirstName]]&amp; " " &amp;tblSales[[#This Row],[LastName]]</f>
        <v>Margaret Peacock</v>
      </c>
      <c r="R621">
        <f>YEAR(tblSales[[#This Row],[OrderDate]])</f>
        <v>2020</v>
      </c>
      <c r="S621">
        <f>WEEKNUM(tblSales[[#This Row],[OrderDate]])</f>
        <v>16</v>
      </c>
      <c r="T621">
        <f>IF(ISBLANK(tblSales[[#This Row],[ShippedDate]]),"",tblSales[[#This Row],[ShippedDate]]-tblSales[[#This Row],[OrderDate]])</f>
        <v>8</v>
      </c>
      <c r="U621" t="str">
        <f>LEFT(tblSales[[#This Row],[ProductName]],20)</f>
        <v>Louisiana Hot Spiced</v>
      </c>
    </row>
    <row r="622" spans="2:21" x14ac:dyDescent="0.2">
      <c r="B622">
        <v>11178</v>
      </c>
      <c r="C622" t="s">
        <v>8353</v>
      </c>
      <c r="D622" t="s">
        <v>8236</v>
      </c>
      <c r="E622" t="s">
        <v>8237</v>
      </c>
      <c r="F622" s="222">
        <v>28.8</v>
      </c>
      <c r="G622">
        <v>10</v>
      </c>
      <c r="H622" s="223">
        <v>0.10000000149011599</v>
      </c>
      <c r="I622" s="222">
        <v>259.2</v>
      </c>
      <c r="J622" t="s">
        <v>8382</v>
      </c>
      <c r="K622" t="s">
        <v>8383</v>
      </c>
      <c r="L622" s="118">
        <v>43938</v>
      </c>
      <c r="M622" s="118">
        <v>43946</v>
      </c>
      <c r="N622" t="s">
        <v>8240</v>
      </c>
      <c r="O622" t="s">
        <v>8266</v>
      </c>
      <c r="P622" t="s">
        <v>8267</v>
      </c>
      <c r="Q622" t="str">
        <f>tblSales[[#This Row],[FirstName]]&amp; " " &amp;tblSales[[#This Row],[LastName]]</f>
        <v>Margaret Peacock</v>
      </c>
      <c r="R622">
        <f>YEAR(tblSales[[#This Row],[OrderDate]])</f>
        <v>2020</v>
      </c>
      <c r="S622">
        <f>WEEKNUM(tblSales[[#This Row],[OrderDate]])</f>
        <v>16</v>
      </c>
      <c r="T622">
        <f>IF(ISBLANK(tblSales[[#This Row],[ShippedDate]]),"",tblSales[[#This Row],[ShippedDate]]-tblSales[[#This Row],[OrderDate]])</f>
        <v>8</v>
      </c>
      <c r="U622" t="str">
        <f>LEFT(tblSales[[#This Row],[ProductName]],20)</f>
        <v>Gudbrandsdalsost</v>
      </c>
    </row>
    <row r="623" spans="2:21" x14ac:dyDescent="0.2">
      <c r="B623">
        <v>10710</v>
      </c>
      <c r="C623" t="s">
        <v>8410</v>
      </c>
      <c r="D623" t="s">
        <v>8311</v>
      </c>
      <c r="E623" t="s">
        <v>8262</v>
      </c>
      <c r="F623" s="222">
        <v>9.5</v>
      </c>
      <c r="G623">
        <v>5</v>
      </c>
      <c r="H623" s="223">
        <v>0</v>
      </c>
      <c r="I623" s="222">
        <v>47.5</v>
      </c>
      <c r="J623" t="s">
        <v>8411</v>
      </c>
      <c r="K623" t="s">
        <v>8412</v>
      </c>
      <c r="L623" s="118">
        <v>43939</v>
      </c>
      <c r="M623" s="118">
        <v>43942</v>
      </c>
      <c r="N623" t="s">
        <v>8250</v>
      </c>
      <c r="O623" t="s">
        <v>8285</v>
      </c>
      <c r="P623" t="s">
        <v>2317</v>
      </c>
      <c r="Q623" t="str">
        <f>tblSales[[#This Row],[FirstName]]&amp; " " &amp;tblSales[[#This Row],[LastName]]</f>
        <v>Nancy Davolio</v>
      </c>
      <c r="R623">
        <f>YEAR(tblSales[[#This Row],[OrderDate]])</f>
        <v>2020</v>
      </c>
      <c r="S623">
        <f>WEEKNUM(tblSales[[#This Row],[OrderDate]])</f>
        <v>16</v>
      </c>
      <c r="T623">
        <f>IF(ISBLANK(tblSales[[#This Row],[ShippedDate]]),"",tblSales[[#This Row],[ShippedDate]]-tblSales[[#This Row],[OrderDate]])</f>
        <v>3</v>
      </c>
      <c r="U623" t="str">
        <f>LEFT(tblSales[[#This Row],[ProductName]],20)</f>
        <v>Zaanse koeken</v>
      </c>
    </row>
    <row r="624" spans="2:21" x14ac:dyDescent="0.2">
      <c r="B624">
        <v>10710</v>
      </c>
      <c r="C624" t="s">
        <v>8327</v>
      </c>
      <c r="D624" t="s">
        <v>8311</v>
      </c>
      <c r="E624" t="s">
        <v>8262</v>
      </c>
      <c r="F624" s="222">
        <v>9.1999999999999993</v>
      </c>
      <c r="G624">
        <v>5</v>
      </c>
      <c r="H624" s="223">
        <v>0</v>
      </c>
      <c r="I624" s="222">
        <v>46</v>
      </c>
      <c r="J624" t="s">
        <v>8411</v>
      </c>
      <c r="K624" t="s">
        <v>8412</v>
      </c>
      <c r="L624" s="118">
        <v>43939</v>
      </c>
      <c r="M624" s="118">
        <v>43942</v>
      </c>
      <c r="N624" t="s">
        <v>8250</v>
      </c>
      <c r="O624" t="s">
        <v>8285</v>
      </c>
      <c r="P624" t="s">
        <v>2317</v>
      </c>
      <c r="Q624" t="str">
        <f>tblSales[[#This Row],[FirstName]]&amp; " " &amp;tblSales[[#This Row],[LastName]]</f>
        <v>Nancy Davolio</v>
      </c>
      <c r="R624">
        <f>YEAR(tblSales[[#This Row],[OrderDate]])</f>
        <v>2020</v>
      </c>
      <c r="S624">
        <f>WEEKNUM(tblSales[[#This Row],[OrderDate]])</f>
        <v>16</v>
      </c>
      <c r="T624">
        <f>IF(ISBLANK(tblSales[[#This Row],[ShippedDate]]),"",tblSales[[#This Row],[ShippedDate]]-tblSales[[#This Row],[OrderDate]])</f>
        <v>3</v>
      </c>
      <c r="U624" t="str">
        <f>LEFT(tblSales[[#This Row],[ProductName]],20)</f>
        <v>Teatime Chocolate Bi</v>
      </c>
    </row>
    <row r="625" spans="2:21" x14ac:dyDescent="0.2">
      <c r="B625">
        <v>10712</v>
      </c>
      <c r="C625" t="s">
        <v>8341</v>
      </c>
      <c r="D625" t="s">
        <v>8343</v>
      </c>
      <c r="E625" t="s">
        <v>8244</v>
      </c>
      <c r="F625" s="222">
        <v>38</v>
      </c>
      <c r="G625">
        <v>30</v>
      </c>
      <c r="H625" s="223">
        <v>0</v>
      </c>
      <c r="I625" s="222">
        <v>1140</v>
      </c>
      <c r="J625" t="s">
        <v>8344</v>
      </c>
      <c r="K625" t="s">
        <v>8345</v>
      </c>
      <c r="L625" s="118">
        <v>43940</v>
      </c>
      <c r="M625" s="118">
        <v>43950</v>
      </c>
      <c r="N625" t="s">
        <v>8250</v>
      </c>
      <c r="O625" t="s">
        <v>8257</v>
      </c>
      <c r="P625" t="s">
        <v>6984</v>
      </c>
      <c r="Q625" t="str">
        <f>tblSales[[#This Row],[FirstName]]&amp; " " &amp;tblSales[[#This Row],[LastName]]</f>
        <v>Janet Leverling</v>
      </c>
      <c r="R625">
        <f>YEAR(tblSales[[#This Row],[OrderDate]])</f>
        <v>2020</v>
      </c>
      <c r="S625">
        <f>WEEKNUM(tblSales[[#This Row],[OrderDate]])</f>
        <v>17</v>
      </c>
      <c r="T625">
        <f>IF(ISBLANK(tblSales[[#This Row],[ShippedDate]]),"",tblSales[[#This Row],[ShippedDate]]-tblSales[[#This Row],[OrderDate]])</f>
        <v>10</v>
      </c>
      <c r="U625" t="str">
        <f>LEFT(tblSales[[#This Row],[ProductName]],20)</f>
        <v>Gnocchi di nonna Ali</v>
      </c>
    </row>
    <row r="626" spans="2:21" x14ac:dyDescent="0.2">
      <c r="B626">
        <v>10715</v>
      </c>
      <c r="C626" t="s">
        <v>8310</v>
      </c>
      <c r="D626" t="s">
        <v>8236</v>
      </c>
      <c r="E626" t="s">
        <v>8237</v>
      </c>
      <c r="F626" s="222">
        <v>21.5</v>
      </c>
      <c r="G626">
        <v>30</v>
      </c>
      <c r="H626" s="223">
        <v>0</v>
      </c>
      <c r="I626" s="222">
        <v>645</v>
      </c>
      <c r="J626" t="s">
        <v>8377</v>
      </c>
      <c r="K626" t="s">
        <v>8378</v>
      </c>
      <c r="L626" s="118">
        <v>43942</v>
      </c>
      <c r="M626" s="118">
        <v>43948</v>
      </c>
      <c r="N626" t="s">
        <v>8250</v>
      </c>
      <c r="O626" t="s">
        <v>8257</v>
      </c>
      <c r="P626" t="s">
        <v>6984</v>
      </c>
      <c r="Q626" t="str">
        <f>tblSales[[#This Row],[FirstName]]&amp; " " &amp;tblSales[[#This Row],[LastName]]</f>
        <v>Janet Leverling</v>
      </c>
      <c r="R626">
        <f>YEAR(tblSales[[#This Row],[OrderDate]])</f>
        <v>2020</v>
      </c>
      <c r="S626">
        <f>WEEKNUM(tblSales[[#This Row],[OrderDate]])</f>
        <v>17</v>
      </c>
      <c r="T626">
        <f>IF(ISBLANK(tblSales[[#This Row],[ShippedDate]]),"",tblSales[[#This Row],[ShippedDate]]-tblSales[[#This Row],[OrderDate]])</f>
        <v>6</v>
      </c>
      <c r="U626" t="str">
        <f>LEFT(tblSales[[#This Row],[ProductName]],20)</f>
        <v>Fløtemysost</v>
      </c>
    </row>
    <row r="627" spans="2:21" x14ac:dyDescent="0.2">
      <c r="B627">
        <v>10717</v>
      </c>
      <c r="C627" t="s">
        <v>8368</v>
      </c>
      <c r="D627" t="s">
        <v>8246</v>
      </c>
      <c r="E627" t="s">
        <v>8262</v>
      </c>
      <c r="F627" s="222">
        <v>10</v>
      </c>
      <c r="G627">
        <v>32</v>
      </c>
      <c r="H627" s="223">
        <v>5.0000000745058101E-2</v>
      </c>
      <c r="I627" s="222">
        <v>304</v>
      </c>
      <c r="J627" t="s">
        <v>8304</v>
      </c>
      <c r="K627" t="s">
        <v>8305</v>
      </c>
      <c r="L627" s="118">
        <v>43943</v>
      </c>
      <c r="M627" s="118">
        <v>43948</v>
      </c>
      <c r="N627" t="s">
        <v>8265</v>
      </c>
      <c r="O627" t="s">
        <v>8285</v>
      </c>
      <c r="P627" t="s">
        <v>2317</v>
      </c>
      <c r="Q627" t="str">
        <f>tblSales[[#This Row],[FirstName]]&amp; " " &amp;tblSales[[#This Row],[LastName]]</f>
        <v>Nancy Davolio</v>
      </c>
      <c r="R627">
        <f>YEAR(tblSales[[#This Row],[OrderDate]])</f>
        <v>2020</v>
      </c>
      <c r="S627">
        <f>WEEKNUM(tblSales[[#This Row],[OrderDate]])</f>
        <v>17</v>
      </c>
      <c r="T627">
        <f>IF(ISBLANK(tblSales[[#This Row],[ShippedDate]]),"",tblSales[[#This Row],[ShippedDate]]-tblSales[[#This Row],[OrderDate]])</f>
        <v>5</v>
      </c>
      <c r="U627" t="str">
        <f>LEFT(tblSales[[#This Row],[ProductName]],20)</f>
        <v>Sir Rodney's Scones</v>
      </c>
    </row>
    <row r="628" spans="2:21" x14ac:dyDescent="0.2">
      <c r="B628">
        <v>10717</v>
      </c>
      <c r="C628" t="s">
        <v>8353</v>
      </c>
      <c r="D628" t="s">
        <v>8246</v>
      </c>
      <c r="E628" t="s">
        <v>8237</v>
      </c>
      <c r="F628" s="222">
        <v>36</v>
      </c>
      <c r="G628">
        <v>25</v>
      </c>
      <c r="H628" s="223">
        <v>5.0000000745058101E-2</v>
      </c>
      <c r="I628" s="222">
        <v>855</v>
      </c>
      <c r="J628" t="s">
        <v>8304</v>
      </c>
      <c r="K628" t="s">
        <v>8305</v>
      </c>
      <c r="L628" s="118">
        <v>43943</v>
      </c>
      <c r="M628" s="118">
        <v>43948</v>
      </c>
      <c r="N628" t="s">
        <v>8265</v>
      </c>
      <c r="O628" t="s">
        <v>8285</v>
      </c>
      <c r="P628" t="s">
        <v>2317</v>
      </c>
      <c r="Q628" t="str">
        <f>tblSales[[#This Row],[FirstName]]&amp; " " &amp;tblSales[[#This Row],[LastName]]</f>
        <v>Nancy Davolio</v>
      </c>
      <c r="R628">
        <f>YEAR(tblSales[[#This Row],[OrderDate]])</f>
        <v>2020</v>
      </c>
      <c r="S628">
        <f>WEEKNUM(tblSales[[#This Row],[OrderDate]])</f>
        <v>17</v>
      </c>
      <c r="T628">
        <f>IF(ISBLANK(tblSales[[#This Row],[ShippedDate]]),"",tblSales[[#This Row],[ShippedDate]]-tblSales[[#This Row],[OrderDate]])</f>
        <v>5</v>
      </c>
      <c r="U628" t="str">
        <f>LEFT(tblSales[[#This Row],[ProductName]],20)</f>
        <v>Gudbrandsdalsost</v>
      </c>
    </row>
    <row r="629" spans="2:21" x14ac:dyDescent="0.2">
      <c r="B629">
        <v>11187</v>
      </c>
      <c r="C629" t="s">
        <v>8361</v>
      </c>
      <c r="D629" t="s">
        <v>8236</v>
      </c>
      <c r="E629" t="s">
        <v>8254</v>
      </c>
      <c r="F629" s="222">
        <v>15.5</v>
      </c>
      <c r="G629">
        <v>12</v>
      </c>
      <c r="H629" s="223">
        <v>5.0000000745058101E-2</v>
      </c>
      <c r="I629" s="222">
        <v>176.7</v>
      </c>
      <c r="J629" t="s">
        <v>8382</v>
      </c>
      <c r="K629" t="s">
        <v>8383</v>
      </c>
      <c r="L629" s="118">
        <v>43945</v>
      </c>
      <c r="M629" s="118">
        <v>43953</v>
      </c>
      <c r="N629" t="s">
        <v>8250</v>
      </c>
      <c r="O629" t="s">
        <v>8251</v>
      </c>
      <c r="P629" t="s">
        <v>269</v>
      </c>
      <c r="Q629" t="str">
        <f>tblSales[[#This Row],[FirstName]]&amp; " " &amp;tblSales[[#This Row],[LastName]]</f>
        <v>Michael Suyama</v>
      </c>
      <c r="R629">
        <f>YEAR(tblSales[[#This Row],[OrderDate]])</f>
        <v>2020</v>
      </c>
      <c r="S629">
        <f>WEEKNUM(tblSales[[#This Row],[OrderDate]])</f>
        <v>17</v>
      </c>
      <c r="T629">
        <f>IF(ISBLANK(tblSales[[#This Row],[ShippedDate]]),"",tblSales[[#This Row],[ShippedDate]]-tblSales[[#This Row],[OrderDate]])</f>
        <v>8</v>
      </c>
      <c r="U629" t="str">
        <f>LEFT(tblSales[[#This Row],[ProductName]],20)</f>
        <v>Genen Shouyu</v>
      </c>
    </row>
    <row r="630" spans="2:21" x14ac:dyDescent="0.2">
      <c r="B630">
        <v>11187</v>
      </c>
      <c r="C630" t="s">
        <v>8316</v>
      </c>
      <c r="D630" t="s">
        <v>8236</v>
      </c>
      <c r="E630" t="s">
        <v>8247</v>
      </c>
      <c r="F630" s="222">
        <v>45.6</v>
      </c>
      <c r="G630">
        <v>8</v>
      </c>
      <c r="H630" s="223">
        <v>5.0000000745058101E-2</v>
      </c>
      <c r="I630" s="222">
        <v>346.56</v>
      </c>
      <c r="J630" t="s">
        <v>8382</v>
      </c>
      <c r="K630" t="s">
        <v>8383</v>
      </c>
      <c r="L630" s="118">
        <v>43945</v>
      </c>
      <c r="M630" s="118">
        <v>43953</v>
      </c>
      <c r="N630" t="s">
        <v>8250</v>
      </c>
      <c r="O630" t="s">
        <v>8251</v>
      </c>
      <c r="P630" t="s">
        <v>269</v>
      </c>
      <c r="Q630" t="str">
        <f>tblSales[[#This Row],[FirstName]]&amp; " " &amp;tblSales[[#This Row],[LastName]]</f>
        <v>Michael Suyama</v>
      </c>
      <c r="R630">
        <f>YEAR(tblSales[[#This Row],[OrderDate]])</f>
        <v>2020</v>
      </c>
      <c r="S630">
        <f>WEEKNUM(tblSales[[#This Row],[OrderDate]])</f>
        <v>17</v>
      </c>
      <c r="T630">
        <f>IF(ISBLANK(tblSales[[#This Row],[ShippedDate]]),"",tblSales[[#This Row],[ShippedDate]]-tblSales[[#This Row],[OrderDate]])</f>
        <v>8</v>
      </c>
      <c r="U630" t="str">
        <f>LEFT(tblSales[[#This Row],[ProductName]],20)</f>
        <v>Rössle Sauerkraut</v>
      </c>
    </row>
    <row r="631" spans="2:21" x14ac:dyDescent="0.2">
      <c r="B631">
        <v>10718</v>
      </c>
      <c r="C631" t="s">
        <v>8291</v>
      </c>
      <c r="D631" t="s">
        <v>8246</v>
      </c>
      <c r="E631" t="s">
        <v>8262</v>
      </c>
      <c r="F631" s="222">
        <v>49.3</v>
      </c>
      <c r="G631">
        <v>20</v>
      </c>
      <c r="H631" s="223">
        <v>0</v>
      </c>
      <c r="I631" s="222">
        <v>986</v>
      </c>
      <c r="J631" t="s">
        <v>8359</v>
      </c>
      <c r="K631" t="s">
        <v>8360</v>
      </c>
      <c r="L631" s="118">
        <v>43946</v>
      </c>
      <c r="M631" s="118">
        <v>43948</v>
      </c>
      <c r="N631" t="s">
        <v>8240</v>
      </c>
      <c r="O631" t="s">
        <v>8285</v>
      </c>
      <c r="P631" t="s">
        <v>2317</v>
      </c>
      <c r="Q631" t="str">
        <f>tblSales[[#This Row],[FirstName]]&amp; " " &amp;tblSales[[#This Row],[LastName]]</f>
        <v>Nancy Davolio</v>
      </c>
      <c r="R631">
        <f>YEAR(tblSales[[#This Row],[OrderDate]])</f>
        <v>2020</v>
      </c>
      <c r="S631">
        <f>WEEKNUM(tblSales[[#This Row],[OrderDate]])</f>
        <v>17</v>
      </c>
      <c r="T631">
        <f>IF(ISBLANK(tblSales[[#This Row],[ShippedDate]]),"",tblSales[[#This Row],[ShippedDate]]-tblSales[[#This Row],[OrderDate]])</f>
        <v>2</v>
      </c>
      <c r="U631" t="str">
        <f>LEFT(tblSales[[#This Row],[ProductName]],20)</f>
        <v>Tarte au sucre</v>
      </c>
    </row>
    <row r="632" spans="2:21" x14ac:dyDescent="0.2">
      <c r="B632">
        <v>10718</v>
      </c>
      <c r="C632" t="s">
        <v>8280</v>
      </c>
      <c r="D632" t="s">
        <v>8246</v>
      </c>
      <c r="E632" t="s">
        <v>8262</v>
      </c>
      <c r="F632" s="222">
        <v>17.45</v>
      </c>
      <c r="G632">
        <v>20</v>
      </c>
      <c r="H632" s="223">
        <v>0</v>
      </c>
      <c r="I632" s="222">
        <v>349</v>
      </c>
      <c r="J632" t="s">
        <v>8359</v>
      </c>
      <c r="K632" t="s">
        <v>8360</v>
      </c>
      <c r="L632" s="118">
        <v>43946</v>
      </c>
      <c r="M632" s="118">
        <v>43948</v>
      </c>
      <c r="N632" t="s">
        <v>8240</v>
      </c>
      <c r="O632" t="s">
        <v>8285</v>
      </c>
      <c r="P632" t="s">
        <v>2317</v>
      </c>
      <c r="Q632" t="str">
        <f>tblSales[[#This Row],[FirstName]]&amp; " " &amp;tblSales[[#This Row],[LastName]]</f>
        <v>Nancy Davolio</v>
      </c>
      <c r="R632">
        <f>YEAR(tblSales[[#This Row],[OrderDate]])</f>
        <v>2020</v>
      </c>
      <c r="S632">
        <f>WEEKNUM(tblSales[[#This Row],[OrderDate]])</f>
        <v>17</v>
      </c>
      <c r="T632">
        <f>IF(ISBLANK(tblSales[[#This Row],[ShippedDate]]),"",tblSales[[#This Row],[ShippedDate]]-tblSales[[#This Row],[OrderDate]])</f>
        <v>2</v>
      </c>
      <c r="U632" t="str">
        <f>LEFT(tblSales[[#This Row],[ProductName]],20)</f>
        <v>Pavlova</v>
      </c>
    </row>
    <row r="633" spans="2:21" x14ac:dyDescent="0.2">
      <c r="B633">
        <v>10718</v>
      </c>
      <c r="C633" t="s">
        <v>8299</v>
      </c>
      <c r="D633" t="s">
        <v>8246</v>
      </c>
      <c r="E633" t="s">
        <v>8237</v>
      </c>
      <c r="F633" s="222">
        <v>38</v>
      </c>
      <c r="G633">
        <v>36</v>
      </c>
      <c r="H633" s="223">
        <v>0</v>
      </c>
      <c r="I633" s="222">
        <v>1368</v>
      </c>
      <c r="J633" t="s">
        <v>8359</v>
      </c>
      <c r="K633" t="s">
        <v>8360</v>
      </c>
      <c r="L633" s="118">
        <v>43946</v>
      </c>
      <c r="M633" s="118">
        <v>43948</v>
      </c>
      <c r="N633" t="s">
        <v>8240</v>
      </c>
      <c r="O633" t="s">
        <v>8285</v>
      </c>
      <c r="P633" t="s">
        <v>2317</v>
      </c>
      <c r="Q633" t="str">
        <f>tblSales[[#This Row],[FirstName]]&amp; " " &amp;tblSales[[#This Row],[LastName]]</f>
        <v>Nancy Davolio</v>
      </c>
      <c r="R633">
        <f>YEAR(tblSales[[#This Row],[OrderDate]])</f>
        <v>2020</v>
      </c>
      <c r="S633">
        <f>WEEKNUM(tblSales[[#This Row],[OrderDate]])</f>
        <v>17</v>
      </c>
      <c r="T633">
        <f>IF(ISBLANK(tblSales[[#This Row],[ShippedDate]]),"",tblSales[[#This Row],[ShippedDate]]-tblSales[[#This Row],[OrderDate]])</f>
        <v>2</v>
      </c>
      <c r="U633" t="str">
        <f>LEFT(tblSales[[#This Row],[ProductName]],20)</f>
        <v>Queso Manchego La Pa</v>
      </c>
    </row>
    <row r="634" spans="2:21" x14ac:dyDescent="0.2">
      <c r="B634">
        <v>10721</v>
      </c>
      <c r="C634" t="s">
        <v>8322</v>
      </c>
      <c r="D634" t="s">
        <v>8246</v>
      </c>
      <c r="E634" t="s">
        <v>8254</v>
      </c>
      <c r="F634" s="222">
        <v>19.45</v>
      </c>
      <c r="G634">
        <v>50</v>
      </c>
      <c r="H634" s="223">
        <v>5.0000000745058101E-2</v>
      </c>
      <c r="I634" s="222">
        <v>923.87</v>
      </c>
      <c r="J634" t="s">
        <v>8307</v>
      </c>
      <c r="K634" t="s">
        <v>8308</v>
      </c>
      <c r="L634" s="118">
        <v>43948</v>
      </c>
      <c r="M634" s="118">
        <v>43950</v>
      </c>
      <c r="N634" t="s">
        <v>8240</v>
      </c>
      <c r="O634" t="s">
        <v>8241</v>
      </c>
      <c r="P634" t="s">
        <v>6934</v>
      </c>
      <c r="Q634" t="str">
        <f>tblSales[[#This Row],[FirstName]]&amp; " " &amp;tblSales[[#This Row],[LastName]]</f>
        <v>Steven Buchanan</v>
      </c>
      <c r="R634">
        <f>YEAR(tblSales[[#This Row],[OrderDate]])</f>
        <v>2020</v>
      </c>
      <c r="S634">
        <f>WEEKNUM(tblSales[[#This Row],[OrderDate]])</f>
        <v>18</v>
      </c>
      <c r="T634">
        <f>IF(ISBLANK(tblSales[[#This Row],[ShippedDate]]),"",tblSales[[#This Row],[ShippedDate]]-tblSales[[#This Row],[OrderDate]])</f>
        <v>2</v>
      </c>
      <c r="U634" t="str">
        <f>LEFT(tblSales[[#This Row],[ProductName]],20)</f>
        <v>Gula Malacca</v>
      </c>
    </row>
    <row r="635" spans="2:21" x14ac:dyDescent="0.2">
      <c r="B635">
        <v>10726</v>
      </c>
      <c r="C635" t="s">
        <v>8352</v>
      </c>
      <c r="D635" t="s">
        <v>2434</v>
      </c>
      <c r="E635" t="s">
        <v>8254</v>
      </c>
      <c r="F635" s="222">
        <v>22</v>
      </c>
      <c r="G635">
        <v>25</v>
      </c>
      <c r="H635" s="223">
        <v>0</v>
      </c>
      <c r="I635" s="222">
        <v>550</v>
      </c>
      <c r="J635" t="s">
        <v>8393</v>
      </c>
      <c r="K635" t="s">
        <v>8394</v>
      </c>
      <c r="L635" s="118">
        <v>43953</v>
      </c>
      <c r="M635" s="118">
        <v>43985</v>
      </c>
      <c r="N635" t="s">
        <v>8250</v>
      </c>
      <c r="O635" t="s">
        <v>8266</v>
      </c>
      <c r="P635" t="s">
        <v>8267</v>
      </c>
      <c r="Q635" t="str">
        <f>tblSales[[#This Row],[FirstName]]&amp; " " &amp;tblSales[[#This Row],[LastName]]</f>
        <v>Margaret Peacock</v>
      </c>
      <c r="R635">
        <f>YEAR(tblSales[[#This Row],[OrderDate]])</f>
        <v>2020</v>
      </c>
      <c r="S635">
        <f>WEEKNUM(tblSales[[#This Row],[OrderDate]])</f>
        <v>18</v>
      </c>
      <c r="T635">
        <f>IF(ISBLANK(tblSales[[#This Row],[ShippedDate]]),"",tblSales[[#This Row],[ShippedDate]]-tblSales[[#This Row],[OrderDate]])</f>
        <v>32</v>
      </c>
      <c r="U635" t="str">
        <f>LEFT(tblSales[[#This Row],[ProductName]],20)</f>
        <v>Chef Anton's Cajun S</v>
      </c>
    </row>
    <row r="636" spans="2:21" x14ac:dyDescent="0.2">
      <c r="B636">
        <v>10726</v>
      </c>
      <c r="C636" t="s">
        <v>8242</v>
      </c>
      <c r="D636" t="s">
        <v>2434</v>
      </c>
      <c r="E636" t="s">
        <v>8237</v>
      </c>
      <c r="F636" s="222">
        <v>21</v>
      </c>
      <c r="G636">
        <v>5</v>
      </c>
      <c r="H636" s="223">
        <v>0</v>
      </c>
      <c r="I636" s="222">
        <v>105</v>
      </c>
      <c r="J636" t="s">
        <v>8393</v>
      </c>
      <c r="K636" t="s">
        <v>8394</v>
      </c>
      <c r="L636" s="118">
        <v>43953</v>
      </c>
      <c r="M636" s="118">
        <v>43985</v>
      </c>
      <c r="N636" t="s">
        <v>8250</v>
      </c>
      <c r="O636" t="s">
        <v>8266</v>
      </c>
      <c r="P636" t="s">
        <v>8267</v>
      </c>
      <c r="Q636" t="str">
        <f>tblSales[[#This Row],[FirstName]]&amp; " " &amp;tblSales[[#This Row],[LastName]]</f>
        <v>Margaret Peacock</v>
      </c>
      <c r="R636">
        <f>YEAR(tblSales[[#This Row],[OrderDate]])</f>
        <v>2020</v>
      </c>
      <c r="S636">
        <f>WEEKNUM(tblSales[[#This Row],[OrderDate]])</f>
        <v>18</v>
      </c>
      <c r="T636">
        <f>IF(ISBLANK(tblSales[[#This Row],[ShippedDate]]),"",tblSales[[#This Row],[ShippedDate]]-tblSales[[#This Row],[OrderDate]])</f>
        <v>32</v>
      </c>
      <c r="U636" t="str">
        <f>LEFT(tblSales[[#This Row],[ProductName]],20)</f>
        <v>Queso Cabrales</v>
      </c>
    </row>
    <row r="637" spans="2:21" x14ac:dyDescent="0.2">
      <c r="B637">
        <v>10727</v>
      </c>
      <c r="C637" t="s">
        <v>8281</v>
      </c>
      <c r="D637" t="s">
        <v>8311</v>
      </c>
      <c r="E637" t="s">
        <v>8237</v>
      </c>
      <c r="F637" s="222">
        <v>55</v>
      </c>
      <c r="G637">
        <v>10</v>
      </c>
      <c r="H637" s="223">
        <v>5.0000000745058101E-2</v>
      </c>
      <c r="I637" s="222">
        <v>522.5</v>
      </c>
      <c r="J637" t="s">
        <v>8335</v>
      </c>
      <c r="K637" t="s">
        <v>8336</v>
      </c>
      <c r="L637" s="118">
        <v>43953</v>
      </c>
      <c r="M637" s="118">
        <v>43985</v>
      </c>
      <c r="N637" t="s">
        <v>8250</v>
      </c>
      <c r="O637" t="s">
        <v>8297</v>
      </c>
      <c r="P637" t="s">
        <v>8298</v>
      </c>
      <c r="Q637" t="str">
        <f>tblSales[[#This Row],[FirstName]]&amp; " " &amp;tblSales[[#This Row],[LastName]]</f>
        <v>Andrew Fuller</v>
      </c>
      <c r="R637">
        <f>YEAR(tblSales[[#This Row],[OrderDate]])</f>
        <v>2020</v>
      </c>
      <c r="S637">
        <f>WEEKNUM(tblSales[[#This Row],[OrderDate]])</f>
        <v>18</v>
      </c>
      <c r="T637">
        <f>IF(ISBLANK(tblSales[[#This Row],[ShippedDate]]),"",tblSales[[#This Row],[ShippedDate]]-tblSales[[#This Row],[OrderDate]])</f>
        <v>32</v>
      </c>
      <c r="U637" t="str">
        <f>LEFT(tblSales[[#This Row],[ProductName]],20)</f>
        <v>Raclette Courdavault</v>
      </c>
    </row>
    <row r="638" spans="2:21" x14ac:dyDescent="0.2">
      <c r="B638">
        <v>10727</v>
      </c>
      <c r="C638" t="s">
        <v>8341</v>
      </c>
      <c r="D638" t="s">
        <v>8311</v>
      </c>
      <c r="E638" t="s">
        <v>8244</v>
      </c>
      <c r="F638" s="222">
        <v>38</v>
      </c>
      <c r="G638">
        <v>10</v>
      </c>
      <c r="H638" s="223">
        <v>5.0000000745058101E-2</v>
      </c>
      <c r="I638" s="222">
        <v>361</v>
      </c>
      <c r="J638" t="s">
        <v>8335</v>
      </c>
      <c r="K638" t="s">
        <v>8336</v>
      </c>
      <c r="L638" s="118">
        <v>43953</v>
      </c>
      <c r="M638" s="118">
        <v>43985</v>
      </c>
      <c r="N638" t="s">
        <v>8250</v>
      </c>
      <c r="O638" t="s">
        <v>8297</v>
      </c>
      <c r="P638" t="s">
        <v>8298</v>
      </c>
      <c r="Q638" t="str">
        <f>tblSales[[#This Row],[FirstName]]&amp; " " &amp;tblSales[[#This Row],[LastName]]</f>
        <v>Andrew Fuller</v>
      </c>
      <c r="R638">
        <f>YEAR(tblSales[[#This Row],[OrderDate]])</f>
        <v>2020</v>
      </c>
      <c r="S638">
        <f>WEEKNUM(tblSales[[#This Row],[OrderDate]])</f>
        <v>18</v>
      </c>
      <c r="T638">
        <f>IF(ISBLANK(tblSales[[#This Row],[ShippedDate]]),"",tblSales[[#This Row],[ShippedDate]]-tblSales[[#This Row],[OrderDate]])</f>
        <v>32</v>
      </c>
      <c r="U638" t="str">
        <f>LEFT(tblSales[[#This Row],[ProductName]],20)</f>
        <v>Gnocchi di nonna Ali</v>
      </c>
    </row>
    <row r="639" spans="2:21" x14ac:dyDescent="0.2">
      <c r="B639">
        <v>11189</v>
      </c>
      <c r="C639" t="s">
        <v>8352</v>
      </c>
      <c r="D639" t="s">
        <v>8236</v>
      </c>
      <c r="E639" t="s">
        <v>8254</v>
      </c>
      <c r="F639" s="222">
        <v>22</v>
      </c>
      <c r="G639">
        <v>50</v>
      </c>
      <c r="H639" s="223">
        <v>0.15000000596046401</v>
      </c>
      <c r="I639" s="222">
        <v>935</v>
      </c>
      <c r="J639" t="s">
        <v>8377</v>
      </c>
      <c r="K639" t="s">
        <v>8378</v>
      </c>
      <c r="L639" s="118">
        <v>43954</v>
      </c>
      <c r="M639" s="118">
        <v>43957</v>
      </c>
      <c r="N639" t="s">
        <v>8240</v>
      </c>
      <c r="O639" t="s">
        <v>8266</v>
      </c>
      <c r="P639" t="s">
        <v>8267</v>
      </c>
      <c r="Q639" t="str">
        <f>tblSales[[#This Row],[FirstName]]&amp; " " &amp;tblSales[[#This Row],[LastName]]</f>
        <v>Margaret Peacock</v>
      </c>
      <c r="R639">
        <f>YEAR(tblSales[[#This Row],[OrderDate]])</f>
        <v>2020</v>
      </c>
      <c r="S639">
        <f>WEEKNUM(tblSales[[#This Row],[OrderDate]])</f>
        <v>19</v>
      </c>
      <c r="T639">
        <f>IF(ISBLANK(tblSales[[#This Row],[ShippedDate]]),"",tblSales[[#This Row],[ShippedDate]]-tblSales[[#This Row],[OrderDate]])</f>
        <v>3</v>
      </c>
      <c r="U639" t="str">
        <f>LEFT(tblSales[[#This Row],[ProductName]],20)</f>
        <v>Chef Anton's Cajun S</v>
      </c>
    </row>
    <row r="640" spans="2:21" x14ac:dyDescent="0.2">
      <c r="B640">
        <v>11189</v>
      </c>
      <c r="C640" t="s">
        <v>8379</v>
      </c>
      <c r="D640" t="s">
        <v>8236</v>
      </c>
      <c r="E640" t="s">
        <v>8254</v>
      </c>
      <c r="F640" s="222">
        <v>40</v>
      </c>
      <c r="G640">
        <v>10</v>
      </c>
      <c r="H640" s="223">
        <v>0.15000000596046401</v>
      </c>
      <c r="I640" s="222">
        <v>340</v>
      </c>
      <c r="J640" t="s">
        <v>8377</v>
      </c>
      <c r="K640" t="s">
        <v>8378</v>
      </c>
      <c r="L640" s="118">
        <v>43954</v>
      </c>
      <c r="M640" s="118">
        <v>43957</v>
      </c>
      <c r="N640" t="s">
        <v>8240</v>
      </c>
      <c r="O640" t="s">
        <v>8266</v>
      </c>
      <c r="P640" t="s">
        <v>8267</v>
      </c>
      <c r="Q640" t="str">
        <f>tblSales[[#This Row],[FirstName]]&amp; " " &amp;tblSales[[#This Row],[LastName]]</f>
        <v>Margaret Peacock</v>
      </c>
      <c r="R640">
        <f>YEAR(tblSales[[#This Row],[OrderDate]])</f>
        <v>2020</v>
      </c>
      <c r="S640">
        <f>WEEKNUM(tblSales[[#This Row],[OrderDate]])</f>
        <v>19</v>
      </c>
      <c r="T640">
        <f>IF(ISBLANK(tblSales[[#This Row],[ShippedDate]]),"",tblSales[[#This Row],[ShippedDate]]-tblSales[[#This Row],[OrderDate]])</f>
        <v>3</v>
      </c>
      <c r="U640" t="str">
        <f>LEFT(tblSales[[#This Row],[ProductName]],20)</f>
        <v>Northwoods Cranberry</v>
      </c>
    </row>
    <row r="641" spans="2:21" x14ac:dyDescent="0.2">
      <c r="B641">
        <v>11189</v>
      </c>
      <c r="C641" t="s">
        <v>8415</v>
      </c>
      <c r="D641" t="s">
        <v>8236</v>
      </c>
      <c r="E641" t="s">
        <v>8247</v>
      </c>
      <c r="F641" s="222">
        <v>30</v>
      </c>
      <c r="G641">
        <v>50</v>
      </c>
      <c r="H641" s="223">
        <v>0.15000000596046401</v>
      </c>
      <c r="I641" s="222">
        <v>1275</v>
      </c>
      <c r="J641" t="s">
        <v>8377</v>
      </c>
      <c r="K641" t="s">
        <v>8378</v>
      </c>
      <c r="L641" s="118">
        <v>43954</v>
      </c>
      <c r="M641" s="118">
        <v>43957</v>
      </c>
      <c r="N641" t="s">
        <v>8240</v>
      </c>
      <c r="O641" t="s">
        <v>8266</v>
      </c>
      <c r="P641" t="s">
        <v>8267</v>
      </c>
      <c r="Q641" t="str">
        <f>tblSales[[#This Row],[FirstName]]&amp; " " &amp;tblSales[[#This Row],[LastName]]</f>
        <v>Margaret Peacock</v>
      </c>
      <c r="R641">
        <f>YEAR(tblSales[[#This Row],[OrderDate]])</f>
        <v>2020</v>
      </c>
      <c r="S641">
        <f>WEEKNUM(tblSales[[#This Row],[OrderDate]])</f>
        <v>19</v>
      </c>
      <c r="T641">
        <f>IF(ISBLANK(tblSales[[#This Row],[ShippedDate]]),"",tblSales[[#This Row],[ShippedDate]]-tblSales[[#This Row],[OrderDate]])</f>
        <v>3</v>
      </c>
      <c r="U641" t="str">
        <f>LEFT(tblSales[[#This Row],[ProductName]],20)</f>
        <v xml:space="preserve">Uncle Bob's Organic </v>
      </c>
    </row>
    <row r="642" spans="2:21" x14ac:dyDescent="0.2">
      <c r="B642">
        <v>10730</v>
      </c>
      <c r="C642" t="s">
        <v>8253</v>
      </c>
      <c r="D642" t="s">
        <v>8236</v>
      </c>
      <c r="E642" t="s">
        <v>8254</v>
      </c>
      <c r="F642" s="222">
        <v>21.05</v>
      </c>
      <c r="G642">
        <v>10</v>
      </c>
      <c r="H642" s="223">
        <v>5.0000000745058101E-2</v>
      </c>
      <c r="I642" s="222">
        <v>199.97</v>
      </c>
      <c r="J642" t="s">
        <v>8377</v>
      </c>
      <c r="K642" t="s">
        <v>8378</v>
      </c>
      <c r="L642" s="118">
        <v>43955</v>
      </c>
      <c r="M642" s="118">
        <v>43964</v>
      </c>
      <c r="N642" t="s">
        <v>8250</v>
      </c>
      <c r="O642" t="s">
        <v>8241</v>
      </c>
      <c r="P642" t="s">
        <v>6934</v>
      </c>
      <c r="Q642" t="str">
        <f>tblSales[[#This Row],[FirstName]]&amp; " " &amp;tblSales[[#This Row],[LastName]]</f>
        <v>Steven Buchanan</v>
      </c>
      <c r="R642">
        <f>YEAR(tblSales[[#This Row],[OrderDate]])</f>
        <v>2020</v>
      </c>
      <c r="S642">
        <f>WEEKNUM(tblSales[[#This Row],[OrderDate]])</f>
        <v>19</v>
      </c>
      <c r="T642">
        <f>IF(ISBLANK(tblSales[[#This Row],[ShippedDate]]),"",tblSales[[#This Row],[ShippedDate]]-tblSales[[#This Row],[OrderDate]])</f>
        <v>9</v>
      </c>
      <c r="U642" t="str">
        <f>LEFT(tblSales[[#This Row],[ProductName]],20)</f>
        <v xml:space="preserve">Louisiana Fiery Hot </v>
      </c>
    </row>
    <row r="643" spans="2:21" x14ac:dyDescent="0.2">
      <c r="B643">
        <v>10730</v>
      </c>
      <c r="C643" t="s">
        <v>8280</v>
      </c>
      <c r="D643" t="s">
        <v>8236</v>
      </c>
      <c r="E643" t="s">
        <v>8262</v>
      </c>
      <c r="F643" s="222">
        <v>17.45</v>
      </c>
      <c r="G643">
        <v>15</v>
      </c>
      <c r="H643" s="223">
        <v>5.0000000745058101E-2</v>
      </c>
      <c r="I643" s="222">
        <v>248.66</v>
      </c>
      <c r="J643" t="s">
        <v>8377</v>
      </c>
      <c r="K643" t="s">
        <v>8378</v>
      </c>
      <c r="L643" s="118">
        <v>43955</v>
      </c>
      <c r="M643" s="118">
        <v>43964</v>
      </c>
      <c r="N643" t="s">
        <v>8250</v>
      </c>
      <c r="O643" t="s">
        <v>8241</v>
      </c>
      <c r="P643" t="s">
        <v>6934</v>
      </c>
      <c r="Q643" t="str">
        <f>tblSales[[#This Row],[FirstName]]&amp; " " &amp;tblSales[[#This Row],[LastName]]</f>
        <v>Steven Buchanan</v>
      </c>
      <c r="R643">
        <f>YEAR(tblSales[[#This Row],[OrderDate]])</f>
        <v>2020</v>
      </c>
      <c r="S643">
        <f>WEEKNUM(tblSales[[#This Row],[OrderDate]])</f>
        <v>19</v>
      </c>
      <c r="T643">
        <f>IF(ISBLANK(tblSales[[#This Row],[ShippedDate]]),"",tblSales[[#This Row],[ShippedDate]]-tblSales[[#This Row],[OrderDate]])</f>
        <v>9</v>
      </c>
      <c r="U643" t="str">
        <f>LEFT(tblSales[[#This Row],[ProductName]],20)</f>
        <v>Pavlova</v>
      </c>
    </row>
    <row r="644" spans="2:21" x14ac:dyDescent="0.2">
      <c r="B644">
        <v>10730</v>
      </c>
      <c r="C644" t="s">
        <v>8309</v>
      </c>
      <c r="D644" t="s">
        <v>8236</v>
      </c>
      <c r="E644" t="s">
        <v>8237</v>
      </c>
      <c r="F644" s="222">
        <v>12.5</v>
      </c>
      <c r="G644">
        <v>3</v>
      </c>
      <c r="H644" s="223">
        <v>5.0000000745058101E-2</v>
      </c>
      <c r="I644" s="222">
        <v>35.619999999999997</v>
      </c>
      <c r="J644" t="s">
        <v>8377</v>
      </c>
      <c r="K644" t="s">
        <v>8378</v>
      </c>
      <c r="L644" s="118">
        <v>43955</v>
      </c>
      <c r="M644" s="118">
        <v>43964</v>
      </c>
      <c r="N644" t="s">
        <v>8250</v>
      </c>
      <c r="O644" t="s">
        <v>8241</v>
      </c>
      <c r="P644" t="s">
        <v>6934</v>
      </c>
      <c r="Q644" t="str">
        <f>tblSales[[#This Row],[FirstName]]&amp; " " &amp;tblSales[[#This Row],[LastName]]</f>
        <v>Steven Buchanan</v>
      </c>
      <c r="R644">
        <f>YEAR(tblSales[[#This Row],[OrderDate]])</f>
        <v>2020</v>
      </c>
      <c r="S644">
        <f>WEEKNUM(tblSales[[#This Row],[OrderDate]])</f>
        <v>19</v>
      </c>
      <c r="T644">
        <f>IF(ISBLANK(tblSales[[#This Row],[ShippedDate]]),"",tblSales[[#This Row],[ShippedDate]]-tblSales[[#This Row],[OrderDate]])</f>
        <v>9</v>
      </c>
      <c r="U644" t="str">
        <f>LEFT(tblSales[[#This Row],[ProductName]],20)</f>
        <v>Gorgonzola Telino</v>
      </c>
    </row>
    <row r="645" spans="2:21" x14ac:dyDescent="0.2">
      <c r="B645">
        <v>10732</v>
      </c>
      <c r="C645" t="s">
        <v>8303</v>
      </c>
      <c r="D645" t="s">
        <v>8236</v>
      </c>
      <c r="E645" t="s">
        <v>8272</v>
      </c>
      <c r="F645" s="222">
        <v>18</v>
      </c>
      <c r="G645">
        <v>20</v>
      </c>
      <c r="H645" s="223">
        <v>0</v>
      </c>
      <c r="I645" s="222">
        <v>360</v>
      </c>
      <c r="J645" t="s">
        <v>8377</v>
      </c>
      <c r="K645" t="s">
        <v>8378</v>
      </c>
      <c r="L645" s="118">
        <v>43956</v>
      </c>
      <c r="M645" s="118">
        <v>43957</v>
      </c>
      <c r="N645" t="s">
        <v>8250</v>
      </c>
      <c r="O645" t="s">
        <v>8257</v>
      </c>
      <c r="P645" t="s">
        <v>6984</v>
      </c>
      <c r="Q645" t="str">
        <f>tblSales[[#This Row],[FirstName]]&amp; " " &amp;tblSales[[#This Row],[LastName]]</f>
        <v>Janet Leverling</v>
      </c>
      <c r="R645">
        <f>YEAR(tblSales[[#This Row],[OrderDate]])</f>
        <v>2020</v>
      </c>
      <c r="S645">
        <f>WEEKNUM(tblSales[[#This Row],[OrderDate]])</f>
        <v>19</v>
      </c>
      <c r="T645">
        <f>IF(ISBLANK(tblSales[[#This Row],[ShippedDate]]),"",tblSales[[#This Row],[ShippedDate]]-tblSales[[#This Row],[OrderDate]])</f>
        <v>1</v>
      </c>
      <c r="U645" t="str">
        <f>LEFT(tblSales[[#This Row],[ProductName]],20)</f>
        <v>Lakkalikööri</v>
      </c>
    </row>
    <row r="646" spans="2:21" x14ac:dyDescent="0.2">
      <c r="B646">
        <v>10731</v>
      </c>
      <c r="C646" t="s">
        <v>8368</v>
      </c>
      <c r="D646" t="s">
        <v>8271</v>
      </c>
      <c r="E646" t="s">
        <v>8262</v>
      </c>
      <c r="F646" s="222">
        <v>10</v>
      </c>
      <c r="G646">
        <v>40</v>
      </c>
      <c r="H646" s="223">
        <v>5.0000000745058101E-2</v>
      </c>
      <c r="I646" s="222">
        <v>380</v>
      </c>
      <c r="J646" t="s">
        <v>8273</v>
      </c>
      <c r="K646" t="s">
        <v>8274</v>
      </c>
      <c r="L646" s="118">
        <v>43956</v>
      </c>
      <c r="M646" s="118">
        <v>43964</v>
      </c>
      <c r="N646" t="s">
        <v>8250</v>
      </c>
      <c r="O646" t="s">
        <v>8158</v>
      </c>
      <c r="P646" t="s">
        <v>861</v>
      </c>
      <c r="Q646" t="str">
        <f>tblSales[[#This Row],[FirstName]]&amp; " " &amp;tblSales[[#This Row],[LastName]]</f>
        <v>Robert King</v>
      </c>
      <c r="R646">
        <f>YEAR(tblSales[[#This Row],[OrderDate]])</f>
        <v>2020</v>
      </c>
      <c r="S646">
        <f>WEEKNUM(tblSales[[#This Row],[OrderDate]])</f>
        <v>19</v>
      </c>
      <c r="T646">
        <f>IF(ISBLANK(tblSales[[#This Row],[ShippedDate]]),"",tblSales[[#This Row],[ShippedDate]]-tblSales[[#This Row],[OrderDate]])</f>
        <v>8</v>
      </c>
      <c r="U646" t="str">
        <f>LEFT(tblSales[[#This Row],[ProductName]],20)</f>
        <v>Sir Rodney's Scones</v>
      </c>
    </row>
    <row r="647" spans="2:21" x14ac:dyDescent="0.2">
      <c r="B647">
        <v>10731</v>
      </c>
      <c r="C647" t="s">
        <v>8245</v>
      </c>
      <c r="D647" t="s">
        <v>8271</v>
      </c>
      <c r="E647" t="s">
        <v>8247</v>
      </c>
      <c r="F647" s="222">
        <v>53</v>
      </c>
      <c r="G647">
        <v>30</v>
      </c>
      <c r="H647" s="223">
        <v>5.0000000745058101E-2</v>
      </c>
      <c r="I647" s="222">
        <v>1510.5</v>
      </c>
      <c r="J647" t="s">
        <v>8273</v>
      </c>
      <c r="K647" t="s">
        <v>8274</v>
      </c>
      <c r="L647" s="118">
        <v>43956</v>
      </c>
      <c r="M647" s="118">
        <v>43964</v>
      </c>
      <c r="N647" t="s">
        <v>8250</v>
      </c>
      <c r="O647" t="s">
        <v>8158</v>
      </c>
      <c r="P647" t="s">
        <v>861</v>
      </c>
      <c r="Q647" t="str">
        <f>tblSales[[#This Row],[FirstName]]&amp; " " &amp;tblSales[[#This Row],[LastName]]</f>
        <v>Robert King</v>
      </c>
      <c r="R647">
        <f>YEAR(tblSales[[#This Row],[OrderDate]])</f>
        <v>2020</v>
      </c>
      <c r="S647">
        <f>WEEKNUM(tblSales[[#This Row],[OrderDate]])</f>
        <v>19</v>
      </c>
      <c r="T647">
        <f>IF(ISBLANK(tblSales[[#This Row],[ShippedDate]]),"",tblSales[[#This Row],[ShippedDate]]-tblSales[[#This Row],[OrderDate]])</f>
        <v>8</v>
      </c>
      <c r="U647" t="str">
        <f>LEFT(tblSales[[#This Row],[ProductName]],20)</f>
        <v>Manjimup Dried Apple</v>
      </c>
    </row>
    <row r="648" spans="2:21" x14ac:dyDescent="0.2">
      <c r="B648">
        <v>10733</v>
      </c>
      <c r="C648" t="s">
        <v>8369</v>
      </c>
      <c r="D648" t="s">
        <v>8292</v>
      </c>
      <c r="E648" t="s">
        <v>8244</v>
      </c>
      <c r="F648" s="222">
        <v>7</v>
      </c>
      <c r="G648">
        <v>25</v>
      </c>
      <c r="H648" s="223">
        <v>0</v>
      </c>
      <c r="I648" s="222">
        <v>175</v>
      </c>
      <c r="J648" t="s">
        <v>8318</v>
      </c>
      <c r="K648" t="s">
        <v>8319</v>
      </c>
      <c r="L648" s="118">
        <v>43957</v>
      </c>
      <c r="M648" s="118">
        <v>43960</v>
      </c>
      <c r="N648" t="s">
        <v>8240</v>
      </c>
      <c r="O648" t="s">
        <v>8285</v>
      </c>
      <c r="P648" t="s">
        <v>2317</v>
      </c>
      <c r="Q648" t="str">
        <f>tblSales[[#This Row],[FirstName]]&amp; " " &amp;tblSales[[#This Row],[LastName]]</f>
        <v>Nancy Davolio</v>
      </c>
      <c r="R648">
        <f>YEAR(tblSales[[#This Row],[OrderDate]])</f>
        <v>2020</v>
      </c>
      <c r="S648">
        <f>WEEKNUM(tblSales[[#This Row],[OrderDate]])</f>
        <v>19</v>
      </c>
      <c r="T648">
        <f>IF(ISBLANK(tblSales[[#This Row],[ShippedDate]]),"",tblSales[[#This Row],[ShippedDate]]-tblSales[[#This Row],[OrderDate]])</f>
        <v>3</v>
      </c>
      <c r="U648" t="str">
        <f>LEFT(tblSales[[#This Row],[ProductName]],20)</f>
        <v>Filo Mix</v>
      </c>
    </row>
    <row r="649" spans="2:21" x14ac:dyDescent="0.2">
      <c r="B649">
        <v>10733</v>
      </c>
      <c r="C649" t="s">
        <v>8316</v>
      </c>
      <c r="D649" t="s">
        <v>8292</v>
      </c>
      <c r="E649" t="s">
        <v>8247</v>
      </c>
      <c r="F649" s="222">
        <v>45.6</v>
      </c>
      <c r="G649">
        <v>20</v>
      </c>
      <c r="H649" s="223">
        <v>0</v>
      </c>
      <c r="I649" s="222">
        <v>912</v>
      </c>
      <c r="J649" t="s">
        <v>8318</v>
      </c>
      <c r="K649" t="s">
        <v>8319</v>
      </c>
      <c r="L649" s="118">
        <v>43957</v>
      </c>
      <c r="M649" s="118">
        <v>43960</v>
      </c>
      <c r="N649" t="s">
        <v>8240</v>
      </c>
      <c r="O649" t="s">
        <v>8285</v>
      </c>
      <c r="P649" t="s">
        <v>2317</v>
      </c>
      <c r="Q649" t="str">
        <f>tblSales[[#This Row],[FirstName]]&amp; " " &amp;tblSales[[#This Row],[LastName]]</f>
        <v>Nancy Davolio</v>
      </c>
      <c r="R649">
        <f>YEAR(tblSales[[#This Row],[OrderDate]])</f>
        <v>2020</v>
      </c>
      <c r="S649">
        <f>WEEKNUM(tblSales[[#This Row],[OrderDate]])</f>
        <v>19</v>
      </c>
      <c r="T649">
        <f>IF(ISBLANK(tblSales[[#This Row],[ShippedDate]]),"",tblSales[[#This Row],[ShippedDate]]-tblSales[[#This Row],[OrderDate]])</f>
        <v>3</v>
      </c>
      <c r="U649" t="str">
        <f>LEFT(tblSales[[#This Row],[ProductName]],20)</f>
        <v>Rössle Sauerkraut</v>
      </c>
    </row>
    <row r="650" spans="2:21" x14ac:dyDescent="0.2">
      <c r="B650">
        <v>10733</v>
      </c>
      <c r="C650" t="s">
        <v>8252</v>
      </c>
      <c r="D650" t="s">
        <v>8292</v>
      </c>
      <c r="E650" t="s">
        <v>8247</v>
      </c>
      <c r="F650" s="222">
        <v>23.25</v>
      </c>
      <c r="G650">
        <v>16</v>
      </c>
      <c r="H650" s="223">
        <v>0</v>
      </c>
      <c r="I650" s="222">
        <v>372</v>
      </c>
      <c r="J650" t="s">
        <v>8318</v>
      </c>
      <c r="K650" t="s">
        <v>8319</v>
      </c>
      <c r="L650" s="118">
        <v>43957</v>
      </c>
      <c r="M650" s="118">
        <v>43960</v>
      </c>
      <c r="N650" t="s">
        <v>8240</v>
      </c>
      <c r="O650" t="s">
        <v>8285</v>
      </c>
      <c r="P650" t="s">
        <v>2317</v>
      </c>
      <c r="Q650" t="str">
        <f>tblSales[[#This Row],[FirstName]]&amp; " " &amp;tblSales[[#This Row],[LastName]]</f>
        <v>Nancy Davolio</v>
      </c>
      <c r="R650">
        <f>YEAR(tblSales[[#This Row],[OrderDate]])</f>
        <v>2020</v>
      </c>
      <c r="S650">
        <f>WEEKNUM(tblSales[[#This Row],[OrderDate]])</f>
        <v>19</v>
      </c>
      <c r="T650">
        <f>IF(ISBLANK(tblSales[[#This Row],[ShippedDate]]),"",tblSales[[#This Row],[ShippedDate]]-tblSales[[#This Row],[OrderDate]])</f>
        <v>3</v>
      </c>
      <c r="U650" t="str">
        <f>LEFT(tblSales[[#This Row],[ProductName]],20)</f>
        <v>Tofu</v>
      </c>
    </row>
    <row r="651" spans="2:21" x14ac:dyDescent="0.2">
      <c r="B651">
        <v>10736</v>
      </c>
      <c r="C651" t="s">
        <v>8328</v>
      </c>
      <c r="D651" t="s">
        <v>8343</v>
      </c>
      <c r="E651" t="s">
        <v>8272</v>
      </c>
      <c r="F651" s="222">
        <v>7.75</v>
      </c>
      <c r="G651">
        <v>20</v>
      </c>
      <c r="H651" s="223">
        <v>0</v>
      </c>
      <c r="I651" s="222">
        <v>155</v>
      </c>
      <c r="J651" t="s">
        <v>8344</v>
      </c>
      <c r="K651" t="s">
        <v>8345</v>
      </c>
      <c r="L651" s="118">
        <v>43961</v>
      </c>
      <c r="M651" s="118">
        <v>43971</v>
      </c>
      <c r="N651" t="s">
        <v>8265</v>
      </c>
      <c r="O651" t="s">
        <v>8279</v>
      </c>
      <c r="P651" t="s">
        <v>710</v>
      </c>
      <c r="Q651" t="str">
        <f>tblSales[[#This Row],[FirstName]]&amp; " " &amp;tblSales[[#This Row],[LastName]]</f>
        <v>Anne Dodsworth</v>
      </c>
      <c r="R651">
        <f>YEAR(tblSales[[#This Row],[OrderDate]])</f>
        <v>2020</v>
      </c>
      <c r="S651">
        <f>WEEKNUM(tblSales[[#This Row],[OrderDate]])</f>
        <v>20</v>
      </c>
      <c r="T651">
        <f>IF(ISBLANK(tblSales[[#This Row],[ShippedDate]]),"",tblSales[[#This Row],[ShippedDate]]-tblSales[[#This Row],[OrderDate]])</f>
        <v>10</v>
      </c>
      <c r="U651" t="str">
        <f>LEFT(tblSales[[#This Row],[ProductName]],20)</f>
        <v>Rhönbräu Klosterbier</v>
      </c>
    </row>
    <row r="652" spans="2:21" x14ac:dyDescent="0.2">
      <c r="B652">
        <v>10736</v>
      </c>
      <c r="C652" t="s">
        <v>8253</v>
      </c>
      <c r="D652" t="s">
        <v>8343</v>
      </c>
      <c r="E652" t="s">
        <v>8254</v>
      </c>
      <c r="F652" s="222">
        <v>21.05</v>
      </c>
      <c r="G652">
        <v>40</v>
      </c>
      <c r="H652" s="223">
        <v>0</v>
      </c>
      <c r="I652" s="222">
        <v>842</v>
      </c>
      <c r="J652" t="s">
        <v>8344</v>
      </c>
      <c r="K652" t="s">
        <v>8345</v>
      </c>
      <c r="L652" s="118">
        <v>43961</v>
      </c>
      <c r="M652" s="118">
        <v>43971</v>
      </c>
      <c r="N652" t="s">
        <v>8265</v>
      </c>
      <c r="O652" t="s">
        <v>8279</v>
      </c>
      <c r="P652" t="s">
        <v>710</v>
      </c>
      <c r="Q652" t="str">
        <f>tblSales[[#This Row],[FirstName]]&amp; " " &amp;tblSales[[#This Row],[LastName]]</f>
        <v>Anne Dodsworth</v>
      </c>
      <c r="R652">
        <f>YEAR(tblSales[[#This Row],[OrderDate]])</f>
        <v>2020</v>
      </c>
      <c r="S652">
        <f>WEEKNUM(tblSales[[#This Row],[OrderDate]])</f>
        <v>20</v>
      </c>
      <c r="T652">
        <f>IF(ISBLANK(tblSales[[#This Row],[ShippedDate]]),"",tblSales[[#This Row],[ShippedDate]]-tblSales[[#This Row],[OrderDate]])</f>
        <v>10</v>
      </c>
      <c r="U652" t="str">
        <f>LEFT(tblSales[[#This Row],[ProductName]],20)</f>
        <v xml:space="preserve">Louisiana Fiery Hot </v>
      </c>
    </row>
    <row r="653" spans="2:21" x14ac:dyDescent="0.2">
      <c r="B653">
        <v>10739</v>
      </c>
      <c r="C653" t="s">
        <v>8369</v>
      </c>
      <c r="D653" t="s">
        <v>8236</v>
      </c>
      <c r="E653" t="s">
        <v>8244</v>
      </c>
      <c r="F653" s="222">
        <v>7</v>
      </c>
      <c r="G653">
        <v>18</v>
      </c>
      <c r="H653" s="223">
        <v>0</v>
      </c>
      <c r="I653" s="222">
        <v>126</v>
      </c>
      <c r="J653" t="s">
        <v>8238</v>
      </c>
      <c r="K653" t="s">
        <v>8239</v>
      </c>
      <c r="L653" s="118">
        <v>43962</v>
      </c>
      <c r="M653" s="118">
        <v>43967</v>
      </c>
      <c r="N653" t="s">
        <v>8240</v>
      </c>
      <c r="O653" t="s">
        <v>8257</v>
      </c>
      <c r="P653" t="s">
        <v>6984</v>
      </c>
      <c r="Q653" t="str">
        <f>tblSales[[#This Row],[FirstName]]&amp; " " &amp;tblSales[[#This Row],[LastName]]</f>
        <v>Janet Leverling</v>
      </c>
      <c r="R653">
        <f>YEAR(tblSales[[#This Row],[OrderDate]])</f>
        <v>2020</v>
      </c>
      <c r="S653">
        <f>WEEKNUM(tblSales[[#This Row],[OrderDate]])</f>
        <v>20</v>
      </c>
      <c r="T653">
        <f>IF(ISBLANK(tblSales[[#This Row],[ShippedDate]]),"",tblSales[[#This Row],[ShippedDate]]-tblSales[[#This Row],[OrderDate]])</f>
        <v>5</v>
      </c>
      <c r="U653" t="str">
        <f>LEFT(tblSales[[#This Row],[ProductName]],20)</f>
        <v>Filo Mix</v>
      </c>
    </row>
    <row r="654" spans="2:21" x14ac:dyDescent="0.2">
      <c r="B654">
        <v>10738</v>
      </c>
      <c r="C654" t="s">
        <v>8280</v>
      </c>
      <c r="D654" t="s">
        <v>8236</v>
      </c>
      <c r="E654" t="s">
        <v>8262</v>
      </c>
      <c r="F654" s="222">
        <v>17.45</v>
      </c>
      <c r="G654">
        <v>3</v>
      </c>
      <c r="H654" s="223">
        <v>0</v>
      </c>
      <c r="I654" s="222">
        <v>52.35</v>
      </c>
      <c r="J654" t="s">
        <v>8428</v>
      </c>
      <c r="K654" t="s">
        <v>8429</v>
      </c>
      <c r="L654" s="118">
        <v>43962</v>
      </c>
      <c r="M654" s="118">
        <v>43968</v>
      </c>
      <c r="N654" t="s">
        <v>8250</v>
      </c>
      <c r="O654" t="s">
        <v>8297</v>
      </c>
      <c r="P654" t="s">
        <v>8298</v>
      </c>
      <c r="Q654" t="str">
        <f>tblSales[[#This Row],[FirstName]]&amp; " " &amp;tblSales[[#This Row],[LastName]]</f>
        <v>Andrew Fuller</v>
      </c>
      <c r="R654">
        <f>YEAR(tblSales[[#This Row],[OrderDate]])</f>
        <v>2020</v>
      </c>
      <c r="S654">
        <f>WEEKNUM(tblSales[[#This Row],[OrderDate]])</f>
        <v>20</v>
      </c>
      <c r="T654">
        <f>IF(ISBLANK(tblSales[[#This Row],[ShippedDate]]),"",tblSales[[#This Row],[ShippedDate]]-tblSales[[#This Row],[OrderDate]])</f>
        <v>6</v>
      </c>
      <c r="U654" t="str">
        <f>LEFT(tblSales[[#This Row],[ProductName]],20)</f>
        <v>Pavlova</v>
      </c>
    </row>
    <row r="655" spans="2:21" x14ac:dyDescent="0.2">
      <c r="B655">
        <v>10741</v>
      </c>
      <c r="C655" t="s">
        <v>8276</v>
      </c>
      <c r="D655" t="s">
        <v>2434</v>
      </c>
      <c r="E655" t="s">
        <v>8272</v>
      </c>
      <c r="F655" s="222">
        <v>19</v>
      </c>
      <c r="G655">
        <v>15</v>
      </c>
      <c r="H655" s="223">
        <v>0.20000000298023199</v>
      </c>
      <c r="I655" s="222">
        <v>228</v>
      </c>
      <c r="J655" t="s">
        <v>8386</v>
      </c>
      <c r="K655" t="s">
        <v>8387</v>
      </c>
      <c r="L655" s="118">
        <v>43964</v>
      </c>
      <c r="M655" s="118">
        <v>43968</v>
      </c>
      <c r="N655" t="s">
        <v>8240</v>
      </c>
      <c r="O655" t="s">
        <v>8266</v>
      </c>
      <c r="P655" t="s">
        <v>8267</v>
      </c>
      <c r="Q655" t="str">
        <f>tblSales[[#This Row],[FirstName]]&amp; " " &amp;tblSales[[#This Row],[LastName]]</f>
        <v>Margaret Peacock</v>
      </c>
      <c r="R655">
        <f>YEAR(tblSales[[#This Row],[OrderDate]])</f>
        <v>2020</v>
      </c>
      <c r="S655">
        <f>WEEKNUM(tblSales[[#This Row],[OrderDate]])</f>
        <v>20</v>
      </c>
      <c r="T655">
        <f>IF(ISBLANK(tblSales[[#This Row],[ShippedDate]]),"",tblSales[[#This Row],[ShippedDate]]-tblSales[[#This Row],[OrderDate]])</f>
        <v>4</v>
      </c>
      <c r="U655" t="str">
        <f>LEFT(tblSales[[#This Row],[ProductName]],20)</f>
        <v>Chang</v>
      </c>
    </row>
    <row r="656" spans="2:21" x14ac:dyDescent="0.2">
      <c r="B656">
        <v>10745</v>
      </c>
      <c r="C656" t="s">
        <v>8322</v>
      </c>
      <c r="D656" t="s">
        <v>8246</v>
      </c>
      <c r="E656" t="s">
        <v>8254</v>
      </c>
      <c r="F656" s="222">
        <v>19.45</v>
      </c>
      <c r="G656">
        <v>16</v>
      </c>
      <c r="H656" s="223">
        <v>0</v>
      </c>
      <c r="I656" s="222">
        <v>311.2</v>
      </c>
      <c r="J656" t="s">
        <v>8307</v>
      </c>
      <c r="K656" t="s">
        <v>8308</v>
      </c>
      <c r="L656" s="118">
        <v>43968</v>
      </c>
      <c r="M656" s="118">
        <v>43977</v>
      </c>
      <c r="N656" t="s">
        <v>8250</v>
      </c>
      <c r="O656" t="s">
        <v>8279</v>
      </c>
      <c r="P656" t="s">
        <v>710</v>
      </c>
      <c r="Q656" t="str">
        <f>tblSales[[#This Row],[FirstName]]&amp; " " &amp;tblSales[[#This Row],[LastName]]</f>
        <v>Anne Dodsworth</v>
      </c>
      <c r="R656">
        <f>YEAR(tblSales[[#This Row],[OrderDate]])</f>
        <v>2020</v>
      </c>
      <c r="S656">
        <f>WEEKNUM(tblSales[[#This Row],[OrderDate]])</f>
        <v>21</v>
      </c>
      <c r="T656">
        <f>IF(ISBLANK(tblSales[[#This Row],[ShippedDate]]),"",tblSales[[#This Row],[ShippedDate]]-tblSales[[#This Row],[OrderDate]])</f>
        <v>9</v>
      </c>
      <c r="U656" t="str">
        <f>LEFT(tblSales[[#This Row],[ProductName]],20)</f>
        <v>Gula Malacca</v>
      </c>
    </row>
    <row r="657" spans="2:21" x14ac:dyDescent="0.2">
      <c r="B657">
        <v>10745</v>
      </c>
      <c r="C657" t="s">
        <v>8281</v>
      </c>
      <c r="D657" t="s">
        <v>8246</v>
      </c>
      <c r="E657" t="s">
        <v>8237</v>
      </c>
      <c r="F657" s="222">
        <v>55</v>
      </c>
      <c r="G657">
        <v>45</v>
      </c>
      <c r="H657" s="223">
        <v>0</v>
      </c>
      <c r="I657" s="222">
        <v>2475</v>
      </c>
      <c r="J657" t="s">
        <v>8307</v>
      </c>
      <c r="K657" t="s">
        <v>8308</v>
      </c>
      <c r="L657" s="118">
        <v>43968</v>
      </c>
      <c r="M657" s="118">
        <v>43977</v>
      </c>
      <c r="N657" t="s">
        <v>8250</v>
      </c>
      <c r="O657" t="s">
        <v>8279</v>
      </c>
      <c r="P657" t="s">
        <v>710</v>
      </c>
      <c r="Q657" t="str">
        <f>tblSales[[#This Row],[FirstName]]&amp; " " &amp;tblSales[[#This Row],[LastName]]</f>
        <v>Anne Dodsworth</v>
      </c>
      <c r="R657">
        <f>YEAR(tblSales[[#This Row],[OrderDate]])</f>
        <v>2020</v>
      </c>
      <c r="S657">
        <f>WEEKNUM(tblSales[[#This Row],[OrderDate]])</f>
        <v>21</v>
      </c>
      <c r="T657">
        <f>IF(ISBLANK(tblSales[[#This Row],[ShippedDate]]),"",tblSales[[#This Row],[ShippedDate]]-tblSales[[#This Row],[OrderDate]])</f>
        <v>9</v>
      </c>
      <c r="U657" t="str">
        <f>LEFT(tblSales[[#This Row],[ProductName]],20)</f>
        <v>Raclette Courdavault</v>
      </c>
    </row>
    <row r="658" spans="2:21" x14ac:dyDescent="0.2">
      <c r="B658">
        <v>10745</v>
      </c>
      <c r="C658" t="s">
        <v>8235</v>
      </c>
      <c r="D658" t="s">
        <v>8246</v>
      </c>
      <c r="E658" t="s">
        <v>8237</v>
      </c>
      <c r="F658" s="222">
        <v>34.799999999999997</v>
      </c>
      <c r="G658">
        <v>7</v>
      </c>
      <c r="H658" s="223">
        <v>0</v>
      </c>
      <c r="I658" s="222">
        <v>243.6</v>
      </c>
      <c r="J658" t="s">
        <v>8307</v>
      </c>
      <c r="K658" t="s">
        <v>8308</v>
      </c>
      <c r="L658" s="118">
        <v>43968</v>
      </c>
      <c r="M658" s="118">
        <v>43977</v>
      </c>
      <c r="N658" t="s">
        <v>8250</v>
      </c>
      <c r="O658" t="s">
        <v>8279</v>
      </c>
      <c r="P658" t="s">
        <v>710</v>
      </c>
      <c r="Q658" t="str">
        <f>tblSales[[#This Row],[FirstName]]&amp; " " &amp;tblSales[[#This Row],[LastName]]</f>
        <v>Anne Dodsworth</v>
      </c>
      <c r="R658">
        <f>YEAR(tblSales[[#This Row],[OrderDate]])</f>
        <v>2020</v>
      </c>
      <c r="S658">
        <f>WEEKNUM(tblSales[[#This Row],[OrderDate]])</f>
        <v>21</v>
      </c>
      <c r="T658">
        <f>IF(ISBLANK(tblSales[[#This Row],[ShippedDate]]),"",tblSales[[#This Row],[ShippedDate]]-tblSales[[#This Row],[OrderDate]])</f>
        <v>9</v>
      </c>
      <c r="U658" t="str">
        <f>LEFT(tblSales[[#This Row],[ProductName]],20)</f>
        <v>Mozzarella di Giovan</v>
      </c>
    </row>
    <row r="659" spans="2:21" x14ac:dyDescent="0.2">
      <c r="B659">
        <v>10746</v>
      </c>
      <c r="C659" t="s">
        <v>8291</v>
      </c>
      <c r="D659" t="s">
        <v>8271</v>
      </c>
      <c r="E659" t="s">
        <v>8262</v>
      </c>
      <c r="F659" s="222">
        <v>49.3</v>
      </c>
      <c r="G659">
        <v>9</v>
      </c>
      <c r="H659" s="223">
        <v>0</v>
      </c>
      <c r="I659" s="222">
        <v>443.7</v>
      </c>
      <c r="J659" t="s">
        <v>8273</v>
      </c>
      <c r="K659" t="s">
        <v>8274</v>
      </c>
      <c r="L659" s="118">
        <v>43969</v>
      </c>
      <c r="M659" s="118">
        <v>43971</v>
      </c>
      <c r="N659" t="s">
        <v>8240</v>
      </c>
      <c r="O659" t="s">
        <v>8285</v>
      </c>
      <c r="P659" t="s">
        <v>2317</v>
      </c>
      <c r="Q659" t="str">
        <f>tblSales[[#This Row],[FirstName]]&amp; " " &amp;tblSales[[#This Row],[LastName]]</f>
        <v>Nancy Davolio</v>
      </c>
      <c r="R659">
        <f>YEAR(tblSales[[#This Row],[OrderDate]])</f>
        <v>2020</v>
      </c>
      <c r="S659">
        <f>WEEKNUM(tblSales[[#This Row],[OrderDate]])</f>
        <v>21</v>
      </c>
      <c r="T659">
        <f>IF(ISBLANK(tblSales[[#This Row],[ShippedDate]]),"",tblSales[[#This Row],[ShippedDate]]-tblSales[[#This Row],[OrderDate]])</f>
        <v>2</v>
      </c>
      <c r="U659" t="str">
        <f>LEFT(tblSales[[#This Row],[ProductName]],20)</f>
        <v>Tarte au sucre</v>
      </c>
    </row>
    <row r="660" spans="2:21" x14ac:dyDescent="0.2">
      <c r="B660">
        <v>10746</v>
      </c>
      <c r="C660" t="s">
        <v>8353</v>
      </c>
      <c r="D660" t="s">
        <v>8271</v>
      </c>
      <c r="E660" t="s">
        <v>8237</v>
      </c>
      <c r="F660" s="222">
        <v>36</v>
      </c>
      <c r="G660">
        <v>40</v>
      </c>
      <c r="H660" s="223">
        <v>0</v>
      </c>
      <c r="I660" s="222">
        <v>1440</v>
      </c>
      <c r="J660" t="s">
        <v>8273</v>
      </c>
      <c r="K660" t="s">
        <v>8274</v>
      </c>
      <c r="L660" s="118">
        <v>43969</v>
      </c>
      <c r="M660" s="118">
        <v>43971</v>
      </c>
      <c r="N660" t="s">
        <v>8240</v>
      </c>
      <c r="O660" t="s">
        <v>8285</v>
      </c>
      <c r="P660" t="s">
        <v>2317</v>
      </c>
      <c r="Q660" t="str">
        <f>tblSales[[#This Row],[FirstName]]&amp; " " &amp;tblSales[[#This Row],[LastName]]</f>
        <v>Nancy Davolio</v>
      </c>
      <c r="R660">
        <f>YEAR(tblSales[[#This Row],[OrderDate]])</f>
        <v>2020</v>
      </c>
      <c r="S660">
        <f>WEEKNUM(tblSales[[#This Row],[OrderDate]])</f>
        <v>21</v>
      </c>
      <c r="T660">
        <f>IF(ISBLANK(tblSales[[#This Row],[ShippedDate]]),"",tblSales[[#This Row],[ShippedDate]]-tblSales[[#This Row],[OrderDate]])</f>
        <v>2</v>
      </c>
      <c r="U660" t="str">
        <f>LEFT(tblSales[[#This Row],[ProductName]],20)</f>
        <v>Gudbrandsdalsost</v>
      </c>
    </row>
    <row r="661" spans="2:21" x14ac:dyDescent="0.2">
      <c r="B661">
        <v>10746</v>
      </c>
      <c r="C661" t="s">
        <v>8243</v>
      </c>
      <c r="D661" t="s">
        <v>8271</v>
      </c>
      <c r="E661" t="s">
        <v>8244</v>
      </c>
      <c r="F661" s="222">
        <v>14</v>
      </c>
      <c r="G661">
        <v>28</v>
      </c>
      <c r="H661" s="223">
        <v>0</v>
      </c>
      <c r="I661" s="222">
        <v>392</v>
      </c>
      <c r="J661" t="s">
        <v>8273</v>
      </c>
      <c r="K661" t="s">
        <v>8274</v>
      </c>
      <c r="L661" s="118">
        <v>43969</v>
      </c>
      <c r="M661" s="118">
        <v>43971</v>
      </c>
      <c r="N661" t="s">
        <v>8240</v>
      </c>
      <c r="O661" t="s">
        <v>8285</v>
      </c>
      <c r="P661" t="s">
        <v>2317</v>
      </c>
      <c r="Q661" t="str">
        <f>tblSales[[#This Row],[FirstName]]&amp; " " &amp;tblSales[[#This Row],[LastName]]</f>
        <v>Nancy Davolio</v>
      </c>
      <c r="R661">
        <f>YEAR(tblSales[[#This Row],[OrderDate]])</f>
        <v>2020</v>
      </c>
      <c r="S661">
        <f>WEEKNUM(tblSales[[#This Row],[OrderDate]])</f>
        <v>21</v>
      </c>
      <c r="T661">
        <f>IF(ISBLANK(tblSales[[#This Row],[ShippedDate]]),"",tblSales[[#This Row],[ShippedDate]]-tblSales[[#This Row],[OrderDate]])</f>
        <v>2</v>
      </c>
      <c r="U661" t="str">
        <f>LEFT(tblSales[[#This Row],[ProductName]],20)</f>
        <v xml:space="preserve">Singaporean Hokkien </v>
      </c>
    </row>
    <row r="662" spans="2:21" x14ac:dyDescent="0.2">
      <c r="B662">
        <v>10747</v>
      </c>
      <c r="C662" t="s">
        <v>8317</v>
      </c>
      <c r="D662" t="s">
        <v>8282</v>
      </c>
      <c r="E662" t="s">
        <v>8254</v>
      </c>
      <c r="F662" s="222">
        <v>43.9</v>
      </c>
      <c r="G662">
        <v>9</v>
      </c>
      <c r="H662" s="223">
        <v>0</v>
      </c>
      <c r="I662" s="222">
        <v>395.1</v>
      </c>
      <c r="J662" t="s">
        <v>8384</v>
      </c>
      <c r="K662" t="s">
        <v>8385</v>
      </c>
      <c r="L662" s="118">
        <v>43969</v>
      </c>
      <c r="M662" s="118">
        <v>43976</v>
      </c>
      <c r="N662" t="s">
        <v>8250</v>
      </c>
      <c r="O662" t="s">
        <v>8251</v>
      </c>
      <c r="P662" t="s">
        <v>269</v>
      </c>
      <c r="Q662" t="str">
        <f>tblSales[[#This Row],[FirstName]]&amp; " " &amp;tblSales[[#This Row],[LastName]]</f>
        <v>Michael Suyama</v>
      </c>
      <c r="R662">
        <f>YEAR(tblSales[[#This Row],[OrderDate]])</f>
        <v>2020</v>
      </c>
      <c r="S662">
        <f>WEEKNUM(tblSales[[#This Row],[OrderDate]])</f>
        <v>21</v>
      </c>
      <c r="T662">
        <f>IF(ISBLANK(tblSales[[#This Row],[ShippedDate]]),"",tblSales[[#This Row],[ShippedDate]]-tblSales[[#This Row],[OrderDate]])</f>
        <v>7</v>
      </c>
      <c r="U662" t="str">
        <f>LEFT(tblSales[[#This Row],[ProductName]],20)</f>
        <v>Vegie-spread</v>
      </c>
    </row>
    <row r="663" spans="2:21" x14ac:dyDescent="0.2">
      <c r="B663">
        <v>10747</v>
      </c>
      <c r="C663" t="s">
        <v>8353</v>
      </c>
      <c r="D663" t="s">
        <v>8282</v>
      </c>
      <c r="E663" t="s">
        <v>8237</v>
      </c>
      <c r="F663" s="222">
        <v>36</v>
      </c>
      <c r="G663">
        <v>30</v>
      </c>
      <c r="H663" s="223">
        <v>0</v>
      </c>
      <c r="I663" s="222">
        <v>1080</v>
      </c>
      <c r="J663" t="s">
        <v>8384</v>
      </c>
      <c r="K663" t="s">
        <v>8385</v>
      </c>
      <c r="L663" s="118">
        <v>43969</v>
      </c>
      <c r="M663" s="118">
        <v>43976</v>
      </c>
      <c r="N663" t="s">
        <v>8250</v>
      </c>
      <c r="O663" t="s">
        <v>8251</v>
      </c>
      <c r="P663" t="s">
        <v>269</v>
      </c>
      <c r="Q663" t="str">
        <f>tblSales[[#This Row],[FirstName]]&amp; " " &amp;tblSales[[#This Row],[LastName]]</f>
        <v>Michael Suyama</v>
      </c>
      <c r="R663">
        <f>YEAR(tblSales[[#This Row],[OrderDate]])</f>
        <v>2020</v>
      </c>
      <c r="S663">
        <f>WEEKNUM(tblSales[[#This Row],[OrderDate]])</f>
        <v>21</v>
      </c>
      <c r="T663">
        <f>IF(ISBLANK(tblSales[[#This Row],[ShippedDate]]),"",tblSales[[#This Row],[ShippedDate]]-tblSales[[#This Row],[OrderDate]])</f>
        <v>7</v>
      </c>
      <c r="U663" t="str">
        <f>LEFT(tblSales[[#This Row],[ProductName]],20)</f>
        <v>Gudbrandsdalsost</v>
      </c>
    </row>
    <row r="664" spans="2:21" x14ac:dyDescent="0.2">
      <c r="B664">
        <v>10747</v>
      </c>
      <c r="C664" t="s">
        <v>8309</v>
      </c>
      <c r="D664" t="s">
        <v>8282</v>
      </c>
      <c r="E664" t="s">
        <v>8237</v>
      </c>
      <c r="F664" s="222">
        <v>12.5</v>
      </c>
      <c r="G664">
        <v>8</v>
      </c>
      <c r="H664" s="223">
        <v>0</v>
      </c>
      <c r="I664" s="222">
        <v>100</v>
      </c>
      <c r="J664" t="s">
        <v>8384</v>
      </c>
      <c r="K664" t="s">
        <v>8385</v>
      </c>
      <c r="L664" s="118">
        <v>43969</v>
      </c>
      <c r="M664" s="118">
        <v>43976</v>
      </c>
      <c r="N664" t="s">
        <v>8250</v>
      </c>
      <c r="O664" t="s">
        <v>8251</v>
      </c>
      <c r="P664" t="s">
        <v>269</v>
      </c>
      <c r="Q664" t="str">
        <f>tblSales[[#This Row],[FirstName]]&amp; " " &amp;tblSales[[#This Row],[LastName]]</f>
        <v>Michael Suyama</v>
      </c>
      <c r="R664">
        <f>YEAR(tblSales[[#This Row],[OrderDate]])</f>
        <v>2020</v>
      </c>
      <c r="S664">
        <f>WEEKNUM(tblSales[[#This Row],[OrderDate]])</f>
        <v>21</v>
      </c>
      <c r="T664">
        <f>IF(ISBLANK(tblSales[[#This Row],[ShippedDate]]),"",tblSales[[#This Row],[ShippedDate]]-tblSales[[#This Row],[OrderDate]])</f>
        <v>7</v>
      </c>
      <c r="U664" t="str">
        <f>LEFT(tblSales[[#This Row],[ProductName]],20)</f>
        <v>Gorgonzola Telino</v>
      </c>
    </row>
    <row r="665" spans="2:21" x14ac:dyDescent="0.2">
      <c r="B665">
        <v>10749</v>
      </c>
      <c r="C665" t="s">
        <v>8303</v>
      </c>
      <c r="D665" t="s">
        <v>2434</v>
      </c>
      <c r="E665" t="s">
        <v>8272</v>
      </c>
      <c r="F665" s="222">
        <v>18</v>
      </c>
      <c r="G665">
        <v>10</v>
      </c>
      <c r="H665" s="223">
        <v>0</v>
      </c>
      <c r="I665" s="222">
        <v>180</v>
      </c>
      <c r="J665" t="s">
        <v>8356</v>
      </c>
      <c r="K665" t="s">
        <v>8357</v>
      </c>
      <c r="L665" s="118">
        <v>43970</v>
      </c>
      <c r="M665" s="118">
        <v>43999</v>
      </c>
      <c r="N665" t="s">
        <v>8265</v>
      </c>
      <c r="O665" t="s">
        <v>8266</v>
      </c>
      <c r="P665" t="s">
        <v>8267</v>
      </c>
      <c r="Q665" t="str">
        <f>tblSales[[#This Row],[FirstName]]&amp; " " &amp;tblSales[[#This Row],[LastName]]</f>
        <v>Margaret Peacock</v>
      </c>
      <c r="R665">
        <f>YEAR(tblSales[[#This Row],[OrderDate]])</f>
        <v>2020</v>
      </c>
      <c r="S665">
        <f>WEEKNUM(tblSales[[#This Row],[OrderDate]])</f>
        <v>21</v>
      </c>
      <c r="T665">
        <f>IF(ISBLANK(tblSales[[#This Row],[ShippedDate]]),"",tblSales[[#This Row],[ShippedDate]]-tblSales[[#This Row],[OrderDate]])</f>
        <v>29</v>
      </c>
      <c r="U665" t="str">
        <f>LEFT(tblSales[[#This Row],[ProductName]],20)</f>
        <v>Lakkalikööri</v>
      </c>
    </row>
    <row r="666" spans="2:21" x14ac:dyDescent="0.2">
      <c r="B666">
        <v>10749</v>
      </c>
      <c r="C666" t="s">
        <v>8281</v>
      </c>
      <c r="D666" t="s">
        <v>2434</v>
      </c>
      <c r="E666" t="s">
        <v>8237</v>
      </c>
      <c r="F666" s="222">
        <v>55</v>
      </c>
      <c r="G666">
        <v>6</v>
      </c>
      <c r="H666" s="223">
        <v>0</v>
      </c>
      <c r="I666" s="222">
        <v>330</v>
      </c>
      <c r="J666" t="s">
        <v>8356</v>
      </c>
      <c r="K666" t="s">
        <v>8357</v>
      </c>
      <c r="L666" s="118">
        <v>43970</v>
      </c>
      <c r="M666" s="118">
        <v>43999</v>
      </c>
      <c r="N666" t="s">
        <v>8265</v>
      </c>
      <c r="O666" t="s">
        <v>8266</v>
      </c>
      <c r="P666" t="s">
        <v>8267</v>
      </c>
      <c r="Q666" t="str">
        <f>tblSales[[#This Row],[FirstName]]&amp; " " &amp;tblSales[[#This Row],[LastName]]</f>
        <v>Margaret Peacock</v>
      </c>
      <c r="R666">
        <f>YEAR(tblSales[[#This Row],[OrderDate]])</f>
        <v>2020</v>
      </c>
      <c r="S666">
        <f>WEEKNUM(tblSales[[#This Row],[OrderDate]])</f>
        <v>21</v>
      </c>
      <c r="T666">
        <f>IF(ISBLANK(tblSales[[#This Row],[ShippedDate]]),"",tblSales[[#This Row],[ShippedDate]]-tblSales[[#This Row],[OrderDate]])</f>
        <v>29</v>
      </c>
      <c r="U666" t="str">
        <f>LEFT(tblSales[[#This Row],[ProductName]],20)</f>
        <v>Raclette Courdavault</v>
      </c>
    </row>
    <row r="667" spans="2:21" x14ac:dyDescent="0.2">
      <c r="B667">
        <v>10749</v>
      </c>
      <c r="C667" t="s">
        <v>8341</v>
      </c>
      <c r="D667" t="s">
        <v>2434</v>
      </c>
      <c r="E667" t="s">
        <v>8244</v>
      </c>
      <c r="F667" s="222">
        <v>38</v>
      </c>
      <c r="G667">
        <v>15</v>
      </c>
      <c r="H667" s="223">
        <v>0</v>
      </c>
      <c r="I667" s="222">
        <v>570</v>
      </c>
      <c r="J667" t="s">
        <v>8356</v>
      </c>
      <c r="K667" t="s">
        <v>8357</v>
      </c>
      <c r="L667" s="118">
        <v>43970</v>
      </c>
      <c r="M667" s="118">
        <v>43999</v>
      </c>
      <c r="N667" t="s">
        <v>8265</v>
      </c>
      <c r="O667" t="s">
        <v>8266</v>
      </c>
      <c r="P667" t="s">
        <v>8267</v>
      </c>
      <c r="Q667" t="str">
        <f>tblSales[[#This Row],[FirstName]]&amp; " " &amp;tblSales[[#This Row],[LastName]]</f>
        <v>Margaret Peacock</v>
      </c>
      <c r="R667">
        <f>YEAR(tblSales[[#This Row],[OrderDate]])</f>
        <v>2020</v>
      </c>
      <c r="S667">
        <f>WEEKNUM(tblSales[[#This Row],[OrderDate]])</f>
        <v>21</v>
      </c>
      <c r="T667">
        <f>IF(ISBLANK(tblSales[[#This Row],[ShippedDate]]),"",tblSales[[#This Row],[ShippedDate]]-tblSales[[#This Row],[OrderDate]])</f>
        <v>29</v>
      </c>
      <c r="U667" t="str">
        <f>LEFT(tblSales[[#This Row],[ProductName]],20)</f>
        <v>Gnocchi di nonna Ali</v>
      </c>
    </row>
    <row r="668" spans="2:21" x14ac:dyDescent="0.2">
      <c r="B668">
        <v>10750</v>
      </c>
      <c r="C668" t="s">
        <v>8281</v>
      </c>
      <c r="D668" t="s">
        <v>8300</v>
      </c>
      <c r="E668" t="s">
        <v>8237</v>
      </c>
      <c r="F668" s="222">
        <v>55</v>
      </c>
      <c r="G668">
        <v>25</v>
      </c>
      <c r="H668" s="223">
        <v>0.15000000596046401</v>
      </c>
      <c r="I668" s="222">
        <v>1168.75</v>
      </c>
      <c r="J668" t="s">
        <v>8301</v>
      </c>
      <c r="K668" t="s">
        <v>8302</v>
      </c>
      <c r="L668" s="118">
        <v>43971</v>
      </c>
      <c r="M668" s="118">
        <v>43974</v>
      </c>
      <c r="N668" t="s">
        <v>8250</v>
      </c>
      <c r="O668" t="s">
        <v>8279</v>
      </c>
      <c r="P668" t="s">
        <v>710</v>
      </c>
      <c r="Q668" t="str">
        <f>tblSales[[#This Row],[FirstName]]&amp; " " &amp;tblSales[[#This Row],[LastName]]</f>
        <v>Anne Dodsworth</v>
      </c>
      <c r="R668">
        <f>YEAR(tblSales[[#This Row],[OrderDate]])</f>
        <v>2020</v>
      </c>
      <c r="S668">
        <f>WEEKNUM(tblSales[[#This Row],[OrderDate]])</f>
        <v>21</v>
      </c>
      <c r="T668">
        <f>IF(ISBLANK(tblSales[[#This Row],[ShippedDate]]),"",tblSales[[#This Row],[ShippedDate]]-tblSales[[#This Row],[OrderDate]])</f>
        <v>3</v>
      </c>
      <c r="U668" t="str">
        <f>LEFT(tblSales[[#This Row],[ProductName]],20)</f>
        <v>Raclette Courdavault</v>
      </c>
    </row>
    <row r="669" spans="2:21" x14ac:dyDescent="0.2">
      <c r="B669">
        <v>10750</v>
      </c>
      <c r="C669" t="s">
        <v>8252</v>
      </c>
      <c r="D669" t="s">
        <v>8300</v>
      </c>
      <c r="E669" t="s">
        <v>8247</v>
      </c>
      <c r="F669" s="222">
        <v>23.25</v>
      </c>
      <c r="G669">
        <v>5</v>
      </c>
      <c r="H669" s="223">
        <v>0.15000000596046401</v>
      </c>
      <c r="I669" s="222">
        <v>98.81</v>
      </c>
      <c r="J669" t="s">
        <v>8301</v>
      </c>
      <c r="K669" t="s">
        <v>8302</v>
      </c>
      <c r="L669" s="118">
        <v>43971</v>
      </c>
      <c r="M669" s="118">
        <v>43974</v>
      </c>
      <c r="N669" t="s">
        <v>8250</v>
      </c>
      <c r="O669" t="s">
        <v>8279</v>
      </c>
      <c r="P669" t="s">
        <v>710</v>
      </c>
      <c r="Q669" t="str">
        <f>tblSales[[#This Row],[FirstName]]&amp; " " &amp;tblSales[[#This Row],[LastName]]</f>
        <v>Anne Dodsworth</v>
      </c>
      <c r="R669">
        <f>YEAR(tblSales[[#This Row],[OrderDate]])</f>
        <v>2020</v>
      </c>
      <c r="S669">
        <f>WEEKNUM(tblSales[[#This Row],[OrderDate]])</f>
        <v>21</v>
      </c>
      <c r="T669">
        <f>IF(ISBLANK(tblSales[[#This Row],[ShippedDate]]),"",tblSales[[#This Row],[ShippedDate]]-tblSales[[#This Row],[OrderDate]])</f>
        <v>3</v>
      </c>
      <c r="U669" t="str">
        <f>LEFT(tblSales[[#This Row],[ProductName]],20)</f>
        <v>Tofu</v>
      </c>
    </row>
    <row r="670" spans="2:21" x14ac:dyDescent="0.2">
      <c r="B670">
        <v>10752</v>
      </c>
      <c r="C670" t="s">
        <v>8333</v>
      </c>
      <c r="D670" t="s">
        <v>2434</v>
      </c>
      <c r="E670" t="s">
        <v>8272</v>
      </c>
      <c r="F670" s="222">
        <v>18</v>
      </c>
      <c r="G670">
        <v>8</v>
      </c>
      <c r="H670" s="223">
        <v>0</v>
      </c>
      <c r="I670" s="222">
        <v>144</v>
      </c>
      <c r="J670" t="s">
        <v>8418</v>
      </c>
      <c r="K670" t="s">
        <v>8419</v>
      </c>
      <c r="L670" s="118">
        <v>43974</v>
      </c>
      <c r="M670" s="118">
        <v>43978</v>
      </c>
      <c r="N670" t="s">
        <v>8240</v>
      </c>
      <c r="O670" t="s">
        <v>8297</v>
      </c>
      <c r="P670" t="s">
        <v>8298</v>
      </c>
      <c r="Q670" t="str">
        <f>tblSales[[#This Row],[FirstName]]&amp; " " &amp;tblSales[[#This Row],[LastName]]</f>
        <v>Andrew Fuller</v>
      </c>
      <c r="R670">
        <f>YEAR(tblSales[[#This Row],[OrderDate]])</f>
        <v>2020</v>
      </c>
      <c r="S670">
        <f>WEEKNUM(tblSales[[#This Row],[OrderDate]])</f>
        <v>21</v>
      </c>
      <c r="T670">
        <f>IF(ISBLANK(tblSales[[#This Row],[ShippedDate]]),"",tblSales[[#This Row],[ShippedDate]]-tblSales[[#This Row],[OrderDate]])</f>
        <v>4</v>
      </c>
      <c r="U670" t="str">
        <f>LEFT(tblSales[[#This Row],[ProductName]],20)</f>
        <v>Chai</v>
      </c>
    </row>
    <row r="671" spans="2:21" x14ac:dyDescent="0.2">
      <c r="B671">
        <v>10752</v>
      </c>
      <c r="C671" t="s">
        <v>8353</v>
      </c>
      <c r="D671" t="s">
        <v>2434</v>
      </c>
      <c r="E671" t="s">
        <v>8237</v>
      </c>
      <c r="F671" s="222">
        <v>36</v>
      </c>
      <c r="G671">
        <v>3</v>
      </c>
      <c r="H671" s="223">
        <v>0</v>
      </c>
      <c r="I671" s="222">
        <v>108</v>
      </c>
      <c r="J671" t="s">
        <v>8418</v>
      </c>
      <c r="K671" t="s">
        <v>8419</v>
      </c>
      <c r="L671" s="118">
        <v>43974</v>
      </c>
      <c r="M671" s="118">
        <v>43978</v>
      </c>
      <c r="N671" t="s">
        <v>8240</v>
      </c>
      <c r="O671" t="s">
        <v>8297</v>
      </c>
      <c r="P671" t="s">
        <v>8298</v>
      </c>
      <c r="Q671" t="str">
        <f>tblSales[[#This Row],[FirstName]]&amp; " " &amp;tblSales[[#This Row],[LastName]]</f>
        <v>Andrew Fuller</v>
      </c>
      <c r="R671">
        <f>YEAR(tblSales[[#This Row],[OrderDate]])</f>
        <v>2020</v>
      </c>
      <c r="S671">
        <f>WEEKNUM(tblSales[[#This Row],[OrderDate]])</f>
        <v>21</v>
      </c>
      <c r="T671">
        <f>IF(ISBLANK(tblSales[[#This Row],[ShippedDate]]),"",tblSales[[#This Row],[ShippedDate]]-tblSales[[#This Row],[OrderDate]])</f>
        <v>4</v>
      </c>
      <c r="U671" t="str">
        <f>LEFT(tblSales[[#This Row],[ProductName]],20)</f>
        <v>Gudbrandsdalsost</v>
      </c>
    </row>
    <row r="672" spans="2:21" x14ac:dyDescent="0.2">
      <c r="B672">
        <v>10751</v>
      </c>
      <c r="C672" t="s">
        <v>8372</v>
      </c>
      <c r="D672" t="s">
        <v>8271</v>
      </c>
      <c r="E672" t="s">
        <v>8262</v>
      </c>
      <c r="F672" s="222">
        <v>31.23</v>
      </c>
      <c r="G672">
        <v>12</v>
      </c>
      <c r="H672" s="223">
        <v>0.10000000149011599</v>
      </c>
      <c r="I672" s="222">
        <v>337.28</v>
      </c>
      <c r="J672" t="s">
        <v>8277</v>
      </c>
      <c r="K672" t="s">
        <v>8278</v>
      </c>
      <c r="L672" s="118">
        <v>43974</v>
      </c>
      <c r="M672" s="118">
        <v>43983</v>
      </c>
      <c r="N672" t="s">
        <v>8240</v>
      </c>
      <c r="O672" t="s">
        <v>8257</v>
      </c>
      <c r="P672" t="s">
        <v>6984</v>
      </c>
      <c r="Q672" t="str">
        <f>tblSales[[#This Row],[FirstName]]&amp; " " &amp;tblSales[[#This Row],[LastName]]</f>
        <v>Janet Leverling</v>
      </c>
      <c r="R672">
        <f>YEAR(tblSales[[#This Row],[OrderDate]])</f>
        <v>2020</v>
      </c>
      <c r="S672">
        <f>WEEKNUM(tblSales[[#This Row],[OrderDate]])</f>
        <v>21</v>
      </c>
      <c r="T672">
        <f>IF(ISBLANK(tblSales[[#This Row],[ShippedDate]]),"",tblSales[[#This Row],[ShippedDate]]-tblSales[[#This Row],[OrderDate]])</f>
        <v>9</v>
      </c>
      <c r="U672" t="str">
        <f>LEFT(tblSales[[#This Row],[ProductName]],20)</f>
        <v>Gumbär Gummibärchen</v>
      </c>
    </row>
    <row r="673" spans="2:21" x14ac:dyDescent="0.2">
      <c r="B673">
        <v>10751</v>
      </c>
      <c r="C673" t="s">
        <v>8381</v>
      </c>
      <c r="D673" t="s">
        <v>8271</v>
      </c>
      <c r="E673" t="s">
        <v>8262</v>
      </c>
      <c r="F673" s="222">
        <v>16.25</v>
      </c>
      <c r="G673">
        <v>20</v>
      </c>
      <c r="H673" s="223">
        <v>0.10000000149011599</v>
      </c>
      <c r="I673" s="222">
        <v>292.5</v>
      </c>
      <c r="J673" t="s">
        <v>8277</v>
      </c>
      <c r="K673" t="s">
        <v>8278</v>
      </c>
      <c r="L673" s="118">
        <v>43974</v>
      </c>
      <c r="M673" s="118">
        <v>43983</v>
      </c>
      <c r="N673" t="s">
        <v>8240</v>
      </c>
      <c r="O673" t="s">
        <v>8257</v>
      </c>
      <c r="P673" t="s">
        <v>6984</v>
      </c>
      <c r="Q673" t="str">
        <f>tblSales[[#This Row],[FirstName]]&amp; " " &amp;tblSales[[#This Row],[LastName]]</f>
        <v>Janet Leverling</v>
      </c>
      <c r="R673">
        <f>YEAR(tblSales[[#This Row],[OrderDate]])</f>
        <v>2020</v>
      </c>
      <c r="S673">
        <f>WEEKNUM(tblSales[[#This Row],[OrderDate]])</f>
        <v>21</v>
      </c>
      <c r="T673">
        <f>IF(ISBLANK(tblSales[[#This Row],[ShippedDate]]),"",tblSales[[#This Row],[ShippedDate]]-tblSales[[#This Row],[OrderDate]])</f>
        <v>9</v>
      </c>
      <c r="U673" t="str">
        <f>LEFT(tblSales[[#This Row],[ProductName]],20)</f>
        <v>Valkoinen suklaa</v>
      </c>
    </row>
    <row r="674" spans="2:21" x14ac:dyDescent="0.2">
      <c r="B674">
        <v>10753</v>
      </c>
      <c r="C674" t="s">
        <v>8275</v>
      </c>
      <c r="D674" t="s">
        <v>8311</v>
      </c>
      <c r="E674" t="s">
        <v>8247</v>
      </c>
      <c r="F674" s="222">
        <v>10</v>
      </c>
      <c r="G674">
        <v>5</v>
      </c>
      <c r="H674" s="223">
        <v>0</v>
      </c>
      <c r="I674" s="222">
        <v>50</v>
      </c>
      <c r="J674" t="s">
        <v>8411</v>
      </c>
      <c r="K674" t="s">
        <v>8412</v>
      </c>
      <c r="L674" s="118">
        <v>43975</v>
      </c>
      <c r="M674" s="118">
        <v>43977</v>
      </c>
      <c r="N674" t="s">
        <v>8250</v>
      </c>
      <c r="O674" t="s">
        <v>8257</v>
      </c>
      <c r="P674" t="s">
        <v>6984</v>
      </c>
      <c r="Q674" t="str">
        <f>tblSales[[#This Row],[FirstName]]&amp; " " &amp;tblSales[[#This Row],[LastName]]</f>
        <v>Janet Leverling</v>
      </c>
      <c r="R674">
        <f>YEAR(tblSales[[#This Row],[OrderDate]])</f>
        <v>2020</v>
      </c>
      <c r="S674">
        <f>WEEKNUM(tblSales[[#This Row],[OrderDate]])</f>
        <v>22</v>
      </c>
      <c r="T674">
        <f>IF(ISBLANK(tblSales[[#This Row],[ShippedDate]]),"",tblSales[[#This Row],[ShippedDate]]-tblSales[[#This Row],[OrderDate]])</f>
        <v>2</v>
      </c>
      <c r="U674" t="str">
        <f>LEFT(tblSales[[#This Row],[ProductName]],20)</f>
        <v>Longlife Tofu</v>
      </c>
    </row>
    <row r="675" spans="2:21" x14ac:dyDescent="0.2">
      <c r="B675">
        <v>10755</v>
      </c>
      <c r="C675" t="s">
        <v>8410</v>
      </c>
      <c r="D675" t="s">
        <v>8236</v>
      </c>
      <c r="E675" t="s">
        <v>8262</v>
      </c>
      <c r="F675" s="222">
        <v>9.5</v>
      </c>
      <c r="G675">
        <v>30</v>
      </c>
      <c r="H675" s="223">
        <v>0.25</v>
      </c>
      <c r="I675" s="222">
        <v>213.75</v>
      </c>
      <c r="J675" t="s">
        <v>8377</v>
      </c>
      <c r="K675" t="s">
        <v>8378</v>
      </c>
      <c r="L675" s="118">
        <v>43976</v>
      </c>
      <c r="M675" s="118">
        <v>43978</v>
      </c>
      <c r="N675" t="s">
        <v>8265</v>
      </c>
      <c r="O675" t="s">
        <v>8266</v>
      </c>
      <c r="P675" t="s">
        <v>8267</v>
      </c>
      <c r="Q675" t="str">
        <f>tblSales[[#This Row],[FirstName]]&amp; " " &amp;tblSales[[#This Row],[LastName]]</f>
        <v>Margaret Peacock</v>
      </c>
      <c r="R675">
        <f>YEAR(tblSales[[#This Row],[OrderDate]])</f>
        <v>2020</v>
      </c>
      <c r="S675">
        <f>WEEKNUM(tblSales[[#This Row],[OrderDate]])</f>
        <v>22</v>
      </c>
      <c r="T675">
        <f>IF(ISBLANK(tblSales[[#This Row],[ShippedDate]]),"",tblSales[[#This Row],[ShippedDate]]-tblSales[[#This Row],[OrderDate]])</f>
        <v>2</v>
      </c>
      <c r="U675" t="str">
        <f>LEFT(tblSales[[#This Row],[ProductName]],20)</f>
        <v>Zaanse koeken</v>
      </c>
    </row>
    <row r="676" spans="2:21" x14ac:dyDescent="0.2">
      <c r="B676">
        <v>10755</v>
      </c>
      <c r="C676" t="s">
        <v>8353</v>
      </c>
      <c r="D676" t="s">
        <v>8236</v>
      </c>
      <c r="E676" t="s">
        <v>8237</v>
      </c>
      <c r="F676" s="222">
        <v>36</v>
      </c>
      <c r="G676">
        <v>25</v>
      </c>
      <c r="H676" s="223">
        <v>0.25</v>
      </c>
      <c r="I676" s="222">
        <v>675</v>
      </c>
      <c r="J676" t="s">
        <v>8377</v>
      </c>
      <c r="K676" t="s">
        <v>8378</v>
      </c>
      <c r="L676" s="118">
        <v>43976</v>
      </c>
      <c r="M676" s="118">
        <v>43978</v>
      </c>
      <c r="N676" t="s">
        <v>8265</v>
      </c>
      <c r="O676" t="s">
        <v>8266</v>
      </c>
      <c r="P676" t="s">
        <v>8267</v>
      </c>
      <c r="Q676" t="str">
        <f>tblSales[[#This Row],[FirstName]]&amp; " " &amp;tblSales[[#This Row],[LastName]]</f>
        <v>Margaret Peacock</v>
      </c>
      <c r="R676">
        <f>YEAR(tblSales[[#This Row],[OrderDate]])</f>
        <v>2020</v>
      </c>
      <c r="S676">
        <f>WEEKNUM(tblSales[[#This Row],[OrderDate]])</f>
        <v>22</v>
      </c>
      <c r="T676">
        <f>IF(ISBLANK(tblSales[[#This Row],[ShippedDate]]),"",tblSales[[#This Row],[ShippedDate]]-tblSales[[#This Row],[OrderDate]])</f>
        <v>2</v>
      </c>
      <c r="U676" t="str">
        <f>LEFT(tblSales[[#This Row],[ProductName]],20)</f>
        <v>Gudbrandsdalsost</v>
      </c>
    </row>
    <row r="677" spans="2:21" x14ac:dyDescent="0.2">
      <c r="B677">
        <v>10755</v>
      </c>
      <c r="C677" t="s">
        <v>8341</v>
      </c>
      <c r="D677" t="s">
        <v>8236</v>
      </c>
      <c r="E677" t="s">
        <v>8244</v>
      </c>
      <c r="F677" s="222">
        <v>38</v>
      </c>
      <c r="G677">
        <v>30</v>
      </c>
      <c r="H677" s="223">
        <v>0.25</v>
      </c>
      <c r="I677" s="222">
        <v>855</v>
      </c>
      <c r="J677" t="s">
        <v>8377</v>
      </c>
      <c r="K677" t="s">
        <v>8378</v>
      </c>
      <c r="L677" s="118">
        <v>43976</v>
      </c>
      <c r="M677" s="118">
        <v>43978</v>
      </c>
      <c r="N677" t="s">
        <v>8265</v>
      </c>
      <c r="O677" t="s">
        <v>8266</v>
      </c>
      <c r="P677" t="s">
        <v>8267</v>
      </c>
      <c r="Q677" t="str">
        <f>tblSales[[#This Row],[FirstName]]&amp; " " &amp;tblSales[[#This Row],[LastName]]</f>
        <v>Margaret Peacock</v>
      </c>
      <c r="R677">
        <f>YEAR(tblSales[[#This Row],[OrderDate]])</f>
        <v>2020</v>
      </c>
      <c r="S677">
        <f>WEEKNUM(tblSales[[#This Row],[OrderDate]])</f>
        <v>22</v>
      </c>
      <c r="T677">
        <f>IF(ISBLANK(tblSales[[#This Row],[ShippedDate]]),"",tblSales[[#This Row],[ShippedDate]]-tblSales[[#This Row],[OrderDate]])</f>
        <v>2</v>
      </c>
      <c r="U677" t="str">
        <f>LEFT(tblSales[[#This Row],[ProductName]],20)</f>
        <v>Gnocchi di nonna Ali</v>
      </c>
    </row>
    <row r="678" spans="2:21" x14ac:dyDescent="0.2">
      <c r="B678">
        <v>10755</v>
      </c>
      <c r="C678" t="s">
        <v>8258</v>
      </c>
      <c r="D678" t="s">
        <v>8236</v>
      </c>
      <c r="E678" t="s">
        <v>8244</v>
      </c>
      <c r="F678" s="222">
        <v>19.5</v>
      </c>
      <c r="G678">
        <v>14</v>
      </c>
      <c r="H678" s="223">
        <v>0.25</v>
      </c>
      <c r="I678" s="222">
        <v>204.75</v>
      </c>
      <c r="J678" t="s">
        <v>8377</v>
      </c>
      <c r="K678" t="s">
        <v>8378</v>
      </c>
      <c r="L678" s="118">
        <v>43976</v>
      </c>
      <c r="M678" s="118">
        <v>43978</v>
      </c>
      <c r="N678" t="s">
        <v>8265</v>
      </c>
      <c r="O678" t="s">
        <v>8266</v>
      </c>
      <c r="P678" t="s">
        <v>8267</v>
      </c>
      <c r="Q678" t="str">
        <f>tblSales[[#This Row],[FirstName]]&amp; " " &amp;tblSales[[#This Row],[LastName]]</f>
        <v>Margaret Peacock</v>
      </c>
      <c r="R678">
        <f>YEAR(tblSales[[#This Row],[OrderDate]])</f>
        <v>2020</v>
      </c>
      <c r="S678">
        <f>WEEKNUM(tblSales[[#This Row],[OrderDate]])</f>
        <v>22</v>
      </c>
      <c r="T678">
        <f>IF(ISBLANK(tblSales[[#This Row],[ShippedDate]]),"",tblSales[[#This Row],[ShippedDate]]-tblSales[[#This Row],[OrderDate]])</f>
        <v>2</v>
      </c>
      <c r="U678" t="str">
        <f>LEFT(tblSales[[#This Row],[ProductName]],20)</f>
        <v>Ravioli Angelo</v>
      </c>
    </row>
    <row r="679" spans="2:21" x14ac:dyDescent="0.2">
      <c r="B679">
        <v>10758</v>
      </c>
      <c r="C679" t="s">
        <v>8288</v>
      </c>
      <c r="D679" t="s">
        <v>8271</v>
      </c>
      <c r="E679" t="s">
        <v>8272</v>
      </c>
      <c r="F679" s="222">
        <v>15</v>
      </c>
      <c r="G679">
        <v>40</v>
      </c>
      <c r="H679" s="223">
        <v>0</v>
      </c>
      <c r="I679" s="222">
        <v>600</v>
      </c>
      <c r="J679" t="s">
        <v>8277</v>
      </c>
      <c r="K679" t="s">
        <v>8278</v>
      </c>
      <c r="L679" s="118">
        <v>43978</v>
      </c>
      <c r="M679" s="118">
        <v>43984</v>
      </c>
      <c r="N679" t="s">
        <v>8240</v>
      </c>
      <c r="O679" t="s">
        <v>8257</v>
      </c>
      <c r="P679" t="s">
        <v>6984</v>
      </c>
      <c r="Q679" t="str">
        <f>tblSales[[#This Row],[FirstName]]&amp; " " &amp;tblSales[[#This Row],[LastName]]</f>
        <v>Janet Leverling</v>
      </c>
      <c r="R679">
        <f>YEAR(tblSales[[#This Row],[OrderDate]])</f>
        <v>2020</v>
      </c>
      <c r="S679">
        <f>WEEKNUM(tblSales[[#This Row],[OrderDate]])</f>
        <v>22</v>
      </c>
      <c r="T679">
        <f>IF(ISBLANK(tblSales[[#This Row],[ShippedDate]]),"",tblSales[[#This Row],[ShippedDate]]-tblSales[[#This Row],[OrderDate]])</f>
        <v>6</v>
      </c>
      <c r="U679" t="str">
        <f>LEFT(tblSales[[#This Row],[ProductName]],20)</f>
        <v>Outback Lager</v>
      </c>
    </row>
    <row r="680" spans="2:21" x14ac:dyDescent="0.2">
      <c r="B680">
        <v>10758</v>
      </c>
      <c r="C680" t="s">
        <v>8372</v>
      </c>
      <c r="D680" t="s">
        <v>8271</v>
      </c>
      <c r="E680" t="s">
        <v>8262</v>
      </c>
      <c r="F680" s="222">
        <v>31.23</v>
      </c>
      <c r="G680">
        <v>20</v>
      </c>
      <c r="H680" s="223">
        <v>0</v>
      </c>
      <c r="I680" s="222">
        <v>624.6</v>
      </c>
      <c r="J680" t="s">
        <v>8277</v>
      </c>
      <c r="K680" t="s">
        <v>8278</v>
      </c>
      <c r="L680" s="118">
        <v>43978</v>
      </c>
      <c r="M680" s="118">
        <v>43984</v>
      </c>
      <c r="N680" t="s">
        <v>8240</v>
      </c>
      <c r="O680" t="s">
        <v>8257</v>
      </c>
      <c r="P680" t="s">
        <v>6984</v>
      </c>
      <c r="Q680" t="str">
        <f>tblSales[[#This Row],[FirstName]]&amp; " " &amp;tblSales[[#This Row],[LastName]]</f>
        <v>Janet Leverling</v>
      </c>
      <c r="R680">
        <f>YEAR(tblSales[[#This Row],[OrderDate]])</f>
        <v>2020</v>
      </c>
      <c r="S680">
        <f>WEEKNUM(tblSales[[#This Row],[OrderDate]])</f>
        <v>22</v>
      </c>
      <c r="T680">
        <f>IF(ISBLANK(tblSales[[#This Row],[ShippedDate]]),"",tblSales[[#This Row],[ShippedDate]]-tblSales[[#This Row],[OrderDate]])</f>
        <v>6</v>
      </c>
      <c r="U680" t="str">
        <f>LEFT(tblSales[[#This Row],[ProductName]],20)</f>
        <v>Gumbär Gummibärchen</v>
      </c>
    </row>
    <row r="681" spans="2:21" x14ac:dyDescent="0.2">
      <c r="B681">
        <v>10758</v>
      </c>
      <c r="C681" t="s">
        <v>8369</v>
      </c>
      <c r="D681" t="s">
        <v>8271</v>
      </c>
      <c r="E681" t="s">
        <v>8244</v>
      </c>
      <c r="F681" s="222">
        <v>7</v>
      </c>
      <c r="G681">
        <v>60</v>
      </c>
      <c r="H681" s="223">
        <v>0</v>
      </c>
      <c r="I681" s="222">
        <v>420</v>
      </c>
      <c r="J681" t="s">
        <v>8277</v>
      </c>
      <c r="K681" t="s">
        <v>8278</v>
      </c>
      <c r="L681" s="118">
        <v>43978</v>
      </c>
      <c r="M681" s="118">
        <v>43984</v>
      </c>
      <c r="N681" t="s">
        <v>8240</v>
      </c>
      <c r="O681" t="s">
        <v>8257</v>
      </c>
      <c r="P681" t="s">
        <v>6984</v>
      </c>
      <c r="Q681" t="str">
        <f>tblSales[[#This Row],[FirstName]]&amp; " " &amp;tblSales[[#This Row],[LastName]]</f>
        <v>Janet Leverling</v>
      </c>
      <c r="R681">
        <f>YEAR(tblSales[[#This Row],[OrderDate]])</f>
        <v>2020</v>
      </c>
      <c r="S681">
        <f>WEEKNUM(tblSales[[#This Row],[OrderDate]])</f>
        <v>22</v>
      </c>
      <c r="T681">
        <f>IF(ISBLANK(tblSales[[#This Row],[ShippedDate]]),"",tblSales[[#This Row],[ShippedDate]]-tblSales[[#This Row],[OrderDate]])</f>
        <v>6</v>
      </c>
      <c r="U681" t="str">
        <f>LEFT(tblSales[[#This Row],[ProductName]],20)</f>
        <v>Filo Mix</v>
      </c>
    </row>
    <row r="682" spans="2:21" x14ac:dyDescent="0.2">
      <c r="B682">
        <v>10760</v>
      </c>
      <c r="C682" t="s">
        <v>8306</v>
      </c>
      <c r="D682" t="s">
        <v>8261</v>
      </c>
      <c r="E682" t="s">
        <v>8272</v>
      </c>
      <c r="F682" s="222">
        <v>46</v>
      </c>
      <c r="G682">
        <v>30</v>
      </c>
      <c r="H682" s="223">
        <v>0.25</v>
      </c>
      <c r="I682" s="222">
        <v>1035</v>
      </c>
      <c r="J682" t="s">
        <v>8420</v>
      </c>
      <c r="K682" t="s">
        <v>8421</v>
      </c>
      <c r="L682" s="118">
        <v>43981</v>
      </c>
      <c r="M682" s="118">
        <v>43990</v>
      </c>
      <c r="N682" t="s">
        <v>8250</v>
      </c>
      <c r="O682" t="s">
        <v>8266</v>
      </c>
      <c r="P682" t="s">
        <v>8267</v>
      </c>
      <c r="Q682" t="str">
        <f>tblSales[[#This Row],[FirstName]]&amp; " " &amp;tblSales[[#This Row],[LastName]]</f>
        <v>Margaret Peacock</v>
      </c>
      <c r="R682">
        <f>YEAR(tblSales[[#This Row],[OrderDate]])</f>
        <v>2020</v>
      </c>
      <c r="S682">
        <f>WEEKNUM(tblSales[[#This Row],[OrderDate]])</f>
        <v>22</v>
      </c>
      <c r="T682">
        <f>IF(ISBLANK(tblSales[[#This Row],[ShippedDate]]),"",tblSales[[#This Row],[ShippedDate]]-tblSales[[#This Row],[OrderDate]])</f>
        <v>9</v>
      </c>
      <c r="U682" t="str">
        <f>LEFT(tblSales[[#This Row],[ProductName]],20)</f>
        <v>Ipoh Coffee</v>
      </c>
    </row>
    <row r="683" spans="2:21" x14ac:dyDescent="0.2">
      <c r="B683">
        <v>10760</v>
      </c>
      <c r="C683" t="s">
        <v>8332</v>
      </c>
      <c r="D683" t="s">
        <v>8261</v>
      </c>
      <c r="E683" t="s">
        <v>8262</v>
      </c>
      <c r="F683" s="222">
        <v>43.9</v>
      </c>
      <c r="G683">
        <v>40</v>
      </c>
      <c r="H683" s="223">
        <v>0</v>
      </c>
      <c r="I683" s="222">
        <v>1756</v>
      </c>
      <c r="J683" t="s">
        <v>8420</v>
      </c>
      <c r="K683" t="s">
        <v>8421</v>
      </c>
      <c r="L683" s="118">
        <v>43981</v>
      </c>
      <c r="M683" s="118">
        <v>43990</v>
      </c>
      <c r="N683" t="s">
        <v>8250</v>
      </c>
      <c r="O683" t="s">
        <v>8266</v>
      </c>
      <c r="P683" t="s">
        <v>8267</v>
      </c>
      <c r="Q683" t="str">
        <f>tblSales[[#This Row],[FirstName]]&amp; " " &amp;tblSales[[#This Row],[LastName]]</f>
        <v>Margaret Peacock</v>
      </c>
      <c r="R683">
        <f>YEAR(tblSales[[#This Row],[OrderDate]])</f>
        <v>2020</v>
      </c>
      <c r="S683">
        <f>WEEKNUM(tblSales[[#This Row],[OrderDate]])</f>
        <v>22</v>
      </c>
      <c r="T683">
        <f>IF(ISBLANK(tblSales[[#This Row],[ShippedDate]]),"",tblSales[[#This Row],[ShippedDate]]-tblSales[[#This Row],[OrderDate]])</f>
        <v>9</v>
      </c>
      <c r="U683" t="str">
        <f>LEFT(tblSales[[#This Row],[ProductName]],20)</f>
        <v>Schoggi Schokolade</v>
      </c>
    </row>
    <row r="684" spans="2:21" x14ac:dyDescent="0.2">
      <c r="B684">
        <v>10760</v>
      </c>
      <c r="C684" t="s">
        <v>8362</v>
      </c>
      <c r="D684" t="s">
        <v>8261</v>
      </c>
      <c r="E684" t="s">
        <v>8262</v>
      </c>
      <c r="F684" s="222">
        <v>14</v>
      </c>
      <c r="G684">
        <v>12</v>
      </c>
      <c r="H684" s="223">
        <v>0.25</v>
      </c>
      <c r="I684" s="222">
        <v>126</v>
      </c>
      <c r="J684" t="s">
        <v>8420</v>
      </c>
      <c r="K684" t="s">
        <v>8421</v>
      </c>
      <c r="L684" s="118">
        <v>43981</v>
      </c>
      <c r="M684" s="118">
        <v>43990</v>
      </c>
      <c r="N684" t="s">
        <v>8250</v>
      </c>
      <c r="O684" t="s">
        <v>8266</v>
      </c>
      <c r="P684" t="s">
        <v>8267</v>
      </c>
      <c r="Q684" t="str">
        <f>tblSales[[#This Row],[FirstName]]&amp; " " &amp;tblSales[[#This Row],[LastName]]</f>
        <v>Margaret Peacock</v>
      </c>
      <c r="R684">
        <f>YEAR(tblSales[[#This Row],[OrderDate]])</f>
        <v>2020</v>
      </c>
      <c r="S684">
        <f>WEEKNUM(tblSales[[#This Row],[OrderDate]])</f>
        <v>22</v>
      </c>
      <c r="T684">
        <f>IF(ISBLANK(tblSales[[#This Row],[ShippedDate]]),"",tblSales[[#This Row],[ShippedDate]]-tblSales[[#This Row],[OrderDate]])</f>
        <v>9</v>
      </c>
      <c r="U684" t="str">
        <f>LEFT(tblSales[[#This Row],[ProductName]],20)</f>
        <v>NuNuCa Nuß-Nougat-Cr</v>
      </c>
    </row>
    <row r="685" spans="2:21" x14ac:dyDescent="0.2">
      <c r="B685">
        <v>10762</v>
      </c>
      <c r="C685" t="s">
        <v>8342</v>
      </c>
      <c r="D685" t="s">
        <v>8292</v>
      </c>
      <c r="E685" t="s">
        <v>8272</v>
      </c>
      <c r="F685" s="222">
        <v>18</v>
      </c>
      <c r="G685">
        <v>16</v>
      </c>
      <c r="H685" s="223">
        <v>0</v>
      </c>
      <c r="I685" s="222">
        <v>288</v>
      </c>
      <c r="J685" t="s">
        <v>8293</v>
      </c>
      <c r="K685" t="s">
        <v>8294</v>
      </c>
      <c r="L685" s="118">
        <v>43982</v>
      </c>
      <c r="M685" s="118">
        <v>43989</v>
      </c>
      <c r="N685" t="s">
        <v>8250</v>
      </c>
      <c r="O685" t="s">
        <v>8257</v>
      </c>
      <c r="P685" t="s">
        <v>6984</v>
      </c>
      <c r="Q685" t="str">
        <f>tblSales[[#This Row],[FirstName]]&amp; " " &amp;tblSales[[#This Row],[LastName]]</f>
        <v>Janet Leverling</v>
      </c>
      <c r="R685">
        <f>YEAR(tblSales[[#This Row],[OrderDate]])</f>
        <v>2020</v>
      </c>
      <c r="S685">
        <f>WEEKNUM(tblSales[[#This Row],[OrderDate]])</f>
        <v>23</v>
      </c>
      <c r="T685">
        <f>IF(ISBLANK(tblSales[[#This Row],[ShippedDate]]),"",tblSales[[#This Row],[ShippedDate]]-tblSales[[#This Row],[OrderDate]])</f>
        <v>7</v>
      </c>
      <c r="U685" t="str">
        <f>LEFT(tblSales[[#This Row],[ProductName]],20)</f>
        <v>Chartreuse verte</v>
      </c>
    </row>
    <row r="686" spans="2:21" x14ac:dyDescent="0.2">
      <c r="B686">
        <v>10762</v>
      </c>
      <c r="C686" t="s">
        <v>8410</v>
      </c>
      <c r="D686" t="s">
        <v>8292</v>
      </c>
      <c r="E686" t="s">
        <v>8262</v>
      </c>
      <c r="F686" s="222">
        <v>9.5</v>
      </c>
      <c r="G686">
        <v>30</v>
      </c>
      <c r="H686" s="223">
        <v>0</v>
      </c>
      <c r="I686" s="222">
        <v>285</v>
      </c>
      <c r="J686" t="s">
        <v>8293</v>
      </c>
      <c r="K686" t="s">
        <v>8294</v>
      </c>
      <c r="L686" s="118">
        <v>43982</v>
      </c>
      <c r="M686" s="118">
        <v>43989</v>
      </c>
      <c r="N686" t="s">
        <v>8250</v>
      </c>
      <c r="O686" t="s">
        <v>8257</v>
      </c>
      <c r="P686" t="s">
        <v>6984</v>
      </c>
      <c r="Q686" t="str">
        <f>tblSales[[#This Row],[FirstName]]&amp; " " &amp;tblSales[[#This Row],[LastName]]</f>
        <v>Janet Leverling</v>
      </c>
      <c r="R686">
        <f>YEAR(tblSales[[#This Row],[OrderDate]])</f>
        <v>2020</v>
      </c>
      <c r="S686">
        <f>WEEKNUM(tblSales[[#This Row],[OrderDate]])</f>
        <v>23</v>
      </c>
      <c r="T686">
        <f>IF(ISBLANK(tblSales[[#This Row],[ShippedDate]]),"",tblSales[[#This Row],[ShippedDate]]-tblSales[[#This Row],[OrderDate]])</f>
        <v>7</v>
      </c>
      <c r="U686" t="str">
        <f>LEFT(tblSales[[#This Row],[ProductName]],20)</f>
        <v>Zaanse koeken</v>
      </c>
    </row>
    <row r="687" spans="2:21" x14ac:dyDescent="0.2">
      <c r="B687">
        <v>10762</v>
      </c>
      <c r="C687" t="s">
        <v>8341</v>
      </c>
      <c r="D687" t="s">
        <v>8292</v>
      </c>
      <c r="E687" t="s">
        <v>8244</v>
      </c>
      <c r="F687" s="222">
        <v>38</v>
      </c>
      <c r="G687">
        <v>60</v>
      </c>
      <c r="H687" s="223">
        <v>0</v>
      </c>
      <c r="I687" s="222">
        <v>2280</v>
      </c>
      <c r="J687" t="s">
        <v>8293</v>
      </c>
      <c r="K687" t="s">
        <v>8294</v>
      </c>
      <c r="L687" s="118">
        <v>43982</v>
      </c>
      <c r="M687" s="118">
        <v>43989</v>
      </c>
      <c r="N687" t="s">
        <v>8250</v>
      </c>
      <c r="O687" t="s">
        <v>8257</v>
      </c>
      <c r="P687" t="s">
        <v>6984</v>
      </c>
      <c r="Q687" t="str">
        <f>tblSales[[#This Row],[FirstName]]&amp; " " &amp;tblSales[[#This Row],[LastName]]</f>
        <v>Janet Leverling</v>
      </c>
      <c r="R687">
        <f>YEAR(tblSales[[#This Row],[OrderDate]])</f>
        <v>2020</v>
      </c>
      <c r="S687">
        <f>WEEKNUM(tblSales[[#This Row],[OrderDate]])</f>
        <v>23</v>
      </c>
      <c r="T687">
        <f>IF(ISBLANK(tblSales[[#This Row],[ShippedDate]]),"",tblSales[[#This Row],[ShippedDate]]-tblSales[[#This Row],[OrderDate]])</f>
        <v>7</v>
      </c>
      <c r="U687" t="str">
        <f>LEFT(tblSales[[#This Row],[ProductName]],20)</f>
        <v>Gnocchi di nonna Ali</v>
      </c>
    </row>
    <row r="688" spans="2:21" x14ac:dyDescent="0.2">
      <c r="B688">
        <v>10762</v>
      </c>
      <c r="C688" t="s">
        <v>8245</v>
      </c>
      <c r="D688" t="s">
        <v>8292</v>
      </c>
      <c r="E688" t="s">
        <v>8247</v>
      </c>
      <c r="F688" s="222">
        <v>53</v>
      </c>
      <c r="G688">
        <v>28</v>
      </c>
      <c r="H688" s="223">
        <v>0</v>
      </c>
      <c r="I688" s="222">
        <v>1484</v>
      </c>
      <c r="J688" t="s">
        <v>8293</v>
      </c>
      <c r="K688" t="s">
        <v>8294</v>
      </c>
      <c r="L688" s="118">
        <v>43982</v>
      </c>
      <c r="M688" s="118">
        <v>43989</v>
      </c>
      <c r="N688" t="s">
        <v>8250</v>
      </c>
      <c r="O688" t="s">
        <v>8257</v>
      </c>
      <c r="P688" t="s">
        <v>6984</v>
      </c>
      <c r="Q688" t="str">
        <f>tblSales[[#This Row],[FirstName]]&amp; " " &amp;tblSales[[#This Row],[LastName]]</f>
        <v>Janet Leverling</v>
      </c>
      <c r="R688">
        <f>YEAR(tblSales[[#This Row],[OrderDate]])</f>
        <v>2020</v>
      </c>
      <c r="S688">
        <f>WEEKNUM(tblSales[[#This Row],[OrderDate]])</f>
        <v>23</v>
      </c>
      <c r="T688">
        <f>IF(ISBLANK(tblSales[[#This Row],[ShippedDate]]),"",tblSales[[#This Row],[ShippedDate]]-tblSales[[#This Row],[OrderDate]])</f>
        <v>7</v>
      </c>
      <c r="U688" t="str">
        <f>LEFT(tblSales[[#This Row],[ProductName]],20)</f>
        <v>Manjimup Dried Apple</v>
      </c>
    </row>
    <row r="689" spans="2:21" x14ac:dyDescent="0.2">
      <c r="B689">
        <v>10763</v>
      </c>
      <c r="C689" t="s">
        <v>8270</v>
      </c>
      <c r="D689" t="s">
        <v>8236</v>
      </c>
      <c r="E689" t="s">
        <v>8272</v>
      </c>
      <c r="F689" s="222">
        <v>4.5</v>
      </c>
      <c r="G689">
        <v>20</v>
      </c>
      <c r="H689" s="223">
        <v>0</v>
      </c>
      <c r="I689" s="222">
        <v>90</v>
      </c>
      <c r="J689" t="s">
        <v>8407</v>
      </c>
      <c r="K689" t="s">
        <v>8408</v>
      </c>
      <c r="L689" s="118">
        <v>43983</v>
      </c>
      <c r="M689" s="118">
        <v>43988</v>
      </c>
      <c r="N689" t="s">
        <v>8240</v>
      </c>
      <c r="O689" t="s">
        <v>8257</v>
      </c>
      <c r="P689" t="s">
        <v>6984</v>
      </c>
      <c r="Q689" t="str">
        <f>tblSales[[#This Row],[FirstName]]&amp; " " &amp;tblSales[[#This Row],[LastName]]</f>
        <v>Janet Leverling</v>
      </c>
      <c r="R689">
        <f>YEAR(tblSales[[#This Row],[OrderDate]])</f>
        <v>2020</v>
      </c>
      <c r="S689">
        <f>WEEKNUM(tblSales[[#This Row],[OrderDate]])</f>
        <v>23</v>
      </c>
      <c r="T689">
        <f>IF(ISBLANK(tblSales[[#This Row],[ShippedDate]]),"",tblSales[[#This Row],[ShippedDate]]-tblSales[[#This Row],[OrderDate]])</f>
        <v>5</v>
      </c>
      <c r="U689" t="str">
        <f>LEFT(tblSales[[#This Row],[ProductName]],20)</f>
        <v>Guaraná Fantástica</v>
      </c>
    </row>
    <row r="690" spans="2:21" x14ac:dyDescent="0.2">
      <c r="B690">
        <v>10763</v>
      </c>
      <c r="C690" t="s">
        <v>8368</v>
      </c>
      <c r="D690" t="s">
        <v>8236</v>
      </c>
      <c r="E690" t="s">
        <v>8262</v>
      </c>
      <c r="F690" s="222">
        <v>10</v>
      </c>
      <c r="G690">
        <v>40</v>
      </c>
      <c r="H690" s="223">
        <v>0</v>
      </c>
      <c r="I690" s="222">
        <v>400</v>
      </c>
      <c r="J690" t="s">
        <v>8407</v>
      </c>
      <c r="K690" t="s">
        <v>8408</v>
      </c>
      <c r="L690" s="118">
        <v>43983</v>
      </c>
      <c r="M690" s="118">
        <v>43988</v>
      </c>
      <c r="N690" t="s">
        <v>8240</v>
      </c>
      <c r="O690" t="s">
        <v>8257</v>
      </c>
      <c r="P690" t="s">
        <v>6984</v>
      </c>
      <c r="Q690" t="str">
        <f>tblSales[[#This Row],[FirstName]]&amp; " " &amp;tblSales[[#This Row],[LastName]]</f>
        <v>Janet Leverling</v>
      </c>
      <c r="R690">
        <f>YEAR(tblSales[[#This Row],[OrderDate]])</f>
        <v>2020</v>
      </c>
      <c r="S690">
        <f>WEEKNUM(tblSales[[#This Row],[OrderDate]])</f>
        <v>23</v>
      </c>
      <c r="T690">
        <f>IF(ISBLANK(tblSales[[#This Row],[ShippedDate]]),"",tblSales[[#This Row],[ShippedDate]]-tblSales[[#This Row],[OrderDate]])</f>
        <v>5</v>
      </c>
      <c r="U690" t="str">
        <f>LEFT(tblSales[[#This Row],[ProductName]],20)</f>
        <v>Sir Rodney's Scones</v>
      </c>
    </row>
    <row r="691" spans="2:21" x14ac:dyDescent="0.2">
      <c r="B691">
        <v>10763</v>
      </c>
      <c r="C691" t="s">
        <v>8259</v>
      </c>
      <c r="D691" t="s">
        <v>8236</v>
      </c>
      <c r="E691" t="s">
        <v>8244</v>
      </c>
      <c r="F691" s="222">
        <v>21</v>
      </c>
      <c r="G691">
        <v>6</v>
      </c>
      <c r="H691" s="223">
        <v>0</v>
      </c>
      <c r="I691" s="222">
        <v>126</v>
      </c>
      <c r="J691" t="s">
        <v>8407</v>
      </c>
      <c r="K691" t="s">
        <v>8408</v>
      </c>
      <c r="L691" s="118">
        <v>43983</v>
      </c>
      <c r="M691" s="118">
        <v>43988</v>
      </c>
      <c r="N691" t="s">
        <v>8240</v>
      </c>
      <c r="O691" t="s">
        <v>8257</v>
      </c>
      <c r="P691" t="s">
        <v>6984</v>
      </c>
      <c r="Q691" t="str">
        <f>tblSales[[#This Row],[FirstName]]&amp; " " &amp;tblSales[[#This Row],[LastName]]</f>
        <v>Janet Leverling</v>
      </c>
      <c r="R691">
        <f>YEAR(tblSales[[#This Row],[OrderDate]])</f>
        <v>2020</v>
      </c>
      <c r="S691">
        <f>WEEKNUM(tblSales[[#This Row],[OrderDate]])</f>
        <v>23</v>
      </c>
      <c r="T691">
        <f>IF(ISBLANK(tblSales[[#This Row],[ShippedDate]]),"",tblSales[[#This Row],[ShippedDate]]-tblSales[[#This Row],[OrderDate]])</f>
        <v>5</v>
      </c>
      <c r="U691" t="str">
        <f>LEFT(tblSales[[#This Row],[ProductName]],20)</f>
        <v>Gustaf's Knäckebröd</v>
      </c>
    </row>
    <row r="692" spans="2:21" x14ac:dyDescent="0.2">
      <c r="B692">
        <v>10764</v>
      </c>
      <c r="C692" t="s">
        <v>8342</v>
      </c>
      <c r="D692" t="s">
        <v>8282</v>
      </c>
      <c r="E692" t="s">
        <v>8272</v>
      </c>
      <c r="F692" s="222">
        <v>18</v>
      </c>
      <c r="G692">
        <v>130</v>
      </c>
      <c r="H692" s="223">
        <v>0.10000000149011599</v>
      </c>
      <c r="I692" s="222">
        <v>2106</v>
      </c>
      <c r="J692" t="s">
        <v>8283</v>
      </c>
      <c r="K692" t="s">
        <v>8284</v>
      </c>
      <c r="L692" s="118">
        <v>43983</v>
      </c>
      <c r="M692" s="118">
        <v>43988</v>
      </c>
      <c r="N692" t="s">
        <v>8240</v>
      </c>
      <c r="O692" t="s">
        <v>8251</v>
      </c>
      <c r="P692" t="s">
        <v>269</v>
      </c>
      <c r="Q692" t="str">
        <f>tblSales[[#This Row],[FirstName]]&amp; " " &amp;tblSales[[#This Row],[LastName]]</f>
        <v>Michael Suyama</v>
      </c>
      <c r="R692">
        <f>YEAR(tblSales[[#This Row],[OrderDate]])</f>
        <v>2020</v>
      </c>
      <c r="S692">
        <f>WEEKNUM(tblSales[[#This Row],[OrderDate]])</f>
        <v>23</v>
      </c>
      <c r="T692">
        <f>IF(ISBLANK(tblSales[[#This Row],[ShippedDate]]),"",tblSales[[#This Row],[ShippedDate]]-tblSales[[#This Row],[OrderDate]])</f>
        <v>5</v>
      </c>
      <c r="U692" t="str">
        <f>LEFT(tblSales[[#This Row],[ProductName]],20)</f>
        <v>Chartreuse verte</v>
      </c>
    </row>
    <row r="693" spans="2:21" x14ac:dyDescent="0.2">
      <c r="B693">
        <v>10764</v>
      </c>
      <c r="C693" t="s">
        <v>8337</v>
      </c>
      <c r="D693" t="s">
        <v>8282</v>
      </c>
      <c r="E693" t="s">
        <v>8254</v>
      </c>
      <c r="F693" s="222">
        <v>10</v>
      </c>
      <c r="G693">
        <v>20</v>
      </c>
      <c r="H693" s="223">
        <v>0.10000000149011599</v>
      </c>
      <c r="I693" s="222">
        <v>180</v>
      </c>
      <c r="J693" t="s">
        <v>8283</v>
      </c>
      <c r="K693" t="s">
        <v>8284</v>
      </c>
      <c r="L693" s="118">
        <v>43983</v>
      </c>
      <c r="M693" s="118">
        <v>43988</v>
      </c>
      <c r="N693" t="s">
        <v>8240</v>
      </c>
      <c r="O693" t="s">
        <v>8251</v>
      </c>
      <c r="P693" t="s">
        <v>269</v>
      </c>
      <c r="Q693" t="str">
        <f>tblSales[[#This Row],[FirstName]]&amp; " " &amp;tblSales[[#This Row],[LastName]]</f>
        <v>Michael Suyama</v>
      </c>
      <c r="R693">
        <f>YEAR(tblSales[[#This Row],[OrderDate]])</f>
        <v>2020</v>
      </c>
      <c r="S693">
        <f>WEEKNUM(tblSales[[#This Row],[OrderDate]])</f>
        <v>23</v>
      </c>
      <c r="T693">
        <f>IF(ISBLANK(tblSales[[#This Row],[ShippedDate]]),"",tblSales[[#This Row],[ShippedDate]]-tblSales[[#This Row],[OrderDate]])</f>
        <v>5</v>
      </c>
      <c r="U693" t="str">
        <f>LEFT(tblSales[[#This Row],[ProductName]],20)</f>
        <v>Aniseed Syrup</v>
      </c>
    </row>
    <row r="694" spans="2:21" x14ac:dyDescent="0.2">
      <c r="B694">
        <v>10765</v>
      </c>
      <c r="C694" t="s">
        <v>8253</v>
      </c>
      <c r="D694" t="s">
        <v>8246</v>
      </c>
      <c r="E694" t="s">
        <v>8254</v>
      </c>
      <c r="F694" s="222">
        <v>21.05</v>
      </c>
      <c r="G694">
        <v>80</v>
      </c>
      <c r="H694" s="223">
        <v>0.10000000149011599</v>
      </c>
      <c r="I694" s="222">
        <v>1515.6</v>
      </c>
      <c r="J694" t="s">
        <v>8307</v>
      </c>
      <c r="K694" t="s">
        <v>8308</v>
      </c>
      <c r="L694" s="118">
        <v>43984</v>
      </c>
      <c r="M694" s="118">
        <v>43989</v>
      </c>
      <c r="N694" t="s">
        <v>8240</v>
      </c>
      <c r="O694" t="s">
        <v>8257</v>
      </c>
      <c r="P694" t="s">
        <v>6984</v>
      </c>
      <c r="Q694" t="str">
        <f>tblSales[[#This Row],[FirstName]]&amp; " " &amp;tblSales[[#This Row],[LastName]]</f>
        <v>Janet Leverling</v>
      </c>
      <c r="R694">
        <f>YEAR(tblSales[[#This Row],[OrderDate]])</f>
        <v>2020</v>
      </c>
      <c r="S694">
        <f>WEEKNUM(tblSales[[#This Row],[OrderDate]])</f>
        <v>23</v>
      </c>
      <c r="T694">
        <f>IF(ISBLANK(tblSales[[#This Row],[ShippedDate]]),"",tblSales[[#This Row],[ShippedDate]]-tblSales[[#This Row],[OrderDate]])</f>
        <v>5</v>
      </c>
      <c r="U694" t="str">
        <f>LEFT(tblSales[[#This Row],[ProductName]],20)</f>
        <v xml:space="preserve">Louisiana Fiery Hot </v>
      </c>
    </row>
    <row r="695" spans="2:21" x14ac:dyDescent="0.2">
      <c r="B695">
        <v>10766</v>
      </c>
      <c r="C695" t="s">
        <v>8276</v>
      </c>
      <c r="D695" t="s">
        <v>8246</v>
      </c>
      <c r="E695" t="s">
        <v>8272</v>
      </c>
      <c r="F695" s="222">
        <v>19</v>
      </c>
      <c r="G695">
        <v>40</v>
      </c>
      <c r="H695" s="223">
        <v>0</v>
      </c>
      <c r="I695" s="222">
        <v>760</v>
      </c>
      <c r="J695" t="s">
        <v>8289</v>
      </c>
      <c r="K695" t="s">
        <v>8290</v>
      </c>
      <c r="L695" s="118">
        <v>43985</v>
      </c>
      <c r="M695" s="118">
        <v>43989</v>
      </c>
      <c r="N695" t="s">
        <v>8250</v>
      </c>
      <c r="O695" t="s">
        <v>8266</v>
      </c>
      <c r="P695" t="s">
        <v>8267</v>
      </c>
      <c r="Q695" t="str">
        <f>tblSales[[#This Row],[FirstName]]&amp; " " &amp;tblSales[[#This Row],[LastName]]</f>
        <v>Margaret Peacock</v>
      </c>
      <c r="R695">
        <f>YEAR(tblSales[[#This Row],[OrderDate]])</f>
        <v>2020</v>
      </c>
      <c r="S695">
        <f>WEEKNUM(tblSales[[#This Row],[OrderDate]])</f>
        <v>23</v>
      </c>
      <c r="T695">
        <f>IF(ISBLANK(tblSales[[#This Row],[ShippedDate]]),"",tblSales[[#This Row],[ShippedDate]]-tblSales[[#This Row],[OrderDate]])</f>
        <v>4</v>
      </c>
      <c r="U695" t="str">
        <f>LEFT(tblSales[[#This Row],[ProductName]],20)</f>
        <v>Chang</v>
      </c>
    </row>
    <row r="696" spans="2:21" x14ac:dyDescent="0.2">
      <c r="B696">
        <v>10766</v>
      </c>
      <c r="C696" t="s">
        <v>8334</v>
      </c>
      <c r="D696" t="s">
        <v>8246</v>
      </c>
      <c r="E696" t="s">
        <v>8262</v>
      </c>
      <c r="F696" s="222">
        <v>12.5</v>
      </c>
      <c r="G696">
        <v>40</v>
      </c>
      <c r="H696" s="223">
        <v>0</v>
      </c>
      <c r="I696" s="222">
        <v>500</v>
      </c>
      <c r="J696" t="s">
        <v>8289</v>
      </c>
      <c r="K696" t="s">
        <v>8290</v>
      </c>
      <c r="L696" s="118">
        <v>43985</v>
      </c>
      <c r="M696" s="118">
        <v>43989</v>
      </c>
      <c r="N696" t="s">
        <v>8250</v>
      </c>
      <c r="O696" t="s">
        <v>8266</v>
      </c>
      <c r="P696" t="s">
        <v>8267</v>
      </c>
      <c r="Q696" t="str">
        <f>tblSales[[#This Row],[FirstName]]&amp; " " &amp;tblSales[[#This Row],[LastName]]</f>
        <v>Margaret Peacock</v>
      </c>
      <c r="R696">
        <f>YEAR(tblSales[[#This Row],[OrderDate]])</f>
        <v>2020</v>
      </c>
      <c r="S696">
        <f>WEEKNUM(tblSales[[#This Row],[OrderDate]])</f>
        <v>23</v>
      </c>
      <c r="T696">
        <f>IF(ISBLANK(tblSales[[#This Row],[ShippedDate]]),"",tblSales[[#This Row],[ShippedDate]]-tblSales[[#This Row],[OrderDate]])</f>
        <v>4</v>
      </c>
      <c r="U696" t="str">
        <f>LEFT(tblSales[[#This Row],[ProductName]],20)</f>
        <v>Scottish Longbreads</v>
      </c>
    </row>
    <row r="697" spans="2:21" x14ac:dyDescent="0.2">
      <c r="B697">
        <v>10766</v>
      </c>
      <c r="C697" t="s">
        <v>8415</v>
      </c>
      <c r="D697" t="s">
        <v>8246</v>
      </c>
      <c r="E697" t="s">
        <v>8247</v>
      </c>
      <c r="F697" s="222">
        <v>30</v>
      </c>
      <c r="G697">
        <v>35</v>
      </c>
      <c r="H697" s="223">
        <v>0</v>
      </c>
      <c r="I697" s="222">
        <v>1050</v>
      </c>
      <c r="J697" t="s">
        <v>8289</v>
      </c>
      <c r="K697" t="s">
        <v>8290</v>
      </c>
      <c r="L697" s="118">
        <v>43985</v>
      </c>
      <c r="M697" s="118">
        <v>43989</v>
      </c>
      <c r="N697" t="s">
        <v>8250</v>
      </c>
      <c r="O697" t="s">
        <v>8266</v>
      </c>
      <c r="P697" t="s">
        <v>8267</v>
      </c>
      <c r="Q697" t="str">
        <f>tblSales[[#This Row],[FirstName]]&amp; " " &amp;tblSales[[#This Row],[LastName]]</f>
        <v>Margaret Peacock</v>
      </c>
      <c r="R697">
        <f>YEAR(tblSales[[#This Row],[OrderDate]])</f>
        <v>2020</v>
      </c>
      <c r="S697">
        <f>WEEKNUM(tblSales[[#This Row],[OrderDate]])</f>
        <v>23</v>
      </c>
      <c r="T697">
        <f>IF(ISBLANK(tblSales[[#This Row],[ShippedDate]]),"",tblSales[[#This Row],[ShippedDate]]-tblSales[[#This Row],[OrderDate]])</f>
        <v>4</v>
      </c>
      <c r="U697" t="str">
        <f>LEFT(tblSales[[#This Row],[ProductName]],20)</f>
        <v xml:space="preserve">Uncle Bob's Organic </v>
      </c>
    </row>
    <row r="698" spans="2:21" x14ac:dyDescent="0.2">
      <c r="B698">
        <v>10767</v>
      </c>
      <c r="C698" t="s">
        <v>8243</v>
      </c>
      <c r="D698" t="s">
        <v>8261</v>
      </c>
      <c r="E698" t="s">
        <v>8244</v>
      </c>
      <c r="F698" s="222">
        <v>14</v>
      </c>
      <c r="G698">
        <v>2</v>
      </c>
      <c r="H698" s="223">
        <v>0</v>
      </c>
      <c r="I698" s="222">
        <v>28</v>
      </c>
      <c r="J698" t="s">
        <v>8263</v>
      </c>
      <c r="K698" t="s">
        <v>8264</v>
      </c>
      <c r="L698" s="118">
        <v>43985</v>
      </c>
      <c r="M698" s="118">
        <v>43995</v>
      </c>
      <c r="N698" t="s">
        <v>8240</v>
      </c>
      <c r="O698" t="s">
        <v>8266</v>
      </c>
      <c r="P698" t="s">
        <v>8267</v>
      </c>
      <c r="Q698" t="str">
        <f>tblSales[[#This Row],[FirstName]]&amp; " " &amp;tblSales[[#This Row],[LastName]]</f>
        <v>Margaret Peacock</v>
      </c>
      <c r="R698">
        <f>YEAR(tblSales[[#This Row],[OrderDate]])</f>
        <v>2020</v>
      </c>
      <c r="S698">
        <f>WEEKNUM(tblSales[[#This Row],[OrderDate]])</f>
        <v>23</v>
      </c>
      <c r="T698">
        <f>IF(ISBLANK(tblSales[[#This Row],[ShippedDate]]),"",tblSales[[#This Row],[ShippedDate]]-tblSales[[#This Row],[OrderDate]])</f>
        <v>10</v>
      </c>
      <c r="U698" t="str">
        <f>LEFT(tblSales[[#This Row],[ProductName]],20)</f>
        <v xml:space="preserve">Singaporean Hokkien </v>
      </c>
    </row>
    <row r="699" spans="2:21" x14ac:dyDescent="0.2">
      <c r="B699">
        <v>10769</v>
      </c>
      <c r="C699" t="s">
        <v>8409</v>
      </c>
      <c r="D699" t="s">
        <v>8374</v>
      </c>
      <c r="E699" t="s">
        <v>8254</v>
      </c>
      <c r="F699" s="222">
        <v>28.5</v>
      </c>
      <c r="G699">
        <v>20</v>
      </c>
      <c r="H699" s="223">
        <v>0</v>
      </c>
      <c r="I699" s="222">
        <v>570</v>
      </c>
      <c r="J699" t="s">
        <v>8395</v>
      </c>
      <c r="K699" t="s">
        <v>8396</v>
      </c>
      <c r="L699" s="118">
        <v>43988</v>
      </c>
      <c r="M699" s="118">
        <v>43993</v>
      </c>
      <c r="N699" t="s">
        <v>8250</v>
      </c>
      <c r="O699" t="s">
        <v>8257</v>
      </c>
      <c r="P699" t="s">
        <v>6984</v>
      </c>
      <c r="Q699" t="str">
        <f>tblSales[[#This Row],[FirstName]]&amp; " " &amp;tblSales[[#This Row],[LastName]]</f>
        <v>Janet Leverling</v>
      </c>
      <c r="R699">
        <f>YEAR(tblSales[[#This Row],[OrderDate]])</f>
        <v>2020</v>
      </c>
      <c r="S699">
        <f>WEEKNUM(tblSales[[#This Row],[OrderDate]])</f>
        <v>23</v>
      </c>
      <c r="T699">
        <f>IF(ISBLANK(tblSales[[#This Row],[ShippedDate]]),"",tblSales[[#This Row],[ShippedDate]]-tblSales[[#This Row],[OrderDate]])</f>
        <v>5</v>
      </c>
      <c r="U699" t="str">
        <f>LEFT(tblSales[[#This Row],[ProductName]],20)</f>
        <v>Sirop d'érable</v>
      </c>
    </row>
    <row r="700" spans="2:21" x14ac:dyDescent="0.2">
      <c r="B700">
        <v>10769</v>
      </c>
      <c r="C700" t="s">
        <v>8291</v>
      </c>
      <c r="D700" t="s">
        <v>8374</v>
      </c>
      <c r="E700" t="s">
        <v>8262</v>
      </c>
      <c r="F700" s="222">
        <v>49.3</v>
      </c>
      <c r="G700">
        <v>15</v>
      </c>
      <c r="H700" s="223">
        <v>0</v>
      </c>
      <c r="I700" s="222">
        <v>739.5</v>
      </c>
      <c r="J700" t="s">
        <v>8395</v>
      </c>
      <c r="K700" t="s">
        <v>8396</v>
      </c>
      <c r="L700" s="118">
        <v>43988</v>
      </c>
      <c r="M700" s="118">
        <v>43993</v>
      </c>
      <c r="N700" t="s">
        <v>8250</v>
      </c>
      <c r="O700" t="s">
        <v>8257</v>
      </c>
      <c r="P700" t="s">
        <v>6984</v>
      </c>
      <c r="Q700" t="str">
        <f>tblSales[[#This Row],[FirstName]]&amp; " " &amp;tblSales[[#This Row],[LastName]]</f>
        <v>Janet Leverling</v>
      </c>
      <c r="R700">
        <f>YEAR(tblSales[[#This Row],[OrderDate]])</f>
        <v>2020</v>
      </c>
      <c r="S700">
        <f>WEEKNUM(tblSales[[#This Row],[OrderDate]])</f>
        <v>23</v>
      </c>
      <c r="T700">
        <f>IF(ISBLANK(tblSales[[#This Row],[ShippedDate]]),"",tblSales[[#This Row],[ShippedDate]]-tblSales[[#This Row],[OrderDate]])</f>
        <v>5</v>
      </c>
      <c r="U700" t="str">
        <f>LEFT(tblSales[[#This Row],[ProductName]],20)</f>
        <v>Tarte au sucre</v>
      </c>
    </row>
    <row r="701" spans="2:21" x14ac:dyDescent="0.2">
      <c r="B701">
        <v>10769</v>
      </c>
      <c r="C701" t="s">
        <v>8369</v>
      </c>
      <c r="D701" t="s">
        <v>8374</v>
      </c>
      <c r="E701" t="s">
        <v>8244</v>
      </c>
      <c r="F701" s="222">
        <v>7</v>
      </c>
      <c r="G701">
        <v>15</v>
      </c>
      <c r="H701" s="223">
        <v>5.0000000745058101E-2</v>
      </c>
      <c r="I701" s="222">
        <v>99.75</v>
      </c>
      <c r="J701" t="s">
        <v>8395</v>
      </c>
      <c r="K701" t="s">
        <v>8396</v>
      </c>
      <c r="L701" s="118">
        <v>43988</v>
      </c>
      <c r="M701" s="118">
        <v>43993</v>
      </c>
      <c r="N701" t="s">
        <v>8250</v>
      </c>
      <c r="O701" t="s">
        <v>8257</v>
      </c>
      <c r="P701" t="s">
        <v>6984</v>
      </c>
      <c r="Q701" t="str">
        <f>tblSales[[#This Row],[FirstName]]&amp; " " &amp;tblSales[[#This Row],[LastName]]</f>
        <v>Janet Leverling</v>
      </c>
      <c r="R701">
        <f>YEAR(tblSales[[#This Row],[OrderDate]])</f>
        <v>2020</v>
      </c>
      <c r="S701">
        <f>WEEKNUM(tblSales[[#This Row],[OrderDate]])</f>
        <v>23</v>
      </c>
      <c r="T701">
        <f>IF(ISBLANK(tblSales[[#This Row],[ShippedDate]]),"",tblSales[[#This Row],[ShippedDate]]-tblSales[[#This Row],[OrderDate]])</f>
        <v>5</v>
      </c>
      <c r="U701" t="str">
        <f>LEFT(tblSales[[#This Row],[ProductName]],20)</f>
        <v>Filo Mix</v>
      </c>
    </row>
    <row r="702" spans="2:21" x14ac:dyDescent="0.2">
      <c r="B702">
        <v>10768</v>
      </c>
      <c r="C702" t="s">
        <v>8309</v>
      </c>
      <c r="D702" t="s">
        <v>2434</v>
      </c>
      <c r="E702" t="s">
        <v>8237</v>
      </c>
      <c r="F702" s="222">
        <v>12.5</v>
      </c>
      <c r="G702">
        <v>50</v>
      </c>
      <c r="H702" s="223">
        <v>0</v>
      </c>
      <c r="I702" s="222">
        <v>625</v>
      </c>
      <c r="J702" t="s">
        <v>8386</v>
      </c>
      <c r="K702" t="s">
        <v>8387</v>
      </c>
      <c r="L702" s="118">
        <v>43988</v>
      </c>
      <c r="M702" s="118">
        <v>43995</v>
      </c>
      <c r="N702" t="s">
        <v>8265</v>
      </c>
      <c r="O702" t="s">
        <v>8257</v>
      </c>
      <c r="P702" t="s">
        <v>6984</v>
      </c>
      <c r="Q702" t="str">
        <f>tblSales[[#This Row],[FirstName]]&amp; " " &amp;tblSales[[#This Row],[LastName]]</f>
        <v>Janet Leverling</v>
      </c>
      <c r="R702">
        <f>YEAR(tblSales[[#This Row],[OrderDate]])</f>
        <v>2020</v>
      </c>
      <c r="S702">
        <f>WEEKNUM(tblSales[[#This Row],[OrderDate]])</f>
        <v>23</v>
      </c>
      <c r="T702">
        <f>IF(ISBLANK(tblSales[[#This Row],[ShippedDate]]),"",tblSales[[#This Row],[ShippedDate]]-tblSales[[#This Row],[OrderDate]])</f>
        <v>7</v>
      </c>
      <c r="U702" t="str">
        <f>LEFT(tblSales[[#This Row],[ProductName]],20)</f>
        <v>Gorgonzola Telino</v>
      </c>
    </row>
    <row r="703" spans="2:21" x14ac:dyDescent="0.2">
      <c r="B703">
        <v>10768</v>
      </c>
      <c r="C703" t="s">
        <v>8268</v>
      </c>
      <c r="D703" t="s">
        <v>2434</v>
      </c>
      <c r="E703" t="s">
        <v>8237</v>
      </c>
      <c r="F703" s="222">
        <v>34</v>
      </c>
      <c r="G703">
        <v>15</v>
      </c>
      <c r="H703" s="223">
        <v>0</v>
      </c>
      <c r="I703" s="222">
        <v>510</v>
      </c>
      <c r="J703" t="s">
        <v>8386</v>
      </c>
      <c r="K703" t="s">
        <v>8387</v>
      </c>
      <c r="L703" s="118">
        <v>43988</v>
      </c>
      <c r="M703" s="118">
        <v>43995</v>
      </c>
      <c r="N703" t="s">
        <v>8265</v>
      </c>
      <c r="O703" t="s">
        <v>8257</v>
      </c>
      <c r="P703" t="s">
        <v>6984</v>
      </c>
      <c r="Q703" t="str">
        <f>tblSales[[#This Row],[FirstName]]&amp; " " &amp;tblSales[[#This Row],[LastName]]</f>
        <v>Janet Leverling</v>
      </c>
      <c r="R703">
        <f>YEAR(tblSales[[#This Row],[OrderDate]])</f>
        <v>2020</v>
      </c>
      <c r="S703">
        <f>WEEKNUM(tblSales[[#This Row],[OrderDate]])</f>
        <v>23</v>
      </c>
      <c r="T703">
        <f>IF(ISBLANK(tblSales[[#This Row],[ShippedDate]]),"",tblSales[[#This Row],[ShippedDate]]-tblSales[[#This Row],[OrderDate]])</f>
        <v>7</v>
      </c>
      <c r="U703" t="str">
        <f>LEFT(tblSales[[#This Row],[ProductName]],20)</f>
        <v>Camembert Pierrot</v>
      </c>
    </row>
    <row r="704" spans="2:21" x14ac:dyDescent="0.2">
      <c r="B704">
        <v>10768</v>
      </c>
      <c r="C704" t="s">
        <v>8310</v>
      </c>
      <c r="D704" t="s">
        <v>2434</v>
      </c>
      <c r="E704" t="s">
        <v>8237</v>
      </c>
      <c r="F704" s="222">
        <v>21.5</v>
      </c>
      <c r="G704">
        <v>12</v>
      </c>
      <c r="H704" s="223">
        <v>0</v>
      </c>
      <c r="I704" s="222">
        <v>258</v>
      </c>
      <c r="J704" t="s">
        <v>8386</v>
      </c>
      <c r="K704" t="s">
        <v>8387</v>
      </c>
      <c r="L704" s="118">
        <v>43988</v>
      </c>
      <c r="M704" s="118">
        <v>43995</v>
      </c>
      <c r="N704" t="s">
        <v>8265</v>
      </c>
      <c r="O704" t="s">
        <v>8257</v>
      </c>
      <c r="P704" t="s">
        <v>6984</v>
      </c>
      <c r="Q704" t="str">
        <f>tblSales[[#This Row],[FirstName]]&amp; " " &amp;tblSales[[#This Row],[LastName]]</f>
        <v>Janet Leverling</v>
      </c>
      <c r="R704">
        <f>YEAR(tblSales[[#This Row],[OrderDate]])</f>
        <v>2020</v>
      </c>
      <c r="S704">
        <f>WEEKNUM(tblSales[[#This Row],[OrderDate]])</f>
        <v>23</v>
      </c>
      <c r="T704">
        <f>IF(ISBLANK(tblSales[[#This Row],[ShippedDate]]),"",tblSales[[#This Row],[ShippedDate]]-tblSales[[#This Row],[OrderDate]])</f>
        <v>7</v>
      </c>
      <c r="U704" t="str">
        <f>LEFT(tblSales[[#This Row],[ProductName]],20)</f>
        <v>Fløtemysost</v>
      </c>
    </row>
    <row r="705" spans="2:21" x14ac:dyDescent="0.2">
      <c r="B705">
        <v>10768</v>
      </c>
      <c r="C705" t="s">
        <v>8259</v>
      </c>
      <c r="D705" t="s">
        <v>2434</v>
      </c>
      <c r="E705" t="s">
        <v>8244</v>
      </c>
      <c r="F705" s="222">
        <v>21</v>
      </c>
      <c r="G705">
        <v>4</v>
      </c>
      <c r="H705" s="223">
        <v>0</v>
      </c>
      <c r="I705" s="222">
        <v>84</v>
      </c>
      <c r="J705" t="s">
        <v>8386</v>
      </c>
      <c r="K705" t="s">
        <v>8387</v>
      </c>
      <c r="L705" s="118">
        <v>43988</v>
      </c>
      <c r="M705" s="118">
        <v>43995</v>
      </c>
      <c r="N705" t="s">
        <v>8265</v>
      </c>
      <c r="O705" t="s">
        <v>8257</v>
      </c>
      <c r="P705" t="s">
        <v>6984</v>
      </c>
      <c r="Q705" t="str">
        <f>tblSales[[#This Row],[FirstName]]&amp; " " &amp;tblSales[[#This Row],[LastName]]</f>
        <v>Janet Leverling</v>
      </c>
      <c r="R705">
        <f>YEAR(tblSales[[#This Row],[OrderDate]])</f>
        <v>2020</v>
      </c>
      <c r="S705">
        <f>WEEKNUM(tblSales[[#This Row],[OrderDate]])</f>
        <v>23</v>
      </c>
      <c r="T705">
        <f>IF(ISBLANK(tblSales[[#This Row],[ShippedDate]]),"",tblSales[[#This Row],[ShippedDate]]-tblSales[[#This Row],[OrderDate]])</f>
        <v>7</v>
      </c>
      <c r="U705" t="str">
        <f>LEFT(tblSales[[#This Row],[ProductName]],20)</f>
        <v>Gustaf's Knäckebröd</v>
      </c>
    </row>
    <row r="706" spans="2:21" x14ac:dyDescent="0.2">
      <c r="B706">
        <v>11199</v>
      </c>
      <c r="C706" t="s">
        <v>8323</v>
      </c>
      <c r="D706" t="s">
        <v>8236</v>
      </c>
      <c r="E706" t="s">
        <v>8272</v>
      </c>
      <c r="F706" s="222">
        <v>18</v>
      </c>
      <c r="G706">
        <v>30</v>
      </c>
      <c r="H706" s="223">
        <v>0</v>
      </c>
      <c r="I706" s="222">
        <v>540</v>
      </c>
      <c r="J706" t="s">
        <v>8255</v>
      </c>
      <c r="K706" t="s">
        <v>8256</v>
      </c>
      <c r="L706" s="118">
        <v>43989</v>
      </c>
      <c r="M706" s="118">
        <v>43993</v>
      </c>
      <c r="N706" t="s">
        <v>8240</v>
      </c>
      <c r="O706" t="s">
        <v>8285</v>
      </c>
      <c r="P706" t="s">
        <v>2317</v>
      </c>
      <c r="Q706" t="str">
        <f>tblSales[[#This Row],[FirstName]]&amp; " " &amp;tblSales[[#This Row],[LastName]]</f>
        <v>Nancy Davolio</v>
      </c>
      <c r="R706">
        <f>YEAR(tblSales[[#This Row],[OrderDate]])</f>
        <v>2020</v>
      </c>
      <c r="S706">
        <f>WEEKNUM(tblSales[[#This Row],[OrderDate]])</f>
        <v>24</v>
      </c>
      <c r="T706">
        <f>IF(ISBLANK(tblSales[[#This Row],[ShippedDate]]),"",tblSales[[#This Row],[ShippedDate]]-tblSales[[#This Row],[OrderDate]])</f>
        <v>4</v>
      </c>
      <c r="U706" t="str">
        <f>LEFT(tblSales[[#This Row],[ProductName]],20)</f>
        <v>Steeleye Stout</v>
      </c>
    </row>
    <row r="707" spans="2:21" x14ac:dyDescent="0.2">
      <c r="B707">
        <v>11199</v>
      </c>
      <c r="C707" t="s">
        <v>8291</v>
      </c>
      <c r="D707" t="s">
        <v>8236</v>
      </c>
      <c r="E707" t="s">
        <v>8262</v>
      </c>
      <c r="F707" s="222">
        <v>49.3</v>
      </c>
      <c r="G707">
        <v>40</v>
      </c>
      <c r="H707" s="223">
        <v>0</v>
      </c>
      <c r="I707" s="222">
        <v>1972</v>
      </c>
      <c r="J707" t="s">
        <v>8255</v>
      </c>
      <c r="K707" t="s">
        <v>8256</v>
      </c>
      <c r="L707" s="118">
        <v>43989</v>
      </c>
      <c r="M707" s="118">
        <v>43993</v>
      </c>
      <c r="N707" t="s">
        <v>8240</v>
      </c>
      <c r="O707" t="s">
        <v>8285</v>
      </c>
      <c r="P707" t="s">
        <v>2317</v>
      </c>
      <c r="Q707" t="str">
        <f>tblSales[[#This Row],[FirstName]]&amp; " " &amp;tblSales[[#This Row],[LastName]]</f>
        <v>Nancy Davolio</v>
      </c>
      <c r="R707">
        <f>YEAR(tblSales[[#This Row],[OrderDate]])</f>
        <v>2020</v>
      </c>
      <c r="S707">
        <f>WEEKNUM(tblSales[[#This Row],[OrderDate]])</f>
        <v>24</v>
      </c>
      <c r="T707">
        <f>IF(ISBLANK(tblSales[[#This Row],[ShippedDate]]),"",tblSales[[#This Row],[ShippedDate]]-tblSales[[#This Row],[OrderDate]])</f>
        <v>4</v>
      </c>
      <c r="U707" t="str">
        <f>LEFT(tblSales[[#This Row],[ProductName]],20)</f>
        <v>Tarte au sucre</v>
      </c>
    </row>
    <row r="708" spans="2:21" x14ac:dyDescent="0.2">
      <c r="B708">
        <v>11199</v>
      </c>
      <c r="C708" t="s">
        <v>8415</v>
      </c>
      <c r="D708" t="s">
        <v>8236</v>
      </c>
      <c r="E708" t="s">
        <v>8247</v>
      </c>
      <c r="F708" s="222">
        <v>30</v>
      </c>
      <c r="G708">
        <v>10</v>
      </c>
      <c r="H708" s="223">
        <v>0</v>
      </c>
      <c r="I708" s="222">
        <v>300</v>
      </c>
      <c r="J708" t="s">
        <v>8255</v>
      </c>
      <c r="K708" t="s">
        <v>8256</v>
      </c>
      <c r="L708" s="118">
        <v>43989</v>
      </c>
      <c r="M708" s="118">
        <v>43993</v>
      </c>
      <c r="N708" t="s">
        <v>8240</v>
      </c>
      <c r="O708" t="s">
        <v>8285</v>
      </c>
      <c r="P708" t="s">
        <v>2317</v>
      </c>
      <c r="Q708" t="str">
        <f>tblSales[[#This Row],[FirstName]]&amp; " " &amp;tblSales[[#This Row],[LastName]]</f>
        <v>Nancy Davolio</v>
      </c>
      <c r="R708">
        <f>YEAR(tblSales[[#This Row],[OrderDate]])</f>
        <v>2020</v>
      </c>
      <c r="S708">
        <f>WEEKNUM(tblSales[[#This Row],[OrderDate]])</f>
        <v>24</v>
      </c>
      <c r="T708">
        <f>IF(ISBLANK(tblSales[[#This Row],[ShippedDate]]),"",tblSales[[#This Row],[ShippedDate]]-tblSales[[#This Row],[OrderDate]])</f>
        <v>4</v>
      </c>
      <c r="U708" t="str">
        <f>LEFT(tblSales[[#This Row],[ProductName]],20)</f>
        <v xml:space="preserve">Uncle Bob's Organic </v>
      </c>
    </row>
    <row r="709" spans="2:21" x14ac:dyDescent="0.2">
      <c r="B709">
        <v>10772</v>
      </c>
      <c r="C709" t="s">
        <v>8281</v>
      </c>
      <c r="D709" t="s">
        <v>8246</v>
      </c>
      <c r="E709" t="s">
        <v>8237</v>
      </c>
      <c r="F709" s="222">
        <v>55</v>
      </c>
      <c r="G709">
        <v>25</v>
      </c>
      <c r="H709" s="223">
        <v>0</v>
      </c>
      <c r="I709" s="222">
        <v>1375</v>
      </c>
      <c r="J709" t="s">
        <v>8330</v>
      </c>
      <c r="K709" t="s">
        <v>8331</v>
      </c>
      <c r="L709" s="118">
        <v>43990</v>
      </c>
      <c r="M709" s="118">
        <v>43999</v>
      </c>
      <c r="N709" t="s">
        <v>8265</v>
      </c>
      <c r="O709" t="s">
        <v>8257</v>
      </c>
      <c r="P709" t="s">
        <v>6984</v>
      </c>
      <c r="Q709" t="str">
        <f>tblSales[[#This Row],[FirstName]]&amp; " " &amp;tblSales[[#This Row],[LastName]]</f>
        <v>Janet Leverling</v>
      </c>
      <c r="R709">
        <f>YEAR(tblSales[[#This Row],[OrderDate]])</f>
        <v>2020</v>
      </c>
      <c r="S709">
        <f>WEEKNUM(tblSales[[#This Row],[OrderDate]])</f>
        <v>24</v>
      </c>
      <c r="T709">
        <f>IF(ISBLANK(tblSales[[#This Row],[ShippedDate]]),"",tblSales[[#This Row],[ShippedDate]]-tblSales[[#This Row],[OrderDate]])</f>
        <v>9</v>
      </c>
      <c r="U709" t="str">
        <f>LEFT(tblSales[[#This Row],[ProductName]],20)</f>
        <v>Raclette Courdavault</v>
      </c>
    </row>
    <row r="710" spans="2:21" x14ac:dyDescent="0.2">
      <c r="B710">
        <v>10771</v>
      </c>
      <c r="C710" t="s">
        <v>8310</v>
      </c>
      <c r="D710" t="s">
        <v>8282</v>
      </c>
      <c r="E710" t="s">
        <v>8237</v>
      </c>
      <c r="F710" s="222">
        <v>21.5</v>
      </c>
      <c r="G710">
        <v>16</v>
      </c>
      <c r="H710" s="223">
        <v>0</v>
      </c>
      <c r="I710" s="222">
        <v>344</v>
      </c>
      <c r="J710" t="s">
        <v>8283</v>
      </c>
      <c r="K710" t="s">
        <v>8284</v>
      </c>
      <c r="L710" s="118">
        <v>43990</v>
      </c>
      <c r="M710" s="118">
        <v>44013</v>
      </c>
      <c r="N710" t="s">
        <v>8265</v>
      </c>
      <c r="O710" t="s">
        <v>8279</v>
      </c>
      <c r="P710" t="s">
        <v>710</v>
      </c>
      <c r="Q710" t="str">
        <f>tblSales[[#This Row],[FirstName]]&amp; " " &amp;tblSales[[#This Row],[LastName]]</f>
        <v>Anne Dodsworth</v>
      </c>
      <c r="R710">
        <f>YEAR(tblSales[[#This Row],[OrderDate]])</f>
        <v>2020</v>
      </c>
      <c r="S710">
        <f>WEEKNUM(tblSales[[#This Row],[OrderDate]])</f>
        <v>24</v>
      </c>
      <c r="T710">
        <f>IF(ISBLANK(tblSales[[#This Row],[ShippedDate]]),"",tblSales[[#This Row],[ShippedDate]]-tblSales[[#This Row],[OrderDate]])</f>
        <v>23</v>
      </c>
      <c r="U710" t="str">
        <f>LEFT(tblSales[[#This Row],[ProductName]],20)</f>
        <v>Fløtemysost</v>
      </c>
    </row>
    <row r="711" spans="2:21" x14ac:dyDescent="0.2">
      <c r="B711">
        <v>10774</v>
      </c>
      <c r="C711" t="s">
        <v>8348</v>
      </c>
      <c r="D711" t="s">
        <v>8292</v>
      </c>
      <c r="E711" t="s">
        <v>8254</v>
      </c>
      <c r="F711" s="222">
        <v>17</v>
      </c>
      <c r="G711">
        <v>50</v>
      </c>
      <c r="H711" s="223">
        <v>0</v>
      </c>
      <c r="I711" s="222">
        <v>850</v>
      </c>
      <c r="J711" t="s">
        <v>8293</v>
      </c>
      <c r="K711" t="s">
        <v>8294</v>
      </c>
      <c r="L711" s="118">
        <v>43991</v>
      </c>
      <c r="M711" s="118">
        <v>43993</v>
      </c>
      <c r="N711" t="s">
        <v>8250</v>
      </c>
      <c r="O711" t="s">
        <v>8266</v>
      </c>
      <c r="P711" t="s">
        <v>8267</v>
      </c>
      <c r="Q711" t="str">
        <f>tblSales[[#This Row],[FirstName]]&amp; " " &amp;tblSales[[#This Row],[LastName]]</f>
        <v>Margaret Peacock</v>
      </c>
      <c r="R711">
        <f>YEAR(tblSales[[#This Row],[OrderDate]])</f>
        <v>2020</v>
      </c>
      <c r="S711">
        <f>WEEKNUM(tblSales[[#This Row],[OrderDate]])</f>
        <v>24</v>
      </c>
      <c r="T711">
        <f>IF(ISBLANK(tblSales[[#This Row],[ShippedDate]]),"",tblSales[[#This Row],[ShippedDate]]-tblSales[[#This Row],[OrderDate]])</f>
        <v>2</v>
      </c>
      <c r="U711" t="str">
        <f>LEFT(tblSales[[#This Row],[ProductName]],20)</f>
        <v>Louisiana Hot Spiced</v>
      </c>
    </row>
    <row r="712" spans="2:21" x14ac:dyDescent="0.2">
      <c r="B712">
        <v>10774</v>
      </c>
      <c r="C712" t="s">
        <v>8309</v>
      </c>
      <c r="D712" t="s">
        <v>8292</v>
      </c>
      <c r="E712" t="s">
        <v>8237</v>
      </c>
      <c r="F712" s="222">
        <v>12.5</v>
      </c>
      <c r="G712">
        <v>2</v>
      </c>
      <c r="H712" s="223">
        <v>0.25</v>
      </c>
      <c r="I712" s="222">
        <v>18.75</v>
      </c>
      <c r="J712" t="s">
        <v>8293</v>
      </c>
      <c r="K712" t="s">
        <v>8294</v>
      </c>
      <c r="L712" s="118">
        <v>43991</v>
      </c>
      <c r="M712" s="118">
        <v>43993</v>
      </c>
      <c r="N712" t="s">
        <v>8250</v>
      </c>
      <c r="O712" t="s">
        <v>8266</v>
      </c>
      <c r="P712" t="s">
        <v>8267</v>
      </c>
      <c r="Q712" t="str">
        <f>tblSales[[#This Row],[FirstName]]&amp; " " &amp;tblSales[[#This Row],[LastName]]</f>
        <v>Margaret Peacock</v>
      </c>
      <c r="R712">
        <f>YEAR(tblSales[[#This Row],[OrderDate]])</f>
        <v>2020</v>
      </c>
      <c r="S712">
        <f>WEEKNUM(tblSales[[#This Row],[OrderDate]])</f>
        <v>24</v>
      </c>
      <c r="T712">
        <f>IF(ISBLANK(tblSales[[#This Row],[ShippedDate]]),"",tblSales[[#This Row],[ShippedDate]]-tblSales[[#This Row],[OrderDate]])</f>
        <v>2</v>
      </c>
      <c r="U712" t="str">
        <f>LEFT(tblSales[[#This Row],[ProductName]],20)</f>
        <v>Gorgonzola Telino</v>
      </c>
    </row>
    <row r="713" spans="2:21" x14ac:dyDescent="0.2">
      <c r="B713">
        <v>10773</v>
      </c>
      <c r="C713" t="s">
        <v>8328</v>
      </c>
      <c r="D713" t="s">
        <v>8282</v>
      </c>
      <c r="E713" t="s">
        <v>8272</v>
      </c>
      <c r="F713" s="222">
        <v>7.75</v>
      </c>
      <c r="G713">
        <v>7</v>
      </c>
      <c r="H713" s="223">
        <v>0.20000000298023199</v>
      </c>
      <c r="I713" s="222">
        <v>43.4</v>
      </c>
      <c r="J713" t="s">
        <v>8283</v>
      </c>
      <c r="K713" t="s">
        <v>8284</v>
      </c>
      <c r="L713" s="118">
        <v>43991</v>
      </c>
      <c r="M713" s="118">
        <v>43996</v>
      </c>
      <c r="N713" t="s">
        <v>8240</v>
      </c>
      <c r="O713" t="s">
        <v>8285</v>
      </c>
      <c r="P713" t="s">
        <v>2317</v>
      </c>
      <c r="Q713" t="str">
        <f>tblSales[[#This Row],[FirstName]]&amp; " " &amp;tblSales[[#This Row],[LastName]]</f>
        <v>Nancy Davolio</v>
      </c>
      <c r="R713">
        <f>YEAR(tblSales[[#This Row],[OrderDate]])</f>
        <v>2020</v>
      </c>
      <c r="S713">
        <f>WEEKNUM(tblSales[[#This Row],[OrderDate]])</f>
        <v>24</v>
      </c>
      <c r="T713">
        <f>IF(ISBLANK(tblSales[[#This Row],[ShippedDate]]),"",tblSales[[#This Row],[ShippedDate]]-tblSales[[#This Row],[OrderDate]])</f>
        <v>5</v>
      </c>
      <c r="U713" t="str">
        <f>LEFT(tblSales[[#This Row],[ProductName]],20)</f>
        <v>Rhönbräu Klosterbier</v>
      </c>
    </row>
    <row r="714" spans="2:21" x14ac:dyDescent="0.2">
      <c r="B714">
        <v>10773</v>
      </c>
      <c r="C714" t="s">
        <v>8309</v>
      </c>
      <c r="D714" t="s">
        <v>8282</v>
      </c>
      <c r="E714" t="s">
        <v>8237</v>
      </c>
      <c r="F714" s="222">
        <v>12.5</v>
      </c>
      <c r="G714">
        <v>70</v>
      </c>
      <c r="H714" s="223">
        <v>0.20000000298023199</v>
      </c>
      <c r="I714" s="222">
        <v>700</v>
      </c>
      <c r="J714" t="s">
        <v>8283</v>
      </c>
      <c r="K714" t="s">
        <v>8284</v>
      </c>
      <c r="L714" s="118">
        <v>43991</v>
      </c>
      <c r="M714" s="118">
        <v>43996</v>
      </c>
      <c r="N714" t="s">
        <v>8240</v>
      </c>
      <c r="O714" t="s">
        <v>8285</v>
      </c>
      <c r="P714" t="s">
        <v>2317</v>
      </c>
      <c r="Q714" t="str">
        <f>tblSales[[#This Row],[FirstName]]&amp; " " &amp;tblSales[[#This Row],[LastName]]</f>
        <v>Nancy Davolio</v>
      </c>
      <c r="R714">
        <f>YEAR(tblSales[[#This Row],[OrderDate]])</f>
        <v>2020</v>
      </c>
      <c r="S714">
        <f>WEEKNUM(tblSales[[#This Row],[OrderDate]])</f>
        <v>24</v>
      </c>
      <c r="T714">
        <f>IF(ISBLANK(tblSales[[#This Row],[ShippedDate]]),"",tblSales[[#This Row],[ShippedDate]]-tblSales[[#This Row],[OrderDate]])</f>
        <v>5</v>
      </c>
      <c r="U714" t="str">
        <f>LEFT(tblSales[[#This Row],[ProductName]],20)</f>
        <v>Gorgonzola Telino</v>
      </c>
    </row>
    <row r="715" spans="2:21" x14ac:dyDescent="0.2">
      <c r="B715">
        <v>10776</v>
      </c>
      <c r="C715" t="s">
        <v>8309</v>
      </c>
      <c r="D715" t="s">
        <v>8282</v>
      </c>
      <c r="E715" t="s">
        <v>8237</v>
      </c>
      <c r="F715" s="222">
        <v>12.5</v>
      </c>
      <c r="G715">
        <v>16</v>
      </c>
      <c r="H715" s="223">
        <v>5.0000000745058101E-2</v>
      </c>
      <c r="I715" s="222">
        <v>190</v>
      </c>
      <c r="J715" t="s">
        <v>8283</v>
      </c>
      <c r="K715" t="s">
        <v>8284</v>
      </c>
      <c r="L715" s="118">
        <v>43995</v>
      </c>
      <c r="M715" s="118">
        <v>43998</v>
      </c>
      <c r="N715" t="s">
        <v>8240</v>
      </c>
      <c r="O715" t="s">
        <v>8285</v>
      </c>
      <c r="P715" t="s">
        <v>2317</v>
      </c>
      <c r="Q715" t="str">
        <f>tblSales[[#This Row],[FirstName]]&amp; " " &amp;tblSales[[#This Row],[LastName]]</f>
        <v>Nancy Davolio</v>
      </c>
      <c r="R715">
        <f>YEAR(tblSales[[#This Row],[OrderDate]])</f>
        <v>2020</v>
      </c>
      <c r="S715">
        <f>WEEKNUM(tblSales[[#This Row],[OrderDate]])</f>
        <v>24</v>
      </c>
      <c r="T715">
        <f>IF(ISBLANK(tblSales[[#This Row],[ShippedDate]]),"",tblSales[[#This Row],[ShippedDate]]-tblSales[[#This Row],[OrderDate]])</f>
        <v>3</v>
      </c>
      <c r="U715" t="str">
        <f>LEFT(tblSales[[#This Row],[ProductName]],20)</f>
        <v>Gorgonzola Telino</v>
      </c>
    </row>
    <row r="716" spans="2:21" x14ac:dyDescent="0.2">
      <c r="B716">
        <v>10776</v>
      </c>
      <c r="C716" t="s">
        <v>8243</v>
      </c>
      <c r="D716" t="s">
        <v>8282</v>
      </c>
      <c r="E716" t="s">
        <v>8244</v>
      </c>
      <c r="F716" s="222">
        <v>14</v>
      </c>
      <c r="G716">
        <v>12</v>
      </c>
      <c r="H716" s="223">
        <v>5.0000000745058101E-2</v>
      </c>
      <c r="I716" s="222">
        <v>159.6</v>
      </c>
      <c r="J716" t="s">
        <v>8283</v>
      </c>
      <c r="K716" t="s">
        <v>8284</v>
      </c>
      <c r="L716" s="118">
        <v>43995</v>
      </c>
      <c r="M716" s="118">
        <v>43998</v>
      </c>
      <c r="N716" t="s">
        <v>8240</v>
      </c>
      <c r="O716" t="s">
        <v>8285</v>
      </c>
      <c r="P716" t="s">
        <v>2317</v>
      </c>
      <c r="Q716" t="str">
        <f>tblSales[[#This Row],[FirstName]]&amp; " " &amp;tblSales[[#This Row],[LastName]]</f>
        <v>Nancy Davolio</v>
      </c>
      <c r="R716">
        <f>YEAR(tblSales[[#This Row],[OrderDate]])</f>
        <v>2020</v>
      </c>
      <c r="S716">
        <f>WEEKNUM(tblSales[[#This Row],[OrderDate]])</f>
        <v>24</v>
      </c>
      <c r="T716">
        <f>IF(ISBLANK(tblSales[[#This Row],[ShippedDate]]),"",tblSales[[#This Row],[ShippedDate]]-tblSales[[#This Row],[OrderDate]])</f>
        <v>3</v>
      </c>
      <c r="U716" t="str">
        <f>LEFT(tblSales[[#This Row],[ProductName]],20)</f>
        <v xml:space="preserve">Singaporean Hokkien </v>
      </c>
    </row>
    <row r="717" spans="2:21" x14ac:dyDescent="0.2">
      <c r="B717">
        <v>10776</v>
      </c>
      <c r="C717" t="s">
        <v>8245</v>
      </c>
      <c r="D717" t="s">
        <v>8282</v>
      </c>
      <c r="E717" t="s">
        <v>8247</v>
      </c>
      <c r="F717" s="222">
        <v>53</v>
      </c>
      <c r="G717">
        <v>120</v>
      </c>
      <c r="H717" s="223">
        <v>5.0000000745058101E-2</v>
      </c>
      <c r="I717" s="222">
        <v>6042</v>
      </c>
      <c r="J717" t="s">
        <v>8283</v>
      </c>
      <c r="K717" t="s">
        <v>8284</v>
      </c>
      <c r="L717" s="118">
        <v>43995</v>
      </c>
      <c r="M717" s="118">
        <v>43998</v>
      </c>
      <c r="N717" t="s">
        <v>8240</v>
      </c>
      <c r="O717" t="s">
        <v>8285</v>
      </c>
      <c r="P717" t="s">
        <v>2317</v>
      </c>
      <c r="Q717" t="str">
        <f>tblSales[[#This Row],[FirstName]]&amp; " " &amp;tblSales[[#This Row],[LastName]]</f>
        <v>Nancy Davolio</v>
      </c>
      <c r="R717">
        <f>YEAR(tblSales[[#This Row],[OrderDate]])</f>
        <v>2020</v>
      </c>
      <c r="S717">
        <f>WEEKNUM(tblSales[[#This Row],[OrderDate]])</f>
        <v>24</v>
      </c>
      <c r="T717">
        <f>IF(ISBLANK(tblSales[[#This Row],[ShippedDate]]),"",tblSales[[#This Row],[ShippedDate]]-tblSales[[#This Row],[OrderDate]])</f>
        <v>3</v>
      </c>
      <c r="U717" t="str">
        <f>LEFT(tblSales[[#This Row],[ProductName]],20)</f>
        <v>Manjimup Dried Apple</v>
      </c>
    </row>
    <row r="718" spans="2:21" x14ac:dyDescent="0.2">
      <c r="B718">
        <v>10779</v>
      </c>
      <c r="C718" t="s">
        <v>8291</v>
      </c>
      <c r="D718" t="s">
        <v>8246</v>
      </c>
      <c r="E718" t="s">
        <v>8262</v>
      </c>
      <c r="F718" s="222">
        <v>49.3</v>
      </c>
      <c r="G718">
        <v>20</v>
      </c>
      <c r="H718" s="223">
        <v>0</v>
      </c>
      <c r="I718" s="222">
        <v>986</v>
      </c>
      <c r="J718" t="s">
        <v>8314</v>
      </c>
      <c r="K718" t="s">
        <v>8315</v>
      </c>
      <c r="L718" s="118">
        <v>43996</v>
      </c>
      <c r="M718" s="118">
        <v>44025</v>
      </c>
      <c r="N718" t="s">
        <v>8265</v>
      </c>
      <c r="O718" t="s">
        <v>8257</v>
      </c>
      <c r="P718" t="s">
        <v>6984</v>
      </c>
      <c r="Q718" t="str">
        <f>tblSales[[#This Row],[FirstName]]&amp; " " &amp;tblSales[[#This Row],[LastName]]</f>
        <v>Janet Leverling</v>
      </c>
      <c r="R718">
        <f>YEAR(tblSales[[#This Row],[OrderDate]])</f>
        <v>2020</v>
      </c>
      <c r="S718">
        <f>WEEKNUM(tblSales[[#This Row],[OrderDate]])</f>
        <v>25</v>
      </c>
      <c r="T718">
        <f>IF(ISBLANK(tblSales[[#This Row],[ShippedDate]]),"",tblSales[[#This Row],[ShippedDate]]-tblSales[[#This Row],[OrderDate]])</f>
        <v>29</v>
      </c>
      <c r="U718" t="str">
        <f>LEFT(tblSales[[#This Row],[ProductName]],20)</f>
        <v>Tarte au sucre</v>
      </c>
    </row>
    <row r="719" spans="2:21" x14ac:dyDescent="0.2">
      <c r="B719">
        <v>10779</v>
      </c>
      <c r="C719" t="s">
        <v>8280</v>
      </c>
      <c r="D719" t="s">
        <v>8246</v>
      </c>
      <c r="E719" t="s">
        <v>8262</v>
      </c>
      <c r="F719" s="222">
        <v>17.45</v>
      </c>
      <c r="G719">
        <v>20</v>
      </c>
      <c r="H719" s="223">
        <v>0</v>
      </c>
      <c r="I719" s="222">
        <v>349</v>
      </c>
      <c r="J719" t="s">
        <v>8314</v>
      </c>
      <c r="K719" t="s">
        <v>8315</v>
      </c>
      <c r="L719" s="118">
        <v>43996</v>
      </c>
      <c r="M719" s="118">
        <v>44025</v>
      </c>
      <c r="N719" t="s">
        <v>8265</v>
      </c>
      <c r="O719" t="s">
        <v>8257</v>
      </c>
      <c r="P719" t="s">
        <v>6984</v>
      </c>
      <c r="Q719" t="str">
        <f>tblSales[[#This Row],[FirstName]]&amp; " " &amp;tblSales[[#This Row],[LastName]]</f>
        <v>Janet Leverling</v>
      </c>
      <c r="R719">
        <f>YEAR(tblSales[[#This Row],[OrderDate]])</f>
        <v>2020</v>
      </c>
      <c r="S719">
        <f>WEEKNUM(tblSales[[#This Row],[OrderDate]])</f>
        <v>25</v>
      </c>
      <c r="T719">
        <f>IF(ISBLANK(tblSales[[#This Row],[ShippedDate]]),"",tblSales[[#This Row],[ShippedDate]]-tblSales[[#This Row],[OrderDate]])</f>
        <v>29</v>
      </c>
      <c r="U719" t="str">
        <f>LEFT(tblSales[[#This Row],[ProductName]],20)</f>
        <v>Pavlova</v>
      </c>
    </row>
    <row r="720" spans="2:21" x14ac:dyDescent="0.2">
      <c r="B720">
        <v>10781</v>
      </c>
      <c r="C720" t="s">
        <v>8341</v>
      </c>
      <c r="D720" t="s">
        <v>8300</v>
      </c>
      <c r="E720" t="s">
        <v>8244</v>
      </c>
      <c r="F720" s="222">
        <v>38</v>
      </c>
      <c r="G720">
        <v>20</v>
      </c>
      <c r="H720" s="223">
        <v>0.20000000298023199</v>
      </c>
      <c r="I720" s="222">
        <v>608</v>
      </c>
      <c r="J720" t="s">
        <v>8301</v>
      </c>
      <c r="K720" t="s">
        <v>8302</v>
      </c>
      <c r="L720" s="118">
        <v>43997</v>
      </c>
      <c r="M720" s="118">
        <v>43999</v>
      </c>
      <c r="N720" t="s">
        <v>8240</v>
      </c>
      <c r="O720" t="s">
        <v>8297</v>
      </c>
      <c r="P720" t="s">
        <v>8298</v>
      </c>
      <c r="Q720" t="str">
        <f>tblSales[[#This Row],[FirstName]]&amp; " " &amp;tblSales[[#This Row],[LastName]]</f>
        <v>Andrew Fuller</v>
      </c>
      <c r="R720">
        <f>YEAR(tblSales[[#This Row],[OrderDate]])</f>
        <v>2020</v>
      </c>
      <c r="S720">
        <f>WEEKNUM(tblSales[[#This Row],[OrderDate]])</f>
        <v>25</v>
      </c>
      <c r="T720">
        <f>IF(ISBLANK(tblSales[[#This Row],[ShippedDate]]),"",tblSales[[#This Row],[ShippedDate]]-tblSales[[#This Row],[OrderDate]])</f>
        <v>2</v>
      </c>
      <c r="U720" t="str">
        <f>LEFT(tblSales[[#This Row],[ProductName]],20)</f>
        <v>Gnocchi di nonna Ali</v>
      </c>
    </row>
    <row r="721" spans="2:21" x14ac:dyDescent="0.2">
      <c r="B721">
        <v>10781</v>
      </c>
      <c r="C721" t="s">
        <v>8275</v>
      </c>
      <c r="D721" t="s">
        <v>8300</v>
      </c>
      <c r="E721" t="s">
        <v>8247</v>
      </c>
      <c r="F721" s="222">
        <v>10</v>
      </c>
      <c r="G721">
        <v>35</v>
      </c>
      <c r="H721" s="223">
        <v>0</v>
      </c>
      <c r="I721" s="222">
        <v>350</v>
      </c>
      <c r="J721" t="s">
        <v>8301</v>
      </c>
      <c r="K721" t="s">
        <v>8302</v>
      </c>
      <c r="L721" s="118">
        <v>43997</v>
      </c>
      <c r="M721" s="118">
        <v>43999</v>
      </c>
      <c r="N721" t="s">
        <v>8240</v>
      </c>
      <c r="O721" t="s">
        <v>8297</v>
      </c>
      <c r="P721" t="s">
        <v>8298</v>
      </c>
      <c r="Q721" t="str">
        <f>tblSales[[#This Row],[FirstName]]&amp; " " &amp;tblSales[[#This Row],[LastName]]</f>
        <v>Andrew Fuller</v>
      </c>
      <c r="R721">
        <f>YEAR(tblSales[[#This Row],[OrderDate]])</f>
        <v>2020</v>
      </c>
      <c r="S721">
        <f>WEEKNUM(tblSales[[#This Row],[OrderDate]])</f>
        <v>25</v>
      </c>
      <c r="T721">
        <f>IF(ISBLANK(tblSales[[#This Row],[ShippedDate]]),"",tblSales[[#This Row],[ShippedDate]]-tblSales[[#This Row],[OrderDate]])</f>
        <v>2</v>
      </c>
      <c r="U721" t="str">
        <f>LEFT(tblSales[[#This Row],[ProductName]],20)</f>
        <v>Longlife Tofu</v>
      </c>
    </row>
    <row r="722" spans="2:21" x14ac:dyDescent="0.2">
      <c r="B722">
        <v>10784</v>
      </c>
      <c r="C722" t="s">
        <v>8342</v>
      </c>
      <c r="D722" t="s">
        <v>8311</v>
      </c>
      <c r="E722" t="s">
        <v>8272</v>
      </c>
      <c r="F722" s="222">
        <v>18</v>
      </c>
      <c r="G722">
        <v>2</v>
      </c>
      <c r="H722" s="223">
        <v>0.15000000596046401</v>
      </c>
      <c r="I722" s="222">
        <v>30.6</v>
      </c>
      <c r="J722" t="s">
        <v>8312</v>
      </c>
      <c r="K722" t="s">
        <v>8313</v>
      </c>
      <c r="L722" s="118">
        <v>43998</v>
      </c>
      <c r="M722" s="118">
        <v>44002</v>
      </c>
      <c r="N722" t="s">
        <v>8240</v>
      </c>
      <c r="O722" t="s">
        <v>8266</v>
      </c>
      <c r="P722" t="s">
        <v>8267</v>
      </c>
      <c r="Q722" t="str">
        <f>tblSales[[#This Row],[FirstName]]&amp; " " &amp;tblSales[[#This Row],[LastName]]</f>
        <v>Margaret Peacock</v>
      </c>
      <c r="R722">
        <f>YEAR(tblSales[[#This Row],[OrderDate]])</f>
        <v>2020</v>
      </c>
      <c r="S722">
        <f>WEEKNUM(tblSales[[#This Row],[OrderDate]])</f>
        <v>25</v>
      </c>
      <c r="T722">
        <f>IF(ISBLANK(tblSales[[#This Row],[ShippedDate]]),"",tblSales[[#This Row],[ShippedDate]]-tblSales[[#This Row],[OrderDate]])</f>
        <v>4</v>
      </c>
      <c r="U722" t="str">
        <f>LEFT(tblSales[[#This Row],[ProductName]],20)</f>
        <v>Chartreuse verte</v>
      </c>
    </row>
    <row r="723" spans="2:21" x14ac:dyDescent="0.2">
      <c r="B723">
        <v>10784</v>
      </c>
      <c r="C723" t="s">
        <v>8235</v>
      </c>
      <c r="D723" t="s">
        <v>8311</v>
      </c>
      <c r="E723" t="s">
        <v>8237</v>
      </c>
      <c r="F723" s="222">
        <v>34.799999999999997</v>
      </c>
      <c r="G723">
        <v>30</v>
      </c>
      <c r="H723" s="223">
        <v>0.15000000596046401</v>
      </c>
      <c r="I723" s="222">
        <v>887.4</v>
      </c>
      <c r="J723" t="s">
        <v>8312</v>
      </c>
      <c r="K723" t="s">
        <v>8313</v>
      </c>
      <c r="L723" s="118">
        <v>43998</v>
      </c>
      <c r="M723" s="118">
        <v>44002</v>
      </c>
      <c r="N723" t="s">
        <v>8240</v>
      </c>
      <c r="O723" t="s">
        <v>8266</v>
      </c>
      <c r="P723" t="s">
        <v>8267</v>
      </c>
      <c r="Q723" t="str">
        <f>tblSales[[#This Row],[FirstName]]&amp; " " &amp;tblSales[[#This Row],[LastName]]</f>
        <v>Margaret Peacock</v>
      </c>
      <c r="R723">
        <f>YEAR(tblSales[[#This Row],[OrderDate]])</f>
        <v>2020</v>
      </c>
      <c r="S723">
        <f>WEEKNUM(tblSales[[#This Row],[OrderDate]])</f>
        <v>25</v>
      </c>
      <c r="T723">
        <f>IF(ISBLANK(tblSales[[#This Row],[ShippedDate]]),"",tblSales[[#This Row],[ShippedDate]]-tblSales[[#This Row],[OrderDate]])</f>
        <v>4</v>
      </c>
      <c r="U723" t="str">
        <f>LEFT(tblSales[[#This Row],[ProductName]],20)</f>
        <v>Mozzarella di Giovan</v>
      </c>
    </row>
    <row r="724" spans="2:21" x14ac:dyDescent="0.2">
      <c r="B724">
        <v>10787</v>
      </c>
      <c r="C724" t="s">
        <v>8276</v>
      </c>
      <c r="D724" t="s">
        <v>8236</v>
      </c>
      <c r="E724" t="s">
        <v>8272</v>
      </c>
      <c r="F724" s="222">
        <v>19</v>
      </c>
      <c r="G724">
        <v>15</v>
      </c>
      <c r="H724" s="223">
        <v>5.0000000745058101E-2</v>
      </c>
      <c r="I724" s="222">
        <v>270.75</v>
      </c>
      <c r="J724" t="s">
        <v>8382</v>
      </c>
      <c r="K724" t="s">
        <v>8383</v>
      </c>
      <c r="L724" s="118">
        <v>43999</v>
      </c>
      <c r="M724" s="118">
        <v>44006</v>
      </c>
      <c r="N724" t="s">
        <v>8250</v>
      </c>
      <c r="O724" t="s">
        <v>8297</v>
      </c>
      <c r="P724" t="s">
        <v>8298</v>
      </c>
      <c r="Q724" t="str">
        <f>tblSales[[#This Row],[FirstName]]&amp; " " &amp;tblSales[[#This Row],[LastName]]</f>
        <v>Andrew Fuller</v>
      </c>
      <c r="R724">
        <f>YEAR(tblSales[[#This Row],[OrderDate]])</f>
        <v>2020</v>
      </c>
      <c r="S724">
        <f>WEEKNUM(tblSales[[#This Row],[OrderDate]])</f>
        <v>25</v>
      </c>
      <c r="T724">
        <f>IF(ISBLANK(tblSales[[#This Row],[ShippedDate]]),"",tblSales[[#This Row],[ShippedDate]]-tblSales[[#This Row],[OrderDate]])</f>
        <v>7</v>
      </c>
      <c r="U724" t="str">
        <f>LEFT(tblSales[[#This Row],[ProductName]],20)</f>
        <v>Chang</v>
      </c>
    </row>
    <row r="725" spans="2:21" x14ac:dyDescent="0.2">
      <c r="B725">
        <v>11207</v>
      </c>
      <c r="C725" t="s">
        <v>8410</v>
      </c>
      <c r="D725" t="s">
        <v>2434</v>
      </c>
      <c r="E725" t="s">
        <v>8262</v>
      </c>
      <c r="F725" s="222">
        <v>9.5</v>
      </c>
      <c r="G725">
        <v>25</v>
      </c>
      <c r="H725" s="223">
        <v>0</v>
      </c>
      <c r="I725" s="222">
        <v>237.5</v>
      </c>
      <c r="J725" t="s">
        <v>8386</v>
      </c>
      <c r="K725" t="s">
        <v>8387</v>
      </c>
      <c r="L725" s="118">
        <v>44001</v>
      </c>
      <c r="M725" s="118">
        <v>44007</v>
      </c>
      <c r="N725" t="s">
        <v>8265</v>
      </c>
      <c r="O725" t="s">
        <v>8285</v>
      </c>
      <c r="P725" t="s">
        <v>2317</v>
      </c>
      <c r="Q725" t="str">
        <f>tblSales[[#This Row],[FirstName]]&amp; " " &amp;tblSales[[#This Row],[LastName]]</f>
        <v>Nancy Davolio</v>
      </c>
      <c r="R725">
        <f>YEAR(tblSales[[#This Row],[OrderDate]])</f>
        <v>2020</v>
      </c>
      <c r="S725">
        <f>WEEKNUM(tblSales[[#This Row],[OrderDate]])</f>
        <v>25</v>
      </c>
      <c r="T725">
        <f>IF(ISBLANK(tblSales[[#This Row],[ShippedDate]]),"",tblSales[[#This Row],[ShippedDate]]-tblSales[[#This Row],[OrderDate]])</f>
        <v>6</v>
      </c>
      <c r="U725" t="str">
        <f>LEFT(tblSales[[#This Row],[ProductName]],20)</f>
        <v>Zaanse koeken</v>
      </c>
    </row>
    <row r="726" spans="2:21" x14ac:dyDescent="0.2">
      <c r="B726">
        <v>11207</v>
      </c>
      <c r="C726" t="s">
        <v>8369</v>
      </c>
      <c r="D726" t="s">
        <v>2434</v>
      </c>
      <c r="E726" t="s">
        <v>8244</v>
      </c>
      <c r="F726" s="222">
        <v>7</v>
      </c>
      <c r="G726">
        <v>30</v>
      </c>
      <c r="H726" s="223">
        <v>0</v>
      </c>
      <c r="I726" s="222">
        <v>210</v>
      </c>
      <c r="J726" t="s">
        <v>8386</v>
      </c>
      <c r="K726" t="s">
        <v>8387</v>
      </c>
      <c r="L726" s="118">
        <v>44001</v>
      </c>
      <c r="M726" s="118">
        <v>44007</v>
      </c>
      <c r="N726" t="s">
        <v>8265</v>
      </c>
      <c r="O726" t="s">
        <v>8285</v>
      </c>
      <c r="P726" t="s">
        <v>2317</v>
      </c>
      <c r="Q726" t="str">
        <f>tblSales[[#This Row],[FirstName]]&amp; " " &amp;tblSales[[#This Row],[LastName]]</f>
        <v>Nancy Davolio</v>
      </c>
      <c r="R726">
        <f>YEAR(tblSales[[#This Row],[OrderDate]])</f>
        <v>2020</v>
      </c>
      <c r="S726">
        <f>WEEKNUM(tblSales[[#This Row],[OrderDate]])</f>
        <v>25</v>
      </c>
      <c r="T726">
        <f>IF(ISBLANK(tblSales[[#This Row],[ShippedDate]]),"",tblSales[[#This Row],[ShippedDate]]-tblSales[[#This Row],[OrderDate]])</f>
        <v>6</v>
      </c>
      <c r="U726" t="str">
        <f>LEFT(tblSales[[#This Row],[ProductName]],20)</f>
        <v>Filo Mix</v>
      </c>
    </row>
    <row r="727" spans="2:21" x14ac:dyDescent="0.2">
      <c r="B727">
        <v>11207</v>
      </c>
      <c r="C727" t="s">
        <v>8245</v>
      </c>
      <c r="D727" t="s">
        <v>2434</v>
      </c>
      <c r="E727" t="s">
        <v>8247</v>
      </c>
      <c r="F727" s="222">
        <v>53</v>
      </c>
      <c r="G727">
        <v>20</v>
      </c>
      <c r="H727" s="223">
        <v>0</v>
      </c>
      <c r="I727" s="222">
        <v>1060</v>
      </c>
      <c r="J727" t="s">
        <v>8386</v>
      </c>
      <c r="K727" t="s">
        <v>8387</v>
      </c>
      <c r="L727" s="118">
        <v>44001</v>
      </c>
      <c r="M727" s="118">
        <v>44007</v>
      </c>
      <c r="N727" t="s">
        <v>8265</v>
      </c>
      <c r="O727" t="s">
        <v>8285</v>
      </c>
      <c r="P727" t="s">
        <v>2317</v>
      </c>
      <c r="Q727" t="str">
        <f>tblSales[[#This Row],[FirstName]]&amp; " " &amp;tblSales[[#This Row],[LastName]]</f>
        <v>Nancy Davolio</v>
      </c>
      <c r="R727">
        <f>YEAR(tblSales[[#This Row],[OrderDate]])</f>
        <v>2020</v>
      </c>
      <c r="S727">
        <f>WEEKNUM(tblSales[[#This Row],[OrderDate]])</f>
        <v>25</v>
      </c>
      <c r="T727">
        <f>IF(ISBLANK(tblSales[[#This Row],[ShippedDate]]),"",tblSales[[#This Row],[ShippedDate]]-tblSales[[#This Row],[OrderDate]])</f>
        <v>6</v>
      </c>
      <c r="U727" t="str">
        <f>LEFT(tblSales[[#This Row],[ProductName]],20)</f>
        <v>Manjimup Dried Apple</v>
      </c>
    </row>
    <row r="728" spans="2:21" x14ac:dyDescent="0.2">
      <c r="B728">
        <v>10789</v>
      </c>
      <c r="C728" t="s">
        <v>8323</v>
      </c>
      <c r="D728" t="s">
        <v>8236</v>
      </c>
      <c r="E728" t="s">
        <v>8272</v>
      </c>
      <c r="F728" s="222">
        <v>18</v>
      </c>
      <c r="G728">
        <v>15</v>
      </c>
      <c r="H728" s="223">
        <v>0</v>
      </c>
      <c r="I728" s="222">
        <v>270</v>
      </c>
      <c r="J728" t="s">
        <v>8407</v>
      </c>
      <c r="K728" t="s">
        <v>8408</v>
      </c>
      <c r="L728" s="118">
        <v>44002</v>
      </c>
      <c r="M728" s="118">
        <v>44011</v>
      </c>
      <c r="N728" t="s">
        <v>8265</v>
      </c>
      <c r="O728" t="s">
        <v>8285</v>
      </c>
      <c r="P728" t="s">
        <v>2317</v>
      </c>
      <c r="Q728" t="str">
        <f>tblSales[[#This Row],[FirstName]]&amp; " " &amp;tblSales[[#This Row],[LastName]]</f>
        <v>Nancy Davolio</v>
      </c>
      <c r="R728">
        <f>YEAR(tblSales[[#This Row],[OrderDate]])</f>
        <v>2020</v>
      </c>
      <c r="S728">
        <f>WEEKNUM(tblSales[[#This Row],[OrderDate]])</f>
        <v>25</v>
      </c>
      <c r="T728">
        <f>IF(ISBLANK(tblSales[[#This Row],[ShippedDate]]),"",tblSales[[#This Row],[ShippedDate]]-tblSales[[#This Row],[OrderDate]])</f>
        <v>9</v>
      </c>
      <c r="U728" t="str">
        <f>LEFT(tblSales[[#This Row],[ProductName]],20)</f>
        <v>Steeleye Stout</v>
      </c>
    </row>
    <row r="729" spans="2:21" x14ac:dyDescent="0.2">
      <c r="B729">
        <v>10789</v>
      </c>
      <c r="C729" t="s">
        <v>8317</v>
      </c>
      <c r="D729" t="s">
        <v>8236</v>
      </c>
      <c r="E729" t="s">
        <v>8254</v>
      </c>
      <c r="F729" s="222">
        <v>43.9</v>
      </c>
      <c r="G729">
        <v>30</v>
      </c>
      <c r="H729" s="223">
        <v>0</v>
      </c>
      <c r="I729" s="222">
        <v>1317</v>
      </c>
      <c r="J729" t="s">
        <v>8407</v>
      </c>
      <c r="K729" t="s">
        <v>8408</v>
      </c>
      <c r="L729" s="118">
        <v>44002</v>
      </c>
      <c r="M729" s="118">
        <v>44011</v>
      </c>
      <c r="N729" t="s">
        <v>8265</v>
      </c>
      <c r="O729" t="s">
        <v>8285</v>
      </c>
      <c r="P729" t="s">
        <v>2317</v>
      </c>
      <c r="Q729" t="str">
        <f>tblSales[[#This Row],[FirstName]]&amp; " " &amp;tblSales[[#This Row],[LastName]]</f>
        <v>Nancy Davolio</v>
      </c>
      <c r="R729">
        <f>YEAR(tblSales[[#This Row],[OrderDate]])</f>
        <v>2020</v>
      </c>
      <c r="S729">
        <f>WEEKNUM(tblSales[[#This Row],[OrderDate]])</f>
        <v>25</v>
      </c>
      <c r="T729">
        <f>IF(ISBLANK(tblSales[[#This Row],[ShippedDate]]),"",tblSales[[#This Row],[ShippedDate]]-tblSales[[#This Row],[OrderDate]])</f>
        <v>9</v>
      </c>
      <c r="U729" t="str">
        <f>LEFT(tblSales[[#This Row],[ProductName]],20)</f>
        <v>Vegie-spread</v>
      </c>
    </row>
    <row r="730" spans="2:21" x14ac:dyDescent="0.2">
      <c r="B730">
        <v>10789</v>
      </c>
      <c r="C730" t="s">
        <v>8334</v>
      </c>
      <c r="D730" t="s">
        <v>8236</v>
      </c>
      <c r="E730" t="s">
        <v>8262</v>
      </c>
      <c r="F730" s="222">
        <v>12.5</v>
      </c>
      <c r="G730">
        <v>18</v>
      </c>
      <c r="H730" s="223">
        <v>0</v>
      </c>
      <c r="I730" s="222">
        <v>225</v>
      </c>
      <c r="J730" t="s">
        <v>8407</v>
      </c>
      <c r="K730" t="s">
        <v>8408</v>
      </c>
      <c r="L730" s="118">
        <v>44002</v>
      </c>
      <c r="M730" s="118">
        <v>44011</v>
      </c>
      <c r="N730" t="s">
        <v>8265</v>
      </c>
      <c r="O730" t="s">
        <v>8285</v>
      </c>
      <c r="P730" t="s">
        <v>2317</v>
      </c>
      <c r="Q730" t="str">
        <f>tblSales[[#This Row],[FirstName]]&amp; " " &amp;tblSales[[#This Row],[LastName]]</f>
        <v>Nancy Davolio</v>
      </c>
      <c r="R730">
        <f>YEAR(tblSales[[#This Row],[OrderDate]])</f>
        <v>2020</v>
      </c>
      <c r="S730">
        <f>WEEKNUM(tblSales[[#This Row],[OrderDate]])</f>
        <v>25</v>
      </c>
      <c r="T730">
        <f>IF(ISBLANK(tblSales[[#This Row],[ShippedDate]]),"",tblSales[[#This Row],[ShippedDate]]-tblSales[[#This Row],[OrderDate]])</f>
        <v>9</v>
      </c>
      <c r="U730" t="str">
        <f>LEFT(tblSales[[#This Row],[ProductName]],20)</f>
        <v>Scottish Longbreads</v>
      </c>
    </row>
    <row r="731" spans="2:21" x14ac:dyDescent="0.2">
      <c r="B731">
        <v>10788</v>
      </c>
      <c r="C731" t="s">
        <v>8328</v>
      </c>
      <c r="D731" t="s">
        <v>8246</v>
      </c>
      <c r="E731" t="s">
        <v>8272</v>
      </c>
      <c r="F731" s="222">
        <v>7.75</v>
      </c>
      <c r="G731">
        <v>40</v>
      </c>
      <c r="H731" s="223">
        <v>5.0000000745058101E-2</v>
      </c>
      <c r="I731" s="222">
        <v>294.5</v>
      </c>
      <c r="J731" t="s">
        <v>8307</v>
      </c>
      <c r="K731" t="s">
        <v>8308</v>
      </c>
      <c r="L731" s="118">
        <v>44002</v>
      </c>
      <c r="M731" s="118">
        <v>44030</v>
      </c>
      <c r="N731" t="s">
        <v>8265</v>
      </c>
      <c r="O731" t="s">
        <v>8285</v>
      </c>
      <c r="P731" t="s">
        <v>2317</v>
      </c>
      <c r="Q731" t="str">
        <f>tblSales[[#This Row],[FirstName]]&amp; " " &amp;tblSales[[#This Row],[LastName]]</f>
        <v>Nancy Davolio</v>
      </c>
      <c r="R731">
        <f>YEAR(tblSales[[#This Row],[OrderDate]])</f>
        <v>2020</v>
      </c>
      <c r="S731">
        <f>WEEKNUM(tblSales[[#This Row],[OrderDate]])</f>
        <v>25</v>
      </c>
      <c r="T731">
        <f>IF(ISBLANK(tblSales[[#This Row],[ShippedDate]]),"",tblSales[[#This Row],[ShippedDate]]-tblSales[[#This Row],[OrderDate]])</f>
        <v>28</v>
      </c>
      <c r="U731" t="str">
        <f>LEFT(tblSales[[#This Row],[ProductName]],20)</f>
        <v>Rhönbräu Klosterbier</v>
      </c>
    </row>
    <row r="732" spans="2:21" x14ac:dyDescent="0.2">
      <c r="B732">
        <v>10788</v>
      </c>
      <c r="C732" t="s">
        <v>8327</v>
      </c>
      <c r="D732" t="s">
        <v>8246</v>
      </c>
      <c r="E732" t="s">
        <v>8262</v>
      </c>
      <c r="F732" s="222">
        <v>9.1999999999999993</v>
      </c>
      <c r="G732">
        <v>50</v>
      </c>
      <c r="H732" s="223">
        <v>5.0000000745058101E-2</v>
      </c>
      <c r="I732" s="222">
        <v>437</v>
      </c>
      <c r="J732" t="s">
        <v>8307</v>
      </c>
      <c r="K732" t="s">
        <v>8308</v>
      </c>
      <c r="L732" s="118">
        <v>44002</v>
      </c>
      <c r="M732" s="118">
        <v>44030</v>
      </c>
      <c r="N732" t="s">
        <v>8265</v>
      </c>
      <c r="O732" t="s">
        <v>8285</v>
      </c>
      <c r="P732" t="s">
        <v>2317</v>
      </c>
      <c r="Q732" t="str">
        <f>tblSales[[#This Row],[FirstName]]&amp; " " &amp;tblSales[[#This Row],[LastName]]</f>
        <v>Nancy Davolio</v>
      </c>
      <c r="R732">
        <f>YEAR(tblSales[[#This Row],[OrderDate]])</f>
        <v>2020</v>
      </c>
      <c r="S732">
        <f>WEEKNUM(tblSales[[#This Row],[OrderDate]])</f>
        <v>25</v>
      </c>
      <c r="T732">
        <f>IF(ISBLANK(tblSales[[#This Row],[ShippedDate]]),"",tblSales[[#This Row],[ShippedDate]]-tblSales[[#This Row],[OrderDate]])</f>
        <v>28</v>
      </c>
      <c r="U732" t="str">
        <f>LEFT(tblSales[[#This Row],[ProductName]],20)</f>
        <v>Teatime Chocolate Bi</v>
      </c>
    </row>
    <row r="733" spans="2:21" x14ac:dyDescent="0.2">
      <c r="B733">
        <v>10792</v>
      </c>
      <c r="C733" t="s">
        <v>8276</v>
      </c>
      <c r="D733" t="s">
        <v>8400</v>
      </c>
      <c r="E733" t="s">
        <v>8272</v>
      </c>
      <c r="F733" s="222">
        <v>19</v>
      </c>
      <c r="G733">
        <v>10</v>
      </c>
      <c r="H733" s="223">
        <v>0</v>
      </c>
      <c r="I733" s="222">
        <v>190</v>
      </c>
      <c r="J733" t="s">
        <v>8401</v>
      </c>
      <c r="K733" t="s">
        <v>8402</v>
      </c>
      <c r="L733" s="118">
        <v>44003</v>
      </c>
      <c r="M733" s="118">
        <v>44011</v>
      </c>
      <c r="N733" t="s">
        <v>8240</v>
      </c>
      <c r="O733" t="s">
        <v>8285</v>
      </c>
      <c r="P733" t="s">
        <v>2317</v>
      </c>
      <c r="Q733" t="str">
        <f>tblSales[[#This Row],[FirstName]]&amp; " " &amp;tblSales[[#This Row],[LastName]]</f>
        <v>Nancy Davolio</v>
      </c>
      <c r="R733">
        <f>YEAR(tblSales[[#This Row],[OrderDate]])</f>
        <v>2020</v>
      </c>
      <c r="S733">
        <f>WEEKNUM(tblSales[[#This Row],[OrderDate]])</f>
        <v>26</v>
      </c>
      <c r="T733">
        <f>IF(ISBLANK(tblSales[[#This Row],[ShippedDate]]),"",tblSales[[#This Row],[ShippedDate]]-tblSales[[#This Row],[OrderDate]])</f>
        <v>8</v>
      </c>
      <c r="U733" t="str">
        <f>LEFT(tblSales[[#This Row],[ProductName]],20)</f>
        <v>Chang</v>
      </c>
    </row>
    <row r="734" spans="2:21" x14ac:dyDescent="0.2">
      <c r="B734">
        <v>10792</v>
      </c>
      <c r="C734" t="s">
        <v>8334</v>
      </c>
      <c r="D734" t="s">
        <v>8400</v>
      </c>
      <c r="E734" t="s">
        <v>8262</v>
      </c>
      <c r="F734" s="222">
        <v>12.5</v>
      </c>
      <c r="G734">
        <v>15</v>
      </c>
      <c r="H734" s="223">
        <v>0</v>
      </c>
      <c r="I734" s="222">
        <v>187.5</v>
      </c>
      <c r="J734" t="s">
        <v>8401</v>
      </c>
      <c r="K734" t="s">
        <v>8402</v>
      </c>
      <c r="L734" s="118">
        <v>44003</v>
      </c>
      <c r="M734" s="118">
        <v>44011</v>
      </c>
      <c r="N734" t="s">
        <v>8240</v>
      </c>
      <c r="O734" t="s">
        <v>8285</v>
      </c>
      <c r="P734" t="s">
        <v>2317</v>
      </c>
      <c r="Q734" t="str">
        <f>tblSales[[#This Row],[FirstName]]&amp; " " &amp;tblSales[[#This Row],[LastName]]</f>
        <v>Nancy Davolio</v>
      </c>
      <c r="R734">
        <f>YEAR(tblSales[[#This Row],[OrderDate]])</f>
        <v>2020</v>
      </c>
      <c r="S734">
        <f>WEEKNUM(tblSales[[#This Row],[OrderDate]])</f>
        <v>26</v>
      </c>
      <c r="T734">
        <f>IF(ISBLANK(tblSales[[#This Row],[ShippedDate]]),"",tblSales[[#This Row],[ShippedDate]]-tblSales[[#This Row],[OrderDate]])</f>
        <v>8</v>
      </c>
      <c r="U734" t="str">
        <f>LEFT(tblSales[[#This Row],[ProductName]],20)</f>
        <v>Scottish Longbreads</v>
      </c>
    </row>
    <row r="735" spans="2:21" x14ac:dyDescent="0.2">
      <c r="B735">
        <v>10793</v>
      </c>
      <c r="C735" t="s">
        <v>8369</v>
      </c>
      <c r="D735" t="s">
        <v>2434</v>
      </c>
      <c r="E735" t="s">
        <v>8244</v>
      </c>
      <c r="F735" s="222">
        <v>7</v>
      </c>
      <c r="G735">
        <v>8</v>
      </c>
      <c r="H735" s="223">
        <v>0</v>
      </c>
      <c r="I735" s="222">
        <v>56</v>
      </c>
      <c r="J735" t="s">
        <v>8386</v>
      </c>
      <c r="K735" t="s">
        <v>8387</v>
      </c>
      <c r="L735" s="118">
        <v>44004</v>
      </c>
      <c r="M735" s="118">
        <v>44019</v>
      </c>
      <c r="N735" t="s">
        <v>8240</v>
      </c>
      <c r="O735" t="s">
        <v>8257</v>
      </c>
      <c r="P735" t="s">
        <v>6984</v>
      </c>
      <c r="Q735" t="str">
        <f>tblSales[[#This Row],[FirstName]]&amp; " " &amp;tblSales[[#This Row],[LastName]]</f>
        <v>Janet Leverling</v>
      </c>
      <c r="R735">
        <f>YEAR(tblSales[[#This Row],[OrderDate]])</f>
        <v>2020</v>
      </c>
      <c r="S735">
        <f>WEEKNUM(tblSales[[#This Row],[OrderDate]])</f>
        <v>26</v>
      </c>
      <c r="T735">
        <f>IF(ISBLANK(tblSales[[#This Row],[ShippedDate]]),"",tblSales[[#This Row],[ShippedDate]]-tblSales[[#This Row],[OrderDate]])</f>
        <v>15</v>
      </c>
      <c r="U735" t="str">
        <f>LEFT(tblSales[[#This Row],[ProductName]],20)</f>
        <v>Filo Mix</v>
      </c>
    </row>
    <row r="736" spans="2:21" x14ac:dyDescent="0.2">
      <c r="B736">
        <v>10795</v>
      </c>
      <c r="C736" t="s">
        <v>8280</v>
      </c>
      <c r="D736" t="s">
        <v>8282</v>
      </c>
      <c r="E736" t="s">
        <v>8262</v>
      </c>
      <c r="F736" s="222">
        <v>17.45</v>
      </c>
      <c r="G736">
        <v>65</v>
      </c>
      <c r="H736" s="223">
        <v>0</v>
      </c>
      <c r="I736" s="222">
        <v>1134.25</v>
      </c>
      <c r="J736" t="s">
        <v>8283</v>
      </c>
      <c r="K736" t="s">
        <v>8284</v>
      </c>
      <c r="L736" s="118">
        <v>44004</v>
      </c>
      <c r="M736" s="118">
        <v>44031</v>
      </c>
      <c r="N736" t="s">
        <v>8265</v>
      </c>
      <c r="O736" t="s">
        <v>8320</v>
      </c>
      <c r="P736" t="s">
        <v>8321</v>
      </c>
      <c r="Q736" t="str">
        <f>tblSales[[#This Row],[FirstName]]&amp; " " &amp;tblSales[[#This Row],[LastName]]</f>
        <v>Laura Callahan</v>
      </c>
      <c r="R736">
        <f>YEAR(tblSales[[#This Row],[OrderDate]])</f>
        <v>2020</v>
      </c>
      <c r="S736">
        <f>WEEKNUM(tblSales[[#This Row],[OrderDate]])</f>
        <v>26</v>
      </c>
      <c r="T736">
        <f>IF(ISBLANK(tblSales[[#This Row],[ShippedDate]]),"",tblSales[[#This Row],[ShippedDate]]-tblSales[[#This Row],[OrderDate]])</f>
        <v>27</v>
      </c>
      <c r="U736" t="str">
        <f>LEFT(tblSales[[#This Row],[ProductName]],20)</f>
        <v>Pavlova</v>
      </c>
    </row>
    <row r="737" spans="2:21" x14ac:dyDescent="0.2">
      <c r="B737">
        <v>10797</v>
      </c>
      <c r="C737" t="s">
        <v>8242</v>
      </c>
      <c r="D737" t="s">
        <v>8246</v>
      </c>
      <c r="E737" t="s">
        <v>8237</v>
      </c>
      <c r="F737" s="222">
        <v>21</v>
      </c>
      <c r="G737">
        <v>20</v>
      </c>
      <c r="H737" s="223">
        <v>0</v>
      </c>
      <c r="I737" s="222">
        <v>420</v>
      </c>
      <c r="J737" t="s">
        <v>8391</v>
      </c>
      <c r="K737" t="s">
        <v>8392</v>
      </c>
      <c r="L737" s="118">
        <v>44005</v>
      </c>
      <c r="M737" s="118">
        <v>44016</v>
      </c>
      <c r="N737" t="s">
        <v>8265</v>
      </c>
      <c r="O737" t="s">
        <v>8158</v>
      </c>
      <c r="P737" t="s">
        <v>861</v>
      </c>
      <c r="Q737" t="str">
        <f>tblSales[[#This Row],[FirstName]]&amp; " " &amp;tblSales[[#This Row],[LastName]]</f>
        <v>Robert King</v>
      </c>
      <c r="R737">
        <f>YEAR(tblSales[[#This Row],[OrderDate]])</f>
        <v>2020</v>
      </c>
      <c r="S737">
        <f>WEEKNUM(tblSales[[#This Row],[OrderDate]])</f>
        <v>26</v>
      </c>
      <c r="T737">
        <f>IF(ISBLANK(tblSales[[#This Row],[ShippedDate]]),"",tblSales[[#This Row],[ShippedDate]]-tblSales[[#This Row],[OrderDate]])</f>
        <v>11</v>
      </c>
      <c r="U737" t="str">
        <f>LEFT(tblSales[[#This Row],[ProductName]],20)</f>
        <v>Queso Cabrales</v>
      </c>
    </row>
    <row r="738" spans="2:21" x14ac:dyDescent="0.2">
      <c r="B738">
        <v>10798</v>
      </c>
      <c r="C738" t="s">
        <v>8291</v>
      </c>
      <c r="D738" t="s">
        <v>2434</v>
      </c>
      <c r="E738" t="s">
        <v>8262</v>
      </c>
      <c r="F738" s="222">
        <v>49.3</v>
      </c>
      <c r="G738">
        <v>2</v>
      </c>
      <c r="H738" s="223">
        <v>0</v>
      </c>
      <c r="I738" s="222">
        <v>98.6</v>
      </c>
      <c r="J738" t="s">
        <v>8356</v>
      </c>
      <c r="K738" t="s">
        <v>8357</v>
      </c>
      <c r="L738" s="118">
        <v>44006</v>
      </c>
      <c r="M738" s="118">
        <v>44016</v>
      </c>
      <c r="N738" t="s">
        <v>8250</v>
      </c>
      <c r="O738" t="s">
        <v>8297</v>
      </c>
      <c r="P738" t="s">
        <v>8298</v>
      </c>
      <c r="Q738" t="str">
        <f>tblSales[[#This Row],[FirstName]]&amp; " " &amp;tblSales[[#This Row],[LastName]]</f>
        <v>Andrew Fuller</v>
      </c>
      <c r="R738">
        <f>YEAR(tblSales[[#This Row],[OrderDate]])</f>
        <v>2020</v>
      </c>
      <c r="S738">
        <f>WEEKNUM(tblSales[[#This Row],[OrderDate]])</f>
        <v>26</v>
      </c>
      <c r="T738">
        <f>IF(ISBLANK(tblSales[[#This Row],[ShippedDate]]),"",tblSales[[#This Row],[ShippedDate]]-tblSales[[#This Row],[OrderDate]])</f>
        <v>10</v>
      </c>
      <c r="U738" t="str">
        <f>LEFT(tblSales[[#This Row],[ProductName]],20)</f>
        <v>Tarte au sucre</v>
      </c>
    </row>
    <row r="739" spans="2:21" x14ac:dyDescent="0.2">
      <c r="B739">
        <v>10798</v>
      </c>
      <c r="C739" t="s">
        <v>8235</v>
      </c>
      <c r="D739" t="s">
        <v>2434</v>
      </c>
      <c r="E739" t="s">
        <v>8237</v>
      </c>
      <c r="F739" s="222">
        <v>34.799999999999997</v>
      </c>
      <c r="G739">
        <v>10</v>
      </c>
      <c r="H739" s="223">
        <v>0</v>
      </c>
      <c r="I739" s="222">
        <v>348</v>
      </c>
      <c r="J739" t="s">
        <v>8356</v>
      </c>
      <c r="K739" t="s">
        <v>8357</v>
      </c>
      <c r="L739" s="118">
        <v>44006</v>
      </c>
      <c r="M739" s="118">
        <v>44016</v>
      </c>
      <c r="N739" t="s">
        <v>8250</v>
      </c>
      <c r="O739" t="s">
        <v>8297</v>
      </c>
      <c r="P739" t="s">
        <v>8298</v>
      </c>
      <c r="Q739" t="str">
        <f>tblSales[[#This Row],[FirstName]]&amp; " " &amp;tblSales[[#This Row],[LastName]]</f>
        <v>Andrew Fuller</v>
      </c>
      <c r="R739">
        <f>YEAR(tblSales[[#This Row],[OrderDate]])</f>
        <v>2020</v>
      </c>
      <c r="S739">
        <f>WEEKNUM(tblSales[[#This Row],[OrderDate]])</f>
        <v>26</v>
      </c>
      <c r="T739">
        <f>IF(ISBLANK(tblSales[[#This Row],[ShippedDate]]),"",tblSales[[#This Row],[ShippedDate]]-tblSales[[#This Row],[OrderDate]])</f>
        <v>10</v>
      </c>
      <c r="U739" t="str">
        <f>LEFT(tblSales[[#This Row],[ProductName]],20)</f>
        <v>Mozzarella di Giovan</v>
      </c>
    </row>
    <row r="740" spans="2:21" x14ac:dyDescent="0.2">
      <c r="B740">
        <v>10799</v>
      </c>
      <c r="C740" t="s">
        <v>8270</v>
      </c>
      <c r="D740" t="s">
        <v>8246</v>
      </c>
      <c r="E740" t="s">
        <v>8272</v>
      </c>
      <c r="F740" s="222">
        <v>4.5</v>
      </c>
      <c r="G740">
        <v>20</v>
      </c>
      <c r="H740" s="223">
        <v>0.15000000596046401</v>
      </c>
      <c r="I740" s="222">
        <v>76.5</v>
      </c>
      <c r="J740" t="s">
        <v>8359</v>
      </c>
      <c r="K740" t="s">
        <v>8360</v>
      </c>
      <c r="L740" s="118">
        <v>44006</v>
      </c>
      <c r="M740" s="118">
        <v>44016</v>
      </c>
      <c r="N740" t="s">
        <v>8240</v>
      </c>
      <c r="O740" t="s">
        <v>8279</v>
      </c>
      <c r="P740" t="s">
        <v>710</v>
      </c>
      <c r="Q740" t="str">
        <f>tblSales[[#This Row],[FirstName]]&amp; " " &amp;tblSales[[#This Row],[LastName]]</f>
        <v>Anne Dodsworth</v>
      </c>
      <c r="R740">
        <f>YEAR(tblSales[[#This Row],[OrderDate]])</f>
        <v>2020</v>
      </c>
      <c r="S740">
        <f>WEEKNUM(tblSales[[#This Row],[OrderDate]])</f>
        <v>26</v>
      </c>
      <c r="T740">
        <f>IF(ISBLANK(tblSales[[#This Row],[ShippedDate]]),"",tblSales[[#This Row],[ShippedDate]]-tblSales[[#This Row],[OrderDate]])</f>
        <v>10</v>
      </c>
      <c r="U740" t="str">
        <f>LEFT(tblSales[[#This Row],[ProductName]],20)</f>
        <v>Guaraná Fantástica</v>
      </c>
    </row>
    <row r="741" spans="2:21" x14ac:dyDescent="0.2">
      <c r="B741">
        <v>10799</v>
      </c>
      <c r="C741" t="s">
        <v>8281</v>
      </c>
      <c r="D741" t="s">
        <v>8246</v>
      </c>
      <c r="E741" t="s">
        <v>8237</v>
      </c>
      <c r="F741" s="222">
        <v>55</v>
      </c>
      <c r="G741">
        <v>25</v>
      </c>
      <c r="H741" s="223">
        <v>0</v>
      </c>
      <c r="I741" s="222">
        <v>1375</v>
      </c>
      <c r="J741" t="s">
        <v>8359</v>
      </c>
      <c r="K741" t="s">
        <v>8360</v>
      </c>
      <c r="L741" s="118">
        <v>44006</v>
      </c>
      <c r="M741" s="118">
        <v>44016</v>
      </c>
      <c r="N741" t="s">
        <v>8240</v>
      </c>
      <c r="O741" t="s">
        <v>8279</v>
      </c>
      <c r="P741" t="s">
        <v>710</v>
      </c>
      <c r="Q741" t="str">
        <f>tblSales[[#This Row],[FirstName]]&amp; " " &amp;tblSales[[#This Row],[LastName]]</f>
        <v>Anne Dodsworth</v>
      </c>
      <c r="R741">
        <f>YEAR(tblSales[[#This Row],[OrderDate]])</f>
        <v>2020</v>
      </c>
      <c r="S741">
        <f>WEEKNUM(tblSales[[#This Row],[OrderDate]])</f>
        <v>26</v>
      </c>
      <c r="T741">
        <f>IF(ISBLANK(tblSales[[#This Row],[ShippedDate]]),"",tblSales[[#This Row],[ShippedDate]]-tblSales[[#This Row],[OrderDate]])</f>
        <v>10</v>
      </c>
      <c r="U741" t="str">
        <f>LEFT(tblSales[[#This Row],[ProductName]],20)</f>
        <v>Raclette Courdavault</v>
      </c>
    </row>
    <row r="742" spans="2:21" x14ac:dyDescent="0.2">
      <c r="B742">
        <v>10800</v>
      </c>
      <c r="C742" t="s">
        <v>8242</v>
      </c>
      <c r="D742" t="s">
        <v>2434</v>
      </c>
      <c r="E742" t="s">
        <v>8237</v>
      </c>
      <c r="F742" s="222">
        <v>21</v>
      </c>
      <c r="G742">
        <v>50</v>
      </c>
      <c r="H742" s="223">
        <v>0.10000000149011599</v>
      </c>
      <c r="I742" s="222">
        <v>945</v>
      </c>
      <c r="J742" t="s">
        <v>8388</v>
      </c>
      <c r="K742" t="s">
        <v>8389</v>
      </c>
      <c r="L742" s="118">
        <v>44006</v>
      </c>
      <c r="M742" s="118">
        <v>44016</v>
      </c>
      <c r="N742" t="s">
        <v>8240</v>
      </c>
      <c r="O742" t="s">
        <v>8285</v>
      </c>
      <c r="P742" t="s">
        <v>2317</v>
      </c>
      <c r="Q742" t="str">
        <f>tblSales[[#This Row],[FirstName]]&amp; " " &amp;tblSales[[#This Row],[LastName]]</f>
        <v>Nancy Davolio</v>
      </c>
      <c r="R742">
        <f>YEAR(tblSales[[#This Row],[OrderDate]])</f>
        <v>2020</v>
      </c>
      <c r="S742">
        <f>WEEKNUM(tblSales[[#This Row],[OrderDate]])</f>
        <v>26</v>
      </c>
      <c r="T742">
        <f>IF(ISBLANK(tblSales[[#This Row],[ShippedDate]]),"",tblSales[[#This Row],[ShippedDate]]-tblSales[[#This Row],[OrderDate]])</f>
        <v>10</v>
      </c>
      <c r="U742" t="str">
        <f>LEFT(tblSales[[#This Row],[ProductName]],20)</f>
        <v>Queso Cabrales</v>
      </c>
    </row>
    <row r="743" spans="2:21" x14ac:dyDescent="0.2">
      <c r="B743">
        <v>10800</v>
      </c>
      <c r="C743" t="s">
        <v>8245</v>
      </c>
      <c r="D743" t="s">
        <v>2434</v>
      </c>
      <c r="E743" t="s">
        <v>8247</v>
      </c>
      <c r="F743" s="222">
        <v>53</v>
      </c>
      <c r="G743">
        <v>10</v>
      </c>
      <c r="H743" s="223">
        <v>0.10000000149011599</v>
      </c>
      <c r="I743" s="222">
        <v>477</v>
      </c>
      <c r="J743" t="s">
        <v>8388</v>
      </c>
      <c r="K743" t="s">
        <v>8389</v>
      </c>
      <c r="L743" s="118">
        <v>44006</v>
      </c>
      <c r="M743" s="118">
        <v>44016</v>
      </c>
      <c r="N743" t="s">
        <v>8240</v>
      </c>
      <c r="O743" t="s">
        <v>8285</v>
      </c>
      <c r="P743" t="s">
        <v>2317</v>
      </c>
      <c r="Q743" t="str">
        <f>tblSales[[#This Row],[FirstName]]&amp; " " &amp;tblSales[[#This Row],[LastName]]</f>
        <v>Nancy Davolio</v>
      </c>
      <c r="R743">
        <f>YEAR(tblSales[[#This Row],[OrderDate]])</f>
        <v>2020</v>
      </c>
      <c r="S743">
        <f>WEEKNUM(tblSales[[#This Row],[OrderDate]])</f>
        <v>26</v>
      </c>
      <c r="T743">
        <f>IF(ISBLANK(tblSales[[#This Row],[ShippedDate]]),"",tblSales[[#This Row],[ShippedDate]]-tblSales[[#This Row],[OrderDate]])</f>
        <v>10</v>
      </c>
      <c r="U743" t="str">
        <f>LEFT(tblSales[[#This Row],[ProductName]],20)</f>
        <v>Manjimup Dried Apple</v>
      </c>
    </row>
    <row r="744" spans="2:21" x14ac:dyDescent="0.2">
      <c r="B744">
        <v>10802</v>
      </c>
      <c r="C744" t="s">
        <v>8291</v>
      </c>
      <c r="D744" t="s">
        <v>8374</v>
      </c>
      <c r="E744" t="s">
        <v>8262</v>
      </c>
      <c r="F744" s="222">
        <v>49.3</v>
      </c>
      <c r="G744">
        <v>5</v>
      </c>
      <c r="H744" s="223">
        <v>0.25</v>
      </c>
      <c r="I744" s="222">
        <v>184.88</v>
      </c>
      <c r="J744" t="s">
        <v>8375</v>
      </c>
      <c r="K744" t="s">
        <v>8376</v>
      </c>
      <c r="L744" s="118">
        <v>44009</v>
      </c>
      <c r="M744" s="118">
        <v>44013</v>
      </c>
      <c r="N744" t="s">
        <v>8265</v>
      </c>
      <c r="O744" t="s">
        <v>8266</v>
      </c>
      <c r="P744" t="s">
        <v>8267</v>
      </c>
      <c r="Q744" t="str">
        <f>tblSales[[#This Row],[FirstName]]&amp; " " &amp;tblSales[[#This Row],[LastName]]</f>
        <v>Margaret Peacock</v>
      </c>
      <c r="R744">
        <f>YEAR(tblSales[[#This Row],[OrderDate]])</f>
        <v>2020</v>
      </c>
      <c r="S744">
        <f>WEEKNUM(tblSales[[#This Row],[OrderDate]])</f>
        <v>26</v>
      </c>
      <c r="T744">
        <f>IF(ISBLANK(tblSales[[#This Row],[ShippedDate]]),"",tblSales[[#This Row],[ShippedDate]]-tblSales[[#This Row],[OrderDate]])</f>
        <v>4</v>
      </c>
      <c r="U744" t="str">
        <f>LEFT(tblSales[[#This Row],[ProductName]],20)</f>
        <v>Tarte au sucre</v>
      </c>
    </row>
    <row r="745" spans="2:21" x14ac:dyDescent="0.2">
      <c r="B745">
        <v>10802</v>
      </c>
      <c r="C745" t="s">
        <v>8245</v>
      </c>
      <c r="D745" t="s">
        <v>8374</v>
      </c>
      <c r="E745" t="s">
        <v>8247</v>
      </c>
      <c r="F745" s="222">
        <v>53</v>
      </c>
      <c r="G745">
        <v>30</v>
      </c>
      <c r="H745" s="223">
        <v>0.25</v>
      </c>
      <c r="I745" s="222">
        <v>1192.5</v>
      </c>
      <c r="J745" t="s">
        <v>8375</v>
      </c>
      <c r="K745" t="s">
        <v>8376</v>
      </c>
      <c r="L745" s="118">
        <v>44009</v>
      </c>
      <c r="M745" s="118">
        <v>44013</v>
      </c>
      <c r="N745" t="s">
        <v>8265</v>
      </c>
      <c r="O745" t="s">
        <v>8266</v>
      </c>
      <c r="P745" t="s">
        <v>8267</v>
      </c>
      <c r="Q745" t="str">
        <f>tblSales[[#This Row],[FirstName]]&amp; " " &amp;tblSales[[#This Row],[LastName]]</f>
        <v>Margaret Peacock</v>
      </c>
      <c r="R745">
        <f>YEAR(tblSales[[#This Row],[OrderDate]])</f>
        <v>2020</v>
      </c>
      <c r="S745">
        <f>WEEKNUM(tblSales[[#This Row],[OrderDate]])</f>
        <v>26</v>
      </c>
      <c r="T745">
        <f>IF(ISBLANK(tblSales[[#This Row],[ShippedDate]]),"",tblSales[[#This Row],[ShippedDate]]-tblSales[[#This Row],[OrderDate]])</f>
        <v>4</v>
      </c>
      <c r="U745" t="str">
        <f>LEFT(tblSales[[#This Row],[ProductName]],20)</f>
        <v>Manjimup Dried Apple</v>
      </c>
    </row>
    <row r="746" spans="2:21" x14ac:dyDescent="0.2">
      <c r="B746">
        <v>11212</v>
      </c>
      <c r="C746" t="s">
        <v>8303</v>
      </c>
      <c r="D746" t="s">
        <v>8236</v>
      </c>
      <c r="E746" t="s">
        <v>8272</v>
      </c>
      <c r="F746" s="222">
        <v>18</v>
      </c>
      <c r="G746">
        <v>10</v>
      </c>
      <c r="H746" s="223">
        <v>0</v>
      </c>
      <c r="I746" s="222">
        <v>180</v>
      </c>
      <c r="J746" t="s">
        <v>8295</v>
      </c>
      <c r="K746" t="s">
        <v>8296</v>
      </c>
      <c r="L746" s="118">
        <v>44009</v>
      </c>
      <c r="M746" s="118">
        <v>44015</v>
      </c>
      <c r="N746" t="s">
        <v>8250</v>
      </c>
      <c r="O746" t="s">
        <v>8279</v>
      </c>
      <c r="P746" t="s">
        <v>710</v>
      </c>
      <c r="Q746" t="str">
        <f>tblSales[[#This Row],[FirstName]]&amp; " " &amp;tblSales[[#This Row],[LastName]]</f>
        <v>Anne Dodsworth</v>
      </c>
      <c r="R746">
        <f>YEAR(tblSales[[#This Row],[OrderDate]])</f>
        <v>2020</v>
      </c>
      <c r="S746">
        <f>WEEKNUM(tblSales[[#This Row],[OrderDate]])</f>
        <v>26</v>
      </c>
      <c r="T746">
        <f>IF(ISBLANK(tblSales[[#This Row],[ShippedDate]]),"",tblSales[[#This Row],[ShippedDate]]-tblSales[[#This Row],[OrderDate]])</f>
        <v>6</v>
      </c>
      <c r="U746" t="str">
        <f>LEFT(tblSales[[#This Row],[ProductName]],20)</f>
        <v>Lakkalikööri</v>
      </c>
    </row>
    <row r="747" spans="2:21" x14ac:dyDescent="0.2">
      <c r="B747">
        <v>11212</v>
      </c>
      <c r="C747" t="s">
        <v>8242</v>
      </c>
      <c r="D747" t="s">
        <v>8236</v>
      </c>
      <c r="E747" t="s">
        <v>8237</v>
      </c>
      <c r="F747" s="222">
        <v>21</v>
      </c>
      <c r="G747">
        <v>35</v>
      </c>
      <c r="H747" s="223">
        <v>0.15000000596046401</v>
      </c>
      <c r="I747" s="222">
        <v>624.75</v>
      </c>
      <c r="J747" t="s">
        <v>8295</v>
      </c>
      <c r="K747" t="s">
        <v>8296</v>
      </c>
      <c r="L747" s="118">
        <v>44009</v>
      </c>
      <c r="M747" s="118">
        <v>44015</v>
      </c>
      <c r="N747" t="s">
        <v>8250</v>
      </c>
      <c r="O747" t="s">
        <v>8279</v>
      </c>
      <c r="P747" t="s">
        <v>710</v>
      </c>
      <c r="Q747" t="str">
        <f>tblSales[[#This Row],[FirstName]]&amp; " " &amp;tblSales[[#This Row],[LastName]]</f>
        <v>Anne Dodsworth</v>
      </c>
      <c r="R747">
        <f>YEAR(tblSales[[#This Row],[OrderDate]])</f>
        <v>2020</v>
      </c>
      <c r="S747">
        <f>WEEKNUM(tblSales[[#This Row],[OrderDate]])</f>
        <v>26</v>
      </c>
      <c r="T747">
        <f>IF(ISBLANK(tblSales[[#This Row],[ShippedDate]]),"",tblSales[[#This Row],[ShippedDate]]-tblSales[[#This Row],[OrderDate]])</f>
        <v>6</v>
      </c>
      <c r="U747" t="str">
        <f>LEFT(tblSales[[#This Row],[ProductName]],20)</f>
        <v>Queso Cabrales</v>
      </c>
    </row>
    <row r="748" spans="2:21" x14ac:dyDescent="0.2">
      <c r="B748">
        <v>10804</v>
      </c>
      <c r="C748" t="s">
        <v>8390</v>
      </c>
      <c r="D748" t="s">
        <v>2434</v>
      </c>
      <c r="E748" t="s">
        <v>8262</v>
      </c>
      <c r="F748" s="222">
        <v>20</v>
      </c>
      <c r="G748">
        <v>4</v>
      </c>
      <c r="H748" s="223">
        <v>0.15000000596046401</v>
      </c>
      <c r="I748" s="222">
        <v>68</v>
      </c>
      <c r="J748" t="s">
        <v>8388</v>
      </c>
      <c r="K748" t="s">
        <v>8389</v>
      </c>
      <c r="L748" s="118">
        <v>44010</v>
      </c>
      <c r="M748" s="118">
        <v>44018</v>
      </c>
      <c r="N748" t="s">
        <v>8265</v>
      </c>
      <c r="O748" t="s">
        <v>8251</v>
      </c>
      <c r="P748" t="s">
        <v>269</v>
      </c>
      <c r="Q748" t="str">
        <f>tblSales[[#This Row],[FirstName]]&amp; " " &amp;tblSales[[#This Row],[LastName]]</f>
        <v>Michael Suyama</v>
      </c>
      <c r="R748">
        <f>YEAR(tblSales[[#This Row],[OrderDate]])</f>
        <v>2020</v>
      </c>
      <c r="S748">
        <f>WEEKNUM(tblSales[[#This Row],[OrderDate]])</f>
        <v>27</v>
      </c>
      <c r="T748">
        <f>IF(ISBLANK(tblSales[[#This Row],[ShippedDate]]),"",tblSales[[#This Row],[ShippedDate]]-tblSales[[#This Row],[OrderDate]])</f>
        <v>8</v>
      </c>
      <c r="U748" t="str">
        <f>LEFT(tblSales[[#This Row],[ProductName]],20)</f>
        <v>Maxilaku</v>
      </c>
    </row>
    <row r="749" spans="2:21" x14ac:dyDescent="0.2">
      <c r="B749">
        <v>10804</v>
      </c>
      <c r="C749" t="s">
        <v>8316</v>
      </c>
      <c r="D749" t="s">
        <v>2434</v>
      </c>
      <c r="E749" t="s">
        <v>8247</v>
      </c>
      <c r="F749" s="222">
        <v>45.6</v>
      </c>
      <c r="G749">
        <v>24</v>
      </c>
      <c r="H749" s="223">
        <v>0</v>
      </c>
      <c r="I749" s="222">
        <v>1094.4000000000001</v>
      </c>
      <c r="J749" t="s">
        <v>8388</v>
      </c>
      <c r="K749" t="s">
        <v>8389</v>
      </c>
      <c r="L749" s="118">
        <v>44010</v>
      </c>
      <c r="M749" s="118">
        <v>44018</v>
      </c>
      <c r="N749" t="s">
        <v>8265</v>
      </c>
      <c r="O749" t="s">
        <v>8251</v>
      </c>
      <c r="P749" t="s">
        <v>269</v>
      </c>
      <c r="Q749" t="str">
        <f>tblSales[[#This Row],[FirstName]]&amp; " " &amp;tblSales[[#This Row],[LastName]]</f>
        <v>Michael Suyama</v>
      </c>
      <c r="R749">
        <f>YEAR(tblSales[[#This Row],[OrderDate]])</f>
        <v>2020</v>
      </c>
      <c r="S749">
        <f>WEEKNUM(tblSales[[#This Row],[OrderDate]])</f>
        <v>27</v>
      </c>
      <c r="T749">
        <f>IF(ISBLANK(tblSales[[#This Row],[ShippedDate]]),"",tblSales[[#This Row],[ShippedDate]]-tblSales[[#This Row],[OrderDate]])</f>
        <v>8</v>
      </c>
      <c r="U749" t="str">
        <f>LEFT(tblSales[[#This Row],[ProductName]],20)</f>
        <v>Rössle Sauerkraut</v>
      </c>
    </row>
    <row r="750" spans="2:21" x14ac:dyDescent="0.2">
      <c r="B750">
        <v>10806</v>
      </c>
      <c r="C750" t="s">
        <v>8276</v>
      </c>
      <c r="D750" t="s">
        <v>8236</v>
      </c>
      <c r="E750" t="s">
        <v>8272</v>
      </c>
      <c r="F750" s="222">
        <v>19</v>
      </c>
      <c r="G750">
        <v>20</v>
      </c>
      <c r="H750" s="223">
        <v>0.25</v>
      </c>
      <c r="I750" s="222">
        <v>285</v>
      </c>
      <c r="J750" t="s">
        <v>8255</v>
      </c>
      <c r="K750" t="s">
        <v>8256</v>
      </c>
      <c r="L750" s="118">
        <v>44011</v>
      </c>
      <c r="M750" s="118">
        <v>44016</v>
      </c>
      <c r="N750" t="s">
        <v>8265</v>
      </c>
      <c r="O750" t="s">
        <v>8257</v>
      </c>
      <c r="P750" t="s">
        <v>6984</v>
      </c>
      <c r="Q750" t="str">
        <f>tblSales[[#This Row],[FirstName]]&amp; " " &amp;tblSales[[#This Row],[LastName]]</f>
        <v>Janet Leverling</v>
      </c>
      <c r="R750">
        <f>YEAR(tblSales[[#This Row],[OrderDate]])</f>
        <v>2020</v>
      </c>
      <c r="S750">
        <f>WEEKNUM(tblSales[[#This Row],[OrderDate]])</f>
        <v>27</v>
      </c>
      <c r="T750">
        <f>IF(ISBLANK(tblSales[[#This Row],[ShippedDate]]),"",tblSales[[#This Row],[ShippedDate]]-tblSales[[#This Row],[OrderDate]])</f>
        <v>5</v>
      </c>
      <c r="U750" t="str">
        <f>LEFT(tblSales[[#This Row],[ProductName]],20)</f>
        <v>Chang</v>
      </c>
    </row>
    <row r="751" spans="2:21" x14ac:dyDescent="0.2">
      <c r="B751">
        <v>10806</v>
      </c>
      <c r="C751" t="s">
        <v>8253</v>
      </c>
      <c r="D751" t="s">
        <v>8236</v>
      </c>
      <c r="E751" t="s">
        <v>8254</v>
      </c>
      <c r="F751" s="222">
        <v>21.05</v>
      </c>
      <c r="G751">
        <v>2</v>
      </c>
      <c r="H751" s="223">
        <v>0</v>
      </c>
      <c r="I751" s="222">
        <v>42.1</v>
      </c>
      <c r="J751" t="s">
        <v>8255</v>
      </c>
      <c r="K751" t="s">
        <v>8256</v>
      </c>
      <c r="L751" s="118">
        <v>44011</v>
      </c>
      <c r="M751" s="118">
        <v>44016</v>
      </c>
      <c r="N751" t="s">
        <v>8265</v>
      </c>
      <c r="O751" t="s">
        <v>8257</v>
      </c>
      <c r="P751" t="s">
        <v>6984</v>
      </c>
      <c r="Q751" t="str">
        <f>tblSales[[#This Row],[FirstName]]&amp; " " &amp;tblSales[[#This Row],[LastName]]</f>
        <v>Janet Leverling</v>
      </c>
      <c r="R751">
        <f>YEAR(tblSales[[#This Row],[OrderDate]])</f>
        <v>2020</v>
      </c>
      <c r="S751">
        <f>WEEKNUM(tblSales[[#This Row],[OrderDate]])</f>
        <v>27</v>
      </c>
      <c r="T751">
        <f>IF(ISBLANK(tblSales[[#This Row],[ShippedDate]]),"",tblSales[[#This Row],[ShippedDate]]-tblSales[[#This Row],[OrderDate]])</f>
        <v>5</v>
      </c>
      <c r="U751" t="str">
        <f>LEFT(tblSales[[#This Row],[ProductName]],20)</f>
        <v xml:space="preserve">Louisiana Fiery Hot </v>
      </c>
    </row>
    <row r="752" spans="2:21" x14ac:dyDescent="0.2">
      <c r="B752">
        <v>10806</v>
      </c>
      <c r="C752" t="s">
        <v>8275</v>
      </c>
      <c r="D752" t="s">
        <v>8236</v>
      </c>
      <c r="E752" t="s">
        <v>8247</v>
      </c>
      <c r="F752" s="222">
        <v>10</v>
      </c>
      <c r="G752">
        <v>15</v>
      </c>
      <c r="H752" s="223">
        <v>0.25</v>
      </c>
      <c r="I752" s="222">
        <v>112.5</v>
      </c>
      <c r="J752" t="s">
        <v>8255</v>
      </c>
      <c r="K752" t="s">
        <v>8256</v>
      </c>
      <c r="L752" s="118">
        <v>44011</v>
      </c>
      <c r="M752" s="118">
        <v>44016</v>
      </c>
      <c r="N752" t="s">
        <v>8265</v>
      </c>
      <c r="O752" t="s">
        <v>8257</v>
      </c>
      <c r="P752" t="s">
        <v>6984</v>
      </c>
      <c r="Q752" t="str">
        <f>tblSales[[#This Row],[FirstName]]&amp; " " &amp;tblSales[[#This Row],[LastName]]</f>
        <v>Janet Leverling</v>
      </c>
      <c r="R752">
        <f>YEAR(tblSales[[#This Row],[OrderDate]])</f>
        <v>2020</v>
      </c>
      <c r="S752">
        <f>WEEKNUM(tblSales[[#This Row],[OrderDate]])</f>
        <v>27</v>
      </c>
      <c r="T752">
        <f>IF(ISBLANK(tblSales[[#This Row],[ShippedDate]]),"",tblSales[[#This Row],[ShippedDate]]-tblSales[[#This Row],[OrderDate]])</f>
        <v>5</v>
      </c>
      <c r="U752" t="str">
        <f>LEFT(tblSales[[#This Row],[ProductName]],20)</f>
        <v>Longlife Tofu</v>
      </c>
    </row>
    <row r="753" spans="2:21" x14ac:dyDescent="0.2">
      <c r="B753">
        <v>10812</v>
      </c>
      <c r="C753" t="s">
        <v>8397</v>
      </c>
      <c r="D753" t="s">
        <v>8311</v>
      </c>
      <c r="E753" t="s">
        <v>8254</v>
      </c>
      <c r="F753" s="222">
        <v>13</v>
      </c>
      <c r="G753">
        <v>20</v>
      </c>
      <c r="H753" s="223">
        <v>0</v>
      </c>
      <c r="I753" s="222">
        <v>260</v>
      </c>
      <c r="J753" t="s">
        <v>8335</v>
      </c>
      <c r="K753" t="s">
        <v>8336</v>
      </c>
      <c r="L753" s="118">
        <v>44013</v>
      </c>
      <c r="M753" s="118">
        <v>44024</v>
      </c>
      <c r="N753" t="s">
        <v>8250</v>
      </c>
      <c r="O753" t="s">
        <v>8241</v>
      </c>
      <c r="P753" t="s">
        <v>6934</v>
      </c>
      <c r="Q753" t="str">
        <f>tblSales[[#This Row],[FirstName]]&amp; " " &amp;tblSales[[#This Row],[LastName]]</f>
        <v>Steven Buchanan</v>
      </c>
      <c r="R753">
        <f>YEAR(tblSales[[#This Row],[OrderDate]])</f>
        <v>2020</v>
      </c>
      <c r="S753">
        <f>WEEKNUM(tblSales[[#This Row],[OrderDate]])</f>
        <v>27</v>
      </c>
      <c r="T753">
        <f>IF(ISBLANK(tblSales[[#This Row],[ShippedDate]]),"",tblSales[[#This Row],[ShippedDate]]-tblSales[[#This Row],[OrderDate]])</f>
        <v>11</v>
      </c>
      <c r="U753" t="str">
        <f>LEFT(tblSales[[#This Row],[ProductName]],20)</f>
        <v>Original Frankfurter</v>
      </c>
    </row>
    <row r="754" spans="2:21" x14ac:dyDescent="0.2">
      <c r="B754">
        <v>10812</v>
      </c>
      <c r="C754" t="s">
        <v>8235</v>
      </c>
      <c r="D754" t="s">
        <v>8311</v>
      </c>
      <c r="E754" t="s">
        <v>8237</v>
      </c>
      <c r="F754" s="222">
        <v>34.799999999999997</v>
      </c>
      <c r="G754">
        <v>40</v>
      </c>
      <c r="H754" s="223">
        <v>0.10000000149011599</v>
      </c>
      <c r="I754" s="222">
        <v>1252.8</v>
      </c>
      <c r="J754" t="s">
        <v>8335</v>
      </c>
      <c r="K754" t="s">
        <v>8336</v>
      </c>
      <c r="L754" s="118">
        <v>44013</v>
      </c>
      <c r="M754" s="118">
        <v>44024</v>
      </c>
      <c r="N754" t="s">
        <v>8250</v>
      </c>
      <c r="O754" t="s">
        <v>8241</v>
      </c>
      <c r="P754" t="s">
        <v>6934</v>
      </c>
      <c r="Q754" t="str">
        <f>tblSales[[#This Row],[FirstName]]&amp; " " &amp;tblSales[[#This Row],[LastName]]</f>
        <v>Steven Buchanan</v>
      </c>
      <c r="R754">
        <f>YEAR(tblSales[[#This Row],[OrderDate]])</f>
        <v>2020</v>
      </c>
      <c r="S754">
        <f>WEEKNUM(tblSales[[#This Row],[OrderDate]])</f>
        <v>27</v>
      </c>
      <c r="T754">
        <f>IF(ISBLANK(tblSales[[#This Row],[ShippedDate]]),"",tblSales[[#This Row],[ShippedDate]]-tblSales[[#This Row],[OrderDate]])</f>
        <v>11</v>
      </c>
      <c r="U754" t="str">
        <f>LEFT(tblSales[[#This Row],[ProductName]],20)</f>
        <v>Mozzarella di Giovan</v>
      </c>
    </row>
    <row r="755" spans="2:21" x14ac:dyDescent="0.2">
      <c r="B755">
        <v>10812</v>
      </c>
      <c r="C755" t="s">
        <v>8309</v>
      </c>
      <c r="D755" t="s">
        <v>8311</v>
      </c>
      <c r="E755" t="s">
        <v>8237</v>
      </c>
      <c r="F755" s="222">
        <v>12.5</v>
      </c>
      <c r="G755">
        <v>16</v>
      </c>
      <c r="H755" s="223">
        <v>0.10000000149011599</v>
      </c>
      <c r="I755" s="222">
        <v>180</v>
      </c>
      <c r="J755" t="s">
        <v>8335</v>
      </c>
      <c r="K755" t="s">
        <v>8336</v>
      </c>
      <c r="L755" s="118">
        <v>44013</v>
      </c>
      <c r="M755" s="118">
        <v>44024</v>
      </c>
      <c r="N755" t="s">
        <v>8250</v>
      </c>
      <c r="O755" t="s">
        <v>8241</v>
      </c>
      <c r="P755" t="s">
        <v>6934</v>
      </c>
      <c r="Q755" t="str">
        <f>tblSales[[#This Row],[FirstName]]&amp; " " &amp;tblSales[[#This Row],[LastName]]</f>
        <v>Steven Buchanan</v>
      </c>
      <c r="R755">
        <f>YEAR(tblSales[[#This Row],[OrderDate]])</f>
        <v>2020</v>
      </c>
      <c r="S755">
        <f>WEEKNUM(tblSales[[#This Row],[OrderDate]])</f>
        <v>27</v>
      </c>
      <c r="T755">
        <f>IF(ISBLANK(tblSales[[#This Row],[ShippedDate]]),"",tblSales[[#This Row],[ShippedDate]]-tblSales[[#This Row],[OrderDate]])</f>
        <v>11</v>
      </c>
      <c r="U755" t="str">
        <f>LEFT(tblSales[[#This Row],[ProductName]],20)</f>
        <v>Gorgonzola Telino</v>
      </c>
    </row>
    <row r="756" spans="2:21" x14ac:dyDescent="0.2">
      <c r="B756">
        <v>10814</v>
      </c>
      <c r="C756" t="s">
        <v>8306</v>
      </c>
      <c r="D756" t="s">
        <v>8236</v>
      </c>
      <c r="E756" t="s">
        <v>8272</v>
      </c>
      <c r="F756" s="222">
        <v>46</v>
      </c>
      <c r="G756">
        <v>20</v>
      </c>
      <c r="H756" s="223">
        <v>0.15000000596046401</v>
      </c>
      <c r="I756" s="222">
        <v>782</v>
      </c>
      <c r="J756" t="s">
        <v>8255</v>
      </c>
      <c r="K756" t="s">
        <v>8256</v>
      </c>
      <c r="L756" s="118">
        <v>44016</v>
      </c>
      <c r="M756" s="118">
        <v>44025</v>
      </c>
      <c r="N756" t="s">
        <v>8240</v>
      </c>
      <c r="O756" t="s">
        <v>8257</v>
      </c>
      <c r="P756" t="s">
        <v>6984</v>
      </c>
      <c r="Q756" t="str">
        <f>tblSales[[#This Row],[FirstName]]&amp; " " &amp;tblSales[[#This Row],[LastName]]</f>
        <v>Janet Leverling</v>
      </c>
      <c r="R756">
        <f>YEAR(tblSales[[#This Row],[OrderDate]])</f>
        <v>2020</v>
      </c>
      <c r="S756">
        <f>WEEKNUM(tblSales[[#This Row],[OrderDate]])</f>
        <v>27</v>
      </c>
      <c r="T756">
        <f>IF(ISBLANK(tblSales[[#This Row],[ShippedDate]]),"",tblSales[[#This Row],[ShippedDate]]-tblSales[[#This Row],[OrderDate]])</f>
        <v>9</v>
      </c>
      <c r="U756" t="str">
        <f>LEFT(tblSales[[#This Row],[ProductName]],20)</f>
        <v>Ipoh Coffee</v>
      </c>
    </row>
    <row r="757" spans="2:21" x14ac:dyDescent="0.2">
      <c r="B757">
        <v>10814</v>
      </c>
      <c r="C757" t="s">
        <v>8409</v>
      </c>
      <c r="D757" t="s">
        <v>8236</v>
      </c>
      <c r="E757" t="s">
        <v>8254</v>
      </c>
      <c r="F757" s="222">
        <v>28.5</v>
      </c>
      <c r="G757">
        <v>30</v>
      </c>
      <c r="H757" s="223">
        <v>0.15000000596046401</v>
      </c>
      <c r="I757" s="222">
        <v>726.75</v>
      </c>
      <c r="J757" t="s">
        <v>8255</v>
      </c>
      <c r="K757" t="s">
        <v>8256</v>
      </c>
      <c r="L757" s="118">
        <v>44016</v>
      </c>
      <c r="M757" s="118">
        <v>44025</v>
      </c>
      <c r="N757" t="s">
        <v>8240</v>
      </c>
      <c r="O757" t="s">
        <v>8257</v>
      </c>
      <c r="P757" t="s">
        <v>6984</v>
      </c>
      <c r="Q757" t="str">
        <f>tblSales[[#This Row],[FirstName]]&amp; " " &amp;tblSales[[#This Row],[LastName]]</f>
        <v>Janet Leverling</v>
      </c>
      <c r="R757">
        <f>YEAR(tblSales[[#This Row],[OrderDate]])</f>
        <v>2020</v>
      </c>
      <c r="S757">
        <f>WEEKNUM(tblSales[[#This Row],[OrderDate]])</f>
        <v>27</v>
      </c>
      <c r="T757">
        <f>IF(ISBLANK(tblSales[[#This Row],[ShippedDate]]),"",tblSales[[#This Row],[ShippedDate]]-tblSales[[#This Row],[OrderDate]])</f>
        <v>9</v>
      </c>
      <c r="U757" t="str">
        <f>LEFT(tblSales[[#This Row],[ProductName]],20)</f>
        <v>Sirop d'érable</v>
      </c>
    </row>
    <row r="758" spans="2:21" x14ac:dyDescent="0.2">
      <c r="B758">
        <v>10814</v>
      </c>
      <c r="C758" t="s">
        <v>8406</v>
      </c>
      <c r="D758" t="s">
        <v>8236</v>
      </c>
      <c r="E758" t="s">
        <v>8262</v>
      </c>
      <c r="F758" s="222">
        <v>12.75</v>
      </c>
      <c r="G758">
        <v>8</v>
      </c>
      <c r="H758" s="223">
        <v>0.15000000596046401</v>
      </c>
      <c r="I758" s="222">
        <v>86.7</v>
      </c>
      <c r="J758" t="s">
        <v>8255</v>
      </c>
      <c r="K758" t="s">
        <v>8256</v>
      </c>
      <c r="L758" s="118">
        <v>44016</v>
      </c>
      <c r="M758" s="118">
        <v>44025</v>
      </c>
      <c r="N758" t="s">
        <v>8240</v>
      </c>
      <c r="O758" t="s">
        <v>8257</v>
      </c>
      <c r="P758" t="s">
        <v>6984</v>
      </c>
      <c r="Q758" t="str">
        <f>tblSales[[#This Row],[FirstName]]&amp; " " &amp;tblSales[[#This Row],[LastName]]</f>
        <v>Janet Leverling</v>
      </c>
      <c r="R758">
        <f>YEAR(tblSales[[#This Row],[OrderDate]])</f>
        <v>2020</v>
      </c>
      <c r="S758">
        <f>WEEKNUM(tblSales[[#This Row],[OrderDate]])</f>
        <v>27</v>
      </c>
      <c r="T758">
        <f>IF(ISBLANK(tblSales[[#This Row],[ShippedDate]]),"",tblSales[[#This Row],[ShippedDate]]-tblSales[[#This Row],[OrderDate]])</f>
        <v>9</v>
      </c>
      <c r="U758" t="str">
        <f>LEFT(tblSales[[#This Row],[ProductName]],20)</f>
        <v>Chocolade</v>
      </c>
    </row>
    <row r="759" spans="2:21" x14ac:dyDescent="0.2">
      <c r="B759">
        <v>10817</v>
      </c>
      <c r="C759" t="s">
        <v>8380</v>
      </c>
      <c r="D759" t="s">
        <v>8246</v>
      </c>
      <c r="E759" t="s">
        <v>8272</v>
      </c>
      <c r="F759" s="222">
        <v>263.5</v>
      </c>
      <c r="G759">
        <v>30</v>
      </c>
      <c r="H759" s="223">
        <v>0</v>
      </c>
      <c r="I759" s="222">
        <v>7905</v>
      </c>
      <c r="J759" t="s">
        <v>8359</v>
      </c>
      <c r="K759" t="s">
        <v>8360</v>
      </c>
      <c r="L759" s="118">
        <v>44017</v>
      </c>
      <c r="M759" s="118">
        <v>44024</v>
      </c>
      <c r="N759" t="s">
        <v>8265</v>
      </c>
      <c r="O759" t="s">
        <v>8257</v>
      </c>
      <c r="P759" t="s">
        <v>6984</v>
      </c>
      <c r="Q759" t="str">
        <f>tblSales[[#This Row],[FirstName]]&amp; " " &amp;tblSales[[#This Row],[LastName]]</f>
        <v>Janet Leverling</v>
      </c>
      <c r="R759">
        <f>YEAR(tblSales[[#This Row],[OrderDate]])</f>
        <v>2020</v>
      </c>
      <c r="S759">
        <f>WEEKNUM(tblSales[[#This Row],[OrderDate]])</f>
        <v>28</v>
      </c>
      <c r="T759">
        <f>IF(ISBLANK(tblSales[[#This Row],[ShippedDate]]),"",tblSales[[#This Row],[ShippedDate]]-tblSales[[#This Row],[OrderDate]])</f>
        <v>7</v>
      </c>
      <c r="U759" t="str">
        <f>LEFT(tblSales[[#This Row],[ProductName]],20)</f>
        <v>Côte de Blaye</v>
      </c>
    </row>
    <row r="760" spans="2:21" x14ac:dyDescent="0.2">
      <c r="B760">
        <v>10817</v>
      </c>
      <c r="C760" t="s">
        <v>8372</v>
      </c>
      <c r="D760" t="s">
        <v>8246</v>
      </c>
      <c r="E760" t="s">
        <v>8262</v>
      </c>
      <c r="F760" s="222">
        <v>31.23</v>
      </c>
      <c r="G760">
        <v>40</v>
      </c>
      <c r="H760" s="223">
        <v>0.15000000596046401</v>
      </c>
      <c r="I760" s="222">
        <v>1061.82</v>
      </c>
      <c r="J760" t="s">
        <v>8359</v>
      </c>
      <c r="K760" t="s">
        <v>8360</v>
      </c>
      <c r="L760" s="118">
        <v>44017</v>
      </c>
      <c r="M760" s="118">
        <v>44024</v>
      </c>
      <c r="N760" t="s">
        <v>8265</v>
      </c>
      <c r="O760" t="s">
        <v>8257</v>
      </c>
      <c r="P760" t="s">
        <v>6984</v>
      </c>
      <c r="Q760" t="str">
        <f>tblSales[[#This Row],[FirstName]]&amp; " " &amp;tblSales[[#This Row],[LastName]]</f>
        <v>Janet Leverling</v>
      </c>
      <c r="R760">
        <f>YEAR(tblSales[[#This Row],[OrderDate]])</f>
        <v>2020</v>
      </c>
      <c r="S760">
        <f>WEEKNUM(tblSales[[#This Row],[OrderDate]])</f>
        <v>28</v>
      </c>
      <c r="T760">
        <f>IF(ISBLANK(tblSales[[#This Row],[ShippedDate]]),"",tblSales[[#This Row],[ShippedDate]]-tblSales[[#This Row],[OrderDate]])</f>
        <v>7</v>
      </c>
      <c r="U760" t="str">
        <f>LEFT(tblSales[[#This Row],[ProductName]],20)</f>
        <v>Gumbär Gummibärchen</v>
      </c>
    </row>
    <row r="761" spans="2:21" x14ac:dyDescent="0.2">
      <c r="B761">
        <v>10817</v>
      </c>
      <c r="C761" t="s">
        <v>8291</v>
      </c>
      <c r="D761" t="s">
        <v>8246</v>
      </c>
      <c r="E761" t="s">
        <v>8262</v>
      </c>
      <c r="F761" s="222">
        <v>49.3</v>
      </c>
      <c r="G761">
        <v>25</v>
      </c>
      <c r="H761" s="223">
        <v>0.15000000596046401</v>
      </c>
      <c r="I761" s="222">
        <v>1047.6199999999999</v>
      </c>
      <c r="J761" t="s">
        <v>8359</v>
      </c>
      <c r="K761" t="s">
        <v>8360</v>
      </c>
      <c r="L761" s="118">
        <v>44017</v>
      </c>
      <c r="M761" s="118">
        <v>44024</v>
      </c>
      <c r="N761" t="s">
        <v>8265</v>
      </c>
      <c r="O761" t="s">
        <v>8257</v>
      </c>
      <c r="P761" t="s">
        <v>6984</v>
      </c>
      <c r="Q761" t="str">
        <f>tblSales[[#This Row],[FirstName]]&amp; " " &amp;tblSales[[#This Row],[LastName]]</f>
        <v>Janet Leverling</v>
      </c>
      <c r="R761">
        <f>YEAR(tblSales[[#This Row],[OrderDate]])</f>
        <v>2020</v>
      </c>
      <c r="S761">
        <f>WEEKNUM(tblSales[[#This Row],[OrderDate]])</f>
        <v>28</v>
      </c>
      <c r="T761">
        <f>IF(ISBLANK(tblSales[[#This Row],[ShippedDate]]),"",tblSales[[#This Row],[ShippedDate]]-tblSales[[#This Row],[OrderDate]])</f>
        <v>7</v>
      </c>
      <c r="U761" t="str">
        <f>LEFT(tblSales[[#This Row],[ProductName]],20)</f>
        <v>Tarte au sucre</v>
      </c>
    </row>
    <row r="762" spans="2:21" x14ac:dyDescent="0.2">
      <c r="B762">
        <v>10818</v>
      </c>
      <c r="C762" t="s">
        <v>8287</v>
      </c>
      <c r="D762" t="s">
        <v>8311</v>
      </c>
      <c r="E762" t="s">
        <v>8237</v>
      </c>
      <c r="F762" s="222">
        <v>32</v>
      </c>
      <c r="G762">
        <v>20</v>
      </c>
      <c r="H762" s="223">
        <v>0</v>
      </c>
      <c r="I762" s="222">
        <v>640</v>
      </c>
      <c r="J762" t="s">
        <v>8312</v>
      </c>
      <c r="K762" t="s">
        <v>8313</v>
      </c>
      <c r="L762" s="118">
        <v>44018</v>
      </c>
      <c r="M762" s="118">
        <v>44024</v>
      </c>
      <c r="N762" t="s">
        <v>8240</v>
      </c>
      <c r="O762" t="s">
        <v>8158</v>
      </c>
      <c r="P762" t="s">
        <v>861</v>
      </c>
      <c r="Q762" t="str">
        <f>tblSales[[#This Row],[FirstName]]&amp; " " &amp;tblSales[[#This Row],[LastName]]</f>
        <v>Robert King</v>
      </c>
      <c r="R762">
        <f>YEAR(tblSales[[#This Row],[OrderDate]])</f>
        <v>2020</v>
      </c>
      <c r="S762">
        <f>WEEKNUM(tblSales[[#This Row],[OrderDate]])</f>
        <v>28</v>
      </c>
      <c r="T762">
        <f>IF(ISBLANK(tblSales[[#This Row],[ShippedDate]]),"",tblSales[[#This Row],[ShippedDate]]-tblSales[[#This Row],[OrderDate]])</f>
        <v>6</v>
      </c>
      <c r="U762" t="str">
        <f>LEFT(tblSales[[#This Row],[ProductName]],20)</f>
        <v>Mascarpone Fabioli</v>
      </c>
    </row>
    <row r="763" spans="2:21" x14ac:dyDescent="0.2">
      <c r="B763">
        <v>10825</v>
      </c>
      <c r="C763" t="s">
        <v>8372</v>
      </c>
      <c r="D763" t="s">
        <v>8246</v>
      </c>
      <c r="E763" t="s">
        <v>8262</v>
      </c>
      <c r="F763" s="222">
        <v>31.23</v>
      </c>
      <c r="G763">
        <v>12</v>
      </c>
      <c r="H763" s="223">
        <v>0</v>
      </c>
      <c r="I763" s="222">
        <v>374.76</v>
      </c>
      <c r="J763" t="s">
        <v>8391</v>
      </c>
      <c r="K763" t="s">
        <v>8392</v>
      </c>
      <c r="L763" s="118">
        <v>44020</v>
      </c>
      <c r="M763" s="118">
        <v>44025</v>
      </c>
      <c r="N763" t="s">
        <v>8250</v>
      </c>
      <c r="O763" t="s">
        <v>8285</v>
      </c>
      <c r="P763" t="s">
        <v>2317</v>
      </c>
      <c r="Q763" t="str">
        <f>tblSales[[#This Row],[FirstName]]&amp; " " &amp;tblSales[[#This Row],[LastName]]</f>
        <v>Nancy Davolio</v>
      </c>
      <c r="R763">
        <f>YEAR(tblSales[[#This Row],[OrderDate]])</f>
        <v>2020</v>
      </c>
      <c r="S763">
        <f>WEEKNUM(tblSales[[#This Row],[OrderDate]])</f>
        <v>28</v>
      </c>
      <c r="T763">
        <f>IF(ISBLANK(tblSales[[#This Row],[ShippedDate]]),"",tblSales[[#This Row],[ShippedDate]]-tblSales[[#This Row],[OrderDate]])</f>
        <v>5</v>
      </c>
      <c r="U763" t="str">
        <f>LEFT(tblSales[[#This Row],[ProductName]],20)</f>
        <v>Gumbär Gummibärchen</v>
      </c>
    </row>
    <row r="764" spans="2:21" x14ac:dyDescent="0.2">
      <c r="B764">
        <v>10824</v>
      </c>
      <c r="C764" t="s">
        <v>8288</v>
      </c>
      <c r="D764" t="s">
        <v>8292</v>
      </c>
      <c r="E764" t="s">
        <v>8272</v>
      </c>
      <c r="F764" s="222">
        <v>15</v>
      </c>
      <c r="G764">
        <v>9</v>
      </c>
      <c r="H764" s="223">
        <v>0</v>
      </c>
      <c r="I764" s="222">
        <v>135</v>
      </c>
      <c r="J764" t="s">
        <v>8293</v>
      </c>
      <c r="K764" t="s">
        <v>8294</v>
      </c>
      <c r="L764" s="118">
        <v>44020</v>
      </c>
      <c r="M764" s="118">
        <v>44040</v>
      </c>
      <c r="N764" t="s">
        <v>8250</v>
      </c>
      <c r="O764" t="s">
        <v>8320</v>
      </c>
      <c r="P764" t="s">
        <v>8321</v>
      </c>
      <c r="Q764" t="str">
        <f>tblSales[[#This Row],[FirstName]]&amp; " " &amp;tblSales[[#This Row],[LastName]]</f>
        <v>Laura Callahan</v>
      </c>
      <c r="R764">
        <f>YEAR(tblSales[[#This Row],[OrderDate]])</f>
        <v>2020</v>
      </c>
      <c r="S764">
        <f>WEEKNUM(tblSales[[#This Row],[OrderDate]])</f>
        <v>28</v>
      </c>
      <c r="T764">
        <f>IF(ISBLANK(tblSales[[#This Row],[ShippedDate]]),"",tblSales[[#This Row],[ShippedDate]]-tblSales[[#This Row],[OrderDate]])</f>
        <v>20</v>
      </c>
      <c r="U764" t="str">
        <f>LEFT(tblSales[[#This Row],[ProductName]],20)</f>
        <v>Outback Lager</v>
      </c>
    </row>
    <row r="765" spans="2:21" x14ac:dyDescent="0.2">
      <c r="B765">
        <v>10829</v>
      </c>
      <c r="C765" t="s">
        <v>8276</v>
      </c>
      <c r="D765" t="s">
        <v>2434</v>
      </c>
      <c r="E765" t="s">
        <v>8272</v>
      </c>
      <c r="F765" s="222">
        <v>19</v>
      </c>
      <c r="G765">
        <v>10</v>
      </c>
      <c r="H765" s="223">
        <v>0</v>
      </c>
      <c r="I765" s="222">
        <v>190</v>
      </c>
      <c r="J765" t="s">
        <v>8356</v>
      </c>
      <c r="K765" t="s">
        <v>8357</v>
      </c>
      <c r="L765" s="118">
        <v>44024</v>
      </c>
      <c r="M765" s="118">
        <v>44034</v>
      </c>
      <c r="N765" t="s">
        <v>8250</v>
      </c>
      <c r="O765" t="s">
        <v>8279</v>
      </c>
      <c r="P765" t="s">
        <v>710</v>
      </c>
      <c r="Q765" t="str">
        <f>tblSales[[#This Row],[FirstName]]&amp; " " &amp;tblSales[[#This Row],[LastName]]</f>
        <v>Anne Dodsworth</v>
      </c>
      <c r="R765">
        <f>YEAR(tblSales[[#This Row],[OrderDate]])</f>
        <v>2020</v>
      </c>
      <c r="S765">
        <f>WEEKNUM(tblSales[[#This Row],[OrderDate]])</f>
        <v>29</v>
      </c>
      <c r="T765">
        <f>IF(ISBLANK(tblSales[[#This Row],[ShippedDate]]),"",tblSales[[#This Row],[ShippedDate]]-tblSales[[#This Row],[OrderDate]])</f>
        <v>10</v>
      </c>
      <c r="U765" t="str">
        <f>LEFT(tblSales[[#This Row],[ProductName]],20)</f>
        <v>Chang</v>
      </c>
    </row>
    <row r="766" spans="2:21" x14ac:dyDescent="0.2">
      <c r="B766">
        <v>10829</v>
      </c>
      <c r="C766" t="s">
        <v>8379</v>
      </c>
      <c r="D766" t="s">
        <v>2434</v>
      </c>
      <c r="E766" t="s">
        <v>8254</v>
      </c>
      <c r="F766" s="222">
        <v>40</v>
      </c>
      <c r="G766">
        <v>20</v>
      </c>
      <c r="H766" s="223">
        <v>0</v>
      </c>
      <c r="I766" s="222">
        <v>800</v>
      </c>
      <c r="J766" t="s">
        <v>8356</v>
      </c>
      <c r="K766" t="s">
        <v>8357</v>
      </c>
      <c r="L766" s="118">
        <v>44024</v>
      </c>
      <c r="M766" s="118">
        <v>44034</v>
      </c>
      <c r="N766" t="s">
        <v>8250</v>
      </c>
      <c r="O766" t="s">
        <v>8279</v>
      </c>
      <c r="P766" t="s">
        <v>710</v>
      </c>
      <c r="Q766" t="str">
        <f>tblSales[[#This Row],[FirstName]]&amp; " " &amp;tblSales[[#This Row],[LastName]]</f>
        <v>Anne Dodsworth</v>
      </c>
      <c r="R766">
        <f>YEAR(tblSales[[#This Row],[OrderDate]])</f>
        <v>2020</v>
      </c>
      <c r="S766">
        <f>WEEKNUM(tblSales[[#This Row],[OrderDate]])</f>
        <v>29</v>
      </c>
      <c r="T766">
        <f>IF(ISBLANK(tblSales[[#This Row],[ShippedDate]]),"",tblSales[[#This Row],[ShippedDate]]-tblSales[[#This Row],[OrderDate]])</f>
        <v>10</v>
      </c>
      <c r="U766" t="str">
        <f>LEFT(tblSales[[#This Row],[ProductName]],20)</f>
        <v>Northwoods Cranberry</v>
      </c>
    </row>
    <row r="767" spans="2:21" x14ac:dyDescent="0.2">
      <c r="B767">
        <v>10829</v>
      </c>
      <c r="C767" t="s">
        <v>8268</v>
      </c>
      <c r="D767" t="s">
        <v>2434</v>
      </c>
      <c r="E767" t="s">
        <v>8237</v>
      </c>
      <c r="F767" s="222">
        <v>34</v>
      </c>
      <c r="G767">
        <v>21</v>
      </c>
      <c r="H767" s="223">
        <v>0</v>
      </c>
      <c r="I767" s="222">
        <v>714</v>
      </c>
      <c r="J767" t="s">
        <v>8356</v>
      </c>
      <c r="K767" t="s">
        <v>8357</v>
      </c>
      <c r="L767" s="118">
        <v>44024</v>
      </c>
      <c r="M767" s="118">
        <v>44034</v>
      </c>
      <c r="N767" t="s">
        <v>8250</v>
      </c>
      <c r="O767" t="s">
        <v>8279</v>
      </c>
      <c r="P767" t="s">
        <v>710</v>
      </c>
      <c r="Q767" t="str">
        <f>tblSales[[#This Row],[FirstName]]&amp; " " &amp;tblSales[[#This Row],[LastName]]</f>
        <v>Anne Dodsworth</v>
      </c>
      <c r="R767">
        <f>YEAR(tblSales[[#This Row],[OrderDate]])</f>
        <v>2020</v>
      </c>
      <c r="S767">
        <f>WEEKNUM(tblSales[[#This Row],[OrderDate]])</f>
        <v>29</v>
      </c>
      <c r="T767">
        <f>IF(ISBLANK(tblSales[[#This Row],[ShippedDate]]),"",tblSales[[#This Row],[ShippedDate]]-tblSales[[#This Row],[OrderDate]])</f>
        <v>10</v>
      </c>
      <c r="U767" t="str">
        <f>LEFT(tblSales[[#This Row],[ProductName]],20)</f>
        <v>Camembert Pierrot</v>
      </c>
    </row>
    <row r="768" spans="2:21" x14ac:dyDescent="0.2">
      <c r="B768">
        <v>10859</v>
      </c>
      <c r="C768" t="s">
        <v>8270</v>
      </c>
      <c r="D768" t="s">
        <v>8246</v>
      </c>
      <c r="E768" t="s">
        <v>8272</v>
      </c>
      <c r="F768" s="222">
        <v>4.5</v>
      </c>
      <c r="G768">
        <v>40</v>
      </c>
      <c r="H768" s="223">
        <v>0.25</v>
      </c>
      <c r="I768" s="222">
        <v>135</v>
      </c>
      <c r="J768" t="s">
        <v>8304</v>
      </c>
      <c r="K768" t="s">
        <v>8305</v>
      </c>
      <c r="L768" s="118">
        <v>44024</v>
      </c>
      <c r="M768" s="118">
        <v>44043</v>
      </c>
      <c r="N768" t="s">
        <v>8265</v>
      </c>
      <c r="O768" t="s">
        <v>8285</v>
      </c>
      <c r="P768" t="s">
        <v>2317</v>
      </c>
      <c r="Q768" t="str">
        <f>tblSales[[#This Row],[FirstName]]&amp; " " &amp;tblSales[[#This Row],[LastName]]</f>
        <v>Nancy Davolio</v>
      </c>
      <c r="R768">
        <f>YEAR(tblSales[[#This Row],[OrderDate]])</f>
        <v>2020</v>
      </c>
      <c r="S768">
        <f>WEEKNUM(tblSales[[#This Row],[OrderDate]])</f>
        <v>29</v>
      </c>
      <c r="T768">
        <f>IF(ISBLANK(tblSales[[#This Row],[ShippedDate]]),"",tblSales[[#This Row],[ShippedDate]]-tblSales[[#This Row],[OrderDate]])</f>
        <v>19</v>
      </c>
      <c r="U768" t="str">
        <f>LEFT(tblSales[[#This Row],[ProductName]],20)</f>
        <v>Guaraná Fantástica</v>
      </c>
    </row>
    <row r="769" spans="2:21" x14ac:dyDescent="0.2">
      <c r="B769">
        <v>10859</v>
      </c>
      <c r="C769" t="s">
        <v>8340</v>
      </c>
      <c r="D769" t="s">
        <v>8246</v>
      </c>
      <c r="E769" t="s">
        <v>8244</v>
      </c>
      <c r="F769" s="222">
        <v>33.25</v>
      </c>
      <c r="G769">
        <v>30</v>
      </c>
      <c r="H769" s="223">
        <v>0.25</v>
      </c>
      <c r="I769" s="222">
        <v>748.12</v>
      </c>
      <c r="J769" t="s">
        <v>8304</v>
      </c>
      <c r="K769" t="s">
        <v>8305</v>
      </c>
      <c r="L769" s="118">
        <v>44024</v>
      </c>
      <c r="M769" s="118">
        <v>44043</v>
      </c>
      <c r="N769" t="s">
        <v>8265</v>
      </c>
      <c r="O769" t="s">
        <v>8285</v>
      </c>
      <c r="P769" t="s">
        <v>2317</v>
      </c>
      <c r="Q769" t="str">
        <f>tblSales[[#This Row],[FirstName]]&amp; " " &amp;tblSales[[#This Row],[LastName]]</f>
        <v>Nancy Davolio</v>
      </c>
      <c r="R769">
        <f>YEAR(tblSales[[#This Row],[OrderDate]])</f>
        <v>2020</v>
      </c>
      <c r="S769">
        <f>WEEKNUM(tblSales[[#This Row],[OrderDate]])</f>
        <v>29</v>
      </c>
      <c r="T769">
        <f>IF(ISBLANK(tblSales[[#This Row],[ShippedDate]]),"",tblSales[[#This Row],[ShippedDate]]-tblSales[[#This Row],[OrderDate]])</f>
        <v>19</v>
      </c>
      <c r="U769" t="str">
        <f>LEFT(tblSales[[#This Row],[ProductName]],20)</f>
        <v>Wimmers gute Semmelk</v>
      </c>
    </row>
    <row r="770" spans="2:21" x14ac:dyDescent="0.2">
      <c r="B770">
        <v>10858</v>
      </c>
      <c r="C770" t="s">
        <v>8288</v>
      </c>
      <c r="D770" t="s">
        <v>8236</v>
      </c>
      <c r="E770" t="s">
        <v>8272</v>
      </c>
      <c r="F770" s="222">
        <v>15</v>
      </c>
      <c r="G770">
        <v>4</v>
      </c>
      <c r="H770" s="223">
        <v>0</v>
      </c>
      <c r="I770" s="222">
        <v>60</v>
      </c>
      <c r="J770" t="s">
        <v>8430</v>
      </c>
      <c r="K770" t="s">
        <v>8431</v>
      </c>
      <c r="L770" s="118">
        <v>44024</v>
      </c>
      <c r="M770" s="118">
        <v>44044</v>
      </c>
      <c r="N770" t="s">
        <v>8250</v>
      </c>
      <c r="O770" t="s">
        <v>8297</v>
      </c>
      <c r="P770" t="s">
        <v>8298</v>
      </c>
      <c r="Q770" t="str">
        <f>tblSales[[#This Row],[FirstName]]&amp; " " &amp;tblSales[[#This Row],[LastName]]</f>
        <v>Andrew Fuller</v>
      </c>
      <c r="R770">
        <f>YEAR(tblSales[[#This Row],[OrderDate]])</f>
        <v>2020</v>
      </c>
      <c r="S770">
        <f>WEEKNUM(tblSales[[#This Row],[OrderDate]])</f>
        <v>29</v>
      </c>
      <c r="T770">
        <f>IF(ISBLANK(tblSales[[#This Row],[ShippedDate]]),"",tblSales[[#This Row],[ShippedDate]]-tblSales[[#This Row],[OrderDate]])</f>
        <v>20</v>
      </c>
      <c r="U770" t="str">
        <f>LEFT(tblSales[[#This Row],[ProductName]],20)</f>
        <v>Outback Lager</v>
      </c>
    </row>
    <row r="771" spans="2:21" x14ac:dyDescent="0.2">
      <c r="B771">
        <v>10858</v>
      </c>
      <c r="C771" t="s">
        <v>8332</v>
      </c>
      <c r="D771" t="s">
        <v>8236</v>
      </c>
      <c r="E771" t="s">
        <v>8262</v>
      </c>
      <c r="F771" s="222">
        <v>43.9</v>
      </c>
      <c r="G771">
        <v>10</v>
      </c>
      <c r="H771" s="223">
        <v>0</v>
      </c>
      <c r="I771" s="222">
        <v>439</v>
      </c>
      <c r="J771" t="s">
        <v>8430</v>
      </c>
      <c r="K771" t="s">
        <v>8431</v>
      </c>
      <c r="L771" s="118">
        <v>44024</v>
      </c>
      <c r="M771" s="118">
        <v>44044</v>
      </c>
      <c r="N771" t="s">
        <v>8250</v>
      </c>
      <c r="O771" t="s">
        <v>8297</v>
      </c>
      <c r="P771" t="s">
        <v>8298</v>
      </c>
      <c r="Q771" t="str">
        <f>tblSales[[#This Row],[FirstName]]&amp; " " &amp;tblSales[[#This Row],[LastName]]</f>
        <v>Andrew Fuller</v>
      </c>
      <c r="R771">
        <f>YEAR(tblSales[[#This Row],[OrderDate]])</f>
        <v>2020</v>
      </c>
      <c r="S771">
        <f>WEEKNUM(tblSales[[#This Row],[OrderDate]])</f>
        <v>29</v>
      </c>
      <c r="T771">
        <f>IF(ISBLANK(tblSales[[#This Row],[ShippedDate]]),"",tblSales[[#This Row],[ShippedDate]]-tblSales[[#This Row],[OrderDate]])</f>
        <v>20</v>
      </c>
      <c r="U771" t="str">
        <f>LEFT(tblSales[[#This Row],[ProductName]],20)</f>
        <v>Schoggi Schokolade</v>
      </c>
    </row>
    <row r="772" spans="2:21" x14ac:dyDescent="0.2">
      <c r="B772">
        <v>10858</v>
      </c>
      <c r="C772" t="s">
        <v>8415</v>
      </c>
      <c r="D772" t="s">
        <v>8236</v>
      </c>
      <c r="E772" t="s">
        <v>8247</v>
      </c>
      <c r="F772" s="222">
        <v>30</v>
      </c>
      <c r="G772">
        <v>5</v>
      </c>
      <c r="H772" s="223">
        <v>0</v>
      </c>
      <c r="I772" s="222">
        <v>150</v>
      </c>
      <c r="J772" t="s">
        <v>8430</v>
      </c>
      <c r="K772" t="s">
        <v>8431</v>
      </c>
      <c r="L772" s="118">
        <v>44024</v>
      </c>
      <c r="M772" s="118">
        <v>44044</v>
      </c>
      <c r="N772" t="s">
        <v>8250</v>
      </c>
      <c r="O772" t="s">
        <v>8297</v>
      </c>
      <c r="P772" t="s">
        <v>8298</v>
      </c>
      <c r="Q772" t="str">
        <f>tblSales[[#This Row],[FirstName]]&amp; " " &amp;tblSales[[#This Row],[LastName]]</f>
        <v>Andrew Fuller</v>
      </c>
      <c r="R772">
        <f>YEAR(tblSales[[#This Row],[OrderDate]])</f>
        <v>2020</v>
      </c>
      <c r="S772">
        <f>WEEKNUM(tblSales[[#This Row],[OrderDate]])</f>
        <v>29</v>
      </c>
      <c r="T772">
        <f>IF(ISBLANK(tblSales[[#This Row],[ShippedDate]]),"",tblSales[[#This Row],[ShippedDate]]-tblSales[[#This Row],[OrderDate]])</f>
        <v>20</v>
      </c>
      <c r="U772" t="str">
        <f>LEFT(tblSales[[#This Row],[ProductName]],20)</f>
        <v xml:space="preserve">Uncle Bob's Organic </v>
      </c>
    </row>
    <row r="773" spans="2:21" x14ac:dyDescent="0.2">
      <c r="B773">
        <v>10860</v>
      </c>
      <c r="C773" t="s">
        <v>8303</v>
      </c>
      <c r="D773" t="s">
        <v>8236</v>
      </c>
      <c r="E773" t="s">
        <v>8272</v>
      </c>
      <c r="F773" s="222">
        <v>18</v>
      </c>
      <c r="G773">
        <v>20</v>
      </c>
      <c r="H773" s="223">
        <v>0</v>
      </c>
      <c r="I773" s="222">
        <v>360</v>
      </c>
      <c r="J773" t="s">
        <v>8424</v>
      </c>
      <c r="K773" t="s">
        <v>8425</v>
      </c>
      <c r="L773" s="118">
        <v>44024</v>
      </c>
      <c r="M773" s="118">
        <v>44045</v>
      </c>
      <c r="N773" t="s">
        <v>8240</v>
      </c>
      <c r="O773" t="s">
        <v>8257</v>
      </c>
      <c r="P773" t="s">
        <v>6984</v>
      </c>
      <c r="Q773" t="str">
        <f>tblSales[[#This Row],[FirstName]]&amp; " " &amp;tblSales[[#This Row],[LastName]]</f>
        <v>Janet Leverling</v>
      </c>
      <c r="R773">
        <f>YEAR(tblSales[[#This Row],[OrderDate]])</f>
        <v>2020</v>
      </c>
      <c r="S773">
        <f>WEEKNUM(tblSales[[#This Row],[OrderDate]])</f>
        <v>29</v>
      </c>
      <c r="T773">
        <f>IF(ISBLANK(tblSales[[#This Row],[ShippedDate]]),"",tblSales[[#This Row],[ShippedDate]]-tblSales[[#This Row],[OrderDate]])</f>
        <v>21</v>
      </c>
      <c r="U773" t="str">
        <f>LEFT(tblSales[[#This Row],[ProductName]],20)</f>
        <v>Lakkalikööri</v>
      </c>
    </row>
    <row r="774" spans="2:21" x14ac:dyDescent="0.2">
      <c r="B774">
        <v>10860</v>
      </c>
      <c r="C774" t="s">
        <v>8245</v>
      </c>
      <c r="D774" t="s">
        <v>8236</v>
      </c>
      <c r="E774" t="s">
        <v>8247</v>
      </c>
      <c r="F774" s="222">
        <v>53</v>
      </c>
      <c r="G774">
        <v>3</v>
      </c>
      <c r="H774" s="223">
        <v>0</v>
      </c>
      <c r="I774" s="222">
        <v>159</v>
      </c>
      <c r="J774" t="s">
        <v>8424</v>
      </c>
      <c r="K774" t="s">
        <v>8425</v>
      </c>
      <c r="L774" s="118">
        <v>44024</v>
      </c>
      <c r="M774" s="118">
        <v>44045</v>
      </c>
      <c r="N774" t="s">
        <v>8240</v>
      </c>
      <c r="O774" t="s">
        <v>8257</v>
      </c>
      <c r="P774" t="s">
        <v>6984</v>
      </c>
      <c r="Q774" t="str">
        <f>tblSales[[#This Row],[FirstName]]&amp; " " &amp;tblSales[[#This Row],[LastName]]</f>
        <v>Janet Leverling</v>
      </c>
      <c r="R774">
        <f>YEAR(tblSales[[#This Row],[OrderDate]])</f>
        <v>2020</v>
      </c>
      <c r="S774">
        <f>WEEKNUM(tblSales[[#This Row],[OrderDate]])</f>
        <v>29</v>
      </c>
      <c r="T774">
        <f>IF(ISBLANK(tblSales[[#This Row],[ShippedDate]]),"",tblSales[[#This Row],[ShippedDate]]-tblSales[[#This Row],[OrderDate]])</f>
        <v>21</v>
      </c>
      <c r="U774" t="str">
        <f>LEFT(tblSales[[#This Row],[ProductName]],20)</f>
        <v>Manjimup Dried Apple</v>
      </c>
    </row>
    <row r="775" spans="2:21" x14ac:dyDescent="0.2">
      <c r="B775">
        <v>10826</v>
      </c>
      <c r="C775" t="s">
        <v>8309</v>
      </c>
      <c r="D775" t="s">
        <v>8236</v>
      </c>
      <c r="E775" t="s">
        <v>8237</v>
      </c>
      <c r="F775" s="222">
        <v>12.5</v>
      </c>
      <c r="G775">
        <v>35</v>
      </c>
      <c r="H775" s="223">
        <v>0</v>
      </c>
      <c r="I775" s="222">
        <v>437.5</v>
      </c>
      <c r="J775" t="s">
        <v>8295</v>
      </c>
      <c r="K775" t="s">
        <v>8296</v>
      </c>
      <c r="L775" s="118">
        <v>44024</v>
      </c>
      <c r="M775" s="118">
        <v>44047</v>
      </c>
      <c r="N775" t="s">
        <v>8250</v>
      </c>
      <c r="O775" t="s">
        <v>8251</v>
      </c>
      <c r="P775" t="s">
        <v>269</v>
      </c>
      <c r="Q775" t="str">
        <f>tblSales[[#This Row],[FirstName]]&amp; " " &amp;tblSales[[#This Row],[LastName]]</f>
        <v>Michael Suyama</v>
      </c>
      <c r="R775">
        <f>YEAR(tblSales[[#This Row],[OrderDate]])</f>
        <v>2020</v>
      </c>
      <c r="S775">
        <f>WEEKNUM(tblSales[[#This Row],[OrderDate]])</f>
        <v>29</v>
      </c>
      <c r="T775">
        <f>IF(ISBLANK(tblSales[[#This Row],[ShippedDate]]),"",tblSales[[#This Row],[ShippedDate]]-tblSales[[#This Row],[OrderDate]])</f>
        <v>23</v>
      </c>
      <c r="U775" t="str">
        <f>LEFT(tblSales[[#This Row],[ProductName]],20)</f>
        <v>Gorgonzola Telino</v>
      </c>
    </row>
    <row r="776" spans="2:21" x14ac:dyDescent="0.2">
      <c r="B776">
        <v>10826</v>
      </c>
      <c r="C776" t="s">
        <v>8258</v>
      </c>
      <c r="D776" t="s">
        <v>8236</v>
      </c>
      <c r="E776" t="s">
        <v>8244</v>
      </c>
      <c r="F776" s="222">
        <v>19.5</v>
      </c>
      <c r="G776">
        <v>15</v>
      </c>
      <c r="H776" s="223">
        <v>0</v>
      </c>
      <c r="I776" s="222">
        <v>292.5</v>
      </c>
      <c r="J776" t="s">
        <v>8295</v>
      </c>
      <c r="K776" t="s">
        <v>8296</v>
      </c>
      <c r="L776" s="118">
        <v>44024</v>
      </c>
      <c r="M776" s="118">
        <v>44047</v>
      </c>
      <c r="N776" t="s">
        <v>8250</v>
      </c>
      <c r="O776" t="s">
        <v>8251</v>
      </c>
      <c r="P776" t="s">
        <v>269</v>
      </c>
      <c r="Q776" t="str">
        <f>tblSales[[#This Row],[FirstName]]&amp; " " &amp;tblSales[[#This Row],[LastName]]</f>
        <v>Michael Suyama</v>
      </c>
      <c r="R776">
        <f>YEAR(tblSales[[#This Row],[OrderDate]])</f>
        <v>2020</v>
      </c>
      <c r="S776">
        <f>WEEKNUM(tblSales[[#This Row],[OrderDate]])</f>
        <v>29</v>
      </c>
      <c r="T776">
        <f>IF(ISBLANK(tblSales[[#This Row],[ShippedDate]]),"",tblSales[[#This Row],[ShippedDate]]-tblSales[[#This Row],[OrderDate]])</f>
        <v>23</v>
      </c>
      <c r="U776" t="str">
        <f>LEFT(tblSales[[#This Row],[ProductName]],20)</f>
        <v>Ravioli Angelo</v>
      </c>
    </row>
    <row r="777" spans="2:21" x14ac:dyDescent="0.2">
      <c r="B777">
        <v>10827</v>
      </c>
      <c r="C777" t="s">
        <v>8342</v>
      </c>
      <c r="D777" t="s">
        <v>8236</v>
      </c>
      <c r="E777" t="s">
        <v>8272</v>
      </c>
      <c r="F777" s="222">
        <v>18</v>
      </c>
      <c r="G777">
        <v>21</v>
      </c>
      <c r="H777" s="223">
        <v>0</v>
      </c>
      <c r="I777" s="222">
        <v>378</v>
      </c>
      <c r="J777" t="s">
        <v>8377</v>
      </c>
      <c r="K777" t="s">
        <v>8378</v>
      </c>
      <c r="L777" s="118">
        <v>44024</v>
      </c>
      <c r="M777" s="118">
        <v>44047</v>
      </c>
      <c r="N777" t="s">
        <v>8265</v>
      </c>
      <c r="O777" t="s">
        <v>8285</v>
      </c>
      <c r="P777" t="s">
        <v>2317</v>
      </c>
      <c r="Q777" t="str">
        <f>tblSales[[#This Row],[FirstName]]&amp; " " &amp;tblSales[[#This Row],[LastName]]</f>
        <v>Nancy Davolio</v>
      </c>
      <c r="R777">
        <f>YEAR(tblSales[[#This Row],[OrderDate]])</f>
        <v>2020</v>
      </c>
      <c r="S777">
        <f>WEEKNUM(tblSales[[#This Row],[OrderDate]])</f>
        <v>29</v>
      </c>
      <c r="T777">
        <f>IF(ISBLANK(tblSales[[#This Row],[ShippedDate]]),"",tblSales[[#This Row],[ShippedDate]]-tblSales[[#This Row],[OrderDate]])</f>
        <v>23</v>
      </c>
      <c r="U777" t="str">
        <f>LEFT(tblSales[[#This Row],[ProductName]],20)</f>
        <v>Chartreuse verte</v>
      </c>
    </row>
    <row r="778" spans="2:21" x14ac:dyDescent="0.2">
      <c r="B778">
        <v>10832</v>
      </c>
      <c r="C778" t="s">
        <v>8322</v>
      </c>
      <c r="D778" t="s">
        <v>8236</v>
      </c>
      <c r="E778" t="s">
        <v>8254</v>
      </c>
      <c r="F778" s="222">
        <v>19.45</v>
      </c>
      <c r="G778">
        <v>16</v>
      </c>
      <c r="H778" s="223">
        <v>0.20000000298023199</v>
      </c>
      <c r="I778" s="222">
        <v>248.96</v>
      </c>
      <c r="J778" t="s">
        <v>8382</v>
      </c>
      <c r="K778" t="s">
        <v>8383</v>
      </c>
      <c r="L778" s="118">
        <v>44025</v>
      </c>
      <c r="M778" s="118">
        <v>44030</v>
      </c>
      <c r="N778" t="s">
        <v>8265</v>
      </c>
      <c r="O778" t="s">
        <v>8297</v>
      </c>
      <c r="P778" t="s">
        <v>8298</v>
      </c>
      <c r="Q778" t="str">
        <f>tblSales[[#This Row],[FirstName]]&amp; " " &amp;tblSales[[#This Row],[LastName]]</f>
        <v>Andrew Fuller</v>
      </c>
      <c r="R778">
        <f>YEAR(tblSales[[#This Row],[OrderDate]])</f>
        <v>2020</v>
      </c>
      <c r="S778">
        <f>WEEKNUM(tblSales[[#This Row],[OrderDate]])</f>
        <v>29</v>
      </c>
      <c r="T778">
        <f>IF(ISBLANK(tblSales[[#This Row],[ShippedDate]]),"",tblSales[[#This Row],[ShippedDate]]-tblSales[[#This Row],[OrderDate]])</f>
        <v>5</v>
      </c>
      <c r="U778" t="str">
        <f>LEFT(tblSales[[#This Row],[ProductName]],20)</f>
        <v>Gula Malacca</v>
      </c>
    </row>
    <row r="779" spans="2:21" x14ac:dyDescent="0.2">
      <c r="B779">
        <v>10832</v>
      </c>
      <c r="C779" t="s">
        <v>8362</v>
      </c>
      <c r="D779" t="s">
        <v>8236</v>
      </c>
      <c r="E779" t="s">
        <v>8262</v>
      </c>
      <c r="F779" s="222">
        <v>14</v>
      </c>
      <c r="G779">
        <v>10</v>
      </c>
      <c r="H779" s="223">
        <v>0.20000000298023199</v>
      </c>
      <c r="I779" s="222">
        <v>112</v>
      </c>
      <c r="J779" t="s">
        <v>8382</v>
      </c>
      <c r="K779" t="s">
        <v>8383</v>
      </c>
      <c r="L779" s="118">
        <v>44025</v>
      </c>
      <c r="M779" s="118">
        <v>44030</v>
      </c>
      <c r="N779" t="s">
        <v>8265</v>
      </c>
      <c r="O779" t="s">
        <v>8297</v>
      </c>
      <c r="P779" t="s">
        <v>8298</v>
      </c>
      <c r="Q779" t="str">
        <f>tblSales[[#This Row],[FirstName]]&amp; " " &amp;tblSales[[#This Row],[LastName]]</f>
        <v>Andrew Fuller</v>
      </c>
      <c r="R779">
        <f>YEAR(tblSales[[#This Row],[OrderDate]])</f>
        <v>2020</v>
      </c>
      <c r="S779">
        <f>WEEKNUM(tblSales[[#This Row],[OrderDate]])</f>
        <v>29</v>
      </c>
      <c r="T779">
        <f>IF(ISBLANK(tblSales[[#This Row],[ShippedDate]]),"",tblSales[[#This Row],[ShippedDate]]-tblSales[[#This Row],[OrderDate]])</f>
        <v>5</v>
      </c>
      <c r="U779" t="str">
        <f>LEFT(tblSales[[#This Row],[ProductName]],20)</f>
        <v>NuNuCa Nuß-Nougat-Cr</v>
      </c>
    </row>
    <row r="780" spans="2:21" x14ac:dyDescent="0.2">
      <c r="B780">
        <v>10832</v>
      </c>
      <c r="C780" t="s">
        <v>8340</v>
      </c>
      <c r="D780" t="s">
        <v>8236</v>
      </c>
      <c r="E780" t="s">
        <v>8244</v>
      </c>
      <c r="F780" s="222">
        <v>33.25</v>
      </c>
      <c r="G780">
        <v>3</v>
      </c>
      <c r="H780" s="223">
        <v>0</v>
      </c>
      <c r="I780" s="222">
        <v>99.75</v>
      </c>
      <c r="J780" t="s">
        <v>8382</v>
      </c>
      <c r="K780" t="s">
        <v>8383</v>
      </c>
      <c r="L780" s="118">
        <v>44025</v>
      </c>
      <c r="M780" s="118">
        <v>44030</v>
      </c>
      <c r="N780" t="s">
        <v>8265</v>
      </c>
      <c r="O780" t="s">
        <v>8297</v>
      </c>
      <c r="P780" t="s">
        <v>8298</v>
      </c>
      <c r="Q780" t="str">
        <f>tblSales[[#This Row],[FirstName]]&amp; " " &amp;tblSales[[#This Row],[LastName]]</f>
        <v>Andrew Fuller</v>
      </c>
      <c r="R780">
        <f>YEAR(tblSales[[#This Row],[OrderDate]])</f>
        <v>2020</v>
      </c>
      <c r="S780">
        <f>WEEKNUM(tblSales[[#This Row],[OrderDate]])</f>
        <v>29</v>
      </c>
      <c r="T780">
        <f>IF(ISBLANK(tblSales[[#This Row],[ShippedDate]]),"",tblSales[[#This Row],[ShippedDate]]-tblSales[[#This Row],[OrderDate]])</f>
        <v>5</v>
      </c>
      <c r="U780" t="str">
        <f>LEFT(tblSales[[#This Row],[ProductName]],20)</f>
        <v>Wimmers gute Semmelk</v>
      </c>
    </row>
    <row r="781" spans="2:21" x14ac:dyDescent="0.2">
      <c r="B781">
        <v>10831</v>
      </c>
      <c r="C781" t="s">
        <v>8380</v>
      </c>
      <c r="D781" t="s">
        <v>8403</v>
      </c>
      <c r="E781" t="s">
        <v>8272</v>
      </c>
      <c r="F781" s="222">
        <v>263.5</v>
      </c>
      <c r="G781">
        <v>8</v>
      </c>
      <c r="H781" s="223">
        <v>0</v>
      </c>
      <c r="I781" s="222">
        <v>2108</v>
      </c>
      <c r="J781" t="s">
        <v>8404</v>
      </c>
      <c r="K781" t="s">
        <v>8405</v>
      </c>
      <c r="L781" s="118">
        <v>44025</v>
      </c>
      <c r="M781" s="118">
        <v>44034</v>
      </c>
      <c r="N781" t="s">
        <v>8265</v>
      </c>
      <c r="O781" t="s">
        <v>8257</v>
      </c>
      <c r="P781" t="s">
        <v>6984</v>
      </c>
      <c r="Q781" t="str">
        <f>tblSales[[#This Row],[FirstName]]&amp; " " &amp;tblSales[[#This Row],[LastName]]</f>
        <v>Janet Leverling</v>
      </c>
      <c r="R781">
        <f>YEAR(tblSales[[#This Row],[OrderDate]])</f>
        <v>2020</v>
      </c>
      <c r="S781">
        <f>WEEKNUM(tblSales[[#This Row],[OrderDate]])</f>
        <v>29</v>
      </c>
      <c r="T781">
        <f>IF(ISBLANK(tblSales[[#This Row],[ShippedDate]]),"",tblSales[[#This Row],[ShippedDate]]-tblSales[[#This Row],[OrderDate]])</f>
        <v>9</v>
      </c>
      <c r="U781" t="str">
        <f>LEFT(tblSales[[#This Row],[ProductName]],20)</f>
        <v>Côte de Blaye</v>
      </c>
    </row>
    <row r="782" spans="2:21" x14ac:dyDescent="0.2">
      <c r="B782">
        <v>10831</v>
      </c>
      <c r="C782" t="s">
        <v>8306</v>
      </c>
      <c r="D782" t="s">
        <v>8403</v>
      </c>
      <c r="E782" t="s">
        <v>8272</v>
      </c>
      <c r="F782" s="222">
        <v>46</v>
      </c>
      <c r="G782">
        <v>9</v>
      </c>
      <c r="H782" s="223">
        <v>0</v>
      </c>
      <c r="I782" s="222">
        <v>414</v>
      </c>
      <c r="J782" t="s">
        <v>8404</v>
      </c>
      <c r="K782" t="s">
        <v>8405</v>
      </c>
      <c r="L782" s="118">
        <v>44025</v>
      </c>
      <c r="M782" s="118">
        <v>44034</v>
      </c>
      <c r="N782" t="s">
        <v>8265</v>
      </c>
      <c r="O782" t="s">
        <v>8257</v>
      </c>
      <c r="P782" t="s">
        <v>6984</v>
      </c>
      <c r="Q782" t="str">
        <f>tblSales[[#This Row],[FirstName]]&amp; " " &amp;tblSales[[#This Row],[LastName]]</f>
        <v>Janet Leverling</v>
      </c>
      <c r="R782">
        <f>YEAR(tblSales[[#This Row],[OrderDate]])</f>
        <v>2020</v>
      </c>
      <c r="S782">
        <f>WEEKNUM(tblSales[[#This Row],[OrderDate]])</f>
        <v>29</v>
      </c>
      <c r="T782">
        <f>IF(ISBLANK(tblSales[[#This Row],[ShippedDate]]),"",tblSales[[#This Row],[ShippedDate]]-tblSales[[#This Row],[OrderDate]])</f>
        <v>9</v>
      </c>
      <c r="U782" t="str">
        <f>LEFT(tblSales[[#This Row],[ProductName]],20)</f>
        <v>Ipoh Coffee</v>
      </c>
    </row>
    <row r="783" spans="2:21" x14ac:dyDescent="0.2">
      <c r="B783">
        <v>10831</v>
      </c>
      <c r="C783" t="s">
        <v>8323</v>
      </c>
      <c r="D783" t="s">
        <v>8403</v>
      </c>
      <c r="E783" t="s">
        <v>8272</v>
      </c>
      <c r="F783" s="222">
        <v>18</v>
      </c>
      <c r="G783">
        <v>8</v>
      </c>
      <c r="H783" s="223">
        <v>0</v>
      </c>
      <c r="I783" s="222">
        <v>144</v>
      </c>
      <c r="J783" t="s">
        <v>8404</v>
      </c>
      <c r="K783" t="s">
        <v>8405</v>
      </c>
      <c r="L783" s="118">
        <v>44025</v>
      </c>
      <c r="M783" s="118">
        <v>44034</v>
      </c>
      <c r="N783" t="s">
        <v>8265</v>
      </c>
      <c r="O783" t="s">
        <v>8257</v>
      </c>
      <c r="P783" t="s">
        <v>6984</v>
      </c>
      <c r="Q783" t="str">
        <f>tblSales[[#This Row],[FirstName]]&amp; " " &amp;tblSales[[#This Row],[LastName]]</f>
        <v>Janet Leverling</v>
      </c>
      <c r="R783">
        <f>YEAR(tblSales[[#This Row],[OrderDate]])</f>
        <v>2020</v>
      </c>
      <c r="S783">
        <f>WEEKNUM(tblSales[[#This Row],[OrderDate]])</f>
        <v>29</v>
      </c>
      <c r="T783">
        <f>IF(ISBLANK(tblSales[[#This Row],[ShippedDate]]),"",tblSales[[#This Row],[ShippedDate]]-tblSales[[#This Row],[OrderDate]])</f>
        <v>9</v>
      </c>
      <c r="U783" t="str">
        <f>LEFT(tblSales[[#This Row],[ProductName]],20)</f>
        <v>Steeleye Stout</v>
      </c>
    </row>
    <row r="784" spans="2:21" x14ac:dyDescent="0.2">
      <c r="B784">
        <v>10831</v>
      </c>
      <c r="C784" t="s">
        <v>8327</v>
      </c>
      <c r="D784" t="s">
        <v>8403</v>
      </c>
      <c r="E784" t="s">
        <v>8262</v>
      </c>
      <c r="F784" s="222">
        <v>9.1999999999999993</v>
      </c>
      <c r="G784">
        <v>2</v>
      </c>
      <c r="H784" s="223">
        <v>0</v>
      </c>
      <c r="I784" s="222">
        <v>18.399999999999999</v>
      </c>
      <c r="J784" t="s">
        <v>8404</v>
      </c>
      <c r="K784" t="s">
        <v>8405</v>
      </c>
      <c r="L784" s="118">
        <v>44025</v>
      </c>
      <c r="M784" s="118">
        <v>44034</v>
      </c>
      <c r="N784" t="s">
        <v>8265</v>
      </c>
      <c r="O784" t="s">
        <v>8257</v>
      </c>
      <c r="P784" t="s">
        <v>6984</v>
      </c>
      <c r="Q784" t="str">
        <f>tblSales[[#This Row],[FirstName]]&amp; " " &amp;tblSales[[#This Row],[LastName]]</f>
        <v>Janet Leverling</v>
      </c>
      <c r="R784">
        <f>YEAR(tblSales[[#This Row],[OrderDate]])</f>
        <v>2020</v>
      </c>
      <c r="S784">
        <f>WEEKNUM(tblSales[[#This Row],[OrderDate]])</f>
        <v>29</v>
      </c>
      <c r="T784">
        <f>IF(ISBLANK(tblSales[[#This Row],[ShippedDate]]),"",tblSales[[#This Row],[ShippedDate]]-tblSales[[#This Row],[OrderDate]])</f>
        <v>9</v>
      </c>
      <c r="U784" t="str">
        <f>LEFT(tblSales[[#This Row],[ProductName]],20)</f>
        <v>Teatime Chocolate Bi</v>
      </c>
    </row>
    <row r="785" spans="2:21" x14ac:dyDescent="0.2">
      <c r="B785">
        <v>10835</v>
      </c>
      <c r="C785" t="s">
        <v>8397</v>
      </c>
      <c r="D785" t="s">
        <v>8246</v>
      </c>
      <c r="E785" t="s">
        <v>8254</v>
      </c>
      <c r="F785" s="222">
        <v>13</v>
      </c>
      <c r="G785">
        <v>2</v>
      </c>
      <c r="H785" s="223">
        <v>0.20000000298023199</v>
      </c>
      <c r="I785" s="222">
        <v>20.8</v>
      </c>
      <c r="J785" t="s">
        <v>8422</v>
      </c>
      <c r="K785" t="s">
        <v>8423</v>
      </c>
      <c r="L785" s="118">
        <v>44026</v>
      </c>
      <c r="M785" s="118">
        <v>44032</v>
      </c>
      <c r="N785" t="s">
        <v>8240</v>
      </c>
      <c r="O785" t="s">
        <v>8285</v>
      </c>
      <c r="P785" t="s">
        <v>2317</v>
      </c>
      <c r="Q785" t="str">
        <f>tblSales[[#This Row],[FirstName]]&amp; " " &amp;tblSales[[#This Row],[LastName]]</f>
        <v>Nancy Davolio</v>
      </c>
      <c r="R785">
        <f>YEAR(tblSales[[#This Row],[OrderDate]])</f>
        <v>2020</v>
      </c>
      <c r="S785">
        <f>WEEKNUM(tblSales[[#This Row],[OrderDate]])</f>
        <v>29</v>
      </c>
      <c r="T785">
        <f>IF(ISBLANK(tblSales[[#This Row],[ShippedDate]]),"",tblSales[[#This Row],[ShippedDate]]-tblSales[[#This Row],[OrderDate]])</f>
        <v>6</v>
      </c>
      <c r="U785" t="str">
        <f>LEFT(tblSales[[#This Row],[ProductName]],20)</f>
        <v>Original Frankfurter</v>
      </c>
    </row>
    <row r="786" spans="2:21" x14ac:dyDescent="0.2">
      <c r="B786">
        <v>10835</v>
      </c>
      <c r="C786" t="s">
        <v>8281</v>
      </c>
      <c r="D786" t="s">
        <v>8246</v>
      </c>
      <c r="E786" t="s">
        <v>8237</v>
      </c>
      <c r="F786" s="222">
        <v>55</v>
      </c>
      <c r="G786">
        <v>15</v>
      </c>
      <c r="H786" s="223">
        <v>0</v>
      </c>
      <c r="I786" s="222">
        <v>825</v>
      </c>
      <c r="J786" t="s">
        <v>8422</v>
      </c>
      <c r="K786" t="s">
        <v>8423</v>
      </c>
      <c r="L786" s="118">
        <v>44026</v>
      </c>
      <c r="M786" s="118">
        <v>44032</v>
      </c>
      <c r="N786" t="s">
        <v>8240</v>
      </c>
      <c r="O786" t="s">
        <v>8285</v>
      </c>
      <c r="P786" t="s">
        <v>2317</v>
      </c>
      <c r="Q786" t="str">
        <f>tblSales[[#This Row],[FirstName]]&amp; " " &amp;tblSales[[#This Row],[LastName]]</f>
        <v>Nancy Davolio</v>
      </c>
      <c r="R786">
        <f>YEAR(tblSales[[#This Row],[OrderDate]])</f>
        <v>2020</v>
      </c>
      <c r="S786">
        <f>WEEKNUM(tblSales[[#This Row],[OrderDate]])</f>
        <v>29</v>
      </c>
      <c r="T786">
        <f>IF(ISBLANK(tblSales[[#This Row],[ShippedDate]]),"",tblSales[[#This Row],[ShippedDate]]-tblSales[[#This Row],[OrderDate]])</f>
        <v>6</v>
      </c>
      <c r="U786" t="str">
        <f>LEFT(tblSales[[#This Row],[ProductName]],20)</f>
        <v>Raclette Courdavault</v>
      </c>
    </row>
    <row r="787" spans="2:21" x14ac:dyDescent="0.2">
      <c r="B787">
        <v>10833</v>
      </c>
      <c r="C787" t="s">
        <v>8309</v>
      </c>
      <c r="D787" t="s">
        <v>8246</v>
      </c>
      <c r="E787" t="s">
        <v>8237</v>
      </c>
      <c r="F787" s="222">
        <v>12.5</v>
      </c>
      <c r="G787">
        <v>9</v>
      </c>
      <c r="H787" s="223">
        <v>0.10000000149011599</v>
      </c>
      <c r="I787" s="222">
        <v>101.25</v>
      </c>
      <c r="J787" t="s">
        <v>8289</v>
      </c>
      <c r="K787" t="s">
        <v>8290</v>
      </c>
      <c r="L787" s="118">
        <v>44026</v>
      </c>
      <c r="M787" s="118">
        <v>44034</v>
      </c>
      <c r="N787" t="s">
        <v>8265</v>
      </c>
      <c r="O787" t="s">
        <v>8251</v>
      </c>
      <c r="P787" t="s">
        <v>269</v>
      </c>
      <c r="Q787" t="str">
        <f>tblSales[[#This Row],[FirstName]]&amp; " " &amp;tblSales[[#This Row],[LastName]]</f>
        <v>Michael Suyama</v>
      </c>
      <c r="R787">
        <f>YEAR(tblSales[[#This Row],[OrderDate]])</f>
        <v>2020</v>
      </c>
      <c r="S787">
        <f>WEEKNUM(tblSales[[#This Row],[OrderDate]])</f>
        <v>29</v>
      </c>
      <c r="T787">
        <f>IF(ISBLANK(tblSales[[#This Row],[ShippedDate]]),"",tblSales[[#This Row],[ShippedDate]]-tblSales[[#This Row],[OrderDate]])</f>
        <v>8</v>
      </c>
      <c r="U787" t="str">
        <f>LEFT(tblSales[[#This Row],[ProductName]],20)</f>
        <v>Gorgonzola Telino</v>
      </c>
    </row>
    <row r="788" spans="2:21" x14ac:dyDescent="0.2">
      <c r="B788">
        <v>10833</v>
      </c>
      <c r="C788" t="s">
        <v>8415</v>
      </c>
      <c r="D788" t="s">
        <v>8246</v>
      </c>
      <c r="E788" t="s">
        <v>8247</v>
      </c>
      <c r="F788" s="222">
        <v>30</v>
      </c>
      <c r="G788">
        <v>20</v>
      </c>
      <c r="H788" s="223">
        <v>0.10000000149011599</v>
      </c>
      <c r="I788" s="222">
        <v>540</v>
      </c>
      <c r="J788" t="s">
        <v>8289</v>
      </c>
      <c r="K788" t="s">
        <v>8290</v>
      </c>
      <c r="L788" s="118">
        <v>44026</v>
      </c>
      <c r="M788" s="118">
        <v>44034</v>
      </c>
      <c r="N788" t="s">
        <v>8265</v>
      </c>
      <c r="O788" t="s">
        <v>8251</v>
      </c>
      <c r="P788" t="s">
        <v>269</v>
      </c>
      <c r="Q788" t="str">
        <f>tblSales[[#This Row],[FirstName]]&amp; " " &amp;tblSales[[#This Row],[LastName]]</f>
        <v>Michael Suyama</v>
      </c>
      <c r="R788">
        <f>YEAR(tblSales[[#This Row],[OrderDate]])</f>
        <v>2020</v>
      </c>
      <c r="S788">
        <f>WEEKNUM(tblSales[[#This Row],[OrderDate]])</f>
        <v>29</v>
      </c>
      <c r="T788">
        <f>IF(ISBLANK(tblSales[[#This Row],[ShippedDate]]),"",tblSales[[#This Row],[ShippedDate]]-tblSales[[#This Row],[OrderDate]])</f>
        <v>8</v>
      </c>
      <c r="U788" t="str">
        <f>LEFT(tblSales[[#This Row],[ProductName]],20)</f>
        <v xml:space="preserve">Uncle Bob's Organic </v>
      </c>
    </row>
    <row r="789" spans="2:21" x14ac:dyDescent="0.2">
      <c r="B789">
        <v>11218</v>
      </c>
      <c r="C789" t="s">
        <v>8309</v>
      </c>
      <c r="D789" t="s">
        <v>8236</v>
      </c>
      <c r="E789" t="s">
        <v>8237</v>
      </c>
      <c r="F789" s="222">
        <v>12.5</v>
      </c>
      <c r="G789">
        <v>50</v>
      </c>
      <c r="H789" s="223">
        <v>5.0000000745058101E-2</v>
      </c>
      <c r="I789" s="222">
        <v>593.75</v>
      </c>
      <c r="J789" t="s">
        <v>8295</v>
      </c>
      <c r="K789" t="s">
        <v>8296</v>
      </c>
      <c r="L789" s="118">
        <v>44027</v>
      </c>
      <c r="M789" s="118">
        <v>44031</v>
      </c>
      <c r="N789" t="s">
        <v>8250</v>
      </c>
      <c r="O789" t="s">
        <v>8266</v>
      </c>
      <c r="P789" t="s">
        <v>8267</v>
      </c>
      <c r="Q789" t="str">
        <f>tblSales[[#This Row],[FirstName]]&amp; " " &amp;tblSales[[#This Row],[LastName]]</f>
        <v>Margaret Peacock</v>
      </c>
      <c r="R789">
        <f>YEAR(tblSales[[#This Row],[OrderDate]])</f>
        <v>2020</v>
      </c>
      <c r="S789">
        <f>WEEKNUM(tblSales[[#This Row],[OrderDate]])</f>
        <v>29</v>
      </c>
      <c r="T789">
        <f>IF(ISBLANK(tblSales[[#This Row],[ShippedDate]]),"",tblSales[[#This Row],[ShippedDate]]-tblSales[[#This Row],[OrderDate]])</f>
        <v>4</v>
      </c>
      <c r="U789" t="str">
        <f>LEFT(tblSales[[#This Row],[ProductName]],20)</f>
        <v>Gorgonzola Telino</v>
      </c>
    </row>
    <row r="790" spans="2:21" x14ac:dyDescent="0.2">
      <c r="B790">
        <v>10836</v>
      </c>
      <c r="C790" t="s">
        <v>8323</v>
      </c>
      <c r="D790" t="s">
        <v>8282</v>
      </c>
      <c r="E790" t="s">
        <v>8272</v>
      </c>
      <c r="F790" s="222">
        <v>18</v>
      </c>
      <c r="G790">
        <v>6</v>
      </c>
      <c r="H790" s="223">
        <v>0</v>
      </c>
      <c r="I790" s="222">
        <v>108</v>
      </c>
      <c r="J790" t="s">
        <v>8283</v>
      </c>
      <c r="K790" t="s">
        <v>8284</v>
      </c>
      <c r="L790" s="118">
        <v>44027</v>
      </c>
      <c r="M790" s="118">
        <v>44032</v>
      </c>
      <c r="N790" t="s">
        <v>8250</v>
      </c>
      <c r="O790" t="s">
        <v>8158</v>
      </c>
      <c r="P790" t="s">
        <v>861</v>
      </c>
      <c r="Q790" t="str">
        <f>tblSales[[#This Row],[FirstName]]&amp; " " &amp;tblSales[[#This Row],[LastName]]</f>
        <v>Robert King</v>
      </c>
      <c r="R790">
        <f>YEAR(tblSales[[#This Row],[OrderDate]])</f>
        <v>2020</v>
      </c>
      <c r="S790">
        <f>WEEKNUM(tblSales[[#This Row],[OrderDate]])</f>
        <v>29</v>
      </c>
      <c r="T790">
        <f>IF(ISBLANK(tblSales[[#This Row],[ShippedDate]]),"",tblSales[[#This Row],[ShippedDate]]-tblSales[[#This Row],[OrderDate]])</f>
        <v>5</v>
      </c>
      <c r="U790" t="str">
        <f>LEFT(tblSales[[#This Row],[ProductName]],20)</f>
        <v>Steeleye Stout</v>
      </c>
    </row>
    <row r="791" spans="2:21" x14ac:dyDescent="0.2">
      <c r="B791">
        <v>10836</v>
      </c>
      <c r="C791" t="s">
        <v>8268</v>
      </c>
      <c r="D791" t="s">
        <v>8282</v>
      </c>
      <c r="E791" t="s">
        <v>8237</v>
      </c>
      <c r="F791" s="222">
        <v>34</v>
      </c>
      <c r="G791">
        <v>60</v>
      </c>
      <c r="H791" s="223">
        <v>0</v>
      </c>
      <c r="I791" s="222">
        <v>2040</v>
      </c>
      <c r="J791" t="s">
        <v>8283</v>
      </c>
      <c r="K791" t="s">
        <v>8284</v>
      </c>
      <c r="L791" s="118">
        <v>44027</v>
      </c>
      <c r="M791" s="118">
        <v>44032</v>
      </c>
      <c r="N791" t="s">
        <v>8250</v>
      </c>
      <c r="O791" t="s">
        <v>8158</v>
      </c>
      <c r="P791" t="s">
        <v>861</v>
      </c>
      <c r="Q791" t="str">
        <f>tblSales[[#This Row],[FirstName]]&amp; " " &amp;tblSales[[#This Row],[LastName]]</f>
        <v>Robert King</v>
      </c>
      <c r="R791">
        <f>YEAR(tblSales[[#This Row],[OrderDate]])</f>
        <v>2020</v>
      </c>
      <c r="S791">
        <f>WEEKNUM(tblSales[[#This Row],[OrderDate]])</f>
        <v>29</v>
      </c>
      <c r="T791">
        <f>IF(ISBLANK(tblSales[[#This Row],[ShippedDate]]),"",tblSales[[#This Row],[ShippedDate]]-tblSales[[#This Row],[OrderDate]])</f>
        <v>5</v>
      </c>
      <c r="U791" t="str">
        <f>LEFT(tblSales[[#This Row],[ProductName]],20)</f>
        <v>Camembert Pierrot</v>
      </c>
    </row>
    <row r="792" spans="2:21" x14ac:dyDescent="0.2">
      <c r="B792">
        <v>10836</v>
      </c>
      <c r="C792" t="s">
        <v>8259</v>
      </c>
      <c r="D792" t="s">
        <v>8282</v>
      </c>
      <c r="E792" t="s">
        <v>8244</v>
      </c>
      <c r="F792" s="222">
        <v>21</v>
      </c>
      <c r="G792">
        <v>52</v>
      </c>
      <c r="H792" s="223">
        <v>0</v>
      </c>
      <c r="I792" s="222">
        <v>1092</v>
      </c>
      <c r="J792" t="s">
        <v>8283</v>
      </c>
      <c r="K792" t="s">
        <v>8284</v>
      </c>
      <c r="L792" s="118">
        <v>44027</v>
      </c>
      <c r="M792" s="118">
        <v>44032</v>
      </c>
      <c r="N792" t="s">
        <v>8250</v>
      </c>
      <c r="O792" t="s">
        <v>8158</v>
      </c>
      <c r="P792" t="s">
        <v>861</v>
      </c>
      <c r="Q792" t="str">
        <f>tblSales[[#This Row],[FirstName]]&amp; " " &amp;tblSales[[#This Row],[LastName]]</f>
        <v>Robert King</v>
      </c>
      <c r="R792">
        <f>YEAR(tblSales[[#This Row],[OrderDate]])</f>
        <v>2020</v>
      </c>
      <c r="S792">
        <f>WEEKNUM(tblSales[[#This Row],[OrderDate]])</f>
        <v>29</v>
      </c>
      <c r="T792">
        <f>IF(ISBLANK(tblSales[[#This Row],[ShippedDate]]),"",tblSales[[#This Row],[ShippedDate]]-tblSales[[#This Row],[OrderDate]])</f>
        <v>5</v>
      </c>
      <c r="U792" t="str">
        <f>LEFT(tblSales[[#This Row],[ProductName]],20)</f>
        <v>Gustaf's Knäckebröd</v>
      </c>
    </row>
    <row r="793" spans="2:21" x14ac:dyDescent="0.2">
      <c r="B793">
        <v>10836</v>
      </c>
      <c r="C793" t="s">
        <v>8340</v>
      </c>
      <c r="D793" t="s">
        <v>8282</v>
      </c>
      <c r="E793" t="s">
        <v>8244</v>
      </c>
      <c r="F793" s="222">
        <v>33.25</v>
      </c>
      <c r="G793">
        <v>30</v>
      </c>
      <c r="H793" s="223">
        <v>0</v>
      </c>
      <c r="I793" s="222">
        <v>997.5</v>
      </c>
      <c r="J793" t="s">
        <v>8283</v>
      </c>
      <c r="K793" t="s">
        <v>8284</v>
      </c>
      <c r="L793" s="118">
        <v>44027</v>
      </c>
      <c r="M793" s="118">
        <v>44032</v>
      </c>
      <c r="N793" t="s">
        <v>8250</v>
      </c>
      <c r="O793" t="s">
        <v>8158</v>
      </c>
      <c r="P793" t="s">
        <v>861</v>
      </c>
      <c r="Q793" t="str">
        <f>tblSales[[#This Row],[FirstName]]&amp; " " &amp;tblSales[[#This Row],[LastName]]</f>
        <v>Robert King</v>
      </c>
      <c r="R793">
        <f>YEAR(tblSales[[#This Row],[OrderDate]])</f>
        <v>2020</v>
      </c>
      <c r="S793">
        <f>WEEKNUM(tblSales[[#This Row],[OrderDate]])</f>
        <v>29</v>
      </c>
      <c r="T793">
        <f>IF(ISBLANK(tblSales[[#This Row],[ShippedDate]]),"",tblSales[[#This Row],[ShippedDate]]-tblSales[[#This Row],[OrderDate]])</f>
        <v>5</v>
      </c>
      <c r="U793" t="str">
        <f>LEFT(tblSales[[#This Row],[ProductName]],20)</f>
        <v>Wimmers gute Semmelk</v>
      </c>
    </row>
    <row r="794" spans="2:21" x14ac:dyDescent="0.2">
      <c r="B794">
        <v>10836</v>
      </c>
      <c r="C794" t="s">
        <v>8258</v>
      </c>
      <c r="D794" t="s">
        <v>8282</v>
      </c>
      <c r="E794" t="s">
        <v>8244</v>
      </c>
      <c r="F794" s="222">
        <v>19.5</v>
      </c>
      <c r="G794">
        <v>24</v>
      </c>
      <c r="H794" s="223">
        <v>0</v>
      </c>
      <c r="I794" s="222">
        <v>468</v>
      </c>
      <c r="J794" t="s">
        <v>8283</v>
      </c>
      <c r="K794" t="s">
        <v>8284</v>
      </c>
      <c r="L794" s="118">
        <v>44027</v>
      </c>
      <c r="M794" s="118">
        <v>44032</v>
      </c>
      <c r="N794" t="s">
        <v>8250</v>
      </c>
      <c r="O794" t="s">
        <v>8158</v>
      </c>
      <c r="P794" t="s">
        <v>861</v>
      </c>
      <c r="Q794" t="str">
        <f>tblSales[[#This Row],[FirstName]]&amp; " " &amp;tblSales[[#This Row],[LastName]]</f>
        <v>Robert King</v>
      </c>
      <c r="R794">
        <f>YEAR(tblSales[[#This Row],[OrderDate]])</f>
        <v>2020</v>
      </c>
      <c r="S794">
        <f>WEEKNUM(tblSales[[#This Row],[OrderDate]])</f>
        <v>29</v>
      </c>
      <c r="T794">
        <f>IF(ISBLANK(tblSales[[#This Row],[ShippedDate]]),"",tblSales[[#This Row],[ShippedDate]]-tblSales[[#This Row],[OrderDate]])</f>
        <v>5</v>
      </c>
      <c r="U794" t="str">
        <f>LEFT(tblSales[[#This Row],[ProductName]],20)</f>
        <v>Ravioli Angelo</v>
      </c>
    </row>
    <row r="795" spans="2:21" x14ac:dyDescent="0.2">
      <c r="B795">
        <v>10837</v>
      </c>
      <c r="C795" t="s">
        <v>8303</v>
      </c>
      <c r="D795" t="s">
        <v>8292</v>
      </c>
      <c r="E795" t="s">
        <v>8272</v>
      </c>
      <c r="F795" s="222">
        <v>18</v>
      </c>
      <c r="G795">
        <v>21</v>
      </c>
      <c r="H795" s="223">
        <v>0.25</v>
      </c>
      <c r="I795" s="222">
        <v>283.5</v>
      </c>
      <c r="J795" t="s">
        <v>8318</v>
      </c>
      <c r="K795" t="s">
        <v>8319</v>
      </c>
      <c r="L795" s="118">
        <v>44027</v>
      </c>
      <c r="M795" s="118">
        <v>44034</v>
      </c>
      <c r="N795" t="s">
        <v>8240</v>
      </c>
      <c r="O795" t="s">
        <v>8279</v>
      </c>
      <c r="P795" t="s">
        <v>710</v>
      </c>
      <c r="Q795" t="str">
        <f>tblSales[[#This Row],[FirstName]]&amp; " " &amp;tblSales[[#This Row],[LastName]]</f>
        <v>Anne Dodsworth</v>
      </c>
      <c r="R795">
        <f>YEAR(tblSales[[#This Row],[OrderDate]])</f>
        <v>2020</v>
      </c>
      <c r="S795">
        <f>WEEKNUM(tblSales[[#This Row],[OrderDate]])</f>
        <v>29</v>
      </c>
      <c r="T795">
        <f>IF(ISBLANK(tblSales[[#This Row],[ShippedDate]]),"",tblSales[[#This Row],[ShippedDate]]-tblSales[[#This Row],[OrderDate]])</f>
        <v>7</v>
      </c>
      <c r="U795" t="str">
        <f>LEFT(tblSales[[#This Row],[ProductName]],20)</f>
        <v>Lakkalikööri</v>
      </c>
    </row>
    <row r="796" spans="2:21" x14ac:dyDescent="0.2">
      <c r="B796">
        <v>10837</v>
      </c>
      <c r="C796" t="s">
        <v>8410</v>
      </c>
      <c r="D796" t="s">
        <v>8292</v>
      </c>
      <c r="E796" t="s">
        <v>8262</v>
      </c>
      <c r="F796" s="222">
        <v>9.5</v>
      </c>
      <c r="G796">
        <v>40</v>
      </c>
      <c r="H796" s="223">
        <v>0.25</v>
      </c>
      <c r="I796" s="222">
        <v>285</v>
      </c>
      <c r="J796" t="s">
        <v>8318</v>
      </c>
      <c r="K796" t="s">
        <v>8319</v>
      </c>
      <c r="L796" s="118">
        <v>44027</v>
      </c>
      <c r="M796" s="118">
        <v>44034</v>
      </c>
      <c r="N796" t="s">
        <v>8240</v>
      </c>
      <c r="O796" t="s">
        <v>8279</v>
      </c>
      <c r="P796" t="s">
        <v>710</v>
      </c>
      <c r="Q796" t="str">
        <f>tblSales[[#This Row],[FirstName]]&amp; " " &amp;tblSales[[#This Row],[LastName]]</f>
        <v>Anne Dodsworth</v>
      </c>
      <c r="R796">
        <f>YEAR(tblSales[[#This Row],[OrderDate]])</f>
        <v>2020</v>
      </c>
      <c r="S796">
        <f>WEEKNUM(tblSales[[#This Row],[OrderDate]])</f>
        <v>29</v>
      </c>
      <c r="T796">
        <f>IF(ISBLANK(tblSales[[#This Row],[ShippedDate]]),"",tblSales[[#This Row],[ShippedDate]]-tblSales[[#This Row],[OrderDate]])</f>
        <v>7</v>
      </c>
      <c r="U796" t="str">
        <f>LEFT(tblSales[[#This Row],[ProductName]],20)</f>
        <v>Zaanse koeken</v>
      </c>
    </row>
    <row r="797" spans="2:21" x14ac:dyDescent="0.2">
      <c r="B797">
        <v>10841</v>
      </c>
      <c r="C797" t="s">
        <v>8397</v>
      </c>
      <c r="D797" t="s">
        <v>8261</v>
      </c>
      <c r="E797" t="s">
        <v>8254</v>
      </c>
      <c r="F797" s="222">
        <v>13</v>
      </c>
      <c r="G797">
        <v>15</v>
      </c>
      <c r="H797" s="223">
        <v>0</v>
      </c>
      <c r="I797" s="222">
        <v>195</v>
      </c>
      <c r="J797" t="s">
        <v>8263</v>
      </c>
      <c r="K797" t="s">
        <v>8264</v>
      </c>
      <c r="L797" s="118">
        <v>44031</v>
      </c>
      <c r="M797" s="118">
        <v>44036</v>
      </c>
      <c r="N797" t="s">
        <v>8265</v>
      </c>
      <c r="O797" t="s">
        <v>8241</v>
      </c>
      <c r="P797" t="s">
        <v>6934</v>
      </c>
      <c r="Q797" t="str">
        <f>tblSales[[#This Row],[FirstName]]&amp; " " &amp;tblSales[[#This Row],[LastName]]</f>
        <v>Steven Buchanan</v>
      </c>
      <c r="R797">
        <f>YEAR(tblSales[[#This Row],[OrderDate]])</f>
        <v>2020</v>
      </c>
      <c r="S797">
        <f>WEEKNUM(tblSales[[#This Row],[OrderDate]])</f>
        <v>30</v>
      </c>
      <c r="T797">
        <f>IF(ISBLANK(tblSales[[#This Row],[ShippedDate]]),"",tblSales[[#This Row],[ShippedDate]]-tblSales[[#This Row],[OrderDate]])</f>
        <v>5</v>
      </c>
      <c r="U797" t="str">
        <f>LEFT(tblSales[[#This Row],[ProductName]],20)</f>
        <v>Original Frankfurter</v>
      </c>
    </row>
    <row r="798" spans="2:21" x14ac:dyDescent="0.2">
      <c r="B798">
        <v>10841</v>
      </c>
      <c r="C798" t="s">
        <v>8281</v>
      </c>
      <c r="D798" t="s">
        <v>8261</v>
      </c>
      <c r="E798" t="s">
        <v>8237</v>
      </c>
      <c r="F798" s="222">
        <v>55</v>
      </c>
      <c r="G798">
        <v>50</v>
      </c>
      <c r="H798" s="223">
        <v>0</v>
      </c>
      <c r="I798" s="222">
        <v>2750</v>
      </c>
      <c r="J798" t="s">
        <v>8263</v>
      </c>
      <c r="K798" t="s">
        <v>8264</v>
      </c>
      <c r="L798" s="118">
        <v>44031</v>
      </c>
      <c r="M798" s="118">
        <v>44036</v>
      </c>
      <c r="N798" t="s">
        <v>8265</v>
      </c>
      <c r="O798" t="s">
        <v>8241</v>
      </c>
      <c r="P798" t="s">
        <v>6934</v>
      </c>
      <c r="Q798" t="str">
        <f>tblSales[[#This Row],[FirstName]]&amp; " " &amp;tblSales[[#This Row],[LastName]]</f>
        <v>Steven Buchanan</v>
      </c>
      <c r="R798">
        <f>YEAR(tblSales[[#This Row],[OrderDate]])</f>
        <v>2020</v>
      </c>
      <c r="S798">
        <f>WEEKNUM(tblSales[[#This Row],[OrderDate]])</f>
        <v>30</v>
      </c>
      <c r="T798">
        <f>IF(ISBLANK(tblSales[[#This Row],[ShippedDate]]),"",tblSales[[#This Row],[ShippedDate]]-tblSales[[#This Row],[OrderDate]])</f>
        <v>5</v>
      </c>
      <c r="U798" t="str">
        <f>LEFT(tblSales[[#This Row],[ProductName]],20)</f>
        <v>Raclette Courdavault</v>
      </c>
    </row>
    <row r="799" spans="2:21" x14ac:dyDescent="0.2">
      <c r="B799">
        <v>10841</v>
      </c>
      <c r="C799" t="s">
        <v>8341</v>
      </c>
      <c r="D799" t="s">
        <v>8261</v>
      </c>
      <c r="E799" t="s">
        <v>8244</v>
      </c>
      <c r="F799" s="222">
        <v>38</v>
      </c>
      <c r="G799">
        <v>30</v>
      </c>
      <c r="H799" s="223">
        <v>0</v>
      </c>
      <c r="I799" s="222">
        <v>1140</v>
      </c>
      <c r="J799" t="s">
        <v>8263</v>
      </c>
      <c r="K799" t="s">
        <v>8264</v>
      </c>
      <c r="L799" s="118">
        <v>44031</v>
      </c>
      <c r="M799" s="118">
        <v>44036</v>
      </c>
      <c r="N799" t="s">
        <v>8265</v>
      </c>
      <c r="O799" t="s">
        <v>8241</v>
      </c>
      <c r="P799" t="s">
        <v>6934</v>
      </c>
      <c r="Q799" t="str">
        <f>tblSales[[#This Row],[FirstName]]&amp; " " &amp;tblSales[[#This Row],[LastName]]</f>
        <v>Steven Buchanan</v>
      </c>
      <c r="R799">
        <f>YEAR(tblSales[[#This Row],[OrderDate]])</f>
        <v>2020</v>
      </c>
      <c r="S799">
        <f>WEEKNUM(tblSales[[#This Row],[OrderDate]])</f>
        <v>30</v>
      </c>
      <c r="T799">
        <f>IF(ISBLANK(tblSales[[#This Row],[ShippedDate]]),"",tblSales[[#This Row],[ShippedDate]]-tblSales[[#This Row],[OrderDate]])</f>
        <v>5</v>
      </c>
      <c r="U799" t="str">
        <f>LEFT(tblSales[[#This Row],[ProductName]],20)</f>
        <v>Gnocchi di nonna Ali</v>
      </c>
    </row>
    <row r="800" spans="2:21" x14ac:dyDescent="0.2">
      <c r="B800">
        <v>10843</v>
      </c>
      <c r="C800" t="s">
        <v>8245</v>
      </c>
      <c r="D800" t="s">
        <v>8236</v>
      </c>
      <c r="E800" t="s">
        <v>8247</v>
      </c>
      <c r="F800" s="222">
        <v>53</v>
      </c>
      <c r="G800">
        <v>4</v>
      </c>
      <c r="H800" s="223">
        <v>0.25</v>
      </c>
      <c r="I800" s="222">
        <v>159</v>
      </c>
      <c r="J800" t="s">
        <v>8255</v>
      </c>
      <c r="K800" t="s">
        <v>8256</v>
      </c>
      <c r="L800" s="118">
        <v>44032</v>
      </c>
      <c r="M800" s="118">
        <v>44037</v>
      </c>
      <c r="N800" t="s">
        <v>8265</v>
      </c>
      <c r="O800" t="s">
        <v>8266</v>
      </c>
      <c r="P800" t="s">
        <v>8267</v>
      </c>
      <c r="Q800" t="str">
        <f>tblSales[[#This Row],[FirstName]]&amp; " " &amp;tblSales[[#This Row],[LastName]]</f>
        <v>Margaret Peacock</v>
      </c>
      <c r="R800">
        <f>YEAR(tblSales[[#This Row],[OrderDate]])</f>
        <v>2020</v>
      </c>
      <c r="S800">
        <f>WEEKNUM(tblSales[[#This Row],[OrderDate]])</f>
        <v>30</v>
      </c>
      <c r="T800">
        <f>IF(ISBLANK(tblSales[[#This Row],[ShippedDate]]),"",tblSales[[#This Row],[ShippedDate]]-tblSales[[#This Row],[OrderDate]])</f>
        <v>5</v>
      </c>
      <c r="U800" t="str">
        <f>LEFT(tblSales[[#This Row],[ProductName]],20)</f>
        <v>Manjimup Dried Apple</v>
      </c>
    </row>
    <row r="801" spans="2:21" x14ac:dyDescent="0.2">
      <c r="B801">
        <v>10844</v>
      </c>
      <c r="C801" t="s">
        <v>8259</v>
      </c>
      <c r="D801" t="s">
        <v>8282</v>
      </c>
      <c r="E801" t="s">
        <v>8244</v>
      </c>
      <c r="F801" s="222">
        <v>21</v>
      </c>
      <c r="G801">
        <v>35</v>
      </c>
      <c r="H801" s="223">
        <v>0</v>
      </c>
      <c r="I801" s="222">
        <v>735</v>
      </c>
      <c r="J801" t="s">
        <v>8384</v>
      </c>
      <c r="K801" t="s">
        <v>8385</v>
      </c>
      <c r="L801" s="118">
        <v>44032</v>
      </c>
      <c r="M801" s="118">
        <v>44037</v>
      </c>
      <c r="N801" t="s">
        <v>8265</v>
      </c>
      <c r="O801" t="s">
        <v>8320</v>
      </c>
      <c r="P801" t="s">
        <v>8321</v>
      </c>
      <c r="Q801" t="str">
        <f>tblSales[[#This Row],[FirstName]]&amp; " " &amp;tblSales[[#This Row],[LastName]]</f>
        <v>Laura Callahan</v>
      </c>
      <c r="R801">
        <f>YEAR(tblSales[[#This Row],[OrderDate]])</f>
        <v>2020</v>
      </c>
      <c r="S801">
        <f>WEEKNUM(tblSales[[#This Row],[OrderDate]])</f>
        <v>30</v>
      </c>
      <c r="T801">
        <f>IF(ISBLANK(tblSales[[#This Row],[ShippedDate]]),"",tblSales[[#This Row],[ShippedDate]]-tblSales[[#This Row],[OrderDate]])</f>
        <v>5</v>
      </c>
      <c r="U801" t="str">
        <f>LEFT(tblSales[[#This Row],[ProductName]],20)</f>
        <v>Gustaf's Knäckebröd</v>
      </c>
    </row>
    <row r="802" spans="2:21" x14ac:dyDescent="0.2">
      <c r="B802">
        <v>10845</v>
      </c>
      <c r="C802" t="s">
        <v>8323</v>
      </c>
      <c r="D802" t="s">
        <v>8246</v>
      </c>
      <c r="E802" t="s">
        <v>8272</v>
      </c>
      <c r="F802" s="222">
        <v>18</v>
      </c>
      <c r="G802">
        <v>25</v>
      </c>
      <c r="H802" s="223">
        <v>0.10000000149011599</v>
      </c>
      <c r="I802" s="222">
        <v>405</v>
      </c>
      <c r="J802" t="s">
        <v>8307</v>
      </c>
      <c r="K802" t="s">
        <v>8308</v>
      </c>
      <c r="L802" s="118">
        <v>44032</v>
      </c>
      <c r="M802" s="118">
        <v>44040</v>
      </c>
      <c r="N802" t="s">
        <v>8250</v>
      </c>
      <c r="O802" t="s">
        <v>8320</v>
      </c>
      <c r="P802" t="s">
        <v>8321</v>
      </c>
      <c r="Q802" t="str">
        <f>tblSales[[#This Row],[FirstName]]&amp; " " &amp;tblSales[[#This Row],[LastName]]</f>
        <v>Laura Callahan</v>
      </c>
      <c r="R802">
        <f>YEAR(tblSales[[#This Row],[OrderDate]])</f>
        <v>2020</v>
      </c>
      <c r="S802">
        <f>WEEKNUM(tblSales[[#This Row],[OrderDate]])</f>
        <v>30</v>
      </c>
      <c r="T802">
        <f>IF(ISBLANK(tblSales[[#This Row],[ShippedDate]]),"",tblSales[[#This Row],[ShippedDate]]-tblSales[[#This Row],[OrderDate]])</f>
        <v>8</v>
      </c>
      <c r="U802" t="str">
        <f>LEFT(tblSales[[#This Row],[ProductName]],20)</f>
        <v>Steeleye Stout</v>
      </c>
    </row>
    <row r="803" spans="2:21" x14ac:dyDescent="0.2">
      <c r="B803">
        <v>10845</v>
      </c>
      <c r="C803" t="s">
        <v>8340</v>
      </c>
      <c r="D803" t="s">
        <v>8246</v>
      </c>
      <c r="E803" t="s">
        <v>8244</v>
      </c>
      <c r="F803" s="222">
        <v>33.25</v>
      </c>
      <c r="G803">
        <v>48</v>
      </c>
      <c r="H803" s="223">
        <v>0</v>
      </c>
      <c r="I803" s="222">
        <v>1596</v>
      </c>
      <c r="J803" t="s">
        <v>8307</v>
      </c>
      <c r="K803" t="s">
        <v>8308</v>
      </c>
      <c r="L803" s="118">
        <v>44032</v>
      </c>
      <c r="M803" s="118">
        <v>44040</v>
      </c>
      <c r="N803" t="s">
        <v>8250</v>
      </c>
      <c r="O803" t="s">
        <v>8320</v>
      </c>
      <c r="P803" t="s">
        <v>8321</v>
      </c>
      <c r="Q803" t="str">
        <f>tblSales[[#This Row],[FirstName]]&amp; " " &amp;tblSales[[#This Row],[LastName]]</f>
        <v>Laura Callahan</v>
      </c>
      <c r="R803">
        <f>YEAR(tblSales[[#This Row],[OrderDate]])</f>
        <v>2020</v>
      </c>
      <c r="S803">
        <f>WEEKNUM(tblSales[[#This Row],[OrderDate]])</f>
        <v>30</v>
      </c>
      <c r="T803">
        <f>IF(ISBLANK(tblSales[[#This Row],[ShippedDate]]),"",tblSales[[#This Row],[ShippedDate]]-tblSales[[#This Row],[OrderDate]])</f>
        <v>8</v>
      </c>
      <c r="U803" t="str">
        <f>LEFT(tblSales[[#This Row],[ProductName]],20)</f>
        <v>Wimmers gute Semmelk</v>
      </c>
    </row>
    <row r="804" spans="2:21" x14ac:dyDescent="0.2">
      <c r="B804">
        <v>10845</v>
      </c>
      <c r="C804" t="s">
        <v>8373</v>
      </c>
      <c r="D804" t="s">
        <v>8246</v>
      </c>
      <c r="E804" t="s">
        <v>8244</v>
      </c>
      <c r="F804" s="222">
        <v>9</v>
      </c>
      <c r="G804">
        <v>70</v>
      </c>
      <c r="H804" s="223">
        <v>0.10000000149011599</v>
      </c>
      <c r="I804" s="222">
        <v>567</v>
      </c>
      <c r="J804" t="s">
        <v>8307</v>
      </c>
      <c r="K804" t="s">
        <v>8308</v>
      </c>
      <c r="L804" s="118">
        <v>44032</v>
      </c>
      <c r="M804" s="118">
        <v>44040</v>
      </c>
      <c r="N804" t="s">
        <v>8250</v>
      </c>
      <c r="O804" t="s">
        <v>8320</v>
      </c>
      <c r="P804" t="s">
        <v>8321</v>
      </c>
      <c r="Q804" t="str">
        <f>tblSales[[#This Row],[FirstName]]&amp; " " &amp;tblSales[[#This Row],[LastName]]</f>
        <v>Laura Callahan</v>
      </c>
      <c r="R804">
        <f>YEAR(tblSales[[#This Row],[OrderDate]])</f>
        <v>2020</v>
      </c>
      <c r="S804">
        <f>WEEKNUM(tblSales[[#This Row],[OrderDate]])</f>
        <v>30</v>
      </c>
      <c r="T804">
        <f>IF(ISBLANK(tblSales[[#This Row],[ShippedDate]]),"",tblSales[[#This Row],[ShippedDate]]-tblSales[[#This Row],[OrderDate]])</f>
        <v>8</v>
      </c>
      <c r="U804" t="str">
        <f>LEFT(tblSales[[#This Row],[ProductName]],20)</f>
        <v>Tunnbröd</v>
      </c>
    </row>
    <row r="805" spans="2:21" x14ac:dyDescent="0.2">
      <c r="B805">
        <v>10845</v>
      </c>
      <c r="C805" t="s">
        <v>8243</v>
      </c>
      <c r="D805" t="s">
        <v>8246</v>
      </c>
      <c r="E805" t="s">
        <v>8244</v>
      </c>
      <c r="F805" s="222">
        <v>14</v>
      </c>
      <c r="G805">
        <v>42</v>
      </c>
      <c r="H805" s="223">
        <v>0.10000000149011599</v>
      </c>
      <c r="I805" s="222">
        <v>529.20000000000005</v>
      </c>
      <c r="J805" t="s">
        <v>8307</v>
      </c>
      <c r="K805" t="s">
        <v>8308</v>
      </c>
      <c r="L805" s="118">
        <v>44032</v>
      </c>
      <c r="M805" s="118">
        <v>44040</v>
      </c>
      <c r="N805" t="s">
        <v>8250</v>
      </c>
      <c r="O805" t="s">
        <v>8320</v>
      </c>
      <c r="P805" t="s">
        <v>8321</v>
      </c>
      <c r="Q805" t="str">
        <f>tblSales[[#This Row],[FirstName]]&amp; " " &amp;tblSales[[#This Row],[LastName]]</f>
        <v>Laura Callahan</v>
      </c>
      <c r="R805">
        <f>YEAR(tblSales[[#This Row],[OrderDate]])</f>
        <v>2020</v>
      </c>
      <c r="S805">
        <f>WEEKNUM(tblSales[[#This Row],[OrderDate]])</f>
        <v>30</v>
      </c>
      <c r="T805">
        <f>IF(ISBLANK(tblSales[[#This Row],[ShippedDate]]),"",tblSales[[#This Row],[ShippedDate]]-tblSales[[#This Row],[OrderDate]])</f>
        <v>8</v>
      </c>
      <c r="U805" t="str">
        <f>LEFT(tblSales[[#This Row],[ProductName]],20)</f>
        <v xml:space="preserve">Singaporean Hokkien </v>
      </c>
    </row>
    <row r="806" spans="2:21" x14ac:dyDescent="0.2">
      <c r="B806">
        <v>10846</v>
      </c>
      <c r="C806" t="s">
        <v>8288</v>
      </c>
      <c r="D806" t="s">
        <v>8261</v>
      </c>
      <c r="E806" t="s">
        <v>8272</v>
      </c>
      <c r="F806" s="222">
        <v>15</v>
      </c>
      <c r="G806">
        <v>30</v>
      </c>
      <c r="H806" s="223">
        <v>0</v>
      </c>
      <c r="I806" s="222">
        <v>450</v>
      </c>
      <c r="J806" t="s">
        <v>8263</v>
      </c>
      <c r="K806" t="s">
        <v>8264</v>
      </c>
      <c r="L806" s="118">
        <v>44033</v>
      </c>
      <c r="M806" s="118">
        <v>44034</v>
      </c>
      <c r="N806" t="s">
        <v>8240</v>
      </c>
      <c r="O806" t="s">
        <v>8297</v>
      </c>
      <c r="P806" t="s">
        <v>8298</v>
      </c>
      <c r="Q806" t="str">
        <f>tblSales[[#This Row],[FirstName]]&amp; " " &amp;tblSales[[#This Row],[LastName]]</f>
        <v>Andrew Fuller</v>
      </c>
      <c r="R806">
        <f>YEAR(tblSales[[#This Row],[OrderDate]])</f>
        <v>2020</v>
      </c>
      <c r="S806">
        <f>WEEKNUM(tblSales[[#This Row],[OrderDate]])</f>
        <v>30</v>
      </c>
      <c r="T806">
        <f>IF(ISBLANK(tblSales[[#This Row],[ShippedDate]]),"",tblSales[[#This Row],[ShippedDate]]-tblSales[[#This Row],[OrderDate]])</f>
        <v>1</v>
      </c>
      <c r="U806" t="str">
        <f>LEFT(tblSales[[#This Row],[ProductName]],20)</f>
        <v>Outback Lager</v>
      </c>
    </row>
    <row r="807" spans="2:21" x14ac:dyDescent="0.2">
      <c r="B807">
        <v>10846</v>
      </c>
      <c r="C807" t="s">
        <v>8352</v>
      </c>
      <c r="D807" t="s">
        <v>8261</v>
      </c>
      <c r="E807" t="s">
        <v>8254</v>
      </c>
      <c r="F807" s="222">
        <v>22</v>
      </c>
      <c r="G807">
        <v>21</v>
      </c>
      <c r="H807" s="223">
        <v>0</v>
      </c>
      <c r="I807" s="222">
        <v>462</v>
      </c>
      <c r="J807" t="s">
        <v>8263</v>
      </c>
      <c r="K807" t="s">
        <v>8264</v>
      </c>
      <c r="L807" s="118">
        <v>44033</v>
      </c>
      <c r="M807" s="118">
        <v>44034</v>
      </c>
      <c r="N807" t="s">
        <v>8240</v>
      </c>
      <c r="O807" t="s">
        <v>8297</v>
      </c>
      <c r="P807" t="s">
        <v>8298</v>
      </c>
      <c r="Q807" t="str">
        <f>tblSales[[#This Row],[FirstName]]&amp; " " &amp;tblSales[[#This Row],[LastName]]</f>
        <v>Andrew Fuller</v>
      </c>
      <c r="R807">
        <f>YEAR(tblSales[[#This Row],[OrderDate]])</f>
        <v>2020</v>
      </c>
      <c r="S807">
        <f>WEEKNUM(tblSales[[#This Row],[OrderDate]])</f>
        <v>30</v>
      </c>
      <c r="T807">
        <f>IF(ISBLANK(tblSales[[#This Row],[ShippedDate]]),"",tblSales[[#This Row],[ShippedDate]]-tblSales[[#This Row],[OrderDate]])</f>
        <v>1</v>
      </c>
      <c r="U807" t="str">
        <f>LEFT(tblSales[[#This Row],[ProductName]],20)</f>
        <v>Chef Anton's Cajun S</v>
      </c>
    </row>
    <row r="808" spans="2:21" x14ac:dyDescent="0.2">
      <c r="B808">
        <v>10846</v>
      </c>
      <c r="C808" t="s">
        <v>8275</v>
      </c>
      <c r="D808" t="s">
        <v>8261</v>
      </c>
      <c r="E808" t="s">
        <v>8247</v>
      </c>
      <c r="F808" s="222">
        <v>10</v>
      </c>
      <c r="G808">
        <v>20</v>
      </c>
      <c r="H808" s="223">
        <v>0</v>
      </c>
      <c r="I808" s="222">
        <v>200</v>
      </c>
      <c r="J808" t="s">
        <v>8263</v>
      </c>
      <c r="K808" t="s">
        <v>8264</v>
      </c>
      <c r="L808" s="118">
        <v>44033</v>
      </c>
      <c r="M808" s="118">
        <v>44034</v>
      </c>
      <c r="N808" t="s">
        <v>8240</v>
      </c>
      <c r="O808" t="s">
        <v>8297</v>
      </c>
      <c r="P808" t="s">
        <v>8298</v>
      </c>
      <c r="Q808" t="str">
        <f>tblSales[[#This Row],[FirstName]]&amp; " " &amp;tblSales[[#This Row],[LastName]]</f>
        <v>Andrew Fuller</v>
      </c>
      <c r="R808">
        <f>YEAR(tblSales[[#This Row],[OrderDate]])</f>
        <v>2020</v>
      </c>
      <c r="S808">
        <f>WEEKNUM(tblSales[[#This Row],[OrderDate]])</f>
        <v>30</v>
      </c>
      <c r="T808">
        <f>IF(ISBLANK(tblSales[[#This Row],[ShippedDate]]),"",tblSales[[#This Row],[ShippedDate]]-tblSales[[#This Row],[OrderDate]])</f>
        <v>1</v>
      </c>
      <c r="U808" t="str">
        <f>LEFT(tblSales[[#This Row],[ProductName]],20)</f>
        <v>Longlife Tofu</v>
      </c>
    </row>
    <row r="809" spans="2:21" x14ac:dyDescent="0.2">
      <c r="B809">
        <v>10848</v>
      </c>
      <c r="C809" t="s">
        <v>8286</v>
      </c>
      <c r="D809" t="s">
        <v>2434</v>
      </c>
      <c r="E809" t="s">
        <v>8254</v>
      </c>
      <c r="F809" s="222">
        <v>21.35</v>
      </c>
      <c r="G809">
        <v>30</v>
      </c>
      <c r="H809" s="223">
        <v>0</v>
      </c>
      <c r="I809" s="222">
        <v>640.5</v>
      </c>
      <c r="J809" t="s">
        <v>8413</v>
      </c>
      <c r="K809" t="s">
        <v>8414</v>
      </c>
      <c r="L809" s="118">
        <v>44034</v>
      </c>
      <c r="M809" s="118">
        <v>44039</v>
      </c>
      <c r="N809" t="s">
        <v>8265</v>
      </c>
      <c r="O809" t="s">
        <v>8158</v>
      </c>
      <c r="P809" t="s">
        <v>861</v>
      </c>
      <c r="Q809" t="str">
        <f>tblSales[[#This Row],[FirstName]]&amp; " " &amp;tblSales[[#This Row],[LastName]]</f>
        <v>Robert King</v>
      </c>
      <c r="R809">
        <f>YEAR(tblSales[[#This Row],[OrderDate]])</f>
        <v>2020</v>
      </c>
      <c r="S809">
        <f>WEEKNUM(tblSales[[#This Row],[OrderDate]])</f>
        <v>30</v>
      </c>
      <c r="T809">
        <f>IF(ISBLANK(tblSales[[#This Row],[ShippedDate]]),"",tblSales[[#This Row],[ShippedDate]]-tblSales[[#This Row],[OrderDate]])</f>
        <v>5</v>
      </c>
      <c r="U809" t="str">
        <f>LEFT(tblSales[[#This Row],[ProductName]],20)</f>
        <v>Chef Anton's Gumbo M</v>
      </c>
    </row>
    <row r="810" spans="2:21" x14ac:dyDescent="0.2">
      <c r="B810">
        <v>10849</v>
      </c>
      <c r="C810" t="s">
        <v>8337</v>
      </c>
      <c r="D810" t="s">
        <v>8246</v>
      </c>
      <c r="E810" t="s">
        <v>8254</v>
      </c>
      <c r="F810" s="222">
        <v>10</v>
      </c>
      <c r="G810">
        <v>49</v>
      </c>
      <c r="H810" s="223">
        <v>0</v>
      </c>
      <c r="I810" s="222">
        <v>490</v>
      </c>
      <c r="J810" t="s">
        <v>8359</v>
      </c>
      <c r="K810" t="s">
        <v>8360</v>
      </c>
      <c r="L810" s="118">
        <v>44034</v>
      </c>
      <c r="M810" s="118">
        <v>44040</v>
      </c>
      <c r="N810" t="s">
        <v>8265</v>
      </c>
      <c r="O810" t="s">
        <v>8279</v>
      </c>
      <c r="P810" t="s">
        <v>710</v>
      </c>
      <c r="Q810" t="str">
        <f>tblSales[[#This Row],[FirstName]]&amp; " " &amp;tblSales[[#This Row],[LastName]]</f>
        <v>Anne Dodsworth</v>
      </c>
      <c r="R810">
        <f>YEAR(tblSales[[#This Row],[OrderDate]])</f>
        <v>2020</v>
      </c>
      <c r="S810">
        <f>WEEKNUM(tblSales[[#This Row],[OrderDate]])</f>
        <v>30</v>
      </c>
      <c r="T810">
        <f>IF(ISBLANK(tblSales[[#This Row],[ShippedDate]]),"",tblSales[[#This Row],[ShippedDate]]-tblSales[[#This Row],[OrderDate]])</f>
        <v>6</v>
      </c>
      <c r="U810" t="str">
        <f>LEFT(tblSales[[#This Row],[ProductName]],20)</f>
        <v>Aniseed Syrup</v>
      </c>
    </row>
    <row r="811" spans="2:21" x14ac:dyDescent="0.2">
      <c r="B811">
        <v>10849</v>
      </c>
      <c r="C811" t="s">
        <v>8372</v>
      </c>
      <c r="D811" t="s">
        <v>8246</v>
      </c>
      <c r="E811" t="s">
        <v>8262</v>
      </c>
      <c r="F811" s="222">
        <v>31.23</v>
      </c>
      <c r="G811">
        <v>18</v>
      </c>
      <c r="H811" s="223">
        <v>0.15000000596046401</v>
      </c>
      <c r="I811" s="222">
        <v>477.82</v>
      </c>
      <c r="J811" t="s">
        <v>8359</v>
      </c>
      <c r="K811" t="s">
        <v>8360</v>
      </c>
      <c r="L811" s="118">
        <v>44034</v>
      </c>
      <c r="M811" s="118">
        <v>44040</v>
      </c>
      <c r="N811" t="s">
        <v>8265</v>
      </c>
      <c r="O811" t="s">
        <v>8279</v>
      </c>
      <c r="P811" t="s">
        <v>710</v>
      </c>
      <c r="Q811" t="str">
        <f>tblSales[[#This Row],[FirstName]]&amp; " " &amp;tblSales[[#This Row],[LastName]]</f>
        <v>Anne Dodsworth</v>
      </c>
      <c r="R811">
        <f>YEAR(tblSales[[#This Row],[OrderDate]])</f>
        <v>2020</v>
      </c>
      <c r="S811">
        <f>WEEKNUM(tblSales[[#This Row],[OrderDate]])</f>
        <v>30</v>
      </c>
      <c r="T811">
        <f>IF(ISBLANK(tblSales[[#This Row],[ShippedDate]]),"",tblSales[[#This Row],[ShippedDate]]-tblSales[[#This Row],[OrderDate]])</f>
        <v>6</v>
      </c>
      <c r="U811" t="str">
        <f>LEFT(tblSales[[#This Row],[ProductName]],20)</f>
        <v>Gumbär Gummibärchen</v>
      </c>
    </row>
    <row r="812" spans="2:21" x14ac:dyDescent="0.2">
      <c r="B812">
        <v>10850</v>
      </c>
      <c r="C812" t="s">
        <v>8288</v>
      </c>
      <c r="D812" t="s">
        <v>8236</v>
      </c>
      <c r="E812" t="s">
        <v>8272</v>
      </c>
      <c r="F812" s="222">
        <v>15</v>
      </c>
      <c r="G812">
        <v>30</v>
      </c>
      <c r="H812" s="223">
        <v>0.15000000596046401</v>
      </c>
      <c r="I812" s="222">
        <v>382.5</v>
      </c>
      <c r="J812" t="s">
        <v>8255</v>
      </c>
      <c r="K812" t="s">
        <v>8256</v>
      </c>
      <c r="L812" s="118">
        <v>44034</v>
      </c>
      <c r="M812" s="118">
        <v>44040</v>
      </c>
      <c r="N812" t="s">
        <v>8250</v>
      </c>
      <c r="O812" t="s">
        <v>8285</v>
      </c>
      <c r="P812" t="s">
        <v>2317</v>
      </c>
      <c r="Q812" t="str">
        <f>tblSales[[#This Row],[FirstName]]&amp; " " &amp;tblSales[[#This Row],[LastName]]</f>
        <v>Nancy Davolio</v>
      </c>
      <c r="R812">
        <f>YEAR(tblSales[[#This Row],[OrderDate]])</f>
        <v>2020</v>
      </c>
      <c r="S812">
        <f>WEEKNUM(tblSales[[#This Row],[OrderDate]])</f>
        <v>30</v>
      </c>
      <c r="T812">
        <f>IF(ISBLANK(tblSales[[#This Row],[ShippedDate]]),"",tblSales[[#This Row],[ShippedDate]]-tblSales[[#This Row],[OrderDate]])</f>
        <v>6</v>
      </c>
      <c r="U812" t="str">
        <f>LEFT(tblSales[[#This Row],[ProductName]],20)</f>
        <v>Outback Lager</v>
      </c>
    </row>
    <row r="813" spans="2:21" x14ac:dyDescent="0.2">
      <c r="B813">
        <v>10850</v>
      </c>
      <c r="C813" t="s">
        <v>8362</v>
      </c>
      <c r="D813" t="s">
        <v>8236</v>
      </c>
      <c r="E813" t="s">
        <v>8262</v>
      </c>
      <c r="F813" s="222">
        <v>14</v>
      </c>
      <c r="G813">
        <v>20</v>
      </c>
      <c r="H813" s="223">
        <v>0.15000000596046401</v>
      </c>
      <c r="I813" s="222">
        <v>238</v>
      </c>
      <c r="J813" t="s">
        <v>8255</v>
      </c>
      <c r="K813" t="s">
        <v>8256</v>
      </c>
      <c r="L813" s="118">
        <v>44034</v>
      </c>
      <c r="M813" s="118">
        <v>44040</v>
      </c>
      <c r="N813" t="s">
        <v>8250</v>
      </c>
      <c r="O813" t="s">
        <v>8285</v>
      </c>
      <c r="P813" t="s">
        <v>2317</v>
      </c>
      <c r="Q813" t="str">
        <f>tblSales[[#This Row],[FirstName]]&amp; " " &amp;tblSales[[#This Row],[LastName]]</f>
        <v>Nancy Davolio</v>
      </c>
      <c r="R813">
        <f>YEAR(tblSales[[#This Row],[OrderDate]])</f>
        <v>2020</v>
      </c>
      <c r="S813">
        <f>WEEKNUM(tblSales[[#This Row],[OrderDate]])</f>
        <v>30</v>
      </c>
      <c r="T813">
        <f>IF(ISBLANK(tblSales[[#This Row],[ShippedDate]]),"",tblSales[[#This Row],[ShippedDate]]-tblSales[[#This Row],[OrderDate]])</f>
        <v>6</v>
      </c>
      <c r="U813" t="str">
        <f>LEFT(tblSales[[#This Row],[ProductName]],20)</f>
        <v>NuNuCa Nuß-Nougat-Cr</v>
      </c>
    </row>
    <row r="814" spans="2:21" x14ac:dyDescent="0.2">
      <c r="B814">
        <v>10850</v>
      </c>
      <c r="C814" t="s">
        <v>8269</v>
      </c>
      <c r="D814" t="s">
        <v>8236</v>
      </c>
      <c r="E814" t="s">
        <v>8237</v>
      </c>
      <c r="F814" s="222">
        <v>2.5</v>
      </c>
      <c r="G814">
        <v>4</v>
      </c>
      <c r="H814" s="223">
        <v>0.15000000596046401</v>
      </c>
      <c r="I814" s="222">
        <v>8.5</v>
      </c>
      <c r="J814" t="s">
        <v>8255</v>
      </c>
      <c r="K814" t="s">
        <v>8256</v>
      </c>
      <c r="L814" s="118">
        <v>44034</v>
      </c>
      <c r="M814" s="118">
        <v>44040</v>
      </c>
      <c r="N814" t="s">
        <v>8250</v>
      </c>
      <c r="O814" t="s">
        <v>8285</v>
      </c>
      <c r="P814" t="s">
        <v>2317</v>
      </c>
      <c r="Q814" t="str">
        <f>tblSales[[#This Row],[FirstName]]&amp; " " &amp;tblSales[[#This Row],[LastName]]</f>
        <v>Nancy Davolio</v>
      </c>
      <c r="R814">
        <f>YEAR(tblSales[[#This Row],[OrderDate]])</f>
        <v>2020</v>
      </c>
      <c r="S814">
        <f>WEEKNUM(tblSales[[#This Row],[OrderDate]])</f>
        <v>30</v>
      </c>
      <c r="T814">
        <f>IF(ISBLANK(tblSales[[#This Row],[ShippedDate]]),"",tblSales[[#This Row],[ShippedDate]]-tblSales[[#This Row],[OrderDate]])</f>
        <v>6</v>
      </c>
      <c r="U814" t="str">
        <f>LEFT(tblSales[[#This Row],[ProductName]],20)</f>
        <v>Geitost</v>
      </c>
    </row>
    <row r="815" spans="2:21" x14ac:dyDescent="0.2">
      <c r="B815">
        <v>10857</v>
      </c>
      <c r="C815" t="s">
        <v>8337</v>
      </c>
      <c r="D815" t="s">
        <v>8292</v>
      </c>
      <c r="E815" t="s">
        <v>8254</v>
      </c>
      <c r="F815" s="222">
        <v>10</v>
      </c>
      <c r="G815">
        <v>30</v>
      </c>
      <c r="H815" s="223">
        <v>0</v>
      </c>
      <c r="I815" s="222">
        <v>300</v>
      </c>
      <c r="J815" t="s">
        <v>8318</v>
      </c>
      <c r="K815" t="s">
        <v>8319</v>
      </c>
      <c r="L815" s="118">
        <v>44039</v>
      </c>
      <c r="M815" s="118">
        <v>44047</v>
      </c>
      <c r="N815" t="s">
        <v>8265</v>
      </c>
      <c r="O815" t="s">
        <v>8320</v>
      </c>
      <c r="P815" t="s">
        <v>8321</v>
      </c>
      <c r="Q815" t="str">
        <f>tblSales[[#This Row],[FirstName]]&amp; " " &amp;tblSales[[#This Row],[LastName]]</f>
        <v>Laura Callahan</v>
      </c>
      <c r="R815">
        <f>YEAR(tblSales[[#This Row],[OrderDate]])</f>
        <v>2020</v>
      </c>
      <c r="S815">
        <f>WEEKNUM(tblSales[[#This Row],[OrderDate]])</f>
        <v>31</v>
      </c>
      <c r="T815">
        <f>IF(ISBLANK(tblSales[[#This Row],[ShippedDate]]),"",tblSales[[#This Row],[ShippedDate]]-tblSales[[#This Row],[OrderDate]])</f>
        <v>8</v>
      </c>
      <c r="U815" t="str">
        <f>LEFT(tblSales[[#This Row],[ProductName]],20)</f>
        <v>Aniseed Syrup</v>
      </c>
    </row>
    <row r="816" spans="2:21" x14ac:dyDescent="0.2">
      <c r="B816">
        <v>10857</v>
      </c>
      <c r="C816" t="s">
        <v>8372</v>
      </c>
      <c r="D816" t="s">
        <v>8292</v>
      </c>
      <c r="E816" t="s">
        <v>8262</v>
      </c>
      <c r="F816" s="222">
        <v>31.23</v>
      </c>
      <c r="G816">
        <v>35</v>
      </c>
      <c r="H816" s="223">
        <v>0.25</v>
      </c>
      <c r="I816" s="222">
        <v>819.79</v>
      </c>
      <c r="J816" t="s">
        <v>8318</v>
      </c>
      <c r="K816" t="s">
        <v>8319</v>
      </c>
      <c r="L816" s="118">
        <v>44039</v>
      </c>
      <c r="M816" s="118">
        <v>44047</v>
      </c>
      <c r="N816" t="s">
        <v>8265</v>
      </c>
      <c r="O816" t="s">
        <v>8320</v>
      </c>
      <c r="P816" t="s">
        <v>8321</v>
      </c>
      <c r="Q816" t="str">
        <f>tblSales[[#This Row],[FirstName]]&amp; " " &amp;tblSales[[#This Row],[LastName]]</f>
        <v>Laura Callahan</v>
      </c>
      <c r="R816">
        <f>YEAR(tblSales[[#This Row],[OrderDate]])</f>
        <v>2020</v>
      </c>
      <c r="S816">
        <f>WEEKNUM(tblSales[[#This Row],[OrderDate]])</f>
        <v>31</v>
      </c>
      <c r="T816">
        <f>IF(ISBLANK(tblSales[[#This Row],[ShippedDate]]),"",tblSales[[#This Row],[ShippedDate]]-tblSales[[#This Row],[OrderDate]])</f>
        <v>8</v>
      </c>
      <c r="U816" t="str">
        <f>LEFT(tblSales[[#This Row],[ProductName]],20)</f>
        <v>Gumbär Gummibärchen</v>
      </c>
    </row>
    <row r="817" spans="2:21" x14ac:dyDescent="0.2">
      <c r="B817">
        <v>10862</v>
      </c>
      <c r="C817" t="s">
        <v>8242</v>
      </c>
      <c r="D817" t="s">
        <v>8246</v>
      </c>
      <c r="E817" t="s">
        <v>8237</v>
      </c>
      <c r="F817" s="222">
        <v>21</v>
      </c>
      <c r="G817">
        <v>25</v>
      </c>
      <c r="H817" s="223">
        <v>0</v>
      </c>
      <c r="I817" s="222">
        <v>525</v>
      </c>
      <c r="J817" t="s">
        <v>8330</v>
      </c>
      <c r="K817" t="s">
        <v>8331</v>
      </c>
      <c r="L817" s="118">
        <v>44040</v>
      </c>
      <c r="M817" s="118">
        <v>44043</v>
      </c>
      <c r="N817" t="s">
        <v>8265</v>
      </c>
      <c r="O817" t="s">
        <v>8320</v>
      </c>
      <c r="P817" t="s">
        <v>8321</v>
      </c>
      <c r="Q817" t="str">
        <f>tblSales[[#This Row],[FirstName]]&amp; " " &amp;tblSales[[#This Row],[LastName]]</f>
        <v>Laura Callahan</v>
      </c>
      <c r="R817">
        <f>YEAR(tblSales[[#This Row],[OrderDate]])</f>
        <v>2020</v>
      </c>
      <c r="S817">
        <f>WEEKNUM(tblSales[[#This Row],[OrderDate]])</f>
        <v>31</v>
      </c>
      <c r="T817">
        <f>IF(ISBLANK(tblSales[[#This Row],[ShippedDate]]),"",tblSales[[#This Row],[ShippedDate]]-tblSales[[#This Row],[OrderDate]])</f>
        <v>3</v>
      </c>
      <c r="U817" t="str">
        <f>LEFT(tblSales[[#This Row],[ProductName]],20)</f>
        <v>Queso Cabrales</v>
      </c>
    </row>
    <row r="818" spans="2:21" x14ac:dyDescent="0.2">
      <c r="B818">
        <v>10862</v>
      </c>
      <c r="C818" t="s">
        <v>8369</v>
      </c>
      <c r="D818" t="s">
        <v>8246</v>
      </c>
      <c r="E818" t="s">
        <v>8244</v>
      </c>
      <c r="F818" s="222">
        <v>7</v>
      </c>
      <c r="G818">
        <v>8</v>
      </c>
      <c r="H818" s="223">
        <v>0</v>
      </c>
      <c r="I818" s="222">
        <v>56</v>
      </c>
      <c r="J818" t="s">
        <v>8330</v>
      </c>
      <c r="K818" t="s">
        <v>8331</v>
      </c>
      <c r="L818" s="118">
        <v>44040</v>
      </c>
      <c r="M818" s="118">
        <v>44043</v>
      </c>
      <c r="N818" t="s">
        <v>8265</v>
      </c>
      <c r="O818" t="s">
        <v>8320</v>
      </c>
      <c r="P818" t="s">
        <v>8321</v>
      </c>
      <c r="Q818" t="str">
        <f>tblSales[[#This Row],[FirstName]]&amp; " " &amp;tblSales[[#This Row],[LastName]]</f>
        <v>Laura Callahan</v>
      </c>
      <c r="R818">
        <f>YEAR(tblSales[[#This Row],[OrderDate]])</f>
        <v>2020</v>
      </c>
      <c r="S818">
        <f>WEEKNUM(tblSales[[#This Row],[OrderDate]])</f>
        <v>31</v>
      </c>
      <c r="T818">
        <f>IF(ISBLANK(tblSales[[#This Row],[ShippedDate]]),"",tblSales[[#This Row],[ShippedDate]]-tblSales[[#This Row],[OrderDate]])</f>
        <v>3</v>
      </c>
      <c r="U818" t="str">
        <f>LEFT(tblSales[[#This Row],[ProductName]],20)</f>
        <v>Filo Mix</v>
      </c>
    </row>
    <row r="819" spans="2:21" x14ac:dyDescent="0.2">
      <c r="B819">
        <v>10864</v>
      </c>
      <c r="C819" t="s">
        <v>8329</v>
      </c>
      <c r="D819" t="s">
        <v>2434</v>
      </c>
      <c r="E819" t="s">
        <v>8272</v>
      </c>
      <c r="F819" s="222">
        <v>14</v>
      </c>
      <c r="G819">
        <v>15</v>
      </c>
      <c r="H819" s="223">
        <v>0</v>
      </c>
      <c r="I819" s="222">
        <v>210</v>
      </c>
      <c r="J819" t="s">
        <v>8386</v>
      </c>
      <c r="K819" t="s">
        <v>8387</v>
      </c>
      <c r="L819" s="118">
        <v>44043</v>
      </c>
      <c r="M819" s="118">
        <v>44050</v>
      </c>
      <c r="N819" t="s">
        <v>8265</v>
      </c>
      <c r="O819" t="s">
        <v>8266</v>
      </c>
      <c r="P819" t="s">
        <v>8267</v>
      </c>
      <c r="Q819" t="str">
        <f>tblSales[[#This Row],[FirstName]]&amp; " " &amp;tblSales[[#This Row],[LastName]]</f>
        <v>Margaret Peacock</v>
      </c>
      <c r="R819">
        <f>YEAR(tblSales[[#This Row],[OrderDate]])</f>
        <v>2020</v>
      </c>
      <c r="S819">
        <f>WEEKNUM(tblSales[[#This Row],[OrderDate]])</f>
        <v>31</v>
      </c>
      <c r="T819">
        <f>IF(ISBLANK(tblSales[[#This Row],[ShippedDate]]),"",tblSales[[#This Row],[ShippedDate]]-tblSales[[#This Row],[OrderDate]])</f>
        <v>7</v>
      </c>
      <c r="U819" t="str">
        <f>LEFT(tblSales[[#This Row],[ProductName]],20)</f>
        <v xml:space="preserve">Laughing Lumberjack </v>
      </c>
    </row>
    <row r="820" spans="2:21" x14ac:dyDescent="0.2">
      <c r="B820">
        <v>10864</v>
      </c>
      <c r="C820" t="s">
        <v>8323</v>
      </c>
      <c r="D820" t="s">
        <v>2434</v>
      </c>
      <c r="E820" t="s">
        <v>8272</v>
      </c>
      <c r="F820" s="222">
        <v>18</v>
      </c>
      <c r="G820">
        <v>4</v>
      </c>
      <c r="H820" s="223">
        <v>0</v>
      </c>
      <c r="I820" s="222">
        <v>72</v>
      </c>
      <c r="J820" t="s">
        <v>8386</v>
      </c>
      <c r="K820" t="s">
        <v>8387</v>
      </c>
      <c r="L820" s="118">
        <v>44043</v>
      </c>
      <c r="M820" s="118">
        <v>44050</v>
      </c>
      <c r="N820" t="s">
        <v>8265</v>
      </c>
      <c r="O820" t="s">
        <v>8266</v>
      </c>
      <c r="P820" t="s">
        <v>8267</v>
      </c>
      <c r="Q820" t="str">
        <f>tblSales[[#This Row],[FirstName]]&amp; " " &amp;tblSales[[#This Row],[LastName]]</f>
        <v>Margaret Peacock</v>
      </c>
      <c r="R820">
        <f>YEAR(tblSales[[#This Row],[OrderDate]])</f>
        <v>2020</v>
      </c>
      <c r="S820">
        <f>WEEKNUM(tblSales[[#This Row],[OrderDate]])</f>
        <v>31</v>
      </c>
      <c r="T820">
        <f>IF(ISBLANK(tblSales[[#This Row],[ShippedDate]]),"",tblSales[[#This Row],[ShippedDate]]-tblSales[[#This Row],[OrderDate]])</f>
        <v>7</v>
      </c>
      <c r="U820" t="str">
        <f>LEFT(tblSales[[#This Row],[ProductName]],20)</f>
        <v>Steeleye Stout</v>
      </c>
    </row>
    <row r="821" spans="2:21" x14ac:dyDescent="0.2">
      <c r="B821">
        <v>10865</v>
      </c>
      <c r="C821" t="s">
        <v>8380</v>
      </c>
      <c r="D821" t="s">
        <v>8246</v>
      </c>
      <c r="E821" t="s">
        <v>8272</v>
      </c>
      <c r="F821" s="222">
        <v>263.5</v>
      </c>
      <c r="G821">
        <v>60</v>
      </c>
      <c r="H821" s="223">
        <v>5.0000000745058101E-2</v>
      </c>
      <c r="I821" s="222">
        <v>15019.5</v>
      </c>
      <c r="J821" t="s">
        <v>8307</v>
      </c>
      <c r="K821" t="s">
        <v>8308</v>
      </c>
      <c r="L821" s="118">
        <v>44043</v>
      </c>
      <c r="M821" s="118">
        <v>44053</v>
      </c>
      <c r="N821" t="s">
        <v>8250</v>
      </c>
      <c r="O821" t="s">
        <v>8297</v>
      </c>
      <c r="P821" t="s">
        <v>8298</v>
      </c>
      <c r="Q821" t="str">
        <f>tblSales[[#This Row],[FirstName]]&amp; " " &amp;tblSales[[#This Row],[LastName]]</f>
        <v>Andrew Fuller</v>
      </c>
      <c r="R821">
        <f>YEAR(tblSales[[#This Row],[OrderDate]])</f>
        <v>2020</v>
      </c>
      <c r="S821">
        <f>WEEKNUM(tblSales[[#This Row],[OrderDate]])</f>
        <v>31</v>
      </c>
      <c r="T821">
        <f>IF(ISBLANK(tblSales[[#This Row],[ShippedDate]]),"",tblSales[[#This Row],[ShippedDate]]-tblSales[[#This Row],[OrderDate]])</f>
        <v>10</v>
      </c>
      <c r="U821" t="str">
        <f>LEFT(tblSales[[#This Row],[ProductName]],20)</f>
        <v>Côte de Blaye</v>
      </c>
    </row>
    <row r="822" spans="2:21" x14ac:dyDescent="0.2">
      <c r="B822">
        <v>10865</v>
      </c>
      <c r="C822" t="s">
        <v>8342</v>
      </c>
      <c r="D822" t="s">
        <v>8246</v>
      </c>
      <c r="E822" t="s">
        <v>8272</v>
      </c>
      <c r="F822" s="222">
        <v>18</v>
      </c>
      <c r="G822">
        <v>80</v>
      </c>
      <c r="H822" s="223">
        <v>5.0000000745058101E-2</v>
      </c>
      <c r="I822" s="222">
        <v>1368</v>
      </c>
      <c r="J822" t="s">
        <v>8307</v>
      </c>
      <c r="K822" t="s">
        <v>8308</v>
      </c>
      <c r="L822" s="118">
        <v>44043</v>
      </c>
      <c r="M822" s="118">
        <v>44053</v>
      </c>
      <c r="N822" t="s">
        <v>8250</v>
      </c>
      <c r="O822" t="s">
        <v>8297</v>
      </c>
      <c r="P822" t="s">
        <v>8298</v>
      </c>
      <c r="Q822" t="str">
        <f>tblSales[[#This Row],[FirstName]]&amp; " " &amp;tblSales[[#This Row],[LastName]]</f>
        <v>Andrew Fuller</v>
      </c>
      <c r="R822">
        <f>YEAR(tblSales[[#This Row],[OrderDate]])</f>
        <v>2020</v>
      </c>
      <c r="S822">
        <f>WEEKNUM(tblSales[[#This Row],[OrderDate]])</f>
        <v>31</v>
      </c>
      <c r="T822">
        <f>IF(ISBLANK(tblSales[[#This Row],[ShippedDate]]),"",tblSales[[#This Row],[ShippedDate]]-tblSales[[#This Row],[OrderDate]])</f>
        <v>10</v>
      </c>
      <c r="U822" t="str">
        <f>LEFT(tblSales[[#This Row],[ProductName]],20)</f>
        <v>Chartreuse verte</v>
      </c>
    </row>
    <row r="823" spans="2:21" x14ac:dyDescent="0.2">
      <c r="B823">
        <v>10866</v>
      </c>
      <c r="C823" t="s">
        <v>8276</v>
      </c>
      <c r="D823" t="s">
        <v>8292</v>
      </c>
      <c r="E823" t="s">
        <v>8272</v>
      </c>
      <c r="F823" s="222">
        <v>19</v>
      </c>
      <c r="G823">
        <v>21</v>
      </c>
      <c r="H823" s="223">
        <v>0.25</v>
      </c>
      <c r="I823" s="222">
        <v>299.25</v>
      </c>
      <c r="J823" t="s">
        <v>8318</v>
      </c>
      <c r="K823" t="s">
        <v>8319</v>
      </c>
      <c r="L823" s="118">
        <v>44044</v>
      </c>
      <c r="M823" s="118">
        <v>44053</v>
      </c>
      <c r="N823" t="s">
        <v>8250</v>
      </c>
      <c r="O823" t="s">
        <v>8241</v>
      </c>
      <c r="P823" t="s">
        <v>6934</v>
      </c>
      <c r="Q823" t="str">
        <f>tblSales[[#This Row],[FirstName]]&amp; " " &amp;tblSales[[#This Row],[LastName]]</f>
        <v>Steven Buchanan</v>
      </c>
      <c r="R823">
        <f>YEAR(tblSales[[#This Row],[OrderDate]])</f>
        <v>2020</v>
      </c>
      <c r="S823">
        <f>WEEKNUM(tblSales[[#This Row],[OrderDate]])</f>
        <v>31</v>
      </c>
      <c r="T823">
        <f>IF(ISBLANK(tblSales[[#This Row],[ShippedDate]]),"",tblSales[[#This Row],[ShippedDate]]-tblSales[[#This Row],[OrderDate]])</f>
        <v>9</v>
      </c>
      <c r="U823" t="str">
        <f>LEFT(tblSales[[#This Row],[ProductName]],20)</f>
        <v>Chang</v>
      </c>
    </row>
    <row r="824" spans="2:21" x14ac:dyDescent="0.2">
      <c r="B824">
        <v>10866</v>
      </c>
      <c r="C824" t="s">
        <v>8270</v>
      </c>
      <c r="D824" t="s">
        <v>8292</v>
      </c>
      <c r="E824" t="s">
        <v>8272</v>
      </c>
      <c r="F824" s="222">
        <v>4.5</v>
      </c>
      <c r="G824">
        <v>6</v>
      </c>
      <c r="H824" s="223">
        <v>0.25</v>
      </c>
      <c r="I824" s="222">
        <v>20.25</v>
      </c>
      <c r="J824" t="s">
        <v>8318</v>
      </c>
      <c r="K824" t="s">
        <v>8319</v>
      </c>
      <c r="L824" s="118">
        <v>44044</v>
      </c>
      <c r="M824" s="118">
        <v>44053</v>
      </c>
      <c r="N824" t="s">
        <v>8250</v>
      </c>
      <c r="O824" t="s">
        <v>8241</v>
      </c>
      <c r="P824" t="s">
        <v>6934</v>
      </c>
      <c r="Q824" t="str">
        <f>tblSales[[#This Row],[FirstName]]&amp; " " &amp;tblSales[[#This Row],[LastName]]</f>
        <v>Steven Buchanan</v>
      </c>
      <c r="R824">
        <f>YEAR(tblSales[[#This Row],[OrderDate]])</f>
        <v>2020</v>
      </c>
      <c r="S824">
        <f>WEEKNUM(tblSales[[#This Row],[OrderDate]])</f>
        <v>31</v>
      </c>
      <c r="T824">
        <f>IF(ISBLANK(tblSales[[#This Row],[ShippedDate]]),"",tblSales[[#This Row],[ShippedDate]]-tblSales[[#This Row],[OrderDate]])</f>
        <v>9</v>
      </c>
      <c r="U824" t="str">
        <f>LEFT(tblSales[[#This Row],[ProductName]],20)</f>
        <v>Guaraná Fantástica</v>
      </c>
    </row>
    <row r="825" spans="2:21" x14ac:dyDescent="0.2">
      <c r="B825">
        <v>10869</v>
      </c>
      <c r="C825" t="s">
        <v>8333</v>
      </c>
      <c r="D825" t="s">
        <v>2434</v>
      </c>
      <c r="E825" t="s">
        <v>8272</v>
      </c>
      <c r="F825" s="222">
        <v>18</v>
      </c>
      <c r="G825">
        <v>40</v>
      </c>
      <c r="H825" s="223">
        <v>0</v>
      </c>
      <c r="I825" s="222">
        <v>720</v>
      </c>
      <c r="J825" t="s">
        <v>8388</v>
      </c>
      <c r="K825" t="s">
        <v>8389</v>
      </c>
      <c r="L825" s="118">
        <v>44045</v>
      </c>
      <c r="M825" s="118">
        <v>44050</v>
      </c>
      <c r="N825" t="s">
        <v>8250</v>
      </c>
      <c r="O825" t="s">
        <v>8241</v>
      </c>
      <c r="P825" t="s">
        <v>6934</v>
      </c>
      <c r="Q825" t="str">
        <f>tblSales[[#This Row],[FirstName]]&amp; " " &amp;tblSales[[#This Row],[LastName]]</f>
        <v>Steven Buchanan</v>
      </c>
      <c r="R825">
        <f>YEAR(tblSales[[#This Row],[OrderDate]])</f>
        <v>2020</v>
      </c>
      <c r="S825">
        <f>WEEKNUM(tblSales[[#This Row],[OrderDate]])</f>
        <v>32</v>
      </c>
      <c r="T825">
        <f>IF(ISBLANK(tblSales[[#This Row],[ShippedDate]]),"",tblSales[[#This Row],[ShippedDate]]-tblSales[[#This Row],[OrderDate]])</f>
        <v>5</v>
      </c>
      <c r="U825" t="str">
        <f>LEFT(tblSales[[#This Row],[ProductName]],20)</f>
        <v>Chai</v>
      </c>
    </row>
    <row r="826" spans="2:21" x14ac:dyDescent="0.2">
      <c r="B826">
        <v>10869</v>
      </c>
      <c r="C826" t="s">
        <v>8334</v>
      </c>
      <c r="D826" t="s">
        <v>2434</v>
      </c>
      <c r="E826" t="s">
        <v>8262</v>
      </c>
      <c r="F826" s="222">
        <v>12.5</v>
      </c>
      <c r="G826">
        <v>20</v>
      </c>
      <c r="H826" s="223">
        <v>0</v>
      </c>
      <c r="I826" s="222">
        <v>250</v>
      </c>
      <c r="J826" t="s">
        <v>8388</v>
      </c>
      <c r="K826" t="s">
        <v>8389</v>
      </c>
      <c r="L826" s="118">
        <v>44045</v>
      </c>
      <c r="M826" s="118">
        <v>44050</v>
      </c>
      <c r="N826" t="s">
        <v>8250</v>
      </c>
      <c r="O826" t="s">
        <v>8241</v>
      </c>
      <c r="P826" t="s">
        <v>6934</v>
      </c>
      <c r="Q826" t="str">
        <f>tblSales[[#This Row],[FirstName]]&amp; " " &amp;tblSales[[#This Row],[LastName]]</f>
        <v>Steven Buchanan</v>
      </c>
      <c r="R826">
        <f>YEAR(tblSales[[#This Row],[OrderDate]])</f>
        <v>2020</v>
      </c>
      <c r="S826">
        <f>WEEKNUM(tblSales[[#This Row],[OrderDate]])</f>
        <v>32</v>
      </c>
      <c r="T826">
        <f>IF(ISBLANK(tblSales[[#This Row],[ShippedDate]]),"",tblSales[[#This Row],[ShippedDate]]-tblSales[[#This Row],[OrderDate]])</f>
        <v>5</v>
      </c>
      <c r="U826" t="str">
        <f>LEFT(tblSales[[#This Row],[ProductName]],20)</f>
        <v>Scottish Longbreads</v>
      </c>
    </row>
    <row r="827" spans="2:21" x14ac:dyDescent="0.2">
      <c r="B827">
        <v>10869</v>
      </c>
      <c r="C827" t="s">
        <v>8242</v>
      </c>
      <c r="D827" t="s">
        <v>2434</v>
      </c>
      <c r="E827" t="s">
        <v>8237</v>
      </c>
      <c r="F827" s="222">
        <v>21</v>
      </c>
      <c r="G827">
        <v>10</v>
      </c>
      <c r="H827" s="223">
        <v>0</v>
      </c>
      <c r="I827" s="222">
        <v>210</v>
      </c>
      <c r="J827" t="s">
        <v>8388</v>
      </c>
      <c r="K827" t="s">
        <v>8389</v>
      </c>
      <c r="L827" s="118">
        <v>44045</v>
      </c>
      <c r="M827" s="118">
        <v>44050</v>
      </c>
      <c r="N827" t="s">
        <v>8250</v>
      </c>
      <c r="O827" t="s">
        <v>8241</v>
      </c>
      <c r="P827" t="s">
        <v>6934</v>
      </c>
      <c r="Q827" t="str">
        <f>tblSales[[#This Row],[FirstName]]&amp; " " &amp;tblSales[[#This Row],[LastName]]</f>
        <v>Steven Buchanan</v>
      </c>
      <c r="R827">
        <f>YEAR(tblSales[[#This Row],[OrderDate]])</f>
        <v>2020</v>
      </c>
      <c r="S827">
        <f>WEEKNUM(tblSales[[#This Row],[OrderDate]])</f>
        <v>32</v>
      </c>
      <c r="T827">
        <f>IF(ISBLANK(tblSales[[#This Row],[ShippedDate]]),"",tblSales[[#This Row],[ShippedDate]]-tblSales[[#This Row],[OrderDate]])</f>
        <v>5</v>
      </c>
      <c r="U827" t="str">
        <f>LEFT(tblSales[[#This Row],[ProductName]],20)</f>
        <v>Queso Cabrales</v>
      </c>
    </row>
    <row r="828" spans="2:21" x14ac:dyDescent="0.2">
      <c r="B828">
        <v>10869</v>
      </c>
      <c r="C828" t="s">
        <v>8373</v>
      </c>
      <c r="D828" t="s">
        <v>2434</v>
      </c>
      <c r="E828" t="s">
        <v>8244</v>
      </c>
      <c r="F828" s="222">
        <v>9</v>
      </c>
      <c r="G828">
        <v>50</v>
      </c>
      <c r="H828" s="223">
        <v>0</v>
      </c>
      <c r="I828" s="222">
        <v>450</v>
      </c>
      <c r="J828" t="s">
        <v>8388</v>
      </c>
      <c r="K828" t="s">
        <v>8389</v>
      </c>
      <c r="L828" s="118">
        <v>44045</v>
      </c>
      <c r="M828" s="118">
        <v>44050</v>
      </c>
      <c r="N828" t="s">
        <v>8250</v>
      </c>
      <c r="O828" t="s">
        <v>8241</v>
      </c>
      <c r="P828" t="s">
        <v>6934</v>
      </c>
      <c r="Q828" t="str">
        <f>tblSales[[#This Row],[FirstName]]&amp; " " &amp;tblSales[[#This Row],[LastName]]</f>
        <v>Steven Buchanan</v>
      </c>
      <c r="R828">
        <f>YEAR(tblSales[[#This Row],[OrderDate]])</f>
        <v>2020</v>
      </c>
      <c r="S828">
        <f>WEEKNUM(tblSales[[#This Row],[OrderDate]])</f>
        <v>32</v>
      </c>
      <c r="T828">
        <f>IF(ISBLANK(tblSales[[#This Row],[ShippedDate]]),"",tblSales[[#This Row],[ShippedDate]]-tblSales[[#This Row],[OrderDate]])</f>
        <v>5</v>
      </c>
      <c r="U828" t="str">
        <f>LEFT(tblSales[[#This Row],[ProductName]],20)</f>
        <v>Tunnbröd</v>
      </c>
    </row>
    <row r="829" spans="2:21" x14ac:dyDescent="0.2">
      <c r="B829">
        <v>10870</v>
      </c>
      <c r="C829" t="s">
        <v>8323</v>
      </c>
      <c r="D829" t="s">
        <v>8400</v>
      </c>
      <c r="E829" t="s">
        <v>8272</v>
      </c>
      <c r="F829" s="222">
        <v>18</v>
      </c>
      <c r="G829">
        <v>3</v>
      </c>
      <c r="H829" s="223">
        <v>0</v>
      </c>
      <c r="I829" s="222">
        <v>54</v>
      </c>
      <c r="J829" t="s">
        <v>8401</v>
      </c>
      <c r="K829" t="s">
        <v>8402</v>
      </c>
      <c r="L829" s="118">
        <v>44045</v>
      </c>
      <c r="M829" s="118">
        <v>44054</v>
      </c>
      <c r="N829" t="s">
        <v>8240</v>
      </c>
      <c r="O829" t="s">
        <v>8241</v>
      </c>
      <c r="P829" t="s">
        <v>6934</v>
      </c>
      <c r="Q829" t="str">
        <f>tblSales[[#This Row],[FirstName]]&amp; " " &amp;tblSales[[#This Row],[LastName]]</f>
        <v>Steven Buchanan</v>
      </c>
      <c r="R829">
        <f>YEAR(tblSales[[#This Row],[OrderDate]])</f>
        <v>2020</v>
      </c>
      <c r="S829">
        <f>WEEKNUM(tblSales[[#This Row],[OrderDate]])</f>
        <v>32</v>
      </c>
      <c r="T829">
        <f>IF(ISBLANK(tblSales[[#This Row],[ShippedDate]]),"",tblSales[[#This Row],[ShippedDate]]-tblSales[[#This Row],[OrderDate]])</f>
        <v>9</v>
      </c>
      <c r="U829" t="str">
        <f>LEFT(tblSales[[#This Row],[ProductName]],20)</f>
        <v>Steeleye Stout</v>
      </c>
    </row>
    <row r="830" spans="2:21" x14ac:dyDescent="0.2">
      <c r="B830">
        <v>10870</v>
      </c>
      <c r="C830" t="s">
        <v>8245</v>
      </c>
      <c r="D830" t="s">
        <v>8400</v>
      </c>
      <c r="E830" t="s">
        <v>8247</v>
      </c>
      <c r="F830" s="222">
        <v>53</v>
      </c>
      <c r="G830">
        <v>2</v>
      </c>
      <c r="H830" s="223">
        <v>0</v>
      </c>
      <c r="I830" s="222">
        <v>106</v>
      </c>
      <c r="J830" t="s">
        <v>8401</v>
      </c>
      <c r="K830" t="s">
        <v>8402</v>
      </c>
      <c r="L830" s="118">
        <v>44045</v>
      </c>
      <c r="M830" s="118">
        <v>44054</v>
      </c>
      <c r="N830" t="s">
        <v>8240</v>
      </c>
      <c r="O830" t="s">
        <v>8241</v>
      </c>
      <c r="P830" t="s">
        <v>6934</v>
      </c>
      <c r="Q830" t="str">
        <f>tblSales[[#This Row],[FirstName]]&amp; " " &amp;tblSales[[#This Row],[LastName]]</f>
        <v>Steven Buchanan</v>
      </c>
      <c r="R830">
        <f>YEAR(tblSales[[#This Row],[OrderDate]])</f>
        <v>2020</v>
      </c>
      <c r="S830">
        <f>WEEKNUM(tblSales[[#This Row],[OrderDate]])</f>
        <v>32</v>
      </c>
      <c r="T830">
        <f>IF(ISBLANK(tblSales[[#This Row],[ShippedDate]]),"",tblSales[[#This Row],[ShippedDate]]-tblSales[[#This Row],[OrderDate]])</f>
        <v>9</v>
      </c>
      <c r="U830" t="str">
        <f>LEFT(tblSales[[#This Row],[ProductName]],20)</f>
        <v>Manjimup Dried Apple</v>
      </c>
    </row>
    <row r="831" spans="2:21" x14ac:dyDescent="0.2">
      <c r="B831">
        <v>10872</v>
      </c>
      <c r="C831" t="s">
        <v>8253</v>
      </c>
      <c r="D831" t="s">
        <v>8324</v>
      </c>
      <c r="E831" t="s">
        <v>8254</v>
      </c>
      <c r="F831" s="222">
        <v>21.05</v>
      </c>
      <c r="G831">
        <v>21</v>
      </c>
      <c r="H831" s="223">
        <v>5.0000000745058101E-2</v>
      </c>
      <c r="I831" s="222">
        <v>419.95</v>
      </c>
      <c r="J831" t="s">
        <v>8349</v>
      </c>
      <c r="K831" t="s">
        <v>8350</v>
      </c>
      <c r="L831" s="118">
        <v>44046</v>
      </c>
      <c r="M831" s="118">
        <v>44050</v>
      </c>
      <c r="N831" t="s">
        <v>8265</v>
      </c>
      <c r="O831" t="s">
        <v>8241</v>
      </c>
      <c r="P831" t="s">
        <v>6934</v>
      </c>
      <c r="Q831" t="str">
        <f>tblSales[[#This Row],[FirstName]]&amp; " " &amp;tblSales[[#This Row],[LastName]]</f>
        <v>Steven Buchanan</v>
      </c>
      <c r="R831">
        <f>YEAR(tblSales[[#This Row],[OrderDate]])</f>
        <v>2020</v>
      </c>
      <c r="S831">
        <f>WEEKNUM(tblSales[[#This Row],[OrderDate]])</f>
        <v>32</v>
      </c>
      <c r="T831">
        <f>IF(ISBLANK(tblSales[[#This Row],[ShippedDate]]),"",tblSales[[#This Row],[ShippedDate]]-tblSales[[#This Row],[OrderDate]])</f>
        <v>4</v>
      </c>
      <c r="U831" t="str">
        <f>LEFT(tblSales[[#This Row],[ProductName]],20)</f>
        <v xml:space="preserve">Louisiana Fiery Hot </v>
      </c>
    </row>
    <row r="832" spans="2:21" x14ac:dyDescent="0.2">
      <c r="B832">
        <v>10872</v>
      </c>
      <c r="C832" t="s">
        <v>8291</v>
      </c>
      <c r="D832" t="s">
        <v>8324</v>
      </c>
      <c r="E832" t="s">
        <v>8262</v>
      </c>
      <c r="F832" s="222">
        <v>49.3</v>
      </c>
      <c r="G832">
        <v>20</v>
      </c>
      <c r="H832" s="223">
        <v>5.0000000745058101E-2</v>
      </c>
      <c r="I832" s="222">
        <v>936.7</v>
      </c>
      <c r="J832" t="s">
        <v>8349</v>
      </c>
      <c r="K832" t="s">
        <v>8350</v>
      </c>
      <c r="L832" s="118">
        <v>44046</v>
      </c>
      <c r="M832" s="118">
        <v>44050</v>
      </c>
      <c r="N832" t="s">
        <v>8265</v>
      </c>
      <c r="O832" t="s">
        <v>8241</v>
      </c>
      <c r="P832" t="s">
        <v>6934</v>
      </c>
      <c r="Q832" t="str">
        <f>tblSales[[#This Row],[FirstName]]&amp; " " &amp;tblSales[[#This Row],[LastName]]</f>
        <v>Steven Buchanan</v>
      </c>
      <c r="R832">
        <f>YEAR(tblSales[[#This Row],[OrderDate]])</f>
        <v>2020</v>
      </c>
      <c r="S832">
        <f>WEEKNUM(tblSales[[#This Row],[OrderDate]])</f>
        <v>32</v>
      </c>
      <c r="T832">
        <f>IF(ISBLANK(tblSales[[#This Row],[ShippedDate]]),"",tblSales[[#This Row],[ShippedDate]]-tblSales[[#This Row],[OrderDate]])</f>
        <v>4</v>
      </c>
      <c r="U832" t="str">
        <f>LEFT(tblSales[[#This Row],[ProductName]],20)</f>
        <v>Tarte au sucre</v>
      </c>
    </row>
    <row r="833" spans="2:21" x14ac:dyDescent="0.2">
      <c r="B833">
        <v>10872</v>
      </c>
      <c r="C833" t="s">
        <v>8340</v>
      </c>
      <c r="D833" t="s">
        <v>8324</v>
      </c>
      <c r="E833" t="s">
        <v>8244</v>
      </c>
      <c r="F833" s="222">
        <v>33.25</v>
      </c>
      <c r="G833">
        <v>15</v>
      </c>
      <c r="H833" s="223">
        <v>5.0000000745058101E-2</v>
      </c>
      <c r="I833" s="222">
        <v>473.81</v>
      </c>
      <c r="J833" t="s">
        <v>8349</v>
      </c>
      <c r="K833" t="s">
        <v>8350</v>
      </c>
      <c r="L833" s="118">
        <v>44046</v>
      </c>
      <c r="M833" s="118">
        <v>44050</v>
      </c>
      <c r="N833" t="s">
        <v>8265</v>
      </c>
      <c r="O833" t="s">
        <v>8241</v>
      </c>
      <c r="P833" t="s">
        <v>6934</v>
      </c>
      <c r="Q833" t="str">
        <f>tblSales[[#This Row],[FirstName]]&amp; " " &amp;tblSales[[#This Row],[LastName]]</f>
        <v>Steven Buchanan</v>
      </c>
      <c r="R833">
        <f>YEAR(tblSales[[#This Row],[OrderDate]])</f>
        <v>2020</v>
      </c>
      <c r="S833">
        <f>WEEKNUM(tblSales[[#This Row],[OrderDate]])</f>
        <v>32</v>
      </c>
      <c r="T833">
        <f>IF(ISBLANK(tblSales[[#This Row],[ShippedDate]]),"",tblSales[[#This Row],[ShippedDate]]-tblSales[[#This Row],[OrderDate]])</f>
        <v>4</v>
      </c>
      <c r="U833" t="str">
        <f>LEFT(tblSales[[#This Row],[ProductName]],20)</f>
        <v>Wimmers gute Semmelk</v>
      </c>
    </row>
    <row r="834" spans="2:21" x14ac:dyDescent="0.2">
      <c r="B834">
        <v>10871</v>
      </c>
      <c r="C834" t="s">
        <v>8351</v>
      </c>
      <c r="D834" t="s">
        <v>8236</v>
      </c>
      <c r="E834" t="s">
        <v>8254</v>
      </c>
      <c r="F834" s="222">
        <v>25</v>
      </c>
      <c r="G834">
        <v>50</v>
      </c>
      <c r="H834" s="223">
        <v>5.0000000745058101E-2</v>
      </c>
      <c r="I834" s="222">
        <v>1187.5</v>
      </c>
      <c r="J834" t="s">
        <v>8377</v>
      </c>
      <c r="K834" t="s">
        <v>8378</v>
      </c>
      <c r="L834" s="118">
        <v>44046</v>
      </c>
      <c r="M834" s="118">
        <v>44052</v>
      </c>
      <c r="N834" t="s">
        <v>8265</v>
      </c>
      <c r="O834" t="s">
        <v>8279</v>
      </c>
      <c r="P834" t="s">
        <v>710</v>
      </c>
      <c r="Q834" t="str">
        <f>tblSales[[#This Row],[FirstName]]&amp; " " &amp;tblSales[[#This Row],[LastName]]</f>
        <v>Anne Dodsworth</v>
      </c>
      <c r="R834">
        <f>YEAR(tblSales[[#This Row],[OrderDate]])</f>
        <v>2020</v>
      </c>
      <c r="S834">
        <f>WEEKNUM(tblSales[[#This Row],[OrderDate]])</f>
        <v>32</v>
      </c>
      <c r="T834">
        <f>IF(ISBLANK(tblSales[[#This Row],[ShippedDate]]),"",tblSales[[#This Row],[ShippedDate]]-tblSales[[#This Row],[OrderDate]])</f>
        <v>6</v>
      </c>
      <c r="U834" t="str">
        <f>LEFT(tblSales[[#This Row],[ProductName]],20)</f>
        <v>Grandma's Boysenberr</v>
      </c>
    </row>
    <row r="835" spans="2:21" x14ac:dyDescent="0.2">
      <c r="B835">
        <v>10871</v>
      </c>
      <c r="C835" t="s">
        <v>8280</v>
      </c>
      <c r="D835" t="s">
        <v>8236</v>
      </c>
      <c r="E835" t="s">
        <v>8262</v>
      </c>
      <c r="F835" s="222">
        <v>17.45</v>
      </c>
      <c r="G835">
        <v>12</v>
      </c>
      <c r="H835" s="223">
        <v>5.0000000745058101E-2</v>
      </c>
      <c r="I835" s="222">
        <v>198.93</v>
      </c>
      <c r="J835" t="s">
        <v>8377</v>
      </c>
      <c r="K835" t="s">
        <v>8378</v>
      </c>
      <c r="L835" s="118">
        <v>44046</v>
      </c>
      <c r="M835" s="118">
        <v>44052</v>
      </c>
      <c r="N835" t="s">
        <v>8265</v>
      </c>
      <c r="O835" t="s">
        <v>8279</v>
      </c>
      <c r="P835" t="s">
        <v>710</v>
      </c>
      <c r="Q835" t="str">
        <f>tblSales[[#This Row],[FirstName]]&amp; " " &amp;tblSales[[#This Row],[LastName]]</f>
        <v>Anne Dodsworth</v>
      </c>
      <c r="R835">
        <f>YEAR(tblSales[[#This Row],[OrderDate]])</f>
        <v>2020</v>
      </c>
      <c r="S835">
        <f>WEEKNUM(tblSales[[#This Row],[OrderDate]])</f>
        <v>32</v>
      </c>
      <c r="T835">
        <f>IF(ISBLANK(tblSales[[#This Row],[ShippedDate]]),"",tblSales[[#This Row],[ShippedDate]]-tblSales[[#This Row],[OrderDate]])</f>
        <v>6</v>
      </c>
      <c r="U835" t="str">
        <f>LEFT(tblSales[[#This Row],[ProductName]],20)</f>
        <v>Pavlova</v>
      </c>
    </row>
    <row r="836" spans="2:21" x14ac:dyDescent="0.2">
      <c r="B836">
        <v>10873</v>
      </c>
      <c r="C836" t="s">
        <v>8368</v>
      </c>
      <c r="D836" t="s">
        <v>8300</v>
      </c>
      <c r="E836" t="s">
        <v>8262</v>
      </c>
      <c r="F836" s="222">
        <v>10</v>
      </c>
      <c r="G836">
        <v>20</v>
      </c>
      <c r="H836" s="223">
        <v>0</v>
      </c>
      <c r="I836" s="222">
        <v>200</v>
      </c>
      <c r="J836" t="s">
        <v>8426</v>
      </c>
      <c r="K836" t="s">
        <v>8427</v>
      </c>
      <c r="L836" s="118">
        <v>44047</v>
      </c>
      <c r="M836" s="118">
        <v>44050</v>
      </c>
      <c r="N836" t="s">
        <v>8250</v>
      </c>
      <c r="O836" t="s">
        <v>8266</v>
      </c>
      <c r="P836" t="s">
        <v>8267</v>
      </c>
      <c r="Q836" t="str">
        <f>tblSales[[#This Row],[FirstName]]&amp; " " &amp;tblSales[[#This Row],[LastName]]</f>
        <v>Margaret Peacock</v>
      </c>
      <c r="R836">
        <f>YEAR(tblSales[[#This Row],[OrderDate]])</f>
        <v>2020</v>
      </c>
      <c r="S836">
        <f>WEEKNUM(tblSales[[#This Row],[OrderDate]])</f>
        <v>32</v>
      </c>
      <c r="T836">
        <f>IF(ISBLANK(tblSales[[#This Row],[ShippedDate]]),"",tblSales[[#This Row],[ShippedDate]]-tblSales[[#This Row],[OrderDate]])</f>
        <v>3</v>
      </c>
      <c r="U836" t="str">
        <f>LEFT(tblSales[[#This Row],[ProductName]],20)</f>
        <v>Sir Rodney's Scones</v>
      </c>
    </row>
    <row r="837" spans="2:21" x14ac:dyDescent="0.2">
      <c r="B837">
        <v>10873</v>
      </c>
      <c r="C837" t="s">
        <v>8316</v>
      </c>
      <c r="D837" t="s">
        <v>8300</v>
      </c>
      <c r="E837" t="s">
        <v>8247</v>
      </c>
      <c r="F837" s="222">
        <v>45.6</v>
      </c>
      <c r="G837">
        <v>3</v>
      </c>
      <c r="H837" s="223">
        <v>0</v>
      </c>
      <c r="I837" s="222">
        <v>136.80000000000001</v>
      </c>
      <c r="J837" t="s">
        <v>8426</v>
      </c>
      <c r="K837" t="s">
        <v>8427</v>
      </c>
      <c r="L837" s="118">
        <v>44047</v>
      </c>
      <c r="M837" s="118">
        <v>44050</v>
      </c>
      <c r="N837" t="s">
        <v>8250</v>
      </c>
      <c r="O837" t="s">
        <v>8266</v>
      </c>
      <c r="P837" t="s">
        <v>8267</v>
      </c>
      <c r="Q837" t="str">
        <f>tblSales[[#This Row],[FirstName]]&amp; " " &amp;tblSales[[#This Row],[LastName]]</f>
        <v>Margaret Peacock</v>
      </c>
      <c r="R837">
        <f>YEAR(tblSales[[#This Row],[OrderDate]])</f>
        <v>2020</v>
      </c>
      <c r="S837">
        <f>WEEKNUM(tblSales[[#This Row],[OrderDate]])</f>
        <v>32</v>
      </c>
      <c r="T837">
        <f>IF(ISBLANK(tblSales[[#This Row],[ShippedDate]]),"",tblSales[[#This Row],[ShippedDate]]-tblSales[[#This Row],[OrderDate]])</f>
        <v>3</v>
      </c>
      <c r="U837" t="str">
        <f>LEFT(tblSales[[#This Row],[ProductName]],20)</f>
        <v>Rössle Sauerkraut</v>
      </c>
    </row>
    <row r="838" spans="2:21" x14ac:dyDescent="0.2">
      <c r="B838">
        <v>10875</v>
      </c>
      <c r="C838" t="s">
        <v>8390</v>
      </c>
      <c r="D838" t="s">
        <v>8292</v>
      </c>
      <c r="E838" t="s">
        <v>8262</v>
      </c>
      <c r="F838" s="222">
        <v>20</v>
      </c>
      <c r="G838">
        <v>15</v>
      </c>
      <c r="H838" s="223">
        <v>0</v>
      </c>
      <c r="I838" s="222">
        <v>300</v>
      </c>
      <c r="J838" t="s">
        <v>8318</v>
      </c>
      <c r="K838" t="s">
        <v>8319</v>
      </c>
      <c r="L838" s="118">
        <v>44047</v>
      </c>
      <c r="M838" s="118">
        <v>44072</v>
      </c>
      <c r="N838" t="s">
        <v>8265</v>
      </c>
      <c r="O838" t="s">
        <v>8266</v>
      </c>
      <c r="P838" t="s">
        <v>8267</v>
      </c>
      <c r="Q838" t="str">
        <f>tblSales[[#This Row],[FirstName]]&amp; " " &amp;tblSales[[#This Row],[LastName]]</f>
        <v>Margaret Peacock</v>
      </c>
      <c r="R838">
        <f>YEAR(tblSales[[#This Row],[OrderDate]])</f>
        <v>2020</v>
      </c>
      <c r="S838">
        <f>WEEKNUM(tblSales[[#This Row],[OrderDate]])</f>
        <v>32</v>
      </c>
      <c r="T838">
        <f>IF(ISBLANK(tblSales[[#This Row],[ShippedDate]]),"",tblSales[[#This Row],[ShippedDate]]-tblSales[[#This Row],[OrderDate]])</f>
        <v>25</v>
      </c>
      <c r="U838" t="str">
        <f>LEFT(tblSales[[#This Row],[ProductName]],20)</f>
        <v>Maxilaku</v>
      </c>
    </row>
    <row r="839" spans="2:21" x14ac:dyDescent="0.2">
      <c r="B839">
        <v>10875</v>
      </c>
      <c r="C839" t="s">
        <v>8327</v>
      </c>
      <c r="D839" t="s">
        <v>8292</v>
      </c>
      <c r="E839" t="s">
        <v>8262</v>
      </c>
      <c r="F839" s="222">
        <v>9.1999999999999993</v>
      </c>
      <c r="G839">
        <v>25</v>
      </c>
      <c r="H839" s="223">
        <v>0</v>
      </c>
      <c r="I839" s="222">
        <v>230</v>
      </c>
      <c r="J839" t="s">
        <v>8318</v>
      </c>
      <c r="K839" t="s">
        <v>8319</v>
      </c>
      <c r="L839" s="118">
        <v>44047</v>
      </c>
      <c r="M839" s="118">
        <v>44072</v>
      </c>
      <c r="N839" t="s">
        <v>8265</v>
      </c>
      <c r="O839" t="s">
        <v>8266</v>
      </c>
      <c r="P839" t="s">
        <v>8267</v>
      </c>
      <c r="Q839" t="str">
        <f>tblSales[[#This Row],[FirstName]]&amp; " " &amp;tblSales[[#This Row],[LastName]]</f>
        <v>Margaret Peacock</v>
      </c>
      <c r="R839">
        <f>YEAR(tblSales[[#This Row],[OrderDate]])</f>
        <v>2020</v>
      </c>
      <c r="S839">
        <f>WEEKNUM(tblSales[[#This Row],[OrderDate]])</f>
        <v>32</v>
      </c>
      <c r="T839">
        <f>IF(ISBLANK(tblSales[[#This Row],[ShippedDate]]),"",tblSales[[#This Row],[ShippedDate]]-tblSales[[#This Row],[OrderDate]])</f>
        <v>25</v>
      </c>
      <c r="U839" t="str">
        <f>LEFT(tblSales[[#This Row],[ProductName]],20)</f>
        <v>Teatime Chocolate Bi</v>
      </c>
    </row>
    <row r="840" spans="2:21" x14ac:dyDescent="0.2">
      <c r="B840">
        <v>10875</v>
      </c>
      <c r="C840" t="s">
        <v>8410</v>
      </c>
      <c r="D840" t="s">
        <v>8292</v>
      </c>
      <c r="E840" t="s">
        <v>8262</v>
      </c>
      <c r="F840" s="222">
        <v>9.5</v>
      </c>
      <c r="G840">
        <v>21</v>
      </c>
      <c r="H840" s="223">
        <v>0.10000000149011599</v>
      </c>
      <c r="I840" s="222">
        <v>179.55</v>
      </c>
      <c r="J840" t="s">
        <v>8318</v>
      </c>
      <c r="K840" t="s">
        <v>8319</v>
      </c>
      <c r="L840" s="118">
        <v>44047</v>
      </c>
      <c r="M840" s="118">
        <v>44072</v>
      </c>
      <c r="N840" t="s">
        <v>8265</v>
      </c>
      <c r="O840" t="s">
        <v>8266</v>
      </c>
      <c r="P840" t="s">
        <v>8267</v>
      </c>
      <c r="Q840" t="str">
        <f>tblSales[[#This Row],[FirstName]]&amp; " " &amp;tblSales[[#This Row],[LastName]]</f>
        <v>Margaret Peacock</v>
      </c>
      <c r="R840">
        <f>YEAR(tblSales[[#This Row],[OrderDate]])</f>
        <v>2020</v>
      </c>
      <c r="S840">
        <f>WEEKNUM(tblSales[[#This Row],[OrderDate]])</f>
        <v>32</v>
      </c>
      <c r="T840">
        <f>IF(ISBLANK(tblSales[[#This Row],[ShippedDate]]),"",tblSales[[#This Row],[ShippedDate]]-tblSales[[#This Row],[OrderDate]])</f>
        <v>25</v>
      </c>
      <c r="U840" t="str">
        <f>LEFT(tblSales[[#This Row],[ProductName]],20)</f>
        <v>Zaanse koeken</v>
      </c>
    </row>
    <row r="841" spans="2:21" x14ac:dyDescent="0.2">
      <c r="B841">
        <v>10876</v>
      </c>
      <c r="C841" t="s">
        <v>8340</v>
      </c>
      <c r="D841" t="s">
        <v>8236</v>
      </c>
      <c r="E841" t="s">
        <v>8244</v>
      </c>
      <c r="F841" s="222">
        <v>33.25</v>
      </c>
      <c r="G841">
        <v>20</v>
      </c>
      <c r="H841" s="223">
        <v>0</v>
      </c>
      <c r="I841" s="222">
        <v>665</v>
      </c>
      <c r="J841" t="s">
        <v>8377</v>
      </c>
      <c r="K841" t="s">
        <v>8378</v>
      </c>
      <c r="L841" s="118">
        <v>44050</v>
      </c>
      <c r="M841" s="118">
        <v>44053</v>
      </c>
      <c r="N841" t="s">
        <v>8240</v>
      </c>
      <c r="O841" t="s">
        <v>8158</v>
      </c>
      <c r="P841" t="s">
        <v>861</v>
      </c>
      <c r="Q841" t="str">
        <f>tblSales[[#This Row],[FirstName]]&amp; " " &amp;tblSales[[#This Row],[LastName]]</f>
        <v>Robert King</v>
      </c>
      <c r="R841">
        <f>YEAR(tblSales[[#This Row],[OrderDate]])</f>
        <v>2020</v>
      </c>
      <c r="S841">
        <f>WEEKNUM(tblSales[[#This Row],[OrderDate]])</f>
        <v>32</v>
      </c>
      <c r="T841">
        <f>IF(ISBLANK(tblSales[[#This Row],[ShippedDate]]),"",tblSales[[#This Row],[ShippedDate]]-tblSales[[#This Row],[OrderDate]])</f>
        <v>3</v>
      </c>
      <c r="U841" t="str">
        <f>LEFT(tblSales[[#This Row],[ProductName]],20)</f>
        <v>Wimmers gute Semmelk</v>
      </c>
    </row>
    <row r="842" spans="2:21" x14ac:dyDescent="0.2">
      <c r="B842">
        <v>10878</v>
      </c>
      <c r="C842" t="s">
        <v>8260</v>
      </c>
      <c r="D842" t="s">
        <v>8246</v>
      </c>
      <c r="E842" t="s">
        <v>8262</v>
      </c>
      <c r="F842" s="222">
        <v>81</v>
      </c>
      <c r="G842">
        <v>20</v>
      </c>
      <c r="H842" s="223">
        <v>5.0000000745058101E-2</v>
      </c>
      <c r="I842" s="222">
        <v>1539</v>
      </c>
      <c r="J842" t="s">
        <v>8307</v>
      </c>
      <c r="K842" t="s">
        <v>8308</v>
      </c>
      <c r="L842" s="118">
        <v>44052</v>
      </c>
      <c r="M842" s="118">
        <v>44053</v>
      </c>
      <c r="N842" t="s">
        <v>8250</v>
      </c>
      <c r="O842" t="s">
        <v>8266</v>
      </c>
      <c r="P842" t="s">
        <v>8267</v>
      </c>
      <c r="Q842" t="str">
        <f>tblSales[[#This Row],[FirstName]]&amp; " " &amp;tblSales[[#This Row],[LastName]]</f>
        <v>Margaret Peacock</v>
      </c>
      <c r="R842">
        <f>YEAR(tblSales[[#This Row],[OrderDate]])</f>
        <v>2020</v>
      </c>
      <c r="S842">
        <f>WEEKNUM(tblSales[[#This Row],[OrderDate]])</f>
        <v>33</v>
      </c>
      <c r="T842">
        <f>IF(ISBLANK(tblSales[[#This Row],[ShippedDate]]),"",tblSales[[#This Row],[ShippedDate]]-tblSales[[#This Row],[OrderDate]])</f>
        <v>1</v>
      </c>
      <c r="U842" t="str">
        <f>LEFT(tblSales[[#This Row],[ProductName]],20)</f>
        <v>Sir Rodney's Marmala</v>
      </c>
    </row>
    <row r="843" spans="2:21" x14ac:dyDescent="0.2">
      <c r="B843">
        <v>10879</v>
      </c>
      <c r="C843" t="s">
        <v>8303</v>
      </c>
      <c r="D843" t="s">
        <v>8300</v>
      </c>
      <c r="E843" t="s">
        <v>8272</v>
      </c>
      <c r="F843" s="222">
        <v>18</v>
      </c>
      <c r="G843">
        <v>10</v>
      </c>
      <c r="H843" s="223">
        <v>0</v>
      </c>
      <c r="I843" s="222">
        <v>180</v>
      </c>
      <c r="J843" t="s">
        <v>8426</v>
      </c>
      <c r="K843" t="s">
        <v>8427</v>
      </c>
      <c r="L843" s="118">
        <v>44052</v>
      </c>
      <c r="M843" s="118">
        <v>44053</v>
      </c>
      <c r="N843" t="s">
        <v>8240</v>
      </c>
      <c r="O843" t="s">
        <v>8257</v>
      </c>
      <c r="P843" t="s">
        <v>6984</v>
      </c>
      <c r="Q843" t="str">
        <f>tblSales[[#This Row],[FirstName]]&amp; " " &amp;tblSales[[#This Row],[LastName]]</f>
        <v>Janet Leverling</v>
      </c>
      <c r="R843">
        <f>YEAR(tblSales[[#This Row],[OrderDate]])</f>
        <v>2020</v>
      </c>
      <c r="S843">
        <f>WEEKNUM(tblSales[[#This Row],[OrderDate]])</f>
        <v>33</v>
      </c>
      <c r="T843">
        <f>IF(ISBLANK(tblSales[[#This Row],[ShippedDate]]),"",tblSales[[#This Row],[ShippedDate]]-tblSales[[#This Row],[OrderDate]])</f>
        <v>1</v>
      </c>
      <c r="U843" t="str">
        <f>LEFT(tblSales[[#This Row],[ProductName]],20)</f>
        <v>Lakkalikööri</v>
      </c>
    </row>
    <row r="844" spans="2:21" x14ac:dyDescent="0.2">
      <c r="B844">
        <v>10879</v>
      </c>
      <c r="C844" t="s">
        <v>8253</v>
      </c>
      <c r="D844" t="s">
        <v>8300</v>
      </c>
      <c r="E844" t="s">
        <v>8254</v>
      </c>
      <c r="F844" s="222">
        <v>21.05</v>
      </c>
      <c r="G844">
        <v>10</v>
      </c>
      <c r="H844" s="223">
        <v>0</v>
      </c>
      <c r="I844" s="222">
        <v>210.5</v>
      </c>
      <c r="J844" t="s">
        <v>8426</v>
      </c>
      <c r="K844" t="s">
        <v>8427</v>
      </c>
      <c r="L844" s="118">
        <v>44052</v>
      </c>
      <c r="M844" s="118">
        <v>44053</v>
      </c>
      <c r="N844" t="s">
        <v>8240</v>
      </c>
      <c r="O844" t="s">
        <v>8257</v>
      </c>
      <c r="P844" t="s">
        <v>6984</v>
      </c>
      <c r="Q844" t="str">
        <f>tblSales[[#This Row],[FirstName]]&amp; " " &amp;tblSales[[#This Row],[LastName]]</f>
        <v>Janet Leverling</v>
      </c>
      <c r="R844">
        <f>YEAR(tblSales[[#This Row],[OrderDate]])</f>
        <v>2020</v>
      </c>
      <c r="S844">
        <f>WEEKNUM(tblSales[[#This Row],[OrderDate]])</f>
        <v>33</v>
      </c>
      <c r="T844">
        <f>IF(ISBLANK(tblSales[[#This Row],[ShippedDate]]),"",tblSales[[#This Row],[ShippedDate]]-tblSales[[#This Row],[OrderDate]])</f>
        <v>1</v>
      </c>
      <c r="U844" t="str">
        <f>LEFT(tblSales[[#This Row],[ProductName]],20)</f>
        <v xml:space="preserve">Louisiana Fiery Hot </v>
      </c>
    </row>
    <row r="845" spans="2:21" x14ac:dyDescent="0.2">
      <c r="B845">
        <v>10880</v>
      </c>
      <c r="C845" t="s">
        <v>8288</v>
      </c>
      <c r="D845" t="s">
        <v>8292</v>
      </c>
      <c r="E845" t="s">
        <v>8272</v>
      </c>
      <c r="F845" s="222">
        <v>15</v>
      </c>
      <c r="G845">
        <v>50</v>
      </c>
      <c r="H845" s="223">
        <v>0.20000000298023199</v>
      </c>
      <c r="I845" s="222">
        <v>600</v>
      </c>
      <c r="J845" t="s">
        <v>8293</v>
      </c>
      <c r="K845" t="s">
        <v>8294</v>
      </c>
      <c r="L845" s="118">
        <v>44052</v>
      </c>
      <c r="M845" s="118">
        <v>44059</v>
      </c>
      <c r="N845" t="s">
        <v>8250</v>
      </c>
      <c r="O845" t="s">
        <v>8158</v>
      </c>
      <c r="P845" t="s">
        <v>861</v>
      </c>
      <c r="Q845" t="str">
        <f>tblSales[[#This Row],[FirstName]]&amp; " " &amp;tblSales[[#This Row],[LastName]]</f>
        <v>Robert King</v>
      </c>
      <c r="R845">
        <f>YEAR(tblSales[[#This Row],[OrderDate]])</f>
        <v>2020</v>
      </c>
      <c r="S845">
        <f>WEEKNUM(tblSales[[#This Row],[OrderDate]])</f>
        <v>33</v>
      </c>
      <c r="T845">
        <f>IF(ISBLANK(tblSales[[#This Row],[ShippedDate]]),"",tblSales[[#This Row],[ShippedDate]]-tblSales[[#This Row],[OrderDate]])</f>
        <v>7</v>
      </c>
      <c r="U845" t="str">
        <f>LEFT(tblSales[[#This Row],[ProductName]],20)</f>
        <v>Outback Lager</v>
      </c>
    </row>
    <row r="846" spans="2:21" x14ac:dyDescent="0.2">
      <c r="B846">
        <v>10880</v>
      </c>
      <c r="C846" t="s">
        <v>8409</v>
      </c>
      <c r="D846" t="s">
        <v>8292</v>
      </c>
      <c r="E846" t="s">
        <v>8254</v>
      </c>
      <c r="F846" s="222">
        <v>28.5</v>
      </c>
      <c r="G846">
        <v>30</v>
      </c>
      <c r="H846" s="223">
        <v>0.20000000298023199</v>
      </c>
      <c r="I846" s="222">
        <v>684</v>
      </c>
      <c r="J846" t="s">
        <v>8293</v>
      </c>
      <c r="K846" t="s">
        <v>8294</v>
      </c>
      <c r="L846" s="118">
        <v>44052</v>
      </c>
      <c r="M846" s="118">
        <v>44059</v>
      </c>
      <c r="N846" t="s">
        <v>8250</v>
      </c>
      <c r="O846" t="s">
        <v>8158</v>
      </c>
      <c r="P846" t="s">
        <v>861</v>
      </c>
      <c r="Q846" t="str">
        <f>tblSales[[#This Row],[FirstName]]&amp; " " &amp;tblSales[[#This Row],[LastName]]</f>
        <v>Robert King</v>
      </c>
      <c r="R846">
        <f>YEAR(tblSales[[#This Row],[OrderDate]])</f>
        <v>2020</v>
      </c>
      <c r="S846">
        <f>WEEKNUM(tblSales[[#This Row],[OrderDate]])</f>
        <v>33</v>
      </c>
      <c r="T846">
        <f>IF(ISBLANK(tblSales[[#This Row],[ShippedDate]]),"",tblSales[[#This Row],[ShippedDate]]-tblSales[[#This Row],[OrderDate]])</f>
        <v>7</v>
      </c>
      <c r="U846" t="str">
        <f>LEFT(tblSales[[#This Row],[ProductName]],20)</f>
        <v>Sirop d'érable</v>
      </c>
    </row>
    <row r="847" spans="2:21" x14ac:dyDescent="0.2">
      <c r="B847">
        <v>10880</v>
      </c>
      <c r="C847" t="s">
        <v>8373</v>
      </c>
      <c r="D847" t="s">
        <v>8292</v>
      </c>
      <c r="E847" t="s">
        <v>8244</v>
      </c>
      <c r="F847" s="222">
        <v>9</v>
      </c>
      <c r="G847">
        <v>30</v>
      </c>
      <c r="H847" s="223">
        <v>0.20000000298023199</v>
      </c>
      <c r="I847" s="222">
        <v>216</v>
      </c>
      <c r="J847" t="s">
        <v>8293</v>
      </c>
      <c r="K847" t="s">
        <v>8294</v>
      </c>
      <c r="L847" s="118">
        <v>44052</v>
      </c>
      <c r="M847" s="118">
        <v>44059</v>
      </c>
      <c r="N847" t="s">
        <v>8250</v>
      </c>
      <c r="O847" t="s">
        <v>8158</v>
      </c>
      <c r="P847" t="s">
        <v>861</v>
      </c>
      <c r="Q847" t="str">
        <f>tblSales[[#This Row],[FirstName]]&amp; " " &amp;tblSales[[#This Row],[LastName]]</f>
        <v>Robert King</v>
      </c>
      <c r="R847">
        <f>YEAR(tblSales[[#This Row],[OrderDate]])</f>
        <v>2020</v>
      </c>
      <c r="S847">
        <f>WEEKNUM(tblSales[[#This Row],[OrderDate]])</f>
        <v>33</v>
      </c>
      <c r="T847">
        <f>IF(ISBLANK(tblSales[[#This Row],[ShippedDate]]),"",tblSales[[#This Row],[ShippedDate]]-tblSales[[#This Row],[OrderDate]])</f>
        <v>7</v>
      </c>
      <c r="U847" t="str">
        <f>LEFT(tblSales[[#This Row],[ProductName]],20)</f>
        <v>Tunnbröd</v>
      </c>
    </row>
    <row r="848" spans="2:21" x14ac:dyDescent="0.2">
      <c r="B848">
        <v>10885</v>
      </c>
      <c r="C848" t="s">
        <v>8288</v>
      </c>
      <c r="D848" t="s">
        <v>8261</v>
      </c>
      <c r="E848" t="s">
        <v>8272</v>
      </c>
      <c r="F848" s="222">
        <v>15</v>
      </c>
      <c r="G848">
        <v>30</v>
      </c>
      <c r="H848" s="223">
        <v>0</v>
      </c>
      <c r="I848" s="222">
        <v>450</v>
      </c>
      <c r="J848" t="s">
        <v>8263</v>
      </c>
      <c r="K848" t="s">
        <v>8264</v>
      </c>
      <c r="L848" s="118">
        <v>44053</v>
      </c>
      <c r="M848" s="118">
        <v>44059</v>
      </c>
      <c r="N848" t="s">
        <v>8240</v>
      </c>
      <c r="O848" t="s">
        <v>8251</v>
      </c>
      <c r="P848" t="s">
        <v>269</v>
      </c>
      <c r="Q848" t="str">
        <f>tblSales[[#This Row],[FirstName]]&amp; " " &amp;tblSales[[#This Row],[LastName]]</f>
        <v>Michael Suyama</v>
      </c>
      <c r="R848">
        <f>YEAR(tblSales[[#This Row],[OrderDate]])</f>
        <v>2020</v>
      </c>
      <c r="S848">
        <f>WEEKNUM(tblSales[[#This Row],[OrderDate]])</f>
        <v>33</v>
      </c>
      <c r="T848">
        <f>IF(ISBLANK(tblSales[[#This Row],[ShippedDate]]),"",tblSales[[#This Row],[ShippedDate]]-tblSales[[#This Row],[OrderDate]])</f>
        <v>6</v>
      </c>
      <c r="U848" t="str">
        <f>LEFT(tblSales[[#This Row],[ProductName]],20)</f>
        <v>Outback Lager</v>
      </c>
    </row>
    <row r="849" spans="2:21" x14ac:dyDescent="0.2">
      <c r="B849">
        <v>10885</v>
      </c>
      <c r="C849" t="s">
        <v>8276</v>
      </c>
      <c r="D849" t="s">
        <v>8261</v>
      </c>
      <c r="E849" t="s">
        <v>8272</v>
      </c>
      <c r="F849" s="222">
        <v>19</v>
      </c>
      <c r="G849">
        <v>20</v>
      </c>
      <c r="H849" s="223">
        <v>0</v>
      </c>
      <c r="I849" s="222">
        <v>380</v>
      </c>
      <c r="J849" t="s">
        <v>8263</v>
      </c>
      <c r="K849" t="s">
        <v>8264</v>
      </c>
      <c r="L849" s="118">
        <v>44053</v>
      </c>
      <c r="M849" s="118">
        <v>44059</v>
      </c>
      <c r="N849" t="s">
        <v>8240</v>
      </c>
      <c r="O849" t="s">
        <v>8251</v>
      </c>
      <c r="P849" t="s">
        <v>269</v>
      </c>
      <c r="Q849" t="str">
        <f>tblSales[[#This Row],[FirstName]]&amp; " " &amp;tblSales[[#This Row],[LastName]]</f>
        <v>Michael Suyama</v>
      </c>
      <c r="R849">
        <f>YEAR(tblSales[[#This Row],[OrderDate]])</f>
        <v>2020</v>
      </c>
      <c r="S849">
        <f>WEEKNUM(tblSales[[#This Row],[OrderDate]])</f>
        <v>33</v>
      </c>
      <c r="T849">
        <f>IF(ISBLANK(tblSales[[#This Row],[ShippedDate]]),"",tblSales[[#This Row],[ShippedDate]]-tblSales[[#This Row],[OrderDate]])</f>
        <v>6</v>
      </c>
      <c r="U849" t="str">
        <f>LEFT(tblSales[[#This Row],[ProductName]],20)</f>
        <v>Chang</v>
      </c>
    </row>
    <row r="850" spans="2:21" x14ac:dyDescent="0.2">
      <c r="B850">
        <v>10885</v>
      </c>
      <c r="C850" t="s">
        <v>8270</v>
      </c>
      <c r="D850" t="s">
        <v>8261</v>
      </c>
      <c r="E850" t="s">
        <v>8272</v>
      </c>
      <c r="F850" s="222">
        <v>4.5</v>
      </c>
      <c r="G850">
        <v>12</v>
      </c>
      <c r="H850" s="223">
        <v>0</v>
      </c>
      <c r="I850" s="222">
        <v>54</v>
      </c>
      <c r="J850" t="s">
        <v>8263</v>
      </c>
      <c r="K850" t="s">
        <v>8264</v>
      </c>
      <c r="L850" s="118">
        <v>44053</v>
      </c>
      <c r="M850" s="118">
        <v>44059</v>
      </c>
      <c r="N850" t="s">
        <v>8240</v>
      </c>
      <c r="O850" t="s">
        <v>8251</v>
      </c>
      <c r="P850" t="s">
        <v>269</v>
      </c>
      <c r="Q850" t="str">
        <f>tblSales[[#This Row],[FirstName]]&amp; " " &amp;tblSales[[#This Row],[LastName]]</f>
        <v>Michael Suyama</v>
      </c>
      <c r="R850">
        <f>YEAR(tblSales[[#This Row],[OrderDate]])</f>
        <v>2020</v>
      </c>
      <c r="S850">
        <f>WEEKNUM(tblSales[[#This Row],[OrderDate]])</f>
        <v>33</v>
      </c>
      <c r="T850">
        <f>IF(ISBLANK(tblSales[[#This Row],[ShippedDate]]),"",tblSales[[#This Row],[ShippedDate]]-tblSales[[#This Row],[OrderDate]])</f>
        <v>6</v>
      </c>
      <c r="U850" t="str">
        <f>LEFT(tblSales[[#This Row],[ProductName]],20)</f>
        <v>Guaraná Fantástica</v>
      </c>
    </row>
    <row r="851" spans="2:21" x14ac:dyDescent="0.2">
      <c r="B851">
        <v>10885</v>
      </c>
      <c r="C851" t="s">
        <v>8397</v>
      </c>
      <c r="D851" t="s">
        <v>8261</v>
      </c>
      <c r="E851" t="s">
        <v>8254</v>
      </c>
      <c r="F851" s="222">
        <v>13</v>
      </c>
      <c r="G851">
        <v>25</v>
      </c>
      <c r="H851" s="223">
        <v>0</v>
      </c>
      <c r="I851" s="222">
        <v>325</v>
      </c>
      <c r="J851" t="s">
        <v>8263</v>
      </c>
      <c r="K851" t="s">
        <v>8264</v>
      </c>
      <c r="L851" s="118">
        <v>44053</v>
      </c>
      <c r="M851" s="118">
        <v>44059</v>
      </c>
      <c r="N851" t="s">
        <v>8240</v>
      </c>
      <c r="O851" t="s">
        <v>8251</v>
      </c>
      <c r="P851" t="s">
        <v>269</v>
      </c>
      <c r="Q851" t="str">
        <f>tblSales[[#This Row],[FirstName]]&amp; " " &amp;tblSales[[#This Row],[LastName]]</f>
        <v>Michael Suyama</v>
      </c>
      <c r="R851">
        <f>YEAR(tblSales[[#This Row],[OrderDate]])</f>
        <v>2020</v>
      </c>
      <c r="S851">
        <f>WEEKNUM(tblSales[[#This Row],[OrderDate]])</f>
        <v>33</v>
      </c>
      <c r="T851">
        <f>IF(ISBLANK(tblSales[[#This Row],[ShippedDate]]),"",tblSales[[#This Row],[ShippedDate]]-tblSales[[#This Row],[OrderDate]])</f>
        <v>6</v>
      </c>
      <c r="U851" t="str">
        <f>LEFT(tblSales[[#This Row],[ProductName]],20)</f>
        <v>Original Frankfurter</v>
      </c>
    </row>
    <row r="852" spans="2:21" x14ac:dyDescent="0.2">
      <c r="B852">
        <v>10887</v>
      </c>
      <c r="C852" t="s">
        <v>8362</v>
      </c>
      <c r="D852" t="s">
        <v>8324</v>
      </c>
      <c r="E852" t="s">
        <v>8262</v>
      </c>
      <c r="F852" s="222">
        <v>14</v>
      </c>
      <c r="G852">
        <v>5</v>
      </c>
      <c r="H852" s="223">
        <v>0</v>
      </c>
      <c r="I852" s="222">
        <v>70</v>
      </c>
      <c r="J852" t="s">
        <v>8398</v>
      </c>
      <c r="K852" t="s">
        <v>8399</v>
      </c>
      <c r="L852" s="118">
        <v>44054</v>
      </c>
      <c r="M852" s="118">
        <v>44057</v>
      </c>
      <c r="N852" t="s">
        <v>8240</v>
      </c>
      <c r="O852" t="s">
        <v>8320</v>
      </c>
      <c r="P852" t="s">
        <v>8321</v>
      </c>
      <c r="Q852" t="str">
        <f>tblSales[[#This Row],[FirstName]]&amp; " " &amp;tblSales[[#This Row],[LastName]]</f>
        <v>Laura Callahan</v>
      </c>
      <c r="R852">
        <f>YEAR(tblSales[[#This Row],[OrderDate]])</f>
        <v>2020</v>
      </c>
      <c r="S852">
        <f>WEEKNUM(tblSales[[#This Row],[OrderDate]])</f>
        <v>33</v>
      </c>
      <c r="T852">
        <f>IF(ISBLANK(tblSales[[#This Row],[ShippedDate]]),"",tblSales[[#This Row],[ShippedDate]]-tblSales[[#This Row],[OrderDate]])</f>
        <v>3</v>
      </c>
      <c r="U852" t="str">
        <f>LEFT(tblSales[[#This Row],[ProductName]],20)</f>
        <v>NuNuCa Nuß-Nougat-Cr</v>
      </c>
    </row>
    <row r="853" spans="2:21" x14ac:dyDescent="0.2">
      <c r="B853">
        <v>10890</v>
      </c>
      <c r="C853" t="s">
        <v>8358</v>
      </c>
      <c r="D853" t="s">
        <v>8236</v>
      </c>
      <c r="E853" t="s">
        <v>8272</v>
      </c>
      <c r="F853" s="222">
        <v>14</v>
      </c>
      <c r="G853">
        <v>10</v>
      </c>
      <c r="H853" s="223">
        <v>0</v>
      </c>
      <c r="I853" s="222">
        <v>140</v>
      </c>
      <c r="J853" t="s">
        <v>8354</v>
      </c>
      <c r="K853" t="s">
        <v>8355</v>
      </c>
      <c r="L853" s="118">
        <v>44057</v>
      </c>
      <c r="M853" s="118">
        <v>44059</v>
      </c>
      <c r="N853" t="s">
        <v>8250</v>
      </c>
      <c r="O853" t="s">
        <v>8158</v>
      </c>
      <c r="P853" t="s">
        <v>861</v>
      </c>
      <c r="Q853" t="str">
        <f>tblSales[[#This Row],[FirstName]]&amp; " " &amp;tblSales[[#This Row],[LastName]]</f>
        <v>Robert King</v>
      </c>
      <c r="R853">
        <f>YEAR(tblSales[[#This Row],[OrderDate]])</f>
        <v>2020</v>
      </c>
      <c r="S853">
        <f>WEEKNUM(tblSales[[#This Row],[OrderDate]])</f>
        <v>33</v>
      </c>
      <c r="T853">
        <f>IF(ISBLANK(tblSales[[#This Row],[ShippedDate]]),"",tblSales[[#This Row],[ShippedDate]]-tblSales[[#This Row],[OrderDate]])</f>
        <v>2</v>
      </c>
      <c r="U853" t="str">
        <f>LEFT(tblSales[[#This Row],[ProductName]],20)</f>
        <v>Sasquatch Ale</v>
      </c>
    </row>
    <row r="854" spans="2:21" x14ac:dyDescent="0.2">
      <c r="B854">
        <v>10888</v>
      </c>
      <c r="C854" t="s">
        <v>8276</v>
      </c>
      <c r="D854" t="s">
        <v>8324</v>
      </c>
      <c r="E854" t="s">
        <v>8272</v>
      </c>
      <c r="F854" s="222">
        <v>19</v>
      </c>
      <c r="G854">
        <v>20</v>
      </c>
      <c r="H854" s="223">
        <v>0</v>
      </c>
      <c r="I854" s="222">
        <v>380</v>
      </c>
      <c r="J854" t="s">
        <v>8349</v>
      </c>
      <c r="K854" t="s">
        <v>8350</v>
      </c>
      <c r="L854" s="118">
        <v>44057</v>
      </c>
      <c r="M854" s="118">
        <v>44064</v>
      </c>
      <c r="N854" t="s">
        <v>8265</v>
      </c>
      <c r="O854" t="s">
        <v>8285</v>
      </c>
      <c r="P854" t="s">
        <v>2317</v>
      </c>
      <c r="Q854" t="str">
        <f>tblSales[[#This Row],[FirstName]]&amp; " " &amp;tblSales[[#This Row],[LastName]]</f>
        <v>Nancy Davolio</v>
      </c>
      <c r="R854">
        <f>YEAR(tblSales[[#This Row],[OrderDate]])</f>
        <v>2020</v>
      </c>
      <c r="S854">
        <f>WEEKNUM(tblSales[[#This Row],[OrderDate]])</f>
        <v>33</v>
      </c>
      <c r="T854">
        <f>IF(ISBLANK(tblSales[[#This Row],[ShippedDate]]),"",tblSales[[#This Row],[ShippedDate]]-tblSales[[#This Row],[OrderDate]])</f>
        <v>7</v>
      </c>
      <c r="U854" t="str">
        <f>LEFT(tblSales[[#This Row],[ProductName]],20)</f>
        <v>Chang</v>
      </c>
    </row>
    <row r="855" spans="2:21" x14ac:dyDescent="0.2">
      <c r="B855">
        <v>10888</v>
      </c>
      <c r="C855" t="s">
        <v>8334</v>
      </c>
      <c r="D855" t="s">
        <v>8324</v>
      </c>
      <c r="E855" t="s">
        <v>8262</v>
      </c>
      <c r="F855" s="222">
        <v>12.5</v>
      </c>
      <c r="G855">
        <v>18</v>
      </c>
      <c r="H855" s="223">
        <v>0</v>
      </c>
      <c r="I855" s="222">
        <v>225</v>
      </c>
      <c r="J855" t="s">
        <v>8349</v>
      </c>
      <c r="K855" t="s">
        <v>8350</v>
      </c>
      <c r="L855" s="118">
        <v>44057</v>
      </c>
      <c r="M855" s="118">
        <v>44064</v>
      </c>
      <c r="N855" t="s">
        <v>8265</v>
      </c>
      <c r="O855" t="s">
        <v>8285</v>
      </c>
      <c r="P855" t="s">
        <v>2317</v>
      </c>
      <c r="Q855" t="str">
        <f>tblSales[[#This Row],[FirstName]]&amp; " " &amp;tblSales[[#This Row],[LastName]]</f>
        <v>Nancy Davolio</v>
      </c>
      <c r="R855">
        <f>YEAR(tblSales[[#This Row],[OrderDate]])</f>
        <v>2020</v>
      </c>
      <c r="S855">
        <f>WEEKNUM(tblSales[[#This Row],[OrderDate]])</f>
        <v>33</v>
      </c>
      <c r="T855">
        <f>IF(ISBLANK(tblSales[[#This Row],[ShippedDate]]),"",tblSales[[#This Row],[ShippedDate]]-tblSales[[#This Row],[OrderDate]])</f>
        <v>7</v>
      </c>
      <c r="U855" t="str">
        <f>LEFT(tblSales[[#This Row],[ProductName]],20)</f>
        <v>Scottish Longbreads</v>
      </c>
    </row>
    <row r="856" spans="2:21" x14ac:dyDescent="0.2">
      <c r="B856">
        <v>10892</v>
      </c>
      <c r="C856" t="s">
        <v>8281</v>
      </c>
      <c r="D856" t="s">
        <v>8261</v>
      </c>
      <c r="E856" t="s">
        <v>8237</v>
      </c>
      <c r="F856" s="222">
        <v>55</v>
      </c>
      <c r="G856">
        <v>40</v>
      </c>
      <c r="H856" s="223">
        <v>5.0000000745058101E-2</v>
      </c>
      <c r="I856" s="222">
        <v>2090</v>
      </c>
      <c r="J856" t="s">
        <v>8420</v>
      </c>
      <c r="K856" t="s">
        <v>8421</v>
      </c>
      <c r="L856" s="118">
        <v>44058</v>
      </c>
      <c r="M856" s="118">
        <v>44060</v>
      </c>
      <c r="N856" t="s">
        <v>8265</v>
      </c>
      <c r="O856" t="s">
        <v>8266</v>
      </c>
      <c r="P856" t="s">
        <v>8267</v>
      </c>
      <c r="Q856" t="str">
        <f>tblSales[[#This Row],[FirstName]]&amp; " " &amp;tblSales[[#This Row],[LastName]]</f>
        <v>Margaret Peacock</v>
      </c>
      <c r="R856">
        <f>YEAR(tblSales[[#This Row],[OrderDate]])</f>
        <v>2020</v>
      </c>
      <c r="S856">
        <f>WEEKNUM(tblSales[[#This Row],[OrderDate]])</f>
        <v>33</v>
      </c>
      <c r="T856">
        <f>IF(ISBLANK(tblSales[[#This Row],[ShippedDate]]),"",tblSales[[#This Row],[ShippedDate]]-tblSales[[#This Row],[OrderDate]])</f>
        <v>2</v>
      </c>
      <c r="U856" t="str">
        <f>LEFT(tblSales[[#This Row],[ProductName]],20)</f>
        <v>Raclette Courdavault</v>
      </c>
    </row>
    <row r="857" spans="2:21" x14ac:dyDescent="0.2">
      <c r="B857">
        <v>10893</v>
      </c>
      <c r="C857" t="s">
        <v>8270</v>
      </c>
      <c r="D857" t="s">
        <v>8246</v>
      </c>
      <c r="E857" t="s">
        <v>8272</v>
      </c>
      <c r="F857" s="222">
        <v>4.5</v>
      </c>
      <c r="G857">
        <v>10</v>
      </c>
      <c r="H857" s="223">
        <v>0</v>
      </c>
      <c r="I857" s="222">
        <v>45</v>
      </c>
      <c r="J857" t="s">
        <v>8359</v>
      </c>
      <c r="K857" t="s">
        <v>8360</v>
      </c>
      <c r="L857" s="118">
        <v>44059</v>
      </c>
      <c r="M857" s="118">
        <v>44061</v>
      </c>
      <c r="N857" t="s">
        <v>8265</v>
      </c>
      <c r="O857" t="s">
        <v>8279</v>
      </c>
      <c r="P857" t="s">
        <v>710</v>
      </c>
      <c r="Q857" t="str">
        <f>tblSales[[#This Row],[FirstName]]&amp; " " &amp;tblSales[[#This Row],[LastName]]</f>
        <v>Anne Dodsworth</v>
      </c>
      <c r="R857">
        <f>YEAR(tblSales[[#This Row],[OrderDate]])</f>
        <v>2020</v>
      </c>
      <c r="S857">
        <f>WEEKNUM(tblSales[[#This Row],[OrderDate]])</f>
        <v>34</v>
      </c>
      <c r="T857">
        <f>IF(ISBLANK(tblSales[[#This Row],[ShippedDate]]),"",tblSales[[#This Row],[ShippedDate]]-tblSales[[#This Row],[OrderDate]])</f>
        <v>2</v>
      </c>
      <c r="U857" t="str">
        <f>LEFT(tblSales[[#This Row],[ProductName]],20)</f>
        <v>Guaraná Fantástica</v>
      </c>
    </row>
    <row r="858" spans="2:21" x14ac:dyDescent="0.2">
      <c r="B858">
        <v>10893</v>
      </c>
      <c r="C858" t="s">
        <v>8379</v>
      </c>
      <c r="D858" t="s">
        <v>8246</v>
      </c>
      <c r="E858" t="s">
        <v>8254</v>
      </c>
      <c r="F858" s="222">
        <v>40</v>
      </c>
      <c r="G858">
        <v>30</v>
      </c>
      <c r="H858" s="223">
        <v>0</v>
      </c>
      <c r="I858" s="222">
        <v>1200</v>
      </c>
      <c r="J858" t="s">
        <v>8359</v>
      </c>
      <c r="K858" t="s">
        <v>8360</v>
      </c>
      <c r="L858" s="118">
        <v>44059</v>
      </c>
      <c r="M858" s="118">
        <v>44061</v>
      </c>
      <c r="N858" t="s">
        <v>8265</v>
      </c>
      <c r="O858" t="s">
        <v>8279</v>
      </c>
      <c r="P858" t="s">
        <v>710</v>
      </c>
      <c r="Q858" t="str">
        <f>tblSales[[#This Row],[FirstName]]&amp; " " &amp;tblSales[[#This Row],[LastName]]</f>
        <v>Anne Dodsworth</v>
      </c>
      <c r="R858">
        <f>YEAR(tblSales[[#This Row],[OrderDate]])</f>
        <v>2020</v>
      </c>
      <c r="S858">
        <f>WEEKNUM(tblSales[[#This Row],[OrderDate]])</f>
        <v>34</v>
      </c>
      <c r="T858">
        <f>IF(ISBLANK(tblSales[[#This Row],[ShippedDate]]),"",tblSales[[#This Row],[ShippedDate]]-tblSales[[#This Row],[OrderDate]])</f>
        <v>2</v>
      </c>
      <c r="U858" t="str">
        <f>LEFT(tblSales[[#This Row],[ProductName]],20)</f>
        <v>Northwoods Cranberry</v>
      </c>
    </row>
    <row r="859" spans="2:21" x14ac:dyDescent="0.2">
      <c r="B859">
        <v>10895</v>
      </c>
      <c r="C859" t="s">
        <v>8342</v>
      </c>
      <c r="D859" t="s">
        <v>8282</v>
      </c>
      <c r="E859" t="s">
        <v>8272</v>
      </c>
      <c r="F859" s="222">
        <v>18</v>
      </c>
      <c r="G859">
        <v>45</v>
      </c>
      <c r="H859" s="223">
        <v>0</v>
      </c>
      <c r="I859" s="222">
        <v>810</v>
      </c>
      <c r="J859" t="s">
        <v>8283</v>
      </c>
      <c r="K859" t="s">
        <v>8284</v>
      </c>
      <c r="L859" s="118">
        <v>44059</v>
      </c>
      <c r="M859" s="118">
        <v>44064</v>
      </c>
      <c r="N859" t="s">
        <v>8250</v>
      </c>
      <c r="O859" t="s">
        <v>8257</v>
      </c>
      <c r="P859" t="s">
        <v>6984</v>
      </c>
      <c r="Q859" t="str">
        <f>tblSales[[#This Row],[FirstName]]&amp; " " &amp;tblSales[[#This Row],[LastName]]</f>
        <v>Janet Leverling</v>
      </c>
      <c r="R859">
        <f>YEAR(tblSales[[#This Row],[OrderDate]])</f>
        <v>2020</v>
      </c>
      <c r="S859">
        <f>WEEKNUM(tblSales[[#This Row],[OrderDate]])</f>
        <v>34</v>
      </c>
      <c r="T859">
        <f>IF(ISBLANK(tblSales[[#This Row],[ShippedDate]]),"",tblSales[[#This Row],[ShippedDate]]-tblSales[[#This Row],[OrderDate]])</f>
        <v>5</v>
      </c>
      <c r="U859" t="str">
        <f>LEFT(tblSales[[#This Row],[ProductName]],20)</f>
        <v>Chartreuse verte</v>
      </c>
    </row>
    <row r="860" spans="2:21" x14ac:dyDescent="0.2">
      <c r="B860">
        <v>10895</v>
      </c>
      <c r="C860" t="s">
        <v>8270</v>
      </c>
      <c r="D860" t="s">
        <v>8282</v>
      </c>
      <c r="E860" t="s">
        <v>8272</v>
      </c>
      <c r="F860" s="222">
        <v>4.5</v>
      </c>
      <c r="G860">
        <v>110</v>
      </c>
      <c r="H860" s="223">
        <v>0</v>
      </c>
      <c r="I860" s="222">
        <v>495</v>
      </c>
      <c r="J860" t="s">
        <v>8283</v>
      </c>
      <c r="K860" t="s">
        <v>8284</v>
      </c>
      <c r="L860" s="118">
        <v>44059</v>
      </c>
      <c r="M860" s="118">
        <v>44064</v>
      </c>
      <c r="N860" t="s">
        <v>8250</v>
      </c>
      <c r="O860" t="s">
        <v>8257</v>
      </c>
      <c r="P860" t="s">
        <v>6984</v>
      </c>
      <c r="Q860" t="str">
        <f>tblSales[[#This Row],[FirstName]]&amp; " " &amp;tblSales[[#This Row],[LastName]]</f>
        <v>Janet Leverling</v>
      </c>
      <c r="R860">
        <f>YEAR(tblSales[[#This Row],[OrderDate]])</f>
        <v>2020</v>
      </c>
      <c r="S860">
        <f>WEEKNUM(tblSales[[#This Row],[OrderDate]])</f>
        <v>34</v>
      </c>
      <c r="T860">
        <f>IF(ISBLANK(tblSales[[#This Row],[ShippedDate]]),"",tblSales[[#This Row],[ShippedDate]]-tblSales[[#This Row],[OrderDate]])</f>
        <v>5</v>
      </c>
      <c r="U860" t="str">
        <f>LEFT(tblSales[[#This Row],[ProductName]],20)</f>
        <v>Guaraná Fantástica</v>
      </c>
    </row>
    <row r="861" spans="2:21" x14ac:dyDescent="0.2">
      <c r="B861">
        <v>10895</v>
      </c>
      <c r="C861" t="s">
        <v>8268</v>
      </c>
      <c r="D861" t="s">
        <v>8282</v>
      </c>
      <c r="E861" t="s">
        <v>8237</v>
      </c>
      <c r="F861" s="222">
        <v>34</v>
      </c>
      <c r="G861">
        <v>100</v>
      </c>
      <c r="H861" s="223">
        <v>0</v>
      </c>
      <c r="I861" s="222">
        <v>3400</v>
      </c>
      <c r="J861" t="s">
        <v>8283</v>
      </c>
      <c r="K861" t="s">
        <v>8284</v>
      </c>
      <c r="L861" s="118">
        <v>44059</v>
      </c>
      <c r="M861" s="118">
        <v>44064</v>
      </c>
      <c r="N861" t="s">
        <v>8250</v>
      </c>
      <c r="O861" t="s">
        <v>8257</v>
      </c>
      <c r="P861" t="s">
        <v>6984</v>
      </c>
      <c r="Q861" t="str">
        <f>tblSales[[#This Row],[FirstName]]&amp; " " &amp;tblSales[[#This Row],[LastName]]</f>
        <v>Janet Leverling</v>
      </c>
      <c r="R861">
        <f>YEAR(tblSales[[#This Row],[OrderDate]])</f>
        <v>2020</v>
      </c>
      <c r="S861">
        <f>WEEKNUM(tblSales[[#This Row],[OrderDate]])</f>
        <v>34</v>
      </c>
      <c r="T861">
        <f>IF(ISBLANK(tblSales[[#This Row],[ShippedDate]]),"",tblSales[[#This Row],[ShippedDate]]-tblSales[[#This Row],[OrderDate]])</f>
        <v>5</v>
      </c>
      <c r="U861" t="str">
        <f>LEFT(tblSales[[#This Row],[ProductName]],20)</f>
        <v>Camembert Pierrot</v>
      </c>
    </row>
    <row r="862" spans="2:21" x14ac:dyDescent="0.2">
      <c r="B862">
        <v>10896</v>
      </c>
      <c r="C862" t="s">
        <v>8341</v>
      </c>
      <c r="D862" t="s">
        <v>8261</v>
      </c>
      <c r="E862" t="s">
        <v>8244</v>
      </c>
      <c r="F862" s="222">
        <v>38</v>
      </c>
      <c r="G862">
        <v>16</v>
      </c>
      <c r="H862" s="223">
        <v>0</v>
      </c>
      <c r="I862" s="222">
        <v>608</v>
      </c>
      <c r="J862" t="s">
        <v>8420</v>
      </c>
      <c r="K862" t="s">
        <v>8421</v>
      </c>
      <c r="L862" s="118">
        <v>44060</v>
      </c>
      <c r="M862" s="118">
        <v>44068</v>
      </c>
      <c r="N862" t="s">
        <v>8240</v>
      </c>
      <c r="O862" t="s">
        <v>8158</v>
      </c>
      <c r="P862" t="s">
        <v>861</v>
      </c>
      <c r="Q862" t="str">
        <f>tblSales[[#This Row],[FirstName]]&amp; " " &amp;tblSales[[#This Row],[LastName]]</f>
        <v>Robert King</v>
      </c>
      <c r="R862">
        <f>YEAR(tblSales[[#This Row],[OrderDate]])</f>
        <v>2020</v>
      </c>
      <c r="S862">
        <f>WEEKNUM(tblSales[[#This Row],[OrderDate]])</f>
        <v>34</v>
      </c>
      <c r="T862">
        <f>IF(ISBLANK(tblSales[[#This Row],[ShippedDate]]),"",tblSales[[#This Row],[ShippedDate]]-tblSales[[#This Row],[OrderDate]])</f>
        <v>8</v>
      </c>
      <c r="U862" t="str">
        <f>LEFT(tblSales[[#This Row],[ProductName]],20)</f>
        <v>Gnocchi di nonna Ali</v>
      </c>
    </row>
    <row r="863" spans="2:21" x14ac:dyDescent="0.2">
      <c r="B863">
        <v>10902</v>
      </c>
      <c r="C863" t="s">
        <v>8291</v>
      </c>
      <c r="D863" t="s">
        <v>8292</v>
      </c>
      <c r="E863" t="s">
        <v>8262</v>
      </c>
      <c r="F863" s="222">
        <v>49.3</v>
      </c>
      <c r="G863">
        <v>6</v>
      </c>
      <c r="H863" s="223">
        <v>0.15000000596046401</v>
      </c>
      <c r="I863" s="222">
        <v>251.43</v>
      </c>
      <c r="J863" t="s">
        <v>8293</v>
      </c>
      <c r="K863" t="s">
        <v>8294</v>
      </c>
      <c r="L863" s="118">
        <v>44064</v>
      </c>
      <c r="M863" s="118">
        <v>44072</v>
      </c>
      <c r="N863" t="s">
        <v>8250</v>
      </c>
      <c r="O863" t="s">
        <v>8285</v>
      </c>
      <c r="P863" t="s">
        <v>2317</v>
      </c>
      <c r="Q863" t="str">
        <f>tblSales[[#This Row],[FirstName]]&amp; " " &amp;tblSales[[#This Row],[LastName]]</f>
        <v>Nancy Davolio</v>
      </c>
      <c r="R863">
        <f>YEAR(tblSales[[#This Row],[OrderDate]])</f>
        <v>2020</v>
      </c>
      <c r="S863">
        <f>WEEKNUM(tblSales[[#This Row],[OrderDate]])</f>
        <v>34</v>
      </c>
      <c r="T863">
        <f>IF(ISBLANK(tblSales[[#This Row],[ShippedDate]]),"",tblSales[[#This Row],[ShippedDate]]-tblSales[[#This Row],[OrderDate]])</f>
        <v>8</v>
      </c>
      <c r="U863" t="str">
        <f>LEFT(tblSales[[#This Row],[ProductName]],20)</f>
        <v>Tarte au sucre</v>
      </c>
    </row>
    <row r="864" spans="2:21" x14ac:dyDescent="0.2">
      <c r="B864">
        <v>10907</v>
      </c>
      <c r="C864" t="s">
        <v>8328</v>
      </c>
      <c r="D864" t="s">
        <v>8236</v>
      </c>
      <c r="E864" t="s">
        <v>8272</v>
      </c>
      <c r="F864" s="222">
        <v>7.75</v>
      </c>
      <c r="G864">
        <v>14</v>
      </c>
      <c r="H864" s="223">
        <v>0</v>
      </c>
      <c r="I864" s="222">
        <v>108.5</v>
      </c>
      <c r="J864" t="s">
        <v>8428</v>
      </c>
      <c r="K864" t="s">
        <v>8429</v>
      </c>
      <c r="L864" s="118">
        <v>44066</v>
      </c>
      <c r="M864" s="118">
        <v>44068</v>
      </c>
      <c r="N864" t="s">
        <v>8240</v>
      </c>
      <c r="O864" t="s">
        <v>8251</v>
      </c>
      <c r="P864" t="s">
        <v>269</v>
      </c>
      <c r="Q864" t="str">
        <f>tblSales[[#This Row],[FirstName]]&amp; " " &amp;tblSales[[#This Row],[LastName]]</f>
        <v>Michael Suyama</v>
      </c>
      <c r="R864">
        <f>YEAR(tblSales[[#This Row],[OrderDate]])</f>
        <v>2020</v>
      </c>
      <c r="S864">
        <f>WEEKNUM(tblSales[[#This Row],[OrderDate]])</f>
        <v>35</v>
      </c>
      <c r="T864">
        <f>IF(ISBLANK(tblSales[[#This Row],[ShippedDate]]),"",tblSales[[#This Row],[ShippedDate]]-tblSales[[#This Row],[OrderDate]])</f>
        <v>2</v>
      </c>
      <c r="U864" t="str">
        <f>LEFT(tblSales[[#This Row],[ProductName]],20)</f>
        <v>Rhönbräu Klosterbier</v>
      </c>
    </row>
    <row r="865" spans="2:21" x14ac:dyDescent="0.2">
      <c r="B865">
        <v>10906</v>
      </c>
      <c r="C865" t="s">
        <v>8409</v>
      </c>
      <c r="D865" t="s">
        <v>8400</v>
      </c>
      <c r="E865" t="s">
        <v>8254</v>
      </c>
      <c r="F865" s="222">
        <v>28.5</v>
      </c>
      <c r="G865">
        <v>15</v>
      </c>
      <c r="H865" s="223">
        <v>0</v>
      </c>
      <c r="I865" s="222">
        <v>427.5</v>
      </c>
      <c r="J865" t="s">
        <v>8401</v>
      </c>
      <c r="K865" t="s">
        <v>8402</v>
      </c>
      <c r="L865" s="118">
        <v>44066</v>
      </c>
      <c r="M865" s="118">
        <v>44072</v>
      </c>
      <c r="N865" t="s">
        <v>8240</v>
      </c>
      <c r="O865" t="s">
        <v>8266</v>
      </c>
      <c r="P865" t="s">
        <v>8267</v>
      </c>
      <c r="Q865" t="str">
        <f>tblSales[[#This Row],[FirstName]]&amp; " " &amp;tblSales[[#This Row],[LastName]]</f>
        <v>Margaret Peacock</v>
      </c>
      <c r="R865">
        <f>YEAR(tblSales[[#This Row],[OrderDate]])</f>
        <v>2020</v>
      </c>
      <c r="S865">
        <f>WEEKNUM(tblSales[[#This Row],[OrderDate]])</f>
        <v>35</v>
      </c>
      <c r="T865">
        <f>IF(ISBLANK(tblSales[[#This Row],[ShippedDate]]),"",tblSales[[#This Row],[ShippedDate]]-tblSales[[#This Row],[OrderDate]])</f>
        <v>6</v>
      </c>
      <c r="U865" t="str">
        <f>LEFT(tblSales[[#This Row],[ProductName]],20)</f>
        <v>Sirop d'érable</v>
      </c>
    </row>
    <row r="866" spans="2:21" x14ac:dyDescent="0.2">
      <c r="B866">
        <v>10910</v>
      </c>
      <c r="C866" t="s">
        <v>8409</v>
      </c>
      <c r="D866" t="s">
        <v>8300</v>
      </c>
      <c r="E866" t="s">
        <v>8254</v>
      </c>
      <c r="F866" s="222">
        <v>28.5</v>
      </c>
      <c r="G866">
        <v>5</v>
      </c>
      <c r="H866" s="223">
        <v>0</v>
      </c>
      <c r="I866" s="222">
        <v>142.5</v>
      </c>
      <c r="J866" t="s">
        <v>8426</v>
      </c>
      <c r="K866" t="s">
        <v>8427</v>
      </c>
      <c r="L866" s="118">
        <v>44067</v>
      </c>
      <c r="M866" s="118">
        <v>44073</v>
      </c>
      <c r="N866" t="s">
        <v>8240</v>
      </c>
      <c r="O866" t="s">
        <v>8285</v>
      </c>
      <c r="P866" t="s">
        <v>2317</v>
      </c>
      <c r="Q866" t="str">
        <f>tblSales[[#This Row],[FirstName]]&amp; " " &amp;tblSales[[#This Row],[LastName]]</f>
        <v>Nancy Davolio</v>
      </c>
      <c r="R866">
        <f>YEAR(tblSales[[#This Row],[OrderDate]])</f>
        <v>2020</v>
      </c>
      <c r="S866">
        <f>WEEKNUM(tblSales[[#This Row],[OrderDate]])</f>
        <v>35</v>
      </c>
      <c r="T866">
        <f>IF(ISBLANK(tblSales[[#This Row],[ShippedDate]]),"",tblSales[[#This Row],[ShippedDate]]-tblSales[[#This Row],[OrderDate]])</f>
        <v>6</v>
      </c>
      <c r="U866" t="str">
        <f>LEFT(tblSales[[#This Row],[ProductName]],20)</f>
        <v>Sirop d'érable</v>
      </c>
    </row>
    <row r="867" spans="2:21" x14ac:dyDescent="0.2">
      <c r="B867">
        <v>10910</v>
      </c>
      <c r="C867" t="s">
        <v>8390</v>
      </c>
      <c r="D867" t="s">
        <v>8300</v>
      </c>
      <c r="E867" t="s">
        <v>8262</v>
      </c>
      <c r="F867" s="222">
        <v>20</v>
      </c>
      <c r="G867">
        <v>10</v>
      </c>
      <c r="H867" s="223">
        <v>0</v>
      </c>
      <c r="I867" s="222">
        <v>200</v>
      </c>
      <c r="J867" t="s">
        <v>8426</v>
      </c>
      <c r="K867" t="s">
        <v>8427</v>
      </c>
      <c r="L867" s="118">
        <v>44067</v>
      </c>
      <c r="M867" s="118">
        <v>44073</v>
      </c>
      <c r="N867" t="s">
        <v>8240</v>
      </c>
      <c r="O867" t="s">
        <v>8285</v>
      </c>
      <c r="P867" t="s">
        <v>2317</v>
      </c>
      <c r="Q867" t="str">
        <f>tblSales[[#This Row],[FirstName]]&amp; " " &amp;tblSales[[#This Row],[LastName]]</f>
        <v>Nancy Davolio</v>
      </c>
      <c r="R867">
        <f>YEAR(tblSales[[#This Row],[OrderDate]])</f>
        <v>2020</v>
      </c>
      <c r="S867">
        <f>WEEKNUM(tblSales[[#This Row],[OrderDate]])</f>
        <v>35</v>
      </c>
      <c r="T867">
        <f>IF(ISBLANK(tblSales[[#This Row],[ShippedDate]]),"",tblSales[[#This Row],[ShippedDate]]-tblSales[[#This Row],[OrderDate]])</f>
        <v>6</v>
      </c>
      <c r="U867" t="str">
        <f>LEFT(tblSales[[#This Row],[ProductName]],20)</f>
        <v>Maxilaku</v>
      </c>
    </row>
    <row r="868" spans="2:21" x14ac:dyDescent="0.2">
      <c r="B868">
        <v>10910</v>
      </c>
      <c r="C868" t="s">
        <v>8327</v>
      </c>
      <c r="D868" t="s">
        <v>8300</v>
      </c>
      <c r="E868" t="s">
        <v>8262</v>
      </c>
      <c r="F868" s="222">
        <v>9.1999999999999993</v>
      </c>
      <c r="G868">
        <v>12</v>
      </c>
      <c r="H868" s="223">
        <v>0</v>
      </c>
      <c r="I868" s="222">
        <v>110.4</v>
      </c>
      <c r="J868" t="s">
        <v>8426</v>
      </c>
      <c r="K868" t="s">
        <v>8427</v>
      </c>
      <c r="L868" s="118">
        <v>44067</v>
      </c>
      <c r="M868" s="118">
        <v>44073</v>
      </c>
      <c r="N868" t="s">
        <v>8240</v>
      </c>
      <c r="O868" t="s">
        <v>8285</v>
      </c>
      <c r="P868" t="s">
        <v>2317</v>
      </c>
      <c r="Q868" t="str">
        <f>tblSales[[#This Row],[FirstName]]&amp; " " &amp;tblSales[[#This Row],[LastName]]</f>
        <v>Nancy Davolio</v>
      </c>
      <c r="R868">
        <f>YEAR(tblSales[[#This Row],[OrderDate]])</f>
        <v>2020</v>
      </c>
      <c r="S868">
        <f>WEEKNUM(tblSales[[#This Row],[OrderDate]])</f>
        <v>35</v>
      </c>
      <c r="T868">
        <f>IF(ISBLANK(tblSales[[#This Row],[ShippedDate]]),"",tblSales[[#This Row],[ShippedDate]]-tblSales[[#This Row],[OrderDate]])</f>
        <v>6</v>
      </c>
      <c r="U868" t="str">
        <f>LEFT(tblSales[[#This Row],[ProductName]],20)</f>
        <v>Teatime Chocolate Bi</v>
      </c>
    </row>
    <row r="869" spans="2:21" x14ac:dyDescent="0.2">
      <c r="B869">
        <v>10911</v>
      </c>
      <c r="C869" t="s">
        <v>8329</v>
      </c>
      <c r="D869" t="s">
        <v>8324</v>
      </c>
      <c r="E869" t="s">
        <v>8272</v>
      </c>
      <c r="F869" s="222">
        <v>14</v>
      </c>
      <c r="G869">
        <v>15</v>
      </c>
      <c r="H869" s="223">
        <v>0</v>
      </c>
      <c r="I869" s="222">
        <v>210</v>
      </c>
      <c r="J869" t="s">
        <v>8349</v>
      </c>
      <c r="K869" t="s">
        <v>8350</v>
      </c>
      <c r="L869" s="118">
        <v>44067</v>
      </c>
      <c r="M869" s="118">
        <v>44074</v>
      </c>
      <c r="N869" t="s">
        <v>8250</v>
      </c>
      <c r="O869" t="s">
        <v>8257</v>
      </c>
      <c r="P869" t="s">
        <v>6984</v>
      </c>
      <c r="Q869" t="str">
        <f>tblSales[[#This Row],[FirstName]]&amp; " " &amp;tblSales[[#This Row],[LastName]]</f>
        <v>Janet Leverling</v>
      </c>
      <c r="R869">
        <f>YEAR(tblSales[[#This Row],[OrderDate]])</f>
        <v>2020</v>
      </c>
      <c r="S869">
        <f>WEEKNUM(tblSales[[#This Row],[OrderDate]])</f>
        <v>35</v>
      </c>
      <c r="T869">
        <f>IF(ISBLANK(tblSales[[#This Row],[ShippedDate]]),"",tblSales[[#This Row],[ShippedDate]]-tblSales[[#This Row],[OrderDate]])</f>
        <v>7</v>
      </c>
      <c r="U869" t="str">
        <f>LEFT(tblSales[[#This Row],[ProductName]],20)</f>
        <v xml:space="preserve">Laughing Lumberjack </v>
      </c>
    </row>
    <row r="870" spans="2:21" x14ac:dyDescent="0.2">
      <c r="B870">
        <v>10911</v>
      </c>
      <c r="C870" t="s">
        <v>8333</v>
      </c>
      <c r="D870" t="s">
        <v>8324</v>
      </c>
      <c r="E870" t="s">
        <v>8272</v>
      </c>
      <c r="F870" s="222">
        <v>18</v>
      </c>
      <c r="G870">
        <v>10</v>
      </c>
      <c r="H870" s="223">
        <v>0</v>
      </c>
      <c r="I870" s="222">
        <v>180</v>
      </c>
      <c r="J870" t="s">
        <v>8349</v>
      </c>
      <c r="K870" t="s">
        <v>8350</v>
      </c>
      <c r="L870" s="118">
        <v>44067</v>
      </c>
      <c r="M870" s="118">
        <v>44074</v>
      </c>
      <c r="N870" t="s">
        <v>8250</v>
      </c>
      <c r="O870" t="s">
        <v>8257</v>
      </c>
      <c r="P870" t="s">
        <v>6984</v>
      </c>
      <c r="Q870" t="str">
        <f>tblSales[[#This Row],[FirstName]]&amp; " " &amp;tblSales[[#This Row],[LastName]]</f>
        <v>Janet Leverling</v>
      </c>
      <c r="R870">
        <f>YEAR(tblSales[[#This Row],[OrderDate]])</f>
        <v>2020</v>
      </c>
      <c r="S870">
        <f>WEEKNUM(tblSales[[#This Row],[OrderDate]])</f>
        <v>35</v>
      </c>
      <c r="T870">
        <f>IF(ISBLANK(tblSales[[#This Row],[ShippedDate]]),"",tblSales[[#This Row],[ShippedDate]]-tblSales[[#This Row],[OrderDate]])</f>
        <v>7</v>
      </c>
      <c r="U870" t="str">
        <f>LEFT(tblSales[[#This Row],[ProductName]],20)</f>
        <v>Chai</v>
      </c>
    </row>
    <row r="871" spans="2:21" x14ac:dyDescent="0.2">
      <c r="B871">
        <v>10908</v>
      </c>
      <c r="C871" t="s">
        <v>8369</v>
      </c>
      <c r="D871" t="s">
        <v>8311</v>
      </c>
      <c r="E871" t="s">
        <v>8244</v>
      </c>
      <c r="F871" s="222">
        <v>7</v>
      </c>
      <c r="G871">
        <v>14</v>
      </c>
      <c r="H871" s="223">
        <v>5.0000000745058101E-2</v>
      </c>
      <c r="I871" s="222">
        <v>93.1</v>
      </c>
      <c r="J871" t="s">
        <v>8335</v>
      </c>
      <c r="K871" t="s">
        <v>8336</v>
      </c>
      <c r="L871" s="118">
        <v>44067</v>
      </c>
      <c r="M871" s="118">
        <v>44075</v>
      </c>
      <c r="N871" t="s">
        <v>8265</v>
      </c>
      <c r="O871" t="s">
        <v>8266</v>
      </c>
      <c r="P871" t="s">
        <v>8267</v>
      </c>
      <c r="Q871" t="str">
        <f>tblSales[[#This Row],[FirstName]]&amp; " " &amp;tblSales[[#This Row],[LastName]]</f>
        <v>Margaret Peacock</v>
      </c>
      <c r="R871">
        <f>YEAR(tblSales[[#This Row],[OrderDate]])</f>
        <v>2020</v>
      </c>
      <c r="S871">
        <f>WEEKNUM(tblSales[[#This Row],[OrderDate]])</f>
        <v>35</v>
      </c>
      <c r="T871">
        <f>IF(ISBLANK(tblSales[[#This Row],[ShippedDate]]),"",tblSales[[#This Row],[ShippedDate]]-tblSales[[#This Row],[OrderDate]])</f>
        <v>8</v>
      </c>
      <c r="U871" t="str">
        <f>LEFT(tblSales[[#This Row],[ProductName]],20)</f>
        <v>Filo Mix</v>
      </c>
    </row>
    <row r="872" spans="2:21" x14ac:dyDescent="0.2">
      <c r="B872">
        <v>10908</v>
      </c>
      <c r="C872" t="s">
        <v>8415</v>
      </c>
      <c r="D872" t="s">
        <v>8311</v>
      </c>
      <c r="E872" t="s">
        <v>8247</v>
      </c>
      <c r="F872" s="222">
        <v>30</v>
      </c>
      <c r="G872">
        <v>20</v>
      </c>
      <c r="H872" s="223">
        <v>5.0000000745058101E-2</v>
      </c>
      <c r="I872" s="222">
        <v>570</v>
      </c>
      <c r="J872" t="s">
        <v>8335</v>
      </c>
      <c r="K872" t="s">
        <v>8336</v>
      </c>
      <c r="L872" s="118">
        <v>44067</v>
      </c>
      <c r="M872" s="118">
        <v>44075</v>
      </c>
      <c r="N872" t="s">
        <v>8265</v>
      </c>
      <c r="O872" t="s">
        <v>8266</v>
      </c>
      <c r="P872" t="s">
        <v>8267</v>
      </c>
      <c r="Q872" t="str">
        <f>tblSales[[#This Row],[FirstName]]&amp; " " &amp;tblSales[[#This Row],[LastName]]</f>
        <v>Margaret Peacock</v>
      </c>
      <c r="R872">
        <f>YEAR(tblSales[[#This Row],[OrderDate]])</f>
        <v>2020</v>
      </c>
      <c r="S872">
        <f>WEEKNUM(tblSales[[#This Row],[OrderDate]])</f>
        <v>35</v>
      </c>
      <c r="T872">
        <f>IF(ISBLANK(tblSales[[#This Row],[ShippedDate]]),"",tblSales[[#This Row],[ShippedDate]]-tblSales[[#This Row],[OrderDate]])</f>
        <v>8</v>
      </c>
      <c r="U872" t="str">
        <f>LEFT(tblSales[[#This Row],[ProductName]],20)</f>
        <v xml:space="preserve">Uncle Bob's Organic </v>
      </c>
    </row>
    <row r="873" spans="2:21" x14ac:dyDescent="0.2">
      <c r="B873">
        <v>10909</v>
      </c>
      <c r="C873" t="s">
        <v>8280</v>
      </c>
      <c r="D873" t="s">
        <v>8403</v>
      </c>
      <c r="E873" t="s">
        <v>8262</v>
      </c>
      <c r="F873" s="222">
        <v>17.45</v>
      </c>
      <c r="G873">
        <v>15</v>
      </c>
      <c r="H873" s="223">
        <v>0</v>
      </c>
      <c r="I873" s="222">
        <v>261.75</v>
      </c>
      <c r="J873" t="s">
        <v>8404</v>
      </c>
      <c r="K873" t="s">
        <v>8405</v>
      </c>
      <c r="L873" s="118">
        <v>44067</v>
      </c>
      <c r="M873" s="118">
        <v>44079</v>
      </c>
      <c r="N873" t="s">
        <v>8265</v>
      </c>
      <c r="O873" t="s">
        <v>8285</v>
      </c>
      <c r="P873" t="s">
        <v>2317</v>
      </c>
      <c r="Q873" t="str">
        <f>tblSales[[#This Row],[FirstName]]&amp; " " &amp;tblSales[[#This Row],[LastName]]</f>
        <v>Nancy Davolio</v>
      </c>
      <c r="R873">
        <f>YEAR(tblSales[[#This Row],[OrderDate]])</f>
        <v>2020</v>
      </c>
      <c r="S873">
        <f>WEEKNUM(tblSales[[#This Row],[OrderDate]])</f>
        <v>35</v>
      </c>
      <c r="T873">
        <f>IF(ISBLANK(tblSales[[#This Row],[ShippedDate]]),"",tblSales[[#This Row],[ShippedDate]]-tblSales[[#This Row],[OrderDate]])</f>
        <v>12</v>
      </c>
      <c r="U873" t="str">
        <f>LEFT(tblSales[[#This Row],[ProductName]],20)</f>
        <v>Pavlova</v>
      </c>
    </row>
    <row r="874" spans="2:21" x14ac:dyDescent="0.2">
      <c r="B874">
        <v>10909</v>
      </c>
      <c r="C874" t="s">
        <v>8415</v>
      </c>
      <c r="D874" t="s">
        <v>8403</v>
      </c>
      <c r="E874" t="s">
        <v>8247</v>
      </c>
      <c r="F874" s="222">
        <v>30</v>
      </c>
      <c r="G874">
        <v>12</v>
      </c>
      <c r="H874" s="223">
        <v>0</v>
      </c>
      <c r="I874" s="222">
        <v>360</v>
      </c>
      <c r="J874" t="s">
        <v>8404</v>
      </c>
      <c r="K874" t="s">
        <v>8405</v>
      </c>
      <c r="L874" s="118">
        <v>44067</v>
      </c>
      <c r="M874" s="118">
        <v>44079</v>
      </c>
      <c r="N874" t="s">
        <v>8265</v>
      </c>
      <c r="O874" t="s">
        <v>8285</v>
      </c>
      <c r="P874" t="s">
        <v>2317</v>
      </c>
      <c r="Q874" t="str">
        <f>tblSales[[#This Row],[FirstName]]&amp; " " &amp;tblSales[[#This Row],[LastName]]</f>
        <v>Nancy Davolio</v>
      </c>
      <c r="R874">
        <f>YEAR(tblSales[[#This Row],[OrderDate]])</f>
        <v>2020</v>
      </c>
      <c r="S874">
        <f>WEEKNUM(tblSales[[#This Row],[OrderDate]])</f>
        <v>35</v>
      </c>
      <c r="T874">
        <f>IF(ISBLANK(tblSales[[#This Row],[ShippedDate]]),"",tblSales[[#This Row],[ShippedDate]]-tblSales[[#This Row],[OrderDate]])</f>
        <v>12</v>
      </c>
      <c r="U874" t="str">
        <f>LEFT(tblSales[[#This Row],[ProductName]],20)</f>
        <v xml:space="preserve">Uncle Bob's Organic </v>
      </c>
    </row>
    <row r="875" spans="2:21" x14ac:dyDescent="0.2">
      <c r="B875">
        <v>10912</v>
      </c>
      <c r="C875" t="s">
        <v>8242</v>
      </c>
      <c r="D875" t="s">
        <v>8343</v>
      </c>
      <c r="E875" t="s">
        <v>8237</v>
      </c>
      <c r="F875" s="222">
        <v>21</v>
      </c>
      <c r="G875">
        <v>40</v>
      </c>
      <c r="H875" s="223">
        <v>0.25</v>
      </c>
      <c r="I875" s="222">
        <v>630</v>
      </c>
      <c r="J875" t="s">
        <v>8344</v>
      </c>
      <c r="K875" t="s">
        <v>8345</v>
      </c>
      <c r="L875" s="118">
        <v>44067</v>
      </c>
      <c r="M875" s="118">
        <v>44087</v>
      </c>
      <c r="N875" t="s">
        <v>8265</v>
      </c>
      <c r="O875" t="s">
        <v>8297</v>
      </c>
      <c r="P875" t="s">
        <v>8298</v>
      </c>
      <c r="Q875" t="str">
        <f>tblSales[[#This Row],[FirstName]]&amp; " " &amp;tblSales[[#This Row],[LastName]]</f>
        <v>Andrew Fuller</v>
      </c>
      <c r="R875">
        <f>YEAR(tblSales[[#This Row],[OrderDate]])</f>
        <v>2020</v>
      </c>
      <c r="S875">
        <f>WEEKNUM(tblSales[[#This Row],[OrderDate]])</f>
        <v>35</v>
      </c>
      <c r="T875">
        <f>IF(ISBLANK(tblSales[[#This Row],[ShippedDate]]),"",tblSales[[#This Row],[ShippedDate]]-tblSales[[#This Row],[OrderDate]])</f>
        <v>20</v>
      </c>
      <c r="U875" t="str">
        <f>LEFT(tblSales[[#This Row],[ProductName]],20)</f>
        <v>Queso Cabrales</v>
      </c>
    </row>
    <row r="876" spans="2:21" x14ac:dyDescent="0.2">
      <c r="B876">
        <v>11243</v>
      </c>
      <c r="C876" t="s">
        <v>8333</v>
      </c>
      <c r="D876" t="s">
        <v>8236</v>
      </c>
      <c r="E876" t="s">
        <v>8272</v>
      </c>
      <c r="F876" s="222">
        <v>18</v>
      </c>
      <c r="G876">
        <v>25</v>
      </c>
      <c r="H876" s="223">
        <v>0</v>
      </c>
      <c r="I876" s="222">
        <v>450</v>
      </c>
      <c r="J876" t="s">
        <v>8295</v>
      </c>
      <c r="K876" t="s">
        <v>8296</v>
      </c>
      <c r="L876" s="118">
        <v>44070</v>
      </c>
      <c r="M876" s="118">
        <v>44078</v>
      </c>
      <c r="N876" t="s">
        <v>8240</v>
      </c>
      <c r="O876" t="s">
        <v>8266</v>
      </c>
      <c r="P876" t="s">
        <v>8267</v>
      </c>
      <c r="Q876" t="str">
        <f>tblSales[[#This Row],[FirstName]]&amp; " " &amp;tblSales[[#This Row],[LastName]]</f>
        <v>Margaret Peacock</v>
      </c>
      <c r="R876">
        <f>YEAR(tblSales[[#This Row],[OrderDate]])</f>
        <v>2020</v>
      </c>
      <c r="S876">
        <f>WEEKNUM(tblSales[[#This Row],[OrderDate]])</f>
        <v>35</v>
      </c>
      <c r="T876">
        <f>IF(ISBLANK(tblSales[[#This Row],[ShippedDate]]),"",tblSales[[#This Row],[ShippedDate]]-tblSales[[#This Row],[OrderDate]])</f>
        <v>8</v>
      </c>
      <c r="U876" t="str">
        <f>LEFT(tblSales[[#This Row],[ProductName]],20)</f>
        <v>Chai</v>
      </c>
    </row>
    <row r="877" spans="2:21" x14ac:dyDescent="0.2">
      <c r="B877">
        <v>10917</v>
      </c>
      <c r="C877" t="s">
        <v>8268</v>
      </c>
      <c r="D877" t="s">
        <v>8324</v>
      </c>
      <c r="E877" t="s">
        <v>8237</v>
      </c>
      <c r="F877" s="222">
        <v>34</v>
      </c>
      <c r="G877">
        <v>10</v>
      </c>
      <c r="H877" s="223">
        <v>0</v>
      </c>
      <c r="I877" s="222">
        <v>340</v>
      </c>
      <c r="J877" t="s">
        <v>8325</v>
      </c>
      <c r="K877" t="s">
        <v>8326</v>
      </c>
      <c r="L877" s="118">
        <v>44071</v>
      </c>
      <c r="M877" s="118">
        <v>44080</v>
      </c>
      <c r="N877" t="s">
        <v>8265</v>
      </c>
      <c r="O877" t="s">
        <v>8266</v>
      </c>
      <c r="P877" t="s">
        <v>8267</v>
      </c>
      <c r="Q877" t="str">
        <f>tblSales[[#This Row],[FirstName]]&amp; " " &amp;tblSales[[#This Row],[LastName]]</f>
        <v>Margaret Peacock</v>
      </c>
      <c r="R877">
        <f>YEAR(tblSales[[#This Row],[OrderDate]])</f>
        <v>2020</v>
      </c>
      <c r="S877">
        <f>WEEKNUM(tblSales[[#This Row],[OrderDate]])</f>
        <v>35</v>
      </c>
      <c r="T877">
        <f>IF(ISBLANK(tblSales[[#This Row],[ShippedDate]]),"",tblSales[[#This Row],[ShippedDate]]-tblSales[[#This Row],[OrderDate]])</f>
        <v>9</v>
      </c>
      <c r="U877" t="str">
        <f>LEFT(tblSales[[#This Row],[ProductName]],20)</f>
        <v>Camembert Pierrot</v>
      </c>
    </row>
    <row r="878" spans="2:21" x14ac:dyDescent="0.2">
      <c r="B878">
        <v>11242</v>
      </c>
      <c r="C878" t="s">
        <v>8328</v>
      </c>
      <c r="D878" t="s">
        <v>8236</v>
      </c>
      <c r="E878" t="s">
        <v>8272</v>
      </c>
      <c r="F878" s="222">
        <v>7.75</v>
      </c>
      <c r="G878">
        <v>8</v>
      </c>
      <c r="H878" s="223">
        <v>0.10000000149011599</v>
      </c>
      <c r="I878" s="222">
        <v>55.8</v>
      </c>
      <c r="J878" t="s">
        <v>8382</v>
      </c>
      <c r="K878" t="s">
        <v>8383</v>
      </c>
      <c r="L878" s="118">
        <v>44072</v>
      </c>
      <c r="M878" s="118">
        <v>44073</v>
      </c>
      <c r="N878" t="s">
        <v>8250</v>
      </c>
      <c r="O878" t="s">
        <v>8320</v>
      </c>
      <c r="P878" t="s">
        <v>8321</v>
      </c>
      <c r="Q878" t="str">
        <f>tblSales[[#This Row],[FirstName]]&amp; " " &amp;tblSales[[#This Row],[LastName]]</f>
        <v>Laura Callahan</v>
      </c>
      <c r="R878">
        <f>YEAR(tblSales[[#This Row],[OrderDate]])</f>
        <v>2020</v>
      </c>
      <c r="S878">
        <f>WEEKNUM(tblSales[[#This Row],[OrderDate]])</f>
        <v>35</v>
      </c>
      <c r="T878">
        <f>IF(ISBLANK(tblSales[[#This Row],[ShippedDate]]),"",tblSales[[#This Row],[ShippedDate]]-tblSales[[#This Row],[OrderDate]])</f>
        <v>1</v>
      </c>
      <c r="U878" t="str">
        <f>LEFT(tblSales[[#This Row],[ProductName]],20)</f>
        <v>Rhönbräu Klosterbier</v>
      </c>
    </row>
    <row r="879" spans="2:21" x14ac:dyDescent="0.2">
      <c r="B879">
        <v>10920</v>
      </c>
      <c r="C879" t="s">
        <v>8381</v>
      </c>
      <c r="D879" t="s">
        <v>2434</v>
      </c>
      <c r="E879" t="s">
        <v>8262</v>
      </c>
      <c r="F879" s="222">
        <v>16.25</v>
      </c>
      <c r="G879">
        <v>24</v>
      </c>
      <c r="H879" s="223">
        <v>0</v>
      </c>
      <c r="I879" s="222">
        <v>390</v>
      </c>
      <c r="J879" t="s">
        <v>8386</v>
      </c>
      <c r="K879" t="s">
        <v>8387</v>
      </c>
      <c r="L879" s="118">
        <v>44072</v>
      </c>
      <c r="M879" s="118">
        <v>44078</v>
      </c>
      <c r="N879" t="s">
        <v>8265</v>
      </c>
      <c r="O879" t="s">
        <v>8266</v>
      </c>
      <c r="P879" t="s">
        <v>8267</v>
      </c>
      <c r="Q879" t="str">
        <f>tblSales[[#This Row],[FirstName]]&amp; " " &amp;tblSales[[#This Row],[LastName]]</f>
        <v>Margaret Peacock</v>
      </c>
      <c r="R879">
        <f>YEAR(tblSales[[#This Row],[OrderDate]])</f>
        <v>2020</v>
      </c>
      <c r="S879">
        <f>WEEKNUM(tblSales[[#This Row],[OrderDate]])</f>
        <v>35</v>
      </c>
      <c r="T879">
        <f>IF(ISBLANK(tblSales[[#This Row],[ShippedDate]]),"",tblSales[[#This Row],[ShippedDate]]-tblSales[[#This Row],[OrderDate]])</f>
        <v>6</v>
      </c>
      <c r="U879" t="str">
        <f>LEFT(tblSales[[#This Row],[ProductName]],20)</f>
        <v>Valkoinen suklaa</v>
      </c>
    </row>
    <row r="880" spans="2:21" x14ac:dyDescent="0.2">
      <c r="B880">
        <v>10921</v>
      </c>
      <c r="C880" t="s">
        <v>8323</v>
      </c>
      <c r="D880" t="s">
        <v>8374</v>
      </c>
      <c r="E880" t="s">
        <v>8272</v>
      </c>
      <c r="F880" s="222">
        <v>18</v>
      </c>
      <c r="G880">
        <v>10</v>
      </c>
      <c r="H880" s="223">
        <v>0</v>
      </c>
      <c r="I880" s="222">
        <v>180</v>
      </c>
      <c r="J880" t="s">
        <v>8395</v>
      </c>
      <c r="K880" t="s">
        <v>8396</v>
      </c>
      <c r="L880" s="118">
        <v>44072</v>
      </c>
      <c r="M880" s="118">
        <v>44078</v>
      </c>
      <c r="N880" t="s">
        <v>8250</v>
      </c>
      <c r="O880" t="s">
        <v>8285</v>
      </c>
      <c r="P880" t="s">
        <v>2317</v>
      </c>
      <c r="Q880" t="str">
        <f>tblSales[[#This Row],[FirstName]]&amp; " " &amp;tblSales[[#This Row],[LastName]]</f>
        <v>Nancy Davolio</v>
      </c>
      <c r="R880">
        <f>YEAR(tblSales[[#This Row],[OrderDate]])</f>
        <v>2020</v>
      </c>
      <c r="S880">
        <f>WEEKNUM(tblSales[[#This Row],[OrderDate]])</f>
        <v>35</v>
      </c>
      <c r="T880">
        <f>IF(ISBLANK(tblSales[[#This Row],[ShippedDate]]),"",tblSales[[#This Row],[ShippedDate]]-tblSales[[#This Row],[OrderDate]])</f>
        <v>6</v>
      </c>
      <c r="U880" t="str">
        <f>LEFT(tblSales[[#This Row],[ProductName]],20)</f>
        <v>Steeleye Stout</v>
      </c>
    </row>
    <row r="881" spans="2:21" x14ac:dyDescent="0.2">
      <c r="B881">
        <v>10921</v>
      </c>
      <c r="C881" t="s">
        <v>8317</v>
      </c>
      <c r="D881" t="s">
        <v>8374</v>
      </c>
      <c r="E881" t="s">
        <v>8254</v>
      </c>
      <c r="F881" s="222">
        <v>43.9</v>
      </c>
      <c r="G881">
        <v>40</v>
      </c>
      <c r="H881" s="223">
        <v>0</v>
      </c>
      <c r="I881" s="222">
        <v>1756</v>
      </c>
      <c r="J881" t="s">
        <v>8395</v>
      </c>
      <c r="K881" t="s">
        <v>8396</v>
      </c>
      <c r="L881" s="118">
        <v>44072</v>
      </c>
      <c r="M881" s="118">
        <v>44078</v>
      </c>
      <c r="N881" t="s">
        <v>8250</v>
      </c>
      <c r="O881" t="s">
        <v>8285</v>
      </c>
      <c r="P881" t="s">
        <v>2317</v>
      </c>
      <c r="Q881" t="str">
        <f>tblSales[[#This Row],[FirstName]]&amp; " " &amp;tblSales[[#This Row],[LastName]]</f>
        <v>Nancy Davolio</v>
      </c>
      <c r="R881">
        <f>YEAR(tblSales[[#This Row],[OrderDate]])</f>
        <v>2020</v>
      </c>
      <c r="S881">
        <f>WEEKNUM(tblSales[[#This Row],[OrderDate]])</f>
        <v>35</v>
      </c>
      <c r="T881">
        <f>IF(ISBLANK(tblSales[[#This Row],[ShippedDate]]),"",tblSales[[#This Row],[ShippedDate]]-tblSales[[#This Row],[OrderDate]])</f>
        <v>6</v>
      </c>
      <c r="U881" t="str">
        <f>LEFT(tblSales[[#This Row],[ProductName]],20)</f>
        <v>Vegie-spread</v>
      </c>
    </row>
    <row r="882" spans="2:21" x14ac:dyDescent="0.2">
      <c r="B882">
        <v>10923</v>
      </c>
      <c r="C882" t="s">
        <v>8306</v>
      </c>
      <c r="D882" t="s">
        <v>8236</v>
      </c>
      <c r="E882" t="s">
        <v>8272</v>
      </c>
      <c r="F882" s="222">
        <v>46</v>
      </c>
      <c r="G882">
        <v>10</v>
      </c>
      <c r="H882" s="223">
        <v>0.20000000298023199</v>
      </c>
      <c r="I882" s="222">
        <v>368</v>
      </c>
      <c r="J882" t="s">
        <v>8382</v>
      </c>
      <c r="K882" t="s">
        <v>8383</v>
      </c>
      <c r="L882" s="118">
        <v>44072</v>
      </c>
      <c r="M882" s="118">
        <v>44083</v>
      </c>
      <c r="N882" t="s">
        <v>8240</v>
      </c>
      <c r="O882" t="s">
        <v>8158</v>
      </c>
      <c r="P882" t="s">
        <v>861</v>
      </c>
      <c r="Q882" t="str">
        <f>tblSales[[#This Row],[FirstName]]&amp; " " &amp;tblSales[[#This Row],[LastName]]</f>
        <v>Robert King</v>
      </c>
      <c r="R882">
        <f>YEAR(tblSales[[#This Row],[OrderDate]])</f>
        <v>2020</v>
      </c>
      <c r="S882">
        <f>WEEKNUM(tblSales[[#This Row],[OrderDate]])</f>
        <v>35</v>
      </c>
      <c r="T882">
        <f>IF(ISBLANK(tblSales[[#This Row],[ShippedDate]]),"",tblSales[[#This Row],[ShippedDate]]-tblSales[[#This Row],[OrderDate]])</f>
        <v>11</v>
      </c>
      <c r="U882" t="str">
        <f>LEFT(tblSales[[#This Row],[ProductName]],20)</f>
        <v>Ipoh Coffee</v>
      </c>
    </row>
    <row r="883" spans="2:21" x14ac:dyDescent="0.2">
      <c r="B883">
        <v>10923</v>
      </c>
      <c r="C883" t="s">
        <v>8329</v>
      </c>
      <c r="D883" t="s">
        <v>8236</v>
      </c>
      <c r="E883" t="s">
        <v>8272</v>
      </c>
      <c r="F883" s="222">
        <v>14</v>
      </c>
      <c r="G883">
        <v>24</v>
      </c>
      <c r="H883" s="223">
        <v>0.20000000298023199</v>
      </c>
      <c r="I883" s="222">
        <v>268.8</v>
      </c>
      <c r="J883" t="s">
        <v>8382</v>
      </c>
      <c r="K883" t="s">
        <v>8383</v>
      </c>
      <c r="L883" s="118">
        <v>44072</v>
      </c>
      <c r="M883" s="118">
        <v>44083</v>
      </c>
      <c r="N883" t="s">
        <v>8240</v>
      </c>
      <c r="O883" t="s">
        <v>8158</v>
      </c>
      <c r="P883" t="s">
        <v>861</v>
      </c>
      <c r="Q883" t="str">
        <f>tblSales[[#This Row],[FirstName]]&amp; " " &amp;tblSales[[#This Row],[LastName]]</f>
        <v>Robert King</v>
      </c>
      <c r="R883">
        <f>YEAR(tblSales[[#This Row],[OrderDate]])</f>
        <v>2020</v>
      </c>
      <c r="S883">
        <f>WEEKNUM(tblSales[[#This Row],[OrderDate]])</f>
        <v>35</v>
      </c>
      <c r="T883">
        <f>IF(ISBLANK(tblSales[[#This Row],[ShippedDate]]),"",tblSales[[#This Row],[ShippedDate]]-tblSales[[#This Row],[OrderDate]])</f>
        <v>11</v>
      </c>
      <c r="U883" t="str">
        <f>LEFT(tblSales[[#This Row],[ProductName]],20)</f>
        <v xml:space="preserve">Laughing Lumberjack </v>
      </c>
    </row>
    <row r="884" spans="2:21" x14ac:dyDescent="0.2">
      <c r="B884">
        <v>10923</v>
      </c>
      <c r="C884" t="s">
        <v>8243</v>
      </c>
      <c r="D884" t="s">
        <v>8236</v>
      </c>
      <c r="E884" t="s">
        <v>8244</v>
      </c>
      <c r="F884" s="222">
        <v>14</v>
      </c>
      <c r="G884">
        <v>10</v>
      </c>
      <c r="H884" s="223">
        <v>0.20000000298023199</v>
      </c>
      <c r="I884" s="222">
        <v>112</v>
      </c>
      <c r="J884" t="s">
        <v>8382</v>
      </c>
      <c r="K884" t="s">
        <v>8383</v>
      </c>
      <c r="L884" s="118">
        <v>44072</v>
      </c>
      <c r="M884" s="118">
        <v>44083</v>
      </c>
      <c r="N884" t="s">
        <v>8240</v>
      </c>
      <c r="O884" t="s">
        <v>8158</v>
      </c>
      <c r="P884" t="s">
        <v>861</v>
      </c>
      <c r="Q884" t="str">
        <f>tblSales[[#This Row],[FirstName]]&amp; " " &amp;tblSales[[#This Row],[LastName]]</f>
        <v>Robert King</v>
      </c>
      <c r="R884">
        <f>YEAR(tblSales[[#This Row],[OrderDate]])</f>
        <v>2020</v>
      </c>
      <c r="S884">
        <f>WEEKNUM(tblSales[[#This Row],[OrderDate]])</f>
        <v>35</v>
      </c>
      <c r="T884">
        <f>IF(ISBLANK(tblSales[[#This Row],[ShippedDate]]),"",tblSales[[#This Row],[ShippedDate]]-tblSales[[#This Row],[OrderDate]])</f>
        <v>11</v>
      </c>
      <c r="U884" t="str">
        <f>LEFT(tblSales[[#This Row],[ProductName]],20)</f>
        <v xml:space="preserve">Singaporean Hokkien </v>
      </c>
    </row>
    <row r="885" spans="2:21" x14ac:dyDescent="0.2">
      <c r="B885">
        <v>11244</v>
      </c>
      <c r="C885" t="s">
        <v>8328</v>
      </c>
      <c r="D885" t="s">
        <v>8236</v>
      </c>
      <c r="E885" t="s">
        <v>8272</v>
      </c>
      <c r="F885" s="222">
        <v>7.75</v>
      </c>
      <c r="G885">
        <v>2</v>
      </c>
      <c r="H885" s="223">
        <v>0</v>
      </c>
      <c r="I885" s="222">
        <v>15.5</v>
      </c>
      <c r="J885" t="s">
        <v>8407</v>
      </c>
      <c r="K885" t="s">
        <v>8408</v>
      </c>
      <c r="L885" s="118">
        <v>44073</v>
      </c>
      <c r="M885" s="118">
        <v>44079</v>
      </c>
      <c r="N885" t="s">
        <v>8240</v>
      </c>
      <c r="O885" t="s">
        <v>8266</v>
      </c>
      <c r="P885" t="s">
        <v>8267</v>
      </c>
      <c r="Q885" t="str">
        <f>tblSales[[#This Row],[FirstName]]&amp; " " &amp;tblSales[[#This Row],[LastName]]</f>
        <v>Margaret Peacock</v>
      </c>
      <c r="R885">
        <f>YEAR(tblSales[[#This Row],[OrderDate]])</f>
        <v>2020</v>
      </c>
      <c r="S885">
        <f>WEEKNUM(tblSales[[#This Row],[OrderDate]])</f>
        <v>36</v>
      </c>
      <c r="T885">
        <f>IF(ISBLANK(tblSales[[#This Row],[ShippedDate]]),"",tblSales[[#This Row],[ShippedDate]]-tblSales[[#This Row],[OrderDate]])</f>
        <v>6</v>
      </c>
      <c r="U885" t="str">
        <f>LEFT(tblSales[[#This Row],[ProductName]],20)</f>
        <v>Rhönbräu Klosterbier</v>
      </c>
    </row>
    <row r="886" spans="2:21" x14ac:dyDescent="0.2">
      <c r="B886">
        <v>11244</v>
      </c>
      <c r="C886" t="s">
        <v>8415</v>
      </c>
      <c r="D886" t="s">
        <v>8236</v>
      </c>
      <c r="E886" t="s">
        <v>8247</v>
      </c>
      <c r="F886" s="222">
        <v>30</v>
      </c>
      <c r="G886">
        <v>35</v>
      </c>
      <c r="H886" s="223">
        <v>0</v>
      </c>
      <c r="I886" s="222">
        <v>1050</v>
      </c>
      <c r="J886" t="s">
        <v>8407</v>
      </c>
      <c r="K886" t="s">
        <v>8408</v>
      </c>
      <c r="L886" s="118">
        <v>44073</v>
      </c>
      <c r="M886" s="118">
        <v>44079</v>
      </c>
      <c r="N886" t="s">
        <v>8240</v>
      </c>
      <c r="O886" t="s">
        <v>8266</v>
      </c>
      <c r="P886" t="s">
        <v>8267</v>
      </c>
      <c r="Q886" t="str">
        <f>tblSales[[#This Row],[FirstName]]&amp; " " &amp;tblSales[[#This Row],[LastName]]</f>
        <v>Margaret Peacock</v>
      </c>
      <c r="R886">
        <f>YEAR(tblSales[[#This Row],[OrderDate]])</f>
        <v>2020</v>
      </c>
      <c r="S886">
        <f>WEEKNUM(tblSales[[#This Row],[OrderDate]])</f>
        <v>36</v>
      </c>
      <c r="T886">
        <f>IF(ISBLANK(tblSales[[#This Row],[ShippedDate]]),"",tblSales[[#This Row],[ShippedDate]]-tblSales[[#This Row],[OrderDate]])</f>
        <v>6</v>
      </c>
      <c r="U886" t="str">
        <f>LEFT(tblSales[[#This Row],[ProductName]],20)</f>
        <v xml:space="preserve">Uncle Bob's Organic </v>
      </c>
    </row>
    <row r="887" spans="2:21" x14ac:dyDescent="0.2">
      <c r="B887">
        <v>11244</v>
      </c>
      <c r="C887" t="s">
        <v>8245</v>
      </c>
      <c r="D887" t="s">
        <v>8236</v>
      </c>
      <c r="E887" t="s">
        <v>8247</v>
      </c>
      <c r="F887" s="222">
        <v>53</v>
      </c>
      <c r="G887">
        <v>15</v>
      </c>
      <c r="H887" s="223">
        <v>0</v>
      </c>
      <c r="I887" s="222">
        <v>795</v>
      </c>
      <c r="J887" t="s">
        <v>8407</v>
      </c>
      <c r="K887" t="s">
        <v>8408</v>
      </c>
      <c r="L887" s="118">
        <v>44073</v>
      </c>
      <c r="M887" s="118">
        <v>44079</v>
      </c>
      <c r="N887" t="s">
        <v>8240</v>
      </c>
      <c r="O887" t="s">
        <v>8266</v>
      </c>
      <c r="P887" t="s">
        <v>8267</v>
      </c>
      <c r="Q887" t="str">
        <f>tblSales[[#This Row],[FirstName]]&amp; " " &amp;tblSales[[#This Row],[LastName]]</f>
        <v>Margaret Peacock</v>
      </c>
      <c r="R887">
        <f>YEAR(tblSales[[#This Row],[OrderDate]])</f>
        <v>2020</v>
      </c>
      <c r="S887">
        <f>WEEKNUM(tblSales[[#This Row],[OrderDate]])</f>
        <v>36</v>
      </c>
      <c r="T887">
        <f>IF(ISBLANK(tblSales[[#This Row],[ShippedDate]]),"",tblSales[[#This Row],[ShippedDate]]-tblSales[[#This Row],[OrderDate]])</f>
        <v>6</v>
      </c>
      <c r="U887" t="str">
        <f>LEFT(tblSales[[#This Row],[ProductName]],20)</f>
        <v>Manjimup Dried Apple</v>
      </c>
    </row>
    <row r="888" spans="2:21" x14ac:dyDescent="0.2">
      <c r="B888">
        <v>10924</v>
      </c>
      <c r="C888" t="s">
        <v>8328</v>
      </c>
      <c r="D888" t="s">
        <v>8292</v>
      </c>
      <c r="E888" t="s">
        <v>8272</v>
      </c>
      <c r="F888" s="222">
        <v>7.75</v>
      </c>
      <c r="G888">
        <v>6</v>
      </c>
      <c r="H888" s="223">
        <v>0</v>
      </c>
      <c r="I888" s="222">
        <v>46.5</v>
      </c>
      <c r="J888" t="s">
        <v>8318</v>
      </c>
      <c r="K888" t="s">
        <v>8319</v>
      </c>
      <c r="L888" s="118">
        <v>44073</v>
      </c>
      <c r="M888" s="118">
        <v>44108</v>
      </c>
      <c r="N888" t="s">
        <v>8265</v>
      </c>
      <c r="O888" t="s">
        <v>8257</v>
      </c>
      <c r="P888" t="s">
        <v>6984</v>
      </c>
      <c r="Q888" t="str">
        <f>tblSales[[#This Row],[FirstName]]&amp; " " &amp;tblSales[[#This Row],[LastName]]</f>
        <v>Janet Leverling</v>
      </c>
      <c r="R888">
        <f>YEAR(tblSales[[#This Row],[OrderDate]])</f>
        <v>2020</v>
      </c>
      <c r="S888">
        <f>WEEKNUM(tblSales[[#This Row],[OrderDate]])</f>
        <v>36</v>
      </c>
      <c r="T888">
        <f>IF(ISBLANK(tblSales[[#This Row],[ShippedDate]]),"",tblSales[[#This Row],[ShippedDate]]-tblSales[[#This Row],[OrderDate]])</f>
        <v>35</v>
      </c>
      <c r="U888" t="str">
        <f>LEFT(tblSales[[#This Row],[ProductName]],20)</f>
        <v>Rhönbräu Klosterbier</v>
      </c>
    </row>
    <row r="889" spans="2:21" x14ac:dyDescent="0.2">
      <c r="B889">
        <v>10924</v>
      </c>
      <c r="C889" t="s">
        <v>8316</v>
      </c>
      <c r="D889" t="s">
        <v>8292</v>
      </c>
      <c r="E889" t="s">
        <v>8247</v>
      </c>
      <c r="F889" s="222">
        <v>45.6</v>
      </c>
      <c r="G889">
        <v>30</v>
      </c>
      <c r="H889" s="223">
        <v>0.10000000149011599</v>
      </c>
      <c r="I889" s="222">
        <v>1231.2</v>
      </c>
      <c r="J889" t="s">
        <v>8318</v>
      </c>
      <c r="K889" t="s">
        <v>8319</v>
      </c>
      <c r="L889" s="118">
        <v>44073</v>
      </c>
      <c r="M889" s="118">
        <v>44108</v>
      </c>
      <c r="N889" t="s">
        <v>8265</v>
      </c>
      <c r="O889" t="s">
        <v>8257</v>
      </c>
      <c r="P889" t="s">
        <v>6984</v>
      </c>
      <c r="Q889" t="str">
        <f>tblSales[[#This Row],[FirstName]]&amp; " " &amp;tblSales[[#This Row],[LastName]]</f>
        <v>Janet Leverling</v>
      </c>
      <c r="R889">
        <f>YEAR(tblSales[[#This Row],[OrderDate]])</f>
        <v>2020</v>
      </c>
      <c r="S889">
        <f>WEEKNUM(tblSales[[#This Row],[OrderDate]])</f>
        <v>36</v>
      </c>
      <c r="T889">
        <f>IF(ISBLANK(tblSales[[#This Row],[ShippedDate]]),"",tblSales[[#This Row],[ShippedDate]]-tblSales[[#This Row],[OrderDate]])</f>
        <v>35</v>
      </c>
      <c r="U889" t="str">
        <f>LEFT(tblSales[[#This Row],[ProductName]],20)</f>
        <v>Rössle Sauerkraut</v>
      </c>
    </row>
    <row r="890" spans="2:21" x14ac:dyDescent="0.2">
      <c r="B890">
        <v>10929</v>
      </c>
      <c r="C890" t="s">
        <v>8328</v>
      </c>
      <c r="D890" t="s">
        <v>8246</v>
      </c>
      <c r="E890" t="s">
        <v>8272</v>
      </c>
      <c r="F890" s="222">
        <v>7.75</v>
      </c>
      <c r="G890">
        <v>49</v>
      </c>
      <c r="H890" s="223">
        <v>0</v>
      </c>
      <c r="I890" s="222">
        <v>379.75</v>
      </c>
      <c r="J890" t="s">
        <v>8304</v>
      </c>
      <c r="K890" t="s">
        <v>8305</v>
      </c>
      <c r="L890" s="118">
        <v>44074</v>
      </c>
      <c r="M890" s="118">
        <v>44081</v>
      </c>
      <c r="N890" t="s">
        <v>8250</v>
      </c>
      <c r="O890" t="s">
        <v>8251</v>
      </c>
      <c r="P890" t="s">
        <v>269</v>
      </c>
      <c r="Q890" t="str">
        <f>tblSales[[#This Row],[FirstName]]&amp; " " &amp;tblSales[[#This Row],[LastName]]</f>
        <v>Michael Suyama</v>
      </c>
      <c r="R890">
        <f>YEAR(tblSales[[#This Row],[OrderDate]])</f>
        <v>2020</v>
      </c>
      <c r="S890">
        <f>WEEKNUM(tblSales[[#This Row],[OrderDate]])</f>
        <v>36</v>
      </c>
      <c r="T890">
        <f>IF(ISBLANK(tblSales[[#This Row],[ShippedDate]]),"",tblSales[[#This Row],[ShippedDate]]-tblSales[[#This Row],[OrderDate]])</f>
        <v>7</v>
      </c>
      <c r="U890" t="str">
        <f>LEFT(tblSales[[#This Row],[ProductName]],20)</f>
        <v>Rhönbräu Klosterbier</v>
      </c>
    </row>
    <row r="891" spans="2:21" x14ac:dyDescent="0.2">
      <c r="B891">
        <v>10929</v>
      </c>
      <c r="C891" t="s">
        <v>8397</v>
      </c>
      <c r="D891" t="s">
        <v>8246</v>
      </c>
      <c r="E891" t="s">
        <v>8254</v>
      </c>
      <c r="F891" s="222">
        <v>13</v>
      </c>
      <c r="G891">
        <v>15</v>
      </c>
      <c r="H891" s="223">
        <v>0</v>
      </c>
      <c r="I891" s="222">
        <v>195</v>
      </c>
      <c r="J891" t="s">
        <v>8304</v>
      </c>
      <c r="K891" t="s">
        <v>8305</v>
      </c>
      <c r="L891" s="118">
        <v>44074</v>
      </c>
      <c r="M891" s="118">
        <v>44081</v>
      </c>
      <c r="N891" t="s">
        <v>8250</v>
      </c>
      <c r="O891" t="s">
        <v>8251</v>
      </c>
      <c r="P891" t="s">
        <v>269</v>
      </c>
      <c r="Q891" t="str">
        <f>tblSales[[#This Row],[FirstName]]&amp; " " &amp;tblSales[[#This Row],[LastName]]</f>
        <v>Michael Suyama</v>
      </c>
      <c r="R891">
        <f>YEAR(tblSales[[#This Row],[OrderDate]])</f>
        <v>2020</v>
      </c>
      <c r="S891">
        <f>WEEKNUM(tblSales[[#This Row],[OrderDate]])</f>
        <v>36</v>
      </c>
      <c r="T891">
        <f>IF(ISBLANK(tblSales[[#This Row],[ShippedDate]]),"",tblSales[[#This Row],[ShippedDate]]-tblSales[[#This Row],[OrderDate]])</f>
        <v>7</v>
      </c>
      <c r="U891" t="str">
        <f>LEFT(tblSales[[#This Row],[ProductName]],20)</f>
        <v>Original Frankfurter</v>
      </c>
    </row>
    <row r="892" spans="2:21" x14ac:dyDescent="0.2">
      <c r="B892">
        <v>10929</v>
      </c>
      <c r="C892" t="s">
        <v>8368</v>
      </c>
      <c r="D892" t="s">
        <v>8246</v>
      </c>
      <c r="E892" t="s">
        <v>8262</v>
      </c>
      <c r="F892" s="222">
        <v>10</v>
      </c>
      <c r="G892">
        <v>60</v>
      </c>
      <c r="H892" s="223">
        <v>0</v>
      </c>
      <c r="I892" s="222">
        <v>600</v>
      </c>
      <c r="J892" t="s">
        <v>8304</v>
      </c>
      <c r="K892" t="s">
        <v>8305</v>
      </c>
      <c r="L892" s="118">
        <v>44074</v>
      </c>
      <c r="M892" s="118">
        <v>44081</v>
      </c>
      <c r="N892" t="s">
        <v>8250</v>
      </c>
      <c r="O892" t="s">
        <v>8251</v>
      </c>
      <c r="P892" t="s">
        <v>269</v>
      </c>
      <c r="Q892" t="str">
        <f>tblSales[[#This Row],[FirstName]]&amp; " " &amp;tblSales[[#This Row],[LastName]]</f>
        <v>Michael Suyama</v>
      </c>
      <c r="R892">
        <f>YEAR(tblSales[[#This Row],[OrderDate]])</f>
        <v>2020</v>
      </c>
      <c r="S892">
        <f>WEEKNUM(tblSales[[#This Row],[OrderDate]])</f>
        <v>36</v>
      </c>
      <c r="T892">
        <f>IF(ISBLANK(tblSales[[#This Row],[ShippedDate]]),"",tblSales[[#This Row],[ShippedDate]]-tblSales[[#This Row],[OrderDate]])</f>
        <v>7</v>
      </c>
      <c r="U892" t="str">
        <f>LEFT(tblSales[[#This Row],[ProductName]],20)</f>
        <v>Sir Rodney's Scones</v>
      </c>
    </row>
    <row r="893" spans="2:21" x14ac:dyDescent="0.2">
      <c r="B893">
        <v>10928</v>
      </c>
      <c r="C893" t="s">
        <v>8303</v>
      </c>
      <c r="D893" t="s">
        <v>8324</v>
      </c>
      <c r="E893" t="s">
        <v>8272</v>
      </c>
      <c r="F893" s="222">
        <v>18</v>
      </c>
      <c r="G893">
        <v>5</v>
      </c>
      <c r="H893" s="223">
        <v>0</v>
      </c>
      <c r="I893" s="222">
        <v>90</v>
      </c>
      <c r="J893" t="s">
        <v>8398</v>
      </c>
      <c r="K893" t="s">
        <v>8399</v>
      </c>
      <c r="L893" s="118">
        <v>44074</v>
      </c>
      <c r="M893" s="118">
        <v>44087</v>
      </c>
      <c r="N893" t="s">
        <v>8250</v>
      </c>
      <c r="O893" t="s">
        <v>8285</v>
      </c>
      <c r="P893" t="s">
        <v>2317</v>
      </c>
      <c r="Q893" t="str">
        <f>tblSales[[#This Row],[FirstName]]&amp; " " &amp;tblSales[[#This Row],[LastName]]</f>
        <v>Nancy Davolio</v>
      </c>
      <c r="R893">
        <f>YEAR(tblSales[[#This Row],[OrderDate]])</f>
        <v>2020</v>
      </c>
      <c r="S893">
        <f>WEEKNUM(tblSales[[#This Row],[OrderDate]])</f>
        <v>36</v>
      </c>
      <c r="T893">
        <f>IF(ISBLANK(tblSales[[#This Row],[ShippedDate]]),"",tblSales[[#This Row],[ShippedDate]]-tblSales[[#This Row],[OrderDate]])</f>
        <v>13</v>
      </c>
      <c r="U893" t="str">
        <f>LEFT(tblSales[[#This Row],[ProductName]],20)</f>
        <v>Lakkalikööri</v>
      </c>
    </row>
    <row r="894" spans="2:21" x14ac:dyDescent="0.2">
      <c r="B894">
        <v>10928</v>
      </c>
      <c r="C894" t="s">
        <v>8410</v>
      </c>
      <c r="D894" t="s">
        <v>8324</v>
      </c>
      <c r="E894" t="s">
        <v>8262</v>
      </c>
      <c r="F894" s="222">
        <v>9.5</v>
      </c>
      <c r="G894">
        <v>5</v>
      </c>
      <c r="H894" s="223">
        <v>0</v>
      </c>
      <c r="I894" s="222">
        <v>47.5</v>
      </c>
      <c r="J894" t="s">
        <v>8398</v>
      </c>
      <c r="K894" t="s">
        <v>8399</v>
      </c>
      <c r="L894" s="118">
        <v>44074</v>
      </c>
      <c r="M894" s="118">
        <v>44087</v>
      </c>
      <c r="N894" t="s">
        <v>8250</v>
      </c>
      <c r="O894" t="s">
        <v>8285</v>
      </c>
      <c r="P894" t="s">
        <v>2317</v>
      </c>
      <c r="Q894" t="str">
        <f>tblSales[[#This Row],[FirstName]]&amp; " " &amp;tblSales[[#This Row],[LastName]]</f>
        <v>Nancy Davolio</v>
      </c>
      <c r="R894">
        <f>YEAR(tblSales[[#This Row],[OrderDate]])</f>
        <v>2020</v>
      </c>
      <c r="S894">
        <f>WEEKNUM(tblSales[[#This Row],[OrderDate]])</f>
        <v>36</v>
      </c>
      <c r="T894">
        <f>IF(ISBLANK(tblSales[[#This Row],[ShippedDate]]),"",tblSales[[#This Row],[ShippedDate]]-tblSales[[#This Row],[OrderDate]])</f>
        <v>13</v>
      </c>
      <c r="U894" t="str">
        <f>LEFT(tblSales[[#This Row],[ProductName]],20)</f>
        <v>Zaanse koeken</v>
      </c>
    </row>
    <row r="895" spans="2:21" x14ac:dyDescent="0.2">
      <c r="B895">
        <v>10927</v>
      </c>
      <c r="C895" t="s">
        <v>8303</v>
      </c>
      <c r="D895" t="s">
        <v>8236</v>
      </c>
      <c r="E895" t="s">
        <v>8272</v>
      </c>
      <c r="F895" s="222">
        <v>18</v>
      </c>
      <c r="G895">
        <v>20</v>
      </c>
      <c r="H895" s="223">
        <v>0</v>
      </c>
      <c r="I895" s="222">
        <v>360</v>
      </c>
      <c r="J895" t="s">
        <v>8430</v>
      </c>
      <c r="K895" t="s">
        <v>8431</v>
      </c>
      <c r="L895" s="118">
        <v>44074</v>
      </c>
      <c r="M895" s="118">
        <v>44108</v>
      </c>
      <c r="N895" t="s">
        <v>8250</v>
      </c>
      <c r="O895" t="s">
        <v>8266</v>
      </c>
      <c r="P895" t="s">
        <v>8267</v>
      </c>
      <c r="Q895" t="str">
        <f>tblSales[[#This Row],[FirstName]]&amp; " " &amp;tblSales[[#This Row],[LastName]]</f>
        <v>Margaret Peacock</v>
      </c>
      <c r="R895">
        <f>YEAR(tblSales[[#This Row],[OrderDate]])</f>
        <v>2020</v>
      </c>
      <c r="S895">
        <f>WEEKNUM(tblSales[[#This Row],[OrderDate]])</f>
        <v>36</v>
      </c>
      <c r="T895">
        <f>IF(ISBLANK(tblSales[[#This Row],[ShippedDate]]),"",tblSales[[#This Row],[ShippedDate]]-tblSales[[#This Row],[OrderDate]])</f>
        <v>34</v>
      </c>
      <c r="U895" t="str">
        <f>LEFT(tblSales[[#This Row],[ProductName]],20)</f>
        <v>Lakkalikööri</v>
      </c>
    </row>
    <row r="896" spans="2:21" x14ac:dyDescent="0.2">
      <c r="B896">
        <v>10927</v>
      </c>
      <c r="C896" t="s">
        <v>8260</v>
      </c>
      <c r="D896" t="s">
        <v>8236</v>
      </c>
      <c r="E896" t="s">
        <v>8262</v>
      </c>
      <c r="F896" s="222">
        <v>81</v>
      </c>
      <c r="G896">
        <v>5</v>
      </c>
      <c r="H896" s="223">
        <v>0</v>
      </c>
      <c r="I896" s="222">
        <v>405</v>
      </c>
      <c r="J896" t="s">
        <v>8430</v>
      </c>
      <c r="K896" t="s">
        <v>8431</v>
      </c>
      <c r="L896" s="118">
        <v>44074</v>
      </c>
      <c r="M896" s="118">
        <v>44108</v>
      </c>
      <c r="N896" t="s">
        <v>8250</v>
      </c>
      <c r="O896" t="s">
        <v>8266</v>
      </c>
      <c r="P896" t="s">
        <v>8267</v>
      </c>
      <c r="Q896" t="str">
        <f>tblSales[[#This Row],[FirstName]]&amp; " " &amp;tblSales[[#This Row],[LastName]]</f>
        <v>Margaret Peacock</v>
      </c>
      <c r="R896">
        <f>YEAR(tblSales[[#This Row],[OrderDate]])</f>
        <v>2020</v>
      </c>
      <c r="S896">
        <f>WEEKNUM(tblSales[[#This Row],[OrderDate]])</f>
        <v>36</v>
      </c>
      <c r="T896">
        <f>IF(ISBLANK(tblSales[[#This Row],[ShippedDate]]),"",tblSales[[#This Row],[ShippedDate]]-tblSales[[#This Row],[OrderDate]])</f>
        <v>34</v>
      </c>
      <c r="U896" t="str">
        <f>LEFT(tblSales[[#This Row],[ProductName]],20)</f>
        <v>Sir Rodney's Marmala</v>
      </c>
    </row>
    <row r="897" spans="2:21" x14ac:dyDescent="0.2">
      <c r="B897">
        <v>10927</v>
      </c>
      <c r="C897" t="s">
        <v>8369</v>
      </c>
      <c r="D897" t="s">
        <v>8236</v>
      </c>
      <c r="E897" t="s">
        <v>8244</v>
      </c>
      <c r="F897" s="222">
        <v>7</v>
      </c>
      <c r="G897">
        <v>5</v>
      </c>
      <c r="H897" s="223">
        <v>0</v>
      </c>
      <c r="I897" s="222">
        <v>35</v>
      </c>
      <c r="J897" t="s">
        <v>8430</v>
      </c>
      <c r="K897" t="s">
        <v>8431</v>
      </c>
      <c r="L897" s="118">
        <v>44074</v>
      </c>
      <c r="M897" s="118">
        <v>44108</v>
      </c>
      <c r="N897" t="s">
        <v>8250</v>
      </c>
      <c r="O897" t="s">
        <v>8266</v>
      </c>
      <c r="P897" t="s">
        <v>8267</v>
      </c>
      <c r="Q897" t="str">
        <f>tblSales[[#This Row],[FirstName]]&amp; " " &amp;tblSales[[#This Row],[LastName]]</f>
        <v>Margaret Peacock</v>
      </c>
      <c r="R897">
        <f>YEAR(tblSales[[#This Row],[OrderDate]])</f>
        <v>2020</v>
      </c>
      <c r="S897">
        <f>WEEKNUM(tblSales[[#This Row],[OrderDate]])</f>
        <v>36</v>
      </c>
      <c r="T897">
        <f>IF(ISBLANK(tblSales[[#This Row],[ShippedDate]]),"",tblSales[[#This Row],[ShippedDate]]-tblSales[[#This Row],[OrderDate]])</f>
        <v>34</v>
      </c>
      <c r="U897" t="str">
        <f>LEFT(tblSales[[#This Row],[ProductName]],20)</f>
        <v>Filo Mix</v>
      </c>
    </row>
    <row r="898" spans="2:21" x14ac:dyDescent="0.2">
      <c r="B898">
        <v>10933</v>
      </c>
      <c r="C898" t="s">
        <v>8409</v>
      </c>
      <c r="D898" t="s">
        <v>2434</v>
      </c>
      <c r="E898" t="s">
        <v>8254</v>
      </c>
      <c r="F898" s="222">
        <v>28.5</v>
      </c>
      <c r="G898">
        <v>30</v>
      </c>
      <c r="H898" s="223">
        <v>0</v>
      </c>
      <c r="I898" s="222">
        <v>855</v>
      </c>
      <c r="J898" t="s">
        <v>8356</v>
      </c>
      <c r="K898" t="s">
        <v>8357</v>
      </c>
      <c r="L898" s="118">
        <v>44075</v>
      </c>
      <c r="M898" s="118">
        <v>44085</v>
      </c>
      <c r="N898" t="s">
        <v>8240</v>
      </c>
      <c r="O898" t="s">
        <v>8251</v>
      </c>
      <c r="P898" t="s">
        <v>269</v>
      </c>
      <c r="Q898" t="str">
        <f>tblSales[[#This Row],[FirstName]]&amp; " " &amp;tblSales[[#This Row],[LastName]]</f>
        <v>Michael Suyama</v>
      </c>
      <c r="R898">
        <f>YEAR(tblSales[[#This Row],[OrderDate]])</f>
        <v>2020</v>
      </c>
      <c r="S898">
        <f>WEEKNUM(tblSales[[#This Row],[OrderDate]])</f>
        <v>36</v>
      </c>
      <c r="T898">
        <f>IF(ISBLANK(tblSales[[#This Row],[ShippedDate]]),"",tblSales[[#This Row],[ShippedDate]]-tblSales[[#This Row],[OrderDate]])</f>
        <v>10</v>
      </c>
      <c r="U898" t="str">
        <f>LEFT(tblSales[[#This Row],[ProductName]],20)</f>
        <v>Sirop d'érable</v>
      </c>
    </row>
    <row r="899" spans="2:21" x14ac:dyDescent="0.2">
      <c r="B899">
        <v>10930</v>
      </c>
      <c r="C899" t="s">
        <v>8332</v>
      </c>
      <c r="D899" t="s">
        <v>8261</v>
      </c>
      <c r="E899" t="s">
        <v>8262</v>
      </c>
      <c r="F899" s="222">
        <v>43.9</v>
      </c>
      <c r="G899">
        <v>25</v>
      </c>
      <c r="H899" s="223">
        <v>0</v>
      </c>
      <c r="I899" s="222">
        <v>1097.5</v>
      </c>
      <c r="J899" t="s">
        <v>8263</v>
      </c>
      <c r="K899" t="s">
        <v>8264</v>
      </c>
      <c r="L899" s="118">
        <v>44075</v>
      </c>
      <c r="M899" s="118">
        <v>44087</v>
      </c>
      <c r="N899" t="s">
        <v>8240</v>
      </c>
      <c r="O899" t="s">
        <v>8266</v>
      </c>
      <c r="P899" t="s">
        <v>8267</v>
      </c>
      <c r="Q899" t="str">
        <f>tblSales[[#This Row],[FirstName]]&amp; " " &amp;tblSales[[#This Row],[LastName]]</f>
        <v>Margaret Peacock</v>
      </c>
      <c r="R899">
        <f>YEAR(tblSales[[#This Row],[OrderDate]])</f>
        <v>2020</v>
      </c>
      <c r="S899">
        <f>WEEKNUM(tblSales[[#This Row],[OrderDate]])</f>
        <v>36</v>
      </c>
      <c r="T899">
        <f>IF(ISBLANK(tblSales[[#This Row],[ShippedDate]]),"",tblSales[[#This Row],[ShippedDate]]-tblSales[[#This Row],[OrderDate]])</f>
        <v>12</v>
      </c>
      <c r="U899" t="str">
        <f>LEFT(tblSales[[#This Row],[ProductName]],20)</f>
        <v>Schoggi Schokolade</v>
      </c>
    </row>
    <row r="900" spans="2:21" x14ac:dyDescent="0.2">
      <c r="B900">
        <v>10930</v>
      </c>
      <c r="C900" t="s">
        <v>8368</v>
      </c>
      <c r="D900" t="s">
        <v>8261</v>
      </c>
      <c r="E900" t="s">
        <v>8262</v>
      </c>
      <c r="F900" s="222">
        <v>10</v>
      </c>
      <c r="G900">
        <v>36</v>
      </c>
      <c r="H900" s="223">
        <v>0</v>
      </c>
      <c r="I900" s="222">
        <v>360</v>
      </c>
      <c r="J900" t="s">
        <v>8263</v>
      </c>
      <c r="K900" t="s">
        <v>8264</v>
      </c>
      <c r="L900" s="118">
        <v>44075</v>
      </c>
      <c r="M900" s="118">
        <v>44087</v>
      </c>
      <c r="N900" t="s">
        <v>8240</v>
      </c>
      <c r="O900" t="s">
        <v>8266</v>
      </c>
      <c r="P900" t="s">
        <v>8267</v>
      </c>
      <c r="Q900" t="str">
        <f>tblSales[[#This Row],[FirstName]]&amp; " " &amp;tblSales[[#This Row],[LastName]]</f>
        <v>Margaret Peacock</v>
      </c>
      <c r="R900">
        <f>YEAR(tblSales[[#This Row],[OrderDate]])</f>
        <v>2020</v>
      </c>
      <c r="S900">
        <f>WEEKNUM(tblSales[[#This Row],[OrderDate]])</f>
        <v>36</v>
      </c>
      <c r="T900">
        <f>IF(ISBLANK(tblSales[[#This Row],[ShippedDate]]),"",tblSales[[#This Row],[ShippedDate]]-tblSales[[#This Row],[OrderDate]])</f>
        <v>12</v>
      </c>
      <c r="U900" t="str">
        <f>LEFT(tblSales[[#This Row],[ProductName]],20)</f>
        <v>Sir Rodney's Scones</v>
      </c>
    </row>
    <row r="901" spans="2:21" x14ac:dyDescent="0.2">
      <c r="B901">
        <v>10931</v>
      </c>
      <c r="C901" t="s">
        <v>8258</v>
      </c>
      <c r="D901" t="s">
        <v>8271</v>
      </c>
      <c r="E901" t="s">
        <v>8244</v>
      </c>
      <c r="F901" s="222">
        <v>19.5</v>
      </c>
      <c r="G901">
        <v>30</v>
      </c>
      <c r="H901" s="223">
        <v>0</v>
      </c>
      <c r="I901" s="222">
        <v>585</v>
      </c>
      <c r="J901" t="s">
        <v>8277</v>
      </c>
      <c r="K901" t="s">
        <v>8278</v>
      </c>
      <c r="L901" s="118">
        <v>44075</v>
      </c>
      <c r="M901" s="118">
        <v>44088</v>
      </c>
      <c r="N901" t="s">
        <v>8265</v>
      </c>
      <c r="O901" t="s">
        <v>8266</v>
      </c>
      <c r="P901" t="s">
        <v>8267</v>
      </c>
      <c r="Q901" t="str">
        <f>tblSales[[#This Row],[FirstName]]&amp; " " &amp;tblSales[[#This Row],[LastName]]</f>
        <v>Margaret Peacock</v>
      </c>
      <c r="R901">
        <f>YEAR(tblSales[[#This Row],[OrderDate]])</f>
        <v>2020</v>
      </c>
      <c r="S901">
        <f>WEEKNUM(tblSales[[#This Row],[OrderDate]])</f>
        <v>36</v>
      </c>
      <c r="T901">
        <f>IF(ISBLANK(tblSales[[#This Row],[ShippedDate]]),"",tblSales[[#This Row],[ShippedDate]]-tblSales[[#This Row],[OrderDate]])</f>
        <v>13</v>
      </c>
      <c r="U901" t="str">
        <f>LEFT(tblSales[[#This Row],[ProductName]],20)</f>
        <v>Ravioli Angelo</v>
      </c>
    </row>
    <row r="902" spans="2:21" x14ac:dyDescent="0.2">
      <c r="B902">
        <v>10932</v>
      </c>
      <c r="C902" t="s">
        <v>8328</v>
      </c>
      <c r="D902" t="s">
        <v>8236</v>
      </c>
      <c r="E902" t="s">
        <v>8272</v>
      </c>
      <c r="F902" s="222">
        <v>7.75</v>
      </c>
      <c r="G902">
        <v>20</v>
      </c>
      <c r="H902" s="223">
        <v>0.10000000149011599</v>
      </c>
      <c r="I902" s="222">
        <v>139.5</v>
      </c>
      <c r="J902" t="s">
        <v>8377</v>
      </c>
      <c r="K902" t="s">
        <v>8378</v>
      </c>
      <c r="L902" s="118">
        <v>44075</v>
      </c>
      <c r="M902" s="118">
        <v>44093</v>
      </c>
      <c r="N902" t="s">
        <v>8250</v>
      </c>
      <c r="O902" t="s">
        <v>8320</v>
      </c>
      <c r="P902" t="s">
        <v>8321</v>
      </c>
      <c r="Q902" t="str">
        <f>tblSales[[#This Row],[FirstName]]&amp; " " &amp;tblSales[[#This Row],[LastName]]</f>
        <v>Laura Callahan</v>
      </c>
      <c r="R902">
        <f>YEAR(tblSales[[#This Row],[OrderDate]])</f>
        <v>2020</v>
      </c>
      <c r="S902">
        <f>WEEKNUM(tblSales[[#This Row],[OrderDate]])</f>
        <v>36</v>
      </c>
      <c r="T902">
        <f>IF(ISBLANK(tblSales[[#This Row],[ShippedDate]]),"",tblSales[[#This Row],[ShippedDate]]-tblSales[[#This Row],[OrderDate]])</f>
        <v>18</v>
      </c>
      <c r="U902" t="str">
        <f>LEFT(tblSales[[#This Row],[ProductName]],20)</f>
        <v>Rhönbräu Klosterbier</v>
      </c>
    </row>
    <row r="903" spans="2:21" x14ac:dyDescent="0.2">
      <c r="B903">
        <v>10932</v>
      </c>
      <c r="C903" t="s">
        <v>8291</v>
      </c>
      <c r="D903" t="s">
        <v>8236</v>
      </c>
      <c r="E903" t="s">
        <v>8262</v>
      </c>
      <c r="F903" s="222">
        <v>49.3</v>
      </c>
      <c r="G903">
        <v>14</v>
      </c>
      <c r="H903" s="223">
        <v>0.10000000149011599</v>
      </c>
      <c r="I903" s="222">
        <v>621.17999999999995</v>
      </c>
      <c r="J903" t="s">
        <v>8377</v>
      </c>
      <c r="K903" t="s">
        <v>8378</v>
      </c>
      <c r="L903" s="118">
        <v>44075</v>
      </c>
      <c r="M903" s="118">
        <v>44093</v>
      </c>
      <c r="N903" t="s">
        <v>8250</v>
      </c>
      <c r="O903" t="s">
        <v>8320</v>
      </c>
      <c r="P903" t="s">
        <v>8321</v>
      </c>
      <c r="Q903" t="str">
        <f>tblSales[[#This Row],[FirstName]]&amp; " " &amp;tblSales[[#This Row],[LastName]]</f>
        <v>Laura Callahan</v>
      </c>
      <c r="R903">
        <f>YEAR(tblSales[[#This Row],[OrderDate]])</f>
        <v>2020</v>
      </c>
      <c r="S903">
        <f>WEEKNUM(tblSales[[#This Row],[OrderDate]])</f>
        <v>36</v>
      </c>
      <c r="T903">
        <f>IF(ISBLANK(tblSales[[#This Row],[ShippedDate]]),"",tblSales[[#This Row],[ShippedDate]]-tblSales[[#This Row],[OrderDate]])</f>
        <v>18</v>
      </c>
      <c r="U903" t="str">
        <f>LEFT(tblSales[[#This Row],[ProductName]],20)</f>
        <v>Tarte au sucre</v>
      </c>
    </row>
    <row r="904" spans="2:21" x14ac:dyDescent="0.2">
      <c r="B904">
        <v>10932</v>
      </c>
      <c r="C904" t="s">
        <v>8280</v>
      </c>
      <c r="D904" t="s">
        <v>8236</v>
      </c>
      <c r="E904" t="s">
        <v>8262</v>
      </c>
      <c r="F904" s="222">
        <v>17.45</v>
      </c>
      <c r="G904">
        <v>30</v>
      </c>
      <c r="H904" s="223">
        <v>0.10000000149011599</v>
      </c>
      <c r="I904" s="222">
        <v>471.15</v>
      </c>
      <c r="J904" t="s">
        <v>8377</v>
      </c>
      <c r="K904" t="s">
        <v>8378</v>
      </c>
      <c r="L904" s="118">
        <v>44075</v>
      </c>
      <c r="M904" s="118">
        <v>44093</v>
      </c>
      <c r="N904" t="s">
        <v>8250</v>
      </c>
      <c r="O904" t="s">
        <v>8320</v>
      </c>
      <c r="P904" t="s">
        <v>8321</v>
      </c>
      <c r="Q904" t="str">
        <f>tblSales[[#This Row],[FirstName]]&amp; " " &amp;tblSales[[#This Row],[LastName]]</f>
        <v>Laura Callahan</v>
      </c>
      <c r="R904">
        <f>YEAR(tblSales[[#This Row],[OrderDate]])</f>
        <v>2020</v>
      </c>
      <c r="S904">
        <f>WEEKNUM(tblSales[[#This Row],[OrderDate]])</f>
        <v>36</v>
      </c>
      <c r="T904">
        <f>IF(ISBLANK(tblSales[[#This Row],[ShippedDate]]),"",tblSales[[#This Row],[ShippedDate]]-tblSales[[#This Row],[OrderDate]])</f>
        <v>18</v>
      </c>
      <c r="U904" t="str">
        <f>LEFT(tblSales[[#This Row],[ProductName]],20)</f>
        <v>Pavlova</v>
      </c>
    </row>
    <row r="905" spans="2:21" x14ac:dyDescent="0.2">
      <c r="B905">
        <v>10932</v>
      </c>
      <c r="C905" t="s">
        <v>8235</v>
      </c>
      <c r="D905" t="s">
        <v>8236</v>
      </c>
      <c r="E905" t="s">
        <v>8237</v>
      </c>
      <c r="F905" s="222">
        <v>34.799999999999997</v>
      </c>
      <c r="G905">
        <v>16</v>
      </c>
      <c r="H905" s="223">
        <v>0</v>
      </c>
      <c r="I905" s="222">
        <v>556.79999999999995</v>
      </c>
      <c r="J905" t="s">
        <v>8377</v>
      </c>
      <c r="K905" t="s">
        <v>8378</v>
      </c>
      <c r="L905" s="118">
        <v>44075</v>
      </c>
      <c r="M905" s="118">
        <v>44093</v>
      </c>
      <c r="N905" t="s">
        <v>8250</v>
      </c>
      <c r="O905" t="s">
        <v>8320</v>
      </c>
      <c r="P905" t="s">
        <v>8321</v>
      </c>
      <c r="Q905" t="str">
        <f>tblSales[[#This Row],[FirstName]]&amp; " " &amp;tblSales[[#This Row],[LastName]]</f>
        <v>Laura Callahan</v>
      </c>
      <c r="R905">
        <f>YEAR(tblSales[[#This Row],[OrderDate]])</f>
        <v>2020</v>
      </c>
      <c r="S905">
        <f>WEEKNUM(tblSales[[#This Row],[OrderDate]])</f>
        <v>36</v>
      </c>
      <c r="T905">
        <f>IF(ISBLANK(tblSales[[#This Row],[ShippedDate]]),"",tblSales[[#This Row],[ShippedDate]]-tblSales[[#This Row],[OrderDate]])</f>
        <v>18</v>
      </c>
      <c r="U905" t="str">
        <f>LEFT(tblSales[[#This Row],[ProductName]],20)</f>
        <v>Mozzarella di Giovan</v>
      </c>
    </row>
    <row r="906" spans="2:21" x14ac:dyDescent="0.2">
      <c r="B906">
        <v>10934</v>
      </c>
      <c r="C906" t="s">
        <v>8351</v>
      </c>
      <c r="D906" t="s">
        <v>8246</v>
      </c>
      <c r="E906" t="s">
        <v>8254</v>
      </c>
      <c r="F906" s="222">
        <v>25</v>
      </c>
      <c r="G906">
        <v>20</v>
      </c>
      <c r="H906" s="223">
        <v>0</v>
      </c>
      <c r="I906" s="222">
        <v>500</v>
      </c>
      <c r="J906" t="s">
        <v>8330</v>
      </c>
      <c r="K906" t="s">
        <v>8331</v>
      </c>
      <c r="L906" s="118">
        <v>44078</v>
      </c>
      <c r="M906" s="118">
        <v>44081</v>
      </c>
      <c r="N906" t="s">
        <v>8240</v>
      </c>
      <c r="O906" t="s">
        <v>8257</v>
      </c>
      <c r="P906" t="s">
        <v>6984</v>
      </c>
      <c r="Q906" t="str">
        <f>tblSales[[#This Row],[FirstName]]&amp; " " &amp;tblSales[[#This Row],[LastName]]</f>
        <v>Janet Leverling</v>
      </c>
      <c r="R906">
        <f>YEAR(tblSales[[#This Row],[OrderDate]])</f>
        <v>2020</v>
      </c>
      <c r="S906">
        <f>WEEKNUM(tblSales[[#This Row],[OrderDate]])</f>
        <v>36</v>
      </c>
      <c r="T906">
        <f>IF(ISBLANK(tblSales[[#This Row],[ShippedDate]]),"",tblSales[[#This Row],[ShippedDate]]-tblSales[[#This Row],[OrderDate]])</f>
        <v>3</v>
      </c>
      <c r="U906" t="str">
        <f>LEFT(tblSales[[#This Row],[ProductName]],20)</f>
        <v>Grandma's Boysenberr</v>
      </c>
    </row>
    <row r="907" spans="2:21" x14ac:dyDescent="0.2">
      <c r="B907">
        <v>10939</v>
      </c>
      <c r="C907" t="s">
        <v>8329</v>
      </c>
      <c r="D907" t="s">
        <v>8311</v>
      </c>
      <c r="E907" t="s">
        <v>8272</v>
      </c>
      <c r="F907" s="222">
        <v>14</v>
      </c>
      <c r="G907">
        <v>40</v>
      </c>
      <c r="H907" s="223">
        <v>0.15000000596046401</v>
      </c>
      <c r="I907" s="222">
        <v>476</v>
      </c>
      <c r="J907" t="s">
        <v>8312</v>
      </c>
      <c r="K907" t="s">
        <v>8313</v>
      </c>
      <c r="L907" s="118">
        <v>44079</v>
      </c>
      <c r="M907" s="118">
        <v>44083</v>
      </c>
      <c r="N907" t="s">
        <v>8265</v>
      </c>
      <c r="O907" t="s">
        <v>8297</v>
      </c>
      <c r="P907" t="s">
        <v>8298</v>
      </c>
      <c r="Q907" t="str">
        <f>tblSales[[#This Row],[FirstName]]&amp; " " &amp;tblSales[[#This Row],[LastName]]</f>
        <v>Andrew Fuller</v>
      </c>
      <c r="R907">
        <f>YEAR(tblSales[[#This Row],[OrderDate]])</f>
        <v>2020</v>
      </c>
      <c r="S907">
        <f>WEEKNUM(tblSales[[#This Row],[OrderDate]])</f>
        <v>36</v>
      </c>
      <c r="T907">
        <f>IF(ISBLANK(tblSales[[#This Row],[ShippedDate]]),"",tblSales[[#This Row],[ShippedDate]]-tblSales[[#This Row],[OrderDate]])</f>
        <v>4</v>
      </c>
      <c r="U907" t="str">
        <f>LEFT(tblSales[[#This Row],[ProductName]],20)</f>
        <v xml:space="preserve">Laughing Lumberjack </v>
      </c>
    </row>
    <row r="908" spans="2:21" x14ac:dyDescent="0.2">
      <c r="B908">
        <v>10939</v>
      </c>
      <c r="C908" t="s">
        <v>8276</v>
      </c>
      <c r="D908" t="s">
        <v>8311</v>
      </c>
      <c r="E908" t="s">
        <v>8272</v>
      </c>
      <c r="F908" s="222">
        <v>19</v>
      </c>
      <c r="G908">
        <v>10</v>
      </c>
      <c r="H908" s="223">
        <v>0.15000000596046401</v>
      </c>
      <c r="I908" s="222">
        <v>161.5</v>
      </c>
      <c r="J908" t="s">
        <v>8312</v>
      </c>
      <c r="K908" t="s">
        <v>8313</v>
      </c>
      <c r="L908" s="118">
        <v>44079</v>
      </c>
      <c r="M908" s="118">
        <v>44083</v>
      </c>
      <c r="N908" t="s">
        <v>8265</v>
      </c>
      <c r="O908" t="s">
        <v>8297</v>
      </c>
      <c r="P908" t="s">
        <v>8298</v>
      </c>
      <c r="Q908" t="str">
        <f>tblSales[[#This Row],[FirstName]]&amp; " " &amp;tblSales[[#This Row],[LastName]]</f>
        <v>Andrew Fuller</v>
      </c>
      <c r="R908">
        <f>YEAR(tblSales[[#This Row],[OrderDate]])</f>
        <v>2020</v>
      </c>
      <c r="S908">
        <f>WEEKNUM(tblSales[[#This Row],[OrderDate]])</f>
        <v>36</v>
      </c>
      <c r="T908">
        <f>IF(ISBLANK(tblSales[[#This Row],[ShippedDate]]),"",tblSales[[#This Row],[ShippedDate]]-tblSales[[#This Row],[OrderDate]])</f>
        <v>4</v>
      </c>
      <c r="U908" t="str">
        <f>LEFT(tblSales[[#This Row],[ProductName]],20)</f>
        <v>Chang</v>
      </c>
    </row>
    <row r="909" spans="2:21" x14ac:dyDescent="0.2">
      <c r="B909">
        <v>10938</v>
      </c>
      <c r="C909" t="s">
        <v>8306</v>
      </c>
      <c r="D909" t="s">
        <v>8246</v>
      </c>
      <c r="E909" t="s">
        <v>8272</v>
      </c>
      <c r="F909" s="222">
        <v>46</v>
      </c>
      <c r="G909">
        <v>24</v>
      </c>
      <c r="H909" s="223">
        <v>0.25</v>
      </c>
      <c r="I909" s="222">
        <v>828</v>
      </c>
      <c r="J909" t="s">
        <v>8307</v>
      </c>
      <c r="K909" t="s">
        <v>8308</v>
      </c>
      <c r="L909" s="118">
        <v>44079</v>
      </c>
      <c r="M909" s="118">
        <v>44085</v>
      </c>
      <c r="N909" t="s">
        <v>8265</v>
      </c>
      <c r="O909" t="s">
        <v>8257</v>
      </c>
      <c r="P909" t="s">
        <v>6984</v>
      </c>
      <c r="Q909" t="str">
        <f>tblSales[[#This Row],[FirstName]]&amp; " " &amp;tblSales[[#This Row],[LastName]]</f>
        <v>Janet Leverling</v>
      </c>
      <c r="R909">
        <f>YEAR(tblSales[[#This Row],[OrderDate]])</f>
        <v>2020</v>
      </c>
      <c r="S909">
        <f>WEEKNUM(tblSales[[#This Row],[OrderDate]])</f>
        <v>36</v>
      </c>
      <c r="T909">
        <f>IF(ISBLANK(tblSales[[#This Row],[ShippedDate]]),"",tblSales[[#This Row],[ShippedDate]]-tblSales[[#This Row],[OrderDate]])</f>
        <v>6</v>
      </c>
      <c r="U909" t="str">
        <f>LEFT(tblSales[[#This Row],[ProductName]],20)</f>
        <v>Ipoh Coffee</v>
      </c>
    </row>
    <row r="910" spans="2:21" x14ac:dyDescent="0.2">
      <c r="B910">
        <v>10938</v>
      </c>
      <c r="C910" t="s">
        <v>8268</v>
      </c>
      <c r="D910" t="s">
        <v>8246</v>
      </c>
      <c r="E910" t="s">
        <v>8237</v>
      </c>
      <c r="F910" s="222">
        <v>34</v>
      </c>
      <c r="G910">
        <v>49</v>
      </c>
      <c r="H910" s="223">
        <v>0.25</v>
      </c>
      <c r="I910" s="222">
        <v>1249.5</v>
      </c>
      <c r="J910" t="s">
        <v>8307</v>
      </c>
      <c r="K910" t="s">
        <v>8308</v>
      </c>
      <c r="L910" s="118">
        <v>44079</v>
      </c>
      <c r="M910" s="118">
        <v>44085</v>
      </c>
      <c r="N910" t="s">
        <v>8265</v>
      </c>
      <c r="O910" t="s">
        <v>8257</v>
      </c>
      <c r="P910" t="s">
        <v>6984</v>
      </c>
      <c r="Q910" t="str">
        <f>tblSales[[#This Row],[FirstName]]&amp; " " &amp;tblSales[[#This Row],[LastName]]</f>
        <v>Janet Leverling</v>
      </c>
      <c r="R910">
        <f>YEAR(tblSales[[#This Row],[OrderDate]])</f>
        <v>2020</v>
      </c>
      <c r="S910">
        <f>WEEKNUM(tblSales[[#This Row],[OrderDate]])</f>
        <v>36</v>
      </c>
      <c r="T910">
        <f>IF(ISBLANK(tblSales[[#This Row],[ShippedDate]]),"",tblSales[[#This Row],[ShippedDate]]-tblSales[[#This Row],[OrderDate]])</f>
        <v>6</v>
      </c>
      <c r="U910" t="str">
        <f>LEFT(tblSales[[#This Row],[ProductName]],20)</f>
        <v>Camembert Pierrot</v>
      </c>
    </row>
    <row r="911" spans="2:21" x14ac:dyDescent="0.2">
      <c r="B911">
        <v>10938</v>
      </c>
      <c r="C911" t="s">
        <v>8310</v>
      </c>
      <c r="D911" t="s">
        <v>8246</v>
      </c>
      <c r="E911" t="s">
        <v>8237</v>
      </c>
      <c r="F911" s="222">
        <v>21.5</v>
      </c>
      <c r="G911">
        <v>35</v>
      </c>
      <c r="H911" s="223">
        <v>0.25</v>
      </c>
      <c r="I911" s="222">
        <v>564.38</v>
      </c>
      <c r="J911" t="s">
        <v>8307</v>
      </c>
      <c r="K911" t="s">
        <v>8308</v>
      </c>
      <c r="L911" s="118">
        <v>44079</v>
      </c>
      <c r="M911" s="118">
        <v>44085</v>
      </c>
      <c r="N911" t="s">
        <v>8265</v>
      </c>
      <c r="O911" t="s">
        <v>8257</v>
      </c>
      <c r="P911" t="s">
        <v>6984</v>
      </c>
      <c r="Q911" t="str">
        <f>tblSales[[#This Row],[FirstName]]&amp; " " &amp;tblSales[[#This Row],[LastName]]</f>
        <v>Janet Leverling</v>
      </c>
      <c r="R911">
        <f>YEAR(tblSales[[#This Row],[OrderDate]])</f>
        <v>2020</v>
      </c>
      <c r="S911">
        <f>WEEKNUM(tblSales[[#This Row],[OrderDate]])</f>
        <v>36</v>
      </c>
      <c r="T911">
        <f>IF(ISBLANK(tblSales[[#This Row],[ShippedDate]]),"",tblSales[[#This Row],[ShippedDate]]-tblSales[[#This Row],[OrderDate]])</f>
        <v>6</v>
      </c>
      <c r="U911" t="str">
        <f>LEFT(tblSales[[#This Row],[ProductName]],20)</f>
        <v>Fløtemysost</v>
      </c>
    </row>
    <row r="912" spans="2:21" x14ac:dyDescent="0.2">
      <c r="B912">
        <v>10942</v>
      </c>
      <c r="C912" t="s">
        <v>8390</v>
      </c>
      <c r="D912" t="s">
        <v>8311</v>
      </c>
      <c r="E912" t="s">
        <v>8262</v>
      </c>
      <c r="F912" s="222">
        <v>20</v>
      </c>
      <c r="G912">
        <v>28</v>
      </c>
      <c r="H912" s="223">
        <v>0</v>
      </c>
      <c r="I912" s="222">
        <v>560</v>
      </c>
      <c r="J912" t="s">
        <v>8335</v>
      </c>
      <c r="K912" t="s">
        <v>8336</v>
      </c>
      <c r="L912" s="118">
        <v>44080</v>
      </c>
      <c r="M912" s="118">
        <v>44087</v>
      </c>
      <c r="N912" t="s">
        <v>8240</v>
      </c>
      <c r="O912" t="s">
        <v>8279</v>
      </c>
      <c r="P912" t="s">
        <v>710</v>
      </c>
      <c r="Q912" t="str">
        <f>tblSales[[#This Row],[FirstName]]&amp; " " &amp;tblSales[[#This Row],[LastName]]</f>
        <v>Anne Dodsworth</v>
      </c>
      <c r="R912">
        <f>YEAR(tblSales[[#This Row],[OrderDate]])</f>
        <v>2020</v>
      </c>
      <c r="S912">
        <f>WEEKNUM(tblSales[[#This Row],[OrderDate]])</f>
        <v>37</v>
      </c>
      <c r="T912">
        <f>IF(ISBLANK(tblSales[[#This Row],[ShippedDate]]),"",tblSales[[#This Row],[ShippedDate]]-tblSales[[#This Row],[OrderDate]])</f>
        <v>7</v>
      </c>
      <c r="U912" t="str">
        <f>LEFT(tblSales[[#This Row],[ProductName]],20)</f>
        <v>Maxilaku</v>
      </c>
    </row>
    <row r="913" spans="2:21" x14ac:dyDescent="0.2">
      <c r="B913">
        <v>10943</v>
      </c>
      <c r="C913" t="s">
        <v>8259</v>
      </c>
      <c r="D913" t="s">
        <v>2434</v>
      </c>
      <c r="E913" t="s">
        <v>8244</v>
      </c>
      <c r="F913" s="222">
        <v>21</v>
      </c>
      <c r="G913">
        <v>21</v>
      </c>
      <c r="H913" s="223">
        <v>0</v>
      </c>
      <c r="I913" s="222">
        <v>441</v>
      </c>
      <c r="J913" t="s">
        <v>8338</v>
      </c>
      <c r="K913" t="s">
        <v>8339</v>
      </c>
      <c r="L913" s="118">
        <v>44080</v>
      </c>
      <c r="M913" s="118">
        <v>44088</v>
      </c>
      <c r="N913" t="s">
        <v>8265</v>
      </c>
      <c r="O913" t="s">
        <v>8266</v>
      </c>
      <c r="P913" t="s">
        <v>8267</v>
      </c>
      <c r="Q913" t="str">
        <f>tblSales[[#This Row],[FirstName]]&amp; " " &amp;tblSales[[#This Row],[LastName]]</f>
        <v>Margaret Peacock</v>
      </c>
      <c r="R913">
        <f>YEAR(tblSales[[#This Row],[OrderDate]])</f>
        <v>2020</v>
      </c>
      <c r="S913">
        <f>WEEKNUM(tblSales[[#This Row],[OrderDate]])</f>
        <v>37</v>
      </c>
      <c r="T913">
        <f>IF(ISBLANK(tblSales[[#This Row],[ShippedDate]]),"",tblSales[[#This Row],[ShippedDate]]-tblSales[[#This Row],[OrderDate]])</f>
        <v>8</v>
      </c>
      <c r="U913" t="str">
        <f>LEFT(tblSales[[#This Row],[ProductName]],20)</f>
        <v>Gustaf's Knäckebröd</v>
      </c>
    </row>
    <row r="914" spans="2:21" x14ac:dyDescent="0.2">
      <c r="B914">
        <v>10940</v>
      </c>
      <c r="C914" t="s">
        <v>8415</v>
      </c>
      <c r="D914" t="s">
        <v>8236</v>
      </c>
      <c r="E914" t="s">
        <v>8247</v>
      </c>
      <c r="F914" s="222">
        <v>30</v>
      </c>
      <c r="G914">
        <v>8</v>
      </c>
      <c r="H914" s="223">
        <v>0</v>
      </c>
      <c r="I914" s="222">
        <v>240</v>
      </c>
      <c r="J914" t="s">
        <v>8377</v>
      </c>
      <c r="K914" t="s">
        <v>8378</v>
      </c>
      <c r="L914" s="118">
        <v>44080</v>
      </c>
      <c r="M914" s="118">
        <v>44092</v>
      </c>
      <c r="N914" t="s">
        <v>8240</v>
      </c>
      <c r="O914" t="s">
        <v>8320</v>
      </c>
      <c r="P914" t="s">
        <v>8321</v>
      </c>
      <c r="Q914" t="str">
        <f>tblSales[[#This Row],[FirstName]]&amp; " " &amp;tblSales[[#This Row],[LastName]]</f>
        <v>Laura Callahan</v>
      </c>
      <c r="R914">
        <f>YEAR(tblSales[[#This Row],[OrderDate]])</f>
        <v>2020</v>
      </c>
      <c r="S914">
        <f>WEEKNUM(tblSales[[#This Row],[OrderDate]])</f>
        <v>37</v>
      </c>
      <c r="T914">
        <f>IF(ISBLANK(tblSales[[#This Row],[ShippedDate]]),"",tblSales[[#This Row],[ShippedDate]]-tblSales[[#This Row],[OrderDate]])</f>
        <v>12</v>
      </c>
      <c r="U914" t="str">
        <f>LEFT(tblSales[[#This Row],[ProductName]],20)</f>
        <v xml:space="preserve">Uncle Bob's Organic </v>
      </c>
    </row>
    <row r="915" spans="2:21" x14ac:dyDescent="0.2">
      <c r="B915">
        <v>10945</v>
      </c>
      <c r="C915" t="s">
        <v>8309</v>
      </c>
      <c r="D915" t="s">
        <v>8246</v>
      </c>
      <c r="E915" t="s">
        <v>8237</v>
      </c>
      <c r="F915" s="222">
        <v>12.5</v>
      </c>
      <c r="G915">
        <v>10</v>
      </c>
      <c r="H915" s="223">
        <v>0</v>
      </c>
      <c r="I915" s="222">
        <v>125</v>
      </c>
      <c r="J915" t="s">
        <v>8314</v>
      </c>
      <c r="K915" t="s">
        <v>8315</v>
      </c>
      <c r="L915" s="118">
        <v>44081</v>
      </c>
      <c r="M915" s="118">
        <v>44087</v>
      </c>
      <c r="N915" t="s">
        <v>8250</v>
      </c>
      <c r="O915" t="s">
        <v>8266</v>
      </c>
      <c r="P915" t="s">
        <v>8267</v>
      </c>
      <c r="Q915" t="str">
        <f>tblSales[[#This Row],[FirstName]]&amp; " " &amp;tblSales[[#This Row],[LastName]]</f>
        <v>Margaret Peacock</v>
      </c>
      <c r="R915">
        <f>YEAR(tblSales[[#This Row],[OrderDate]])</f>
        <v>2020</v>
      </c>
      <c r="S915">
        <f>WEEKNUM(tblSales[[#This Row],[OrderDate]])</f>
        <v>37</v>
      </c>
      <c r="T915">
        <f>IF(ISBLANK(tblSales[[#This Row],[ShippedDate]]),"",tblSales[[#This Row],[ShippedDate]]-tblSales[[#This Row],[OrderDate]])</f>
        <v>6</v>
      </c>
      <c r="U915" t="str">
        <f>LEFT(tblSales[[#This Row],[ProductName]],20)</f>
        <v>Gorgonzola Telino</v>
      </c>
    </row>
    <row r="916" spans="2:21" x14ac:dyDescent="0.2">
      <c r="B916">
        <v>10946</v>
      </c>
      <c r="C916" t="s">
        <v>8270</v>
      </c>
      <c r="D916" t="s">
        <v>8374</v>
      </c>
      <c r="E916" t="s">
        <v>8272</v>
      </c>
      <c r="F916" s="222">
        <v>4.5</v>
      </c>
      <c r="G916">
        <v>25</v>
      </c>
      <c r="H916" s="223">
        <v>0</v>
      </c>
      <c r="I916" s="222">
        <v>112.5</v>
      </c>
      <c r="J916" t="s">
        <v>8395</v>
      </c>
      <c r="K916" t="s">
        <v>8396</v>
      </c>
      <c r="L916" s="118">
        <v>44081</v>
      </c>
      <c r="M916" s="118">
        <v>44088</v>
      </c>
      <c r="N916" t="s">
        <v>8265</v>
      </c>
      <c r="O916" t="s">
        <v>8285</v>
      </c>
      <c r="P916" t="s">
        <v>2317</v>
      </c>
      <c r="Q916" t="str">
        <f>tblSales[[#This Row],[FirstName]]&amp; " " &amp;tblSales[[#This Row],[LastName]]</f>
        <v>Nancy Davolio</v>
      </c>
      <c r="R916">
        <f>YEAR(tblSales[[#This Row],[OrderDate]])</f>
        <v>2020</v>
      </c>
      <c r="S916">
        <f>WEEKNUM(tblSales[[#This Row],[OrderDate]])</f>
        <v>37</v>
      </c>
      <c r="T916">
        <f>IF(ISBLANK(tblSales[[#This Row],[ShippedDate]]),"",tblSales[[#This Row],[ShippedDate]]-tblSales[[#This Row],[OrderDate]])</f>
        <v>7</v>
      </c>
      <c r="U916" t="str">
        <f>LEFT(tblSales[[#This Row],[ProductName]],20)</f>
        <v>Guaraná Fantástica</v>
      </c>
    </row>
    <row r="917" spans="2:21" x14ac:dyDescent="0.2">
      <c r="B917">
        <v>10946</v>
      </c>
      <c r="C917" t="s">
        <v>8397</v>
      </c>
      <c r="D917" t="s">
        <v>8374</v>
      </c>
      <c r="E917" t="s">
        <v>8254</v>
      </c>
      <c r="F917" s="222">
        <v>13</v>
      </c>
      <c r="G917">
        <v>40</v>
      </c>
      <c r="H917" s="223">
        <v>0</v>
      </c>
      <c r="I917" s="222">
        <v>520</v>
      </c>
      <c r="J917" t="s">
        <v>8395</v>
      </c>
      <c r="K917" t="s">
        <v>8396</v>
      </c>
      <c r="L917" s="118">
        <v>44081</v>
      </c>
      <c r="M917" s="118">
        <v>44088</v>
      </c>
      <c r="N917" t="s">
        <v>8265</v>
      </c>
      <c r="O917" t="s">
        <v>8285</v>
      </c>
      <c r="P917" t="s">
        <v>2317</v>
      </c>
      <c r="Q917" t="str">
        <f>tblSales[[#This Row],[FirstName]]&amp; " " &amp;tblSales[[#This Row],[LastName]]</f>
        <v>Nancy Davolio</v>
      </c>
      <c r="R917">
        <f>YEAR(tblSales[[#This Row],[OrderDate]])</f>
        <v>2020</v>
      </c>
      <c r="S917">
        <f>WEEKNUM(tblSales[[#This Row],[OrderDate]])</f>
        <v>37</v>
      </c>
      <c r="T917">
        <f>IF(ISBLANK(tblSales[[#This Row],[ShippedDate]]),"",tblSales[[#This Row],[ShippedDate]]-tblSales[[#This Row],[OrderDate]])</f>
        <v>7</v>
      </c>
      <c r="U917" t="str">
        <f>LEFT(tblSales[[#This Row],[ProductName]],20)</f>
        <v>Original Frankfurter</v>
      </c>
    </row>
    <row r="918" spans="2:21" x14ac:dyDescent="0.2">
      <c r="B918">
        <v>10947</v>
      </c>
      <c r="C918" t="s">
        <v>8281</v>
      </c>
      <c r="D918" t="s">
        <v>2434</v>
      </c>
      <c r="E918" t="s">
        <v>8237</v>
      </c>
      <c r="F918" s="222">
        <v>55</v>
      </c>
      <c r="G918">
        <v>4</v>
      </c>
      <c r="H918" s="223">
        <v>0</v>
      </c>
      <c r="I918" s="222">
        <v>220</v>
      </c>
      <c r="J918" t="s">
        <v>8338</v>
      </c>
      <c r="K918" t="s">
        <v>8339</v>
      </c>
      <c r="L918" s="118">
        <v>44083</v>
      </c>
      <c r="M918" s="118">
        <v>44085</v>
      </c>
      <c r="N918" t="s">
        <v>8265</v>
      </c>
      <c r="O918" t="s">
        <v>8257</v>
      </c>
      <c r="P918" t="s">
        <v>6984</v>
      </c>
      <c r="Q918" t="str">
        <f>tblSales[[#This Row],[FirstName]]&amp; " " &amp;tblSales[[#This Row],[LastName]]</f>
        <v>Janet Leverling</v>
      </c>
      <c r="R918">
        <f>YEAR(tblSales[[#This Row],[OrderDate]])</f>
        <v>2020</v>
      </c>
      <c r="S918">
        <f>WEEKNUM(tblSales[[#This Row],[OrderDate]])</f>
        <v>37</v>
      </c>
      <c r="T918">
        <f>IF(ISBLANK(tblSales[[#This Row],[ShippedDate]]),"",tblSales[[#This Row],[ShippedDate]]-tblSales[[#This Row],[OrderDate]])</f>
        <v>2</v>
      </c>
      <c r="U918" t="str">
        <f>LEFT(tblSales[[#This Row],[ProductName]],20)</f>
        <v>Raclette Courdavault</v>
      </c>
    </row>
    <row r="919" spans="2:21" x14ac:dyDescent="0.2">
      <c r="B919">
        <v>10948</v>
      </c>
      <c r="C919" t="s">
        <v>8381</v>
      </c>
      <c r="D919" t="s">
        <v>8324</v>
      </c>
      <c r="E919" t="s">
        <v>8262</v>
      </c>
      <c r="F919" s="222">
        <v>16.25</v>
      </c>
      <c r="G919">
        <v>9</v>
      </c>
      <c r="H919" s="223">
        <v>0</v>
      </c>
      <c r="I919" s="222">
        <v>146.25</v>
      </c>
      <c r="J919" t="s">
        <v>8349</v>
      </c>
      <c r="K919" t="s">
        <v>8350</v>
      </c>
      <c r="L919" s="118">
        <v>44083</v>
      </c>
      <c r="M919" s="118">
        <v>44088</v>
      </c>
      <c r="N919" t="s">
        <v>8240</v>
      </c>
      <c r="O919" t="s">
        <v>8257</v>
      </c>
      <c r="P919" t="s">
        <v>6984</v>
      </c>
      <c r="Q919" t="str">
        <f>tblSales[[#This Row],[FirstName]]&amp; " " &amp;tblSales[[#This Row],[LastName]]</f>
        <v>Janet Leverling</v>
      </c>
      <c r="R919">
        <f>YEAR(tblSales[[#This Row],[OrderDate]])</f>
        <v>2020</v>
      </c>
      <c r="S919">
        <f>WEEKNUM(tblSales[[#This Row],[OrderDate]])</f>
        <v>37</v>
      </c>
      <c r="T919">
        <f>IF(ISBLANK(tblSales[[#This Row],[ShippedDate]]),"",tblSales[[#This Row],[ShippedDate]]-tblSales[[#This Row],[OrderDate]])</f>
        <v>5</v>
      </c>
      <c r="U919" t="str">
        <f>LEFT(tblSales[[#This Row],[ProductName]],20)</f>
        <v>Valkoinen suklaa</v>
      </c>
    </row>
    <row r="920" spans="2:21" x14ac:dyDescent="0.2">
      <c r="B920">
        <v>10948</v>
      </c>
      <c r="C920" t="s">
        <v>8245</v>
      </c>
      <c r="D920" t="s">
        <v>8324</v>
      </c>
      <c r="E920" t="s">
        <v>8247</v>
      </c>
      <c r="F920" s="222">
        <v>53</v>
      </c>
      <c r="G920">
        <v>40</v>
      </c>
      <c r="H920" s="223">
        <v>0</v>
      </c>
      <c r="I920" s="222">
        <v>2120</v>
      </c>
      <c r="J920" t="s">
        <v>8349</v>
      </c>
      <c r="K920" t="s">
        <v>8350</v>
      </c>
      <c r="L920" s="118">
        <v>44083</v>
      </c>
      <c r="M920" s="118">
        <v>44088</v>
      </c>
      <c r="N920" t="s">
        <v>8240</v>
      </c>
      <c r="O920" t="s">
        <v>8257</v>
      </c>
      <c r="P920" t="s">
        <v>6984</v>
      </c>
      <c r="Q920" t="str">
        <f>tblSales[[#This Row],[FirstName]]&amp; " " &amp;tblSales[[#This Row],[LastName]]</f>
        <v>Janet Leverling</v>
      </c>
      <c r="R920">
        <f>YEAR(tblSales[[#This Row],[OrderDate]])</f>
        <v>2020</v>
      </c>
      <c r="S920">
        <f>WEEKNUM(tblSales[[#This Row],[OrderDate]])</f>
        <v>37</v>
      </c>
      <c r="T920">
        <f>IF(ISBLANK(tblSales[[#This Row],[ShippedDate]]),"",tblSales[[#This Row],[ShippedDate]]-tblSales[[#This Row],[OrderDate]])</f>
        <v>5</v>
      </c>
      <c r="U920" t="str">
        <f>LEFT(tblSales[[#This Row],[ProductName]],20)</f>
        <v>Manjimup Dried Apple</v>
      </c>
    </row>
    <row r="921" spans="2:21" x14ac:dyDescent="0.2">
      <c r="B921">
        <v>10950</v>
      </c>
      <c r="C921" t="s">
        <v>8352</v>
      </c>
      <c r="D921" t="s">
        <v>8311</v>
      </c>
      <c r="E921" t="s">
        <v>8254</v>
      </c>
      <c r="F921" s="222">
        <v>22</v>
      </c>
      <c r="G921">
        <v>5</v>
      </c>
      <c r="H921" s="223">
        <v>0</v>
      </c>
      <c r="I921" s="222">
        <v>110</v>
      </c>
      <c r="J921" t="s">
        <v>8312</v>
      </c>
      <c r="K921" t="s">
        <v>8313</v>
      </c>
      <c r="L921" s="118">
        <v>44085</v>
      </c>
      <c r="M921" s="118">
        <v>44092</v>
      </c>
      <c r="N921" t="s">
        <v>8265</v>
      </c>
      <c r="O921" t="s">
        <v>8285</v>
      </c>
      <c r="P921" t="s">
        <v>2317</v>
      </c>
      <c r="Q921" t="str">
        <f>tblSales[[#This Row],[FirstName]]&amp; " " &amp;tblSales[[#This Row],[LastName]]</f>
        <v>Nancy Davolio</v>
      </c>
      <c r="R921">
        <f>YEAR(tblSales[[#This Row],[OrderDate]])</f>
        <v>2020</v>
      </c>
      <c r="S921">
        <f>WEEKNUM(tblSales[[#This Row],[OrderDate]])</f>
        <v>37</v>
      </c>
      <c r="T921">
        <f>IF(ISBLANK(tblSales[[#This Row],[ShippedDate]]),"",tblSales[[#This Row],[ShippedDate]]-tblSales[[#This Row],[OrderDate]])</f>
        <v>7</v>
      </c>
      <c r="U921" t="str">
        <f>LEFT(tblSales[[#This Row],[ProductName]],20)</f>
        <v>Chef Anton's Cajun S</v>
      </c>
    </row>
    <row r="922" spans="2:21" x14ac:dyDescent="0.2">
      <c r="B922">
        <v>10952</v>
      </c>
      <c r="C922" t="s">
        <v>8351</v>
      </c>
      <c r="D922" t="s">
        <v>8246</v>
      </c>
      <c r="E922" t="s">
        <v>8254</v>
      </c>
      <c r="F922" s="222">
        <v>25</v>
      </c>
      <c r="G922">
        <v>16</v>
      </c>
      <c r="H922" s="223">
        <v>5.0000000745058101E-2</v>
      </c>
      <c r="I922" s="222">
        <v>380</v>
      </c>
      <c r="J922" t="s">
        <v>8422</v>
      </c>
      <c r="K922" t="s">
        <v>8423</v>
      </c>
      <c r="L922" s="118">
        <v>44085</v>
      </c>
      <c r="M922" s="118">
        <v>44093</v>
      </c>
      <c r="N922" t="s">
        <v>8250</v>
      </c>
      <c r="O922" t="s">
        <v>8285</v>
      </c>
      <c r="P922" t="s">
        <v>2317</v>
      </c>
      <c r="Q922" t="str">
        <f>tblSales[[#This Row],[FirstName]]&amp; " " &amp;tblSales[[#This Row],[LastName]]</f>
        <v>Nancy Davolio</v>
      </c>
      <c r="R922">
        <f>YEAR(tblSales[[#This Row],[OrderDate]])</f>
        <v>2020</v>
      </c>
      <c r="S922">
        <f>WEEKNUM(tblSales[[#This Row],[OrderDate]])</f>
        <v>37</v>
      </c>
      <c r="T922">
        <f>IF(ISBLANK(tblSales[[#This Row],[ShippedDate]]),"",tblSales[[#This Row],[ShippedDate]]-tblSales[[#This Row],[OrderDate]])</f>
        <v>8</v>
      </c>
      <c r="U922" t="str">
        <f>LEFT(tblSales[[#This Row],[ProductName]],20)</f>
        <v>Grandma's Boysenberr</v>
      </c>
    </row>
    <row r="923" spans="2:21" x14ac:dyDescent="0.2">
      <c r="B923">
        <v>10952</v>
      </c>
      <c r="C923" t="s">
        <v>8316</v>
      </c>
      <c r="D923" t="s">
        <v>8246</v>
      </c>
      <c r="E923" t="s">
        <v>8247</v>
      </c>
      <c r="F923" s="222">
        <v>45.6</v>
      </c>
      <c r="G923">
        <v>2</v>
      </c>
      <c r="H923" s="223">
        <v>0</v>
      </c>
      <c r="I923" s="222">
        <v>91.2</v>
      </c>
      <c r="J923" t="s">
        <v>8422</v>
      </c>
      <c r="K923" t="s">
        <v>8423</v>
      </c>
      <c r="L923" s="118">
        <v>44085</v>
      </c>
      <c r="M923" s="118">
        <v>44093</v>
      </c>
      <c r="N923" t="s">
        <v>8250</v>
      </c>
      <c r="O923" t="s">
        <v>8285</v>
      </c>
      <c r="P923" t="s">
        <v>2317</v>
      </c>
      <c r="Q923" t="str">
        <f>tblSales[[#This Row],[FirstName]]&amp; " " &amp;tblSales[[#This Row],[LastName]]</f>
        <v>Nancy Davolio</v>
      </c>
      <c r="R923">
        <f>YEAR(tblSales[[#This Row],[OrderDate]])</f>
        <v>2020</v>
      </c>
      <c r="S923">
        <f>WEEKNUM(tblSales[[#This Row],[OrderDate]])</f>
        <v>37</v>
      </c>
      <c r="T923">
        <f>IF(ISBLANK(tblSales[[#This Row],[ShippedDate]]),"",tblSales[[#This Row],[ShippedDate]]-tblSales[[#This Row],[OrderDate]])</f>
        <v>8</v>
      </c>
      <c r="U923" t="str">
        <f>LEFT(tblSales[[#This Row],[ProductName]],20)</f>
        <v>Rössle Sauerkraut</v>
      </c>
    </row>
    <row r="924" spans="2:21" x14ac:dyDescent="0.2">
      <c r="B924">
        <v>10953</v>
      </c>
      <c r="C924" t="s">
        <v>8260</v>
      </c>
      <c r="D924" t="s">
        <v>2434</v>
      </c>
      <c r="E924" t="s">
        <v>8262</v>
      </c>
      <c r="F924" s="222">
        <v>81</v>
      </c>
      <c r="G924">
        <v>50</v>
      </c>
      <c r="H924" s="223">
        <v>5.0000000745058101E-2</v>
      </c>
      <c r="I924" s="222">
        <v>3847.5</v>
      </c>
      <c r="J924" t="s">
        <v>8386</v>
      </c>
      <c r="K924" t="s">
        <v>8387</v>
      </c>
      <c r="L924" s="118">
        <v>44085</v>
      </c>
      <c r="M924" s="118">
        <v>44094</v>
      </c>
      <c r="N924" t="s">
        <v>8265</v>
      </c>
      <c r="O924" t="s">
        <v>8279</v>
      </c>
      <c r="P924" t="s">
        <v>710</v>
      </c>
      <c r="Q924" t="str">
        <f>tblSales[[#This Row],[FirstName]]&amp; " " &amp;tblSales[[#This Row],[LastName]]</f>
        <v>Anne Dodsworth</v>
      </c>
      <c r="R924">
        <f>YEAR(tblSales[[#This Row],[OrderDate]])</f>
        <v>2020</v>
      </c>
      <c r="S924">
        <f>WEEKNUM(tblSales[[#This Row],[OrderDate]])</f>
        <v>37</v>
      </c>
      <c r="T924">
        <f>IF(ISBLANK(tblSales[[#This Row],[ShippedDate]]),"",tblSales[[#This Row],[ShippedDate]]-tblSales[[#This Row],[OrderDate]])</f>
        <v>9</v>
      </c>
      <c r="U924" t="str">
        <f>LEFT(tblSales[[#This Row],[ProductName]],20)</f>
        <v>Sir Rodney's Marmala</v>
      </c>
    </row>
    <row r="925" spans="2:21" x14ac:dyDescent="0.2">
      <c r="B925">
        <v>10953</v>
      </c>
      <c r="C925" t="s">
        <v>8309</v>
      </c>
      <c r="D925" t="s">
        <v>2434</v>
      </c>
      <c r="E925" t="s">
        <v>8237</v>
      </c>
      <c r="F925" s="222">
        <v>12.5</v>
      </c>
      <c r="G925">
        <v>50</v>
      </c>
      <c r="H925" s="223">
        <v>5.0000000745058101E-2</v>
      </c>
      <c r="I925" s="222">
        <v>593.75</v>
      </c>
      <c r="J925" t="s">
        <v>8386</v>
      </c>
      <c r="K925" t="s">
        <v>8387</v>
      </c>
      <c r="L925" s="118">
        <v>44085</v>
      </c>
      <c r="M925" s="118">
        <v>44094</v>
      </c>
      <c r="N925" t="s">
        <v>8265</v>
      </c>
      <c r="O925" t="s">
        <v>8279</v>
      </c>
      <c r="P925" t="s">
        <v>710</v>
      </c>
      <c r="Q925" t="str">
        <f>tblSales[[#This Row],[FirstName]]&amp; " " &amp;tblSales[[#This Row],[LastName]]</f>
        <v>Anne Dodsworth</v>
      </c>
      <c r="R925">
        <f>YEAR(tblSales[[#This Row],[OrderDate]])</f>
        <v>2020</v>
      </c>
      <c r="S925">
        <f>WEEKNUM(tblSales[[#This Row],[OrderDate]])</f>
        <v>37</v>
      </c>
      <c r="T925">
        <f>IF(ISBLANK(tblSales[[#This Row],[ShippedDate]]),"",tblSales[[#This Row],[ShippedDate]]-tblSales[[#This Row],[OrderDate]])</f>
        <v>9</v>
      </c>
      <c r="U925" t="str">
        <f>LEFT(tblSales[[#This Row],[ProductName]],20)</f>
        <v>Gorgonzola Telino</v>
      </c>
    </row>
    <row r="926" spans="2:21" x14ac:dyDescent="0.2">
      <c r="B926">
        <v>10951</v>
      </c>
      <c r="C926" t="s">
        <v>8328</v>
      </c>
      <c r="D926" t="s">
        <v>8271</v>
      </c>
      <c r="E926" t="s">
        <v>8272</v>
      </c>
      <c r="F926" s="222">
        <v>7.75</v>
      </c>
      <c r="G926">
        <v>50</v>
      </c>
      <c r="H926" s="223">
        <v>5.0000000745058101E-2</v>
      </c>
      <c r="I926" s="222">
        <v>368.12</v>
      </c>
      <c r="J926" t="s">
        <v>8277</v>
      </c>
      <c r="K926" t="s">
        <v>8278</v>
      </c>
      <c r="L926" s="118">
        <v>44085</v>
      </c>
      <c r="M926" s="118">
        <v>44107</v>
      </c>
      <c r="N926" t="s">
        <v>8265</v>
      </c>
      <c r="O926" t="s">
        <v>8279</v>
      </c>
      <c r="P926" t="s">
        <v>710</v>
      </c>
      <c r="Q926" t="str">
        <f>tblSales[[#This Row],[FirstName]]&amp; " " &amp;tblSales[[#This Row],[LastName]]</f>
        <v>Anne Dodsworth</v>
      </c>
      <c r="R926">
        <f>YEAR(tblSales[[#This Row],[OrderDate]])</f>
        <v>2020</v>
      </c>
      <c r="S926">
        <f>WEEKNUM(tblSales[[#This Row],[OrderDate]])</f>
        <v>37</v>
      </c>
      <c r="T926">
        <f>IF(ISBLANK(tblSales[[#This Row],[ShippedDate]]),"",tblSales[[#This Row],[ShippedDate]]-tblSales[[#This Row],[OrderDate]])</f>
        <v>22</v>
      </c>
      <c r="U926" t="str">
        <f>LEFT(tblSales[[#This Row],[ProductName]],20)</f>
        <v>Rhönbräu Klosterbier</v>
      </c>
    </row>
    <row r="927" spans="2:21" x14ac:dyDescent="0.2">
      <c r="B927">
        <v>10951</v>
      </c>
      <c r="C927" t="s">
        <v>8269</v>
      </c>
      <c r="D927" t="s">
        <v>8271</v>
      </c>
      <c r="E927" t="s">
        <v>8237</v>
      </c>
      <c r="F927" s="222">
        <v>2.5</v>
      </c>
      <c r="G927">
        <v>15</v>
      </c>
      <c r="H927" s="223">
        <v>5.0000000745058101E-2</v>
      </c>
      <c r="I927" s="222">
        <v>35.619999999999997</v>
      </c>
      <c r="J927" t="s">
        <v>8277</v>
      </c>
      <c r="K927" t="s">
        <v>8278</v>
      </c>
      <c r="L927" s="118">
        <v>44085</v>
      </c>
      <c r="M927" s="118">
        <v>44107</v>
      </c>
      <c r="N927" t="s">
        <v>8265</v>
      </c>
      <c r="O927" t="s">
        <v>8279</v>
      </c>
      <c r="P927" t="s">
        <v>710</v>
      </c>
      <c r="Q927" t="str">
        <f>tblSales[[#This Row],[FirstName]]&amp; " " &amp;tblSales[[#This Row],[LastName]]</f>
        <v>Anne Dodsworth</v>
      </c>
      <c r="R927">
        <f>YEAR(tblSales[[#This Row],[OrderDate]])</f>
        <v>2020</v>
      </c>
      <c r="S927">
        <f>WEEKNUM(tblSales[[#This Row],[OrderDate]])</f>
        <v>37</v>
      </c>
      <c r="T927">
        <f>IF(ISBLANK(tblSales[[#This Row],[ShippedDate]]),"",tblSales[[#This Row],[ShippedDate]]-tblSales[[#This Row],[OrderDate]])</f>
        <v>22</v>
      </c>
      <c r="U927" t="str">
        <f>LEFT(tblSales[[#This Row],[ProductName]],20)</f>
        <v>Geitost</v>
      </c>
    </row>
    <row r="928" spans="2:21" x14ac:dyDescent="0.2">
      <c r="B928">
        <v>10955</v>
      </c>
      <c r="C928" t="s">
        <v>8328</v>
      </c>
      <c r="D928" t="s">
        <v>8292</v>
      </c>
      <c r="E928" t="s">
        <v>8272</v>
      </c>
      <c r="F928" s="222">
        <v>7.75</v>
      </c>
      <c r="G928">
        <v>12</v>
      </c>
      <c r="H928" s="223">
        <v>0.20000000298023199</v>
      </c>
      <c r="I928" s="222">
        <v>74.400000000000006</v>
      </c>
      <c r="J928" t="s">
        <v>8293</v>
      </c>
      <c r="K928" t="s">
        <v>8294</v>
      </c>
      <c r="L928" s="118">
        <v>44086</v>
      </c>
      <c r="M928" s="118">
        <v>44089</v>
      </c>
      <c r="N928" t="s">
        <v>8265</v>
      </c>
      <c r="O928" t="s">
        <v>8320</v>
      </c>
      <c r="P928" t="s">
        <v>8321</v>
      </c>
      <c r="Q928" t="str">
        <f>tblSales[[#This Row],[FirstName]]&amp; " " &amp;tblSales[[#This Row],[LastName]]</f>
        <v>Laura Callahan</v>
      </c>
      <c r="R928">
        <f>YEAR(tblSales[[#This Row],[OrderDate]])</f>
        <v>2020</v>
      </c>
      <c r="S928">
        <f>WEEKNUM(tblSales[[#This Row],[OrderDate]])</f>
        <v>37</v>
      </c>
      <c r="T928">
        <f>IF(ISBLANK(tblSales[[#This Row],[ShippedDate]]),"",tblSales[[#This Row],[ShippedDate]]-tblSales[[#This Row],[OrderDate]])</f>
        <v>3</v>
      </c>
      <c r="U928" t="str">
        <f>LEFT(tblSales[[#This Row],[ProductName]],20)</f>
        <v>Rhönbräu Klosterbier</v>
      </c>
    </row>
    <row r="929" spans="2:21" x14ac:dyDescent="0.2">
      <c r="B929">
        <v>10956</v>
      </c>
      <c r="C929" t="s">
        <v>8410</v>
      </c>
      <c r="D929" t="s">
        <v>8246</v>
      </c>
      <c r="E929" t="s">
        <v>8262</v>
      </c>
      <c r="F929" s="222">
        <v>9.5</v>
      </c>
      <c r="G929">
        <v>14</v>
      </c>
      <c r="H929" s="223">
        <v>0</v>
      </c>
      <c r="I929" s="222">
        <v>133</v>
      </c>
      <c r="J929" t="s">
        <v>8416</v>
      </c>
      <c r="K929" t="s">
        <v>8417</v>
      </c>
      <c r="L929" s="118">
        <v>44086</v>
      </c>
      <c r="M929" s="118">
        <v>44089</v>
      </c>
      <c r="N929" t="s">
        <v>8265</v>
      </c>
      <c r="O929" t="s">
        <v>8251</v>
      </c>
      <c r="P929" t="s">
        <v>269</v>
      </c>
      <c r="Q929" t="str">
        <f>tblSales[[#This Row],[FirstName]]&amp; " " &amp;tblSales[[#This Row],[LastName]]</f>
        <v>Michael Suyama</v>
      </c>
      <c r="R929">
        <f>YEAR(tblSales[[#This Row],[OrderDate]])</f>
        <v>2020</v>
      </c>
      <c r="S929">
        <f>WEEKNUM(tblSales[[#This Row],[OrderDate]])</f>
        <v>37</v>
      </c>
      <c r="T929">
        <f>IF(ISBLANK(tblSales[[#This Row],[ShippedDate]]),"",tblSales[[#This Row],[ShippedDate]]-tblSales[[#This Row],[OrderDate]])</f>
        <v>3</v>
      </c>
      <c r="U929" t="str">
        <f>LEFT(tblSales[[#This Row],[ProductName]],20)</f>
        <v>Zaanse koeken</v>
      </c>
    </row>
    <row r="930" spans="2:21" x14ac:dyDescent="0.2">
      <c r="B930">
        <v>10956</v>
      </c>
      <c r="C930" t="s">
        <v>8368</v>
      </c>
      <c r="D930" t="s">
        <v>8246</v>
      </c>
      <c r="E930" t="s">
        <v>8262</v>
      </c>
      <c r="F930" s="222">
        <v>10</v>
      </c>
      <c r="G930">
        <v>12</v>
      </c>
      <c r="H930" s="223">
        <v>0</v>
      </c>
      <c r="I930" s="222">
        <v>120</v>
      </c>
      <c r="J930" t="s">
        <v>8416</v>
      </c>
      <c r="K930" t="s">
        <v>8417</v>
      </c>
      <c r="L930" s="118">
        <v>44086</v>
      </c>
      <c r="M930" s="118">
        <v>44089</v>
      </c>
      <c r="N930" t="s">
        <v>8265</v>
      </c>
      <c r="O930" t="s">
        <v>8251</v>
      </c>
      <c r="P930" t="s">
        <v>269</v>
      </c>
      <c r="Q930" t="str">
        <f>tblSales[[#This Row],[FirstName]]&amp; " " &amp;tblSales[[#This Row],[LastName]]</f>
        <v>Michael Suyama</v>
      </c>
      <c r="R930">
        <f>YEAR(tblSales[[#This Row],[OrderDate]])</f>
        <v>2020</v>
      </c>
      <c r="S930">
        <f>WEEKNUM(tblSales[[#This Row],[OrderDate]])</f>
        <v>37</v>
      </c>
      <c r="T930">
        <f>IF(ISBLANK(tblSales[[#This Row],[ShippedDate]]),"",tblSales[[#This Row],[ShippedDate]]-tblSales[[#This Row],[OrderDate]])</f>
        <v>3</v>
      </c>
      <c r="U930" t="str">
        <f>LEFT(tblSales[[#This Row],[ProductName]],20)</f>
        <v>Sir Rodney's Scones</v>
      </c>
    </row>
    <row r="931" spans="2:21" x14ac:dyDescent="0.2">
      <c r="B931">
        <v>10956</v>
      </c>
      <c r="C931" t="s">
        <v>8245</v>
      </c>
      <c r="D931" t="s">
        <v>8246</v>
      </c>
      <c r="E931" t="s">
        <v>8247</v>
      </c>
      <c r="F931" s="222">
        <v>53</v>
      </c>
      <c r="G931">
        <v>8</v>
      </c>
      <c r="H931" s="223">
        <v>0</v>
      </c>
      <c r="I931" s="222">
        <v>424</v>
      </c>
      <c r="J931" t="s">
        <v>8416</v>
      </c>
      <c r="K931" t="s">
        <v>8417</v>
      </c>
      <c r="L931" s="118">
        <v>44086</v>
      </c>
      <c r="M931" s="118">
        <v>44089</v>
      </c>
      <c r="N931" t="s">
        <v>8265</v>
      </c>
      <c r="O931" t="s">
        <v>8251</v>
      </c>
      <c r="P931" t="s">
        <v>269</v>
      </c>
      <c r="Q931" t="str">
        <f>tblSales[[#This Row],[FirstName]]&amp; " " &amp;tblSales[[#This Row],[LastName]]</f>
        <v>Michael Suyama</v>
      </c>
      <c r="R931">
        <f>YEAR(tblSales[[#This Row],[OrderDate]])</f>
        <v>2020</v>
      </c>
      <c r="S931">
        <f>WEEKNUM(tblSales[[#This Row],[OrderDate]])</f>
        <v>37</v>
      </c>
      <c r="T931">
        <f>IF(ISBLANK(tblSales[[#This Row],[ShippedDate]]),"",tblSales[[#This Row],[ShippedDate]]-tblSales[[#This Row],[OrderDate]])</f>
        <v>3</v>
      </c>
      <c r="U931" t="str">
        <f>LEFT(tblSales[[#This Row],[ProductName]],20)</f>
        <v>Manjimup Dried Apple</v>
      </c>
    </row>
    <row r="932" spans="2:21" x14ac:dyDescent="0.2">
      <c r="B932">
        <v>10962</v>
      </c>
      <c r="C932" t="s">
        <v>8303</v>
      </c>
      <c r="D932" t="s">
        <v>8246</v>
      </c>
      <c r="E932" t="s">
        <v>8272</v>
      </c>
      <c r="F932" s="222">
        <v>18</v>
      </c>
      <c r="G932">
        <v>44</v>
      </c>
      <c r="H932" s="223">
        <v>0</v>
      </c>
      <c r="I932" s="222">
        <v>792</v>
      </c>
      <c r="J932" t="s">
        <v>8307</v>
      </c>
      <c r="K932" t="s">
        <v>8308</v>
      </c>
      <c r="L932" s="118">
        <v>44088</v>
      </c>
      <c r="M932" s="118">
        <v>44092</v>
      </c>
      <c r="N932" t="s">
        <v>8265</v>
      </c>
      <c r="O932" t="s">
        <v>8320</v>
      </c>
      <c r="P932" t="s">
        <v>8321</v>
      </c>
      <c r="Q932" t="str">
        <f>tblSales[[#This Row],[FirstName]]&amp; " " &amp;tblSales[[#This Row],[LastName]]</f>
        <v>Laura Callahan</v>
      </c>
      <c r="R932">
        <f>YEAR(tblSales[[#This Row],[OrderDate]])</f>
        <v>2020</v>
      </c>
      <c r="S932">
        <f>WEEKNUM(tblSales[[#This Row],[OrderDate]])</f>
        <v>38</v>
      </c>
      <c r="T932">
        <f>IF(ISBLANK(tblSales[[#This Row],[ShippedDate]]),"",tblSales[[#This Row],[ShippedDate]]-tblSales[[#This Row],[OrderDate]])</f>
        <v>4</v>
      </c>
      <c r="U932" t="str">
        <f>LEFT(tblSales[[#This Row],[ProductName]],20)</f>
        <v>Lakkalikööri</v>
      </c>
    </row>
    <row r="933" spans="2:21" x14ac:dyDescent="0.2">
      <c r="B933">
        <v>10962</v>
      </c>
      <c r="C933" t="s">
        <v>8353</v>
      </c>
      <c r="D933" t="s">
        <v>8246</v>
      </c>
      <c r="E933" t="s">
        <v>8237</v>
      </c>
      <c r="F933" s="222">
        <v>36</v>
      </c>
      <c r="G933">
        <v>9</v>
      </c>
      <c r="H933" s="223">
        <v>0</v>
      </c>
      <c r="I933" s="222">
        <v>324</v>
      </c>
      <c r="J933" t="s">
        <v>8307</v>
      </c>
      <c r="K933" t="s">
        <v>8308</v>
      </c>
      <c r="L933" s="118">
        <v>44088</v>
      </c>
      <c r="M933" s="118">
        <v>44092</v>
      </c>
      <c r="N933" t="s">
        <v>8265</v>
      </c>
      <c r="O933" t="s">
        <v>8320</v>
      </c>
      <c r="P933" t="s">
        <v>8321</v>
      </c>
      <c r="Q933" t="str">
        <f>tblSales[[#This Row],[FirstName]]&amp; " " &amp;tblSales[[#This Row],[LastName]]</f>
        <v>Laura Callahan</v>
      </c>
      <c r="R933">
        <f>YEAR(tblSales[[#This Row],[OrderDate]])</f>
        <v>2020</v>
      </c>
      <c r="S933">
        <f>WEEKNUM(tblSales[[#This Row],[OrderDate]])</f>
        <v>38</v>
      </c>
      <c r="T933">
        <f>IF(ISBLANK(tblSales[[#This Row],[ShippedDate]]),"",tblSales[[#This Row],[ShippedDate]]-tblSales[[#This Row],[OrderDate]])</f>
        <v>4</v>
      </c>
      <c r="U933" t="str">
        <f>LEFT(tblSales[[#This Row],[ProductName]],20)</f>
        <v>Gudbrandsdalsost</v>
      </c>
    </row>
    <row r="934" spans="2:21" x14ac:dyDescent="0.2">
      <c r="B934">
        <v>10962</v>
      </c>
      <c r="C934" t="s">
        <v>8415</v>
      </c>
      <c r="D934" t="s">
        <v>8246</v>
      </c>
      <c r="E934" t="s">
        <v>8247</v>
      </c>
      <c r="F934" s="222">
        <v>30</v>
      </c>
      <c r="G934">
        <v>45</v>
      </c>
      <c r="H934" s="223">
        <v>0</v>
      </c>
      <c r="I934" s="222">
        <v>1350</v>
      </c>
      <c r="J934" t="s">
        <v>8307</v>
      </c>
      <c r="K934" t="s">
        <v>8308</v>
      </c>
      <c r="L934" s="118">
        <v>44088</v>
      </c>
      <c r="M934" s="118">
        <v>44092</v>
      </c>
      <c r="N934" t="s">
        <v>8265</v>
      </c>
      <c r="O934" t="s">
        <v>8320</v>
      </c>
      <c r="P934" t="s">
        <v>8321</v>
      </c>
      <c r="Q934" t="str">
        <f>tblSales[[#This Row],[FirstName]]&amp; " " &amp;tblSales[[#This Row],[LastName]]</f>
        <v>Laura Callahan</v>
      </c>
      <c r="R934">
        <f>YEAR(tblSales[[#This Row],[OrderDate]])</f>
        <v>2020</v>
      </c>
      <c r="S934">
        <f>WEEKNUM(tblSales[[#This Row],[OrderDate]])</f>
        <v>38</v>
      </c>
      <c r="T934">
        <f>IF(ISBLANK(tblSales[[#This Row],[ShippedDate]]),"",tblSales[[#This Row],[ShippedDate]]-tblSales[[#This Row],[OrderDate]])</f>
        <v>4</v>
      </c>
      <c r="U934" t="str">
        <f>LEFT(tblSales[[#This Row],[ProductName]],20)</f>
        <v xml:space="preserve">Uncle Bob's Organic </v>
      </c>
    </row>
    <row r="935" spans="2:21" x14ac:dyDescent="0.2">
      <c r="B935">
        <v>10963</v>
      </c>
      <c r="C935" t="s">
        <v>8268</v>
      </c>
      <c r="D935" t="s">
        <v>8365</v>
      </c>
      <c r="E935" t="s">
        <v>8237</v>
      </c>
      <c r="F935" s="222">
        <v>34</v>
      </c>
      <c r="G935">
        <v>2</v>
      </c>
      <c r="H935" s="223">
        <v>0.15000000596046401</v>
      </c>
      <c r="I935" s="222">
        <v>57.8</v>
      </c>
      <c r="J935" t="s">
        <v>8366</v>
      </c>
      <c r="K935" t="s">
        <v>8367</v>
      </c>
      <c r="L935" s="118">
        <v>44088</v>
      </c>
      <c r="M935" s="118">
        <v>44095</v>
      </c>
      <c r="N935" t="s">
        <v>8240</v>
      </c>
      <c r="O935" t="s">
        <v>8279</v>
      </c>
      <c r="P935" t="s">
        <v>710</v>
      </c>
      <c r="Q935" t="str">
        <f>tblSales[[#This Row],[FirstName]]&amp; " " &amp;tblSales[[#This Row],[LastName]]</f>
        <v>Anne Dodsworth</v>
      </c>
      <c r="R935">
        <f>YEAR(tblSales[[#This Row],[OrderDate]])</f>
        <v>2020</v>
      </c>
      <c r="S935">
        <f>WEEKNUM(tblSales[[#This Row],[OrderDate]])</f>
        <v>38</v>
      </c>
      <c r="T935">
        <f>IF(ISBLANK(tblSales[[#This Row],[ShippedDate]]),"",tblSales[[#This Row],[ShippedDate]]-tblSales[[#This Row],[OrderDate]])</f>
        <v>7</v>
      </c>
      <c r="U935" t="str">
        <f>LEFT(tblSales[[#This Row],[ProductName]],20)</f>
        <v>Camembert Pierrot</v>
      </c>
    </row>
    <row r="936" spans="2:21" x14ac:dyDescent="0.2">
      <c r="B936">
        <v>10964</v>
      </c>
      <c r="C936" t="s">
        <v>8380</v>
      </c>
      <c r="D936" t="s">
        <v>8236</v>
      </c>
      <c r="E936" t="s">
        <v>8272</v>
      </c>
      <c r="F936" s="222">
        <v>263.5</v>
      </c>
      <c r="G936">
        <v>5</v>
      </c>
      <c r="H936" s="223">
        <v>0</v>
      </c>
      <c r="I936" s="222">
        <v>1317.5</v>
      </c>
      <c r="J936" t="s">
        <v>8428</v>
      </c>
      <c r="K936" t="s">
        <v>8429</v>
      </c>
      <c r="L936" s="118">
        <v>44089</v>
      </c>
      <c r="M936" s="118">
        <v>44093</v>
      </c>
      <c r="N936" t="s">
        <v>8265</v>
      </c>
      <c r="O936" t="s">
        <v>8257</v>
      </c>
      <c r="P936" t="s">
        <v>6984</v>
      </c>
      <c r="Q936" t="str">
        <f>tblSales[[#This Row],[FirstName]]&amp; " " &amp;tblSales[[#This Row],[LastName]]</f>
        <v>Janet Leverling</v>
      </c>
      <c r="R936">
        <f>YEAR(tblSales[[#This Row],[OrderDate]])</f>
        <v>2020</v>
      </c>
      <c r="S936">
        <f>WEEKNUM(tblSales[[#This Row],[OrderDate]])</f>
        <v>38</v>
      </c>
      <c r="T936">
        <f>IF(ISBLANK(tblSales[[#This Row],[ShippedDate]]),"",tblSales[[#This Row],[ShippedDate]]-tblSales[[#This Row],[OrderDate]])</f>
        <v>4</v>
      </c>
      <c r="U936" t="str">
        <f>LEFT(tblSales[[#This Row],[ProductName]],20)</f>
        <v>Côte de Blaye</v>
      </c>
    </row>
    <row r="937" spans="2:21" x14ac:dyDescent="0.2">
      <c r="B937">
        <v>10964</v>
      </c>
      <c r="C937" t="s">
        <v>8353</v>
      </c>
      <c r="D937" t="s">
        <v>8236</v>
      </c>
      <c r="E937" t="s">
        <v>8237</v>
      </c>
      <c r="F937" s="222">
        <v>36</v>
      </c>
      <c r="G937">
        <v>10</v>
      </c>
      <c r="H937" s="223">
        <v>0</v>
      </c>
      <c r="I937" s="222">
        <v>360</v>
      </c>
      <c r="J937" t="s">
        <v>8428</v>
      </c>
      <c r="K937" t="s">
        <v>8429</v>
      </c>
      <c r="L937" s="118">
        <v>44089</v>
      </c>
      <c r="M937" s="118">
        <v>44093</v>
      </c>
      <c r="N937" t="s">
        <v>8265</v>
      </c>
      <c r="O937" t="s">
        <v>8257</v>
      </c>
      <c r="P937" t="s">
        <v>6984</v>
      </c>
      <c r="Q937" t="str">
        <f>tblSales[[#This Row],[FirstName]]&amp; " " &amp;tblSales[[#This Row],[LastName]]</f>
        <v>Janet Leverling</v>
      </c>
      <c r="R937">
        <f>YEAR(tblSales[[#This Row],[OrderDate]])</f>
        <v>2020</v>
      </c>
      <c r="S937">
        <f>WEEKNUM(tblSales[[#This Row],[OrderDate]])</f>
        <v>38</v>
      </c>
      <c r="T937">
        <f>IF(ISBLANK(tblSales[[#This Row],[ShippedDate]]),"",tblSales[[#This Row],[ShippedDate]]-tblSales[[#This Row],[OrderDate]])</f>
        <v>4</v>
      </c>
      <c r="U937" t="str">
        <f>LEFT(tblSales[[#This Row],[ProductName]],20)</f>
        <v>Gudbrandsdalsost</v>
      </c>
    </row>
    <row r="938" spans="2:21" x14ac:dyDescent="0.2">
      <c r="B938">
        <v>10966</v>
      </c>
      <c r="C938" t="s">
        <v>8291</v>
      </c>
      <c r="D938" t="s">
        <v>8271</v>
      </c>
      <c r="E938" t="s">
        <v>8262</v>
      </c>
      <c r="F938" s="222">
        <v>49.3</v>
      </c>
      <c r="G938">
        <v>12</v>
      </c>
      <c r="H938" s="223">
        <v>0.15000000596046401</v>
      </c>
      <c r="I938" s="222">
        <v>502.86</v>
      </c>
      <c r="J938" t="s">
        <v>8273</v>
      </c>
      <c r="K938" t="s">
        <v>8274</v>
      </c>
      <c r="L938" s="118">
        <v>44089</v>
      </c>
      <c r="M938" s="118">
        <v>44108</v>
      </c>
      <c r="N938" t="s">
        <v>8250</v>
      </c>
      <c r="O938" t="s">
        <v>8266</v>
      </c>
      <c r="P938" t="s">
        <v>8267</v>
      </c>
      <c r="Q938" t="str">
        <f>tblSales[[#This Row],[FirstName]]&amp; " " &amp;tblSales[[#This Row],[LastName]]</f>
        <v>Margaret Peacock</v>
      </c>
      <c r="R938">
        <f>YEAR(tblSales[[#This Row],[OrderDate]])</f>
        <v>2020</v>
      </c>
      <c r="S938">
        <f>WEEKNUM(tblSales[[#This Row],[OrderDate]])</f>
        <v>38</v>
      </c>
      <c r="T938">
        <f>IF(ISBLANK(tblSales[[#This Row],[ShippedDate]]),"",tblSales[[#This Row],[ShippedDate]]-tblSales[[#This Row],[OrderDate]])</f>
        <v>19</v>
      </c>
      <c r="U938" t="str">
        <f>LEFT(tblSales[[#This Row],[ProductName]],20)</f>
        <v>Tarte au sucre</v>
      </c>
    </row>
    <row r="939" spans="2:21" x14ac:dyDescent="0.2">
      <c r="B939">
        <v>10966</v>
      </c>
      <c r="C939" t="s">
        <v>8341</v>
      </c>
      <c r="D939" t="s">
        <v>8271</v>
      </c>
      <c r="E939" t="s">
        <v>8244</v>
      </c>
      <c r="F939" s="222">
        <v>38</v>
      </c>
      <c r="G939">
        <v>12</v>
      </c>
      <c r="H939" s="223">
        <v>0.15000000596046401</v>
      </c>
      <c r="I939" s="222">
        <v>387.6</v>
      </c>
      <c r="J939" t="s">
        <v>8273</v>
      </c>
      <c r="K939" t="s">
        <v>8274</v>
      </c>
      <c r="L939" s="118">
        <v>44089</v>
      </c>
      <c r="M939" s="118">
        <v>44108</v>
      </c>
      <c r="N939" t="s">
        <v>8250</v>
      </c>
      <c r="O939" t="s">
        <v>8266</v>
      </c>
      <c r="P939" t="s">
        <v>8267</v>
      </c>
      <c r="Q939" t="str">
        <f>tblSales[[#This Row],[FirstName]]&amp; " " &amp;tblSales[[#This Row],[LastName]]</f>
        <v>Margaret Peacock</v>
      </c>
      <c r="R939">
        <f>YEAR(tblSales[[#This Row],[OrderDate]])</f>
        <v>2020</v>
      </c>
      <c r="S939">
        <f>WEEKNUM(tblSales[[#This Row],[OrderDate]])</f>
        <v>38</v>
      </c>
      <c r="T939">
        <f>IF(ISBLANK(tblSales[[#This Row],[ShippedDate]]),"",tblSales[[#This Row],[ShippedDate]]-tblSales[[#This Row],[OrderDate]])</f>
        <v>19</v>
      </c>
      <c r="U939" t="str">
        <f>LEFT(tblSales[[#This Row],[ProductName]],20)</f>
        <v>Gnocchi di nonna Ali</v>
      </c>
    </row>
    <row r="940" spans="2:21" x14ac:dyDescent="0.2">
      <c r="B940">
        <v>10968</v>
      </c>
      <c r="C940" t="s">
        <v>8270</v>
      </c>
      <c r="D940" t="s">
        <v>8282</v>
      </c>
      <c r="E940" t="s">
        <v>8272</v>
      </c>
      <c r="F940" s="222">
        <v>4.5</v>
      </c>
      <c r="G940">
        <v>30</v>
      </c>
      <c r="H940" s="223">
        <v>0</v>
      </c>
      <c r="I940" s="222">
        <v>135</v>
      </c>
      <c r="J940" t="s">
        <v>8283</v>
      </c>
      <c r="K940" t="s">
        <v>8284</v>
      </c>
      <c r="L940" s="118">
        <v>44092</v>
      </c>
      <c r="M940" s="118">
        <v>44101</v>
      </c>
      <c r="N940" t="s">
        <v>8240</v>
      </c>
      <c r="O940" t="s">
        <v>8285</v>
      </c>
      <c r="P940" t="s">
        <v>2317</v>
      </c>
      <c r="Q940" t="str">
        <f>tblSales[[#This Row],[FirstName]]&amp; " " &amp;tblSales[[#This Row],[LastName]]</f>
        <v>Nancy Davolio</v>
      </c>
      <c r="R940">
        <f>YEAR(tblSales[[#This Row],[OrderDate]])</f>
        <v>2020</v>
      </c>
      <c r="S940">
        <f>WEEKNUM(tblSales[[#This Row],[OrderDate]])</f>
        <v>38</v>
      </c>
      <c r="T940">
        <f>IF(ISBLANK(tblSales[[#This Row],[ShippedDate]]),"",tblSales[[#This Row],[ShippedDate]]-tblSales[[#This Row],[OrderDate]])</f>
        <v>9</v>
      </c>
      <c r="U940" t="str">
        <f>LEFT(tblSales[[#This Row],[ProductName]],20)</f>
        <v>Guaraná Fantástica</v>
      </c>
    </row>
    <row r="941" spans="2:21" x14ac:dyDescent="0.2">
      <c r="B941">
        <v>10968</v>
      </c>
      <c r="C941" t="s">
        <v>8299</v>
      </c>
      <c r="D941" t="s">
        <v>8282</v>
      </c>
      <c r="E941" t="s">
        <v>8237</v>
      </c>
      <c r="F941" s="222">
        <v>38</v>
      </c>
      <c r="G941">
        <v>30</v>
      </c>
      <c r="H941" s="223">
        <v>0</v>
      </c>
      <c r="I941" s="222">
        <v>1140</v>
      </c>
      <c r="J941" t="s">
        <v>8283</v>
      </c>
      <c r="K941" t="s">
        <v>8284</v>
      </c>
      <c r="L941" s="118">
        <v>44092</v>
      </c>
      <c r="M941" s="118">
        <v>44101</v>
      </c>
      <c r="N941" t="s">
        <v>8240</v>
      </c>
      <c r="O941" t="s">
        <v>8285</v>
      </c>
      <c r="P941" t="s">
        <v>2317</v>
      </c>
      <c r="Q941" t="str">
        <f>tblSales[[#This Row],[FirstName]]&amp; " " &amp;tblSales[[#This Row],[LastName]]</f>
        <v>Nancy Davolio</v>
      </c>
      <c r="R941">
        <f>YEAR(tblSales[[#This Row],[OrderDate]])</f>
        <v>2020</v>
      </c>
      <c r="S941">
        <f>WEEKNUM(tblSales[[#This Row],[OrderDate]])</f>
        <v>38</v>
      </c>
      <c r="T941">
        <f>IF(ISBLANK(tblSales[[#This Row],[ShippedDate]]),"",tblSales[[#This Row],[ShippedDate]]-tblSales[[#This Row],[OrderDate]])</f>
        <v>9</v>
      </c>
      <c r="U941" t="str">
        <f>LEFT(tblSales[[#This Row],[ProductName]],20)</f>
        <v>Queso Manchego La Pa</v>
      </c>
    </row>
    <row r="942" spans="2:21" x14ac:dyDescent="0.2">
      <c r="B942">
        <v>10968</v>
      </c>
      <c r="C942" t="s">
        <v>8340</v>
      </c>
      <c r="D942" t="s">
        <v>8282</v>
      </c>
      <c r="E942" t="s">
        <v>8244</v>
      </c>
      <c r="F942" s="222">
        <v>33.25</v>
      </c>
      <c r="G942">
        <v>4</v>
      </c>
      <c r="H942" s="223">
        <v>0</v>
      </c>
      <c r="I942" s="222">
        <v>133</v>
      </c>
      <c r="J942" t="s">
        <v>8283</v>
      </c>
      <c r="K942" t="s">
        <v>8284</v>
      </c>
      <c r="L942" s="118">
        <v>44092</v>
      </c>
      <c r="M942" s="118">
        <v>44101</v>
      </c>
      <c r="N942" t="s">
        <v>8240</v>
      </c>
      <c r="O942" t="s">
        <v>8285</v>
      </c>
      <c r="P942" t="s">
        <v>2317</v>
      </c>
      <c r="Q942" t="str">
        <f>tblSales[[#This Row],[FirstName]]&amp; " " &amp;tblSales[[#This Row],[LastName]]</f>
        <v>Nancy Davolio</v>
      </c>
      <c r="R942">
        <f>YEAR(tblSales[[#This Row],[OrderDate]])</f>
        <v>2020</v>
      </c>
      <c r="S942">
        <f>WEEKNUM(tblSales[[#This Row],[OrderDate]])</f>
        <v>38</v>
      </c>
      <c r="T942">
        <f>IF(ISBLANK(tblSales[[#This Row],[ShippedDate]]),"",tblSales[[#This Row],[ShippedDate]]-tblSales[[#This Row],[OrderDate]])</f>
        <v>9</v>
      </c>
      <c r="U942" t="str">
        <f>LEFT(tblSales[[#This Row],[ProductName]],20)</f>
        <v>Wimmers gute Semmelk</v>
      </c>
    </row>
    <row r="943" spans="2:21" x14ac:dyDescent="0.2">
      <c r="B943">
        <v>10967</v>
      </c>
      <c r="C943" t="s">
        <v>8390</v>
      </c>
      <c r="D943" t="s">
        <v>8246</v>
      </c>
      <c r="E943" t="s">
        <v>8262</v>
      </c>
      <c r="F943" s="222">
        <v>20</v>
      </c>
      <c r="G943">
        <v>40</v>
      </c>
      <c r="H943" s="223">
        <v>0</v>
      </c>
      <c r="I943" s="222">
        <v>800</v>
      </c>
      <c r="J943" t="s">
        <v>8248</v>
      </c>
      <c r="K943" t="s">
        <v>8249</v>
      </c>
      <c r="L943" s="118">
        <v>44092</v>
      </c>
      <c r="M943" s="118">
        <v>44102</v>
      </c>
      <c r="N943" t="s">
        <v>8265</v>
      </c>
      <c r="O943" t="s">
        <v>8297</v>
      </c>
      <c r="P943" t="s">
        <v>8298</v>
      </c>
      <c r="Q943" t="str">
        <f>tblSales[[#This Row],[FirstName]]&amp; " " &amp;tblSales[[#This Row],[LastName]]</f>
        <v>Andrew Fuller</v>
      </c>
      <c r="R943">
        <f>YEAR(tblSales[[#This Row],[OrderDate]])</f>
        <v>2020</v>
      </c>
      <c r="S943">
        <f>WEEKNUM(tblSales[[#This Row],[OrderDate]])</f>
        <v>38</v>
      </c>
      <c r="T943">
        <f>IF(ISBLANK(tblSales[[#This Row],[ShippedDate]]),"",tblSales[[#This Row],[ShippedDate]]-tblSales[[#This Row],[OrderDate]])</f>
        <v>10</v>
      </c>
      <c r="U943" t="str">
        <f>LEFT(tblSales[[#This Row],[ProductName]],20)</f>
        <v>Maxilaku</v>
      </c>
    </row>
    <row r="944" spans="2:21" x14ac:dyDescent="0.2">
      <c r="B944">
        <v>10967</v>
      </c>
      <c r="C944" t="s">
        <v>8327</v>
      </c>
      <c r="D944" t="s">
        <v>8246</v>
      </c>
      <c r="E944" t="s">
        <v>8262</v>
      </c>
      <c r="F944" s="222">
        <v>9.1999999999999993</v>
      </c>
      <c r="G944">
        <v>12</v>
      </c>
      <c r="H944" s="223">
        <v>0</v>
      </c>
      <c r="I944" s="222">
        <v>110.4</v>
      </c>
      <c r="J944" t="s">
        <v>8248</v>
      </c>
      <c r="K944" t="s">
        <v>8249</v>
      </c>
      <c r="L944" s="118">
        <v>44092</v>
      </c>
      <c r="M944" s="118">
        <v>44102</v>
      </c>
      <c r="N944" t="s">
        <v>8265</v>
      </c>
      <c r="O944" t="s">
        <v>8297</v>
      </c>
      <c r="P944" t="s">
        <v>8298</v>
      </c>
      <c r="Q944" t="str">
        <f>tblSales[[#This Row],[FirstName]]&amp; " " &amp;tblSales[[#This Row],[LastName]]</f>
        <v>Andrew Fuller</v>
      </c>
      <c r="R944">
        <f>YEAR(tblSales[[#This Row],[OrderDate]])</f>
        <v>2020</v>
      </c>
      <c r="S944">
        <f>WEEKNUM(tblSales[[#This Row],[OrderDate]])</f>
        <v>38</v>
      </c>
      <c r="T944">
        <f>IF(ISBLANK(tblSales[[#This Row],[ShippedDate]]),"",tblSales[[#This Row],[ShippedDate]]-tblSales[[#This Row],[OrderDate]])</f>
        <v>10</v>
      </c>
      <c r="U944" t="str">
        <f>LEFT(tblSales[[#This Row],[ProductName]],20)</f>
        <v>Teatime Chocolate Bi</v>
      </c>
    </row>
    <row r="945" spans="2:21" x14ac:dyDescent="0.2">
      <c r="B945">
        <v>10972</v>
      </c>
      <c r="C945" t="s">
        <v>8269</v>
      </c>
      <c r="D945" t="s">
        <v>8236</v>
      </c>
      <c r="E945" t="s">
        <v>8237</v>
      </c>
      <c r="F945" s="222">
        <v>2.5</v>
      </c>
      <c r="G945">
        <v>7</v>
      </c>
      <c r="H945" s="223">
        <v>0</v>
      </c>
      <c r="I945" s="222">
        <v>17.5</v>
      </c>
      <c r="J945" t="s">
        <v>8430</v>
      </c>
      <c r="K945" t="s">
        <v>8431</v>
      </c>
      <c r="L945" s="118">
        <v>44093</v>
      </c>
      <c r="M945" s="118">
        <v>44095</v>
      </c>
      <c r="N945" t="s">
        <v>8265</v>
      </c>
      <c r="O945" t="s">
        <v>8266</v>
      </c>
      <c r="P945" t="s">
        <v>8267</v>
      </c>
      <c r="Q945" t="str">
        <f>tblSales[[#This Row],[FirstName]]&amp; " " &amp;tblSales[[#This Row],[LastName]]</f>
        <v>Margaret Peacock</v>
      </c>
      <c r="R945">
        <f>YEAR(tblSales[[#This Row],[OrderDate]])</f>
        <v>2020</v>
      </c>
      <c r="S945">
        <f>WEEKNUM(tblSales[[#This Row],[OrderDate]])</f>
        <v>38</v>
      </c>
      <c r="T945">
        <f>IF(ISBLANK(tblSales[[#This Row],[ShippedDate]]),"",tblSales[[#This Row],[ShippedDate]]-tblSales[[#This Row],[OrderDate]])</f>
        <v>2</v>
      </c>
      <c r="U945" t="str">
        <f>LEFT(tblSales[[#This Row],[ProductName]],20)</f>
        <v>Geitost</v>
      </c>
    </row>
    <row r="946" spans="2:21" x14ac:dyDescent="0.2">
      <c r="B946">
        <v>10973</v>
      </c>
      <c r="C946" t="s">
        <v>8328</v>
      </c>
      <c r="D946" t="s">
        <v>8236</v>
      </c>
      <c r="E946" t="s">
        <v>8272</v>
      </c>
      <c r="F946" s="222">
        <v>7.75</v>
      </c>
      <c r="G946">
        <v>10</v>
      </c>
      <c r="H946" s="223">
        <v>0</v>
      </c>
      <c r="I946" s="222">
        <v>77.5</v>
      </c>
      <c r="J946" t="s">
        <v>8430</v>
      </c>
      <c r="K946" t="s">
        <v>8431</v>
      </c>
      <c r="L946" s="118">
        <v>44093</v>
      </c>
      <c r="M946" s="118">
        <v>44096</v>
      </c>
      <c r="N946" t="s">
        <v>8265</v>
      </c>
      <c r="O946" t="s">
        <v>8251</v>
      </c>
      <c r="P946" t="s">
        <v>269</v>
      </c>
      <c r="Q946" t="str">
        <f>tblSales[[#This Row],[FirstName]]&amp; " " &amp;tblSales[[#This Row],[LastName]]</f>
        <v>Michael Suyama</v>
      </c>
      <c r="R946">
        <f>YEAR(tblSales[[#This Row],[OrderDate]])</f>
        <v>2020</v>
      </c>
      <c r="S946">
        <f>WEEKNUM(tblSales[[#This Row],[OrderDate]])</f>
        <v>38</v>
      </c>
      <c r="T946">
        <f>IF(ISBLANK(tblSales[[#This Row],[ShippedDate]]),"",tblSales[[#This Row],[ShippedDate]]-tblSales[[#This Row],[OrderDate]])</f>
        <v>3</v>
      </c>
      <c r="U946" t="str">
        <f>LEFT(tblSales[[#This Row],[ProductName]],20)</f>
        <v>Rhönbräu Klosterbier</v>
      </c>
    </row>
    <row r="947" spans="2:21" x14ac:dyDescent="0.2">
      <c r="B947">
        <v>10973</v>
      </c>
      <c r="C947" t="s">
        <v>8372</v>
      </c>
      <c r="D947" t="s">
        <v>8236</v>
      </c>
      <c r="E947" t="s">
        <v>8262</v>
      </c>
      <c r="F947" s="222">
        <v>31.23</v>
      </c>
      <c r="G947">
        <v>5</v>
      </c>
      <c r="H947" s="223">
        <v>0</v>
      </c>
      <c r="I947" s="222">
        <v>156.15</v>
      </c>
      <c r="J947" t="s">
        <v>8430</v>
      </c>
      <c r="K947" t="s">
        <v>8431</v>
      </c>
      <c r="L947" s="118">
        <v>44093</v>
      </c>
      <c r="M947" s="118">
        <v>44096</v>
      </c>
      <c r="N947" t="s">
        <v>8265</v>
      </c>
      <c r="O947" t="s">
        <v>8251</v>
      </c>
      <c r="P947" t="s">
        <v>269</v>
      </c>
      <c r="Q947" t="str">
        <f>tblSales[[#This Row],[FirstName]]&amp; " " &amp;tblSales[[#This Row],[LastName]]</f>
        <v>Michael Suyama</v>
      </c>
      <c r="R947">
        <f>YEAR(tblSales[[#This Row],[OrderDate]])</f>
        <v>2020</v>
      </c>
      <c r="S947">
        <f>WEEKNUM(tblSales[[#This Row],[OrderDate]])</f>
        <v>38</v>
      </c>
      <c r="T947">
        <f>IF(ISBLANK(tblSales[[#This Row],[ShippedDate]]),"",tblSales[[#This Row],[ShippedDate]]-tblSales[[#This Row],[OrderDate]])</f>
        <v>3</v>
      </c>
      <c r="U947" t="str">
        <f>LEFT(tblSales[[#This Row],[ProductName]],20)</f>
        <v>Gumbär Gummibärchen</v>
      </c>
    </row>
    <row r="948" spans="2:21" x14ac:dyDescent="0.2">
      <c r="B948">
        <v>10970</v>
      </c>
      <c r="C948" t="s">
        <v>8369</v>
      </c>
      <c r="D948" t="s">
        <v>8324</v>
      </c>
      <c r="E948" t="s">
        <v>8244</v>
      </c>
      <c r="F948" s="222">
        <v>7</v>
      </c>
      <c r="G948">
        <v>40</v>
      </c>
      <c r="H948" s="223">
        <v>0.20000000298023199</v>
      </c>
      <c r="I948" s="222">
        <v>224</v>
      </c>
      <c r="J948" t="s">
        <v>8363</v>
      </c>
      <c r="K948" t="s">
        <v>8364</v>
      </c>
      <c r="L948" s="118">
        <v>44093</v>
      </c>
      <c r="M948" s="118">
        <v>44124</v>
      </c>
      <c r="N948" t="s">
        <v>8250</v>
      </c>
      <c r="O948" t="s">
        <v>8279</v>
      </c>
      <c r="P948" t="s">
        <v>710</v>
      </c>
      <c r="Q948" t="str">
        <f>tblSales[[#This Row],[FirstName]]&amp; " " &amp;tblSales[[#This Row],[LastName]]</f>
        <v>Anne Dodsworth</v>
      </c>
      <c r="R948">
        <f>YEAR(tblSales[[#This Row],[OrderDate]])</f>
        <v>2020</v>
      </c>
      <c r="S948">
        <f>WEEKNUM(tblSales[[#This Row],[OrderDate]])</f>
        <v>38</v>
      </c>
      <c r="T948">
        <f>IF(ISBLANK(tblSales[[#This Row],[ShippedDate]]),"",tblSales[[#This Row],[ShippedDate]]-tblSales[[#This Row],[OrderDate]])</f>
        <v>31</v>
      </c>
      <c r="U948" t="str">
        <f>LEFT(tblSales[[#This Row],[ProductName]],20)</f>
        <v>Filo Mix</v>
      </c>
    </row>
    <row r="949" spans="2:21" x14ac:dyDescent="0.2">
      <c r="B949">
        <v>10979</v>
      </c>
      <c r="C949" t="s">
        <v>8270</v>
      </c>
      <c r="D949" t="s">
        <v>8282</v>
      </c>
      <c r="E949" t="s">
        <v>8272</v>
      </c>
      <c r="F949" s="222">
        <v>4.5</v>
      </c>
      <c r="G949">
        <v>80</v>
      </c>
      <c r="H949" s="223">
        <v>0</v>
      </c>
      <c r="I949" s="222">
        <v>360</v>
      </c>
      <c r="J949" t="s">
        <v>8283</v>
      </c>
      <c r="K949" t="s">
        <v>8284</v>
      </c>
      <c r="L949" s="118">
        <v>44095</v>
      </c>
      <c r="M949" s="118">
        <v>44100</v>
      </c>
      <c r="N949" t="s">
        <v>8265</v>
      </c>
      <c r="O949" t="s">
        <v>8320</v>
      </c>
      <c r="P949" t="s">
        <v>8321</v>
      </c>
      <c r="Q949" t="str">
        <f>tblSales[[#This Row],[FirstName]]&amp; " " &amp;tblSales[[#This Row],[LastName]]</f>
        <v>Laura Callahan</v>
      </c>
      <c r="R949">
        <f>YEAR(tblSales[[#This Row],[OrderDate]])</f>
        <v>2020</v>
      </c>
      <c r="S949">
        <f>WEEKNUM(tblSales[[#This Row],[OrderDate]])</f>
        <v>39</v>
      </c>
      <c r="T949">
        <f>IF(ISBLANK(tblSales[[#This Row],[ShippedDate]]),"",tblSales[[#This Row],[ShippedDate]]-tblSales[[#This Row],[OrderDate]])</f>
        <v>5</v>
      </c>
      <c r="U949" t="str">
        <f>LEFT(tblSales[[#This Row],[ProductName]],20)</f>
        <v>Guaraná Fantástica</v>
      </c>
    </row>
    <row r="950" spans="2:21" x14ac:dyDescent="0.2">
      <c r="B950">
        <v>10979</v>
      </c>
      <c r="C950" t="s">
        <v>8317</v>
      </c>
      <c r="D950" t="s">
        <v>8282</v>
      </c>
      <c r="E950" t="s">
        <v>8254</v>
      </c>
      <c r="F950" s="222">
        <v>43.9</v>
      </c>
      <c r="G950">
        <v>35</v>
      </c>
      <c r="H950" s="223">
        <v>0</v>
      </c>
      <c r="I950" s="222">
        <v>1536.5</v>
      </c>
      <c r="J950" t="s">
        <v>8283</v>
      </c>
      <c r="K950" t="s">
        <v>8284</v>
      </c>
      <c r="L950" s="118">
        <v>44095</v>
      </c>
      <c r="M950" s="118">
        <v>44100</v>
      </c>
      <c r="N950" t="s">
        <v>8265</v>
      </c>
      <c r="O950" t="s">
        <v>8320</v>
      </c>
      <c r="P950" t="s">
        <v>8321</v>
      </c>
      <c r="Q950" t="str">
        <f>tblSales[[#This Row],[FirstName]]&amp; " " &amp;tblSales[[#This Row],[LastName]]</f>
        <v>Laura Callahan</v>
      </c>
      <c r="R950">
        <f>YEAR(tblSales[[#This Row],[OrderDate]])</f>
        <v>2020</v>
      </c>
      <c r="S950">
        <f>WEEKNUM(tblSales[[#This Row],[OrderDate]])</f>
        <v>39</v>
      </c>
      <c r="T950">
        <f>IF(ISBLANK(tblSales[[#This Row],[ShippedDate]]),"",tblSales[[#This Row],[ShippedDate]]-tblSales[[#This Row],[OrderDate]])</f>
        <v>5</v>
      </c>
      <c r="U950" t="str">
        <f>LEFT(tblSales[[#This Row],[ProductName]],20)</f>
        <v>Vegie-spread</v>
      </c>
    </row>
    <row r="951" spans="2:21" x14ac:dyDescent="0.2">
      <c r="B951">
        <v>10979</v>
      </c>
      <c r="C951" t="s">
        <v>8332</v>
      </c>
      <c r="D951" t="s">
        <v>8282</v>
      </c>
      <c r="E951" t="s">
        <v>8262</v>
      </c>
      <c r="F951" s="222">
        <v>43.9</v>
      </c>
      <c r="G951">
        <v>30</v>
      </c>
      <c r="H951" s="223">
        <v>0</v>
      </c>
      <c r="I951" s="222">
        <v>1317</v>
      </c>
      <c r="J951" t="s">
        <v>8283</v>
      </c>
      <c r="K951" t="s">
        <v>8284</v>
      </c>
      <c r="L951" s="118">
        <v>44095</v>
      </c>
      <c r="M951" s="118">
        <v>44100</v>
      </c>
      <c r="N951" t="s">
        <v>8265</v>
      </c>
      <c r="O951" t="s">
        <v>8320</v>
      </c>
      <c r="P951" t="s">
        <v>8321</v>
      </c>
      <c r="Q951" t="str">
        <f>tblSales[[#This Row],[FirstName]]&amp; " " &amp;tblSales[[#This Row],[LastName]]</f>
        <v>Laura Callahan</v>
      </c>
      <c r="R951">
        <f>YEAR(tblSales[[#This Row],[OrderDate]])</f>
        <v>2020</v>
      </c>
      <c r="S951">
        <f>WEEKNUM(tblSales[[#This Row],[OrderDate]])</f>
        <v>39</v>
      </c>
      <c r="T951">
        <f>IF(ISBLANK(tblSales[[#This Row],[ShippedDate]]),"",tblSales[[#This Row],[ShippedDate]]-tblSales[[#This Row],[OrderDate]])</f>
        <v>5</v>
      </c>
      <c r="U951" t="str">
        <f>LEFT(tblSales[[#This Row],[ProductName]],20)</f>
        <v>Schoggi Schokolade</v>
      </c>
    </row>
    <row r="952" spans="2:21" x14ac:dyDescent="0.2">
      <c r="B952">
        <v>10979</v>
      </c>
      <c r="C952" t="s">
        <v>8299</v>
      </c>
      <c r="D952" t="s">
        <v>8282</v>
      </c>
      <c r="E952" t="s">
        <v>8237</v>
      </c>
      <c r="F952" s="222">
        <v>38</v>
      </c>
      <c r="G952">
        <v>20</v>
      </c>
      <c r="H952" s="223">
        <v>0</v>
      </c>
      <c r="I952" s="222">
        <v>760</v>
      </c>
      <c r="J952" t="s">
        <v>8283</v>
      </c>
      <c r="K952" t="s">
        <v>8284</v>
      </c>
      <c r="L952" s="118">
        <v>44095</v>
      </c>
      <c r="M952" s="118">
        <v>44100</v>
      </c>
      <c r="N952" t="s">
        <v>8265</v>
      </c>
      <c r="O952" t="s">
        <v>8320</v>
      </c>
      <c r="P952" t="s">
        <v>8321</v>
      </c>
      <c r="Q952" t="str">
        <f>tblSales[[#This Row],[FirstName]]&amp; " " &amp;tblSales[[#This Row],[LastName]]</f>
        <v>Laura Callahan</v>
      </c>
      <c r="R952">
        <f>YEAR(tblSales[[#This Row],[OrderDate]])</f>
        <v>2020</v>
      </c>
      <c r="S952">
        <f>WEEKNUM(tblSales[[#This Row],[OrderDate]])</f>
        <v>39</v>
      </c>
      <c r="T952">
        <f>IF(ISBLANK(tblSales[[#This Row],[ShippedDate]]),"",tblSales[[#This Row],[ShippedDate]]-tblSales[[#This Row],[OrderDate]])</f>
        <v>5</v>
      </c>
      <c r="U952" t="str">
        <f>LEFT(tblSales[[#This Row],[ProductName]],20)</f>
        <v>Queso Manchego La Pa</v>
      </c>
    </row>
    <row r="953" spans="2:21" x14ac:dyDescent="0.2">
      <c r="B953">
        <v>10979</v>
      </c>
      <c r="C953" t="s">
        <v>8309</v>
      </c>
      <c r="D953" t="s">
        <v>8282</v>
      </c>
      <c r="E953" t="s">
        <v>8237</v>
      </c>
      <c r="F953" s="222">
        <v>12.5</v>
      </c>
      <c r="G953">
        <v>24</v>
      </c>
      <c r="H953" s="223">
        <v>0</v>
      </c>
      <c r="I953" s="222">
        <v>300</v>
      </c>
      <c r="J953" t="s">
        <v>8283</v>
      </c>
      <c r="K953" t="s">
        <v>8284</v>
      </c>
      <c r="L953" s="118">
        <v>44095</v>
      </c>
      <c r="M953" s="118">
        <v>44100</v>
      </c>
      <c r="N953" t="s">
        <v>8265</v>
      </c>
      <c r="O953" t="s">
        <v>8320</v>
      </c>
      <c r="P953" t="s">
        <v>8321</v>
      </c>
      <c r="Q953" t="str">
        <f>tblSales[[#This Row],[FirstName]]&amp; " " &amp;tblSales[[#This Row],[LastName]]</f>
        <v>Laura Callahan</v>
      </c>
      <c r="R953">
        <f>YEAR(tblSales[[#This Row],[OrderDate]])</f>
        <v>2020</v>
      </c>
      <c r="S953">
        <f>WEEKNUM(tblSales[[#This Row],[OrderDate]])</f>
        <v>39</v>
      </c>
      <c r="T953">
        <f>IF(ISBLANK(tblSales[[#This Row],[ShippedDate]]),"",tblSales[[#This Row],[ShippedDate]]-tblSales[[#This Row],[OrderDate]])</f>
        <v>5</v>
      </c>
      <c r="U953" t="str">
        <f>LEFT(tblSales[[#This Row],[ProductName]],20)</f>
        <v>Gorgonzola Telino</v>
      </c>
    </row>
    <row r="954" spans="2:21" x14ac:dyDescent="0.2">
      <c r="B954">
        <v>10979</v>
      </c>
      <c r="C954" t="s">
        <v>8415</v>
      </c>
      <c r="D954" t="s">
        <v>8282</v>
      </c>
      <c r="E954" t="s">
        <v>8247</v>
      </c>
      <c r="F954" s="222">
        <v>30</v>
      </c>
      <c r="G954">
        <v>18</v>
      </c>
      <c r="H954" s="223">
        <v>0</v>
      </c>
      <c r="I954" s="222">
        <v>540</v>
      </c>
      <c r="J954" t="s">
        <v>8283</v>
      </c>
      <c r="K954" t="s">
        <v>8284</v>
      </c>
      <c r="L954" s="118">
        <v>44095</v>
      </c>
      <c r="M954" s="118">
        <v>44100</v>
      </c>
      <c r="N954" t="s">
        <v>8265</v>
      </c>
      <c r="O954" t="s">
        <v>8320</v>
      </c>
      <c r="P954" t="s">
        <v>8321</v>
      </c>
      <c r="Q954" t="str">
        <f>tblSales[[#This Row],[FirstName]]&amp; " " &amp;tblSales[[#This Row],[LastName]]</f>
        <v>Laura Callahan</v>
      </c>
      <c r="R954">
        <f>YEAR(tblSales[[#This Row],[OrderDate]])</f>
        <v>2020</v>
      </c>
      <c r="S954">
        <f>WEEKNUM(tblSales[[#This Row],[OrderDate]])</f>
        <v>39</v>
      </c>
      <c r="T954">
        <f>IF(ISBLANK(tblSales[[#This Row],[ShippedDate]]),"",tblSales[[#This Row],[ShippedDate]]-tblSales[[#This Row],[OrderDate]])</f>
        <v>5</v>
      </c>
      <c r="U954" t="str">
        <f>LEFT(tblSales[[#This Row],[ProductName]],20)</f>
        <v xml:space="preserve">Uncle Bob's Organic </v>
      </c>
    </row>
    <row r="955" spans="2:21" x14ac:dyDescent="0.2">
      <c r="B955">
        <v>10977</v>
      </c>
      <c r="C955" t="s">
        <v>8342</v>
      </c>
      <c r="D955" t="s">
        <v>8292</v>
      </c>
      <c r="E955" t="s">
        <v>8272</v>
      </c>
      <c r="F955" s="222">
        <v>18</v>
      </c>
      <c r="G955">
        <v>30</v>
      </c>
      <c r="H955" s="223">
        <v>0</v>
      </c>
      <c r="I955" s="222">
        <v>540</v>
      </c>
      <c r="J955" t="s">
        <v>8293</v>
      </c>
      <c r="K955" t="s">
        <v>8294</v>
      </c>
      <c r="L955" s="118">
        <v>44095</v>
      </c>
      <c r="M955" s="118">
        <v>44110</v>
      </c>
      <c r="N955" t="s">
        <v>8240</v>
      </c>
      <c r="O955" t="s">
        <v>8320</v>
      </c>
      <c r="P955" t="s">
        <v>8321</v>
      </c>
      <c r="Q955" t="str">
        <f>tblSales[[#This Row],[FirstName]]&amp; " " &amp;tblSales[[#This Row],[LastName]]</f>
        <v>Laura Callahan</v>
      </c>
      <c r="R955">
        <f>YEAR(tblSales[[#This Row],[OrderDate]])</f>
        <v>2020</v>
      </c>
      <c r="S955">
        <f>WEEKNUM(tblSales[[#This Row],[OrderDate]])</f>
        <v>39</v>
      </c>
      <c r="T955">
        <f>IF(ISBLANK(tblSales[[#This Row],[ShippedDate]]),"",tblSales[[#This Row],[ShippedDate]]-tblSales[[#This Row],[OrderDate]])</f>
        <v>15</v>
      </c>
      <c r="U955" t="str">
        <f>LEFT(tblSales[[#This Row],[ProductName]],20)</f>
        <v>Chartreuse verte</v>
      </c>
    </row>
    <row r="956" spans="2:21" x14ac:dyDescent="0.2">
      <c r="B956">
        <v>10977</v>
      </c>
      <c r="C956" t="s">
        <v>8317</v>
      </c>
      <c r="D956" t="s">
        <v>8292</v>
      </c>
      <c r="E956" t="s">
        <v>8254</v>
      </c>
      <c r="F956" s="222">
        <v>43.9</v>
      </c>
      <c r="G956">
        <v>20</v>
      </c>
      <c r="H956" s="223">
        <v>0</v>
      </c>
      <c r="I956" s="222">
        <v>878</v>
      </c>
      <c r="J956" t="s">
        <v>8293</v>
      </c>
      <c r="K956" t="s">
        <v>8294</v>
      </c>
      <c r="L956" s="118">
        <v>44095</v>
      </c>
      <c r="M956" s="118">
        <v>44110</v>
      </c>
      <c r="N956" t="s">
        <v>8240</v>
      </c>
      <c r="O956" t="s">
        <v>8320</v>
      </c>
      <c r="P956" t="s">
        <v>8321</v>
      </c>
      <c r="Q956" t="str">
        <f>tblSales[[#This Row],[FirstName]]&amp; " " &amp;tblSales[[#This Row],[LastName]]</f>
        <v>Laura Callahan</v>
      </c>
      <c r="R956">
        <f>YEAR(tblSales[[#This Row],[OrderDate]])</f>
        <v>2020</v>
      </c>
      <c r="S956">
        <f>WEEKNUM(tblSales[[#This Row],[OrderDate]])</f>
        <v>39</v>
      </c>
      <c r="T956">
        <f>IF(ISBLANK(tblSales[[#This Row],[ShippedDate]]),"",tblSales[[#This Row],[ShippedDate]]-tblSales[[#This Row],[OrderDate]])</f>
        <v>15</v>
      </c>
      <c r="U956" t="str">
        <f>LEFT(tblSales[[#This Row],[ProductName]],20)</f>
        <v>Vegie-spread</v>
      </c>
    </row>
    <row r="957" spans="2:21" x14ac:dyDescent="0.2">
      <c r="B957">
        <v>10977</v>
      </c>
      <c r="C957" t="s">
        <v>8410</v>
      </c>
      <c r="D957" t="s">
        <v>8292</v>
      </c>
      <c r="E957" t="s">
        <v>8262</v>
      </c>
      <c r="F957" s="222">
        <v>9.5</v>
      </c>
      <c r="G957">
        <v>30</v>
      </c>
      <c r="H957" s="223">
        <v>0</v>
      </c>
      <c r="I957" s="222">
        <v>285</v>
      </c>
      <c r="J957" t="s">
        <v>8293</v>
      </c>
      <c r="K957" t="s">
        <v>8294</v>
      </c>
      <c r="L957" s="118">
        <v>44095</v>
      </c>
      <c r="M957" s="118">
        <v>44110</v>
      </c>
      <c r="N957" t="s">
        <v>8240</v>
      </c>
      <c r="O957" t="s">
        <v>8320</v>
      </c>
      <c r="P957" t="s">
        <v>8321</v>
      </c>
      <c r="Q957" t="str">
        <f>tblSales[[#This Row],[FirstName]]&amp; " " &amp;tblSales[[#This Row],[LastName]]</f>
        <v>Laura Callahan</v>
      </c>
      <c r="R957">
        <f>YEAR(tblSales[[#This Row],[OrderDate]])</f>
        <v>2020</v>
      </c>
      <c r="S957">
        <f>WEEKNUM(tblSales[[#This Row],[OrderDate]])</f>
        <v>39</v>
      </c>
      <c r="T957">
        <f>IF(ISBLANK(tblSales[[#This Row],[ShippedDate]]),"",tblSales[[#This Row],[ShippedDate]]-tblSales[[#This Row],[OrderDate]])</f>
        <v>15</v>
      </c>
      <c r="U957" t="str">
        <f>LEFT(tblSales[[#This Row],[ProductName]],20)</f>
        <v>Zaanse koeken</v>
      </c>
    </row>
    <row r="958" spans="2:21" x14ac:dyDescent="0.2">
      <c r="B958">
        <v>10977</v>
      </c>
      <c r="C958" t="s">
        <v>8245</v>
      </c>
      <c r="D958" t="s">
        <v>8292</v>
      </c>
      <c r="E958" t="s">
        <v>8247</v>
      </c>
      <c r="F958" s="222">
        <v>53</v>
      </c>
      <c r="G958">
        <v>10</v>
      </c>
      <c r="H958" s="223">
        <v>0</v>
      </c>
      <c r="I958" s="222">
        <v>530</v>
      </c>
      <c r="J958" t="s">
        <v>8293</v>
      </c>
      <c r="K958" t="s">
        <v>8294</v>
      </c>
      <c r="L958" s="118">
        <v>44095</v>
      </c>
      <c r="M958" s="118">
        <v>44110</v>
      </c>
      <c r="N958" t="s">
        <v>8240</v>
      </c>
      <c r="O958" t="s">
        <v>8320</v>
      </c>
      <c r="P958" t="s">
        <v>8321</v>
      </c>
      <c r="Q958" t="str">
        <f>tblSales[[#This Row],[FirstName]]&amp; " " &amp;tblSales[[#This Row],[LastName]]</f>
        <v>Laura Callahan</v>
      </c>
      <c r="R958">
        <f>YEAR(tblSales[[#This Row],[OrderDate]])</f>
        <v>2020</v>
      </c>
      <c r="S958">
        <f>WEEKNUM(tblSales[[#This Row],[OrderDate]])</f>
        <v>39</v>
      </c>
      <c r="T958">
        <f>IF(ISBLANK(tblSales[[#This Row],[ShippedDate]]),"",tblSales[[#This Row],[ShippedDate]]-tblSales[[#This Row],[OrderDate]])</f>
        <v>15</v>
      </c>
      <c r="U958" t="str">
        <f>LEFT(tblSales[[#This Row],[ProductName]],20)</f>
        <v>Manjimup Dried Apple</v>
      </c>
    </row>
    <row r="959" spans="2:21" x14ac:dyDescent="0.2">
      <c r="B959">
        <v>10978</v>
      </c>
      <c r="C959" t="s">
        <v>8379</v>
      </c>
      <c r="D959" t="s">
        <v>8261</v>
      </c>
      <c r="E959" t="s">
        <v>8254</v>
      </c>
      <c r="F959" s="222">
        <v>40</v>
      </c>
      <c r="G959">
        <v>20</v>
      </c>
      <c r="H959" s="223">
        <v>0.15000000596046401</v>
      </c>
      <c r="I959" s="222">
        <v>680</v>
      </c>
      <c r="J959" t="s">
        <v>8420</v>
      </c>
      <c r="K959" t="s">
        <v>8421</v>
      </c>
      <c r="L959" s="118">
        <v>44095</v>
      </c>
      <c r="M959" s="118">
        <v>44123</v>
      </c>
      <c r="N959" t="s">
        <v>8265</v>
      </c>
      <c r="O959" t="s">
        <v>8279</v>
      </c>
      <c r="P959" t="s">
        <v>710</v>
      </c>
      <c r="Q959" t="str">
        <f>tblSales[[#This Row],[FirstName]]&amp; " " &amp;tblSales[[#This Row],[LastName]]</f>
        <v>Anne Dodsworth</v>
      </c>
      <c r="R959">
        <f>YEAR(tblSales[[#This Row],[OrderDate]])</f>
        <v>2020</v>
      </c>
      <c r="S959">
        <f>WEEKNUM(tblSales[[#This Row],[OrderDate]])</f>
        <v>39</v>
      </c>
      <c r="T959">
        <f>IF(ISBLANK(tblSales[[#This Row],[ShippedDate]]),"",tblSales[[#This Row],[ShippedDate]]-tblSales[[#This Row],[OrderDate]])</f>
        <v>28</v>
      </c>
      <c r="U959" t="str">
        <f>LEFT(tblSales[[#This Row],[ProductName]],20)</f>
        <v>Northwoods Cranberry</v>
      </c>
    </row>
    <row r="960" spans="2:21" x14ac:dyDescent="0.2">
      <c r="B960">
        <v>10978</v>
      </c>
      <c r="C960" t="s">
        <v>8322</v>
      </c>
      <c r="D960" t="s">
        <v>8261</v>
      </c>
      <c r="E960" t="s">
        <v>8254</v>
      </c>
      <c r="F960" s="222">
        <v>19.45</v>
      </c>
      <c r="G960">
        <v>6</v>
      </c>
      <c r="H960" s="223">
        <v>0.15000000596046401</v>
      </c>
      <c r="I960" s="222">
        <v>99.19</v>
      </c>
      <c r="J960" t="s">
        <v>8420</v>
      </c>
      <c r="K960" t="s">
        <v>8421</v>
      </c>
      <c r="L960" s="118">
        <v>44095</v>
      </c>
      <c r="M960" s="118">
        <v>44123</v>
      </c>
      <c r="N960" t="s">
        <v>8265</v>
      </c>
      <c r="O960" t="s">
        <v>8279</v>
      </c>
      <c r="P960" t="s">
        <v>710</v>
      </c>
      <c r="Q960" t="str">
        <f>tblSales[[#This Row],[FirstName]]&amp; " " &amp;tblSales[[#This Row],[LastName]]</f>
        <v>Anne Dodsworth</v>
      </c>
      <c r="R960">
        <f>YEAR(tblSales[[#This Row],[OrderDate]])</f>
        <v>2020</v>
      </c>
      <c r="S960">
        <f>WEEKNUM(tblSales[[#This Row],[OrderDate]])</f>
        <v>39</v>
      </c>
      <c r="T960">
        <f>IF(ISBLANK(tblSales[[#This Row],[ShippedDate]]),"",tblSales[[#This Row],[ShippedDate]]-tblSales[[#This Row],[OrderDate]])</f>
        <v>28</v>
      </c>
      <c r="U960" t="str">
        <f>LEFT(tblSales[[#This Row],[ProductName]],20)</f>
        <v>Gula Malacca</v>
      </c>
    </row>
    <row r="961" spans="2:21" x14ac:dyDescent="0.2">
      <c r="B961">
        <v>10978</v>
      </c>
      <c r="C961" t="s">
        <v>8368</v>
      </c>
      <c r="D961" t="s">
        <v>8261</v>
      </c>
      <c r="E961" t="s">
        <v>8262</v>
      </c>
      <c r="F961" s="222">
        <v>10</v>
      </c>
      <c r="G961">
        <v>40</v>
      </c>
      <c r="H961" s="223">
        <v>0.15000000596046401</v>
      </c>
      <c r="I961" s="222">
        <v>340</v>
      </c>
      <c r="J961" t="s">
        <v>8420</v>
      </c>
      <c r="K961" t="s">
        <v>8421</v>
      </c>
      <c r="L961" s="118">
        <v>44095</v>
      </c>
      <c r="M961" s="118">
        <v>44123</v>
      </c>
      <c r="N961" t="s">
        <v>8265</v>
      </c>
      <c r="O961" t="s">
        <v>8279</v>
      </c>
      <c r="P961" t="s">
        <v>710</v>
      </c>
      <c r="Q961" t="str">
        <f>tblSales[[#This Row],[FirstName]]&amp; " " &amp;tblSales[[#This Row],[LastName]]</f>
        <v>Anne Dodsworth</v>
      </c>
      <c r="R961">
        <f>YEAR(tblSales[[#This Row],[OrderDate]])</f>
        <v>2020</v>
      </c>
      <c r="S961">
        <f>WEEKNUM(tblSales[[#This Row],[OrderDate]])</f>
        <v>39</v>
      </c>
      <c r="T961">
        <f>IF(ISBLANK(tblSales[[#This Row],[ShippedDate]]),"",tblSales[[#This Row],[ShippedDate]]-tblSales[[#This Row],[OrderDate]])</f>
        <v>28</v>
      </c>
      <c r="U961" t="str">
        <f>LEFT(tblSales[[#This Row],[ProductName]],20)</f>
        <v>Sir Rodney's Scones</v>
      </c>
    </row>
    <row r="962" spans="2:21" x14ac:dyDescent="0.2">
      <c r="B962">
        <v>10980</v>
      </c>
      <c r="C962" t="s">
        <v>8328</v>
      </c>
      <c r="D962" t="s">
        <v>8292</v>
      </c>
      <c r="E962" t="s">
        <v>8272</v>
      </c>
      <c r="F962" s="222">
        <v>7.75</v>
      </c>
      <c r="G962">
        <v>40</v>
      </c>
      <c r="H962" s="223">
        <v>0.20000000298023199</v>
      </c>
      <c r="I962" s="222">
        <v>248</v>
      </c>
      <c r="J962" t="s">
        <v>8293</v>
      </c>
      <c r="K962" t="s">
        <v>8294</v>
      </c>
      <c r="L962" s="118">
        <v>44096</v>
      </c>
      <c r="M962" s="118">
        <v>44117</v>
      </c>
      <c r="N962" t="s">
        <v>8250</v>
      </c>
      <c r="O962" t="s">
        <v>8266</v>
      </c>
      <c r="P962" t="s">
        <v>8267</v>
      </c>
      <c r="Q962" t="str">
        <f>tblSales[[#This Row],[FirstName]]&amp; " " &amp;tblSales[[#This Row],[LastName]]</f>
        <v>Margaret Peacock</v>
      </c>
      <c r="R962">
        <f>YEAR(tblSales[[#This Row],[OrderDate]])</f>
        <v>2020</v>
      </c>
      <c r="S962">
        <f>WEEKNUM(tblSales[[#This Row],[OrderDate]])</f>
        <v>39</v>
      </c>
      <c r="T962">
        <f>IF(ISBLANK(tblSales[[#This Row],[ShippedDate]]),"",tblSales[[#This Row],[ShippedDate]]-tblSales[[#This Row],[OrderDate]])</f>
        <v>21</v>
      </c>
      <c r="U962" t="str">
        <f>LEFT(tblSales[[#This Row],[ProductName]],20)</f>
        <v>Rhönbräu Klosterbier</v>
      </c>
    </row>
    <row r="963" spans="2:21" x14ac:dyDescent="0.2">
      <c r="B963">
        <v>10985</v>
      </c>
      <c r="C963" t="s">
        <v>8280</v>
      </c>
      <c r="D963" t="s">
        <v>8343</v>
      </c>
      <c r="E963" t="s">
        <v>8262</v>
      </c>
      <c r="F963" s="222">
        <v>17.45</v>
      </c>
      <c r="G963">
        <v>36</v>
      </c>
      <c r="H963" s="223">
        <v>0.10000000149011599</v>
      </c>
      <c r="I963" s="222">
        <v>565.38</v>
      </c>
      <c r="J963" t="s">
        <v>8344</v>
      </c>
      <c r="K963" t="s">
        <v>8345</v>
      </c>
      <c r="L963" s="118">
        <v>44099</v>
      </c>
      <c r="M963" s="118">
        <v>44102</v>
      </c>
      <c r="N963" t="s">
        <v>8250</v>
      </c>
      <c r="O963" t="s">
        <v>8297</v>
      </c>
      <c r="P963" t="s">
        <v>8298</v>
      </c>
      <c r="Q963" t="str">
        <f>tblSales[[#This Row],[FirstName]]&amp; " " &amp;tblSales[[#This Row],[LastName]]</f>
        <v>Andrew Fuller</v>
      </c>
      <c r="R963">
        <f>YEAR(tblSales[[#This Row],[OrderDate]])</f>
        <v>2020</v>
      </c>
      <c r="S963">
        <f>WEEKNUM(tblSales[[#This Row],[OrderDate]])</f>
        <v>39</v>
      </c>
      <c r="T963">
        <f>IF(ISBLANK(tblSales[[#This Row],[ShippedDate]]),"",tblSales[[#This Row],[ShippedDate]]-tblSales[[#This Row],[OrderDate]])</f>
        <v>3</v>
      </c>
      <c r="U963" t="str">
        <f>LEFT(tblSales[[#This Row],[ProductName]],20)</f>
        <v>Pavlova</v>
      </c>
    </row>
    <row r="964" spans="2:21" x14ac:dyDescent="0.2">
      <c r="B964">
        <v>10985</v>
      </c>
      <c r="C964" t="s">
        <v>8287</v>
      </c>
      <c r="D964" t="s">
        <v>8343</v>
      </c>
      <c r="E964" t="s">
        <v>8237</v>
      </c>
      <c r="F964" s="222">
        <v>32</v>
      </c>
      <c r="G964">
        <v>35</v>
      </c>
      <c r="H964" s="223">
        <v>0.10000000149011599</v>
      </c>
      <c r="I964" s="222">
        <v>1008</v>
      </c>
      <c r="J964" t="s">
        <v>8344</v>
      </c>
      <c r="K964" t="s">
        <v>8345</v>
      </c>
      <c r="L964" s="118">
        <v>44099</v>
      </c>
      <c r="M964" s="118">
        <v>44102</v>
      </c>
      <c r="N964" t="s">
        <v>8250</v>
      </c>
      <c r="O964" t="s">
        <v>8297</v>
      </c>
      <c r="P964" t="s">
        <v>8298</v>
      </c>
      <c r="Q964" t="str">
        <f>tblSales[[#This Row],[FirstName]]&amp; " " &amp;tblSales[[#This Row],[LastName]]</f>
        <v>Andrew Fuller</v>
      </c>
      <c r="R964">
        <f>YEAR(tblSales[[#This Row],[OrderDate]])</f>
        <v>2020</v>
      </c>
      <c r="S964">
        <f>WEEKNUM(tblSales[[#This Row],[OrderDate]])</f>
        <v>39</v>
      </c>
      <c r="T964">
        <f>IF(ISBLANK(tblSales[[#This Row],[ShippedDate]]),"",tblSales[[#This Row],[ShippedDate]]-tblSales[[#This Row],[OrderDate]])</f>
        <v>3</v>
      </c>
      <c r="U964" t="str">
        <f>LEFT(tblSales[[#This Row],[ProductName]],20)</f>
        <v>Mascarpone Fabioli</v>
      </c>
    </row>
    <row r="965" spans="2:21" x14ac:dyDescent="0.2">
      <c r="B965">
        <v>11266</v>
      </c>
      <c r="C965" t="s">
        <v>8243</v>
      </c>
      <c r="D965" t="s">
        <v>8236</v>
      </c>
      <c r="E965" t="s">
        <v>8244</v>
      </c>
      <c r="F965" s="222">
        <v>14</v>
      </c>
      <c r="G965">
        <v>30</v>
      </c>
      <c r="H965" s="223">
        <v>5.0000000745058101E-2</v>
      </c>
      <c r="I965" s="222">
        <v>399</v>
      </c>
      <c r="J965" t="s">
        <v>8377</v>
      </c>
      <c r="K965" t="s">
        <v>8378</v>
      </c>
      <c r="L965" s="118">
        <v>44099</v>
      </c>
      <c r="M965" s="118">
        <v>44122</v>
      </c>
      <c r="N965" t="s">
        <v>8265</v>
      </c>
      <c r="O965" t="s">
        <v>8297</v>
      </c>
      <c r="P965" t="s">
        <v>8298</v>
      </c>
      <c r="Q965" t="str">
        <f>tblSales[[#This Row],[FirstName]]&amp; " " &amp;tblSales[[#This Row],[LastName]]</f>
        <v>Andrew Fuller</v>
      </c>
      <c r="R965">
        <f>YEAR(tblSales[[#This Row],[OrderDate]])</f>
        <v>2020</v>
      </c>
      <c r="S965">
        <f>WEEKNUM(tblSales[[#This Row],[OrderDate]])</f>
        <v>39</v>
      </c>
      <c r="T965">
        <f>IF(ISBLANK(tblSales[[#This Row],[ShippedDate]]),"",tblSales[[#This Row],[ShippedDate]]-tblSales[[#This Row],[OrderDate]])</f>
        <v>23</v>
      </c>
      <c r="U965" t="str">
        <f>LEFT(tblSales[[#This Row],[ProductName]],20)</f>
        <v xml:space="preserve">Singaporean Hokkien </v>
      </c>
    </row>
    <row r="966" spans="2:21" x14ac:dyDescent="0.2">
      <c r="B966">
        <v>11266</v>
      </c>
      <c r="C966" t="s">
        <v>8245</v>
      </c>
      <c r="D966" t="s">
        <v>8236</v>
      </c>
      <c r="E966" t="s">
        <v>8247</v>
      </c>
      <c r="F966" s="222">
        <v>53</v>
      </c>
      <c r="G966">
        <v>20</v>
      </c>
      <c r="H966" s="223">
        <v>5.0000000745058101E-2</v>
      </c>
      <c r="I966" s="222">
        <v>1007</v>
      </c>
      <c r="J966" t="s">
        <v>8377</v>
      </c>
      <c r="K966" t="s">
        <v>8378</v>
      </c>
      <c r="L966" s="118">
        <v>44099</v>
      </c>
      <c r="M966" s="118">
        <v>44122</v>
      </c>
      <c r="N966" t="s">
        <v>8265</v>
      </c>
      <c r="O966" t="s">
        <v>8297</v>
      </c>
      <c r="P966" t="s">
        <v>8298</v>
      </c>
      <c r="Q966" t="str">
        <f>tblSales[[#This Row],[FirstName]]&amp; " " &amp;tblSales[[#This Row],[LastName]]</f>
        <v>Andrew Fuller</v>
      </c>
      <c r="R966">
        <f>YEAR(tblSales[[#This Row],[OrderDate]])</f>
        <v>2020</v>
      </c>
      <c r="S966">
        <f>WEEKNUM(tblSales[[#This Row],[OrderDate]])</f>
        <v>39</v>
      </c>
      <c r="T966">
        <f>IF(ISBLANK(tblSales[[#This Row],[ShippedDate]]),"",tblSales[[#This Row],[ShippedDate]]-tblSales[[#This Row],[OrderDate]])</f>
        <v>23</v>
      </c>
      <c r="U966" t="str">
        <f>LEFT(tblSales[[#This Row],[ProductName]],20)</f>
        <v>Manjimup Dried Apple</v>
      </c>
    </row>
    <row r="967" spans="2:21" x14ac:dyDescent="0.2">
      <c r="B967">
        <v>10987</v>
      </c>
      <c r="C967" t="s">
        <v>8306</v>
      </c>
      <c r="D967" t="s">
        <v>2434</v>
      </c>
      <c r="E967" t="s">
        <v>8272</v>
      </c>
      <c r="F967" s="222">
        <v>46</v>
      </c>
      <c r="G967">
        <v>6</v>
      </c>
      <c r="H967" s="223">
        <v>0</v>
      </c>
      <c r="I967" s="222">
        <v>276</v>
      </c>
      <c r="J967" t="s">
        <v>8393</v>
      </c>
      <c r="K967" t="s">
        <v>8394</v>
      </c>
      <c r="L967" s="118">
        <v>44100</v>
      </c>
      <c r="M967" s="118">
        <v>44106</v>
      </c>
      <c r="N967" t="s">
        <v>8250</v>
      </c>
      <c r="O967" t="s">
        <v>8320</v>
      </c>
      <c r="P967" t="s">
        <v>8321</v>
      </c>
      <c r="Q967" t="str">
        <f>tblSales[[#This Row],[FirstName]]&amp; " " &amp;tblSales[[#This Row],[LastName]]</f>
        <v>Laura Callahan</v>
      </c>
      <c r="R967">
        <f>YEAR(tblSales[[#This Row],[OrderDate]])</f>
        <v>2020</v>
      </c>
      <c r="S967">
        <f>WEEKNUM(tblSales[[#This Row],[OrderDate]])</f>
        <v>39</v>
      </c>
      <c r="T967">
        <f>IF(ISBLANK(tblSales[[#This Row],[ShippedDate]]),"",tblSales[[#This Row],[ShippedDate]]-tblSales[[#This Row],[OrderDate]])</f>
        <v>6</v>
      </c>
      <c r="U967" t="str">
        <f>LEFT(tblSales[[#This Row],[ProductName]],20)</f>
        <v>Ipoh Coffee</v>
      </c>
    </row>
    <row r="968" spans="2:21" x14ac:dyDescent="0.2">
      <c r="B968">
        <v>10987</v>
      </c>
      <c r="C968" t="s">
        <v>8235</v>
      </c>
      <c r="D968" t="s">
        <v>2434</v>
      </c>
      <c r="E968" t="s">
        <v>8237</v>
      </c>
      <c r="F968" s="222">
        <v>34.799999999999997</v>
      </c>
      <c r="G968">
        <v>20</v>
      </c>
      <c r="H968" s="223">
        <v>0</v>
      </c>
      <c r="I968" s="222">
        <v>696</v>
      </c>
      <c r="J968" t="s">
        <v>8393</v>
      </c>
      <c r="K968" t="s">
        <v>8394</v>
      </c>
      <c r="L968" s="118">
        <v>44100</v>
      </c>
      <c r="M968" s="118">
        <v>44106</v>
      </c>
      <c r="N968" t="s">
        <v>8250</v>
      </c>
      <c r="O968" t="s">
        <v>8320</v>
      </c>
      <c r="P968" t="s">
        <v>8321</v>
      </c>
      <c r="Q968" t="str">
        <f>tblSales[[#This Row],[FirstName]]&amp; " " &amp;tblSales[[#This Row],[LastName]]</f>
        <v>Laura Callahan</v>
      </c>
      <c r="R968">
        <f>YEAR(tblSales[[#This Row],[OrderDate]])</f>
        <v>2020</v>
      </c>
      <c r="S968">
        <f>WEEKNUM(tblSales[[#This Row],[OrderDate]])</f>
        <v>39</v>
      </c>
      <c r="T968">
        <f>IF(ISBLANK(tblSales[[#This Row],[ShippedDate]]),"",tblSales[[#This Row],[ShippedDate]]-tblSales[[#This Row],[OrderDate]])</f>
        <v>6</v>
      </c>
      <c r="U968" t="str">
        <f>LEFT(tblSales[[#This Row],[ProductName]],20)</f>
        <v>Mozzarella di Giovan</v>
      </c>
    </row>
    <row r="969" spans="2:21" x14ac:dyDescent="0.2">
      <c r="B969">
        <v>10987</v>
      </c>
      <c r="C969" t="s">
        <v>8415</v>
      </c>
      <c r="D969" t="s">
        <v>2434</v>
      </c>
      <c r="E969" t="s">
        <v>8247</v>
      </c>
      <c r="F969" s="222">
        <v>30</v>
      </c>
      <c r="G969">
        <v>60</v>
      </c>
      <c r="H969" s="223">
        <v>0</v>
      </c>
      <c r="I969" s="222">
        <v>1800</v>
      </c>
      <c r="J969" t="s">
        <v>8393</v>
      </c>
      <c r="K969" t="s">
        <v>8394</v>
      </c>
      <c r="L969" s="118">
        <v>44100</v>
      </c>
      <c r="M969" s="118">
        <v>44106</v>
      </c>
      <c r="N969" t="s">
        <v>8250</v>
      </c>
      <c r="O969" t="s">
        <v>8320</v>
      </c>
      <c r="P969" t="s">
        <v>8321</v>
      </c>
      <c r="Q969" t="str">
        <f>tblSales[[#This Row],[FirstName]]&amp; " " &amp;tblSales[[#This Row],[LastName]]</f>
        <v>Laura Callahan</v>
      </c>
      <c r="R969">
        <f>YEAR(tblSales[[#This Row],[OrderDate]])</f>
        <v>2020</v>
      </c>
      <c r="S969">
        <f>WEEKNUM(tblSales[[#This Row],[OrderDate]])</f>
        <v>39</v>
      </c>
      <c r="T969">
        <f>IF(ISBLANK(tblSales[[#This Row],[ShippedDate]]),"",tblSales[[#This Row],[ShippedDate]]-tblSales[[#This Row],[OrderDate]])</f>
        <v>6</v>
      </c>
      <c r="U969" t="str">
        <f>LEFT(tblSales[[#This Row],[ProductName]],20)</f>
        <v xml:space="preserve">Uncle Bob's Organic </v>
      </c>
    </row>
    <row r="970" spans="2:21" x14ac:dyDescent="0.2">
      <c r="B970">
        <v>10990</v>
      </c>
      <c r="C970" t="s">
        <v>8358</v>
      </c>
      <c r="D970" t="s">
        <v>8282</v>
      </c>
      <c r="E970" t="s">
        <v>8272</v>
      </c>
      <c r="F970" s="222">
        <v>14</v>
      </c>
      <c r="G970">
        <v>60</v>
      </c>
      <c r="H970" s="223">
        <v>0.15000000596046401</v>
      </c>
      <c r="I970" s="222">
        <v>714</v>
      </c>
      <c r="J970" t="s">
        <v>8283</v>
      </c>
      <c r="K970" t="s">
        <v>8284</v>
      </c>
      <c r="L970" s="118">
        <v>44101</v>
      </c>
      <c r="M970" s="118">
        <v>44107</v>
      </c>
      <c r="N970" t="s">
        <v>8240</v>
      </c>
      <c r="O970" t="s">
        <v>8297</v>
      </c>
      <c r="P970" t="s">
        <v>8298</v>
      </c>
      <c r="Q970" t="str">
        <f>tblSales[[#This Row],[FirstName]]&amp; " " &amp;tblSales[[#This Row],[LastName]]</f>
        <v>Andrew Fuller</v>
      </c>
      <c r="R970">
        <f>YEAR(tblSales[[#This Row],[OrderDate]])</f>
        <v>2020</v>
      </c>
      <c r="S970">
        <f>WEEKNUM(tblSales[[#This Row],[OrderDate]])</f>
        <v>40</v>
      </c>
      <c r="T970">
        <f>IF(ISBLANK(tblSales[[#This Row],[ShippedDate]]),"",tblSales[[#This Row],[ShippedDate]]-tblSales[[#This Row],[OrderDate]])</f>
        <v>6</v>
      </c>
      <c r="U970" t="str">
        <f>LEFT(tblSales[[#This Row],[ProductName]],20)</f>
        <v>Sasquatch Ale</v>
      </c>
    </row>
    <row r="971" spans="2:21" x14ac:dyDescent="0.2">
      <c r="B971">
        <v>10990</v>
      </c>
      <c r="C971" t="s">
        <v>8409</v>
      </c>
      <c r="D971" t="s">
        <v>8282</v>
      </c>
      <c r="E971" t="s">
        <v>8254</v>
      </c>
      <c r="F971" s="222">
        <v>28.5</v>
      </c>
      <c r="G971">
        <v>66</v>
      </c>
      <c r="H971" s="223">
        <v>0.15000000596046401</v>
      </c>
      <c r="I971" s="222">
        <v>1598.85</v>
      </c>
      <c r="J971" t="s">
        <v>8283</v>
      </c>
      <c r="K971" t="s">
        <v>8284</v>
      </c>
      <c r="L971" s="118">
        <v>44101</v>
      </c>
      <c r="M971" s="118">
        <v>44107</v>
      </c>
      <c r="N971" t="s">
        <v>8240</v>
      </c>
      <c r="O971" t="s">
        <v>8297</v>
      </c>
      <c r="P971" t="s">
        <v>8298</v>
      </c>
      <c r="Q971" t="str">
        <f>tblSales[[#This Row],[FirstName]]&amp; " " &amp;tblSales[[#This Row],[LastName]]</f>
        <v>Andrew Fuller</v>
      </c>
      <c r="R971">
        <f>YEAR(tblSales[[#This Row],[OrderDate]])</f>
        <v>2020</v>
      </c>
      <c r="S971">
        <f>WEEKNUM(tblSales[[#This Row],[OrderDate]])</f>
        <v>40</v>
      </c>
      <c r="T971">
        <f>IF(ISBLANK(tblSales[[#This Row],[ShippedDate]]),"",tblSales[[#This Row],[ShippedDate]]-tblSales[[#This Row],[OrderDate]])</f>
        <v>6</v>
      </c>
      <c r="U971" t="str">
        <f>LEFT(tblSales[[#This Row],[ProductName]],20)</f>
        <v>Sirop d'érable</v>
      </c>
    </row>
    <row r="972" spans="2:21" x14ac:dyDescent="0.2">
      <c r="B972">
        <v>10990</v>
      </c>
      <c r="C972" t="s">
        <v>8368</v>
      </c>
      <c r="D972" t="s">
        <v>8282</v>
      </c>
      <c r="E972" t="s">
        <v>8262</v>
      </c>
      <c r="F972" s="222">
        <v>10</v>
      </c>
      <c r="G972">
        <v>65</v>
      </c>
      <c r="H972" s="223">
        <v>0</v>
      </c>
      <c r="I972" s="222">
        <v>650</v>
      </c>
      <c r="J972" t="s">
        <v>8283</v>
      </c>
      <c r="K972" t="s">
        <v>8284</v>
      </c>
      <c r="L972" s="118">
        <v>44101</v>
      </c>
      <c r="M972" s="118">
        <v>44107</v>
      </c>
      <c r="N972" t="s">
        <v>8240</v>
      </c>
      <c r="O972" t="s">
        <v>8297</v>
      </c>
      <c r="P972" t="s">
        <v>8298</v>
      </c>
      <c r="Q972" t="str">
        <f>tblSales[[#This Row],[FirstName]]&amp; " " &amp;tblSales[[#This Row],[LastName]]</f>
        <v>Andrew Fuller</v>
      </c>
      <c r="R972">
        <f>YEAR(tblSales[[#This Row],[OrderDate]])</f>
        <v>2020</v>
      </c>
      <c r="S972">
        <f>WEEKNUM(tblSales[[#This Row],[OrderDate]])</f>
        <v>40</v>
      </c>
      <c r="T972">
        <f>IF(ISBLANK(tblSales[[#This Row],[ShippedDate]]),"",tblSales[[#This Row],[ShippedDate]]-tblSales[[#This Row],[OrderDate]])</f>
        <v>6</v>
      </c>
      <c r="U972" t="str">
        <f>LEFT(tblSales[[#This Row],[ProductName]],20)</f>
        <v>Sir Rodney's Scones</v>
      </c>
    </row>
    <row r="973" spans="2:21" x14ac:dyDescent="0.2">
      <c r="B973">
        <v>10991</v>
      </c>
      <c r="C973" t="s">
        <v>8303</v>
      </c>
      <c r="D973" t="s">
        <v>8246</v>
      </c>
      <c r="E973" t="s">
        <v>8272</v>
      </c>
      <c r="F973" s="222">
        <v>18</v>
      </c>
      <c r="G973">
        <v>90</v>
      </c>
      <c r="H973" s="223">
        <v>0.20000000298023199</v>
      </c>
      <c r="I973" s="222">
        <v>1296</v>
      </c>
      <c r="J973" t="s">
        <v>8307</v>
      </c>
      <c r="K973" t="s">
        <v>8308</v>
      </c>
      <c r="L973" s="118">
        <v>44101</v>
      </c>
      <c r="M973" s="118">
        <v>44107</v>
      </c>
      <c r="N973" t="s">
        <v>8250</v>
      </c>
      <c r="O973" t="s">
        <v>8285</v>
      </c>
      <c r="P973" t="s">
        <v>2317</v>
      </c>
      <c r="Q973" t="str">
        <f>tblSales[[#This Row],[FirstName]]&amp; " " &amp;tblSales[[#This Row],[LastName]]</f>
        <v>Nancy Davolio</v>
      </c>
      <c r="R973">
        <f>YEAR(tblSales[[#This Row],[OrderDate]])</f>
        <v>2020</v>
      </c>
      <c r="S973">
        <f>WEEKNUM(tblSales[[#This Row],[OrderDate]])</f>
        <v>40</v>
      </c>
      <c r="T973">
        <f>IF(ISBLANK(tblSales[[#This Row],[ShippedDate]]),"",tblSales[[#This Row],[ShippedDate]]-tblSales[[#This Row],[OrderDate]])</f>
        <v>6</v>
      </c>
      <c r="U973" t="str">
        <f>LEFT(tblSales[[#This Row],[ProductName]],20)</f>
        <v>Lakkalikööri</v>
      </c>
    </row>
    <row r="974" spans="2:21" x14ac:dyDescent="0.2">
      <c r="B974">
        <v>10991</v>
      </c>
      <c r="C974" t="s">
        <v>8276</v>
      </c>
      <c r="D974" t="s">
        <v>8246</v>
      </c>
      <c r="E974" t="s">
        <v>8272</v>
      </c>
      <c r="F974" s="222">
        <v>19</v>
      </c>
      <c r="G974">
        <v>50</v>
      </c>
      <c r="H974" s="223">
        <v>0.20000000298023199</v>
      </c>
      <c r="I974" s="222">
        <v>760</v>
      </c>
      <c r="J974" t="s">
        <v>8307</v>
      </c>
      <c r="K974" t="s">
        <v>8308</v>
      </c>
      <c r="L974" s="118">
        <v>44101</v>
      </c>
      <c r="M974" s="118">
        <v>44107</v>
      </c>
      <c r="N974" t="s">
        <v>8250</v>
      </c>
      <c r="O974" t="s">
        <v>8285</v>
      </c>
      <c r="P974" t="s">
        <v>2317</v>
      </c>
      <c r="Q974" t="str">
        <f>tblSales[[#This Row],[FirstName]]&amp; " " &amp;tblSales[[#This Row],[LastName]]</f>
        <v>Nancy Davolio</v>
      </c>
      <c r="R974">
        <f>YEAR(tblSales[[#This Row],[OrderDate]])</f>
        <v>2020</v>
      </c>
      <c r="S974">
        <f>WEEKNUM(tblSales[[#This Row],[OrderDate]])</f>
        <v>40</v>
      </c>
      <c r="T974">
        <f>IF(ISBLANK(tblSales[[#This Row],[ShippedDate]]),"",tblSales[[#This Row],[ShippedDate]]-tblSales[[#This Row],[OrderDate]])</f>
        <v>6</v>
      </c>
      <c r="U974" t="str">
        <f>LEFT(tblSales[[#This Row],[ProductName]],20)</f>
        <v>Chang</v>
      </c>
    </row>
    <row r="975" spans="2:21" x14ac:dyDescent="0.2">
      <c r="B975">
        <v>10991</v>
      </c>
      <c r="C975" t="s">
        <v>8288</v>
      </c>
      <c r="D975" t="s">
        <v>8246</v>
      </c>
      <c r="E975" t="s">
        <v>8272</v>
      </c>
      <c r="F975" s="222">
        <v>15</v>
      </c>
      <c r="G975">
        <v>20</v>
      </c>
      <c r="H975" s="223">
        <v>0.20000000298023199</v>
      </c>
      <c r="I975" s="222">
        <v>240</v>
      </c>
      <c r="J975" t="s">
        <v>8307</v>
      </c>
      <c r="K975" t="s">
        <v>8308</v>
      </c>
      <c r="L975" s="118">
        <v>44101</v>
      </c>
      <c r="M975" s="118">
        <v>44107</v>
      </c>
      <c r="N975" t="s">
        <v>8250</v>
      </c>
      <c r="O975" t="s">
        <v>8285</v>
      </c>
      <c r="P975" t="s">
        <v>2317</v>
      </c>
      <c r="Q975" t="str">
        <f>tblSales[[#This Row],[FirstName]]&amp; " " &amp;tblSales[[#This Row],[LastName]]</f>
        <v>Nancy Davolio</v>
      </c>
      <c r="R975">
        <f>YEAR(tblSales[[#This Row],[OrderDate]])</f>
        <v>2020</v>
      </c>
      <c r="S975">
        <f>WEEKNUM(tblSales[[#This Row],[OrderDate]])</f>
        <v>40</v>
      </c>
      <c r="T975">
        <f>IF(ISBLANK(tblSales[[#This Row],[ShippedDate]]),"",tblSales[[#This Row],[ShippedDate]]-tblSales[[#This Row],[OrderDate]])</f>
        <v>6</v>
      </c>
      <c r="U975" t="str">
        <f>LEFT(tblSales[[#This Row],[ProductName]],20)</f>
        <v>Outback Lager</v>
      </c>
    </row>
    <row r="976" spans="2:21" x14ac:dyDescent="0.2">
      <c r="B976">
        <v>10994</v>
      </c>
      <c r="C976" t="s">
        <v>8281</v>
      </c>
      <c r="D976" t="s">
        <v>8374</v>
      </c>
      <c r="E976" t="s">
        <v>8237</v>
      </c>
      <c r="F976" s="222">
        <v>55</v>
      </c>
      <c r="G976">
        <v>18</v>
      </c>
      <c r="H976" s="223">
        <v>5.0000000745058101E-2</v>
      </c>
      <c r="I976" s="222">
        <v>940.5</v>
      </c>
      <c r="J976" t="s">
        <v>8395</v>
      </c>
      <c r="K976" t="s">
        <v>8396</v>
      </c>
      <c r="L976" s="118">
        <v>44102</v>
      </c>
      <c r="M976" s="118">
        <v>44109</v>
      </c>
      <c r="N976" t="s">
        <v>8240</v>
      </c>
      <c r="O976" t="s">
        <v>8297</v>
      </c>
      <c r="P976" t="s">
        <v>8298</v>
      </c>
      <c r="Q976" t="str">
        <f>tblSales[[#This Row],[FirstName]]&amp; " " &amp;tblSales[[#This Row],[LastName]]</f>
        <v>Andrew Fuller</v>
      </c>
      <c r="R976">
        <f>YEAR(tblSales[[#This Row],[OrderDate]])</f>
        <v>2020</v>
      </c>
      <c r="S976">
        <f>WEEKNUM(tblSales[[#This Row],[OrderDate]])</f>
        <v>40</v>
      </c>
      <c r="T976">
        <f>IF(ISBLANK(tblSales[[#This Row],[ShippedDate]]),"",tblSales[[#This Row],[ShippedDate]]-tblSales[[#This Row],[OrderDate]])</f>
        <v>7</v>
      </c>
      <c r="U976" t="str">
        <f>LEFT(tblSales[[#This Row],[ProductName]],20)</f>
        <v>Raclette Courdavault</v>
      </c>
    </row>
    <row r="977" spans="2:21" x14ac:dyDescent="0.2">
      <c r="B977">
        <v>10996</v>
      </c>
      <c r="C977" t="s">
        <v>8243</v>
      </c>
      <c r="D977" t="s">
        <v>8246</v>
      </c>
      <c r="E977" t="s">
        <v>8244</v>
      </c>
      <c r="F977" s="222">
        <v>14</v>
      </c>
      <c r="G977">
        <v>40</v>
      </c>
      <c r="H977" s="223">
        <v>0</v>
      </c>
      <c r="I977" s="222">
        <v>560</v>
      </c>
      <c r="J977" t="s">
        <v>8307</v>
      </c>
      <c r="K977" t="s">
        <v>8308</v>
      </c>
      <c r="L977" s="118">
        <v>44102</v>
      </c>
      <c r="M977" s="118">
        <v>44110</v>
      </c>
      <c r="N977" t="s">
        <v>8265</v>
      </c>
      <c r="O977" t="s">
        <v>8266</v>
      </c>
      <c r="P977" t="s">
        <v>8267</v>
      </c>
      <c r="Q977" t="str">
        <f>tblSales[[#This Row],[FirstName]]&amp; " " &amp;tblSales[[#This Row],[LastName]]</f>
        <v>Margaret Peacock</v>
      </c>
      <c r="R977">
        <f>YEAR(tblSales[[#This Row],[OrderDate]])</f>
        <v>2020</v>
      </c>
      <c r="S977">
        <f>WEEKNUM(tblSales[[#This Row],[OrderDate]])</f>
        <v>40</v>
      </c>
      <c r="T977">
        <f>IF(ISBLANK(tblSales[[#This Row],[ShippedDate]]),"",tblSales[[#This Row],[ShippedDate]]-tblSales[[#This Row],[OrderDate]])</f>
        <v>8</v>
      </c>
      <c r="U977" t="str">
        <f>LEFT(tblSales[[#This Row],[ProductName]],20)</f>
        <v xml:space="preserve">Singaporean Hokkien </v>
      </c>
    </row>
    <row r="978" spans="2:21" x14ac:dyDescent="0.2">
      <c r="B978">
        <v>10999</v>
      </c>
      <c r="C978" t="s">
        <v>8397</v>
      </c>
      <c r="D978" t="s">
        <v>8246</v>
      </c>
      <c r="E978" t="s">
        <v>8254</v>
      </c>
      <c r="F978" s="222">
        <v>13</v>
      </c>
      <c r="G978">
        <v>21</v>
      </c>
      <c r="H978" s="223">
        <v>5.0000000745058101E-2</v>
      </c>
      <c r="I978" s="222">
        <v>259.35000000000002</v>
      </c>
      <c r="J978" t="s">
        <v>8289</v>
      </c>
      <c r="K978" t="s">
        <v>8290</v>
      </c>
      <c r="L978" s="118">
        <v>44103</v>
      </c>
      <c r="M978" s="118">
        <v>44110</v>
      </c>
      <c r="N978" t="s">
        <v>8265</v>
      </c>
      <c r="O978" t="s">
        <v>8251</v>
      </c>
      <c r="P978" t="s">
        <v>269</v>
      </c>
      <c r="Q978" t="str">
        <f>tblSales[[#This Row],[FirstName]]&amp; " " &amp;tblSales[[#This Row],[LastName]]</f>
        <v>Michael Suyama</v>
      </c>
      <c r="R978">
        <f>YEAR(tblSales[[#This Row],[OrderDate]])</f>
        <v>2020</v>
      </c>
      <c r="S978">
        <f>WEEKNUM(tblSales[[#This Row],[OrderDate]])</f>
        <v>40</v>
      </c>
      <c r="T978">
        <f>IF(ISBLANK(tblSales[[#This Row],[ShippedDate]]),"",tblSales[[#This Row],[ShippedDate]]-tblSales[[#This Row],[OrderDate]])</f>
        <v>7</v>
      </c>
      <c r="U978" t="str">
        <f>LEFT(tblSales[[#This Row],[ProductName]],20)</f>
        <v>Original Frankfurter</v>
      </c>
    </row>
    <row r="979" spans="2:21" x14ac:dyDescent="0.2">
      <c r="B979">
        <v>10999</v>
      </c>
      <c r="C979" t="s">
        <v>8245</v>
      </c>
      <c r="D979" t="s">
        <v>8246</v>
      </c>
      <c r="E979" t="s">
        <v>8247</v>
      </c>
      <c r="F979" s="222">
        <v>53</v>
      </c>
      <c r="G979">
        <v>15</v>
      </c>
      <c r="H979" s="223">
        <v>5.0000000745058101E-2</v>
      </c>
      <c r="I979" s="222">
        <v>755.25</v>
      </c>
      <c r="J979" t="s">
        <v>8289</v>
      </c>
      <c r="K979" t="s">
        <v>8290</v>
      </c>
      <c r="L979" s="118">
        <v>44103</v>
      </c>
      <c r="M979" s="118">
        <v>44110</v>
      </c>
      <c r="N979" t="s">
        <v>8265</v>
      </c>
      <c r="O979" t="s">
        <v>8251</v>
      </c>
      <c r="P979" t="s">
        <v>269</v>
      </c>
      <c r="Q979" t="str">
        <f>tblSales[[#This Row],[FirstName]]&amp; " " &amp;tblSales[[#This Row],[LastName]]</f>
        <v>Michael Suyama</v>
      </c>
      <c r="R979">
        <f>YEAR(tblSales[[#This Row],[OrderDate]])</f>
        <v>2020</v>
      </c>
      <c r="S979">
        <f>WEEKNUM(tblSales[[#This Row],[OrderDate]])</f>
        <v>40</v>
      </c>
      <c r="T979">
        <f>IF(ISBLANK(tblSales[[#This Row],[ShippedDate]]),"",tblSales[[#This Row],[ShippedDate]]-tblSales[[#This Row],[OrderDate]])</f>
        <v>7</v>
      </c>
      <c r="U979" t="str">
        <f>LEFT(tblSales[[#This Row],[ProductName]],20)</f>
        <v>Manjimup Dried Apple</v>
      </c>
    </row>
    <row r="980" spans="2:21" x14ac:dyDescent="0.2">
      <c r="B980">
        <v>10998</v>
      </c>
      <c r="C980" t="s">
        <v>8328</v>
      </c>
      <c r="D980" t="s">
        <v>8400</v>
      </c>
      <c r="E980" t="s">
        <v>8272</v>
      </c>
      <c r="F980" s="222">
        <v>7.75</v>
      </c>
      <c r="G980">
        <v>30</v>
      </c>
      <c r="H980" s="223">
        <v>0</v>
      </c>
      <c r="I980" s="222">
        <v>232.5</v>
      </c>
      <c r="J980" t="s">
        <v>8401</v>
      </c>
      <c r="K980" t="s">
        <v>8402</v>
      </c>
      <c r="L980" s="118">
        <v>44103</v>
      </c>
      <c r="M980" s="118">
        <v>44117</v>
      </c>
      <c r="N980" t="s">
        <v>8265</v>
      </c>
      <c r="O980" t="s">
        <v>8320</v>
      </c>
      <c r="P980" t="s">
        <v>8321</v>
      </c>
      <c r="Q980" t="str">
        <f>tblSales[[#This Row],[FirstName]]&amp; " " &amp;tblSales[[#This Row],[LastName]]</f>
        <v>Laura Callahan</v>
      </c>
      <c r="R980">
        <f>YEAR(tblSales[[#This Row],[OrderDate]])</f>
        <v>2020</v>
      </c>
      <c r="S980">
        <f>WEEKNUM(tblSales[[#This Row],[OrderDate]])</f>
        <v>40</v>
      </c>
      <c r="T980">
        <f>IF(ISBLANK(tblSales[[#This Row],[ShippedDate]]),"",tblSales[[#This Row],[ShippedDate]]-tblSales[[#This Row],[OrderDate]])</f>
        <v>14</v>
      </c>
      <c r="U980" t="str">
        <f>LEFT(tblSales[[#This Row],[ProductName]],20)</f>
        <v>Rhönbräu Klosterbier</v>
      </c>
    </row>
    <row r="981" spans="2:21" x14ac:dyDescent="0.2">
      <c r="B981">
        <v>10998</v>
      </c>
      <c r="C981" t="s">
        <v>8270</v>
      </c>
      <c r="D981" t="s">
        <v>8400</v>
      </c>
      <c r="E981" t="s">
        <v>8272</v>
      </c>
      <c r="F981" s="222">
        <v>4.5</v>
      </c>
      <c r="G981">
        <v>12</v>
      </c>
      <c r="H981" s="223">
        <v>0</v>
      </c>
      <c r="I981" s="222">
        <v>54</v>
      </c>
      <c r="J981" t="s">
        <v>8401</v>
      </c>
      <c r="K981" t="s">
        <v>8402</v>
      </c>
      <c r="L981" s="118">
        <v>44103</v>
      </c>
      <c r="M981" s="118">
        <v>44117</v>
      </c>
      <c r="N981" t="s">
        <v>8265</v>
      </c>
      <c r="O981" t="s">
        <v>8320</v>
      </c>
      <c r="P981" t="s">
        <v>8321</v>
      </c>
      <c r="Q981" t="str">
        <f>tblSales[[#This Row],[FirstName]]&amp; " " &amp;tblSales[[#This Row],[LastName]]</f>
        <v>Laura Callahan</v>
      </c>
      <c r="R981">
        <f>YEAR(tblSales[[#This Row],[OrderDate]])</f>
        <v>2020</v>
      </c>
      <c r="S981">
        <f>WEEKNUM(tblSales[[#This Row],[OrderDate]])</f>
        <v>40</v>
      </c>
      <c r="T981">
        <f>IF(ISBLANK(tblSales[[#This Row],[ShippedDate]]),"",tblSales[[#This Row],[ShippedDate]]-tblSales[[#This Row],[OrderDate]])</f>
        <v>14</v>
      </c>
      <c r="U981" t="str">
        <f>LEFT(tblSales[[#This Row],[ProductName]],20)</f>
        <v>Guaraná Fantástica</v>
      </c>
    </row>
    <row r="982" spans="2:21" x14ac:dyDescent="0.2">
      <c r="B982">
        <v>10998</v>
      </c>
      <c r="C982" t="s">
        <v>8409</v>
      </c>
      <c r="D982" t="s">
        <v>8400</v>
      </c>
      <c r="E982" t="s">
        <v>8254</v>
      </c>
      <c r="F982" s="222">
        <v>28.5</v>
      </c>
      <c r="G982">
        <v>7</v>
      </c>
      <c r="H982" s="223">
        <v>0</v>
      </c>
      <c r="I982" s="222">
        <v>199.5</v>
      </c>
      <c r="J982" t="s">
        <v>8401</v>
      </c>
      <c r="K982" t="s">
        <v>8402</v>
      </c>
      <c r="L982" s="118">
        <v>44103</v>
      </c>
      <c r="M982" s="118">
        <v>44117</v>
      </c>
      <c r="N982" t="s">
        <v>8265</v>
      </c>
      <c r="O982" t="s">
        <v>8320</v>
      </c>
      <c r="P982" t="s">
        <v>8321</v>
      </c>
      <c r="Q982" t="str">
        <f>tblSales[[#This Row],[FirstName]]&amp; " " &amp;tblSales[[#This Row],[LastName]]</f>
        <v>Laura Callahan</v>
      </c>
      <c r="R982">
        <f>YEAR(tblSales[[#This Row],[OrderDate]])</f>
        <v>2020</v>
      </c>
      <c r="S982">
        <f>WEEKNUM(tblSales[[#This Row],[OrderDate]])</f>
        <v>40</v>
      </c>
      <c r="T982">
        <f>IF(ISBLANK(tblSales[[#This Row],[ShippedDate]]),"",tblSales[[#This Row],[ShippedDate]]-tblSales[[#This Row],[OrderDate]])</f>
        <v>14</v>
      </c>
      <c r="U982" t="str">
        <f>LEFT(tblSales[[#This Row],[ProductName]],20)</f>
        <v>Sirop d'érable</v>
      </c>
    </row>
    <row r="983" spans="2:21" x14ac:dyDescent="0.2">
      <c r="B983">
        <v>10998</v>
      </c>
      <c r="C983" t="s">
        <v>8275</v>
      </c>
      <c r="D983" t="s">
        <v>8400</v>
      </c>
      <c r="E983" t="s">
        <v>8247</v>
      </c>
      <c r="F983" s="222">
        <v>10</v>
      </c>
      <c r="G983">
        <v>20</v>
      </c>
      <c r="H983" s="223">
        <v>0</v>
      </c>
      <c r="I983" s="222">
        <v>200</v>
      </c>
      <c r="J983" t="s">
        <v>8401</v>
      </c>
      <c r="K983" t="s">
        <v>8402</v>
      </c>
      <c r="L983" s="118">
        <v>44103</v>
      </c>
      <c r="M983" s="118">
        <v>44117</v>
      </c>
      <c r="N983" t="s">
        <v>8265</v>
      </c>
      <c r="O983" t="s">
        <v>8320</v>
      </c>
      <c r="P983" t="s">
        <v>8321</v>
      </c>
      <c r="Q983" t="str">
        <f>tblSales[[#This Row],[FirstName]]&amp; " " &amp;tblSales[[#This Row],[LastName]]</f>
        <v>Laura Callahan</v>
      </c>
      <c r="R983">
        <f>YEAR(tblSales[[#This Row],[OrderDate]])</f>
        <v>2020</v>
      </c>
      <c r="S983">
        <f>WEEKNUM(tblSales[[#This Row],[OrderDate]])</f>
        <v>40</v>
      </c>
      <c r="T983">
        <f>IF(ISBLANK(tblSales[[#This Row],[ShippedDate]]),"",tblSales[[#This Row],[ShippedDate]]-tblSales[[#This Row],[OrderDate]])</f>
        <v>14</v>
      </c>
      <c r="U983" t="str">
        <f>LEFT(tblSales[[#This Row],[ProductName]],20)</f>
        <v>Longlife Tofu</v>
      </c>
    </row>
    <row r="984" spans="2:21" x14ac:dyDescent="0.2">
      <c r="B984">
        <v>11001</v>
      </c>
      <c r="C984" t="s">
        <v>8259</v>
      </c>
      <c r="D984" t="s">
        <v>8292</v>
      </c>
      <c r="E984" t="s">
        <v>8244</v>
      </c>
      <c r="F984" s="222">
        <v>21</v>
      </c>
      <c r="G984">
        <v>25</v>
      </c>
      <c r="H984" s="223">
        <v>0</v>
      </c>
      <c r="I984" s="222">
        <v>525</v>
      </c>
      <c r="J984" t="s">
        <v>8293</v>
      </c>
      <c r="K984" t="s">
        <v>8294</v>
      </c>
      <c r="L984" s="118">
        <v>44106</v>
      </c>
      <c r="M984" s="118">
        <v>44114</v>
      </c>
      <c r="N984" t="s">
        <v>8265</v>
      </c>
      <c r="O984" t="s">
        <v>8297</v>
      </c>
      <c r="P984" t="s">
        <v>8298</v>
      </c>
      <c r="Q984" t="str">
        <f>tblSales[[#This Row],[FirstName]]&amp; " " &amp;tblSales[[#This Row],[LastName]]</f>
        <v>Andrew Fuller</v>
      </c>
      <c r="R984">
        <f>YEAR(tblSales[[#This Row],[OrderDate]])</f>
        <v>2020</v>
      </c>
      <c r="S984">
        <f>WEEKNUM(tblSales[[#This Row],[OrderDate]])</f>
        <v>40</v>
      </c>
      <c r="T984">
        <f>IF(ISBLANK(tblSales[[#This Row],[ShippedDate]]),"",tblSales[[#This Row],[ShippedDate]]-tblSales[[#This Row],[OrderDate]])</f>
        <v>8</v>
      </c>
      <c r="U984" t="str">
        <f>LEFT(tblSales[[#This Row],[ProductName]],20)</f>
        <v>Gustaf's Knäckebröd</v>
      </c>
    </row>
    <row r="985" spans="2:21" x14ac:dyDescent="0.2">
      <c r="B985">
        <v>11001</v>
      </c>
      <c r="C985" t="s">
        <v>8415</v>
      </c>
      <c r="D985" t="s">
        <v>8292</v>
      </c>
      <c r="E985" t="s">
        <v>8247</v>
      </c>
      <c r="F985" s="222">
        <v>30</v>
      </c>
      <c r="G985">
        <v>60</v>
      </c>
      <c r="H985" s="223">
        <v>0</v>
      </c>
      <c r="I985" s="222">
        <v>1800</v>
      </c>
      <c r="J985" t="s">
        <v>8293</v>
      </c>
      <c r="K985" t="s">
        <v>8294</v>
      </c>
      <c r="L985" s="118">
        <v>44106</v>
      </c>
      <c r="M985" s="118">
        <v>44114</v>
      </c>
      <c r="N985" t="s">
        <v>8265</v>
      </c>
      <c r="O985" t="s">
        <v>8297</v>
      </c>
      <c r="P985" t="s">
        <v>8298</v>
      </c>
      <c r="Q985" t="str">
        <f>tblSales[[#This Row],[FirstName]]&amp; " " &amp;tblSales[[#This Row],[LastName]]</f>
        <v>Andrew Fuller</v>
      </c>
      <c r="R985">
        <f>YEAR(tblSales[[#This Row],[OrderDate]])</f>
        <v>2020</v>
      </c>
      <c r="S985">
        <f>WEEKNUM(tblSales[[#This Row],[OrderDate]])</f>
        <v>40</v>
      </c>
      <c r="T985">
        <f>IF(ISBLANK(tblSales[[#This Row],[ShippedDate]]),"",tblSales[[#This Row],[ShippedDate]]-tblSales[[#This Row],[OrderDate]])</f>
        <v>8</v>
      </c>
      <c r="U985" t="str">
        <f>LEFT(tblSales[[#This Row],[ProductName]],20)</f>
        <v xml:space="preserve">Uncle Bob's Organic </v>
      </c>
    </row>
    <row r="986" spans="2:21" x14ac:dyDescent="0.2">
      <c r="B986">
        <v>11005</v>
      </c>
      <c r="C986" t="s">
        <v>8333</v>
      </c>
      <c r="D986" t="s">
        <v>8300</v>
      </c>
      <c r="E986" t="s">
        <v>8272</v>
      </c>
      <c r="F986" s="222">
        <v>18</v>
      </c>
      <c r="G986">
        <v>2</v>
      </c>
      <c r="H986" s="223">
        <v>0</v>
      </c>
      <c r="I986" s="222">
        <v>36</v>
      </c>
      <c r="J986" t="s">
        <v>8426</v>
      </c>
      <c r="K986" t="s">
        <v>8427</v>
      </c>
      <c r="L986" s="118">
        <v>44107</v>
      </c>
      <c r="M986" s="118">
        <v>44110</v>
      </c>
      <c r="N986" t="s">
        <v>8250</v>
      </c>
      <c r="O986" t="s">
        <v>8297</v>
      </c>
      <c r="P986" t="s">
        <v>8298</v>
      </c>
      <c r="Q986" t="str">
        <f>tblSales[[#This Row],[FirstName]]&amp; " " &amp;tblSales[[#This Row],[LastName]]</f>
        <v>Andrew Fuller</v>
      </c>
      <c r="R986">
        <f>YEAR(tblSales[[#This Row],[OrderDate]])</f>
        <v>2020</v>
      </c>
      <c r="S986">
        <f>WEEKNUM(tblSales[[#This Row],[OrderDate]])</f>
        <v>40</v>
      </c>
      <c r="T986">
        <f>IF(ISBLANK(tblSales[[#This Row],[ShippedDate]]),"",tblSales[[#This Row],[ShippedDate]]-tblSales[[#This Row],[OrderDate]])</f>
        <v>3</v>
      </c>
      <c r="U986" t="str">
        <f>LEFT(tblSales[[#This Row],[ProductName]],20)</f>
        <v>Chai</v>
      </c>
    </row>
    <row r="987" spans="2:21" x14ac:dyDescent="0.2">
      <c r="B987">
        <v>11005</v>
      </c>
      <c r="C987" t="s">
        <v>8281</v>
      </c>
      <c r="D987" t="s">
        <v>8300</v>
      </c>
      <c r="E987" t="s">
        <v>8237</v>
      </c>
      <c r="F987" s="222">
        <v>55</v>
      </c>
      <c r="G987">
        <v>10</v>
      </c>
      <c r="H987" s="223">
        <v>0</v>
      </c>
      <c r="I987" s="222">
        <v>550</v>
      </c>
      <c r="J987" t="s">
        <v>8426</v>
      </c>
      <c r="K987" t="s">
        <v>8427</v>
      </c>
      <c r="L987" s="118">
        <v>44107</v>
      </c>
      <c r="M987" s="118">
        <v>44110</v>
      </c>
      <c r="N987" t="s">
        <v>8250</v>
      </c>
      <c r="O987" t="s">
        <v>8297</v>
      </c>
      <c r="P987" t="s">
        <v>8298</v>
      </c>
      <c r="Q987" t="str">
        <f>tblSales[[#This Row],[FirstName]]&amp; " " &amp;tblSales[[#This Row],[LastName]]</f>
        <v>Andrew Fuller</v>
      </c>
      <c r="R987">
        <f>YEAR(tblSales[[#This Row],[OrderDate]])</f>
        <v>2020</v>
      </c>
      <c r="S987">
        <f>WEEKNUM(tblSales[[#This Row],[OrderDate]])</f>
        <v>40</v>
      </c>
      <c r="T987">
        <f>IF(ISBLANK(tblSales[[#This Row],[ShippedDate]]),"",tblSales[[#This Row],[ShippedDate]]-tblSales[[#This Row],[OrderDate]])</f>
        <v>3</v>
      </c>
      <c r="U987" t="str">
        <f>LEFT(tblSales[[#This Row],[ProductName]],20)</f>
        <v>Raclette Courdavault</v>
      </c>
    </row>
    <row r="988" spans="2:21" x14ac:dyDescent="0.2">
      <c r="B988">
        <v>11004</v>
      </c>
      <c r="C988" t="s">
        <v>8303</v>
      </c>
      <c r="D988" t="s">
        <v>8261</v>
      </c>
      <c r="E988" t="s">
        <v>8272</v>
      </c>
      <c r="F988" s="222">
        <v>18</v>
      </c>
      <c r="G988">
        <v>6</v>
      </c>
      <c r="H988" s="223">
        <v>0</v>
      </c>
      <c r="I988" s="222">
        <v>108</v>
      </c>
      <c r="J988" t="s">
        <v>8420</v>
      </c>
      <c r="K988" t="s">
        <v>8421</v>
      </c>
      <c r="L988" s="118">
        <v>44107</v>
      </c>
      <c r="M988" s="118">
        <v>44120</v>
      </c>
      <c r="N988" t="s">
        <v>8250</v>
      </c>
      <c r="O988" t="s">
        <v>8257</v>
      </c>
      <c r="P988" t="s">
        <v>6984</v>
      </c>
      <c r="Q988" t="str">
        <f>tblSales[[#This Row],[FirstName]]&amp; " " &amp;tblSales[[#This Row],[LastName]]</f>
        <v>Janet Leverling</v>
      </c>
      <c r="R988">
        <f>YEAR(tblSales[[#This Row],[OrderDate]])</f>
        <v>2020</v>
      </c>
      <c r="S988">
        <f>WEEKNUM(tblSales[[#This Row],[OrderDate]])</f>
        <v>40</v>
      </c>
      <c r="T988">
        <f>IF(ISBLANK(tblSales[[#This Row],[ShippedDate]]),"",tblSales[[#This Row],[ShippedDate]]-tblSales[[#This Row],[OrderDate]])</f>
        <v>13</v>
      </c>
      <c r="U988" t="str">
        <f>LEFT(tblSales[[#This Row],[ProductName]],20)</f>
        <v>Lakkalikööri</v>
      </c>
    </row>
    <row r="989" spans="2:21" x14ac:dyDescent="0.2">
      <c r="B989">
        <v>11004</v>
      </c>
      <c r="C989" t="s">
        <v>8372</v>
      </c>
      <c r="D989" t="s">
        <v>8261</v>
      </c>
      <c r="E989" t="s">
        <v>8262</v>
      </c>
      <c r="F989" s="222">
        <v>31.23</v>
      </c>
      <c r="G989">
        <v>6</v>
      </c>
      <c r="H989" s="223">
        <v>0</v>
      </c>
      <c r="I989" s="222">
        <v>187.38</v>
      </c>
      <c r="J989" t="s">
        <v>8420</v>
      </c>
      <c r="K989" t="s">
        <v>8421</v>
      </c>
      <c r="L989" s="118">
        <v>44107</v>
      </c>
      <c r="M989" s="118">
        <v>44120</v>
      </c>
      <c r="N989" t="s">
        <v>8250</v>
      </c>
      <c r="O989" t="s">
        <v>8257</v>
      </c>
      <c r="P989" t="s">
        <v>6984</v>
      </c>
      <c r="Q989" t="str">
        <f>tblSales[[#This Row],[FirstName]]&amp; " " &amp;tblSales[[#This Row],[LastName]]</f>
        <v>Janet Leverling</v>
      </c>
      <c r="R989">
        <f>YEAR(tblSales[[#This Row],[OrderDate]])</f>
        <v>2020</v>
      </c>
      <c r="S989">
        <f>WEEKNUM(tblSales[[#This Row],[OrderDate]])</f>
        <v>40</v>
      </c>
      <c r="T989">
        <f>IF(ISBLANK(tblSales[[#This Row],[ShippedDate]]),"",tblSales[[#This Row],[ShippedDate]]-tblSales[[#This Row],[OrderDate]])</f>
        <v>13</v>
      </c>
      <c r="U989" t="str">
        <f>LEFT(tblSales[[#This Row],[ProductName]],20)</f>
        <v>Gumbär Gummibärchen</v>
      </c>
    </row>
    <row r="990" spans="2:21" x14ac:dyDescent="0.2">
      <c r="B990">
        <v>11009</v>
      </c>
      <c r="C990" t="s">
        <v>8270</v>
      </c>
      <c r="D990" t="s">
        <v>8324</v>
      </c>
      <c r="E990" t="s">
        <v>8272</v>
      </c>
      <c r="F990" s="222">
        <v>4.5</v>
      </c>
      <c r="G990">
        <v>12</v>
      </c>
      <c r="H990" s="223">
        <v>0</v>
      </c>
      <c r="I990" s="222">
        <v>54</v>
      </c>
      <c r="J990" t="s">
        <v>8349</v>
      </c>
      <c r="K990" t="s">
        <v>8350</v>
      </c>
      <c r="L990" s="118">
        <v>44108</v>
      </c>
      <c r="M990" s="118">
        <v>44110</v>
      </c>
      <c r="N990" t="s">
        <v>8250</v>
      </c>
      <c r="O990" t="s">
        <v>8297</v>
      </c>
      <c r="P990" t="s">
        <v>8298</v>
      </c>
      <c r="Q990" t="str">
        <f>tblSales[[#This Row],[FirstName]]&amp; " " &amp;tblSales[[#This Row],[LastName]]</f>
        <v>Andrew Fuller</v>
      </c>
      <c r="R990">
        <f>YEAR(tblSales[[#This Row],[OrderDate]])</f>
        <v>2020</v>
      </c>
      <c r="S990">
        <f>WEEKNUM(tblSales[[#This Row],[OrderDate]])</f>
        <v>41</v>
      </c>
      <c r="T990">
        <f>IF(ISBLANK(tblSales[[#This Row],[ShippedDate]]),"",tblSales[[#This Row],[ShippedDate]]-tblSales[[#This Row],[OrderDate]])</f>
        <v>2</v>
      </c>
      <c r="U990" t="str">
        <f>LEFT(tblSales[[#This Row],[ProductName]],20)</f>
        <v>Guaraná Fantástica</v>
      </c>
    </row>
    <row r="991" spans="2:21" x14ac:dyDescent="0.2">
      <c r="B991">
        <v>11009</v>
      </c>
      <c r="C991" t="s">
        <v>8268</v>
      </c>
      <c r="D991" t="s">
        <v>8324</v>
      </c>
      <c r="E991" t="s">
        <v>8237</v>
      </c>
      <c r="F991" s="222">
        <v>34</v>
      </c>
      <c r="G991">
        <v>9</v>
      </c>
      <c r="H991" s="223">
        <v>0</v>
      </c>
      <c r="I991" s="222">
        <v>306</v>
      </c>
      <c r="J991" t="s">
        <v>8349</v>
      </c>
      <c r="K991" t="s">
        <v>8350</v>
      </c>
      <c r="L991" s="118">
        <v>44108</v>
      </c>
      <c r="M991" s="118">
        <v>44110</v>
      </c>
      <c r="N991" t="s">
        <v>8250</v>
      </c>
      <c r="O991" t="s">
        <v>8297</v>
      </c>
      <c r="P991" t="s">
        <v>8298</v>
      </c>
      <c r="Q991" t="str">
        <f>tblSales[[#This Row],[FirstName]]&amp; " " &amp;tblSales[[#This Row],[LastName]]</f>
        <v>Andrew Fuller</v>
      </c>
      <c r="R991">
        <f>YEAR(tblSales[[#This Row],[OrderDate]])</f>
        <v>2020</v>
      </c>
      <c r="S991">
        <f>WEEKNUM(tblSales[[#This Row],[OrderDate]])</f>
        <v>41</v>
      </c>
      <c r="T991">
        <f>IF(ISBLANK(tblSales[[#This Row],[ShippedDate]]),"",tblSales[[#This Row],[ShippedDate]]-tblSales[[#This Row],[OrderDate]])</f>
        <v>2</v>
      </c>
      <c r="U991" t="str">
        <f>LEFT(tblSales[[#This Row],[ProductName]],20)</f>
        <v>Camembert Pierrot</v>
      </c>
    </row>
    <row r="992" spans="2:21" x14ac:dyDescent="0.2">
      <c r="B992">
        <v>11007</v>
      </c>
      <c r="C992" t="s">
        <v>8379</v>
      </c>
      <c r="D992" t="s">
        <v>8365</v>
      </c>
      <c r="E992" t="s">
        <v>8254</v>
      </c>
      <c r="F992" s="222">
        <v>40</v>
      </c>
      <c r="G992">
        <v>30</v>
      </c>
      <c r="H992" s="223">
        <v>0</v>
      </c>
      <c r="I992" s="222">
        <v>1200</v>
      </c>
      <c r="J992" t="s">
        <v>8370</v>
      </c>
      <c r="K992" t="s">
        <v>8371</v>
      </c>
      <c r="L992" s="118">
        <v>44108</v>
      </c>
      <c r="M992" s="118">
        <v>44113</v>
      </c>
      <c r="N992" t="s">
        <v>8265</v>
      </c>
      <c r="O992" t="s">
        <v>8320</v>
      </c>
      <c r="P992" t="s">
        <v>8321</v>
      </c>
      <c r="Q992" t="str">
        <f>tblSales[[#This Row],[FirstName]]&amp; " " &amp;tblSales[[#This Row],[LastName]]</f>
        <v>Laura Callahan</v>
      </c>
      <c r="R992">
        <f>YEAR(tblSales[[#This Row],[OrderDate]])</f>
        <v>2020</v>
      </c>
      <c r="S992">
        <f>WEEKNUM(tblSales[[#This Row],[OrderDate]])</f>
        <v>41</v>
      </c>
      <c r="T992">
        <f>IF(ISBLANK(tblSales[[#This Row],[ShippedDate]]),"",tblSales[[#This Row],[ShippedDate]]-tblSales[[#This Row],[OrderDate]])</f>
        <v>5</v>
      </c>
      <c r="U992" t="str">
        <f>LEFT(tblSales[[#This Row],[ProductName]],20)</f>
        <v>Northwoods Cranberry</v>
      </c>
    </row>
    <row r="993" spans="2:21" x14ac:dyDescent="0.2">
      <c r="B993">
        <v>11007</v>
      </c>
      <c r="C993" t="s">
        <v>8243</v>
      </c>
      <c r="D993" t="s">
        <v>8365</v>
      </c>
      <c r="E993" t="s">
        <v>8244</v>
      </c>
      <c r="F993" s="222">
        <v>14</v>
      </c>
      <c r="G993">
        <v>14</v>
      </c>
      <c r="H993" s="223">
        <v>0</v>
      </c>
      <c r="I993" s="222">
        <v>196</v>
      </c>
      <c r="J993" t="s">
        <v>8370</v>
      </c>
      <c r="K993" t="s">
        <v>8371</v>
      </c>
      <c r="L993" s="118">
        <v>44108</v>
      </c>
      <c r="M993" s="118">
        <v>44113</v>
      </c>
      <c r="N993" t="s">
        <v>8265</v>
      </c>
      <c r="O993" t="s">
        <v>8320</v>
      </c>
      <c r="P993" t="s">
        <v>8321</v>
      </c>
      <c r="Q993" t="str">
        <f>tblSales[[#This Row],[FirstName]]&amp; " " &amp;tblSales[[#This Row],[LastName]]</f>
        <v>Laura Callahan</v>
      </c>
      <c r="R993">
        <f>YEAR(tblSales[[#This Row],[OrderDate]])</f>
        <v>2020</v>
      </c>
      <c r="S993">
        <f>WEEKNUM(tblSales[[#This Row],[OrderDate]])</f>
        <v>41</v>
      </c>
      <c r="T993">
        <f>IF(ISBLANK(tblSales[[#This Row],[ShippedDate]]),"",tblSales[[#This Row],[ShippedDate]]-tblSales[[#This Row],[OrderDate]])</f>
        <v>5</v>
      </c>
      <c r="U993" t="str">
        <f>LEFT(tblSales[[#This Row],[ProductName]],20)</f>
        <v xml:space="preserve">Singaporean Hokkien </v>
      </c>
    </row>
    <row r="994" spans="2:21" x14ac:dyDescent="0.2">
      <c r="B994">
        <v>11013</v>
      </c>
      <c r="C994" t="s">
        <v>8334</v>
      </c>
      <c r="D994" t="s">
        <v>8324</v>
      </c>
      <c r="E994" t="s">
        <v>8262</v>
      </c>
      <c r="F994" s="222">
        <v>12.5</v>
      </c>
      <c r="G994">
        <v>2</v>
      </c>
      <c r="H994" s="223">
        <v>0</v>
      </c>
      <c r="I994" s="222">
        <v>25</v>
      </c>
      <c r="J994" t="s">
        <v>8325</v>
      </c>
      <c r="K994" t="s">
        <v>8326</v>
      </c>
      <c r="L994" s="118">
        <v>44109</v>
      </c>
      <c r="M994" s="118">
        <v>44110</v>
      </c>
      <c r="N994" t="s">
        <v>8250</v>
      </c>
      <c r="O994" t="s">
        <v>8297</v>
      </c>
      <c r="P994" t="s">
        <v>8298</v>
      </c>
      <c r="Q994" t="str">
        <f>tblSales[[#This Row],[FirstName]]&amp; " " &amp;tblSales[[#This Row],[LastName]]</f>
        <v>Andrew Fuller</v>
      </c>
      <c r="R994">
        <f>YEAR(tblSales[[#This Row],[OrderDate]])</f>
        <v>2020</v>
      </c>
      <c r="S994">
        <f>WEEKNUM(tblSales[[#This Row],[OrderDate]])</f>
        <v>41</v>
      </c>
      <c r="T994">
        <f>IF(ISBLANK(tblSales[[#This Row],[ShippedDate]]),"",tblSales[[#This Row],[ShippedDate]]-tblSales[[#This Row],[OrderDate]])</f>
        <v>1</v>
      </c>
      <c r="U994" t="str">
        <f>LEFT(tblSales[[#This Row],[ProductName]],20)</f>
        <v>Scottish Longbreads</v>
      </c>
    </row>
    <row r="995" spans="2:21" x14ac:dyDescent="0.2">
      <c r="B995">
        <v>11013</v>
      </c>
      <c r="C995" t="s">
        <v>8373</v>
      </c>
      <c r="D995" t="s">
        <v>8324</v>
      </c>
      <c r="E995" t="s">
        <v>8244</v>
      </c>
      <c r="F995" s="222">
        <v>9</v>
      </c>
      <c r="G995">
        <v>10</v>
      </c>
      <c r="H995" s="223">
        <v>0</v>
      </c>
      <c r="I995" s="222">
        <v>90</v>
      </c>
      <c r="J995" t="s">
        <v>8325</v>
      </c>
      <c r="K995" t="s">
        <v>8326</v>
      </c>
      <c r="L995" s="118">
        <v>44109</v>
      </c>
      <c r="M995" s="118">
        <v>44110</v>
      </c>
      <c r="N995" t="s">
        <v>8250</v>
      </c>
      <c r="O995" t="s">
        <v>8297</v>
      </c>
      <c r="P995" t="s">
        <v>8298</v>
      </c>
      <c r="Q995" t="str">
        <f>tblSales[[#This Row],[FirstName]]&amp; " " &amp;tblSales[[#This Row],[LastName]]</f>
        <v>Andrew Fuller</v>
      </c>
      <c r="R995">
        <f>YEAR(tblSales[[#This Row],[OrderDate]])</f>
        <v>2020</v>
      </c>
      <c r="S995">
        <f>WEEKNUM(tblSales[[#This Row],[OrderDate]])</f>
        <v>41</v>
      </c>
      <c r="T995">
        <f>IF(ISBLANK(tblSales[[#This Row],[ShippedDate]]),"",tblSales[[#This Row],[ShippedDate]]-tblSales[[#This Row],[OrderDate]])</f>
        <v>1</v>
      </c>
      <c r="U995" t="str">
        <f>LEFT(tblSales[[#This Row],[ProductName]],20)</f>
        <v>Tunnbröd</v>
      </c>
    </row>
    <row r="996" spans="2:21" x14ac:dyDescent="0.2">
      <c r="B996">
        <v>11013</v>
      </c>
      <c r="C996" t="s">
        <v>8243</v>
      </c>
      <c r="D996" t="s">
        <v>8324</v>
      </c>
      <c r="E996" t="s">
        <v>8244</v>
      </c>
      <c r="F996" s="222">
        <v>14</v>
      </c>
      <c r="G996">
        <v>4</v>
      </c>
      <c r="H996" s="223">
        <v>0</v>
      </c>
      <c r="I996" s="222">
        <v>56</v>
      </c>
      <c r="J996" t="s">
        <v>8325</v>
      </c>
      <c r="K996" t="s">
        <v>8326</v>
      </c>
      <c r="L996" s="118">
        <v>44109</v>
      </c>
      <c r="M996" s="118">
        <v>44110</v>
      </c>
      <c r="N996" t="s">
        <v>8250</v>
      </c>
      <c r="O996" t="s">
        <v>8297</v>
      </c>
      <c r="P996" t="s">
        <v>8298</v>
      </c>
      <c r="Q996" t="str">
        <f>tblSales[[#This Row],[FirstName]]&amp; " " &amp;tblSales[[#This Row],[LastName]]</f>
        <v>Andrew Fuller</v>
      </c>
      <c r="R996">
        <f>YEAR(tblSales[[#This Row],[OrderDate]])</f>
        <v>2020</v>
      </c>
      <c r="S996">
        <f>WEEKNUM(tblSales[[#This Row],[OrderDate]])</f>
        <v>41</v>
      </c>
      <c r="T996">
        <f>IF(ISBLANK(tblSales[[#This Row],[ShippedDate]]),"",tblSales[[#This Row],[ShippedDate]]-tblSales[[#This Row],[OrderDate]])</f>
        <v>1</v>
      </c>
      <c r="U996" t="str">
        <f>LEFT(tblSales[[#This Row],[ProductName]],20)</f>
        <v xml:space="preserve">Singaporean Hokkien </v>
      </c>
    </row>
    <row r="997" spans="2:21" x14ac:dyDescent="0.2">
      <c r="B997">
        <v>11011</v>
      </c>
      <c r="C997" t="s">
        <v>8310</v>
      </c>
      <c r="D997" t="s">
        <v>8246</v>
      </c>
      <c r="E997" t="s">
        <v>8237</v>
      </c>
      <c r="F997" s="222">
        <v>21.5</v>
      </c>
      <c r="G997">
        <v>20</v>
      </c>
      <c r="H997" s="223">
        <v>0</v>
      </c>
      <c r="I997" s="222">
        <v>430</v>
      </c>
      <c r="J997" t="s">
        <v>8422</v>
      </c>
      <c r="K997" t="s">
        <v>8423</v>
      </c>
      <c r="L997" s="118">
        <v>44109</v>
      </c>
      <c r="M997" s="118">
        <v>44113</v>
      </c>
      <c r="N997" t="s">
        <v>8250</v>
      </c>
      <c r="O997" t="s">
        <v>8257</v>
      </c>
      <c r="P997" t="s">
        <v>6984</v>
      </c>
      <c r="Q997" t="str">
        <f>tblSales[[#This Row],[FirstName]]&amp; " " &amp;tblSales[[#This Row],[LastName]]</f>
        <v>Janet Leverling</v>
      </c>
      <c r="R997">
        <f>YEAR(tblSales[[#This Row],[OrderDate]])</f>
        <v>2020</v>
      </c>
      <c r="S997">
        <f>WEEKNUM(tblSales[[#This Row],[OrderDate]])</f>
        <v>41</v>
      </c>
      <c r="T997">
        <f>IF(ISBLANK(tblSales[[#This Row],[ShippedDate]]),"",tblSales[[#This Row],[ShippedDate]]-tblSales[[#This Row],[OrderDate]])</f>
        <v>4</v>
      </c>
      <c r="U997" t="str">
        <f>LEFT(tblSales[[#This Row],[ProductName]],20)</f>
        <v>Fløtemysost</v>
      </c>
    </row>
    <row r="998" spans="2:21" x14ac:dyDescent="0.2">
      <c r="B998">
        <v>11012</v>
      </c>
      <c r="C998" t="s">
        <v>8327</v>
      </c>
      <c r="D998" t="s">
        <v>8246</v>
      </c>
      <c r="E998" t="s">
        <v>8262</v>
      </c>
      <c r="F998" s="222">
        <v>9.1999999999999993</v>
      </c>
      <c r="G998">
        <v>50</v>
      </c>
      <c r="H998" s="223">
        <v>5.0000000745058101E-2</v>
      </c>
      <c r="I998" s="222">
        <v>437</v>
      </c>
      <c r="J998" t="s">
        <v>8304</v>
      </c>
      <c r="K998" t="s">
        <v>8305</v>
      </c>
      <c r="L998" s="118">
        <v>44109</v>
      </c>
      <c r="M998" s="118">
        <v>44117</v>
      </c>
      <c r="N998" t="s">
        <v>8240</v>
      </c>
      <c r="O998" t="s">
        <v>8285</v>
      </c>
      <c r="P998" t="s">
        <v>2317</v>
      </c>
      <c r="Q998" t="str">
        <f>tblSales[[#This Row],[FirstName]]&amp; " " &amp;tblSales[[#This Row],[LastName]]</f>
        <v>Nancy Davolio</v>
      </c>
      <c r="R998">
        <f>YEAR(tblSales[[#This Row],[OrderDate]])</f>
        <v>2020</v>
      </c>
      <c r="S998">
        <f>WEEKNUM(tblSales[[#This Row],[OrderDate]])</f>
        <v>41</v>
      </c>
      <c r="T998">
        <f>IF(ISBLANK(tblSales[[#This Row],[ShippedDate]]),"",tblSales[[#This Row],[ShippedDate]]-tblSales[[#This Row],[OrderDate]])</f>
        <v>8</v>
      </c>
      <c r="U998" t="str">
        <f>LEFT(tblSales[[#This Row],[ProductName]],20)</f>
        <v>Teatime Chocolate Bi</v>
      </c>
    </row>
    <row r="999" spans="2:21" x14ac:dyDescent="0.2">
      <c r="B999">
        <v>11012</v>
      </c>
      <c r="C999" t="s">
        <v>8310</v>
      </c>
      <c r="D999" t="s">
        <v>8246</v>
      </c>
      <c r="E999" t="s">
        <v>8237</v>
      </c>
      <c r="F999" s="222">
        <v>21.5</v>
      </c>
      <c r="G999">
        <v>60</v>
      </c>
      <c r="H999" s="223">
        <v>5.0000000745058101E-2</v>
      </c>
      <c r="I999" s="222">
        <v>1225.5</v>
      </c>
      <c r="J999" t="s">
        <v>8304</v>
      </c>
      <c r="K999" t="s">
        <v>8305</v>
      </c>
      <c r="L999" s="118">
        <v>44109</v>
      </c>
      <c r="M999" s="118">
        <v>44117</v>
      </c>
      <c r="N999" t="s">
        <v>8240</v>
      </c>
      <c r="O999" t="s">
        <v>8285</v>
      </c>
      <c r="P999" t="s">
        <v>2317</v>
      </c>
      <c r="Q999" t="str">
        <f>tblSales[[#This Row],[FirstName]]&amp; " " &amp;tblSales[[#This Row],[LastName]]</f>
        <v>Nancy Davolio</v>
      </c>
      <c r="R999">
        <f>YEAR(tblSales[[#This Row],[OrderDate]])</f>
        <v>2020</v>
      </c>
      <c r="S999">
        <f>WEEKNUM(tblSales[[#This Row],[OrderDate]])</f>
        <v>41</v>
      </c>
      <c r="T999">
        <f>IF(ISBLANK(tblSales[[#This Row],[ShippedDate]]),"",tblSales[[#This Row],[ShippedDate]]-tblSales[[#This Row],[OrderDate]])</f>
        <v>8</v>
      </c>
      <c r="U999" t="str">
        <f>LEFT(tblSales[[#This Row],[ProductName]],20)</f>
        <v>Fløtemysost</v>
      </c>
    </row>
    <row r="1000" spans="2:21" x14ac:dyDescent="0.2">
      <c r="B1000">
        <v>11012</v>
      </c>
      <c r="C1000" t="s">
        <v>8268</v>
      </c>
      <c r="D1000" t="s">
        <v>8246</v>
      </c>
      <c r="E1000" t="s">
        <v>8237</v>
      </c>
      <c r="F1000" s="222">
        <v>34</v>
      </c>
      <c r="G1000">
        <v>36</v>
      </c>
      <c r="H1000" s="223">
        <v>5.0000000745058101E-2</v>
      </c>
      <c r="I1000" s="222">
        <v>1162.8</v>
      </c>
      <c r="J1000" t="s">
        <v>8304</v>
      </c>
      <c r="K1000" t="s">
        <v>8305</v>
      </c>
      <c r="L1000" s="118">
        <v>44109</v>
      </c>
      <c r="M1000" s="118">
        <v>44117</v>
      </c>
      <c r="N1000" t="s">
        <v>8240</v>
      </c>
      <c r="O1000" t="s">
        <v>8285</v>
      </c>
      <c r="P1000" t="s">
        <v>2317</v>
      </c>
      <c r="Q1000" t="str">
        <f>tblSales[[#This Row],[FirstName]]&amp; " " &amp;tblSales[[#This Row],[LastName]]</f>
        <v>Nancy Davolio</v>
      </c>
      <c r="R1000">
        <f>YEAR(tblSales[[#This Row],[OrderDate]])</f>
        <v>2020</v>
      </c>
      <c r="S1000">
        <f>WEEKNUM(tblSales[[#This Row],[OrderDate]])</f>
        <v>41</v>
      </c>
      <c r="T1000">
        <f>IF(ISBLANK(tblSales[[#This Row],[ShippedDate]]),"",tblSales[[#This Row],[ShippedDate]]-tblSales[[#This Row],[OrderDate]])</f>
        <v>8</v>
      </c>
      <c r="U1000" t="str">
        <f>LEFT(tblSales[[#This Row],[ProductName]],20)</f>
        <v>Camembert Pierrot</v>
      </c>
    </row>
    <row r="1001" spans="2:21" x14ac:dyDescent="0.2">
      <c r="B1001">
        <v>11010</v>
      </c>
      <c r="C1001" t="s">
        <v>8270</v>
      </c>
      <c r="D1001" t="s">
        <v>8311</v>
      </c>
      <c r="E1001" t="s">
        <v>8272</v>
      </c>
      <c r="F1001" s="222">
        <v>4.5</v>
      </c>
      <c r="G1001">
        <v>10</v>
      </c>
      <c r="H1001" s="223">
        <v>0</v>
      </c>
      <c r="I1001" s="222">
        <v>45</v>
      </c>
      <c r="J1001" t="s">
        <v>8335</v>
      </c>
      <c r="K1001" t="s">
        <v>8336</v>
      </c>
      <c r="L1001" s="118">
        <v>44109</v>
      </c>
      <c r="M1001" s="118">
        <v>44121</v>
      </c>
      <c r="N1001" t="s">
        <v>8265</v>
      </c>
      <c r="O1001" t="s">
        <v>8297</v>
      </c>
      <c r="P1001" t="s">
        <v>8298</v>
      </c>
      <c r="Q1001" t="str">
        <f>tblSales[[#This Row],[FirstName]]&amp; " " &amp;tblSales[[#This Row],[LastName]]</f>
        <v>Andrew Fuller</v>
      </c>
      <c r="R1001">
        <f>YEAR(tblSales[[#This Row],[OrderDate]])</f>
        <v>2020</v>
      </c>
      <c r="S1001">
        <f>WEEKNUM(tblSales[[#This Row],[OrderDate]])</f>
        <v>41</v>
      </c>
      <c r="T1001">
        <f>IF(ISBLANK(tblSales[[#This Row],[ShippedDate]]),"",tblSales[[#This Row],[ShippedDate]]-tblSales[[#This Row],[OrderDate]])</f>
        <v>12</v>
      </c>
      <c r="U1001" t="str">
        <f>LEFT(tblSales[[#This Row],[ProductName]],20)</f>
        <v>Guaraná Fantástica</v>
      </c>
    </row>
    <row r="1002" spans="2:21" x14ac:dyDescent="0.2">
      <c r="B1002">
        <v>11010</v>
      </c>
      <c r="C1002" t="s">
        <v>8415</v>
      </c>
      <c r="D1002" t="s">
        <v>8311</v>
      </c>
      <c r="E1002" t="s">
        <v>8247</v>
      </c>
      <c r="F1002" s="222">
        <v>30</v>
      </c>
      <c r="G1002">
        <v>20</v>
      </c>
      <c r="H1002" s="223">
        <v>0</v>
      </c>
      <c r="I1002" s="222">
        <v>600</v>
      </c>
      <c r="J1002" t="s">
        <v>8335</v>
      </c>
      <c r="K1002" t="s">
        <v>8336</v>
      </c>
      <c r="L1002" s="118">
        <v>44109</v>
      </c>
      <c r="M1002" s="118">
        <v>44121</v>
      </c>
      <c r="N1002" t="s">
        <v>8265</v>
      </c>
      <c r="O1002" t="s">
        <v>8297</v>
      </c>
      <c r="P1002" t="s">
        <v>8298</v>
      </c>
      <c r="Q1002" t="str">
        <f>tblSales[[#This Row],[FirstName]]&amp; " " &amp;tblSales[[#This Row],[LastName]]</f>
        <v>Andrew Fuller</v>
      </c>
      <c r="R1002">
        <f>YEAR(tblSales[[#This Row],[OrderDate]])</f>
        <v>2020</v>
      </c>
      <c r="S1002">
        <f>WEEKNUM(tblSales[[#This Row],[OrderDate]])</f>
        <v>41</v>
      </c>
      <c r="T1002">
        <f>IF(ISBLANK(tblSales[[#This Row],[ShippedDate]]),"",tblSales[[#This Row],[ShippedDate]]-tblSales[[#This Row],[OrderDate]])</f>
        <v>12</v>
      </c>
      <c r="U1002" t="str">
        <f>LEFT(tblSales[[#This Row],[ProductName]],20)</f>
        <v xml:space="preserve">Uncle Bob's Organic </v>
      </c>
    </row>
    <row r="1003" spans="2:21" x14ac:dyDescent="0.2">
      <c r="B1003">
        <v>11016</v>
      </c>
      <c r="C1003" t="s">
        <v>8309</v>
      </c>
      <c r="D1003" t="s">
        <v>2434</v>
      </c>
      <c r="E1003" t="s">
        <v>8237</v>
      </c>
      <c r="F1003" s="222">
        <v>12.5</v>
      </c>
      <c r="G1003">
        <v>15</v>
      </c>
      <c r="H1003" s="223">
        <v>0</v>
      </c>
      <c r="I1003" s="222">
        <v>187.5</v>
      </c>
      <c r="J1003" t="s">
        <v>8386</v>
      </c>
      <c r="K1003" t="s">
        <v>8387</v>
      </c>
      <c r="L1003" s="118">
        <v>44110</v>
      </c>
      <c r="M1003" s="118">
        <v>44113</v>
      </c>
      <c r="N1003" t="s">
        <v>8265</v>
      </c>
      <c r="O1003" t="s">
        <v>8279</v>
      </c>
      <c r="P1003" t="s">
        <v>710</v>
      </c>
      <c r="Q1003" t="str">
        <f>tblSales[[#This Row],[FirstName]]&amp; " " &amp;tblSales[[#This Row],[LastName]]</f>
        <v>Anne Dodsworth</v>
      </c>
      <c r="R1003">
        <f>YEAR(tblSales[[#This Row],[OrderDate]])</f>
        <v>2020</v>
      </c>
      <c r="S1003">
        <f>WEEKNUM(tblSales[[#This Row],[OrderDate]])</f>
        <v>41</v>
      </c>
      <c r="T1003">
        <f>IF(ISBLANK(tblSales[[#This Row],[ShippedDate]]),"",tblSales[[#This Row],[ShippedDate]]-tblSales[[#This Row],[OrderDate]])</f>
        <v>3</v>
      </c>
      <c r="U1003" t="str">
        <f>LEFT(tblSales[[#This Row],[ProductName]],20)</f>
        <v>Gorgonzola Telino</v>
      </c>
    </row>
    <row r="1004" spans="2:21" x14ac:dyDescent="0.2">
      <c r="B1004">
        <v>11015</v>
      </c>
      <c r="C1004" t="s">
        <v>8397</v>
      </c>
      <c r="D1004" t="s">
        <v>8403</v>
      </c>
      <c r="E1004" t="s">
        <v>8254</v>
      </c>
      <c r="F1004" s="222">
        <v>13</v>
      </c>
      <c r="G1004">
        <v>18</v>
      </c>
      <c r="H1004" s="223">
        <v>0</v>
      </c>
      <c r="I1004" s="222">
        <v>234</v>
      </c>
      <c r="J1004" t="s">
        <v>8404</v>
      </c>
      <c r="K1004" t="s">
        <v>8405</v>
      </c>
      <c r="L1004" s="118">
        <v>44110</v>
      </c>
      <c r="M1004" s="118">
        <v>44120</v>
      </c>
      <c r="N1004" t="s">
        <v>8265</v>
      </c>
      <c r="O1004" t="s">
        <v>8297</v>
      </c>
      <c r="P1004" t="s">
        <v>8298</v>
      </c>
      <c r="Q1004" t="str">
        <f>tblSales[[#This Row],[FirstName]]&amp; " " &amp;tblSales[[#This Row],[LastName]]</f>
        <v>Andrew Fuller</v>
      </c>
      <c r="R1004">
        <f>YEAR(tblSales[[#This Row],[OrderDate]])</f>
        <v>2020</v>
      </c>
      <c r="S1004">
        <f>WEEKNUM(tblSales[[#This Row],[OrderDate]])</f>
        <v>41</v>
      </c>
      <c r="T1004">
        <f>IF(ISBLANK(tblSales[[#This Row],[ShippedDate]]),"",tblSales[[#This Row],[ShippedDate]]-tblSales[[#This Row],[OrderDate]])</f>
        <v>10</v>
      </c>
      <c r="U1004" t="str">
        <f>LEFT(tblSales[[#This Row],[ProductName]],20)</f>
        <v>Original Frankfurter</v>
      </c>
    </row>
    <row r="1005" spans="2:21" x14ac:dyDescent="0.2">
      <c r="B1005">
        <v>11262</v>
      </c>
      <c r="C1005" t="s">
        <v>8281</v>
      </c>
      <c r="D1005" t="s">
        <v>8236</v>
      </c>
      <c r="E1005" t="s">
        <v>8237</v>
      </c>
      <c r="F1005" s="222">
        <v>55</v>
      </c>
      <c r="G1005">
        <v>12</v>
      </c>
      <c r="H1005" s="223">
        <v>0</v>
      </c>
      <c r="I1005" s="222">
        <v>660</v>
      </c>
      <c r="J1005" t="s">
        <v>8295</v>
      </c>
      <c r="K1005" t="s">
        <v>8296</v>
      </c>
      <c r="L1005" s="118">
        <v>44112</v>
      </c>
      <c r="M1005" s="118">
        <v>44119</v>
      </c>
      <c r="N1005" t="s">
        <v>8240</v>
      </c>
      <c r="O1005" t="s">
        <v>8320</v>
      </c>
      <c r="P1005" t="s">
        <v>8321</v>
      </c>
      <c r="Q1005" t="str">
        <f>tblSales[[#This Row],[FirstName]]&amp; " " &amp;tblSales[[#This Row],[LastName]]</f>
        <v>Laura Callahan</v>
      </c>
      <c r="R1005">
        <f>YEAR(tblSales[[#This Row],[OrderDate]])</f>
        <v>2020</v>
      </c>
      <c r="S1005">
        <f>WEEKNUM(tblSales[[#This Row],[OrderDate]])</f>
        <v>41</v>
      </c>
      <c r="T1005">
        <f>IF(ISBLANK(tblSales[[#This Row],[ShippedDate]]),"",tblSales[[#This Row],[ShippedDate]]-tblSales[[#This Row],[OrderDate]])</f>
        <v>7</v>
      </c>
      <c r="U1005" t="str">
        <f>LEFT(tblSales[[#This Row],[ProductName]],20)</f>
        <v>Raclette Courdavault</v>
      </c>
    </row>
    <row r="1006" spans="2:21" x14ac:dyDescent="0.2">
      <c r="B1006">
        <v>11017</v>
      </c>
      <c r="C1006" t="s">
        <v>8288</v>
      </c>
      <c r="D1006" t="s">
        <v>8282</v>
      </c>
      <c r="E1006" t="s">
        <v>8272</v>
      </c>
      <c r="F1006" s="222">
        <v>15</v>
      </c>
      <c r="G1006">
        <v>30</v>
      </c>
      <c r="H1006" s="223">
        <v>0</v>
      </c>
      <c r="I1006" s="222">
        <v>450</v>
      </c>
      <c r="J1006" t="s">
        <v>8283</v>
      </c>
      <c r="K1006" t="s">
        <v>8284</v>
      </c>
      <c r="L1006" s="118">
        <v>44113</v>
      </c>
      <c r="M1006" s="118">
        <v>44120</v>
      </c>
      <c r="N1006" t="s">
        <v>8265</v>
      </c>
      <c r="O1006" t="s">
        <v>8279</v>
      </c>
      <c r="P1006" t="s">
        <v>710</v>
      </c>
      <c r="Q1006" t="str">
        <f>tblSales[[#This Row],[FirstName]]&amp; " " &amp;tblSales[[#This Row],[LastName]]</f>
        <v>Anne Dodsworth</v>
      </c>
      <c r="R1006">
        <f>YEAR(tblSales[[#This Row],[OrderDate]])</f>
        <v>2020</v>
      </c>
      <c r="S1006">
        <f>WEEKNUM(tblSales[[#This Row],[OrderDate]])</f>
        <v>41</v>
      </c>
      <c r="T1006">
        <f>IF(ISBLANK(tblSales[[#This Row],[ShippedDate]]),"",tblSales[[#This Row],[ShippedDate]]-tblSales[[#This Row],[OrderDate]])</f>
        <v>7</v>
      </c>
      <c r="U1006" t="str">
        <f>LEFT(tblSales[[#This Row],[ProductName]],20)</f>
        <v>Outback Lager</v>
      </c>
    </row>
    <row r="1007" spans="2:21" x14ac:dyDescent="0.2">
      <c r="B1007">
        <v>11017</v>
      </c>
      <c r="C1007" t="s">
        <v>8337</v>
      </c>
      <c r="D1007" t="s">
        <v>8282</v>
      </c>
      <c r="E1007" t="s">
        <v>8254</v>
      </c>
      <c r="F1007" s="222">
        <v>10</v>
      </c>
      <c r="G1007">
        <v>25</v>
      </c>
      <c r="H1007" s="223">
        <v>0</v>
      </c>
      <c r="I1007" s="222">
        <v>250</v>
      </c>
      <c r="J1007" t="s">
        <v>8283</v>
      </c>
      <c r="K1007" t="s">
        <v>8284</v>
      </c>
      <c r="L1007" s="118">
        <v>44113</v>
      </c>
      <c r="M1007" s="118">
        <v>44120</v>
      </c>
      <c r="N1007" t="s">
        <v>8265</v>
      </c>
      <c r="O1007" t="s">
        <v>8279</v>
      </c>
      <c r="P1007" t="s">
        <v>710</v>
      </c>
      <c r="Q1007" t="str">
        <f>tblSales[[#This Row],[FirstName]]&amp; " " &amp;tblSales[[#This Row],[LastName]]</f>
        <v>Anne Dodsworth</v>
      </c>
      <c r="R1007">
        <f>YEAR(tblSales[[#This Row],[OrderDate]])</f>
        <v>2020</v>
      </c>
      <c r="S1007">
        <f>WEEKNUM(tblSales[[#This Row],[OrderDate]])</f>
        <v>41</v>
      </c>
      <c r="T1007">
        <f>IF(ISBLANK(tblSales[[#This Row],[ShippedDate]]),"",tblSales[[#This Row],[ShippedDate]]-tblSales[[#This Row],[OrderDate]])</f>
        <v>7</v>
      </c>
      <c r="U1007" t="str">
        <f>LEFT(tblSales[[#This Row],[ProductName]],20)</f>
        <v>Aniseed Syrup</v>
      </c>
    </row>
    <row r="1008" spans="2:21" x14ac:dyDescent="0.2">
      <c r="B1008">
        <v>11017</v>
      </c>
      <c r="C1008" t="s">
        <v>8281</v>
      </c>
      <c r="D1008" t="s">
        <v>8282</v>
      </c>
      <c r="E1008" t="s">
        <v>8237</v>
      </c>
      <c r="F1008" s="222">
        <v>55</v>
      </c>
      <c r="G1008">
        <v>110</v>
      </c>
      <c r="H1008" s="223">
        <v>0</v>
      </c>
      <c r="I1008" s="222">
        <v>6050</v>
      </c>
      <c r="J1008" t="s">
        <v>8283</v>
      </c>
      <c r="K1008" t="s">
        <v>8284</v>
      </c>
      <c r="L1008" s="118">
        <v>44113</v>
      </c>
      <c r="M1008" s="118">
        <v>44120</v>
      </c>
      <c r="N1008" t="s">
        <v>8265</v>
      </c>
      <c r="O1008" t="s">
        <v>8279</v>
      </c>
      <c r="P1008" t="s">
        <v>710</v>
      </c>
      <c r="Q1008" t="str">
        <f>tblSales[[#This Row],[FirstName]]&amp; " " &amp;tblSales[[#This Row],[LastName]]</f>
        <v>Anne Dodsworth</v>
      </c>
      <c r="R1008">
        <f>YEAR(tblSales[[#This Row],[OrderDate]])</f>
        <v>2020</v>
      </c>
      <c r="S1008">
        <f>WEEKNUM(tblSales[[#This Row],[OrderDate]])</f>
        <v>41</v>
      </c>
      <c r="T1008">
        <f>IF(ISBLANK(tblSales[[#This Row],[ShippedDate]]),"",tblSales[[#This Row],[ShippedDate]]-tblSales[[#This Row],[OrderDate]])</f>
        <v>7</v>
      </c>
      <c r="U1008" t="str">
        <f>LEFT(tblSales[[#This Row],[ProductName]],20)</f>
        <v>Raclette Courdavault</v>
      </c>
    </row>
    <row r="1009" spans="2:21" x14ac:dyDescent="0.2">
      <c r="B1009">
        <v>11021</v>
      </c>
      <c r="C1009" t="s">
        <v>8276</v>
      </c>
      <c r="D1009" t="s">
        <v>8246</v>
      </c>
      <c r="E1009" t="s">
        <v>8272</v>
      </c>
      <c r="F1009" s="222">
        <v>19</v>
      </c>
      <c r="G1009">
        <v>11</v>
      </c>
      <c r="H1009" s="223">
        <v>0.25</v>
      </c>
      <c r="I1009" s="222">
        <v>156.75</v>
      </c>
      <c r="J1009" t="s">
        <v>8307</v>
      </c>
      <c r="K1009" t="s">
        <v>8308</v>
      </c>
      <c r="L1009" s="118">
        <v>44114</v>
      </c>
      <c r="M1009" s="118">
        <v>44121</v>
      </c>
      <c r="N1009" t="s">
        <v>8250</v>
      </c>
      <c r="O1009" t="s">
        <v>8257</v>
      </c>
      <c r="P1009" t="s">
        <v>6984</v>
      </c>
      <c r="Q1009" t="str">
        <f>tblSales[[#This Row],[FirstName]]&amp; " " &amp;tblSales[[#This Row],[LastName]]</f>
        <v>Janet Leverling</v>
      </c>
      <c r="R1009">
        <f>YEAR(tblSales[[#This Row],[OrderDate]])</f>
        <v>2020</v>
      </c>
      <c r="S1009">
        <f>WEEKNUM(tblSales[[#This Row],[OrderDate]])</f>
        <v>41</v>
      </c>
      <c r="T1009">
        <f>IF(ISBLANK(tblSales[[#This Row],[ShippedDate]]),"",tblSales[[#This Row],[ShippedDate]]-tblSales[[#This Row],[OrderDate]])</f>
        <v>7</v>
      </c>
      <c r="U1009" t="str">
        <f>LEFT(tblSales[[#This Row],[ProductName]],20)</f>
        <v>Chang</v>
      </c>
    </row>
    <row r="1010" spans="2:21" x14ac:dyDescent="0.2">
      <c r="B1010">
        <v>11021</v>
      </c>
      <c r="C1010" t="s">
        <v>8372</v>
      </c>
      <c r="D1010" t="s">
        <v>8246</v>
      </c>
      <c r="E1010" t="s">
        <v>8262</v>
      </c>
      <c r="F1010" s="222">
        <v>31.23</v>
      </c>
      <c r="G1010">
        <v>63</v>
      </c>
      <c r="H1010" s="223">
        <v>0</v>
      </c>
      <c r="I1010" s="222">
        <v>1967.49</v>
      </c>
      <c r="J1010" t="s">
        <v>8307</v>
      </c>
      <c r="K1010" t="s">
        <v>8308</v>
      </c>
      <c r="L1010" s="118">
        <v>44114</v>
      </c>
      <c r="M1010" s="118">
        <v>44121</v>
      </c>
      <c r="N1010" t="s">
        <v>8250</v>
      </c>
      <c r="O1010" t="s">
        <v>8257</v>
      </c>
      <c r="P1010" t="s">
        <v>6984</v>
      </c>
      <c r="Q1010" t="str">
        <f>tblSales[[#This Row],[FirstName]]&amp; " " &amp;tblSales[[#This Row],[LastName]]</f>
        <v>Janet Leverling</v>
      </c>
      <c r="R1010">
        <f>YEAR(tblSales[[#This Row],[OrderDate]])</f>
        <v>2020</v>
      </c>
      <c r="S1010">
        <f>WEEKNUM(tblSales[[#This Row],[OrderDate]])</f>
        <v>41</v>
      </c>
      <c r="T1010">
        <f>IF(ISBLANK(tblSales[[#This Row],[ShippedDate]]),"",tblSales[[#This Row],[ShippedDate]]-tblSales[[#This Row],[OrderDate]])</f>
        <v>7</v>
      </c>
      <c r="U1010" t="str">
        <f>LEFT(tblSales[[#This Row],[ProductName]],20)</f>
        <v>Gumbär Gummibärchen</v>
      </c>
    </row>
    <row r="1011" spans="2:21" x14ac:dyDescent="0.2">
      <c r="B1011">
        <v>11021</v>
      </c>
      <c r="C1011" t="s">
        <v>8260</v>
      </c>
      <c r="D1011" t="s">
        <v>8246</v>
      </c>
      <c r="E1011" t="s">
        <v>8262</v>
      </c>
      <c r="F1011" s="222">
        <v>81</v>
      </c>
      <c r="G1011">
        <v>15</v>
      </c>
      <c r="H1011" s="223">
        <v>0</v>
      </c>
      <c r="I1011" s="222">
        <v>1215</v>
      </c>
      <c r="J1011" t="s">
        <v>8307</v>
      </c>
      <c r="K1011" t="s">
        <v>8308</v>
      </c>
      <c r="L1011" s="118">
        <v>44114</v>
      </c>
      <c r="M1011" s="118">
        <v>44121</v>
      </c>
      <c r="N1011" t="s">
        <v>8250</v>
      </c>
      <c r="O1011" t="s">
        <v>8257</v>
      </c>
      <c r="P1011" t="s">
        <v>6984</v>
      </c>
      <c r="Q1011" t="str">
        <f>tblSales[[#This Row],[FirstName]]&amp; " " &amp;tblSales[[#This Row],[LastName]]</f>
        <v>Janet Leverling</v>
      </c>
      <c r="R1011">
        <f>YEAR(tblSales[[#This Row],[OrderDate]])</f>
        <v>2020</v>
      </c>
      <c r="S1011">
        <f>WEEKNUM(tblSales[[#This Row],[OrderDate]])</f>
        <v>41</v>
      </c>
      <c r="T1011">
        <f>IF(ISBLANK(tblSales[[#This Row],[ShippedDate]]),"",tblSales[[#This Row],[ShippedDate]]-tblSales[[#This Row],[OrderDate]])</f>
        <v>7</v>
      </c>
      <c r="U1011" t="str">
        <f>LEFT(tblSales[[#This Row],[ProductName]],20)</f>
        <v>Sir Rodney's Marmala</v>
      </c>
    </row>
    <row r="1012" spans="2:21" x14ac:dyDescent="0.2">
      <c r="B1012">
        <v>11021</v>
      </c>
      <c r="C1012" t="s">
        <v>8235</v>
      </c>
      <c r="D1012" t="s">
        <v>8246</v>
      </c>
      <c r="E1012" t="s">
        <v>8237</v>
      </c>
      <c r="F1012" s="222">
        <v>34.799999999999997</v>
      </c>
      <c r="G1012">
        <v>35</v>
      </c>
      <c r="H1012" s="223">
        <v>0</v>
      </c>
      <c r="I1012" s="222">
        <v>1218</v>
      </c>
      <c r="J1012" t="s">
        <v>8307</v>
      </c>
      <c r="K1012" t="s">
        <v>8308</v>
      </c>
      <c r="L1012" s="118">
        <v>44114</v>
      </c>
      <c r="M1012" s="118">
        <v>44121</v>
      </c>
      <c r="N1012" t="s">
        <v>8250</v>
      </c>
      <c r="O1012" t="s">
        <v>8257</v>
      </c>
      <c r="P1012" t="s">
        <v>6984</v>
      </c>
      <c r="Q1012" t="str">
        <f>tblSales[[#This Row],[FirstName]]&amp; " " &amp;tblSales[[#This Row],[LastName]]</f>
        <v>Janet Leverling</v>
      </c>
      <c r="R1012">
        <f>YEAR(tblSales[[#This Row],[OrderDate]])</f>
        <v>2020</v>
      </c>
      <c r="S1012">
        <f>WEEKNUM(tblSales[[#This Row],[OrderDate]])</f>
        <v>41</v>
      </c>
      <c r="T1012">
        <f>IF(ISBLANK(tblSales[[#This Row],[ShippedDate]]),"",tblSales[[#This Row],[ShippedDate]]-tblSales[[#This Row],[OrderDate]])</f>
        <v>7</v>
      </c>
      <c r="U1012" t="str">
        <f>LEFT(tblSales[[#This Row],[ProductName]],20)</f>
        <v>Mozzarella di Giovan</v>
      </c>
    </row>
    <row r="1013" spans="2:21" x14ac:dyDescent="0.2">
      <c r="B1013">
        <v>11021</v>
      </c>
      <c r="C1013" t="s">
        <v>8245</v>
      </c>
      <c r="D1013" t="s">
        <v>8246</v>
      </c>
      <c r="E1013" t="s">
        <v>8247</v>
      </c>
      <c r="F1013" s="222">
        <v>53</v>
      </c>
      <c r="G1013">
        <v>44</v>
      </c>
      <c r="H1013" s="223">
        <v>0.25</v>
      </c>
      <c r="I1013" s="222">
        <v>1749</v>
      </c>
      <c r="J1013" t="s">
        <v>8307</v>
      </c>
      <c r="K1013" t="s">
        <v>8308</v>
      </c>
      <c r="L1013" s="118">
        <v>44114</v>
      </c>
      <c r="M1013" s="118">
        <v>44121</v>
      </c>
      <c r="N1013" t="s">
        <v>8250</v>
      </c>
      <c r="O1013" t="s">
        <v>8257</v>
      </c>
      <c r="P1013" t="s">
        <v>6984</v>
      </c>
      <c r="Q1013" t="str">
        <f>tblSales[[#This Row],[FirstName]]&amp; " " &amp;tblSales[[#This Row],[LastName]]</f>
        <v>Janet Leverling</v>
      </c>
      <c r="R1013">
        <f>YEAR(tblSales[[#This Row],[OrderDate]])</f>
        <v>2020</v>
      </c>
      <c r="S1013">
        <f>WEEKNUM(tblSales[[#This Row],[OrderDate]])</f>
        <v>41</v>
      </c>
      <c r="T1013">
        <f>IF(ISBLANK(tblSales[[#This Row],[ShippedDate]]),"",tblSales[[#This Row],[ShippedDate]]-tblSales[[#This Row],[OrderDate]])</f>
        <v>7</v>
      </c>
      <c r="U1013" t="str">
        <f>LEFT(tblSales[[#This Row],[ProductName]],20)</f>
        <v>Manjimup Dried Apple</v>
      </c>
    </row>
    <row r="1014" spans="2:21" x14ac:dyDescent="0.2">
      <c r="B1014">
        <v>11023</v>
      </c>
      <c r="C1014" t="s">
        <v>8306</v>
      </c>
      <c r="D1014" t="s">
        <v>2434</v>
      </c>
      <c r="E1014" t="s">
        <v>8272</v>
      </c>
      <c r="F1014" s="222">
        <v>46</v>
      </c>
      <c r="G1014">
        <v>30</v>
      </c>
      <c r="H1014" s="223">
        <v>0</v>
      </c>
      <c r="I1014" s="222">
        <v>1380</v>
      </c>
      <c r="J1014" t="s">
        <v>8338</v>
      </c>
      <c r="K1014" t="s">
        <v>8339</v>
      </c>
      <c r="L1014" s="118">
        <v>44114</v>
      </c>
      <c r="M1014" s="118">
        <v>44124</v>
      </c>
      <c r="N1014" t="s">
        <v>8265</v>
      </c>
      <c r="O1014" t="s">
        <v>8285</v>
      </c>
      <c r="P1014" t="s">
        <v>2317</v>
      </c>
      <c r="Q1014" t="str">
        <f>tblSales[[#This Row],[FirstName]]&amp; " " &amp;tblSales[[#This Row],[LastName]]</f>
        <v>Nancy Davolio</v>
      </c>
      <c r="R1014">
        <f>YEAR(tblSales[[#This Row],[OrderDate]])</f>
        <v>2020</v>
      </c>
      <c r="S1014">
        <f>WEEKNUM(tblSales[[#This Row],[OrderDate]])</f>
        <v>41</v>
      </c>
      <c r="T1014">
        <f>IF(ISBLANK(tblSales[[#This Row],[ShippedDate]]),"",tblSales[[#This Row],[ShippedDate]]-tblSales[[#This Row],[OrderDate]])</f>
        <v>10</v>
      </c>
      <c r="U1014" t="str">
        <f>LEFT(tblSales[[#This Row],[ProductName]],20)</f>
        <v>Ipoh Coffee</v>
      </c>
    </row>
    <row r="1015" spans="2:21" x14ac:dyDescent="0.2">
      <c r="B1015">
        <v>11023</v>
      </c>
      <c r="C1015" t="s">
        <v>8415</v>
      </c>
      <c r="D1015" t="s">
        <v>2434</v>
      </c>
      <c r="E1015" t="s">
        <v>8247</v>
      </c>
      <c r="F1015" s="222">
        <v>30</v>
      </c>
      <c r="G1015">
        <v>4</v>
      </c>
      <c r="H1015" s="223">
        <v>0</v>
      </c>
      <c r="I1015" s="222">
        <v>120</v>
      </c>
      <c r="J1015" t="s">
        <v>8338</v>
      </c>
      <c r="K1015" t="s">
        <v>8339</v>
      </c>
      <c r="L1015" s="118">
        <v>44114</v>
      </c>
      <c r="M1015" s="118">
        <v>44124</v>
      </c>
      <c r="N1015" t="s">
        <v>8265</v>
      </c>
      <c r="O1015" t="s">
        <v>8285</v>
      </c>
      <c r="P1015" t="s">
        <v>2317</v>
      </c>
      <c r="Q1015" t="str">
        <f>tblSales[[#This Row],[FirstName]]&amp; " " &amp;tblSales[[#This Row],[LastName]]</f>
        <v>Nancy Davolio</v>
      </c>
      <c r="R1015">
        <f>YEAR(tblSales[[#This Row],[OrderDate]])</f>
        <v>2020</v>
      </c>
      <c r="S1015">
        <f>WEEKNUM(tblSales[[#This Row],[OrderDate]])</f>
        <v>41</v>
      </c>
      <c r="T1015">
        <f>IF(ISBLANK(tblSales[[#This Row],[ShippedDate]]),"",tblSales[[#This Row],[ShippedDate]]-tblSales[[#This Row],[OrderDate]])</f>
        <v>10</v>
      </c>
      <c r="U1015" t="str">
        <f>LEFT(tblSales[[#This Row],[ProductName]],20)</f>
        <v xml:space="preserve">Uncle Bob's Organic </v>
      </c>
    </row>
    <row r="1016" spans="2:21" x14ac:dyDescent="0.2">
      <c r="B1016">
        <v>11024</v>
      </c>
      <c r="C1016" t="s">
        <v>8253</v>
      </c>
      <c r="D1016" t="s">
        <v>2434</v>
      </c>
      <c r="E1016" t="s">
        <v>8254</v>
      </c>
      <c r="F1016" s="222">
        <v>21.05</v>
      </c>
      <c r="G1016">
        <v>21</v>
      </c>
      <c r="H1016" s="223">
        <v>0</v>
      </c>
      <c r="I1016" s="222">
        <v>442.05</v>
      </c>
      <c r="J1016" t="s">
        <v>8393</v>
      </c>
      <c r="K1016" t="s">
        <v>8394</v>
      </c>
      <c r="L1016" s="118">
        <v>44115</v>
      </c>
      <c r="M1016" s="118">
        <v>44120</v>
      </c>
      <c r="N1016" t="s">
        <v>8250</v>
      </c>
      <c r="O1016" t="s">
        <v>8266</v>
      </c>
      <c r="P1016" t="s">
        <v>8267</v>
      </c>
      <c r="Q1016" t="str">
        <f>tblSales[[#This Row],[FirstName]]&amp; " " &amp;tblSales[[#This Row],[LastName]]</f>
        <v>Margaret Peacock</v>
      </c>
      <c r="R1016">
        <f>YEAR(tblSales[[#This Row],[OrderDate]])</f>
        <v>2020</v>
      </c>
      <c r="S1016">
        <f>WEEKNUM(tblSales[[#This Row],[OrderDate]])</f>
        <v>42</v>
      </c>
      <c r="T1016">
        <f>IF(ISBLANK(tblSales[[#This Row],[ShippedDate]]),"",tblSales[[#This Row],[ShippedDate]]-tblSales[[#This Row],[OrderDate]])</f>
        <v>5</v>
      </c>
      <c r="U1016" t="str">
        <f>LEFT(tblSales[[#This Row],[ProductName]],20)</f>
        <v xml:space="preserve">Louisiana Fiery Hot </v>
      </c>
    </row>
    <row r="1017" spans="2:21" x14ac:dyDescent="0.2">
      <c r="B1017">
        <v>11024</v>
      </c>
      <c r="C1017" t="s">
        <v>8372</v>
      </c>
      <c r="D1017" t="s">
        <v>2434</v>
      </c>
      <c r="E1017" t="s">
        <v>8262</v>
      </c>
      <c r="F1017" s="222">
        <v>31.23</v>
      </c>
      <c r="G1017">
        <v>12</v>
      </c>
      <c r="H1017" s="223">
        <v>0</v>
      </c>
      <c r="I1017" s="222">
        <v>374.76</v>
      </c>
      <c r="J1017" t="s">
        <v>8393</v>
      </c>
      <c r="K1017" t="s">
        <v>8394</v>
      </c>
      <c r="L1017" s="118">
        <v>44115</v>
      </c>
      <c r="M1017" s="118">
        <v>44120</v>
      </c>
      <c r="N1017" t="s">
        <v>8250</v>
      </c>
      <c r="O1017" t="s">
        <v>8266</v>
      </c>
      <c r="P1017" t="s">
        <v>8267</v>
      </c>
      <c r="Q1017" t="str">
        <f>tblSales[[#This Row],[FirstName]]&amp; " " &amp;tblSales[[#This Row],[LastName]]</f>
        <v>Margaret Peacock</v>
      </c>
      <c r="R1017">
        <f>YEAR(tblSales[[#This Row],[OrderDate]])</f>
        <v>2020</v>
      </c>
      <c r="S1017">
        <f>WEEKNUM(tblSales[[#This Row],[OrderDate]])</f>
        <v>42</v>
      </c>
      <c r="T1017">
        <f>IF(ISBLANK(tblSales[[#This Row],[ShippedDate]]),"",tblSales[[#This Row],[ShippedDate]]-tblSales[[#This Row],[OrderDate]])</f>
        <v>5</v>
      </c>
      <c r="U1017" t="str">
        <f>LEFT(tblSales[[#This Row],[ProductName]],20)</f>
        <v>Gumbär Gummibärchen</v>
      </c>
    </row>
    <row r="1018" spans="2:21" x14ac:dyDescent="0.2">
      <c r="B1018">
        <v>11024</v>
      </c>
      <c r="C1018" t="s">
        <v>8310</v>
      </c>
      <c r="D1018" t="s">
        <v>2434</v>
      </c>
      <c r="E1018" t="s">
        <v>8237</v>
      </c>
      <c r="F1018" s="222">
        <v>21.5</v>
      </c>
      <c r="G1018">
        <v>50</v>
      </c>
      <c r="H1018" s="223">
        <v>0</v>
      </c>
      <c r="I1018" s="222">
        <v>1075</v>
      </c>
      <c r="J1018" t="s">
        <v>8393</v>
      </c>
      <c r="K1018" t="s">
        <v>8394</v>
      </c>
      <c r="L1018" s="118">
        <v>44115</v>
      </c>
      <c r="M1018" s="118">
        <v>44120</v>
      </c>
      <c r="N1018" t="s">
        <v>8250</v>
      </c>
      <c r="O1018" t="s">
        <v>8266</v>
      </c>
      <c r="P1018" t="s">
        <v>8267</v>
      </c>
      <c r="Q1018" t="str">
        <f>tblSales[[#This Row],[FirstName]]&amp; " " &amp;tblSales[[#This Row],[LastName]]</f>
        <v>Margaret Peacock</v>
      </c>
      <c r="R1018">
        <f>YEAR(tblSales[[#This Row],[OrderDate]])</f>
        <v>2020</v>
      </c>
      <c r="S1018">
        <f>WEEKNUM(tblSales[[#This Row],[OrderDate]])</f>
        <v>42</v>
      </c>
      <c r="T1018">
        <f>IF(ISBLANK(tblSales[[#This Row],[ShippedDate]]),"",tblSales[[#This Row],[ShippedDate]]-tblSales[[#This Row],[OrderDate]])</f>
        <v>5</v>
      </c>
      <c r="U1018" t="str">
        <f>LEFT(tblSales[[#This Row],[ProductName]],20)</f>
        <v>Fløtemysost</v>
      </c>
    </row>
    <row r="1019" spans="2:21" x14ac:dyDescent="0.2">
      <c r="B1019">
        <v>11024</v>
      </c>
      <c r="C1019" t="s">
        <v>8269</v>
      </c>
      <c r="D1019" t="s">
        <v>2434</v>
      </c>
      <c r="E1019" t="s">
        <v>8237</v>
      </c>
      <c r="F1019" s="222">
        <v>2.5</v>
      </c>
      <c r="G1019">
        <v>30</v>
      </c>
      <c r="H1019" s="223">
        <v>0</v>
      </c>
      <c r="I1019" s="222">
        <v>75</v>
      </c>
      <c r="J1019" t="s">
        <v>8393</v>
      </c>
      <c r="K1019" t="s">
        <v>8394</v>
      </c>
      <c r="L1019" s="118">
        <v>44115</v>
      </c>
      <c r="M1019" s="118">
        <v>44120</v>
      </c>
      <c r="N1019" t="s">
        <v>8250</v>
      </c>
      <c r="O1019" t="s">
        <v>8266</v>
      </c>
      <c r="P1019" t="s">
        <v>8267</v>
      </c>
      <c r="Q1019" t="str">
        <f>tblSales[[#This Row],[FirstName]]&amp; " " &amp;tblSales[[#This Row],[LastName]]</f>
        <v>Margaret Peacock</v>
      </c>
      <c r="R1019">
        <f>YEAR(tblSales[[#This Row],[OrderDate]])</f>
        <v>2020</v>
      </c>
      <c r="S1019">
        <f>WEEKNUM(tblSales[[#This Row],[OrderDate]])</f>
        <v>42</v>
      </c>
      <c r="T1019">
        <f>IF(ISBLANK(tblSales[[#This Row],[ShippedDate]]),"",tblSales[[#This Row],[ShippedDate]]-tblSales[[#This Row],[OrderDate]])</f>
        <v>5</v>
      </c>
      <c r="U1019" t="str">
        <f>LEFT(tblSales[[#This Row],[ProductName]],20)</f>
        <v>Geitost</v>
      </c>
    </row>
    <row r="1020" spans="2:21" x14ac:dyDescent="0.2">
      <c r="B1020">
        <v>11025</v>
      </c>
      <c r="C1020" t="s">
        <v>8333</v>
      </c>
      <c r="D1020" t="s">
        <v>8300</v>
      </c>
      <c r="E1020" t="s">
        <v>8272</v>
      </c>
      <c r="F1020" s="222">
        <v>18</v>
      </c>
      <c r="G1020">
        <v>10</v>
      </c>
      <c r="H1020" s="223">
        <v>0.10000000149011599</v>
      </c>
      <c r="I1020" s="222">
        <v>162</v>
      </c>
      <c r="J1020" t="s">
        <v>8301</v>
      </c>
      <c r="K1020" t="s">
        <v>8302</v>
      </c>
      <c r="L1020" s="118">
        <v>44115</v>
      </c>
      <c r="M1020" s="118">
        <v>44124</v>
      </c>
      <c r="N1020" t="s">
        <v>8240</v>
      </c>
      <c r="O1020" t="s">
        <v>8251</v>
      </c>
      <c r="P1020" t="s">
        <v>269</v>
      </c>
      <c r="Q1020" t="str">
        <f>tblSales[[#This Row],[FirstName]]&amp; " " &amp;tblSales[[#This Row],[LastName]]</f>
        <v>Michael Suyama</v>
      </c>
      <c r="R1020">
        <f>YEAR(tblSales[[#This Row],[OrderDate]])</f>
        <v>2020</v>
      </c>
      <c r="S1020">
        <f>WEEKNUM(tblSales[[#This Row],[OrderDate]])</f>
        <v>42</v>
      </c>
      <c r="T1020">
        <f>IF(ISBLANK(tblSales[[#This Row],[ShippedDate]]),"",tblSales[[#This Row],[ShippedDate]]-tblSales[[#This Row],[OrderDate]])</f>
        <v>9</v>
      </c>
      <c r="U1020" t="str">
        <f>LEFT(tblSales[[#This Row],[ProductName]],20)</f>
        <v>Chai</v>
      </c>
    </row>
    <row r="1021" spans="2:21" x14ac:dyDescent="0.2">
      <c r="B1021">
        <v>11026</v>
      </c>
      <c r="C1021" t="s">
        <v>8245</v>
      </c>
      <c r="D1021" t="s">
        <v>8311</v>
      </c>
      <c r="E1021" t="s">
        <v>8247</v>
      </c>
      <c r="F1021" s="222">
        <v>53</v>
      </c>
      <c r="G1021">
        <v>10</v>
      </c>
      <c r="H1021" s="223">
        <v>0</v>
      </c>
      <c r="I1021" s="222">
        <v>530</v>
      </c>
      <c r="J1021" t="s">
        <v>8411</v>
      </c>
      <c r="K1021" t="s">
        <v>8412</v>
      </c>
      <c r="L1021" s="118">
        <v>44115</v>
      </c>
      <c r="M1021" s="118">
        <v>44128</v>
      </c>
      <c r="N1021" t="s">
        <v>8250</v>
      </c>
      <c r="O1021" t="s">
        <v>8266</v>
      </c>
      <c r="P1021" t="s">
        <v>8267</v>
      </c>
      <c r="Q1021" t="str">
        <f>tblSales[[#This Row],[FirstName]]&amp; " " &amp;tblSales[[#This Row],[LastName]]</f>
        <v>Margaret Peacock</v>
      </c>
      <c r="R1021">
        <f>YEAR(tblSales[[#This Row],[OrderDate]])</f>
        <v>2020</v>
      </c>
      <c r="S1021">
        <f>WEEKNUM(tblSales[[#This Row],[OrderDate]])</f>
        <v>42</v>
      </c>
      <c r="T1021">
        <f>IF(ISBLANK(tblSales[[#This Row],[ShippedDate]]),"",tblSales[[#This Row],[ShippedDate]]-tblSales[[#This Row],[OrderDate]])</f>
        <v>13</v>
      </c>
      <c r="U1021" t="str">
        <f>LEFT(tblSales[[#This Row],[ProductName]],20)</f>
        <v>Manjimup Dried Apple</v>
      </c>
    </row>
    <row r="1022" spans="2:21" x14ac:dyDescent="0.2">
      <c r="B1022">
        <v>11028</v>
      </c>
      <c r="C1022" t="s">
        <v>8281</v>
      </c>
      <c r="D1022" t="s">
        <v>8246</v>
      </c>
      <c r="E1022" t="s">
        <v>8237</v>
      </c>
      <c r="F1022" s="222">
        <v>55</v>
      </c>
      <c r="G1022">
        <v>24</v>
      </c>
      <c r="H1022" s="223">
        <v>0</v>
      </c>
      <c r="I1022" s="222">
        <v>1320</v>
      </c>
      <c r="J1022" t="s">
        <v>8359</v>
      </c>
      <c r="K1022" t="s">
        <v>8360</v>
      </c>
      <c r="L1022" s="118">
        <v>44116</v>
      </c>
      <c r="M1022" s="118">
        <v>44122</v>
      </c>
      <c r="N1022" t="s">
        <v>8250</v>
      </c>
      <c r="O1022" t="s">
        <v>8297</v>
      </c>
      <c r="P1022" t="s">
        <v>8298</v>
      </c>
      <c r="Q1022" t="str">
        <f>tblSales[[#This Row],[FirstName]]&amp; " " &amp;tblSales[[#This Row],[LastName]]</f>
        <v>Andrew Fuller</v>
      </c>
      <c r="R1022">
        <f>YEAR(tblSales[[#This Row],[OrderDate]])</f>
        <v>2020</v>
      </c>
      <c r="S1022">
        <f>WEEKNUM(tblSales[[#This Row],[OrderDate]])</f>
        <v>42</v>
      </c>
      <c r="T1022">
        <f>IF(ISBLANK(tblSales[[#This Row],[ShippedDate]]),"",tblSales[[#This Row],[ShippedDate]]-tblSales[[#This Row],[OrderDate]])</f>
        <v>6</v>
      </c>
      <c r="U1022" t="str">
        <f>LEFT(tblSales[[#This Row],[ProductName]],20)</f>
        <v>Raclette Courdavault</v>
      </c>
    </row>
    <row r="1023" spans="2:21" x14ac:dyDescent="0.2">
      <c r="B1023">
        <v>11029</v>
      </c>
      <c r="C1023" t="s">
        <v>8317</v>
      </c>
      <c r="D1023" t="s">
        <v>8271</v>
      </c>
      <c r="E1023" t="s">
        <v>8254</v>
      </c>
      <c r="F1023" s="222">
        <v>43.9</v>
      </c>
      <c r="G1023">
        <v>12</v>
      </c>
      <c r="H1023" s="223">
        <v>0</v>
      </c>
      <c r="I1023" s="222">
        <v>526.79999999999995</v>
      </c>
      <c r="J1023" t="s">
        <v>8273</v>
      </c>
      <c r="K1023" t="s">
        <v>8274</v>
      </c>
      <c r="L1023" s="118">
        <v>44116</v>
      </c>
      <c r="M1023" s="118">
        <v>44127</v>
      </c>
      <c r="N1023" t="s">
        <v>8250</v>
      </c>
      <c r="O1023" t="s">
        <v>8266</v>
      </c>
      <c r="P1023" t="s">
        <v>8267</v>
      </c>
      <c r="Q1023" t="str">
        <f>tblSales[[#This Row],[FirstName]]&amp; " " &amp;tblSales[[#This Row],[LastName]]</f>
        <v>Margaret Peacock</v>
      </c>
      <c r="R1023">
        <f>YEAR(tblSales[[#This Row],[OrderDate]])</f>
        <v>2020</v>
      </c>
      <c r="S1023">
        <f>WEEKNUM(tblSales[[#This Row],[OrderDate]])</f>
        <v>42</v>
      </c>
      <c r="T1023">
        <f>IF(ISBLANK(tblSales[[#This Row],[ShippedDate]]),"",tblSales[[#This Row],[ShippedDate]]-tblSales[[#This Row],[OrderDate]])</f>
        <v>11</v>
      </c>
      <c r="U1023" t="str">
        <f>LEFT(tblSales[[#This Row],[ProductName]],20)</f>
        <v>Vegie-spread</v>
      </c>
    </row>
    <row r="1024" spans="2:21" x14ac:dyDescent="0.2">
      <c r="B1024">
        <v>11029</v>
      </c>
      <c r="C1024" t="s">
        <v>8341</v>
      </c>
      <c r="D1024" t="s">
        <v>8271</v>
      </c>
      <c r="E1024" t="s">
        <v>8244</v>
      </c>
      <c r="F1024" s="222">
        <v>38</v>
      </c>
      <c r="G1024">
        <v>20</v>
      </c>
      <c r="H1024" s="223">
        <v>0</v>
      </c>
      <c r="I1024" s="222">
        <v>760</v>
      </c>
      <c r="J1024" t="s">
        <v>8273</v>
      </c>
      <c r="K1024" t="s">
        <v>8274</v>
      </c>
      <c r="L1024" s="118">
        <v>44116</v>
      </c>
      <c r="M1024" s="118">
        <v>44127</v>
      </c>
      <c r="N1024" t="s">
        <v>8250</v>
      </c>
      <c r="O1024" t="s">
        <v>8266</v>
      </c>
      <c r="P1024" t="s">
        <v>8267</v>
      </c>
      <c r="Q1024" t="str">
        <f>tblSales[[#This Row],[FirstName]]&amp; " " &amp;tblSales[[#This Row],[LastName]]</f>
        <v>Margaret Peacock</v>
      </c>
      <c r="R1024">
        <f>YEAR(tblSales[[#This Row],[OrderDate]])</f>
        <v>2020</v>
      </c>
      <c r="S1024">
        <f>WEEKNUM(tblSales[[#This Row],[OrderDate]])</f>
        <v>42</v>
      </c>
      <c r="T1024">
        <f>IF(ISBLANK(tblSales[[#This Row],[ShippedDate]]),"",tblSales[[#This Row],[ShippedDate]]-tblSales[[#This Row],[OrderDate]])</f>
        <v>11</v>
      </c>
      <c r="U1024" t="str">
        <f>LEFT(tblSales[[#This Row],[ProductName]],20)</f>
        <v>Gnocchi di nonna Ali</v>
      </c>
    </row>
    <row r="1025" spans="2:21" x14ac:dyDescent="0.2">
      <c r="B1025">
        <v>11033</v>
      </c>
      <c r="C1025" t="s">
        <v>8353</v>
      </c>
      <c r="D1025" t="s">
        <v>8271</v>
      </c>
      <c r="E1025" t="s">
        <v>8237</v>
      </c>
      <c r="F1025" s="222">
        <v>36</v>
      </c>
      <c r="G1025">
        <v>36</v>
      </c>
      <c r="H1025" s="223">
        <v>0.10000000149011599</v>
      </c>
      <c r="I1025" s="222">
        <v>1166.4000000000001</v>
      </c>
      <c r="J1025" t="s">
        <v>8277</v>
      </c>
      <c r="K1025" t="s">
        <v>8278</v>
      </c>
      <c r="L1025" s="118">
        <v>44117</v>
      </c>
      <c r="M1025" s="118">
        <v>44123</v>
      </c>
      <c r="N1025" t="s">
        <v>8240</v>
      </c>
      <c r="O1025" t="s">
        <v>8158</v>
      </c>
      <c r="P1025" t="s">
        <v>861</v>
      </c>
      <c r="Q1025" t="str">
        <f>tblSales[[#This Row],[FirstName]]&amp; " " &amp;tblSales[[#This Row],[LastName]]</f>
        <v>Robert King</v>
      </c>
      <c r="R1025">
        <f>YEAR(tblSales[[#This Row],[OrderDate]])</f>
        <v>2020</v>
      </c>
      <c r="S1025">
        <f>WEEKNUM(tblSales[[#This Row],[OrderDate]])</f>
        <v>42</v>
      </c>
      <c r="T1025">
        <f>IF(ISBLANK(tblSales[[#This Row],[ShippedDate]]),"",tblSales[[#This Row],[ShippedDate]]-tblSales[[#This Row],[OrderDate]])</f>
        <v>6</v>
      </c>
      <c r="U1025" t="str">
        <f>LEFT(tblSales[[#This Row],[ProductName]],20)</f>
        <v>Gudbrandsdalsost</v>
      </c>
    </row>
    <row r="1026" spans="2:21" x14ac:dyDescent="0.2">
      <c r="B1026">
        <v>11036</v>
      </c>
      <c r="C1026" t="s">
        <v>8281</v>
      </c>
      <c r="D1026" t="s">
        <v>8246</v>
      </c>
      <c r="E1026" t="s">
        <v>8237</v>
      </c>
      <c r="F1026" s="222">
        <v>55</v>
      </c>
      <c r="G1026">
        <v>30</v>
      </c>
      <c r="H1026" s="223">
        <v>0</v>
      </c>
      <c r="I1026" s="222">
        <v>1650</v>
      </c>
      <c r="J1026" t="s">
        <v>8391</v>
      </c>
      <c r="K1026" t="s">
        <v>8392</v>
      </c>
      <c r="L1026" s="118">
        <v>44120</v>
      </c>
      <c r="M1026" s="118">
        <v>44122</v>
      </c>
      <c r="N1026" t="s">
        <v>8240</v>
      </c>
      <c r="O1026" t="s">
        <v>8320</v>
      </c>
      <c r="P1026" t="s">
        <v>8321</v>
      </c>
      <c r="Q1026" t="str">
        <f>tblSales[[#This Row],[FirstName]]&amp; " " &amp;tblSales[[#This Row],[LastName]]</f>
        <v>Laura Callahan</v>
      </c>
      <c r="R1026">
        <f>YEAR(tblSales[[#This Row],[OrderDate]])</f>
        <v>2020</v>
      </c>
      <c r="S1026">
        <f>WEEKNUM(tblSales[[#This Row],[OrderDate]])</f>
        <v>42</v>
      </c>
      <c r="T1026">
        <f>IF(ISBLANK(tblSales[[#This Row],[ShippedDate]]),"",tblSales[[#This Row],[ShippedDate]]-tblSales[[#This Row],[OrderDate]])</f>
        <v>2</v>
      </c>
      <c r="U1026" t="str">
        <f>LEFT(tblSales[[#This Row],[ProductName]],20)</f>
        <v>Raclette Courdavault</v>
      </c>
    </row>
    <row r="1027" spans="2:21" x14ac:dyDescent="0.2">
      <c r="B1027">
        <v>11035</v>
      </c>
      <c r="C1027" t="s">
        <v>8323</v>
      </c>
      <c r="D1027" t="s">
        <v>8261</v>
      </c>
      <c r="E1027" t="s">
        <v>8272</v>
      </c>
      <c r="F1027" s="222">
        <v>18</v>
      </c>
      <c r="G1027">
        <v>60</v>
      </c>
      <c r="H1027" s="223">
        <v>0</v>
      </c>
      <c r="I1027" s="222">
        <v>1080</v>
      </c>
      <c r="J1027" t="s">
        <v>8263</v>
      </c>
      <c r="K1027" t="s">
        <v>8264</v>
      </c>
      <c r="L1027" s="118">
        <v>44120</v>
      </c>
      <c r="M1027" s="118">
        <v>44124</v>
      </c>
      <c r="N1027" t="s">
        <v>8265</v>
      </c>
      <c r="O1027" t="s">
        <v>8297</v>
      </c>
      <c r="P1027" t="s">
        <v>8298</v>
      </c>
      <c r="Q1027" t="str">
        <f>tblSales[[#This Row],[FirstName]]&amp; " " &amp;tblSales[[#This Row],[LastName]]</f>
        <v>Andrew Fuller</v>
      </c>
      <c r="R1027">
        <f>YEAR(tblSales[[#This Row],[OrderDate]])</f>
        <v>2020</v>
      </c>
      <c r="S1027">
        <f>WEEKNUM(tblSales[[#This Row],[OrderDate]])</f>
        <v>42</v>
      </c>
      <c r="T1027">
        <f>IF(ISBLANK(tblSales[[#This Row],[ShippedDate]]),"",tblSales[[#This Row],[ShippedDate]]-tblSales[[#This Row],[OrderDate]])</f>
        <v>4</v>
      </c>
      <c r="U1027" t="str">
        <f>LEFT(tblSales[[#This Row],[ProductName]],20)</f>
        <v>Steeleye Stout</v>
      </c>
    </row>
    <row r="1028" spans="2:21" x14ac:dyDescent="0.2">
      <c r="B1028">
        <v>11035</v>
      </c>
      <c r="C1028" t="s">
        <v>8333</v>
      </c>
      <c r="D1028" t="s">
        <v>8261</v>
      </c>
      <c r="E1028" t="s">
        <v>8272</v>
      </c>
      <c r="F1028" s="222">
        <v>18</v>
      </c>
      <c r="G1028">
        <v>10</v>
      </c>
      <c r="H1028" s="223">
        <v>0</v>
      </c>
      <c r="I1028" s="222">
        <v>180</v>
      </c>
      <c r="J1028" t="s">
        <v>8263</v>
      </c>
      <c r="K1028" t="s">
        <v>8264</v>
      </c>
      <c r="L1028" s="118">
        <v>44120</v>
      </c>
      <c r="M1028" s="118">
        <v>44124</v>
      </c>
      <c r="N1028" t="s">
        <v>8265</v>
      </c>
      <c r="O1028" t="s">
        <v>8297</v>
      </c>
      <c r="P1028" t="s">
        <v>8298</v>
      </c>
      <c r="Q1028" t="str">
        <f>tblSales[[#This Row],[FirstName]]&amp; " " &amp;tblSales[[#This Row],[LastName]]</f>
        <v>Andrew Fuller</v>
      </c>
      <c r="R1028">
        <f>YEAR(tblSales[[#This Row],[OrderDate]])</f>
        <v>2020</v>
      </c>
      <c r="S1028">
        <f>WEEKNUM(tblSales[[#This Row],[OrderDate]])</f>
        <v>42</v>
      </c>
      <c r="T1028">
        <f>IF(ISBLANK(tblSales[[#This Row],[ShippedDate]]),"",tblSales[[#This Row],[ShippedDate]]-tblSales[[#This Row],[OrderDate]])</f>
        <v>4</v>
      </c>
      <c r="U1028" t="str">
        <f>LEFT(tblSales[[#This Row],[ProductName]],20)</f>
        <v>Chai</v>
      </c>
    </row>
    <row r="1029" spans="2:21" x14ac:dyDescent="0.2">
      <c r="B1029">
        <v>11035</v>
      </c>
      <c r="C1029" t="s">
        <v>8243</v>
      </c>
      <c r="D1029" t="s">
        <v>8261</v>
      </c>
      <c r="E1029" t="s">
        <v>8244</v>
      </c>
      <c r="F1029" s="222">
        <v>14</v>
      </c>
      <c r="G1029">
        <v>30</v>
      </c>
      <c r="H1029" s="223">
        <v>0</v>
      </c>
      <c r="I1029" s="222">
        <v>420</v>
      </c>
      <c r="J1029" t="s">
        <v>8263</v>
      </c>
      <c r="K1029" t="s">
        <v>8264</v>
      </c>
      <c r="L1029" s="118">
        <v>44120</v>
      </c>
      <c r="M1029" s="118">
        <v>44124</v>
      </c>
      <c r="N1029" t="s">
        <v>8265</v>
      </c>
      <c r="O1029" t="s">
        <v>8297</v>
      </c>
      <c r="P1029" t="s">
        <v>8298</v>
      </c>
      <c r="Q1029" t="str">
        <f>tblSales[[#This Row],[FirstName]]&amp; " " &amp;tblSales[[#This Row],[LastName]]</f>
        <v>Andrew Fuller</v>
      </c>
      <c r="R1029">
        <f>YEAR(tblSales[[#This Row],[OrderDate]])</f>
        <v>2020</v>
      </c>
      <c r="S1029">
        <f>WEEKNUM(tblSales[[#This Row],[OrderDate]])</f>
        <v>42</v>
      </c>
      <c r="T1029">
        <f>IF(ISBLANK(tblSales[[#This Row],[ShippedDate]]),"",tblSales[[#This Row],[ShippedDate]]-tblSales[[#This Row],[OrderDate]])</f>
        <v>4</v>
      </c>
      <c r="U1029" t="str">
        <f>LEFT(tblSales[[#This Row],[ProductName]],20)</f>
        <v xml:space="preserve">Singaporean Hokkien </v>
      </c>
    </row>
    <row r="1030" spans="2:21" x14ac:dyDescent="0.2">
      <c r="B1030">
        <v>11037</v>
      </c>
      <c r="C1030" t="s">
        <v>8288</v>
      </c>
      <c r="D1030" t="s">
        <v>8324</v>
      </c>
      <c r="E1030" t="s">
        <v>8272</v>
      </c>
      <c r="F1030" s="222">
        <v>15</v>
      </c>
      <c r="G1030">
        <v>4</v>
      </c>
      <c r="H1030" s="223">
        <v>0</v>
      </c>
      <c r="I1030" s="222">
        <v>60</v>
      </c>
      <c r="J1030" t="s">
        <v>8349</v>
      </c>
      <c r="K1030" t="s">
        <v>8350</v>
      </c>
      <c r="L1030" s="118">
        <v>44121</v>
      </c>
      <c r="M1030" s="118">
        <v>44127</v>
      </c>
      <c r="N1030" t="s">
        <v>8250</v>
      </c>
      <c r="O1030" t="s">
        <v>8158</v>
      </c>
      <c r="P1030" t="s">
        <v>861</v>
      </c>
      <c r="Q1030" t="str">
        <f>tblSales[[#This Row],[FirstName]]&amp; " " &amp;tblSales[[#This Row],[LastName]]</f>
        <v>Robert King</v>
      </c>
      <c r="R1030">
        <f>YEAR(tblSales[[#This Row],[OrderDate]])</f>
        <v>2020</v>
      </c>
      <c r="S1030">
        <f>WEEKNUM(tblSales[[#This Row],[OrderDate]])</f>
        <v>42</v>
      </c>
      <c r="T1030">
        <f>IF(ISBLANK(tblSales[[#This Row],[ShippedDate]]),"",tblSales[[#This Row],[ShippedDate]]-tblSales[[#This Row],[OrderDate]])</f>
        <v>6</v>
      </c>
      <c r="U1030" t="str">
        <f>LEFT(tblSales[[#This Row],[ProductName]],20)</f>
        <v>Outback Lager</v>
      </c>
    </row>
    <row r="1031" spans="2:21" x14ac:dyDescent="0.2">
      <c r="B1031">
        <v>11038</v>
      </c>
      <c r="C1031" t="s">
        <v>8310</v>
      </c>
      <c r="D1031" t="s">
        <v>8261</v>
      </c>
      <c r="E1031" t="s">
        <v>8237</v>
      </c>
      <c r="F1031" s="222">
        <v>21.5</v>
      </c>
      <c r="G1031">
        <v>30</v>
      </c>
      <c r="H1031" s="223">
        <v>0</v>
      </c>
      <c r="I1031" s="222">
        <v>645</v>
      </c>
      <c r="J1031" t="s">
        <v>8263</v>
      </c>
      <c r="K1031" t="s">
        <v>8264</v>
      </c>
      <c r="L1031" s="118">
        <v>44121</v>
      </c>
      <c r="M1031" s="118">
        <v>44130</v>
      </c>
      <c r="N1031" t="s">
        <v>8265</v>
      </c>
      <c r="O1031" t="s">
        <v>8285</v>
      </c>
      <c r="P1031" t="s">
        <v>2317</v>
      </c>
      <c r="Q1031" t="str">
        <f>tblSales[[#This Row],[FirstName]]&amp; " " &amp;tblSales[[#This Row],[LastName]]</f>
        <v>Nancy Davolio</v>
      </c>
      <c r="R1031">
        <f>YEAR(tblSales[[#This Row],[OrderDate]])</f>
        <v>2020</v>
      </c>
      <c r="S1031">
        <f>WEEKNUM(tblSales[[#This Row],[OrderDate]])</f>
        <v>42</v>
      </c>
      <c r="T1031">
        <f>IF(ISBLANK(tblSales[[#This Row],[ShippedDate]]),"",tblSales[[#This Row],[ShippedDate]]-tblSales[[#This Row],[OrderDate]])</f>
        <v>9</v>
      </c>
      <c r="U1031" t="str">
        <f>LEFT(tblSales[[#This Row],[ProductName]],20)</f>
        <v>Fløtemysost</v>
      </c>
    </row>
    <row r="1032" spans="2:21" x14ac:dyDescent="0.2">
      <c r="B1032">
        <v>11038</v>
      </c>
      <c r="C1032" t="s">
        <v>8369</v>
      </c>
      <c r="D1032" t="s">
        <v>8261</v>
      </c>
      <c r="E1032" t="s">
        <v>8244</v>
      </c>
      <c r="F1032" s="222">
        <v>7</v>
      </c>
      <c r="G1032">
        <v>2</v>
      </c>
      <c r="H1032" s="223">
        <v>0</v>
      </c>
      <c r="I1032" s="222">
        <v>14</v>
      </c>
      <c r="J1032" t="s">
        <v>8263</v>
      </c>
      <c r="K1032" t="s">
        <v>8264</v>
      </c>
      <c r="L1032" s="118">
        <v>44121</v>
      </c>
      <c r="M1032" s="118">
        <v>44130</v>
      </c>
      <c r="N1032" t="s">
        <v>8265</v>
      </c>
      <c r="O1032" t="s">
        <v>8285</v>
      </c>
      <c r="P1032" t="s">
        <v>2317</v>
      </c>
      <c r="Q1032" t="str">
        <f>tblSales[[#This Row],[FirstName]]&amp; " " &amp;tblSales[[#This Row],[LastName]]</f>
        <v>Nancy Davolio</v>
      </c>
      <c r="R1032">
        <f>YEAR(tblSales[[#This Row],[OrderDate]])</f>
        <v>2020</v>
      </c>
      <c r="S1032">
        <f>WEEKNUM(tblSales[[#This Row],[OrderDate]])</f>
        <v>42</v>
      </c>
      <c r="T1032">
        <f>IF(ISBLANK(tblSales[[#This Row],[ShippedDate]]),"",tblSales[[#This Row],[ShippedDate]]-tblSales[[#This Row],[OrderDate]])</f>
        <v>9</v>
      </c>
      <c r="U1032" t="str">
        <f>LEFT(tblSales[[#This Row],[ProductName]],20)</f>
        <v>Filo Mix</v>
      </c>
    </row>
    <row r="1033" spans="2:21" x14ac:dyDescent="0.2">
      <c r="B1033">
        <v>11041</v>
      </c>
      <c r="C1033" t="s">
        <v>8276</v>
      </c>
      <c r="D1033" t="s">
        <v>8271</v>
      </c>
      <c r="E1033" t="s">
        <v>8272</v>
      </c>
      <c r="F1033" s="222">
        <v>19</v>
      </c>
      <c r="G1033">
        <v>30</v>
      </c>
      <c r="H1033" s="223">
        <v>0.20000000298023199</v>
      </c>
      <c r="I1033" s="222">
        <v>456</v>
      </c>
      <c r="J1033" t="s">
        <v>8273</v>
      </c>
      <c r="K1033" t="s">
        <v>8274</v>
      </c>
      <c r="L1033" s="118">
        <v>44122</v>
      </c>
      <c r="M1033" s="118">
        <v>44128</v>
      </c>
      <c r="N1033" t="s">
        <v>8265</v>
      </c>
      <c r="O1033" t="s">
        <v>8257</v>
      </c>
      <c r="P1033" t="s">
        <v>6984</v>
      </c>
      <c r="Q1033" t="str">
        <f>tblSales[[#This Row],[FirstName]]&amp; " " &amp;tblSales[[#This Row],[LastName]]</f>
        <v>Janet Leverling</v>
      </c>
      <c r="R1033">
        <f>YEAR(tblSales[[#This Row],[OrderDate]])</f>
        <v>2020</v>
      </c>
      <c r="S1033">
        <f>WEEKNUM(tblSales[[#This Row],[OrderDate]])</f>
        <v>43</v>
      </c>
      <c r="T1033">
        <f>IF(ISBLANK(tblSales[[#This Row],[ShippedDate]]),"",tblSales[[#This Row],[ShippedDate]]-tblSales[[#This Row],[OrderDate]])</f>
        <v>6</v>
      </c>
      <c r="U1033" t="str">
        <f>LEFT(tblSales[[#This Row],[ProductName]],20)</f>
        <v>Chang</v>
      </c>
    </row>
    <row r="1034" spans="2:21" x14ac:dyDescent="0.2">
      <c r="B1034">
        <v>11041</v>
      </c>
      <c r="C1034" t="s">
        <v>8317</v>
      </c>
      <c r="D1034" t="s">
        <v>8271</v>
      </c>
      <c r="E1034" t="s">
        <v>8254</v>
      </c>
      <c r="F1034" s="222">
        <v>43.9</v>
      </c>
      <c r="G1034">
        <v>30</v>
      </c>
      <c r="H1034" s="223">
        <v>0</v>
      </c>
      <c r="I1034" s="222">
        <v>1317</v>
      </c>
      <c r="J1034" t="s">
        <v>8273</v>
      </c>
      <c r="K1034" t="s">
        <v>8274</v>
      </c>
      <c r="L1034" s="118">
        <v>44122</v>
      </c>
      <c r="M1034" s="118">
        <v>44128</v>
      </c>
      <c r="N1034" t="s">
        <v>8265</v>
      </c>
      <c r="O1034" t="s">
        <v>8257</v>
      </c>
      <c r="P1034" t="s">
        <v>6984</v>
      </c>
      <c r="Q1034" t="str">
        <f>tblSales[[#This Row],[FirstName]]&amp; " " &amp;tblSales[[#This Row],[LastName]]</f>
        <v>Janet Leverling</v>
      </c>
      <c r="R1034">
        <f>YEAR(tblSales[[#This Row],[OrderDate]])</f>
        <v>2020</v>
      </c>
      <c r="S1034">
        <f>WEEKNUM(tblSales[[#This Row],[OrderDate]])</f>
        <v>43</v>
      </c>
      <c r="T1034">
        <f>IF(ISBLANK(tblSales[[#This Row],[ShippedDate]]),"",tblSales[[#This Row],[ShippedDate]]-tblSales[[#This Row],[OrderDate]])</f>
        <v>6</v>
      </c>
      <c r="U1034" t="str">
        <f>LEFT(tblSales[[#This Row],[ProductName]],20)</f>
        <v>Vegie-spread</v>
      </c>
    </row>
    <row r="1035" spans="2:21" x14ac:dyDescent="0.2">
      <c r="B1035">
        <v>11043</v>
      </c>
      <c r="C1035" t="s">
        <v>8242</v>
      </c>
      <c r="D1035" t="s">
        <v>8236</v>
      </c>
      <c r="E1035" t="s">
        <v>8237</v>
      </c>
      <c r="F1035" s="222">
        <v>21</v>
      </c>
      <c r="G1035">
        <v>10</v>
      </c>
      <c r="H1035" s="223">
        <v>0</v>
      </c>
      <c r="I1035" s="222">
        <v>210</v>
      </c>
      <c r="J1035" t="s">
        <v>8428</v>
      </c>
      <c r="K1035" t="s">
        <v>8429</v>
      </c>
      <c r="L1035" s="118">
        <v>44122</v>
      </c>
      <c r="M1035" s="118">
        <v>44129</v>
      </c>
      <c r="N1035" t="s">
        <v>8265</v>
      </c>
      <c r="O1035" t="s">
        <v>8241</v>
      </c>
      <c r="P1035" t="s">
        <v>6934</v>
      </c>
      <c r="Q1035" t="str">
        <f>tblSales[[#This Row],[FirstName]]&amp; " " &amp;tblSales[[#This Row],[LastName]]</f>
        <v>Steven Buchanan</v>
      </c>
      <c r="R1035">
        <f>YEAR(tblSales[[#This Row],[OrderDate]])</f>
        <v>2020</v>
      </c>
      <c r="S1035">
        <f>WEEKNUM(tblSales[[#This Row],[OrderDate]])</f>
        <v>43</v>
      </c>
      <c r="T1035">
        <f>IF(ISBLANK(tblSales[[#This Row],[ShippedDate]]),"",tblSales[[#This Row],[ShippedDate]]-tblSales[[#This Row],[OrderDate]])</f>
        <v>7</v>
      </c>
      <c r="U1035" t="str">
        <f>LEFT(tblSales[[#This Row],[ProductName]],20)</f>
        <v>Queso Cabrales</v>
      </c>
    </row>
    <row r="1036" spans="2:21" x14ac:dyDescent="0.2">
      <c r="B1036">
        <v>11046</v>
      </c>
      <c r="C1036" t="s">
        <v>8323</v>
      </c>
      <c r="D1036" t="s">
        <v>8246</v>
      </c>
      <c r="E1036" t="s">
        <v>8272</v>
      </c>
      <c r="F1036" s="222">
        <v>18</v>
      </c>
      <c r="G1036">
        <v>18</v>
      </c>
      <c r="H1036" s="223">
        <v>5.0000000745058101E-2</v>
      </c>
      <c r="I1036" s="222">
        <v>307.8</v>
      </c>
      <c r="J1036" t="s">
        <v>8346</v>
      </c>
      <c r="K1036" t="s">
        <v>8347</v>
      </c>
      <c r="L1036" s="118">
        <v>44123</v>
      </c>
      <c r="M1036" s="118">
        <v>44124</v>
      </c>
      <c r="N1036" t="s">
        <v>8265</v>
      </c>
      <c r="O1036" t="s">
        <v>8320</v>
      </c>
      <c r="P1036" t="s">
        <v>8321</v>
      </c>
      <c r="Q1036" t="str">
        <f>tblSales[[#This Row],[FirstName]]&amp; " " &amp;tblSales[[#This Row],[LastName]]</f>
        <v>Laura Callahan</v>
      </c>
      <c r="R1036">
        <f>YEAR(tblSales[[#This Row],[OrderDate]])</f>
        <v>2020</v>
      </c>
      <c r="S1036">
        <f>WEEKNUM(tblSales[[#This Row],[OrderDate]])</f>
        <v>43</v>
      </c>
      <c r="T1036">
        <f>IF(ISBLANK(tblSales[[#This Row],[ShippedDate]]),"",tblSales[[#This Row],[ShippedDate]]-tblSales[[#This Row],[OrderDate]])</f>
        <v>1</v>
      </c>
      <c r="U1036" t="str">
        <f>LEFT(tblSales[[#This Row],[ProductName]],20)</f>
        <v>Steeleye Stout</v>
      </c>
    </row>
    <row r="1037" spans="2:21" x14ac:dyDescent="0.2">
      <c r="B1037">
        <v>11046</v>
      </c>
      <c r="C1037" t="s">
        <v>8299</v>
      </c>
      <c r="D1037" t="s">
        <v>8246</v>
      </c>
      <c r="E1037" t="s">
        <v>8237</v>
      </c>
      <c r="F1037" s="222">
        <v>38</v>
      </c>
      <c r="G1037">
        <v>20</v>
      </c>
      <c r="H1037" s="223">
        <v>5.0000000745058101E-2</v>
      </c>
      <c r="I1037" s="222">
        <v>722</v>
      </c>
      <c r="J1037" t="s">
        <v>8346</v>
      </c>
      <c r="K1037" t="s">
        <v>8347</v>
      </c>
      <c r="L1037" s="118">
        <v>44123</v>
      </c>
      <c r="M1037" s="118">
        <v>44124</v>
      </c>
      <c r="N1037" t="s">
        <v>8265</v>
      </c>
      <c r="O1037" t="s">
        <v>8320</v>
      </c>
      <c r="P1037" t="s">
        <v>8321</v>
      </c>
      <c r="Q1037" t="str">
        <f>tblSales[[#This Row],[FirstName]]&amp; " " &amp;tblSales[[#This Row],[LastName]]</f>
        <v>Laura Callahan</v>
      </c>
      <c r="R1037">
        <f>YEAR(tblSales[[#This Row],[OrderDate]])</f>
        <v>2020</v>
      </c>
      <c r="S1037">
        <f>WEEKNUM(tblSales[[#This Row],[OrderDate]])</f>
        <v>43</v>
      </c>
      <c r="T1037">
        <f>IF(ISBLANK(tblSales[[#This Row],[ShippedDate]]),"",tblSales[[#This Row],[ShippedDate]]-tblSales[[#This Row],[OrderDate]])</f>
        <v>1</v>
      </c>
      <c r="U1037" t="str">
        <f>LEFT(tblSales[[#This Row],[ProductName]],20)</f>
        <v>Queso Manchego La Pa</v>
      </c>
    </row>
    <row r="1038" spans="2:21" x14ac:dyDescent="0.2">
      <c r="B1038">
        <v>11046</v>
      </c>
      <c r="C1038" t="s">
        <v>8287</v>
      </c>
      <c r="D1038" t="s">
        <v>8246</v>
      </c>
      <c r="E1038" t="s">
        <v>8237</v>
      </c>
      <c r="F1038" s="222">
        <v>32</v>
      </c>
      <c r="G1038">
        <v>15</v>
      </c>
      <c r="H1038" s="223">
        <v>5.0000000745058101E-2</v>
      </c>
      <c r="I1038" s="222">
        <v>456</v>
      </c>
      <c r="J1038" t="s">
        <v>8346</v>
      </c>
      <c r="K1038" t="s">
        <v>8347</v>
      </c>
      <c r="L1038" s="118">
        <v>44123</v>
      </c>
      <c r="M1038" s="118">
        <v>44124</v>
      </c>
      <c r="N1038" t="s">
        <v>8265</v>
      </c>
      <c r="O1038" t="s">
        <v>8320</v>
      </c>
      <c r="P1038" t="s">
        <v>8321</v>
      </c>
      <c r="Q1038" t="str">
        <f>tblSales[[#This Row],[FirstName]]&amp; " " &amp;tblSales[[#This Row],[LastName]]</f>
        <v>Laura Callahan</v>
      </c>
      <c r="R1038">
        <f>YEAR(tblSales[[#This Row],[OrderDate]])</f>
        <v>2020</v>
      </c>
      <c r="S1038">
        <f>WEEKNUM(tblSales[[#This Row],[OrderDate]])</f>
        <v>43</v>
      </c>
      <c r="T1038">
        <f>IF(ISBLANK(tblSales[[#This Row],[ShippedDate]]),"",tblSales[[#This Row],[ShippedDate]]-tblSales[[#This Row],[OrderDate]])</f>
        <v>1</v>
      </c>
      <c r="U1038" t="str">
        <f>LEFT(tblSales[[#This Row],[ProductName]],20)</f>
        <v>Mascarpone Fabioli</v>
      </c>
    </row>
    <row r="1039" spans="2:21" x14ac:dyDescent="0.2">
      <c r="B1039">
        <v>11044</v>
      </c>
      <c r="C1039" t="s">
        <v>8291</v>
      </c>
      <c r="D1039" t="s">
        <v>8400</v>
      </c>
      <c r="E1039" t="s">
        <v>8262</v>
      </c>
      <c r="F1039" s="222">
        <v>49.3</v>
      </c>
      <c r="G1039">
        <v>12</v>
      </c>
      <c r="H1039" s="223">
        <v>0</v>
      </c>
      <c r="I1039" s="222">
        <v>591.6</v>
      </c>
      <c r="J1039" t="s">
        <v>8401</v>
      </c>
      <c r="K1039" t="s">
        <v>8402</v>
      </c>
      <c r="L1039" s="118">
        <v>44123</v>
      </c>
      <c r="M1039" s="118">
        <v>44131</v>
      </c>
      <c r="N1039" t="s">
        <v>8250</v>
      </c>
      <c r="O1039" t="s">
        <v>8266</v>
      </c>
      <c r="P1039" t="s">
        <v>8267</v>
      </c>
      <c r="Q1039" t="str">
        <f>tblSales[[#This Row],[FirstName]]&amp; " " &amp;tblSales[[#This Row],[LastName]]</f>
        <v>Margaret Peacock</v>
      </c>
      <c r="R1039">
        <f>YEAR(tblSales[[#This Row],[OrderDate]])</f>
        <v>2020</v>
      </c>
      <c r="S1039">
        <f>WEEKNUM(tblSales[[#This Row],[OrderDate]])</f>
        <v>43</v>
      </c>
      <c r="T1039">
        <f>IF(ISBLANK(tblSales[[#This Row],[ShippedDate]]),"",tblSales[[#This Row],[ShippedDate]]-tblSales[[#This Row],[OrderDate]])</f>
        <v>8</v>
      </c>
      <c r="U1039" t="str">
        <f>LEFT(tblSales[[#This Row],[ProductName]],20)</f>
        <v>Tarte au sucre</v>
      </c>
    </row>
    <row r="1040" spans="2:21" x14ac:dyDescent="0.2">
      <c r="B1040">
        <v>11047</v>
      </c>
      <c r="C1040" t="s">
        <v>8333</v>
      </c>
      <c r="D1040" t="s">
        <v>2434</v>
      </c>
      <c r="E1040" t="s">
        <v>8272</v>
      </c>
      <c r="F1040" s="222">
        <v>18</v>
      </c>
      <c r="G1040">
        <v>25</v>
      </c>
      <c r="H1040" s="223">
        <v>0.25</v>
      </c>
      <c r="I1040" s="222">
        <v>337.5</v>
      </c>
      <c r="J1040" t="s">
        <v>8393</v>
      </c>
      <c r="K1040" t="s">
        <v>8394</v>
      </c>
      <c r="L1040" s="118">
        <v>44124</v>
      </c>
      <c r="M1040" s="118">
        <v>44131</v>
      </c>
      <c r="N1040" t="s">
        <v>8240</v>
      </c>
      <c r="O1040" t="s">
        <v>8158</v>
      </c>
      <c r="P1040" t="s">
        <v>861</v>
      </c>
      <c r="Q1040" t="str">
        <f>tblSales[[#This Row],[FirstName]]&amp; " " &amp;tblSales[[#This Row],[LastName]]</f>
        <v>Robert King</v>
      </c>
      <c r="R1040">
        <f>YEAR(tblSales[[#This Row],[OrderDate]])</f>
        <v>2020</v>
      </c>
      <c r="S1040">
        <f>WEEKNUM(tblSales[[#This Row],[OrderDate]])</f>
        <v>43</v>
      </c>
      <c r="T1040">
        <f>IF(ISBLANK(tblSales[[#This Row],[ShippedDate]]),"",tblSales[[#This Row],[ShippedDate]]-tblSales[[#This Row],[OrderDate]])</f>
        <v>7</v>
      </c>
      <c r="U1040" t="str">
        <f>LEFT(tblSales[[#This Row],[ProductName]],20)</f>
        <v>Chai</v>
      </c>
    </row>
    <row r="1041" spans="2:21" x14ac:dyDescent="0.2">
      <c r="B1041">
        <v>11047</v>
      </c>
      <c r="C1041" t="s">
        <v>8286</v>
      </c>
      <c r="D1041" t="s">
        <v>2434</v>
      </c>
      <c r="E1041" t="s">
        <v>8254</v>
      </c>
      <c r="F1041" s="222">
        <v>21.35</v>
      </c>
      <c r="G1041">
        <v>30</v>
      </c>
      <c r="H1041" s="223">
        <v>0.25</v>
      </c>
      <c r="I1041" s="222">
        <v>480.38</v>
      </c>
      <c r="J1041" t="s">
        <v>8393</v>
      </c>
      <c r="K1041" t="s">
        <v>8394</v>
      </c>
      <c r="L1041" s="118">
        <v>44124</v>
      </c>
      <c r="M1041" s="118">
        <v>44131</v>
      </c>
      <c r="N1041" t="s">
        <v>8240</v>
      </c>
      <c r="O1041" t="s">
        <v>8158</v>
      </c>
      <c r="P1041" t="s">
        <v>861</v>
      </c>
      <c r="Q1041" t="str">
        <f>tblSales[[#This Row],[FirstName]]&amp; " " &amp;tblSales[[#This Row],[LastName]]</f>
        <v>Robert King</v>
      </c>
      <c r="R1041">
        <f>YEAR(tblSales[[#This Row],[OrderDate]])</f>
        <v>2020</v>
      </c>
      <c r="S1041">
        <f>WEEKNUM(tblSales[[#This Row],[OrderDate]])</f>
        <v>43</v>
      </c>
      <c r="T1041">
        <f>IF(ISBLANK(tblSales[[#This Row],[ShippedDate]]),"",tblSales[[#This Row],[ShippedDate]]-tblSales[[#This Row],[OrderDate]])</f>
        <v>7</v>
      </c>
      <c r="U1041" t="str">
        <f>LEFT(tblSales[[#This Row],[ProductName]],20)</f>
        <v>Chef Anton's Gumbo M</v>
      </c>
    </row>
    <row r="1042" spans="2:21" x14ac:dyDescent="0.2">
      <c r="B1042">
        <v>11053</v>
      </c>
      <c r="C1042" t="s">
        <v>8287</v>
      </c>
      <c r="D1042" t="s">
        <v>8282</v>
      </c>
      <c r="E1042" t="s">
        <v>8237</v>
      </c>
      <c r="F1042" s="222">
        <v>32</v>
      </c>
      <c r="G1042">
        <v>20</v>
      </c>
      <c r="H1042" s="223">
        <v>0</v>
      </c>
      <c r="I1042" s="222">
        <v>640</v>
      </c>
      <c r="J1042" t="s">
        <v>8384</v>
      </c>
      <c r="K1042" t="s">
        <v>8385</v>
      </c>
      <c r="L1042" s="118">
        <v>44127</v>
      </c>
      <c r="M1042" s="118">
        <v>44129</v>
      </c>
      <c r="N1042" t="s">
        <v>8265</v>
      </c>
      <c r="O1042" t="s">
        <v>8297</v>
      </c>
      <c r="P1042" t="s">
        <v>8298</v>
      </c>
      <c r="Q1042" t="str">
        <f>tblSales[[#This Row],[FirstName]]&amp; " " &amp;tblSales[[#This Row],[LastName]]</f>
        <v>Andrew Fuller</v>
      </c>
      <c r="R1042">
        <f>YEAR(tblSales[[#This Row],[OrderDate]])</f>
        <v>2020</v>
      </c>
      <c r="S1042">
        <f>WEEKNUM(tblSales[[#This Row],[OrderDate]])</f>
        <v>43</v>
      </c>
      <c r="T1042">
        <f>IF(ISBLANK(tblSales[[#This Row],[ShippedDate]]),"",tblSales[[#This Row],[ShippedDate]]-tblSales[[#This Row],[OrderDate]])</f>
        <v>2</v>
      </c>
      <c r="U1042" t="str">
        <f>LEFT(tblSales[[#This Row],[ProductName]],20)</f>
        <v>Mascarpone Fabioli</v>
      </c>
    </row>
    <row r="1043" spans="2:21" x14ac:dyDescent="0.2">
      <c r="B1043">
        <v>11053</v>
      </c>
      <c r="C1043" t="s">
        <v>8340</v>
      </c>
      <c r="D1043" t="s">
        <v>8282</v>
      </c>
      <c r="E1043" t="s">
        <v>8244</v>
      </c>
      <c r="F1043" s="222">
        <v>33.25</v>
      </c>
      <c r="G1043">
        <v>25</v>
      </c>
      <c r="H1043" s="223">
        <v>0.20000000298023199</v>
      </c>
      <c r="I1043" s="222">
        <v>665</v>
      </c>
      <c r="J1043" t="s">
        <v>8384</v>
      </c>
      <c r="K1043" t="s">
        <v>8385</v>
      </c>
      <c r="L1043" s="118">
        <v>44127</v>
      </c>
      <c r="M1043" s="118">
        <v>44129</v>
      </c>
      <c r="N1043" t="s">
        <v>8265</v>
      </c>
      <c r="O1043" t="s">
        <v>8297</v>
      </c>
      <c r="P1043" t="s">
        <v>8298</v>
      </c>
      <c r="Q1043" t="str">
        <f>tblSales[[#This Row],[FirstName]]&amp; " " &amp;tblSales[[#This Row],[LastName]]</f>
        <v>Andrew Fuller</v>
      </c>
      <c r="R1043">
        <f>YEAR(tblSales[[#This Row],[OrderDate]])</f>
        <v>2020</v>
      </c>
      <c r="S1043">
        <f>WEEKNUM(tblSales[[#This Row],[OrderDate]])</f>
        <v>43</v>
      </c>
      <c r="T1043">
        <f>IF(ISBLANK(tblSales[[#This Row],[ShippedDate]]),"",tblSales[[#This Row],[ShippedDate]]-tblSales[[#This Row],[OrderDate]])</f>
        <v>2</v>
      </c>
      <c r="U1043" t="str">
        <f>LEFT(tblSales[[#This Row],[ProductName]],20)</f>
        <v>Wimmers gute Semmelk</v>
      </c>
    </row>
    <row r="1044" spans="2:21" x14ac:dyDescent="0.2">
      <c r="B1044">
        <v>11050</v>
      </c>
      <c r="C1044" t="s">
        <v>8303</v>
      </c>
      <c r="D1044" t="s">
        <v>8292</v>
      </c>
      <c r="E1044" t="s">
        <v>8272</v>
      </c>
      <c r="F1044" s="222">
        <v>18</v>
      </c>
      <c r="G1044">
        <v>50</v>
      </c>
      <c r="H1044" s="223">
        <v>0.10000000149011599</v>
      </c>
      <c r="I1044" s="222">
        <v>810</v>
      </c>
      <c r="J1044" t="s">
        <v>8293</v>
      </c>
      <c r="K1044" t="s">
        <v>8294</v>
      </c>
      <c r="L1044" s="118">
        <v>44127</v>
      </c>
      <c r="M1044" s="118">
        <v>44135</v>
      </c>
      <c r="N1044" t="s">
        <v>8265</v>
      </c>
      <c r="O1044" t="s">
        <v>8320</v>
      </c>
      <c r="P1044" t="s">
        <v>8321</v>
      </c>
      <c r="Q1044" t="str">
        <f>tblSales[[#This Row],[FirstName]]&amp; " " &amp;tblSales[[#This Row],[LastName]]</f>
        <v>Laura Callahan</v>
      </c>
      <c r="R1044">
        <f>YEAR(tblSales[[#This Row],[OrderDate]])</f>
        <v>2020</v>
      </c>
      <c r="S1044">
        <f>WEEKNUM(tblSales[[#This Row],[OrderDate]])</f>
        <v>43</v>
      </c>
      <c r="T1044">
        <f>IF(ISBLANK(tblSales[[#This Row],[ShippedDate]]),"",tblSales[[#This Row],[ShippedDate]]-tblSales[[#This Row],[OrderDate]])</f>
        <v>8</v>
      </c>
      <c r="U1044" t="str">
        <f>LEFT(tblSales[[#This Row],[ProductName]],20)</f>
        <v>Lakkalikööri</v>
      </c>
    </row>
    <row r="1045" spans="2:21" x14ac:dyDescent="0.2">
      <c r="B1045">
        <v>11056</v>
      </c>
      <c r="C1045" t="s">
        <v>8268</v>
      </c>
      <c r="D1045" t="s">
        <v>2434</v>
      </c>
      <c r="E1045" t="s">
        <v>8237</v>
      </c>
      <c r="F1045" s="222">
        <v>34</v>
      </c>
      <c r="G1045">
        <v>50</v>
      </c>
      <c r="H1045" s="223">
        <v>0</v>
      </c>
      <c r="I1045" s="222">
        <v>1700</v>
      </c>
      <c r="J1045" t="s">
        <v>8393</v>
      </c>
      <c r="K1045" t="s">
        <v>8394</v>
      </c>
      <c r="L1045" s="118">
        <v>44128</v>
      </c>
      <c r="M1045" s="118">
        <v>44131</v>
      </c>
      <c r="N1045" t="s">
        <v>8265</v>
      </c>
      <c r="O1045" t="s">
        <v>8320</v>
      </c>
      <c r="P1045" t="s">
        <v>8321</v>
      </c>
      <c r="Q1045" t="str">
        <f>tblSales[[#This Row],[FirstName]]&amp; " " &amp;tblSales[[#This Row],[LastName]]</f>
        <v>Laura Callahan</v>
      </c>
      <c r="R1045">
        <f>YEAR(tblSales[[#This Row],[OrderDate]])</f>
        <v>2020</v>
      </c>
      <c r="S1045">
        <f>WEEKNUM(tblSales[[#This Row],[OrderDate]])</f>
        <v>43</v>
      </c>
      <c r="T1045">
        <f>IF(ISBLANK(tblSales[[#This Row],[ShippedDate]]),"",tblSales[[#This Row],[ShippedDate]]-tblSales[[#This Row],[OrderDate]])</f>
        <v>3</v>
      </c>
      <c r="U1045" t="str">
        <f>LEFT(tblSales[[#This Row],[ProductName]],20)</f>
        <v>Camembert Pierrot</v>
      </c>
    </row>
    <row r="1046" spans="2:21" x14ac:dyDescent="0.2">
      <c r="B1046">
        <v>11056</v>
      </c>
      <c r="C1046" t="s">
        <v>8415</v>
      </c>
      <c r="D1046" t="s">
        <v>2434</v>
      </c>
      <c r="E1046" t="s">
        <v>8247</v>
      </c>
      <c r="F1046" s="222">
        <v>30</v>
      </c>
      <c r="G1046">
        <v>40</v>
      </c>
      <c r="H1046" s="223">
        <v>0</v>
      </c>
      <c r="I1046" s="222">
        <v>1200</v>
      </c>
      <c r="J1046" t="s">
        <v>8393</v>
      </c>
      <c r="K1046" t="s">
        <v>8394</v>
      </c>
      <c r="L1046" s="118">
        <v>44128</v>
      </c>
      <c r="M1046" s="118">
        <v>44131</v>
      </c>
      <c r="N1046" t="s">
        <v>8265</v>
      </c>
      <c r="O1046" t="s">
        <v>8320</v>
      </c>
      <c r="P1046" t="s">
        <v>8321</v>
      </c>
      <c r="Q1046" t="str">
        <f>tblSales[[#This Row],[FirstName]]&amp; " " &amp;tblSales[[#This Row],[LastName]]</f>
        <v>Laura Callahan</v>
      </c>
      <c r="R1046">
        <f>YEAR(tblSales[[#This Row],[OrderDate]])</f>
        <v>2020</v>
      </c>
      <c r="S1046">
        <f>WEEKNUM(tblSales[[#This Row],[OrderDate]])</f>
        <v>43</v>
      </c>
      <c r="T1046">
        <f>IF(ISBLANK(tblSales[[#This Row],[ShippedDate]]),"",tblSales[[#This Row],[ShippedDate]]-tblSales[[#This Row],[OrderDate]])</f>
        <v>3</v>
      </c>
      <c r="U1046" t="str">
        <f>LEFT(tblSales[[#This Row],[ProductName]],20)</f>
        <v xml:space="preserve">Uncle Bob's Organic </v>
      </c>
    </row>
    <row r="1047" spans="2:21" x14ac:dyDescent="0.2">
      <c r="B1047">
        <v>11057</v>
      </c>
      <c r="C1047" t="s">
        <v>8288</v>
      </c>
      <c r="D1047" t="s">
        <v>2434</v>
      </c>
      <c r="E1047" t="s">
        <v>8272</v>
      </c>
      <c r="F1047" s="222">
        <v>15</v>
      </c>
      <c r="G1047">
        <v>3</v>
      </c>
      <c r="H1047" s="223">
        <v>0</v>
      </c>
      <c r="I1047" s="222">
        <v>45</v>
      </c>
      <c r="J1047" t="s">
        <v>8418</v>
      </c>
      <c r="K1047" t="s">
        <v>8419</v>
      </c>
      <c r="L1047" s="118">
        <v>44129</v>
      </c>
      <c r="M1047" s="118">
        <v>44131</v>
      </c>
      <c r="N1047" t="s">
        <v>8240</v>
      </c>
      <c r="O1047" t="s">
        <v>8257</v>
      </c>
      <c r="P1047" t="s">
        <v>6984</v>
      </c>
      <c r="Q1047" t="str">
        <f>tblSales[[#This Row],[FirstName]]&amp; " " &amp;tblSales[[#This Row],[LastName]]</f>
        <v>Janet Leverling</v>
      </c>
      <c r="R1047">
        <f>YEAR(tblSales[[#This Row],[OrderDate]])</f>
        <v>2020</v>
      </c>
      <c r="S1047">
        <f>WEEKNUM(tblSales[[#This Row],[OrderDate]])</f>
        <v>44</v>
      </c>
      <c r="T1047">
        <f>IF(ISBLANK(tblSales[[#This Row],[ShippedDate]]),"",tblSales[[#This Row],[ShippedDate]]-tblSales[[#This Row],[OrderDate]])</f>
        <v>2</v>
      </c>
      <c r="U1047" t="str">
        <f>LEFT(tblSales[[#This Row],[ProductName]],20)</f>
        <v>Outback Lager</v>
      </c>
    </row>
    <row r="1048" spans="2:21" x14ac:dyDescent="0.2">
      <c r="B1048">
        <v>11060</v>
      </c>
      <c r="C1048" t="s">
        <v>8397</v>
      </c>
      <c r="D1048" t="s">
        <v>8311</v>
      </c>
      <c r="E1048" t="s">
        <v>8254</v>
      </c>
      <c r="F1048" s="222">
        <v>13</v>
      </c>
      <c r="G1048">
        <v>10</v>
      </c>
      <c r="H1048" s="223">
        <v>0</v>
      </c>
      <c r="I1048" s="222">
        <v>130</v>
      </c>
      <c r="J1048" t="s">
        <v>8411</v>
      </c>
      <c r="K1048" t="s">
        <v>8412</v>
      </c>
      <c r="L1048" s="118">
        <v>44130</v>
      </c>
      <c r="M1048" s="118">
        <v>44134</v>
      </c>
      <c r="N1048" t="s">
        <v>8265</v>
      </c>
      <c r="O1048" t="s">
        <v>8297</v>
      </c>
      <c r="P1048" t="s">
        <v>8298</v>
      </c>
      <c r="Q1048" t="str">
        <f>tblSales[[#This Row],[FirstName]]&amp; " " &amp;tblSales[[#This Row],[LastName]]</f>
        <v>Andrew Fuller</v>
      </c>
      <c r="R1048">
        <f>YEAR(tblSales[[#This Row],[OrderDate]])</f>
        <v>2020</v>
      </c>
      <c r="S1048">
        <f>WEEKNUM(tblSales[[#This Row],[OrderDate]])</f>
        <v>44</v>
      </c>
      <c r="T1048">
        <f>IF(ISBLANK(tblSales[[#This Row],[ShippedDate]]),"",tblSales[[#This Row],[ShippedDate]]-tblSales[[#This Row],[OrderDate]])</f>
        <v>4</v>
      </c>
      <c r="U1048" t="str">
        <f>LEFT(tblSales[[#This Row],[ProductName]],20)</f>
        <v>Original Frankfurter</v>
      </c>
    </row>
    <row r="1049" spans="2:21" x14ac:dyDescent="0.2">
      <c r="B1049">
        <v>11060</v>
      </c>
      <c r="C1049" t="s">
        <v>8268</v>
      </c>
      <c r="D1049" t="s">
        <v>8311</v>
      </c>
      <c r="E1049" t="s">
        <v>8237</v>
      </c>
      <c r="F1049" s="222">
        <v>34</v>
      </c>
      <c r="G1049">
        <v>4</v>
      </c>
      <c r="H1049" s="223">
        <v>0</v>
      </c>
      <c r="I1049" s="222">
        <v>136</v>
      </c>
      <c r="J1049" t="s">
        <v>8411</v>
      </c>
      <c r="K1049" t="s">
        <v>8412</v>
      </c>
      <c r="L1049" s="118">
        <v>44130</v>
      </c>
      <c r="M1049" s="118">
        <v>44134</v>
      </c>
      <c r="N1049" t="s">
        <v>8265</v>
      </c>
      <c r="O1049" t="s">
        <v>8297</v>
      </c>
      <c r="P1049" t="s">
        <v>8298</v>
      </c>
      <c r="Q1049" t="str">
        <f>tblSales[[#This Row],[FirstName]]&amp; " " &amp;tblSales[[#This Row],[LastName]]</f>
        <v>Andrew Fuller</v>
      </c>
      <c r="R1049">
        <f>YEAR(tblSales[[#This Row],[OrderDate]])</f>
        <v>2020</v>
      </c>
      <c r="S1049">
        <f>WEEKNUM(tblSales[[#This Row],[OrderDate]])</f>
        <v>44</v>
      </c>
      <c r="T1049">
        <f>IF(ISBLANK(tblSales[[#This Row],[ShippedDate]]),"",tblSales[[#This Row],[ShippedDate]]-tblSales[[#This Row],[OrderDate]])</f>
        <v>4</v>
      </c>
      <c r="U1049" t="str">
        <f>LEFT(tblSales[[#This Row],[ProductName]],20)</f>
        <v>Camembert Pierrot</v>
      </c>
    </row>
    <row r="1050" spans="2:21" x14ac:dyDescent="0.2">
      <c r="B1050">
        <v>11063</v>
      </c>
      <c r="C1050" t="s">
        <v>8358</v>
      </c>
      <c r="D1050" t="s">
        <v>8343</v>
      </c>
      <c r="E1050" t="s">
        <v>8272</v>
      </c>
      <c r="F1050" s="222">
        <v>14</v>
      </c>
      <c r="G1050">
        <v>30</v>
      </c>
      <c r="H1050" s="223">
        <v>0</v>
      </c>
      <c r="I1050" s="222">
        <v>420</v>
      </c>
      <c r="J1050" t="s">
        <v>8344</v>
      </c>
      <c r="K1050" t="s">
        <v>8345</v>
      </c>
      <c r="L1050" s="118">
        <v>44130</v>
      </c>
      <c r="M1050" s="118">
        <v>44136</v>
      </c>
      <c r="N1050" t="s">
        <v>8265</v>
      </c>
      <c r="O1050" t="s">
        <v>8257</v>
      </c>
      <c r="P1050" t="s">
        <v>6984</v>
      </c>
      <c r="Q1050" t="str">
        <f>tblSales[[#This Row],[FirstName]]&amp; " " &amp;tblSales[[#This Row],[LastName]]</f>
        <v>Janet Leverling</v>
      </c>
      <c r="R1050">
        <f>YEAR(tblSales[[#This Row],[OrderDate]])</f>
        <v>2020</v>
      </c>
      <c r="S1050">
        <f>WEEKNUM(tblSales[[#This Row],[OrderDate]])</f>
        <v>44</v>
      </c>
      <c r="T1050">
        <f>IF(ISBLANK(tblSales[[#This Row],[ShippedDate]]),"",tblSales[[#This Row],[ShippedDate]]-tblSales[[#This Row],[OrderDate]])</f>
        <v>6</v>
      </c>
      <c r="U1050" t="str">
        <f>LEFT(tblSales[[#This Row],[ProductName]],20)</f>
        <v>Sasquatch Ale</v>
      </c>
    </row>
    <row r="1051" spans="2:21" x14ac:dyDescent="0.2">
      <c r="B1051">
        <v>11062</v>
      </c>
      <c r="C1051" t="s">
        <v>8288</v>
      </c>
      <c r="D1051" t="s">
        <v>8311</v>
      </c>
      <c r="E1051" t="s">
        <v>8272</v>
      </c>
      <c r="F1051" s="222">
        <v>15</v>
      </c>
      <c r="G1051">
        <v>12</v>
      </c>
      <c r="H1051" s="223">
        <v>0.20000000298023199</v>
      </c>
      <c r="I1051" s="222">
        <v>144</v>
      </c>
      <c r="J1051" t="s">
        <v>8335</v>
      </c>
      <c r="K1051" t="s">
        <v>8336</v>
      </c>
      <c r="L1051" s="118">
        <v>44130</v>
      </c>
      <c r="M1051" s="118">
        <v>44134</v>
      </c>
      <c r="N1051" t="s">
        <v>8265</v>
      </c>
      <c r="O1051" t="s">
        <v>8266</v>
      </c>
      <c r="P1051" t="s">
        <v>8267</v>
      </c>
      <c r="Q1051" t="str">
        <f>tblSales[[#This Row],[FirstName]]&amp; " " &amp;tblSales[[#This Row],[LastName]]</f>
        <v>Margaret Peacock</v>
      </c>
      <c r="R1051">
        <f>YEAR(tblSales[[#This Row],[OrderDate]])</f>
        <v>2020</v>
      </c>
      <c r="S1051">
        <f>WEEKNUM(tblSales[[#This Row],[OrderDate]])</f>
        <v>44</v>
      </c>
      <c r="T1051">
        <f>IF(ISBLANK(tblSales[[#This Row],[ShippedDate]]),"",tblSales[[#This Row],[ShippedDate]]-tblSales[[#This Row],[OrderDate]])</f>
        <v>4</v>
      </c>
      <c r="U1051" t="str">
        <f>LEFT(tblSales[[#This Row],[ProductName]],20)</f>
        <v>Outback Lager</v>
      </c>
    </row>
    <row r="1052" spans="2:21" x14ac:dyDescent="0.2">
      <c r="B1052">
        <v>11280</v>
      </c>
      <c r="C1052" t="s">
        <v>8288</v>
      </c>
      <c r="D1052" t="s">
        <v>2434</v>
      </c>
      <c r="E1052" t="s">
        <v>8272</v>
      </c>
      <c r="F1052" s="222">
        <v>15</v>
      </c>
      <c r="G1052">
        <v>28</v>
      </c>
      <c r="H1052" s="223">
        <v>0.15000000596046401</v>
      </c>
      <c r="I1052" s="222">
        <v>357</v>
      </c>
      <c r="J1052" t="s">
        <v>8386</v>
      </c>
      <c r="K1052" t="s">
        <v>8387</v>
      </c>
      <c r="L1052" s="118">
        <v>44135</v>
      </c>
      <c r="M1052" s="118">
        <v>44142</v>
      </c>
      <c r="N1052" t="s">
        <v>8240</v>
      </c>
      <c r="O1052" t="s">
        <v>8266</v>
      </c>
      <c r="P1052" t="s">
        <v>8267</v>
      </c>
      <c r="Q1052" t="str">
        <f>tblSales[[#This Row],[FirstName]]&amp; " " &amp;tblSales[[#This Row],[LastName]]</f>
        <v>Margaret Peacock</v>
      </c>
      <c r="R1052">
        <f>YEAR(tblSales[[#This Row],[OrderDate]])</f>
        <v>2020</v>
      </c>
      <c r="S1052">
        <f>WEEKNUM(tblSales[[#This Row],[OrderDate]])</f>
        <v>44</v>
      </c>
      <c r="T1052">
        <f>IF(ISBLANK(tblSales[[#This Row],[ShippedDate]]),"",tblSales[[#This Row],[ShippedDate]]-tblSales[[#This Row],[OrderDate]])</f>
        <v>7</v>
      </c>
      <c r="U1052" t="str">
        <f>LEFT(tblSales[[#This Row],[ProductName]],20)</f>
        <v>Outback Lager</v>
      </c>
    </row>
    <row r="1053" spans="2:21" x14ac:dyDescent="0.2">
      <c r="B1053">
        <v>11280</v>
      </c>
      <c r="C1053" t="s">
        <v>8258</v>
      </c>
      <c r="D1053" t="s">
        <v>2434</v>
      </c>
      <c r="E1053" t="s">
        <v>8244</v>
      </c>
      <c r="F1053" s="222">
        <v>19.5</v>
      </c>
      <c r="G1053">
        <v>40</v>
      </c>
      <c r="H1053" s="223">
        <v>0</v>
      </c>
      <c r="I1053" s="222">
        <v>780</v>
      </c>
      <c r="J1053" t="s">
        <v>8386</v>
      </c>
      <c r="K1053" t="s">
        <v>8387</v>
      </c>
      <c r="L1053" s="118">
        <v>44135</v>
      </c>
      <c r="M1053" s="118">
        <v>44142</v>
      </c>
      <c r="N1053" t="s">
        <v>8240</v>
      </c>
      <c r="O1053" t="s">
        <v>8266</v>
      </c>
      <c r="P1053" t="s">
        <v>8267</v>
      </c>
      <c r="Q1053" t="str">
        <f>tblSales[[#This Row],[FirstName]]&amp; " " &amp;tblSales[[#This Row],[LastName]]</f>
        <v>Margaret Peacock</v>
      </c>
      <c r="R1053">
        <f>YEAR(tblSales[[#This Row],[OrderDate]])</f>
        <v>2020</v>
      </c>
      <c r="S1053">
        <f>WEEKNUM(tblSales[[#This Row],[OrderDate]])</f>
        <v>44</v>
      </c>
      <c r="T1053">
        <f>IF(ISBLANK(tblSales[[#This Row],[ShippedDate]]),"",tblSales[[#This Row],[ShippedDate]]-tblSales[[#This Row],[OrderDate]])</f>
        <v>7</v>
      </c>
      <c r="U1053" t="str">
        <f>LEFT(tblSales[[#This Row],[ProductName]],20)</f>
        <v>Ravioli Angelo</v>
      </c>
    </row>
    <row r="1054" spans="2:21" x14ac:dyDescent="0.2">
      <c r="B1054">
        <v>11292</v>
      </c>
      <c r="C1054" t="s">
        <v>8310</v>
      </c>
      <c r="D1054" t="s">
        <v>8236</v>
      </c>
      <c r="E1054" t="s">
        <v>8237</v>
      </c>
      <c r="F1054" s="222">
        <v>21.5</v>
      </c>
      <c r="G1054">
        <v>30</v>
      </c>
      <c r="H1054" s="223">
        <v>0</v>
      </c>
      <c r="I1054" s="222">
        <v>645</v>
      </c>
      <c r="J1054" t="s">
        <v>8377</v>
      </c>
      <c r="K1054" t="s">
        <v>8378</v>
      </c>
      <c r="L1054" s="118">
        <v>44142</v>
      </c>
      <c r="M1054" s="118">
        <v>44148</v>
      </c>
      <c r="N1054" t="s">
        <v>8250</v>
      </c>
      <c r="O1054" t="s">
        <v>8257</v>
      </c>
      <c r="P1054" t="s">
        <v>6984</v>
      </c>
      <c r="Q1054" t="str">
        <f>tblSales[[#This Row],[FirstName]]&amp; " " &amp;tblSales[[#This Row],[LastName]]</f>
        <v>Janet Leverling</v>
      </c>
      <c r="R1054">
        <f>YEAR(tblSales[[#This Row],[OrderDate]])</f>
        <v>2020</v>
      </c>
      <c r="S1054">
        <f>WEEKNUM(tblSales[[#This Row],[OrderDate]])</f>
        <v>45</v>
      </c>
      <c r="T1054">
        <f>IF(ISBLANK(tblSales[[#This Row],[ShippedDate]]),"",tblSales[[#This Row],[ShippedDate]]-tblSales[[#This Row],[OrderDate]])</f>
        <v>6</v>
      </c>
      <c r="U1054" t="str">
        <f>LEFT(tblSales[[#This Row],[ProductName]],20)</f>
        <v>Fløtemysost</v>
      </c>
    </row>
    <row r="1055" spans="2:21" x14ac:dyDescent="0.2">
      <c r="B1055">
        <v>11301</v>
      </c>
      <c r="C1055" t="s">
        <v>8253</v>
      </c>
      <c r="D1055" t="s">
        <v>8236</v>
      </c>
      <c r="E1055" t="s">
        <v>8254</v>
      </c>
      <c r="F1055" s="222">
        <v>21.05</v>
      </c>
      <c r="G1055">
        <v>10</v>
      </c>
      <c r="H1055" s="223">
        <v>5.0000000745058101E-2</v>
      </c>
      <c r="I1055" s="222">
        <v>199.97</v>
      </c>
      <c r="J1055" t="s">
        <v>8377</v>
      </c>
      <c r="K1055" t="s">
        <v>8378</v>
      </c>
      <c r="L1055" s="118">
        <v>44155</v>
      </c>
      <c r="M1055" s="118">
        <v>44164</v>
      </c>
      <c r="N1055" t="s">
        <v>8250</v>
      </c>
      <c r="O1055" t="s">
        <v>8241</v>
      </c>
      <c r="P1055" t="s">
        <v>6934</v>
      </c>
      <c r="Q1055" t="str">
        <f>tblSales[[#This Row],[FirstName]]&amp; " " &amp;tblSales[[#This Row],[LastName]]</f>
        <v>Steven Buchanan</v>
      </c>
      <c r="R1055">
        <f>YEAR(tblSales[[#This Row],[OrderDate]])</f>
        <v>2020</v>
      </c>
      <c r="S1055">
        <f>WEEKNUM(tblSales[[#This Row],[OrderDate]])</f>
        <v>47</v>
      </c>
      <c r="T1055">
        <f>IF(ISBLANK(tblSales[[#This Row],[ShippedDate]]),"",tblSales[[#This Row],[ShippedDate]]-tblSales[[#This Row],[OrderDate]])</f>
        <v>9</v>
      </c>
      <c r="U1055" t="str">
        <f>LEFT(tblSales[[#This Row],[ProductName]],20)</f>
        <v xml:space="preserve">Louisiana Fiery Hot </v>
      </c>
    </row>
    <row r="1056" spans="2:21" x14ac:dyDescent="0.2">
      <c r="B1056">
        <v>11301</v>
      </c>
      <c r="C1056" t="s">
        <v>8280</v>
      </c>
      <c r="D1056" t="s">
        <v>8236</v>
      </c>
      <c r="E1056" t="s">
        <v>8262</v>
      </c>
      <c r="F1056" s="222">
        <v>17.45</v>
      </c>
      <c r="G1056">
        <v>15</v>
      </c>
      <c r="H1056" s="223">
        <v>5.0000000745058101E-2</v>
      </c>
      <c r="I1056" s="222">
        <v>248.66</v>
      </c>
      <c r="J1056" t="s">
        <v>8377</v>
      </c>
      <c r="K1056" t="s">
        <v>8378</v>
      </c>
      <c r="L1056" s="118">
        <v>44155</v>
      </c>
      <c r="M1056" s="118">
        <v>44164</v>
      </c>
      <c r="N1056" t="s">
        <v>8250</v>
      </c>
      <c r="O1056" t="s">
        <v>8241</v>
      </c>
      <c r="P1056" t="s">
        <v>6934</v>
      </c>
      <c r="Q1056" t="str">
        <f>tblSales[[#This Row],[FirstName]]&amp; " " &amp;tblSales[[#This Row],[LastName]]</f>
        <v>Steven Buchanan</v>
      </c>
      <c r="R1056">
        <f>YEAR(tblSales[[#This Row],[OrderDate]])</f>
        <v>2020</v>
      </c>
      <c r="S1056">
        <f>WEEKNUM(tblSales[[#This Row],[OrderDate]])</f>
        <v>47</v>
      </c>
      <c r="T1056">
        <f>IF(ISBLANK(tblSales[[#This Row],[ShippedDate]]),"",tblSales[[#This Row],[ShippedDate]]-tblSales[[#This Row],[OrderDate]])</f>
        <v>9</v>
      </c>
      <c r="U1056" t="str">
        <f>LEFT(tblSales[[#This Row],[ProductName]],20)</f>
        <v>Pavlova</v>
      </c>
    </row>
    <row r="1057" spans="2:21" x14ac:dyDescent="0.2">
      <c r="B1057">
        <v>11301</v>
      </c>
      <c r="C1057" t="s">
        <v>8309</v>
      </c>
      <c r="D1057" t="s">
        <v>8236</v>
      </c>
      <c r="E1057" t="s">
        <v>8237</v>
      </c>
      <c r="F1057" s="222">
        <v>12.5</v>
      </c>
      <c r="G1057">
        <v>3</v>
      </c>
      <c r="H1057" s="223">
        <v>5.0000000745058101E-2</v>
      </c>
      <c r="I1057" s="222">
        <v>35.619999999999997</v>
      </c>
      <c r="J1057" t="s">
        <v>8377</v>
      </c>
      <c r="K1057" t="s">
        <v>8378</v>
      </c>
      <c r="L1057" s="118">
        <v>44155</v>
      </c>
      <c r="M1057" s="118">
        <v>44164</v>
      </c>
      <c r="N1057" t="s">
        <v>8250</v>
      </c>
      <c r="O1057" t="s">
        <v>8241</v>
      </c>
      <c r="P1057" t="s">
        <v>6934</v>
      </c>
      <c r="Q1057" t="str">
        <f>tblSales[[#This Row],[FirstName]]&amp; " " &amp;tblSales[[#This Row],[LastName]]</f>
        <v>Steven Buchanan</v>
      </c>
      <c r="R1057">
        <f>YEAR(tblSales[[#This Row],[OrderDate]])</f>
        <v>2020</v>
      </c>
      <c r="S1057">
        <f>WEEKNUM(tblSales[[#This Row],[OrderDate]])</f>
        <v>47</v>
      </c>
      <c r="T1057">
        <f>IF(ISBLANK(tblSales[[#This Row],[ShippedDate]]),"",tblSales[[#This Row],[ShippedDate]]-tblSales[[#This Row],[OrderDate]])</f>
        <v>9</v>
      </c>
      <c r="U1057" t="str">
        <f>LEFT(tblSales[[#This Row],[ProductName]],20)</f>
        <v>Gorgonzola Telino</v>
      </c>
    </row>
    <row r="1058" spans="2:21" x14ac:dyDescent="0.2">
      <c r="B1058">
        <v>11301</v>
      </c>
      <c r="C1058" t="s">
        <v>8303</v>
      </c>
      <c r="D1058" t="s">
        <v>8236</v>
      </c>
      <c r="E1058" t="s">
        <v>8272</v>
      </c>
      <c r="F1058" s="222">
        <v>18</v>
      </c>
      <c r="G1058">
        <v>20</v>
      </c>
      <c r="H1058" s="223">
        <v>0</v>
      </c>
      <c r="I1058" s="222">
        <v>360</v>
      </c>
      <c r="J1058" t="s">
        <v>8377</v>
      </c>
      <c r="K1058" t="s">
        <v>8378</v>
      </c>
      <c r="L1058" s="118">
        <v>44156</v>
      </c>
      <c r="M1058" s="118">
        <v>44157</v>
      </c>
      <c r="N1058" t="s">
        <v>8250</v>
      </c>
      <c r="O1058" t="s">
        <v>8257</v>
      </c>
      <c r="P1058" t="s">
        <v>6984</v>
      </c>
      <c r="Q1058" t="str">
        <f>tblSales[[#This Row],[FirstName]]&amp; " " &amp;tblSales[[#This Row],[LastName]]</f>
        <v>Janet Leverling</v>
      </c>
      <c r="R1058">
        <f>YEAR(tblSales[[#This Row],[OrderDate]])</f>
        <v>2020</v>
      </c>
      <c r="S1058">
        <f>WEEKNUM(tblSales[[#This Row],[OrderDate]])</f>
        <v>47</v>
      </c>
      <c r="T1058">
        <f>IF(ISBLANK(tblSales[[#This Row],[ShippedDate]]),"",tblSales[[#This Row],[ShippedDate]]-tblSales[[#This Row],[OrderDate]])</f>
        <v>1</v>
      </c>
      <c r="U1058" t="str">
        <f>LEFT(tblSales[[#This Row],[ProductName]],20)</f>
        <v>Lakkalikööri</v>
      </c>
    </row>
    <row r="1059" spans="2:21" x14ac:dyDescent="0.2">
      <c r="B1059">
        <v>11309</v>
      </c>
      <c r="C1059" t="s">
        <v>8280</v>
      </c>
      <c r="D1059" t="s">
        <v>8236</v>
      </c>
      <c r="E1059" t="s">
        <v>8262</v>
      </c>
      <c r="F1059" s="222">
        <v>17.45</v>
      </c>
      <c r="G1059">
        <v>3</v>
      </c>
      <c r="H1059" s="223">
        <v>0</v>
      </c>
      <c r="I1059" s="222">
        <v>52.35</v>
      </c>
      <c r="J1059" t="s">
        <v>8428</v>
      </c>
      <c r="K1059" t="s">
        <v>8429</v>
      </c>
      <c r="L1059" s="118">
        <v>44162</v>
      </c>
      <c r="M1059" s="118">
        <v>44168</v>
      </c>
      <c r="N1059" t="s">
        <v>8250</v>
      </c>
      <c r="O1059" t="s">
        <v>8297</v>
      </c>
      <c r="P1059" t="s">
        <v>8298</v>
      </c>
      <c r="Q1059" t="str">
        <f>tblSales[[#This Row],[FirstName]]&amp; " " &amp;tblSales[[#This Row],[LastName]]</f>
        <v>Andrew Fuller</v>
      </c>
      <c r="R1059">
        <f>YEAR(tblSales[[#This Row],[OrderDate]])</f>
        <v>2020</v>
      </c>
      <c r="S1059">
        <f>WEEKNUM(tblSales[[#This Row],[OrderDate]])</f>
        <v>48</v>
      </c>
      <c r="T1059">
        <f>IF(ISBLANK(tblSales[[#This Row],[ShippedDate]]),"",tblSales[[#This Row],[ShippedDate]]-tblSales[[#This Row],[OrderDate]])</f>
        <v>6</v>
      </c>
      <c r="U1059" t="str">
        <f>LEFT(tblSales[[#This Row],[ProductName]],20)</f>
        <v>Pavlova</v>
      </c>
    </row>
    <row r="1060" spans="2:21" x14ac:dyDescent="0.2">
      <c r="B1060">
        <v>11305</v>
      </c>
      <c r="C1060" t="s">
        <v>8276</v>
      </c>
      <c r="D1060" t="s">
        <v>2434</v>
      </c>
      <c r="E1060" t="s">
        <v>8272</v>
      </c>
      <c r="F1060" s="222">
        <v>19</v>
      </c>
      <c r="G1060">
        <v>15</v>
      </c>
      <c r="H1060" s="223">
        <v>0.20000000298023199</v>
      </c>
      <c r="I1060" s="222">
        <v>228</v>
      </c>
      <c r="J1060" t="s">
        <v>8386</v>
      </c>
      <c r="K1060" t="s">
        <v>8387</v>
      </c>
      <c r="L1060" s="118">
        <v>44164</v>
      </c>
      <c r="M1060" s="118">
        <v>44168</v>
      </c>
      <c r="N1060" t="s">
        <v>8240</v>
      </c>
      <c r="O1060" t="s">
        <v>8266</v>
      </c>
      <c r="P1060" t="s">
        <v>8267</v>
      </c>
      <c r="Q1060" t="str">
        <f>tblSales[[#This Row],[FirstName]]&amp; " " &amp;tblSales[[#This Row],[LastName]]</f>
        <v>Margaret Peacock</v>
      </c>
      <c r="R1060">
        <f>YEAR(tblSales[[#This Row],[OrderDate]])</f>
        <v>2020</v>
      </c>
      <c r="S1060">
        <f>WEEKNUM(tblSales[[#This Row],[OrderDate]])</f>
        <v>49</v>
      </c>
      <c r="T1060">
        <f>IF(ISBLANK(tblSales[[#This Row],[ShippedDate]]),"",tblSales[[#This Row],[ShippedDate]]-tblSales[[#This Row],[OrderDate]])</f>
        <v>4</v>
      </c>
      <c r="U1060" t="str">
        <f>LEFT(tblSales[[#This Row],[ProductName]],20)</f>
        <v>Chang</v>
      </c>
    </row>
    <row r="1061" spans="2:21" x14ac:dyDescent="0.2">
      <c r="B1061">
        <v>11311</v>
      </c>
      <c r="C1061" t="s">
        <v>8410</v>
      </c>
      <c r="D1061" t="s">
        <v>8236</v>
      </c>
      <c r="E1061" t="s">
        <v>8262</v>
      </c>
      <c r="F1061" s="222">
        <v>9.5</v>
      </c>
      <c r="G1061">
        <v>30</v>
      </c>
      <c r="H1061" s="223">
        <v>0.25</v>
      </c>
      <c r="I1061" s="222">
        <v>213.75</v>
      </c>
      <c r="J1061" t="s">
        <v>8377</v>
      </c>
      <c r="K1061" t="s">
        <v>8378</v>
      </c>
      <c r="L1061" s="118">
        <v>44176</v>
      </c>
      <c r="M1061" s="118">
        <v>44178</v>
      </c>
      <c r="N1061" t="s">
        <v>8265</v>
      </c>
      <c r="O1061" t="s">
        <v>8266</v>
      </c>
      <c r="P1061" t="s">
        <v>8267</v>
      </c>
      <c r="Q1061" t="str">
        <f>tblSales[[#This Row],[FirstName]]&amp; " " &amp;tblSales[[#This Row],[LastName]]</f>
        <v>Margaret Peacock</v>
      </c>
      <c r="R1061">
        <f>YEAR(tblSales[[#This Row],[OrderDate]])</f>
        <v>2020</v>
      </c>
      <c r="S1061">
        <f>WEEKNUM(tblSales[[#This Row],[OrderDate]])</f>
        <v>50</v>
      </c>
      <c r="T1061">
        <f>IF(ISBLANK(tblSales[[#This Row],[ShippedDate]]),"",tblSales[[#This Row],[ShippedDate]]-tblSales[[#This Row],[OrderDate]])</f>
        <v>2</v>
      </c>
      <c r="U1061" t="str">
        <f>LEFT(tblSales[[#This Row],[ProductName]],20)</f>
        <v>Zaanse koeken</v>
      </c>
    </row>
    <row r="1062" spans="2:21" x14ac:dyDescent="0.2">
      <c r="B1062">
        <v>11311</v>
      </c>
      <c r="C1062" t="s">
        <v>8353</v>
      </c>
      <c r="D1062" t="s">
        <v>8236</v>
      </c>
      <c r="E1062" t="s">
        <v>8237</v>
      </c>
      <c r="F1062" s="222">
        <v>36</v>
      </c>
      <c r="G1062">
        <v>25</v>
      </c>
      <c r="H1062" s="223">
        <v>0.25</v>
      </c>
      <c r="I1062" s="222">
        <v>675</v>
      </c>
      <c r="J1062" t="s">
        <v>8377</v>
      </c>
      <c r="K1062" t="s">
        <v>8378</v>
      </c>
      <c r="L1062" s="118">
        <v>44176</v>
      </c>
      <c r="M1062" s="118">
        <v>44178</v>
      </c>
      <c r="N1062" t="s">
        <v>8265</v>
      </c>
      <c r="O1062" t="s">
        <v>8266</v>
      </c>
      <c r="P1062" t="s">
        <v>8267</v>
      </c>
      <c r="Q1062" t="str">
        <f>tblSales[[#This Row],[FirstName]]&amp; " " &amp;tblSales[[#This Row],[LastName]]</f>
        <v>Margaret Peacock</v>
      </c>
      <c r="R1062">
        <f>YEAR(tblSales[[#This Row],[OrderDate]])</f>
        <v>2020</v>
      </c>
      <c r="S1062">
        <f>WEEKNUM(tblSales[[#This Row],[OrderDate]])</f>
        <v>50</v>
      </c>
      <c r="T1062">
        <f>IF(ISBLANK(tblSales[[#This Row],[ShippedDate]]),"",tblSales[[#This Row],[ShippedDate]]-tblSales[[#This Row],[OrderDate]])</f>
        <v>2</v>
      </c>
      <c r="U1062" t="str">
        <f>LEFT(tblSales[[#This Row],[ProductName]],20)</f>
        <v>Gudbrandsdalsost</v>
      </c>
    </row>
    <row r="1063" spans="2:21" x14ac:dyDescent="0.2">
      <c r="B1063">
        <v>11311</v>
      </c>
      <c r="C1063" t="s">
        <v>8341</v>
      </c>
      <c r="D1063" t="s">
        <v>8236</v>
      </c>
      <c r="E1063" t="s">
        <v>8244</v>
      </c>
      <c r="F1063" s="222">
        <v>38</v>
      </c>
      <c r="G1063">
        <v>30</v>
      </c>
      <c r="H1063" s="223">
        <v>0.25</v>
      </c>
      <c r="I1063" s="222">
        <v>855</v>
      </c>
      <c r="J1063" t="s">
        <v>8377</v>
      </c>
      <c r="K1063" t="s">
        <v>8378</v>
      </c>
      <c r="L1063" s="118">
        <v>44176</v>
      </c>
      <c r="M1063" s="118">
        <v>44178</v>
      </c>
      <c r="N1063" t="s">
        <v>8265</v>
      </c>
      <c r="O1063" t="s">
        <v>8266</v>
      </c>
      <c r="P1063" t="s">
        <v>8267</v>
      </c>
      <c r="Q1063" t="str">
        <f>tblSales[[#This Row],[FirstName]]&amp; " " &amp;tblSales[[#This Row],[LastName]]</f>
        <v>Margaret Peacock</v>
      </c>
      <c r="R1063">
        <f>YEAR(tblSales[[#This Row],[OrderDate]])</f>
        <v>2020</v>
      </c>
      <c r="S1063">
        <f>WEEKNUM(tblSales[[#This Row],[OrderDate]])</f>
        <v>50</v>
      </c>
      <c r="T1063">
        <f>IF(ISBLANK(tblSales[[#This Row],[ShippedDate]]),"",tblSales[[#This Row],[ShippedDate]]-tblSales[[#This Row],[OrderDate]])</f>
        <v>2</v>
      </c>
      <c r="U1063" t="str">
        <f>LEFT(tblSales[[#This Row],[ProductName]],20)</f>
        <v>Gnocchi di nonna Ali</v>
      </c>
    </row>
    <row r="1064" spans="2:21" x14ac:dyDescent="0.2">
      <c r="B1064">
        <v>11311</v>
      </c>
      <c r="C1064" t="s">
        <v>8258</v>
      </c>
      <c r="D1064" t="s">
        <v>8236</v>
      </c>
      <c r="E1064" t="s">
        <v>8244</v>
      </c>
      <c r="F1064" s="222">
        <v>19.5</v>
      </c>
      <c r="G1064">
        <v>14</v>
      </c>
      <c r="H1064" s="223">
        <v>0.25</v>
      </c>
      <c r="I1064" s="222">
        <v>204.75</v>
      </c>
      <c r="J1064" t="s">
        <v>8377</v>
      </c>
      <c r="K1064" t="s">
        <v>8378</v>
      </c>
      <c r="L1064" s="118">
        <v>44176</v>
      </c>
      <c r="M1064" s="118">
        <v>44178</v>
      </c>
      <c r="N1064" t="s">
        <v>8265</v>
      </c>
      <c r="O1064" t="s">
        <v>8266</v>
      </c>
      <c r="P1064" t="s">
        <v>8267</v>
      </c>
      <c r="Q1064" t="str">
        <f>tblSales[[#This Row],[FirstName]]&amp; " " &amp;tblSales[[#This Row],[LastName]]</f>
        <v>Margaret Peacock</v>
      </c>
      <c r="R1064">
        <f>YEAR(tblSales[[#This Row],[OrderDate]])</f>
        <v>2020</v>
      </c>
      <c r="S1064">
        <f>WEEKNUM(tblSales[[#This Row],[OrderDate]])</f>
        <v>50</v>
      </c>
      <c r="T1064">
        <f>IF(ISBLANK(tblSales[[#This Row],[ShippedDate]]),"",tblSales[[#This Row],[ShippedDate]]-tblSales[[#This Row],[OrderDate]])</f>
        <v>2</v>
      </c>
      <c r="U1064" t="str">
        <f>LEFT(tblSales[[#This Row],[ProductName]],20)</f>
        <v>Ravioli Angelo</v>
      </c>
    </row>
    <row r="1065" spans="2:21" x14ac:dyDescent="0.2">
      <c r="B1065">
        <v>11318</v>
      </c>
      <c r="C1065" t="s">
        <v>8270</v>
      </c>
      <c r="D1065" t="s">
        <v>8236</v>
      </c>
      <c r="E1065" t="s">
        <v>8272</v>
      </c>
      <c r="F1065" s="222">
        <v>4.5</v>
      </c>
      <c r="G1065">
        <v>20</v>
      </c>
      <c r="H1065" s="223">
        <v>0</v>
      </c>
      <c r="I1065" s="222">
        <v>90</v>
      </c>
      <c r="J1065" t="s">
        <v>8407</v>
      </c>
      <c r="K1065" t="s">
        <v>8408</v>
      </c>
      <c r="L1065" s="118">
        <v>44183</v>
      </c>
      <c r="M1065" s="118">
        <v>44188</v>
      </c>
      <c r="N1065" t="s">
        <v>8240</v>
      </c>
      <c r="O1065" t="s">
        <v>8257</v>
      </c>
      <c r="P1065" t="s">
        <v>6984</v>
      </c>
      <c r="Q1065" t="str">
        <f>tblSales[[#This Row],[FirstName]]&amp; " " &amp;tblSales[[#This Row],[LastName]]</f>
        <v>Janet Leverling</v>
      </c>
      <c r="R1065">
        <f>YEAR(tblSales[[#This Row],[OrderDate]])</f>
        <v>2020</v>
      </c>
      <c r="S1065">
        <f>WEEKNUM(tblSales[[#This Row],[OrderDate]])</f>
        <v>51</v>
      </c>
      <c r="T1065">
        <f>IF(ISBLANK(tblSales[[#This Row],[ShippedDate]]),"",tblSales[[#This Row],[ShippedDate]]-tblSales[[#This Row],[OrderDate]])</f>
        <v>5</v>
      </c>
      <c r="U1065" t="str">
        <f>LEFT(tblSales[[#This Row],[ProductName]],20)</f>
        <v>Guaraná Fantástica</v>
      </c>
    </row>
    <row r="1066" spans="2:21" x14ac:dyDescent="0.2">
      <c r="B1066">
        <v>11318</v>
      </c>
      <c r="C1066" t="s">
        <v>8368</v>
      </c>
      <c r="D1066" t="s">
        <v>8236</v>
      </c>
      <c r="E1066" t="s">
        <v>8262</v>
      </c>
      <c r="F1066" s="222">
        <v>10</v>
      </c>
      <c r="G1066">
        <v>40</v>
      </c>
      <c r="H1066" s="223">
        <v>0</v>
      </c>
      <c r="I1066" s="222">
        <v>400</v>
      </c>
      <c r="J1066" t="s">
        <v>8407</v>
      </c>
      <c r="K1066" t="s">
        <v>8408</v>
      </c>
      <c r="L1066" s="118">
        <v>44183</v>
      </c>
      <c r="M1066" s="118">
        <v>44188</v>
      </c>
      <c r="N1066" t="s">
        <v>8240</v>
      </c>
      <c r="O1066" t="s">
        <v>8257</v>
      </c>
      <c r="P1066" t="s">
        <v>6984</v>
      </c>
      <c r="Q1066" t="str">
        <f>tblSales[[#This Row],[FirstName]]&amp; " " &amp;tblSales[[#This Row],[LastName]]</f>
        <v>Janet Leverling</v>
      </c>
      <c r="R1066">
        <f>YEAR(tblSales[[#This Row],[OrderDate]])</f>
        <v>2020</v>
      </c>
      <c r="S1066">
        <f>WEEKNUM(tblSales[[#This Row],[OrderDate]])</f>
        <v>51</v>
      </c>
      <c r="T1066">
        <f>IF(ISBLANK(tblSales[[#This Row],[ShippedDate]]),"",tblSales[[#This Row],[ShippedDate]]-tblSales[[#This Row],[OrderDate]])</f>
        <v>5</v>
      </c>
      <c r="U1066" t="str">
        <f>LEFT(tblSales[[#This Row],[ProductName]],20)</f>
        <v>Sir Rodney's Scones</v>
      </c>
    </row>
    <row r="1067" spans="2:21" x14ac:dyDescent="0.2">
      <c r="B1067">
        <v>11318</v>
      </c>
      <c r="C1067" t="s">
        <v>8259</v>
      </c>
      <c r="D1067" t="s">
        <v>8236</v>
      </c>
      <c r="E1067" t="s">
        <v>8244</v>
      </c>
      <c r="F1067" s="222">
        <v>21</v>
      </c>
      <c r="G1067">
        <v>6</v>
      </c>
      <c r="H1067" s="223">
        <v>0</v>
      </c>
      <c r="I1067" s="222">
        <v>126</v>
      </c>
      <c r="J1067" t="s">
        <v>8407</v>
      </c>
      <c r="K1067" t="s">
        <v>8408</v>
      </c>
      <c r="L1067" s="118">
        <v>44183</v>
      </c>
      <c r="M1067" s="118">
        <v>44188</v>
      </c>
      <c r="N1067" t="s">
        <v>8240</v>
      </c>
      <c r="O1067" t="s">
        <v>8257</v>
      </c>
      <c r="P1067" t="s">
        <v>6984</v>
      </c>
      <c r="Q1067" t="str">
        <f>tblSales[[#This Row],[FirstName]]&amp; " " &amp;tblSales[[#This Row],[LastName]]</f>
        <v>Janet Leverling</v>
      </c>
      <c r="R1067">
        <f>YEAR(tblSales[[#This Row],[OrderDate]])</f>
        <v>2020</v>
      </c>
      <c r="S1067">
        <f>WEEKNUM(tblSales[[#This Row],[OrderDate]])</f>
        <v>51</v>
      </c>
      <c r="T1067">
        <f>IF(ISBLANK(tblSales[[#This Row],[ShippedDate]]),"",tblSales[[#This Row],[ShippedDate]]-tblSales[[#This Row],[OrderDate]])</f>
        <v>5</v>
      </c>
      <c r="U1067" t="str">
        <f>LEFT(tblSales[[#This Row],[ProductName]],20)</f>
        <v>Gustaf's Knäckebröd</v>
      </c>
    </row>
    <row r="1068" spans="2:21" x14ac:dyDescent="0.2">
      <c r="B1068">
        <v>11321</v>
      </c>
      <c r="C1068" t="s">
        <v>8309</v>
      </c>
      <c r="D1068" t="s">
        <v>2434</v>
      </c>
      <c r="E1068" t="s">
        <v>8237</v>
      </c>
      <c r="F1068" s="222">
        <v>12.5</v>
      </c>
      <c r="G1068">
        <v>50</v>
      </c>
      <c r="H1068" s="223">
        <v>0</v>
      </c>
      <c r="I1068" s="222">
        <v>625</v>
      </c>
      <c r="J1068" t="s">
        <v>8386</v>
      </c>
      <c r="K1068" t="s">
        <v>8387</v>
      </c>
      <c r="L1068" s="118">
        <v>44188</v>
      </c>
      <c r="M1068" s="118">
        <v>44195</v>
      </c>
      <c r="N1068" t="s">
        <v>8265</v>
      </c>
      <c r="O1068" t="s">
        <v>8257</v>
      </c>
      <c r="P1068" t="s">
        <v>6984</v>
      </c>
      <c r="Q1068" t="str">
        <f>tblSales[[#This Row],[FirstName]]&amp; " " &amp;tblSales[[#This Row],[LastName]]</f>
        <v>Janet Leverling</v>
      </c>
      <c r="R1068">
        <f>YEAR(tblSales[[#This Row],[OrderDate]])</f>
        <v>2020</v>
      </c>
      <c r="S1068">
        <f>WEEKNUM(tblSales[[#This Row],[OrderDate]])</f>
        <v>52</v>
      </c>
      <c r="T1068">
        <f>IF(ISBLANK(tblSales[[#This Row],[ShippedDate]]),"",tblSales[[#This Row],[ShippedDate]]-tblSales[[#This Row],[OrderDate]])</f>
        <v>7</v>
      </c>
      <c r="U1068" t="str">
        <f>LEFT(tblSales[[#This Row],[ProductName]],20)</f>
        <v>Gorgonzola Telino</v>
      </c>
    </row>
    <row r="1069" spans="2:21" x14ac:dyDescent="0.2">
      <c r="B1069">
        <v>11321</v>
      </c>
      <c r="C1069" t="s">
        <v>8268</v>
      </c>
      <c r="D1069" t="s">
        <v>2434</v>
      </c>
      <c r="E1069" t="s">
        <v>8237</v>
      </c>
      <c r="F1069" s="222">
        <v>34</v>
      </c>
      <c r="G1069">
        <v>15</v>
      </c>
      <c r="H1069" s="223">
        <v>0</v>
      </c>
      <c r="I1069" s="222">
        <v>510</v>
      </c>
      <c r="J1069" t="s">
        <v>8386</v>
      </c>
      <c r="K1069" t="s">
        <v>8387</v>
      </c>
      <c r="L1069" s="118">
        <v>44188</v>
      </c>
      <c r="M1069" s="118">
        <v>44195</v>
      </c>
      <c r="N1069" t="s">
        <v>8265</v>
      </c>
      <c r="O1069" t="s">
        <v>8257</v>
      </c>
      <c r="P1069" t="s">
        <v>6984</v>
      </c>
      <c r="Q1069" t="str">
        <f>tblSales[[#This Row],[FirstName]]&amp; " " &amp;tblSales[[#This Row],[LastName]]</f>
        <v>Janet Leverling</v>
      </c>
      <c r="R1069">
        <f>YEAR(tblSales[[#This Row],[OrderDate]])</f>
        <v>2020</v>
      </c>
      <c r="S1069">
        <f>WEEKNUM(tblSales[[#This Row],[OrderDate]])</f>
        <v>52</v>
      </c>
      <c r="T1069">
        <f>IF(ISBLANK(tblSales[[#This Row],[ShippedDate]]),"",tblSales[[#This Row],[ShippedDate]]-tblSales[[#This Row],[OrderDate]])</f>
        <v>7</v>
      </c>
      <c r="U1069" t="str">
        <f>LEFT(tblSales[[#This Row],[ProductName]],20)</f>
        <v>Camembert Pierrot</v>
      </c>
    </row>
    <row r="1070" spans="2:21" x14ac:dyDescent="0.2">
      <c r="B1070">
        <v>11321</v>
      </c>
      <c r="C1070" t="s">
        <v>8310</v>
      </c>
      <c r="D1070" t="s">
        <v>2434</v>
      </c>
      <c r="E1070" t="s">
        <v>8237</v>
      </c>
      <c r="F1070" s="222">
        <v>21.5</v>
      </c>
      <c r="G1070">
        <v>12</v>
      </c>
      <c r="H1070" s="223">
        <v>0</v>
      </c>
      <c r="I1070" s="222">
        <v>258</v>
      </c>
      <c r="J1070" t="s">
        <v>8386</v>
      </c>
      <c r="K1070" t="s">
        <v>8387</v>
      </c>
      <c r="L1070" s="118">
        <v>44188</v>
      </c>
      <c r="M1070" s="118">
        <v>44195</v>
      </c>
      <c r="N1070" t="s">
        <v>8265</v>
      </c>
      <c r="O1070" t="s">
        <v>8257</v>
      </c>
      <c r="P1070" t="s">
        <v>6984</v>
      </c>
      <c r="Q1070" t="str">
        <f>tblSales[[#This Row],[FirstName]]&amp; " " &amp;tblSales[[#This Row],[LastName]]</f>
        <v>Janet Leverling</v>
      </c>
      <c r="R1070">
        <f>YEAR(tblSales[[#This Row],[OrderDate]])</f>
        <v>2020</v>
      </c>
      <c r="S1070">
        <f>WEEKNUM(tblSales[[#This Row],[OrderDate]])</f>
        <v>52</v>
      </c>
      <c r="T1070">
        <f>IF(ISBLANK(tblSales[[#This Row],[ShippedDate]]),"",tblSales[[#This Row],[ShippedDate]]-tblSales[[#This Row],[OrderDate]])</f>
        <v>7</v>
      </c>
      <c r="U1070" t="str">
        <f>LEFT(tblSales[[#This Row],[ProductName]],20)</f>
        <v>Fløtemysost</v>
      </c>
    </row>
    <row r="1071" spans="2:21" x14ac:dyDescent="0.2">
      <c r="B1071">
        <v>11321</v>
      </c>
      <c r="C1071" t="s">
        <v>8259</v>
      </c>
      <c r="D1071" t="s">
        <v>2434</v>
      </c>
      <c r="E1071" t="s">
        <v>8244</v>
      </c>
      <c r="F1071" s="222">
        <v>21</v>
      </c>
      <c r="G1071">
        <v>4</v>
      </c>
      <c r="H1071" s="223">
        <v>0</v>
      </c>
      <c r="I1071" s="222">
        <v>84</v>
      </c>
      <c r="J1071" t="s">
        <v>8386</v>
      </c>
      <c r="K1071" t="s">
        <v>8387</v>
      </c>
      <c r="L1071" s="118">
        <v>44188</v>
      </c>
      <c r="M1071" s="118">
        <v>44195</v>
      </c>
      <c r="N1071" t="s">
        <v>8265</v>
      </c>
      <c r="O1071" t="s">
        <v>8257</v>
      </c>
      <c r="P1071" t="s">
        <v>6984</v>
      </c>
      <c r="Q1071" t="str">
        <f>tblSales[[#This Row],[FirstName]]&amp; " " &amp;tblSales[[#This Row],[LastName]]</f>
        <v>Janet Leverling</v>
      </c>
      <c r="R1071">
        <f>YEAR(tblSales[[#This Row],[OrderDate]])</f>
        <v>2020</v>
      </c>
      <c r="S1071">
        <f>WEEKNUM(tblSales[[#This Row],[OrderDate]])</f>
        <v>52</v>
      </c>
      <c r="T1071">
        <f>IF(ISBLANK(tblSales[[#This Row],[ShippedDate]]),"",tblSales[[#This Row],[ShippedDate]]-tblSales[[#This Row],[OrderDate]])</f>
        <v>7</v>
      </c>
      <c r="U1071" t="str">
        <f>LEFT(tblSales[[#This Row],[ProductName]],20)</f>
        <v>Gustaf's Knäckebröd</v>
      </c>
    </row>
    <row r="1072" spans="2:21" x14ac:dyDescent="0.2">
      <c r="B1072">
        <v>11346</v>
      </c>
      <c r="C1072" t="s">
        <v>8306</v>
      </c>
      <c r="D1072" t="s">
        <v>8236</v>
      </c>
      <c r="E1072" t="s">
        <v>8272</v>
      </c>
      <c r="F1072" s="222">
        <v>46</v>
      </c>
      <c r="G1072">
        <v>20</v>
      </c>
      <c r="H1072" s="223">
        <v>0.15000000596046401</v>
      </c>
      <c r="I1072" s="222">
        <v>782</v>
      </c>
      <c r="J1072" t="s">
        <v>8255</v>
      </c>
      <c r="K1072" t="s">
        <v>8256</v>
      </c>
      <c r="L1072" s="118">
        <v>44216</v>
      </c>
      <c r="M1072" s="118">
        <v>44225</v>
      </c>
      <c r="N1072" t="s">
        <v>8240</v>
      </c>
      <c r="O1072" t="s">
        <v>8257</v>
      </c>
      <c r="P1072" t="s">
        <v>6984</v>
      </c>
      <c r="Q1072" t="str">
        <f>tblSales[[#This Row],[FirstName]]&amp; " " &amp;tblSales[[#This Row],[LastName]]</f>
        <v>Janet Leverling</v>
      </c>
      <c r="R1072">
        <f>YEAR(tblSales[[#This Row],[OrderDate]])</f>
        <v>2021</v>
      </c>
      <c r="S1072">
        <f>WEEKNUM(tblSales[[#This Row],[OrderDate]])</f>
        <v>4</v>
      </c>
      <c r="T1072">
        <f>IF(ISBLANK(tblSales[[#This Row],[ShippedDate]]),"",tblSales[[#This Row],[ShippedDate]]-tblSales[[#This Row],[OrderDate]])</f>
        <v>9</v>
      </c>
      <c r="U1072" t="str">
        <f>LEFT(tblSales[[#This Row],[ProductName]],20)</f>
        <v>Ipoh Coffee</v>
      </c>
    </row>
    <row r="1073" spans="2:21" x14ac:dyDescent="0.2">
      <c r="B1073">
        <v>11346</v>
      </c>
      <c r="C1073" t="s">
        <v>8409</v>
      </c>
      <c r="D1073" t="s">
        <v>8236</v>
      </c>
      <c r="E1073" t="s">
        <v>8254</v>
      </c>
      <c r="F1073" s="222">
        <v>28.5</v>
      </c>
      <c r="G1073">
        <v>30</v>
      </c>
      <c r="H1073" s="223">
        <v>0.15000000596046401</v>
      </c>
      <c r="I1073" s="222">
        <v>726.75</v>
      </c>
      <c r="J1073" t="s">
        <v>8255</v>
      </c>
      <c r="K1073" t="s">
        <v>8256</v>
      </c>
      <c r="L1073" s="118">
        <v>44216</v>
      </c>
      <c r="M1073" s="118">
        <v>44225</v>
      </c>
      <c r="N1073" t="s">
        <v>8240</v>
      </c>
      <c r="O1073" t="s">
        <v>8257</v>
      </c>
      <c r="P1073" t="s">
        <v>6984</v>
      </c>
      <c r="Q1073" t="str">
        <f>tblSales[[#This Row],[FirstName]]&amp; " " &amp;tblSales[[#This Row],[LastName]]</f>
        <v>Janet Leverling</v>
      </c>
      <c r="R1073">
        <f>YEAR(tblSales[[#This Row],[OrderDate]])</f>
        <v>2021</v>
      </c>
      <c r="S1073">
        <f>WEEKNUM(tblSales[[#This Row],[OrderDate]])</f>
        <v>4</v>
      </c>
      <c r="T1073">
        <f>IF(ISBLANK(tblSales[[#This Row],[ShippedDate]]),"",tblSales[[#This Row],[ShippedDate]]-tblSales[[#This Row],[OrderDate]])</f>
        <v>9</v>
      </c>
      <c r="U1073" t="str">
        <f>LEFT(tblSales[[#This Row],[ProductName]],20)</f>
        <v>Sirop d'érable</v>
      </c>
    </row>
    <row r="1074" spans="2:21" x14ac:dyDescent="0.2">
      <c r="B1074">
        <v>11346</v>
      </c>
      <c r="C1074" t="s">
        <v>8406</v>
      </c>
      <c r="D1074" t="s">
        <v>8236</v>
      </c>
      <c r="E1074" t="s">
        <v>8262</v>
      </c>
      <c r="F1074" s="222">
        <v>12.75</v>
      </c>
      <c r="G1074">
        <v>8</v>
      </c>
      <c r="H1074" s="223">
        <v>0.15000000596046401</v>
      </c>
      <c r="I1074" s="222">
        <v>86.7</v>
      </c>
      <c r="J1074" t="s">
        <v>8255</v>
      </c>
      <c r="K1074" t="s">
        <v>8256</v>
      </c>
      <c r="L1074" s="118">
        <v>44216</v>
      </c>
      <c r="M1074" s="118">
        <v>44225</v>
      </c>
      <c r="N1074" t="s">
        <v>8240</v>
      </c>
      <c r="O1074" t="s">
        <v>8257</v>
      </c>
      <c r="P1074" t="s">
        <v>6984</v>
      </c>
      <c r="Q1074" t="str">
        <f>tblSales[[#This Row],[FirstName]]&amp; " " &amp;tblSales[[#This Row],[LastName]]</f>
        <v>Janet Leverling</v>
      </c>
      <c r="R1074">
        <f>YEAR(tblSales[[#This Row],[OrderDate]])</f>
        <v>2021</v>
      </c>
      <c r="S1074">
        <f>WEEKNUM(tblSales[[#This Row],[OrderDate]])</f>
        <v>4</v>
      </c>
      <c r="T1074">
        <f>IF(ISBLANK(tblSales[[#This Row],[ShippedDate]]),"",tblSales[[#This Row],[ShippedDate]]-tblSales[[#This Row],[OrderDate]])</f>
        <v>9</v>
      </c>
      <c r="U1074" t="str">
        <f>LEFT(tblSales[[#This Row],[ProductName]],20)</f>
        <v>Chocolade</v>
      </c>
    </row>
    <row r="1075" spans="2:21" x14ac:dyDescent="0.2">
      <c r="B1075">
        <v>11364</v>
      </c>
      <c r="C1075" t="s">
        <v>8342</v>
      </c>
      <c r="D1075" t="s">
        <v>8236</v>
      </c>
      <c r="E1075" t="s">
        <v>8272</v>
      </c>
      <c r="F1075" s="222">
        <v>18</v>
      </c>
      <c r="G1075">
        <v>21</v>
      </c>
      <c r="H1075" s="223">
        <v>0</v>
      </c>
      <c r="I1075" s="222">
        <v>378</v>
      </c>
      <c r="J1075" t="s">
        <v>8377</v>
      </c>
      <c r="K1075" t="s">
        <v>8378</v>
      </c>
      <c r="L1075" s="118">
        <v>44224</v>
      </c>
      <c r="M1075" s="118">
        <v>44229</v>
      </c>
      <c r="N1075" t="s">
        <v>8265</v>
      </c>
      <c r="O1075" t="s">
        <v>8285</v>
      </c>
      <c r="P1075" t="s">
        <v>2317</v>
      </c>
      <c r="Q1075" t="str">
        <f>tblSales[[#This Row],[FirstName]]&amp; " " &amp;tblSales[[#This Row],[LastName]]</f>
        <v>Nancy Davolio</v>
      </c>
      <c r="R1075">
        <f>YEAR(tblSales[[#This Row],[OrderDate]])</f>
        <v>2021</v>
      </c>
      <c r="S1075">
        <f>WEEKNUM(tblSales[[#This Row],[OrderDate]])</f>
        <v>5</v>
      </c>
      <c r="T1075">
        <f>IF(ISBLANK(tblSales[[#This Row],[ShippedDate]]),"",tblSales[[#This Row],[ShippedDate]]-tblSales[[#This Row],[OrderDate]])</f>
        <v>5</v>
      </c>
      <c r="U1075" t="str">
        <f>LEFT(tblSales[[#This Row],[ProductName]],20)</f>
        <v>Chartreuse verte</v>
      </c>
    </row>
    <row r="1076" spans="2:21" x14ac:dyDescent="0.2">
      <c r="B1076">
        <v>11366</v>
      </c>
      <c r="C1076" t="s">
        <v>8309</v>
      </c>
      <c r="D1076" t="s">
        <v>8236</v>
      </c>
      <c r="E1076" t="s">
        <v>8237</v>
      </c>
      <c r="F1076" s="222">
        <v>12.5</v>
      </c>
      <c r="G1076">
        <v>35</v>
      </c>
      <c r="H1076" s="223">
        <v>0</v>
      </c>
      <c r="I1076" s="222">
        <v>437.5</v>
      </c>
      <c r="J1076" t="s">
        <v>8295</v>
      </c>
      <c r="K1076" t="s">
        <v>8296</v>
      </c>
      <c r="L1076" s="118">
        <v>44224</v>
      </c>
      <c r="M1076" s="118">
        <v>44229</v>
      </c>
      <c r="N1076" t="s">
        <v>8250</v>
      </c>
      <c r="O1076" t="s">
        <v>8251</v>
      </c>
      <c r="P1076" t="s">
        <v>269</v>
      </c>
      <c r="Q1076" t="str">
        <f>tblSales[[#This Row],[FirstName]]&amp; " " &amp;tblSales[[#This Row],[LastName]]</f>
        <v>Michael Suyama</v>
      </c>
      <c r="R1076">
        <f>YEAR(tblSales[[#This Row],[OrderDate]])</f>
        <v>2021</v>
      </c>
      <c r="S1076">
        <f>WEEKNUM(tblSales[[#This Row],[OrderDate]])</f>
        <v>5</v>
      </c>
      <c r="T1076">
        <f>IF(ISBLANK(tblSales[[#This Row],[ShippedDate]]),"",tblSales[[#This Row],[ShippedDate]]-tblSales[[#This Row],[OrderDate]])</f>
        <v>5</v>
      </c>
      <c r="U1076" t="str">
        <f>LEFT(tblSales[[#This Row],[ProductName]],20)</f>
        <v>Gorgonzola Telino</v>
      </c>
    </row>
    <row r="1077" spans="2:21" x14ac:dyDescent="0.2">
      <c r="B1077">
        <v>11366</v>
      </c>
      <c r="C1077" t="s">
        <v>8258</v>
      </c>
      <c r="D1077" t="s">
        <v>8236</v>
      </c>
      <c r="E1077" t="s">
        <v>8244</v>
      </c>
      <c r="F1077" s="222">
        <v>19.5</v>
      </c>
      <c r="G1077">
        <v>15</v>
      </c>
      <c r="H1077" s="223">
        <v>0</v>
      </c>
      <c r="I1077" s="222">
        <v>292.5</v>
      </c>
      <c r="J1077" t="s">
        <v>8295</v>
      </c>
      <c r="K1077" t="s">
        <v>8296</v>
      </c>
      <c r="L1077" s="118">
        <v>44224</v>
      </c>
      <c r="M1077" s="118">
        <v>44229</v>
      </c>
      <c r="N1077" t="s">
        <v>8250</v>
      </c>
      <c r="O1077" t="s">
        <v>8251</v>
      </c>
      <c r="P1077" t="s">
        <v>269</v>
      </c>
      <c r="Q1077" t="str">
        <f>tblSales[[#This Row],[FirstName]]&amp; " " &amp;tblSales[[#This Row],[LastName]]</f>
        <v>Michael Suyama</v>
      </c>
      <c r="R1077">
        <f>YEAR(tblSales[[#This Row],[OrderDate]])</f>
        <v>2021</v>
      </c>
      <c r="S1077">
        <f>WEEKNUM(tblSales[[#This Row],[OrderDate]])</f>
        <v>5</v>
      </c>
      <c r="T1077">
        <f>IF(ISBLANK(tblSales[[#This Row],[ShippedDate]]),"",tblSales[[#This Row],[ShippedDate]]-tblSales[[#This Row],[OrderDate]])</f>
        <v>5</v>
      </c>
      <c r="U1077" t="str">
        <f>LEFT(tblSales[[#This Row],[ProductName]],20)</f>
        <v>Ravioli Angelo</v>
      </c>
    </row>
    <row r="1078" spans="2:21" x14ac:dyDescent="0.2">
      <c r="B1078">
        <v>11350</v>
      </c>
      <c r="C1078" t="s">
        <v>8322</v>
      </c>
      <c r="D1078" t="s">
        <v>8236</v>
      </c>
      <c r="E1078" t="s">
        <v>8254</v>
      </c>
      <c r="F1078" s="222">
        <v>19.45</v>
      </c>
      <c r="G1078">
        <v>16</v>
      </c>
      <c r="H1078" s="223">
        <v>0.20000000298023199</v>
      </c>
      <c r="I1078" s="222">
        <v>248.96</v>
      </c>
      <c r="J1078" t="s">
        <v>8382</v>
      </c>
      <c r="K1078" t="s">
        <v>8383</v>
      </c>
      <c r="L1078" s="118">
        <v>44225</v>
      </c>
      <c r="M1078" s="118">
        <v>44230</v>
      </c>
      <c r="N1078" t="s">
        <v>8265</v>
      </c>
      <c r="O1078" t="s">
        <v>8297</v>
      </c>
      <c r="P1078" t="s">
        <v>8298</v>
      </c>
      <c r="Q1078" t="str">
        <f>tblSales[[#This Row],[FirstName]]&amp; " " &amp;tblSales[[#This Row],[LastName]]</f>
        <v>Andrew Fuller</v>
      </c>
      <c r="R1078">
        <f>YEAR(tblSales[[#This Row],[OrderDate]])</f>
        <v>2021</v>
      </c>
      <c r="S1078">
        <f>WEEKNUM(tblSales[[#This Row],[OrderDate]])</f>
        <v>5</v>
      </c>
      <c r="T1078">
        <f>IF(ISBLANK(tblSales[[#This Row],[ShippedDate]]),"",tblSales[[#This Row],[ShippedDate]]-tblSales[[#This Row],[OrderDate]])</f>
        <v>5</v>
      </c>
      <c r="U1078" t="str">
        <f>LEFT(tblSales[[#This Row],[ProductName]],20)</f>
        <v>Gula Malacca</v>
      </c>
    </row>
    <row r="1079" spans="2:21" x14ac:dyDescent="0.2">
      <c r="B1079">
        <v>11350</v>
      </c>
      <c r="C1079" t="s">
        <v>8362</v>
      </c>
      <c r="D1079" t="s">
        <v>8236</v>
      </c>
      <c r="E1079" t="s">
        <v>8262</v>
      </c>
      <c r="F1079" s="222">
        <v>14</v>
      </c>
      <c r="G1079">
        <v>10</v>
      </c>
      <c r="H1079" s="223">
        <v>0.20000000298023199</v>
      </c>
      <c r="I1079" s="222">
        <v>112</v>
      </c>
      <c r="J1079" t="s">
        <v>8382</v>
      </c>
      <c r="K1079" t="s">
        <v>8383</v>
      </c>
      <c r="L1079" s="118">
        <v>44225</v>
      </c>
      <c r="M1079" s="118">
        <v>44230</v>
      </c>
      <c r="N1079" t="s">
        <v>8265</v>
      </c>
      <c r="O1079" t="s">
        <v>8297</v>
      </c>
      <c r="P1079" t="s">
        <v>8298</v>
      </c>
      <c r="Q1079" t="str">
        <f>tblSales[[#This Row],[FirstName]]&amp; " " &amp;tblSales[[#This Row],[LastName]]</f>
        <v>Andrew Fuller</v>
      </c>
      <c r="R1079">
        <f>YEAR(tblSales[[#This Row],[OrderDate]])</f>
        <v>2021</v>
      </c>
      <c r="S1079">
        <f>WEEKNUM(tblSales[[#This Row],[OrderDate]])</f>
        <v>5</v>
      </c>
      <c r="T1079">
        <f>IF(ISBLANK(tblSales[[#This Row],[ShippedDate]]),"",tblSales[[#This Row],[ShippedDate]]-tblSales[[#This Row],[OrderDate]])</f>
        <v>5</v>
      </c>
      <c r="U1079" t="str">
        <f>LEFT(tblSales[[#This Row],[ProductName]],20)</f>
        <v>NuNuCa Nuß-Nougat-Cr</v>
      </c>
    </row>
    <row r="1080" spans="2:21" x14ac:dyDescent="0.2">
      <c r="B1080">
        <v>11350</v>
      </c>
      <c r="C1080" t="s">
        <v>8340</v>
      </c>
      <c r="D1080" t="s">
        <v>8236</v>
      </c>
      <c r="E1080" t="s">
        <v>8244</v>
      </c>
      <c r="F1080" s="222">
        <v>33.25</v>
      </c>
      <c r="G1080">
        <v>3</v>
      </c>
      <c r="H1080" s="223">
        <v>0</v>
      </c>
      <c r="I1080" s="222">
        <v>99.75</v>
      </c>
      <c r="J1080" t="s">
        <v>8382</v>
      </c>
      <c r="K1080" t="s">
        <v>8383</v>
      </c>
      <c r="L1080" s="118">
        <v>44225</v>
      </c>
      <c r="M1080" s="118">
        <v>44230</v>
      </c>
      <c r="N1080" t="s">
        <v>8265</v>
      </c>
      <c r="O1080" t="s">
        <v>8297</v>
      </c>
      <c r="P1080" t="s">
        <v>8298</v>
      </c>
      <c r="Q1080" t="str">
        <f>tblSales[[#This Row],[FirstName]]&amp; " " &amp;tblSales[[#This Row],[LastName]]</f>
        <v>Andrew Fuller</v>
      </c>
      <c r="R1080">
        <f>YEAR(tblSales[[#This Row],[OrderDate]])</f>
        <v>2021</v>
      </c>
      <c r="S1080">
        <f>WEEKNUM(tblSales[[#This Row],[OrderDate]])</f>
        <v>5</v>
      </c>
      <c r="T1080">
        <f>IF(ISBLANK(tblSales[[#This Row],[ShippedDate]]),"",tblSales[[#This Row],[ShippedDate]]-tblSales[[#This Row],[OrderDate]])</f>
        <v>5</v>
      </c>
      <c r="U1080" t="str">
        <f>LEFT(tblSales[[#This Row],[ProductName]],20)</f>
        <v>Wimmers gute Semmelk</v>
      </c>
    </row>
    <row r="1081" spans="2:21" x14ac:dyDescent="0.2">
      <c r="B1081">
        <v>11354</v>
      </c>
      <c r="C1081" t="s">
        <v>8245</v>
      </c>
      <c r="D1081" t="s">
        <v>8236</v>
      </c>
      <c r="E1081" t="s">
        <v>8247</v>
      </c>
      <c r="F1081" s="222">
        <v>53</v>
      </c>
      <c r="G1081">
        <v>4</v>
      </c>
      <c r="H1081" s="223">
        <v>0.25</v>
      </c>
      <c r="I1081" s="222">
        <v>159</v>
      </c>
      <c r="J1081" t="s">
        <v>8255</v>
      </c>
      <c r="K1081" t="s">
        <v>8256</v>
      </c>
      <c r="L1081" s="118">
        <v>44232</v>
      </c>
      <c r="M1081" s="118">
        <v>44237</v>
      </c>
      <c r="N1081" t="s">
        <v>8265</v>
      </c>
      <c r="O1081" t="s">
        <v>8266</v>
      </c>
      <c r="P1081" t="s">
        <v>8267</v>
      </c>
      <c r="Q1081" t="str">
        <f>tblSales[[#This Row],[FirstName]]&amp; " " &amp;tblSales[[#This Row],[LastName]]</f>
        <v>Margaret Peacock</v>
      </c>
      <c r="R1081">
        <f>YEAR(tblSales[[#This Row],[OrderDate]])</f>
        <v>2021</v>
      </c>
      <c r="S1081">
        <f>WEEKNUM(tblSales[[#This Row],[OrderDate]])</f>
        <v>6</v>
      </c>
      <c r="T1081">
        <f>IF(ISBLANK(tblSales[[#This Row],[ShippedDate]]),"",tblSales[[#This Row],[ShippedDate]]-tblSales[[#This Row],[OrderDate]])</f>
        <v>5</v>
      </c>
      <c r="U1081" t="str">
        <f>LEFT(tblSales[[#This Row],[ProductName]],20)</f>
        <v>Manjimup Dried Apple</v>
      </c>
    </row>
    <row r="1082" spans="2:21" x14ac:dyDescent="0.2">
      <c r="B1082">
        <v>11354</v>
      </c>
      <c r="C1082" t="s">
        <v>8288</v>
      </c>
      <c r="D1082" t="s">
        <v>8236</v>
      </c>
      <c r="E1082" t="s">
        <v>8272</v>
      </c>
      <c r="F1082" s="222">
        <v>15</v>
      </c>
      <c r="G1082">
        <v>30</v>
      </c>
      <c r="H1082" s="223">
        <v>0.15000000596046401</v>
      </c>
      <c r="I1082" s="222">
        <v>382.5</v>
      </c>
      <c r="J1082" t="s">
        <v>8255</v>
      </c>
      <c r="K1082" t="s">
        <v>8256</v>
      </c>
      <c r="L1082" s="118">
        <v>44234</v>
      </c>
      <c r="M1082" s="118">
        <v>44240</v>
      </c>
      <c r="N1082" t="s">
        <v>8250</v>
      </c>
      <c r="O1082" t="s">
        <v>8285</v>
      </c>
      <c r="P1082" t="s">
        <v>2317</v>
      </c>
      <c r="Q1082" t="str">
        <f>tblSales[[#This Row],[FirstName]]&amp; " " &amp;tblSales[[#This Row],[LastName]]</f>
        <v>Nancy Davolio</v>
      </c>
      <c r="R1082">
        <f>YEAR(tblSales[[#This Row],[OrderDate]])</f>
        <v>2021</v>
      </c>
      <c r="S1082">
        <f>WEEKNUM(tblSales[[#This Row],[OrderDate]])</f>
        <v>7</v>
      </c>
      <c r="T1082">
        <f>IF(ISBLANK(tblSales[[#This Row],[ShippedDate]]),"",tblSales[[#This Row],[ShippedDate]]-tblSales[[#This Row],[OrderDate]])</f>
        <v>6</v>
      </c>
      <c r="U1082" t="str">
        <f>LEFT(tblSales[[#This Row],[ProductName]],20)</f>
        <v>Outback Lager</v>
      </c>
    </row>
    <row r="1083" spans="2:21" x14ac:dyDescent="0.2">
      <c r="B1083">
        <v>11354</v>
      </c>
      <c r="C1083" t="s">
        <v>8362</v>
      </c>
      <c r="D1083" t="s">
        <v>8236</v>
      </c>
      <c r="E1083" t="s">
        <v>8262</v>
      </c>
      <c r="F1083" s="222">
        <v>14</v>
      </c>
      <c r="G1083">
        <v>20</v>
      </c>
      <c r="H1083" s="223">
        <v>0.15000000596046401</v>
      </c>
      <c r="I1083" s="222">
        <v>238</v>
      </c>
      <c r="J1083" t="s">
        <v>8255</v>
      </c>
      <c r="K1083" t="s">
        <v>8256</v>
      </c>
      <c r="L1083" s="118">
        <v>44234</v>
      </c>
      <c r="M1083" s="118">
        <v>44240</v>
      </c>
      <c r="N1083" t="s">
        <v>8250</v>
      </c>
      <c r="O1083" t="s">
        <v>8285</v>
      </c>
      <c r="P1083" t="s">
        <v>2317</v>
      </c>
      <c r="Q1083" t="str">
        <f>tblSales[[#This Row],[FirstName]]&amp; " " &amp;tblSales[[#This Row],[LastName]]</f>
        <v>Nancy Davolio</v>
      </c>
      <c r="R1083">
        <f>YEAR(tblSales[[#This Row],[OrderDate]])</f>
        <v>2021</v>
      </c>
      <c r="S1083">
        <f>WEEKNUM(tblSales[[#This Row],[OrderDate]])</f>
        <v>7</v>
      </c>
      <c r="T1083">
        <f>IF(ISBLANK(tblSales[[#This Row],[ShippedDate]]),"",tblSales[[#This Row],[ShippedDate]]-tblSales[[#This Row],[OrderDate]])</f>
        <v>6</v>
      </c>
      <c r="U1083" t="str">
        <f>LEFT(tblSales[[#This Row],[ProductName]],20)</f>
        <v>NuNuCa Nuß-Nougat-Cr</v>
      </c>
    </row>
    <row r="1084" spans="2:21" x14ac:dyDescent="0.2">
      <c r="B1084">
        <v>11354</v>
      </c>
      <c r="C1084" t="s">
        <v>8269</v>
      </c>
      <c r="D1084" t="s">
        <v>8236</v>
      </c>
      <c r="E1084" t="s">
        <v>8237</v>
      </c>
      <c r="F1084" s="222">
        <v>2.5</v>
      </c>
      <c r="G1084">
        <v>4</v>
      </c>
      <c r="H1084" s="223">
        <v>0.15000000596046401</v>
      </c>
      <c r="I1084" s="222">
        <v>8.5</v>
      </c>
      <c r="J1084" t="s">
        <v>8255</v>
      </c>
      <c r="K1084" t="s">
        <v>8256</v>
      </c>
      <c r="L1084" s="118">
        <v>44234</v>
      </c>
      <c r="M1084" s="118">
        <v>44240</v>
      </c>
      <c r="N1084" t="s">
        <v>8250</v>
      </c>
      <c r="O1084" t="s">
        <v>8285</v>
      </c>
      <c r="P1084" t="s">
        <v>2317</v>
      </c>
      <c r="Q1084" t="str">
        <f>tblSales[[#This Row],[FirstName]]&amp; " " &amp;tblSales[[#This Row],[LastName]]</f>
        <v>Nancy Davolio</v>
      </c>
      <c r="R1084">
        <f>YEAR(tblSales[[#This Row],[OrderDate]])</f>
        <v>2021</v>
      </c>
      <c r="S1084">
        <f>WEEKNUM(tblSales[[#This Row],[OrderDate]])</f>
        <v>7</v>
      </c>
      <c r="T1084">
        <f>IF(ISBLANK(tblSales[[#This Row],[ShippedDate]]),"",tblSales[[#This Row],[ShippedDate]]-tblSales[[#This Row],[OrderDate]])</f>
        <v>6</v>
      </c>
      <c r="U1084" t="str">
        <f>LEFT(tblSales[[#This Row],[ProductName]],20)</f>
        <v>Geitost</v>
      </c>
    </row>
    <row r="1085" spans="2:21" x14ac:dyDescent="0.2">
      <c r="B1085">
        <v>11008</v>
      </c>
      <c r="C1085" t="s">
        <v>8358</v>
      </c>
      <c r="D1085" t="s">
        <v>8282</v>
      </c>
      <c r="E1085" t="s">
        <v>8272</v>
      </c>
      <c r="F1085" s="222">
        <v>14</v>
      </c>
      <c r="G1085">
        <v>90</v>
      </c>
      <c r="H1085" s="223">
        <v>5.0000000745058101E-2</v>
      </c>
      <c r="I1085" s="222">
        <v>1197</v>
      </c>
      <c r="J1085" t="s">
        <v>8283</v>
      </c>
      <c r="K1085" t="s">
        <v>8284</v>
      </c>
      <c r="L1085" s="118">
        <v>44234</v>
      </c>
      <c r="M1085" s="118">
        <v>44238</v>
      </c>
      <c r="N1085" t="s">
        <v>8240</v>
      </c>
      <c r="O1085" t="s">
        <v>8158</v>
      </c>
      <c r="P1085" t="s">
        <v>861</v>
      </c>
      <c r="Q1085" t="str">
        <f>tblSales[[#This Row],[FirstName]]&amp; " " &amp;tblSales[[#This Row],[LastName]]</f>
        <v>Robert King</v>
      </c>
      <c r="R1085">
        <f>YEAR(tblSales[[#This Row],[OrderDate]])</f>
        <v>2021</v>
      </c>
      <c r="S1085">
        <f>WEEKNUM(tblSales[[#This Row],[OrderDate]])</f>
        <v>7</v>
      </c>
      <c r="T1085">
        <f>IF(ISBLANK(tblSales[[#This Row],[ShippedDate]]),"",tblSales[[#This Row],[ShippedDate]]-tblSales[[#This Row],[OrderDate]])</f>
        <v>4</v>
      </c>
      <c r="U1085" t="str">
        <f>LEFT(tblSales[[#This Row],[ProductName]],20)</f>
        <v>Sasquatch Ale</v>
      </c>
    </row>
    <row r="1086" spans="2:21" x14ac:dyDescent="0.2">
      <c r="B1086">
        <v>11008</v>
      </c>
      <c r="C1086" t="s">
        <v>8310</v>
      </c>
      <c r="D1086" t="s">
        <v>8282</v>
      </c>
      <c r="E1086" t="s">
        <v>8237</v>
      </c>
      <c r="F1086" s="222">
        <v>21.5</v>
      </c>
      <c r="G1086">
        <v>21</v>
      </c>
      <c r="H1086" s="223">
        <v>0</v>
      </c>
      <c r="I1086" s="222">
        <v>451.5</v>
      </c>
      <c r="J1086" t="s">
        <v>8283</v>
      </c>
      <c r="K1086" t="s">
        <v>8284</v>
      </c>
      <c r="L1086" s="118">
        <v>44234</v>
      </c>
      <c r="M1086" s="118">
        <v>44238</v>
      </c>
      <c r="N1086" t="s">
        <v>8240</v>
      </c>
      <c r="O1086" t="s">
        <v>8158</v>
      </c>
      <c r="P1086" t="s">
        <v>861</v>
      </c>
      <c r="Q1086" t="str">
        <f>tblSales[[#This Row],[FirstName]]&amp; " " &amp;tblSales[[#This Row],[LastName]]</f>
        <v>Robert King</v>
      </c>
      <c r="R1086">
        <f>YEAR(tblSales[[#This Row],[OrderDate]])</f>
        <v>2021</v>
      </c>
      <c r="S1086">
        <f>WEEKNUM(tblSales[[#This Row],[OrderDate]])</f>
        <v>7</v>
      </c>
      <c r="T1086">
        <f>IF(ISBLANK(tblSales[[#This Row],[ShippedDate]]),"",tblSales[[#This Row],[ShippedDate]]-tblSales[[#This Row],[OrderDate]])</f>
        <v>4</v>
      </c>
      <c r="U1086" t="str">
        <f>LEFT(tblSales[[#This Row],[ProductName]],20)</f>
        <v>Fløtemysost</v>
      </c>
    </row>
    <row r="1087" spans="2:21" x14ac:dyDescent="0.2">
      <c r="B1087">
        <v>11008</v>
      </c>
      <c r="C1087" t="s">
        <v>8316</v>
      </c>
      <c r="D1087" t="s">
        <v>8282</v>
      </c>
      <c r="E1087" t="s">
        <v>8247</v>
      </c>
      <c r="F1087" s="222">
        <v>45.6</v>
      </c>
      <c r="G1087">
        <v>70</v>
      </c>
      <c r="H1087" s="223">
        <v>5.0000000745058101E-2</v>
      </c>
      <c r="I1087" s="222">
        <v>3032.4</v>
      </c>
      <c r="J1087" t="s">
        <v>8283</v>
      </c>
      <c r="K1087" t="s">
        <v>8284</v>
      </c>
      <c r="L1087" s="118">
        <v>44234</v>
      </c>
      <c r="M1087" s="118">
        <v>44238</v>
      </c>
      <c r="N1087" t="s">
        <v>8240</v>
      </c>
      <c r="O1087" t="s">
        <v>8158</v>
      </c>
      <c r="P1087" t="s">
        <v>861</v>
      </c>
      <c r="Q1087" t="str">
        <f>tblSales[[#This Row],[FirstName]]&amp; " " &amp;tblSales[[#This Row],[LastName]]</f>
        <v>Robert King</v>
      </c>
      <c r="R1087">
        <f>YEAR(tblSales[[#This Row],[OrderDate]])</f>
        <v>2021</v>
      </c>
      <c r="S1087">
        <f>WEEKNUM(tblSales[[#This Row],[OrderDate]])</f>
        <v>7</v>
      </c>
      <c r="T1087">
        <f>IF(ISBLANK(tblSales[[#This Row],[ShippedDate]]),"",tblSales[[#This Row],[ShippedDate]]-tblSales[[#This Row],[OrderDate]])</f>
        <v>4</v>
      </c>
      <c r="U1087" t="str">
        <f>LEFT(tblSales[[#This Row],[ProductName]],20)</f>
        <v>Rössle Sauerkraut</v>
      </c>
    </row>
    <row r="1088" spans="2:21" x14ac:dyDescent="0.2">
      <c r="B1088">
        <v>11074</v>
      </c>
      <c r="C1088" t="s">
        <v>8280</v>
      </c>
      <c r="D1088" t="s">
        <v>8374</v>
      </c>
      <c r="E1088" t="s">
        <v>8262</v>
      </c>
      <c r="F1088" s="222">
        <v>17.45</v>
      </c>
      <c r="G1088">
        <v>14</v>
      </c>
      <c r="H1088" s="223">
        <v>5.0000000745058101E-2</v>
      </c>
      <c r="I1088" s="222">
        <v>232.08</v>
      </c>
      <c r="J1088" t="s">
        <v>8375</v>
      </c>
      <c r="K1088" t="s">
        <v>8376</v>
      </c>
      <c r="L1088" s="118">
        <v>44234</v>
      </c>
      <c r="M1088" s="118">
        <v>44238</v>
      </c>
      <c r="N1088" t="s">
        <v>8265</v>
      </c>
      <c r="O1088" t="s">
        <v>8158</v>
      </c>
      <c r="P1088" t="s">
        <v>861</v>
      </c>
      <c r="Q1088" t="str">
        <f>tblSales[[#This Row],[FirstName]]&amp; " " &amp;tblSales[[#This Row],[LastName]]</f>
        <v>Robert King</v>
      </c>
      <c r="R1088">
        <f>YEAR(tblSales[[#This Row],[OrderDate]])</f>
        <v>2021</v>
      </c>
      <c r="S1088">
        <f>WEEKNUM(tblSales[[#This Row],[OrderDate]])</f>
        <v>7</v>
      </c>
      <c r="T1088">
        <f>IF(ISBLANK(tblSales[[#This Row],[ShippedDate]]),"",tblSales[[#This Row],[ShippedDate]]-tblSales[[#This Row],[OrderDate]])</f>
        <v>4</v>
      </c>
      <c r="U1088" t="str">
        <f>LEFT(tblSales[[#This Row],[ProductName]],20)</f>
        <v>Pavlova</v>
      </c>
    </row>
    <row r="1089" spans="2:21" x14ac:dyDescent="0.2">
      <c r="B1089">
        <v>11075</v>
      </c>
      <c r="C1089" t="s">
        <v>8276</v>
      </c>
      <c r="D1089" t="s">
        <v>8271</v>
      </c>
      <c r="E1089" t="s">
        <v>8272</v>
      </c>
      <c r="F1089" s="222">
        <v>19</v>
      </c>
      <c r="G1089">
        <v>10</v>
      </c>
      <c r="H1089" s="223">
        <v>0.15000000596046401</v>
      </c>
      <c r="I1089" s="222">
        <v>161.5</v>
      </c>
      <c r="J1089" t="s">
        <v>8277</v>
      </c>
      <c r="K1089" t="s">
        <v>8278</v>
      </c>
      <c r="L1089" s="118">
        <v>44234</v>
      </c>
      <c r="M1089" s="118">
        <v>44238</v>
      </c>
      <c r="N1089" t="s">
        <v>8265</v>
      </c>
      <c r="O1089" t="s">
        <v>8320</v>
      </c>
      <c r="P1089" t="s">
        <v>8321</v>
      </c>
      <c r="Q1089" t="str">
        <f>tblSales[[#This Row],[FirstName]]&amp; " " &amp;tblSales[[#This Row],[LastName]]</f>
        <v>Laura Callahan</v>
      </c>
      <c r="R1089">
        <f>YEAR(tblSales[[#This Row],[OrderDate]])</f>
        <v>2021</v>
      </c>
      <c r="S1089">
        <f>WEEKNUM(tblSales[[#This Row],[OrderDate]])</f>
        <v>7</v>
      </c>
      <c r="T1089">
        <f>IF(ISBLANK(tblSales[[#This Row],[ShippedDate]]),"",tblSales[[#This Row],[ShippedDate]]-tblSales[[#This Row],[OrderDate]])</f>
        <v>4</v>
      </c>
      <c r="U1089" t="str">
        <f>LEFT(tblSales[[#This Row],[ProductName]],20)</f>
        <v>Chang</v>
      </c>
    </row>
    <row r="1090" spans="2:21" x14ac:dyDescent="0.2">
      <c r="B1090">
        <v>11075</v>
      </c>
      <c r="C1090" t="s">
        <v>8303</v>
      </c>
      <c r="D1090" t="s">
        <v>8271</v>
      </c>
      <c r="E1090" t="s">
        <v>8272</v>
      </c>
      <c r="F1090" s="222">
        <v>18</v>
      </c>
      <c r="G1090">
        <v>2</v>
      </c>
      <c r="H1090" s="223">
        <v>0.15000000596046401</v>
      </c>
      <c r="I1090" s="222">
        <v>30.6</v>
      </c>
      <c r="J1090" t="s">
        <v>8277</v>
      </c>
      <c r="K1090" t="s">
        <v>8278</v>
      </c>
      <c r="L1090" s="118">
        <v>44234</v>
      </c>
      <c r="M1090" s="118">
        <v>44238</v>
      </c>
      <c r="N1090" t="s">
        <v>8265</v>
      </c>
      <c r="O1090" t="s">
        <v>8320</v>
      </c>
      <c r="P1090" t="s">
        <v>8321</v>
      </c>
      <c r="Q1090" t="str">
        <f>tblSales[[#This Row],[FirstName]]&amp; " " &amp;tblSales[[#This Row],[LastName]]</f>
        <v>Laura Callahan</v>
      </c>
      <c r="R1090">
        <f>YEAR(tblSales[[#This Row],[OrderDate]])</f>
        <v>2021</v>
      </c>
      <c r="S1090">
        <f>WEEKNUM(tblSales[[#This Row],[OrderDate]])</f>
        <v>7</v>
      </c>
      <c r="T1090">
        <f>IF(ISBLANK(tblSales[[#This Row],[ShippedDate]]),"",tblSales[[#This Row],[ShippedDate]]-tblSales[[#This Row],[OrderDate]])</f>
        <v>4</v>
      </c>
      <c r="U1090" t="str">
        <f>LEFT(tblSales[[#This Row],[ProductName]],20)</f>
        <v>Lakkalikööri</v>
      </c>
    </row>
    <row r="1091" spans="2:21" x14ac:dyDescent="0.2">
      <c r="B1091">
        <v>11076</v>
      </c>
      <c r="C1091" t="s">
        <v>8351</v>
      </c>
      <c r="D1091" t="s">
        <v>8236</v>
      </c>
      <c r="E1091" t="s">
        <v>8254</v>
      </c>
      <c r="F1091" s="222">
        <v>25</v>
      </c>
      <c r="G1091">
        <v>20</v>
      </c>
      <c r="H1091" s="223">
        <v>0.25</v>
      </c>
      <c r="I1091" s="222">
        <v>375</v>
      </c>
      <c r="J1091" t="s">
        <v>8377</v>
      </c>
      <c r="K1091" t="s">
        <v>8378</v>
      </c>
      <c r="L1091" s="118">
        <v>44234</v>
      </c>
      <c r="M1091" s="118">
        <v>44238</v>
      </c>
      <c r="N1091" t="s">
        <v>8265</v>
      </c>
      <c r="O1091" t="s">
        <v>8266</v>
      </c>
      <c r="P1091" t="s">
        <v>8267</v>
      </c>
      <c r="Q1091" t="str">
        <f>tblSales[[#This Row],[FirstName]]&amp; " " &amp;tblSales[[#This Row],[LastName]]</f>
        <v>Margaret Peacock</v>
      </c>
      <c r="R1091">
        <f>YEAR(tblSales[[#This Row],[OrderDate]])</f>
        <v>2021</v>
      </c>
      <c r="S1091">
        <f>WEEKNUM(tblSales[[#This Row],[OrderDate]])</f>
        <v>7</v>
      </c>
      <c r="T1091">
        <f>IF(ISBLANK(tblSales[[#This Row],[ShippedDate]]),"",tblSales[[#This Row],[ShippedDate]]-tblSales[[#This Row],[OrderDate]])</f>
        <v>4</v>
      </c>
      <c r="U1091" t="str">
        <f>LEFT(tblSales[[#This Row],[ProductName]],20)</f>
        <v>Grandma's Boysenberr</v>
      </c>
    </row>
    <row r="1092" spans="2:21" x14ac:dyDescent="0.2">
      <c r="B1092">
        <v>11076</v>
      </c>
      <c r="C1092" t="s">
        <v>8327</v>
      </c>
      <c r="D1092" t="s">
        <v>8236</v>
      </c>
      <c r="E1092" t="s">
        <v>8262</v>
      </c>
      <c r="F1092" s="222">
        <v>9.1999999999999993</v>
      </c>
      <c r="G1092">
        <v>10</v>
      </c>
      <c r="H1092" s="223">
        <v>0.25</v>
      </c>
      <c r="I1092" s="222">
        <v>69</v>
      </c>
      <c r="J1092" t="s">
        <v>8377</v>
      </c>
      <c r="K1092" t="s">
        <v>8378</v>
      </c>
      <c r="L1092" s="118">
        <v>44234</v>
      </c>
      <c r="M1092" s="118">
        <v>44238</v>
      </c>
      <c r="N1092" t="s">
        <v>8265</v>
      </c>
      <c r="O1092" t="s">
        <v>8266</v>
      </c>
      <c r="P1092" t="s">
        <v>8267</v>
      </c>
      <c r="Q1092" t="str">
        <f>tblSales[[#This Row],[FirstName]]&amp; " " &amp;tblSales[[#This Row],[LastName]]</f>
        <v>Margaret Peacock</v>
      </c>
      <c r="R1092">
        <f>YEAR(tblSales[[#This Row],[OrderDate]])</f>
        <v>2021</v>
      </c>
      <c r="S1092">
        <f>WEEKNUM(tblSales[[#This Row],[OrderDate]])</f>
        <v>7</v>
      </c>
      <c r="T1092">
        <f>IF(ISBLANK(tblSales[[#This Row],[ShippedDate]]),"",tblSales[[#This Row],[ShippedDate]]-tblSales[[#This Row],[OrderDate]])</f>
        <v>4</v>
      </c>
      <c r="U1092" t="str">
        <f>LEFT(tblSales[[#This Row],[ProductName]],20)</f>
        <v>Teatime Chocolate Bi</v>
      </c>
    </row>
    <row r="1093" spans="2:21" x14ac:dyDescent="0.2">
      <c r="B1093">
        <v>11076</v>
      </c>
      <c r="C1093" t="s">
        <v>8252</v>
      </c>
      <c r="D1093" t="s">
        <v>8236</v>
      </c>
      <c r="E1093" t="s">
        <v>8247</v>
      </c>
      <c r="F1093" s="222">
        <v>23.25</v>
      </c>
      <c r="G1093">
        <v>20</v>
      </c>
      <c r="H1093" s="223">
        <v>0.25</v>
      </c>
      <c r="I1093" s="222">
        <v>348.75</v>
      </c>
      <c r="J1093" t="s">
        <v>8377</v>
      </c>
      <c r="K1093" t="s">
        <v>8378</v>
      </c>
      <c r="L1093" s="118">
        <v>44234</v>
      </c>
      <c r="M1093" s="118">
        <v>44238</v>
      </c>
      <c r="N1093" t="s">
        <v>8265</v>
      </c>
      <c r="O1093" t="s">
        <v>8266</v>
      </c>
      <c r="P1093" t="s">
        <v>8267</v>
      </c>
      <c r="Q1093" t="str">
        <f>tblSales[[#This Row],[FirstName]]&amp; " " &amp;tblSales[[#This Row],[LastName]]</f>
        <v>Margaret Peacock</v>
      </c>
      <c r="R1093">
        <f>YEAR(tblSales[[#This Row],[OrderDate]])</f>
        <v>2021</v>
      </c>
      <c r="S1093">
        <f>WEEKNUM(tblSales[[#This Row],[OrderDate]])</f>
        <v>7</v>
      </c>
      <c r="T1093">
        <f>IF(ISBLANK(tblSales[[#This Row],[ShippedDate]]),"",tblSales[[#This Row],[ShippedDate]]-tblSales[[#This Row],[OrderDate]])</f>
        <v>4</v>
      </c>
      <c r="U1093" t="str">
        <f>LEFT(tblSales[[#This Row],[ProductName]],20)</f>
        <v>Tofu</v>
      </c>
    </row>
    <row r="1094" spans="2:21" x14ac:dyDescent="0.2">
      <c r="B1094">
        <v>11051</v>
      </c>
      <c r="C1094" t="s">
        <v>8270</v>
      </c>
      <c r="D1094" t="s">
        <v>8236</v>
      </c>
      <c r="E1094" t="s">
        <v>8272</v>
      </c>
      <c r="F1094" s="222">
        <v>4.5</v>
      </c>
      <c r="G1094">
        <v>10</v>
      </c>
      <c r="H1094" s="223">
        <v>0.20000000298023199</v>
      </c>
      <c r="I1094" s="222">
        <v>36</v>
      </c>
      <c r="J1094" t="s">
        <v>8382</v>
      </c>
      <c r="K1094" t="s">
        <v>8383</v>
      </c>
      <c r="L1094" s="118">
        <v>44235</v>
      </c>
      <c r="M1094" s="118">
        <v>44239</v>
      </c>
      <c r="N1094" t="s">
        <v>8240</v>
      </c>
      <c r="O1094" t="s">
        <v>8158</v>
      </c>
      <c r="P1094" t="s">
        <v>861</v>
      </c>
      <c r="Q1094" t="str">
        <f>tblSales[[#This Row],[FirstName]]&amp; " " &amp;tblSales[[#This Row],[LastName]]</f>
        <v>Robert King</v>
      </c>
      <c r="R1094">
        <f>YEAR(tblSales[[#This Row],[OrderDate]])</f>
        <v>2021</v>
      </c>
      <c r="S1094">
        <f>WEEKNUM(tblSales[[#This Row],[OrderDate]])</f>
        <v>7</v>
      </c>
      <c r="T1094">
        <f>IF(ISBLANK(tblSales[[#This Row],[ShippedDate]]),"",tblSales[[#This Row],[ShippedDate]]-tblSales[[#This Row],[OrderDate]])</f>
        <v>4</v>
      </c>
      <c r="U1094" t="str">
        <f>LEFT(tblSales[[#This Row],[ProductName]],20)</f>
        <v>Guaraná Fantástica</v>
      </c>
    </row>
    <row r="1095" spans="2:21" x14ac:dyDescent="0.2">
      <c r="B1095">
        <v>11368</v>
      </c>
      <c r="C1095" t="s">
        <v>8329</v>
      </c>
      <c r="D1095" t="s">
        <v>2434</v>
      </c>
      <c r="E1095" t="s">
        <v>8272</v>
      </c>
      <c r="F1095" s="222">
        <v>14</v>
      </c>
      <c r="G1095">
        <v>15</v>
      </c>
      <c r="H1095" s="223">
        <v>0</v>
      </c>
      <c r="I1095" s="222">
        <v>210</v>
      </c>
      <c r="J1095" t="s">
        <v>8386</v>
      </c>
      <c r="K1095" t="s">
        <v>8387</v>
      </c>
      <c r="L1095" s="118">
        <v>44243</v>
      </c>
      <c r="M1095" s="118">
        <v>44250</v>
      </c>
      <c r="N1095" t="s">
        <v>8265</v>
      </c>
      <c r="O1095" t="s">
        <v>8266</v>
      </c>
      <c r="P1095" t="s">
        <v>8267</v>
      </c>
      <c r="Q1095" t="str">
        <f>tblSales[[#This Row],[FirstName]]&amp; " " &amp;tblSales[[#This Row],[LastName]]</f>
        <v>Margaret Peacock</v>
      </c>
      <c r="R1095">
        <f>YEAR(tblSales[[#This Row],[OrderDate]])</f>
        <v>2021</v>
      </c>
      <c r="S1095">
        <f>WEEKNUM(tblSales[[#This Row],[OrderDate]])</f>
        <v>8</v>
      </c>
      <c r="T1095">
        <f>IF(ISBLANK(tblSales[[#This Row],[ShippedDate]]),"",tblSales[[#This Row],[ShippedDate]]-tblSales[[#This Row],[OrderDate]])</f>
        <v>7</v>
      </c>
      <c r="U1095" t="str">
        <f>LEFT(tblSales[[#This Row],[ProductName]],20)</f>
        <v xml:space="preserve">Laughing Lumberjack </v>
      </c>
    </row>
    <row r="1096" spans="2:21" x14ac:dyDescent="0.2">
      <c r="B1096">
        <v>11368</v>
      </c>
      <c r="C1096" t="s">
        <v>8323</v>
      </c>
      <c r="D1096" t="s">
        <v>2434</v>
      </c>
      <c r="E1096" t="s">
        <v>8272</v>
      </c>
      <c r="F1096" s="222">
        <v>18</v>
      </c>
      <c r="G1096">
        <v>4</v>
      </c>
      <c r="H1096" s="223">
        <v>0</v>
      </c>
      <c r="I1096" s="222">
        <v>72</v>
      </c>
      <c r="J1096" t="s">
        <v>8386</v>
      </c>
      <c r="K1096" t="s">
        <v>8387</v>
      </c>
      <c r="L1096" s="118">
        <v>44243</v>
      </c>
      <c r="M1096" s="118">
        <v>44250</v>
      </c>
      <c r="N1096" t="s">
        <v>8265</v>
      </c>
      <c r="O1096" t="s">
        <v>8266</v>
      </c>
      <c r="P1096" t="s">
        <v>8267</v>
      </c>
      <c r="Q1096" t="str">
        <f>tblSales[[#This Row],[FirstName]]&amp; " " &amp;tblSales[[#This Row],[LastName]]</f>
        <v>Margaret Peacock</v>
      </c>
      <c r="R1096">
        <f>YEAR(tblSales[[#This Row],[OrderDate]])</f>
        <v>2021</v>
      </c>
      <c r="S1096">
        <f>WEEKNUM(tblSales[[#This Row],[OrderDate]])</f>
        <v>8</v>
      </c>
      <c r="T1096">
        <f>IF(ISBLANK(tblSales[[#This Row],[ShippedDate]]),"",tblSales[[#This Row],[ShippedDate]]-tblSales[[#This Row],[OrderDate]])</f>
        <v>7</v>
      </c>
      <c r="U1096" t="str">
        <f>LEFT(tblSales[[#This Row],[ProductName]],20)</f>
        <v>Steeleye Stout</v>
      </c>
    </row>
    <row r="1097" spans="2:21" x14ac:dyDescent="0.2">
      <c r="B1097">
        <v>11370</v>
      </c>
      <c r="C1097" t="s">
        <v>8351</v>
      </c>
      <c r="D1097" t="s">
        <v>8236</v>
      </c>
      <c r="E1097" t="s">
        <v>8254</v>
      </c>
      <c r="F1097" s="222">
        <v>25</v>
      </c>
      <c r="G1097">
        <v>50</v>
      </c>
      <c r="H1097" s="223">
        <v>5.0000000745058101E-2</v>
      </c>
      <c r="I1097" s="222">
        <v>1187.5</v>
      </c>
      <c r="J1097" t="s">
        <v>8377</v>
      </c>
      <c r="K1097" t="s">
        <v>8378</v>
      </c>
      <c r="L1097" s="118">
        <v>44246</v>
      </c>
      <c r="M1097" s="118">
        <v>44252</v>
      </c>
      <c r="N1097" t="s">
        <v>8265</v>
      </c>
      <c r="O1097" t="s">
        <v>8279</v>
      </c>
      <c r="P1097" t="s">
        <v>710</v>
      </c>
      <c r="Q1097" t="str">
        <f>tblSales[[#This Row],[FirstName]]&amp; " " &amp;tblSales[[#This Row],[LastName]]</f>
        <v>Anne Dodsworth</v>
      </c>
      <c r="R1097">
        <f>YEAR(tblSales[[#This Row],[OrderDate]])</f>
        <v>2021</v>
      </c>
      <c r="S1097">
        <f>WEEKNUM(tblSales[[#This Row],[OrderDate]])</f>
        <v>8</v>
      </c>
      <c r="T1097">
        <f>IF(ISBLANK(tblSales[[#This Row],[ShippedDate]]),"",tblSales[[#This Row],[ShippedDate]]-tblSales[[#This Row],[OrderDate]])</f>
        <v>6</v>
      </c>
      <c r="U1097" t="str">
        <f>LEFT(tblSales[[#This Row],[ProductName]],20)</f>
        <v>Grandma's Boysenberr</v>
      </c>
    </row>
    <row r="1098" spans="2:21" x14ac:dyDescent="0.2">
      <c r="B1098">
        <v>11370</v>
      </c>
      <c r="C1098" t="s">
        <v>8280</v>
      </c>
      <c r="D1098" t="s">
        <v>8236</v>
      </c>
      <c r="E1098" t="s">
        <v>8262</v>
      </c>
      <c r="F1098" s="222">
        <v>17.45</v>
      </c>
      <c r="G1098">
        <v>12</v>
      </c>
      <c r="H1098" s="223">
        <v>5.0000000745058101E-2</v>
      </c>
      <c r="I1098" s="222">
        <v>198.92999999999998</v>
      </c>
      <c r="J1098" t="s">
        <v>8377</v>
      </c>
      <c r="K1098" t="s">
        <v>8378</v>
      </c>
      <c r="L1098" s="118">
        <v>44246</v>
      </c>
      <c r="M1098" s="118">
        <v>44252</v>
      </c>
      <c r="N1098" t="s">
        <v>8265</v>
      </c>
      <c r="O1098" t="s">
        <v>8279</v>
      </c>
      <c r="P1098" t="s">
        <v>710</v>
      </c>
      <c r="Q1098" t="str">
        <f>tblSales[[#This Row],[FirstName]]&amp; " " &amp;tblSales[[#This Row],[LastName]]</f>
        <v>Anne Dodsworth</v>
      </c>
      <c r="R1098">
        <f>YEAR(tblSales[[#This Row],[OrderDate]])</f>
        <v>2021</v>
      </c>
      <c r="S1098">
        <f>WEEKNUM(tblSales[[#This Row],[OrderDate]])</f>
        <v>8</v>
      </c>
      <c r="T1098">
        <f>IF(ISBLANK(tblSales[[#This Row],[ShippedDate]]),"",tblSales[[#This Row],[ShippedDate]]-tblSales[[#This Row],[OrderDate]])</f>
        <v>6</v>
      </c>
      <c r="U1098" t="str">
        <f>LEFT(tblSales[[#This Row],[ProductName]],20)</f>
        <v>Pavlova</v>
      </c>
    </row>
    <row r="1099" spans="2:21" x14ac:dyDescent="0.2">
      <c r="B1099">
        <v>11379</v>
      </c>
      <c r="C1099" t="s">
        <v>8340</v>
      </c>
      <c r="D1099" t="s">
        <v>8236</v>
      </c>
      <c r="E1099" t="s">
        <v>8244</v>
      </c>
      <c r="F1099" s="222">
        <v>33.25</v>
      </c>
      <c r="G1099">
        <v>20</v>
      </c>
      <c r="H1099" s="223">
        <v>0</v>
      </c>
      <c r="I1099" s="222">
        <v>665</v>
      </c>
      <c r="J1099" t="s">
        <v>8377</v>
      </c>
      <c r="K1099" t="s">
        <v>8378</v>
      </c>
      <c r="L1099" s="118">
        <v>44250</v>
      </c>
      <c r="M1099" s="118">
        <v>44253</v>
      </c>
      <c r="N1099" t="s">
        <v>8240</v>
      </c>
      <c r="O1099" t="s">
        <v>8158</v>
      </c>
      <c r="P1099" t="s">
        <v>861</v>
      </c>
      <c r="Q1099" t="str">
        <f>tblSales[[#This Row],[FirstName]]&amp; " " &amp;tblSales[[#This Row],[LastName]]</f>
        <v>Robert King</v>
      </c>
      <c r="R1099">
        <f>YEAR(tblSales[[#This Row],[OrderDate]])</f>
        <v>2021</v>
      </c>
      <c r="S1099">
        <f>WEEKNUM(tblSales[[#This Row],[OrderDate]])</f>
        <v>9</v>
      </c>
      <c r="T1099">
        <f>IF(ISBLANK(tblSales[[#This Row],[ShippedDate]]),"",tblSales[[#This Row],[ShippedDate]]-tblSales[[#This Row],[OrderDate]])</f>
        <v>3</v>
      </c>
      <c r="U1099" t="str">
        <f>LEFT(tblSales[[#This Row],[ProductName]],20)</f>
        <v>Wimmers gute Semmelk</v>
      </c>
    </row>
    <row r="1100" spans="2:21" x14ac:dyDescent="0.2">
      <c r="B1100">
        <v>11387</v>
      </c>
      <c r="C1100" t="s">
        <v>8328</v>
      </c>
      <c r="D1100" t="s">
        <v>8236</v>
      </c>
      <c r="E1100" t="s">
        <v>8272</v>
      </c>
      <c r="F1100" s="222">
        <v>7.75</v>
      </c>
      <c r="G1100">
        <v>14</v>
      </c>
      <c r="H1100" s="223">
        <v>0</v>
      </c>
      <c r="I1100" s="222">
        <v>108.5</v>
      </c>
      <c r="J1100" t="s">
        <v>8428</v>
      </c>
      <c r="K1100" t="s">
        <v>8429</v>
      </c>
      <c r="L1100" s="118">
        <v>44266</v>
      </c>
      <c r="M1100" s="118">
        <v>44268</v>
      </c>
      <c r="N1100" t="s">
        <v>8240</v>
      </c>
      <c r="O1100" t="s">
        <v>8251</v>
      </c>
      <c r="P1100" t="s">
        <v>269</v>
      </c>
      <c r="Q1100" t="str">
        <f>tblSales[[#This Row],[FirstName]]&amp; " " &amp;tblSales[[#This Row],[LastName]]</f>
        <v>Michael Suyama</v>
      </c>
      <c r="R1100">
        <f>YEAR(tblSales[[#This Row],[OrderDate]])</f>
        <v>2021</v>
      </c>
      <c r="S1100">
        <f>WEEKNUM(tblSales[[#This Row],[OrderDate]])</f>
        <v>11</v>
      </c>
      <c r="T1100">
        <f>IF(ISBLANK(tblSales[[#This Row],[ShippedDate]]),"",tblSales[[#This Row],[ShippedDate]]-tblSales[[#This Row],[OrderDate]])</f>
        <v>2</v>
      </c>
      <c r="U1100" t="str">
        <f>LEFT(tblSales[[#This Row],[ProductName]],20)</f>
        <v>Rhönbräu Klosterbier</v>
      </c>
    </row>
    <row r="1101" spans="2:21" x14ac:dyDescent="0.2">
      <c r="B1101">
        <v>11388</v>
      </c>
      <c r="C1101" t="s">
        <v>8381</v>
      </c>
      <c r="D1101" t="s">
        <v>2434</v>
      </c>
      <c r="E1101" t="s">
        <v>8262</v>
      </c>
      <c r="F1101" s="222">
        <v>16.25</v>
      </c>
      <c r="G1101">
        <v>24</v>
      </c>
      <c r="H1101" s="223">
        <v>0</v>
      </c>
      <c r="I1101" s="222">
        <v>390</v>
      </c>
      <c r="J1101" t="s">
        <v>8386</v>
      </c>
      <c r="K1101" t="s">
        <v>8387</v>
      </c>
      <c r="L1101" s="118">
        <v>44272</v>
      </c>
      <c r="M1101" s="118">
        <v>44278</v>
      </c>
      <c r="N1101" t="s">
        <v>8265</v>
      </c>
      <c r="O1101" t="s">
        <v>8266</v>
      </c>
      <c r="P1101" t="s">
        <v>8267</v>
      </c>
      <c r="Q1101" t="str">
        <f>tblSales[[#This Row],[FirstName]]&amp; " " &amp;tblSales[[#This Row],[LastName]]</f>
        <v>Margaret Peacock</v>
      </c>
      <c r="R1101">
        <f>YEAR(tblSales[[#This Row],[OrderDate]])</f>
        <v>2021</v>
      </c>
      <c r="S1101">
        <f>WEEKNUM(tblSales[[#This Row],[OrderDate]])</f>
        <v>12</v>
      </c>
      <c r="T1101">
        <f>IF(ISBLANK(tblSales[[#This Row],[ShippedDate]]),"",tblSales[[#This Row],[ShippedDate]]-tblSales[[#This Row],[OrderDate]])</f>
        <v>6</v>
      </c>
      <c r="U1101" t="str">
        <f>LEFT(tblSales[[#This Row],[ProductName]],20)</f>
        <v>Valkoinen suklaa</v>
      </c>
    </row>
    <row r="1102" spans="2:21" x14ac:dyDescent="0.2">
      <c r="B1102">
        <v>11391</v>
      </c>
      <c r="C1102" t="s">
        <v>8306</v>
      </c>
      <c r="D1102" t="s">
        <v>8236</v>
      </c>
      <c r="E1102" t="s">
        <v>8272</v>
      </c>
      <c r="F1102" s="222">
        <v>46</v>
      </c>
      <c r="G1102">
        <v>10</v>
      </c>
      <c r="H1102" s="223">
        <v>0.20000000298023199</v>
      </c>
      <c r="I1102" s="222">
        <v>368</v>
      </c>
      <c r="J1102" t="s">
        <v>8382</v>
      </c>
      <c r="K1102" t="s">
        <v>8383</v>
      </c>
      <c r="L1102" s="118">
        <v>44272</v>
      </c>
      <c r="M1102" s="118">
        <v>44283</v>
      </c>
      <c r="N1102" t="s">
        <v>8240</v>
      </c>
      <c r="O1102" t="s">
        <v>8158</v>
      </c>
      <c r="P1102" t="s">
        <v>861</v>
      </c>
      <c r="Q1102" t="str">
        <f>tblSales[[#This Row],[FirstName]]&amp; " " &amp;tblSales[[#This Row],[LastName]]</f>
        <v>Robert King</v>
      </c>
      <c r="R1102">
        <f>YEAR(tblSales[[#This Row],[OrderDate]])</f>
        <v>2021</v>
      </c>
      <c r="S1102">
        <f>WEEKNUM(tblSales[[#This Row],[OrderDate]])</f>
        <v>12</v>
      </c>
      <c r="T1102">
        <f>IF(ISBLANK(tblSales[[#This Row],[ShippedDate]]),"",tblSales[[#This Row],[ShippedDate]]-tblSales[[#This Row],[OrderDate]])</f>
        <v>11</v>
      </c>
      <c r="U1102" t="str">
        <f>LEFT(tblSales[[#This Row],[ProductName]],20)</f>
        <v>Ipoh Coffee</v>
      </c>
    </row>
    <row r="1103" spans="2:21" x14ac:dyDescent="0.2">
      <c r="B1103">
        <v>11391</v>
      </c>
      <c r="C1103" t="s">
        <v>8329</v>
      </c>
      <c r="D1103" t="s">
        <v>8236</v>
      </c>
      <c r="E1103" t="s">
        <v>8272</v>
      </c>
      <c r="F1103" s="222">
        <v>14</v>
      </c>
      <c r="G1103">
        <v>24</v>
      </c>
      <c r="H1103" s="223">
        <v>0.20000000298023199</v>
      </c>
      <c r="I1103" s="222">
        <v>268.8</v>
      </c>
      <c r="J1103" t="s">
        <v>8382</v>
      </c>
      <c r="K1103" t="s">
        <v>8383</v>
      </c>
      <c r="L1103" s="118">
        <v>44272</v>
      </c>
      <c r="M1103" s="118">
        <v>44283</v>
      </c>
      <c r="N1103" t="s">
        <v>8240</v>
      </c>
      <c r="O1103" t="s">
        <v>8158</v>
      </c>
      <c r="P1103" t="s">
        <v>861</v>
      </c>
      <c r="Q1103" t="str">
        <f>tblSales[[#This Row],[FirstName]]&amp; " " &amp;tblSales[[#This Row],[LastName]]</f>
        <v>Robert King</v>
      </c>
      <c r="R1103">
        <f>YEAR(tblSales[[#This Row],[OrderDate]])</f>
        <v>2021</v>
      </c>
      <c r="S1103">
        <f>WEEKNUM(tblSales[[#This Row],[OrderDate]])</f>
        <v>12</v>
      </c>
      <c r="T1103">
        <f>IF(ISBLANK(tblSales[[#This Row],[ShippedDate]]),"",tblSales[[#This Row],[ShippedDate]]-tblSales[[#This Row],[OrderDate]])</f>
        <v>11</v>
      </c>
      <c r="U1103" t="str">
        <f>LEFT(tblSales[[#This Row],[ProductName]],20)</f>
        <v xml:space="preserve">Laughing Lumberjack </v>
      </c>
    </row>
    <row r="1104" spans="2:21" x14ac:dyDescent="0.2">
      <c r="B1104">
        <v>11391</v>
      </c>
      <c r="C1104" t="s">
        <v>8243</v>
      </c>
      <c r="D1104" t="s">
        <v>8236</v>
      </c>
      <c r="E1104" t="s">
        <v>8244</v>
      </c>
      <c r="F1104" s="222">
        <v>14</v>
      </c>
      <c r="G1104">
        <v>10</v>
      </c>
      <c r="H1104" s="223">
        <v>0.20000000298023199</v>
      </c>
      <c r="I1104" s="222">
        <v>112</v>
      </c>
      <c r="J1104" t="s">
        <v>8382</v>
      </c>
      <c r="K1104" t="s">
        <v>8383</v>
      </c>
      <c r="L1104" s="118">
        <v>44272</v>
      </c>
      <c r="M1104" s="118">
        <v>44283</v>
      </c>
      <c r="N1104" t="s">
        <v>8240</v>
      </c>
      <c r="O1104" t="s">
        <v>8158</v>
      </c>
      <c r="P1104" t="s">
        <v>861</v>
      </c>
      <c r="Q1104" t="str">
        <f>tblSales[[#This Row],[FirstName]]&amp; " " &amp;tblSales[[#This Row],[LastName]]</f>
        <v>Robert King</v>
      </c>
      <c r="R1104">
        <f>YEAR(tblSales[[#This Row],[OrderDate]])</f>
        <v>2021</v>
      </c>
      <c r="S1104">
        <f>WEEKNUM(tblSales[[#This Row],[OrderDate]])</f>
        <v>12</v>
      </c>
      <c r="T1104">
        <f>IF(ISBLANK(tblSales[[#This Row],[ShippedDate]]),"",tblSales[[#This Row],[ShippedDate]]-tblSales[[#This Row],[OrderDate]])</f>
        <v>11</v>
      </c>
      <c r="U1104" t="str">
        <f>LEFT(tblSales[[#This Row],[ProductName]],20)</f>
        <v xml:space="preserve">Singaporean Hokkien </v>
      </c>
    </row>
    <row r="1105" spans="2:21" x14ac:dyDescent="0.2">
      <c r="B1105">
        <v>11406</v>
      </c>
      <c r="C1105" t="s">
        <v>8328</v>
      </c>
      <c r="D1105" t="s">
        <v>8236</v>
      </c>
      <c r="E1105" t="s">
        <v>8272</v>
      </c>
      <c r="F1105" s="222">
        <v>7.75</v>
      </c>
      <c r="G1105">
        <v>20</v>
      </c>
      <c r="H1105" s="223">
        <v>0.10000000149011599</v>
      </c>
      <c r="I1105" s="222">
        <v>139.5</v>
      </c>
      <c r="J1105" t="s">
        <v>8377</v>
      </c>
      <c r="K1105" t="s">
        <v>8378</v>
      </c>
      <c r="L1105" s="118">
        <v>44275</v>
      </c>
      <c r="M1105" s="118">
        <v>44279</v>
      </c>
      <c r="N1105" t="s">
        <v>8250</v>
      </c>
      <c r="O1105" t="s">
        <v>8320</v>
      </c>
      <c r="P1105" t="s">
        <v>8321</v>
      </c>
      <c r="Q1105" t="str">
        <f>tblSales[[#This Row],[FirstName]]&amp; " " &amp;tblSales[[#This Row],[LastName]]</f>
        <v>Laura Callahan</v>
      </c>
      <c r="R1105">
        <f>YEAR(tblSales[[#This Row],[OrderDate]])</f>
        <v>2021</v>
      </c>
      <c r="S1105">
        <f>WEEKNUM(tblSales[[#This Row],[OrderDate]])</f>
        <v>12</v>
      </c>
      <c r="T1105">
        <f>IF(ISBLANK(tblSales[[#This Row],[ShippedDate]]),"",tblSales[[#This Row],[ShippedDate]]-tblSales[[#This Row],[OrderDate]])</f>
        <v>4</v>
      </c>
      <c r="U1105" t="str">
        <f>LEFT(tblSales[[#This Row],[ProductName]],20)</f>
        <v>Rhönbräu Klosterbier</v>
      </c>
    </row>
    <row r="1106" spans="2:21" x14ac:dyDescent="0.2">
      <c r="B1106">
        <v>11406</v>
      </c>
      <c r="C1106" t="s">
        <v>8291</v>
      </c>
      <c r="D1106" t="s">
        <v>8236</v>
      </c>
      <c r="E1106" t="s">
        <v>8262</v>
      </c>
      <c r="F1106" s="222">
        <v>49.3</v>
      </c>
      <c r="G1106">
        <v>14</v>
      </c>
      <c r="H1106" s="223">
        <v>0.10000000149011599</v>
      </c>
      <c r="I1106" s="222">
        <v>621.17999999999995</v>
      </c>
      <c r="J1106" t="s">
        <v>8377</v>
      </c>
      <c r="K1106" t="s">
        <v>8378</v>
      </c>
      <c r="L1106" s="118">
        <v>44275</v>
      </c>
      <c r="M1106" s="118">
        <v>44279</v>
      </c>
      <c r="N1106" t="s">
        <v>8250</v>
      </c>
      <c r="O1106" t="s">
        <v>8320</v>
      </c>
      <c r="P1106" t="s">
        <v>8321</v>
      </c>
      <c r="Q1106" t="str">
        <f>tblSales[[#This Row],[FirstName]]&amp; " " &amp;tblSales[[#This Row],[LastName]]</f>
        <v>Laura Callahan</v>
      </c>
      <c r="R1106">
        <f>YEAR(tblSales[[#This Row],[OrderDate]])</f>
        <v>2021</v>
      </c>
      <c r="S1106">
        <f>WEEKNUM(tblSales[[#This Row],[OrderDate]])</f>
        <v>12</v>
      </c>
      <c r="T1106">
        <f>IF(ISBLANK(tblSales[[#This Row],[ShippedDate]]),"",tblSales[[#This Row],[ShippedDate]]-tblSales[[#This Row],[OrderDate]])</f>
        <v>4</v>
      </c>
      <c r="U1106" t="str">
        <f>LEFT(tblSales[[#This Row],[ProductName]],20)</f>
        <v>Tarte au sucre</v>
      </c>
    </row>
    <row r="1107" spans="2:21" x14ac:dyDescent="0.2">
      <c r="B1107">
        <v>11406</v>
      </c>
      <c r="C1107" t="s">
        <v>8280</v>
      </c>
      <c r="D1107" t="s">
        <v>8236</v>
      </c>
      <c r="E1107" t="s">
        <v>8262</v>
      </c>
      <c r="F1107" s="222">
        <v>17.45</v>
      </c>
      <c r="G1107">
        <v>30</v>
      </c>
      <c r="H1107" s="223">
        <v>0.10000000149011599</v>
      </c>
      <c r="I1107" s="222">
        <v>471.15</v>
      </c>
      <c r="J1107" t="s">
        <v>8377</v>
      </c>
      <c r="K1107" t="s">
        <v>8378</v>
      </c>
      <c r="L1107" s="118">
        <v>44275</v>
      </c>
      <c r="M1107" s="118">
        <v>44279</v>
      </c>
      <c r="N1107" t="s">
        <v>8250</v>
      </c>
      <c r="O1107" t="s">
        <v>8320</v>
      </c>
      <c r="P1107" t="s">
        <v>8321</v>
      </c>
      <c r="Q1107" t="str">
        <f>tblSales[[#This Row],[FirstName]]&amp; " " &amp;tblSales[[#This Row],[LastName]]</f>
        <v>Laura Callahan</v>
      </c>
      <c r="R1107">
        <f>YEAR(tblSales[[#This Row],[OrderDate]])</f>
        <v>2021</v>
      </c>
      <c r="S1107">
        <f>WEEKNUM(tblSales[[#This Row],[OrderDate]])</f>
        <v>12</v>
      </c>
      <c r="T1107">
        <f>IF(ISBLANK(tblSales[[#This Row],[ShippedDate]]),"",tblSales[[#This Row],[ShippedDate]]-tblSales[[#This Row],[OrderDate]])</f>
        <v>4</v>
      </c>
      <c r="U1107" t="str">
        <f>LEFT(tblSales[[#This Row],[ProductName]],20)</f>
        <v>Pavlova</v>
      </c>
    </row>
    <row r="1108" spans="2:21" x14ac:dyDescent="0.2">
      <c r="B1108">
        <v>11406</v>
      </c>
      <c r="C1108" t="s">
        <v>8235</v>
      </c>
      <c r="D1108" t="s">
        <v>8236</v>
      </c>
      <c r="E1108" t="s">
        <v>8237</v>
      </c>
      <c r="F1108" s="222">
        <v>34.799999999999997</v>
      </c>
      <c r="G1108">
        <v>16</v>
      </c>
      <c r="H1108" s="223">
        <v>0</v>
      </c>
      <c r="I1108" s="222">
        <v>556.79999999999995</v>
      </c>
      <c r="J1108" t="s">
        <v>8377</v>
      </c>
      <c r="K1108" t="s">
        <v>8378</v>
      </c>
      <c r="L1108" s="118">
        <v>44275</v>
      </c>
      <c r="M1108" s="118">
        <v>44279</v>
      </c>
      <c r="N1108" t="s">
        <v>8250</v>
      </c>
      <c r="O1108" t="s">
        <v>8320</v>
      </c>
      <c r="P1108" t="s">
        <v>8321</v>
      </c>
      <c r="Q1108" t="str">
        <f>tblSales[[#This Row],[FirstName]]&amp; " " &amp;tblSales[[#This Row],[LastName]]</f>
        <v>Laura Callahan</v>
      </c>
      <c r="R1108">
        <f>YEAR(tblSales[[#This Row],[OrderDate]])</f>
        <v>2021</v>
      </c>
      <c r="S1108">
        <f>WEEKNUM(tblSales[[#This Row],[OrderDate]])</f>
        <v>12</v>
      </c>
      <c r="T1108">
        <f>IF(ISBLANK(tblSales[[#This Row],[ShippedDate]]),"",tblSales[[#This Row],[ShippedDate]]-tblSales[[#This Row],[OrderDate]])</f>
        <v>4</v>
      </c>
      <c r="U1108" t="str">
        <f>LEFT(tblSales[[#This Row],[ProductName]],20)</f>
        <v>Mozzarella di Giovan</v>
      </c>
    </row>
    <row r="1109" spans="2:21" x14ac:dyDescent="0.2">
      <c r="B1109">
        <v>11412</v>
      </c>
      <c r="C1109" t="s">
        <v>8380</v>
      </c>
      <c r="D1109" t="s">
        <v>8236</v>
      </c>
      <c r="E1109" t="s">
        <v>8272</v>
      </c>
      <c r="F1109" s="222">
        <v>263.5</v>
      </c>
      <c r="G1109">
        <v>5</v>
      </c>
      <c r="H1109" s="223">
        <v>0</v>
      </c>
      <c r="I1109" s="222">
        <v>1317.5</v>
      </c>
      <c r="J1109" t="s">
        <v>8428</v>
      </c>
      <c r="K1109" t="s">
        <v>8429</v>
      </c>
      <c r="L1109" s="118">
        <v>44276</v>
      </c>
      <c r="M1109" s="118">
        <v>44280</v>
      </c>
      <c r="N1109" t="s">
        <v>8265</v>
      </c>
      <c r="O1109" t="s">
        <v>8257</v>
      </c>
      <c r="P1109" t="s">
        <v>6984</v>
      </c>
      <c r="Q1109" t="str">
        <f>tblSales[[#This Row],[FirstName]]&amp; " " &amp;tblSales[[#This Row],[LastName]]</f>
        <v>Janet Leverling</v>
      </c>
      <c r="R1109">
        <f>YEAR(tblSales[[#This Row],[OrderDate]])</f>
        <v>2021</v>
      </c>
      <c r="S1109">
        <f>WEEKNUM(tblSales[[#This Row],[OrderDate]])</f>
        <v>13</v>
      </c>
      <c r="T1109">
        <f>IF(ISBLANK(tblSales[[#This Row],[ShippedDate]]),"",tblSales[[#This Row],[ShippedDate]]-tblSales[[#This Row],[OrderDate]])</f>
        <v>4</v>
      </c>
      <c r="U1109" t="str">
        <f>LEFT(tblSales[[#This Row],[ProductName]],20)</f>
        <v>Côte de Blaye</v>
      </c>
    </row>
    <row r="1110" spans="2:21" x14ac:dyDescent="0.2">
      <c r="B1110">
        <v>11412</v>
      </c>
      <c r="C1110" t="s">
        <v>8353</v>
      </c>
      <c r="D1110" t="s">
        <v>8236</v>
      </c>
      <c r="E1110" t="s">
        <v>8237</v>
      </c>
      <c r="F1110" s="222">
        <v>36</v>
      </c>
      <c r="G1110">
        <v>10</v>
      </c>
      <c r="H1110" s="223">
        <v>0</v>
      </c>
      <c r="I1110" s="222">
        <v>360</v>
      </c>
      <c r="J1110" t="s">
        <v>8428</v>
      </c>
      <c r="K1110" t="s">
        <v>8429</v>
      </c>
      <c r="L1110" s="118">
        <v>44277</v>
      </c>
      <c r="M1110" s="118">
        <v>44281</v>
      </c>
      <c r="N1110" t="s">
        <v>8265</v>
      </c>
      <c r="O1110" t="s">
        <v>8257</v>
      </c>
      <c r="P1110" t="s">
        <v>6984</v>
      </c>
      <c r="Q1110" t="str">
        <f>tblSales[[#This Row],[FirstName]]&amp; " " &amp;tblSales[[#This Row],[LastName]]</f>
        <v>Janet Leverling</v>
      </c>
      <c r="R1110">
        <f>YEAR(tblSales[[#This Row],[OrderDate]])</f>
        <v>2021</v>
      </c>
      <c r="S1110">
        <f>WEEKNUM(tblSales[[#This Row],[OrderDate]])</f>
        <v>13</v>
      </c>
      <c r="T1110">
        <f>IF(ISBLANK(tblSales[[#This Row],[ShippedDate]]),"",tblSales[[#This Row],[ShippedDate]]-tblSales[[#This Row],[OrderDate]])</f>
        <v>4</v>
      </c>
      <c r="U1110" t="str">
        <f>LEFT(tblSales[[#This Row],[ProductName]],20)</f>
        <v>Gudbrandsdalsost</v>
      </c>
    </row>
    <row r="1111" spans="2:21" x14ac:dyDescent="0.2">
      <c r="B1111">
        <v>11427</v>
      </c>
      <c r="C1111" t="s">
        <v>8309</v>
      </c>
      <c r="D1111" t="s">
        <v>2434</v>
      </c>
      <c r="E1111" t="s">
        <v>8237</v>
      </c>
      <c r="F1111" s="222">
        <v>12.5</v>
      </c>
      <c r="G1111">
        <v>15</v>
      </c>
      <c r="H1111" s="223">
        <v>0</v>
      </c>
      <c r="I1111" s="222">
        <v>187.5</v>
      </c>
      <c r="J1111" t="s">
        <v>8386</v>
      </c>
      <c r="K1111" t="s">
        <v>8387</v>
      </c>
      <c r="L1111" s="118">
        <v>44278</v>
      </c>
      <c r="M1111" s="118">
        <v>44282</v>
      </c>
      <c r="N1111" t="s">
        <v>8265</v>
      </c>
      <c r="O1111" t="s">
        <v>8279</v>
      </c>
      <c r="P1111" t="s">
        <v>710</v>
      </c>
      <c r="Q1111" t="str">
        <f>tblSales[[#This Row],[FirstName]]&amp; " " &amp;tblSales[[#This Row],[LastName]]</f>
        <v>Anne Dodsworth</v>
      </c>
      <c r="R1111">
        <f>YEAR(tblSales[[#This Row],[OrderDate]])</f>
        <v>2021</v>
      </c>
      <c r="S1111">
        <f>WEEKNUM(tblSales[[#This Row],[OrderDate]])</f>
        <v>13</v>
      </c>
      <c r="T1111">
        <f>IF(ISBLANK(tblSales[[#This Row],[ShippedDate]]),"",tblSales[[#This Row],[ShippedDate]]-tblSales[[#This Row],[OrderDate]])</f>
        <v>4</v>
      </c>
      <c r="U1111" t="str">
        <f>LEFT(tblSales[[#This Row],[ProductName]],20)</f>
        <v>Gorgonzola Telino</v>
      </c>
    </row>
    <row r="1112" spans="2:21" x14ac:dyDescent="0.2">
      <c r="B1112">
        <v>11449</v>
      </c>
      <c r="C1112" t="s">
        <v>8242</v>
      </c>
      <c r="D1112" t="s">
        <v>8236</v>
      </c>
      <c r="E1112" t="s">
        <v>8237</v>
      </c>
      <c r="F1112" s="222">
        <v>21</v>
      </c>
      <c r="G1112">
        <v>10</v>
      </c>
      <c r="H1112" s="223">
        <v>0</v>
      </c>
      <c r="I1112" s="222">
        <v>210</v>
      </c>
      <c r="J1112" t="s">
        <v>8428</v>
      </c>
      <c r="K1112" t="s">
        <v>8429</v>
      </c>
      <c r="L1112" s="118">
        <v>44279</v>
      </c>
      <c r="M1112" s="118">
        <v>44283</v>
      </c>
      <c r="N1112" t="s">
        <v>8265</v>
      </c>
      <c r="O1112" t="s">
        <v>8241</v>
      </c>
      <c r="P1112" t="s">
        <v>6934</v>
      </c>
      <c r="Q1112" t="str">
        <f>tblSales[[#This Row],[FirstName]]&amp; " " &amp;tblSales[[#This Row],[LastName]]</f>
        <v>Steven Buchanan</v>
      </c>
      <c r="R1112">
        <f>YEAR(tblSales[[#This Row],[OrderDate]])</f>
        <v>2021</v>
      </c>
      <c r="S1112">
        <f>WEEKNUM(tblSales[[#This Row],[OrderDate]])</f>
        <v>13</v>
      </c>
      <c r="T1112">
        <f>IF(ISBLANK(tblSales[[#This Row],[ShippedDate]]),"",tblSales[[#This Row],[ShippedDate]]-tblSales[[#This Row],[OrderDate]])</f>
        <v>4</v>
      </c>
      <c r="U1112" t="str">
        <f>LEFT(tblSales[[#This Row],[ProductName]],20)</f>
        <v>Queso Cabrales</v>
      </c>
    </row>
    <row r="1113" spans="2:21" x14ac:dyDescent="0.2">
      <c r="B1113">
        <v>11406</v>
      </c>
      <c r="C1113" t="s">
        <v>8415</v>
      </c>
      <c r="D1113" t="s">
        <v>8236</v>
      </c>
      <c r="E1113" t="s">
        <v>8247</v>
      </c>
      <c r="F1113" s="222">
        <v>30</v>
      </c>
      <c r="G1113">
        <v>8</v>
      </c>
      <c r="H1113" s="223">
        <v>0</v>
      </c>
      <c r="I1113" s="222">
        <v>240</v>
      </c>
      <c r="J1113" t="s">
        <v>8377</v>
      </c>
      <c r="K1113" t="s">
        <v>8378</v>
      </c>
      <c r="L1113" s="118">
        <v>44280</v>
      </c>
      <c r="M1113" s="118">
        <v>44292</v>
      </c>
      <c r="N1113" t="s">
        <v>8240</v>
      </c>
      <c r="O1113" t="s">
        <v>8320</v>
      </c>
      <c r="P1113" t="s">
        <v>8321</v>
      </c>
      <c r="Q1113" t="str">
        <f>tblSales[[#This Row],[FirstName]]&amp; " " &amp;tblSales[[#This Row],[LastName]]</f>
        <v>Laura Callahan</v>
      </c>
      <c r="R1113">
        <f>YEAR(tblSales[[#This Row],[OrderDate]])</f>
        <v>2021</v>
      </c>
      <c r="S1113">
        <f>WEEKNUM(tblSales[[#This Row],[OrderDate]])</f>
        <v>13</v>
      </c>
      <c r="T1113">
        <f>IF(ISBLANK(tblSales[[#This Row],[ShippedDate]]),"",tblSales[[#This Row],[ShippedDate]]-tblSales[[#This Row],[OrderDate]])</f>
        <v>12</v>
      </c>
      <c r="U1113" t="str">
        <f>LEFT(tblSales[[#This Row],[ProductName]],20)</f>
        <v xml:space="preserve">Uncle Bob's Organic </v>
      </c>
    </row>
    <row r="1114" spans="2:21" x14ac:dyDescent="0.2">
      <c r="B1114">
        <v>11058</v>
      </c>
      <c r="C1114" t="s">
        <v>8409</v>
      </c>
      <c r="D1114" t="s">
        <v>8246</v>
      </c>
      <c r="E1114" t="s">
        <v>8254</v>
      </c>
      <c r="F1114" s="222">
        <v>28.5</v>
      </c>
      <c r="G1114">
        <v>4</v>
      </c>
      <c r="H1114" s="223">
        <v>0</v>
      </c>
      <c r="I1114" s="222">
        <v>114</v>
      </c>
      <c r="J1114" t="s">
        <v>8416</v>
      </c>
      <c r="K1114" t="s">
        <v>8417</v>
      </c>
      <c r="L1114" s="118">
        <v>44281</v>
      </c>
      <c r="M1114" s="118">
        <v>44285</v>
      </c>
      <c r="N1114" t="s">
        <v>8240</v>
      </c>
      <c r="O1114" t="s">
        <v>8279</v>
      </c>
      <c r="P1114" t="s">
        <v>710</v>
      </c>
      <c r="Q1114" t="str">
        <f>tblSales[[#This Row],[FirstName]]&amp; " " &amp;tblSales[[#This Row],[LastName]]</f>
        <v>Anne Dodsworth</v>
      </c>
      <c r="R1114">
        <f>YEAR(tblSales[[#This Row],[OrderDate]])</f>
        <v>2021</v>
      </c>
      <c r="S1114">
        <f>WEEKNUM(tblSales[[#This Row],[OrderDate]])</f>
        <v>13</v>
      </c>
      <c r="T1114">
        <f>IF(ISBLANK(tblSales[[#This Row],[ShippedDate]]),"",tblSales[[#This Row],[ShippedDate]]-tblSales[[#This Row],[OrderDate]])</f>
        <v>4</v>
      </c>
      <c r="U1114" t="str">
        <f>LEFT(tblSales[[#This Row],[ProductName]],20)</f>
        <v>Sirop d'érable</v>
      </c>
    </row>
    <row r="1115" spans="2:21" x14ac:dyDescent="0.2">
      <c r="B1115">
        <v>11058</v>
      </c>
      <c r="C1115" t="s">
        <v>8368</v>
      </c>
      <c r="D1115" t="s">
        <v>8246</v>
      </c>
      <c r="E1115" t="s">
        <v>8262</v>
      </c>
      <c r="F1115" s="222">
        <v>10</v>
      </c>
      <c r="G1115">
        <v>3</v>
      </c>
      <c r="H1115" s="223">
        <v>0</v>
      </c>
      <c r="I1115" s="222">
        <v>30</v>
      </c>
      <c r="J1115" t="s">
        <v>8416</v>
      </c>
      <c r="K1115" t="s">
        <v>8417</v>
      </c>
      <c r="L1115" s="118">
        <v>44281</v>
      </c>
      <c r="M1115" s="118">
        <v>44285</v>
      </c>
      <c r="N1115" t="s">
        <v>8240</v>
      </c>
      <c r="O1115" t="s">
        <v>8279</v>
      </c>
      <c r="P1115" t="s">
        <v>710</v>
      </c>
      <c r="Q1115" t="str">
        <f>tblSales[[#This Row],[FirstName]]&amp; " " &amp;tblSales[[#This Row],[LastName]]</f>
        <v>Anne Dodsworth</v>
      </c>
      <c r="R1115">
        <f>YEAR(tblSales[[#This Row],[OrderDate]])</f>
        <v>2021</v>
      </c>
      <c r="S1115">
        <f>WEEKNUM(tblSales[[#This Row],[OrderDate]])</f>
        <v>13</v>
      </c>
      <c r="T1115">
        <f>IF(ISBLANK(tblSales[[#This Row],[ShippedDate]]),"",tblSales[[#This Row],[ShippedDate]]-tblSales[[#This Row],[OrderDate]])</f>
        <v>4</v>
      </c>
      <c r="U1115" t="str">
        <f>LEFT(tblSales[[#This Row],[ProductName]],20)</f>
        <v>Sir Rodney's Scones</v>
      </c>
    </row>
    <row r="1116" spans="2:21" x14ac:dyDescent="0.2">
      <c r="B1116">
        <v>11058</v>
      </c>
      <c r="C1116" t="s">
        <v>8268</v>
      </c>
      <c r="D1116" t="s">
        <v>8246</v>
      </c>
      <c r="E1116" t="s">
        <v>8237</v>
      </c>
      <c r="F1116" s="222">
        <v>34</v>
      </c>
      <c r="G1116">
        <v>21</v>
      </c>
      <c r="H1116" s="223">
        <v>0</v>
      </c>
      <c r="I1116" s="222">
        <v>714</v>
      </c>
      <c r="J1116" t="s">
        <v>8416</v>
      </c>
      <c r="K1116" t="s">
        <v>8417</v>
      </c>
      <c r="L1116" s="118">
        <v>44281</v>
      </c>
      <c r="M1116" s="118">
        <v>44285</v>
      </c>
      <c r="N1116" t="s">
        <v>8240</v>
      </c>
      <c r="O1116" t="s">
        <v>8279</v>
      </c>
      <c r="P1116" t="s">
        <v>710</v>
      </c>
      <c r="Q1116" t="str">
        <f>tblSales[[#This Row],[FirstName]]&amp; " " &amp;tblSales[[#This Row],[LastName]]</f>
        <v>Anne Dodsworth</v>
      </c>
      <c r="R1116">
        <f>YEAR(tblSales[[#This Row],[OrderDate]])</f>
        <v>2021</v>
      </c>
      <c r="S1116">
        <f>WEEKNUM(tblSales[[#This Row],[OrderDate]])</f>
        <v>13</v>
      </c>
      <c r="T1116">
        <f>IF(ISBLANK(tblSales[[#This Row],[ShippedDate]]),"",tblSales[[#This Row],[ShippedDate]]-tblSales[[#This Row],[OrderDate]])</f>
        <v>4</v>
      </c>
      <c r="U1116" t="str">
        <f>LEFT(tblSales[[#This Row],[ProductName]],20)</f>
        <v>Camembert Pierrot</v>
      </c>
    </row>
    <row r="1117" spans="2:21" x14ac:dyDescent="0.2">
      <c r="B1117">
        <v>11644</v>
      </c>
      <c r="C1117" t="s">
        <v>8348</v>
      </c>
      <c r="D1117" t="s">
        <v>8282</v>
      </c>
      <c r="E1117" t="s">
        <v>8254</v>
      </c>
      <c r="F1117" s="222">
        <v>13.6</v>
      </c>
      <c r="G1117">
        <v>60</v>
      </c>
      <c r="H1117" s="224">
        <v>0</v>
      </c>
      <c r="I1117" s="225">
        <v>816</v>
      </c>
      <c r="J1117" t="s">
        <v>8283</v>
      </c>
      <c r="K1117" t="s">
        <v>8284</v>
      </c>
      <c r="L1117" s="118">
        <v>44281</v>
      </c>
      <c r="M1117" s="118">
        <v>44285</v>
      </c>
      <c r="N1117" t="s">
        <v>8265</v>
      </c>
      <c r="O1117" t="s">
        <v>8257</v>
      </c>
      <c r="P1117" t="s">
        <v>6984</v>
      </c>
      <c r="Q1117" t="str">
        <f>tblSales[[#This Row],[FirstName]]&amp; " " &amp;tblSales[[#This Row],[LastName]]</f>
        <v>Janet Leverling</v>
      </c>
      <c r="R1117">
        <f>YEAR(tblSales[[#This Row],[OrderDate]])</f>
        <v>2021</v>
      </c>
      <c r="S1117">
        <f>WEEKNUM(tblSales[[#This Row],[OrderDate]])</f>
        <v>13</v>
      </c>
      <c r="T1117">
        <f>IF(ISBLANK(tblSales[[#This Row],[ShippedDate]]),"",tblSales[[#This Row],[ShippedDate]]-tblSales[[#This Row],[OrderDate]])</f>
        <v>4</v>
      </c>
      <c r="U1117" t="str">
        <f>LEFT(tblSales[[#This Row],[ProductName]],20)</f>
        <v>Louisiana Hot Spiced</v>
      </c>
    </row>
    <row r="1118" spans="2:21" x14ac:dyDescent="0.2">
      <c r="B1118">
        <v>11070</v>
      </c>
      <c r="C1118" t="s">
        <v>8333</v>
      </c>
      <c r="D1118" t="s">
        <v>8246</v>
      </c>
      <c r="E1118" t="s">
        <v>8272</v>
      </c>
      <c r="F1118" s="222">
        <v>18</v>
      </c>
      <c r="G1118">
        <v>40</v>
      </c>
      <c r="H1118" s="223">
        <v>0.15000000596046401</v>
      </c>
      <c r="I1118" s="222">
        <v>612</v>
      </c>
      <c r="J1118" t="s">
        <v>8330</v>
      </c>
      <c r="K1118" t="s">
        <v>8331</v>
      </c>
      <c r="L1118" s="118">
        <v>44282</v>
      </c>
      <c r="M1118" s="118">
        <v>44286</v>
      </c>
      <c r="N1118" t="s">
        <v>8250</v>
      </c>
      <c r="O1118" t="s">
        <v>8297</v>
      </c>
      <c r="P1118" t="s">
        <v>8298</v>
      </c>
      <c r="Q1118" t="str">
        <f>tblSales[[#This Row],[FirstName]]&amp; " " &amp;tblSales[[#This Row],[LastName]]</f>
        <v>Andrew Fuller</v>
      </c>
      <c r="R1118">
        <f>YEAR(tblSales[[#This Row],[OrderDate]])</f>
        <v>2021</v>
      </c>
      <c r="S1118">
        <f>WEEKNUM(tblSales[[#This Row],[OrderDate]])</f>
        <v>13</v>
      </c>
      <c r="T1118">
        <f>IF(ISBLANK(tblSales[[#This Row],[ShippedDate]]),"",tblSales[[#This Row],[ShippedDate]]-tblSales[[#This Row],[OrderDate]])</f>
        <v>4</v>
      </c>
      <c r="U1118" t="str">
        <f>LEFT(tblSales[[#This Row],[ProductName]],20)</f>
        <v>Chai</v>
      </c>
    </row>
    <row r="1119" spans="2:21" x14ac:dyDescent="0.2">
      <c r="B1119">
        <v>11070</v>
      </c>
      <c r="C1119" t="s">
        <v>8276</v>
      </c>
      <c r="D1119" t="s">
        <v>8246</v>
      </c>
      <c r="E1119" t="s">
        <v>8272</v>
      </c>
      <c r="F1119" s="222">
        <v>19</v>
      </c>
      <c r="G1119">
        <v>20</v>
      </c>
      <c r="H1119" s="223">
        <v>0.15000000596046401</v>
      </c>
      <c r="I1119" s="222">
        <v>323</v>
      </c>
      <c r="J1119" t="s">
        <v>8330</v>
      </c>
      <c r="K1119" t="s">
        <v>8331</v>
      </c>
      <c r="L1119" s="118">
        <v>44282</v>
      </c>
      <c r="M1119" s="118">
        <v>44286</v>
      </c>
      <c r="N1119" t="s">
        <v>8250</v>
      </c>
      <c r="O1119" t="s">
        <v>8297</v>
      </c>
      <c r="P1119" t="s">
        <v>8298</v>
      </c>
      <c r="Q1119" t="str">
        <f>tblSales[[#This Row],[FirstName]]&amp; " " &amp;tblSales[[#This Row],[LastName]]</f>
        <v>Andrew Fuller</v>
      </c>
      <c r="R1119">
        <f>YEAR(tblSales[[#This Row],[OrderDate]])</f>
        <v>2021</v>
      </c>
      <c r="S1119">
        <f>WEEKNUM(tblSales[[#This Row],[OrderDate]])</f>
        <v>13</v>
      </c>
      <c r="T1119">
        <f>IF(ISBLANK(tblSales[[#This Row],[ShippedDate]]),"",tblSales[[#This Row],[ShippedDate]]-tblSales[[#This Row],[OrderDate]])</f>
        <v>4</v>
      </c>
      <c r="U1119" t="str">
        <f>LEFT(tblSales[[#This Row],[ProductName]],20)</f>
        <v>Chang</v>
      </c>
    </row>
    <row r="1120" spans="2:21" x14ac:dyDescent="0.2">
      <c r="B1120">
        <v>11070</v>
      </c>
      <c r="C1120" t="s">
        <v>8280</v>
      </c>
      <c r="D1120" t="s">
        <v>8246</v>
      </c>
      <c r="E1120" t="s">
        <v>8262</v>
      </c>
      <c r="F1120" s="222">
        <v>17.45</v>
      </c>
      <c r="G1120">
        <v>30</v>
      </c>
      <c r="H1120" s="223">
        <v>0.15000000596046401</v>
      </c>
      <c r="I1120" s="222">
        <v>444.97</v>
      </c>
      <c r="J1120" t="s">
        <v>8330</v>
      </c>
      <c r="K1120" t="s">
        <v>8331</v>
      </c>
      <c r="L1120" s="118">
        <v>44282</v>
      </c>
      <c r="M1120" s="118">
        <v>44286</v>
      </c>
      <c r="N1120" t="s">
        <v>8250</v>
      </c>
      <c r="O1120" t="s">
        <v>8297</v>
      </c>
      <c r="P1120" t="s">
        <v>8298</v>
      </c>
      <c r="Q1120" t="str">
        <f>tblSales[[#This Row],[FirstName]]&amp; " " &amp;tblSales[[#This Row],[LastName]]</f>
        <v>Andrew Fuller</v>
      </c>
      <c r="R1120">
        <f>YEAR(tblSales[[#This Row],[OrderDate]])</f>
        <v>2021</v>
      </c>
      <c r="S1120">
        <f>WEEKNUM(tblSales[[#This Row],[OrderDate]])</f>
        <v>13</v>
      </c>
      <c r="T1120">
        <f>IF(ISBLANK(tblSales[[#This Row],[ShippedDate]]),"",tblSales[[#This Row],[ShippedDate]]-tblSales[[#This Row],[OrderDate]])</f>
        <v>4</v>
      </c>
      <c r="U1120" t="str">
        <f>LEFT(tblSales[[#This Row],[ProductName]],20)</f>
        <v>Pavlova</v>
      </c>
    </row>
    <row r="1121" spans="2:21" x14ac:dyDescent="0.2">
      <c r="B1121">
        <v>11070</v>
      </c>
      <c r="C1121" t="s">
        <v>8309</v>
      </c>
      <c r="D1121" t="s">
        <v>8246</v>
      </c>
      <c r="E1121" t="s">
        <v>8237</v>
      </c>
      <c r="F1121" s="222">
        <v>12.5</v>
      </c>
      <c r="G1121">
        <v>20</v>
      </c>
      <c r="H1121" s="223">
        <v>0</v>
      </c>
      <c r="I1121" s="222">
        <v>250</v>
      </c>
      <c r="J1121" t="s">
        <v>8330</v>
      </c>
      <c r="K1121" t="s">
        <v>8331</v>
      </c>
      <c r="L1121" s="118">
        <v>44282</v>
      </c>
      <c r="M1121" s="118">
        <v>44286</v>
      </c>
      <c r="N1121" t="s">
        <v>8250</v>
      </c>
      <c r="O1121" t="s">
        <v>8297</v>
      </c>
      <c r="P1121" t="s">
        <v>8298</v>
      </c>
      <c r="Q1121" t="str">
        <f>tblSales[[#This Row],[FirstName]]&amp; " " &amp;tblSales[[#This Row],[LastName]]</f>
        <v>Andrew Fuller</v>
      </c>
      <c r="R1121">
        <f>YEAR(tblSales[[#This Row],[OrderDate]])</f>
        <v>2021</v>
      </c>
      <c r="S1121">
        <f>WEEKNUM(tblSales[[#This Row],[OrderDate]])</f>
        <v>13</v>
      </c>
      <c r="T1121">
        <f>IF(ISBLANK(tblSales[[#This Row],[ShippedDate]]),"",tblSales[[#This Row],[ShippedDate]]-tblSales[[#This Row],[OrderDate]])</f>
        <v>4</v>
      </c>
      <c r="U1121" t="str">
        <f>LEFT(tblSales[[#This Row],[ProductName]],20)</f>
        <v>Gorgonzola Telino</v>
      </c>
    </row>
    <row r="1122" spans="2:21" x14ac:dyDescent="0.2">
      <c r="B1122">
        <v>11072</v>
      </c>
      <c r="C1122" t="s">
        <v>8276</v>
      </c>
      <c r="D1122" t="s">
        <v>8282</v>
      </c>
      <c r="E1122" t="s">
        <v>8272</v>
      </c>
      <c r="F1122" s="222">
        <v>19</v>
      </c>
      <c r="G1122">
        <v>8</v>
      </c>
      <c r="H1122" s="223">
        <v>0</v>
      </c>
      <c r="I1122" s="222">
        <v>152</v>
      </c>
      <c r="J1122" t="s">
        <v>8283</v>
      </c>
      <c r="K1122" t="s">
        <v>8284</v>
      </c>
      <c r="L1122" s="118">
        <v>44282</v>
      </c>
      <c r="M1122" s="118">
        <v>44286</v>
      </c>
      <c r="N1122" t="s">
        <v>8265</v>
      </c>
      <c r="O1122" t="s">
        <v>8266</v>
      </c>
      <c r="P1122" t="s">
        <v>8267</v>
      </c>
      <c r="Q1122" t="str">
        <f>tblSales[[#This Row],[FirstName]]&amp; " " &amp;tblSales[[#This Row],[LastName]]</f>
        <v>Margaret Peacock</v>
      </c>
      <c r="R1122">
        <f>YEAR(tblSales[[#This Row],[OrderDate]])</f>
        <v>2021</v>
      </c>
      <c r="S1122">
        <f>WEEKNUM(tblSales[[#This Row],[OrderDate]])</f>
        <v>13</v>
      </c>
      <c r="T1122">
        <f>IF(ISBLANK(tblSales[[#This Row],[ShippedDate]]),"",tblSales[[#This Row],[ShippedDate]]-tblSales[[#This Row],[OrderDate]])</f>
        <v>4</v>
      </c>
      <c r="U1122" t="str">
        <f>LEFT(tblSales[[#This Row],[ProductName]],20)</f>
        <v>Chang</v>
      </c>
    </row>
    <row r="1123" spans="2:21" x14ac:dyDescent="0.2">
      <c r="B1123">
        <v>11072</v>
      </c>
      <c r="C1123" t="s">
        <v>8381</v>
      </c>
      <c r="D1123" t="s">
        <v>8282</v>
      </c>
      <c r="E1123" t="s">
        <v>8262</v>
      </c>
      <c r="F1123" s="222">
        <v>16.25</v>
      </c>
      <c r="G1123">
        <v>22</v>
      </c>
      <c r="H1123" s="223">
        <v>0</v>
      </c>
      <c r="I1123" s="222">
        <v>357.5</v>
      </c>
      <c r="J1123" t="s">
        <v>8283</v>
      </c>
      <c r="K1123" t="s">
        <v>8284</v>
      </c>
      <c r="L1123" s="118">
        <v>44282</v>
      </c>
      <c r="M1123" s="118">
        <v>44286</v>
      </c>
      <c r="N1123" t="s">
        <v>8265</v>
      </c>
      <c r="O1123" t="s">
        <v>8266</v>
      </c>
      <c r="P1123" t="s">
        <v>8267</v>
      </c>
      <c r="Q1123" t="str">
        <f>tblSales[[#This Row],[FirstName]]&amp; " " &amp;tblSales[[#This Row],[LastName]]</f>
        <v>Margaret Peacock</v>
      </c>
      <c r="R1123">
        <f>YEAR(tblSales[[#This Row],[OrderDate]])</f>
        <v>2021</v>
      </c>
      <c r="S1123">
        <f>WEEKNUM(tblSales[[#This Row],[OrderDate]])</f>
        <v>13</v>
      </c>
      <c r="T1123">
        <f>IF(ISBLANK(tblSales[[#This Row],[ShippedDate]]),"",tblSales[[#This Row],[ShippedDate]]-tblSales[[#This Row],[OrderDate]])</f>
        <v>4</v>
      </c>
      <c r="U1123" t="str">
        <f>LEFT(tblSales[[#This Row],[ProductName]],20)</f>
        <v>Valkoinen suklaa</v>
      </c>
    </row>
    <row r="1124" spans="2:21" x14ac:dyDescent="0.2">
      <c r="B1124">
        <v>11072</v>
      </c>
      <c r="C1124" t="s">
        <v>8340</v>
      </c>
      <c r="D1124" t="s">
        <v>8282</v>
      </c>
      <c r="E1124" t="s">
        <v>8244</v>
      </c>
      <c r="F1124" s="222">
        <v>33.25</v>
      </c>
      <c r="G1124">
        <v>130</v>
      </c>
      <c r="H1124" s="223">
        <v>0</v>
      </c>
      <c r="I1124" s="222">
        <v>4322.5</v>
      </c>
      <c r="J1124" t="s">
        <v>8283</v>
      </c>
      <c r="K1124" t="s">
        <v>8284</v>
      </c>
      <c r="L1124" s="118">
        <v>44282</v>
      </c>
      <c r="M1124" s="118">
        <v>44286</v>
      </c>
      <c r="N1124" t="s">
        <v>8265</v>
      </c>
      <c r="O1124" t="s">
        <v>8266</v>
      </c>
      <c r="P1124" t="s">
        <v>8267</v>
      </c>
      <c r="Q1124" t="str">
        <f>tblSales[[#This Row],[FirstName]]&amp; " " &amp;tblSales[[#This Row],[LastName]]</f>
        <v>Margaret Peacock</v>
      </c>
      <c r="R1124">
        <f>YEAR(tblSales[[#This Row],[OrderDate]])</f>
        <v>2021</v>
      </c>
      <c r="S1124">
        <f>WEEKNUM(tblSales[[#This Row],[OrderDate]])</f>
        <v>13</v>
      </c>
      <c r="T1124">
        <f>IF(ISBLANK(tblSales[[#This Row],[ShippedDate]]),"",tblSales[[#This Row],[ShippedDate]]-tblSales[[#This Row],[OrderDate]])</f>
        <v>4</v>
      </c>
      <c r="U1124" t="str">
        <f>LEFT(tblSales[[#This Row],[ProductName]],20)</f>
        <v>Wimmers gute Semmelk</v>
      </c>
    </row>
    <row r="1125" spans="2:21" x14ac:dyDescent="0.2">
      <c r="B1125">
        <v>11644</v>
      </c>
      <c r="C1125" t="s">
        <v>8242</v>
      </c>
      <c r="D1125" t="s">
        <v>8282</v>
      </c>
      <c r="E1125" t="s">
        <v>8237</v>
      </c>
      <c r="F1125" s="222">
        <v>16.8</v>
      </c>
      <c r="G1125">
        <v>30</v>
      </c>
      <c r="H1125" s="224">
        <v>0</v>
      </c>
      <c r="I1125" s="225">
        <v>504</v>
      </c>
      <c r="J1125" t="s">
        <v>8283</v>
      </c>
      <c r="K1125" t="s">
        <v>8284</v>
      </c>
      <c r="L1125" s="118">
        <v>44282</v>
      </c>
      <c r="M1125" s="118">
        <v>44286</v>
      </c>
      <c r="N1125" t="s">
        <v>8265</v>
      </c>
      <c r="O1125" t="s">
        <v>8257</v>
      </c>
      <c r="P1125" t="s">
        <v>6984</v>
      </c>
      <c r="Q1125" t="str">
        <f>tblSales[[#This Row],[FirstName]]&amp; " " &amp;tblSales[[#This Row],[LastName]]</f>
        <v>Janet Leverling</v>
      </c>
      <c r="R1125">
        <f>YEAR(tblSales[[#This Row],[OrderDate]])</f>
        <v>2021</v>
      </c>
      <c r="S1125">
        <f>WEEKNUM(tblSales[[#This Row],[OrderDate]])</f>
        <v>13</v>
      </c>
      <c r="T1125">
        <f>IF(ISBLANK(tblSales[[#This Row],[ShippedDate]]),"",tblSales[[#This Row],[ShippedDate]]-tblSales[[#This Row],[OrderDate]])</f>
        <v>4</v>
      </c>
      <c r="U1125" t="str">
        <f>LEFT(tblSales[[#This Row],[ProductName]],20)</f>
        <v>Queso Cabrales</v>
      </c>
    </row>
    <row r="1126" spans="2:21" x14ac:dyDescent="0.2">
      <c r="B1126">
        <v>11415</v>
      </c>
      <c r="C1126" t="s">
        <v>8260</v>
      </c>
      <c r="D1126" t="s">
        <v>2434</v>
      </c>
      <c r="E1126" t="s">
        <v>8262</v>
      </c>
      <c r="F1126" s="222">
        <v>81</v>
      </c>
      <c r="G1126">
        <v>50</v>
      </c>
      <c r="H1126" s="223">
        <v>5.0000000745058101E-2</v>
      </c>
      <c r="I1126" s="222">
        <v>3847.5</v>
      </c>
      <c r="J1126" t="s">
        <v>8386</v>
      </c>
      <c r="K1126" t="s">
        <v>8387</v>
      </c>
      <c r="L1126" s="118">
        <v>44285</v>
      </c>
      <c r="M1126" s="118">
        <v>44289</v>
      </c>
      <c r="N1126" t="s">
        <v>8265</v>
      </c>
      <c r="O1126" t="s">
        <v>8279</v>
      </c>
      <c r="P1126" t="s">
        <v>710</v>
      </c>
      <c r="Q1126" t="str">
        <f>tblSales[[#This Row],[FirstName]]&amp; " " &amp;tblSales[[#This Row],[LastName]]</f>
        <v>Anne Dodsworth</v>
      </c>
      <c r="R1126">
        <f>YEAR(tblSales[[#This Row],[OrderDate]])</f>
        <v>2021</v>
      </c>
      <c r="S1126">
        <f>WEEKNUM(tblSales[[#This Row],[OrderDate]])</f>
        <v>14</v>
      </c>
      <c r="T1126">
        <f>IF(ISBLANK(tblSales[[#This Row],[ShippedDate]]),"",tblSales[[#This Row],[ShippedDate]]-tblSales[[#This Row],[OrderDate]])</f>
        <v>4</v>
      </c>
      <c r="U1126" t="str">
        <f>LEFT(tblSales[[#This Row],[ProductName]],20)</f>
        <v>Sir Rodney's Marmala</v>
      </c>
    </row>
    <row r="1127" spans="2:21" x14ac:dyDescent="0.2">
      <c r="B1127">
        <v>11415</v>
      </c>
      <c r="C1127" t="s">
        <v>8309</v>
      </c>
      <c r="D1127" t="s">
        <v>2434</v>
      </c>
      <c r="E1127" t="s">
        <v>8237</v>
      </c>
      <c r="F1127" s="222">
        <v>12.5</v>
      </c>
      <c r="G1127">
        <v>50</v>
      </c>
      <c r="H1127" s="223">
        <v>5.0000000745058101E-2</v>
      </c>
      <c r="I1127" s="222">
        <v>593.75</v>
      </c>
      <c r="J1127" t="s">
        <v>8386</v>
      </c>
      <c r="K1127" t="s">
        <v>8387</v>
      </c>
      <c r="L1127" s="118">
        <v>44285</v>
      </c>
      <c r="M1127" s="118">
        <v>44289</v>
      </c>
      <c r="N1127" t="s">
        <v>8265</v>
      </c>
      <c r="O1127" t="s">
        <v>8279</v>
      </c>
      <c r="P1127" t="s">
        <v>710</v>
      </c>
      <c r="Q1127" t="str">
        <f>tblSales[[#This Row],[FirstName]]&amp; " " &amp;tblSales[[#This Row],[LastName]]</f>
        <v>Anne Dodsworth</v>
      </c>
      <c r="R1127">
        <f>YEAR(tblSales[[#This Row],[OrderDate]])</f>
        <v>2021</v>
      </c>
      <c r="S1127">
        <f>WEEKNUM(tblSales[[#This Row],[OrderDate]])</f>
        <v>14</v>
      </c>
      <c r="T1127">
        <f>IF(ISBLANK(tblSales[[#This Row],[ShippedDate]]),"",tblSales[[#This Row],[ShippedDate]]-tblSales[[#This Row],[OrderDate]])</f>
        <v>4</v>
      </c>
      <c r="U1127" t="str">
        <f>LEFT(tblSales[[#This Row],[ProductName]],20)</f>
        <v>Gorgonzola Telino</v>
      </c>
    </row>
    <row r="1128" spans="2:21" x14ac:dyDescent="0.2">
      <c r="B1128">
        <v>11646</v>
      </c>
      <c r="C1128" t="s">
        <v>8323</v>
      </c>
      <c r="D1128" t="s">
        <v>2434</v>
      </c>
      <c r="E1128" t="s">
        <v>8272</v>
      </c>
      <c r="F1128" s="222">
        <v>14.4</v>
      </c>
      <c r="G1128">
        <v>10</v>
      </c>
      <c r="H1128" s="226">
        <v>0</v>
      </c>
      <c r="I1128" s="227">
        <v>144</v>
      </c>
      <c r="J1128" t="s">
        <v>8356</v>
      </c>
      <c r="K1128" t="s">
        <v>8357</v>
      </c>
      <c r="L1128" s="228">
        <v>44287</v>
      </c>
      <c r="M1128" s="229">
        <v>44295</v>
      </c>
      <c r="N1128" t="s">
        <v>8265</v>
      </c>
      <c r="O1128" t="s">
        <v>8257</v>
      </c>
      <c r="P1128" t="s">
        <v>6984</v>
      </c>
      <c r="Q1128" t="str">
        <f>tblSales[[#This Row],[FirstName]]&amp; " " &amp;tblSales[[#This Row],[LastName]]</f>
        <v>Janet Leverling</v>
      </c>
      <c r="R1128">
        <f>YEAR(tblSales[[#This Row],[OrderDate]])</f>
        <v>2021</v>
      </c>
      <c r="S1128">
        <f>WEEKNUM(tblSales[[#This Row],[OrderDate]])</f>
        <v>14</v>
      </c>
      <c r="T1128">
        <f>IF(ISBLANK(tblSales[[#This Row],[ShippedDate]]),"",tblSales[[#This Row],[ShippedDate]]-tblSales[[#This Row],[OrderDate]])</f>
        <v>8</v>
      </c>
      <c r="U1128" t="str">
        <f>LEFT(tblSales[[#This Row],[ProductName]],20)</f>
        <v>Steeleye Stout</v>
      </c>
    </row>
    <row r="1129" spans="2:21" x14ac:dyDescent="0.2">
      <c r="B1129">
        <v>11645</v>
      </c>
      <c r="C1129" t="s">
        <v>8310</v>
      </c>
      <c r="D1129" t="s">
        <v>8300</v>
      </c>
      <c r="E1129" t="s">
        <v>8237</v>
      </c>
      <c r="F1129" s="222">
        <v>17.2</v>
      </c>
      <c r="G1129">
        <v>30</v>
      </c>
      <c r="H1129" s="226">
        <v>0</v>
      </c>
      <c r="I1129" s="227">
        <v>516</v>
      </c>
      <c r="J1129" t="s">
        <v>8301</v>
      </c>
      <c r="K1129" t="s">
        <v>8302</v>
      </c>
      <c r="L1129" s="228">
        <v>44287</v>
      </c>
      <c r="M1129" s="229">
        <v>44302</v>
      </c>
      <c r="N1129" t="s">
        <v>8240</v>
      </c>
      <c r="O1129" t="s">
        <v>8241</v>
      </c>
      <c r="P1129" t="s">
        <v>6934</v>
      </c>
      <c r="Q1129" t="str">
        <f>tblSales[[#This Row],[FirstName]]&amp; " " &amp;tblSales[[#This Row],[LastName]]</f>
        <v>Steven Buchanan</v>
      </c>
      <c r="R1129">
        <f>YEAR(tblSales[[#This Row],[OrderDate]])</f>
        <v>2021</v>
      </c>
      <c r="S1129">
        <f>WEEKNUM(tblSales[[#This Row],[OrderDate]])</f>
        <v>14</v>
      </c>
      <c r="T1129">
        <f>IF(ISBLANK(tblSales[[#This Row],[ShippedDate]]),"",tblSales[[#This Row],[ShippedDate]]-tblSales[[#This Row],[OrderDate]])</f>
        <v>15</v>
      </c>
      <c r="U1129" t="str">
        <f>LEFT(tblSales[[#This Row],[ProductName]],20)</f>
        <v>Fløtemysost</v>
      </c>
    </row>
    <row r="1130" spans="2:21" x14ac:dyDescent="0.2">
      <c r="B1130">
        <v>11648</v>
      </c>
      <c r="C1130" t="s">
        <v>8342</v>
      </c>
      <c r="D1130" t="s">
        <v>8246</v>
      </c>
      <c r="E1130" t="s">
        <v>8272</v>
      </c>
      <c r="F1130" s="222">
        <v>14.4</v>
      </c>
      <c r="G1130">
        <v>4</v>
      </c>
      <c r="H1130" s="226">
        <v>0</v>
      </c>
      <c r="I1130" s="227">
        <v>57.6</v>
      </c>
      <c r="J1130" t="s">
        <v>8359</v>
      </c>
      <c r="K1130" t="s">
        <v>8360</v>
      </c>
      <c r="L1130" s="228">
        <v>44291</v>
      </c>
      <c r="M1130" s="229">
        <v>44298</v>
      </c>
      <c r="N1130" t="s">
        <v>8250</v>
      </c>
      <c r="O1130" t="s">
        <v>8266</v>
      </c>
      <c r="P1130" t="s">
        <v>8267</v>
      </c>
      <c r="Q1130" t="str">
        <f>tblSales[[#This Row],[FirstName]]&amp; " " &amp;tblSales[[#This Row],[LastName]]</f>
        <v>Margaret Peacock</v>
      </c>
      <c r="R1130">
        <f>YEAR(tblSales[[#This Row],[OrderDate]])</f>
        <v>2021</v>
      </c>
      <c r="S1130">
        <f>WEEKNUM(tblSales[[#This Row],[OrderDate]])</f>
        <v>15</v>
      </c>
      <c r="T1130">
        <f>IF(ISBLANK(tblSales[[#This Row],[ShippedDate]]),"",tblSales[[#This Row],[ShippedDate]]-tblSales[[#This Row],[OrderDate]])</f>
        <v>7</v>
      </c>
      <c r="U1130" t="str">
        <f>LEFT(tblSales[[#This Row],[ProductName]],20)</f>
        <v>Chartreuse verte</v>
      </c>
    </row>
    <row r="1131" spans="2:21" x14ac:dyDescent="0.2">
      <c r="B1131">
        <v>11648</v>
      </c>
      <c r="C1131" t="s">
        <v>8361</v>
      </c>
      <c r="D1131" t="s">
        <v>8246</v>
      </c>
      <c r="E1131" t="s">
        <v>8254</v>
      </c>
      <c r="F1131" s="222">
        <v>12.4</v>
      </c>
      <c r="G1131">
        <v>5</v>
      </c>
      <c r="H1131" s="226">
        <v>0</v>
      </c>
      <c r="I1131" s="227">
        <v>62</v>
      </c>
      <c r="J1131" t="s">
        <v>8359</v>
      </c>
      <c r="K1131" t="s">
        <v>8360</v>
      </c>
      <c r="L1131" s="228">
        <v>44291</v>
      </c>
      <c r="M1131" s="229">
        <v>44298</v>
      </c>
      <c r="N1131" t="s">
        <v>8250</v>
      </c>
      <c r="O1131" t="s">
        <v>8266</v>
      </c>
      <c r="P1131" t="s">
        <v>8267</v>
      </c>
      <c r="Q1131" t="str">
        <f>tblSales[[#This Row],[FirstName]]&amp; " " &amp;tblSales[[#This Row],[LastName]]</f>
        <v>Margaret Peacock</v>
      </c>
      <c r="R1131">
        <f>YEAR(tblSales[[#This Row],[OrderDate]])</f>
        <v>2021</v>
      </c>
      <c r="S1131">
        <f>WEEKNUM(tblSales[[#This Row],[OrderDate]])</f>
        <v>15</v>
      </c>
      <c r="T1131">
        <f>IF(ISBLANK(tblSales[[#This Row],[ShippedDate]]),"",tblSales[[#This Row],[ShippedDate]]-tblSales[[#This Row],[OrderDate]])</f>
        <v>7</v>
      </c>
      <c r="U1131" t="str">
        <f>LEFT(tblSales[[#This Row],[ProductName]],20)</f>
        <v>Genen Shouyu</v>
      </c>
    </row>
    <row r="1132" spans="2:21" x14ac:dyDescent="0.2">
      <c r="B1132">
        <v>11648</v>
      </c>
      <c r="C1132" t="s">
        <v>8362</v>
      </c>
      <c r="D1132" t="s">
        <v>8246</v>
      </c>
      <c r="E1132" t="s">
        <v>8262</v>
      </c>
      <c r="F1132" s="222">
        <v>11.2</v>
      </c>
      <c r="G1132">
        <v>4</v>
      </c>
      <c r="H1132" s="226">
        <v>0</v>
      </c>
      <c r="I1132" s="227">
        <v>44.8</v>
      </c>
      <c r="J1132" t="s">
        <v>8359</v>
      </c>
      <c r="K1132" t="s">
        <v>8360</v>
      </c>
      <c r="L1132" s="228">
        <v>44291</v>
      </c>
      <c r="M1132" s="229">
        <v>44298</v>
      </c>
      <c r="N1132" t="s">
        <v>8250</v>
      </c>
      <c r="O1132" t="s">
        <v>8266</v>
      </c>
      <c r="P1132" t="s">
        <v>8267</v>
      </c>
      <c r="Q1132" t="str">
        <f>tblSales[[#This Row],[FirstName]]&amp; " " &amp;tblSales[[#This Row],[LastName]]</f>
        <v>Margaret Peacock</v>
      </c>
      <c r="R1132">
        <f>YEAR(tblSales[[#This Row],[OrderDate]])</f>
        <v>2021</v>
      </c>
      <c r="S1132">
        <f>WEEKNUM(tblSales[[#This Row],[OrderDate]])</f>
        <v>15</v>
      </c>
      <c r="T1132">
        <f>IF(ISBLANK(tblSales[[#This Row],[ShippedDate]]),"",tblSales[[#This Row],[ShippedDate]]-tblSales[[#This Row],[OrderDate]])</f>
        <v>7</v>
      </c>
      <c r="U1132" t="str">
        <f>LEFT(tblSales[[#This Row],[ProductName]],20)</f>
        <v>NuNuCa Nuß-Nougat-Cr</v>
      </c>
    </row>
    <row r="1133" spans="2:21" x14ac:dyDescent="0.2">
      <c r="B1133">
        <v>11650</v>
      </c>
      <c r="C1133" t="s">
        <v>8351</v>
      </c>
      <c r="D1133" t="s">
        <v>8246</v>
      </c>
      <c r="E1133" t="s">
        <v>8254</v>
      </c>
      <c r="F1133" s="222">
        <v>20</v>
      </c>
      <c r="G1133">
        <v>6</v>
      </c>
      <c r="H1133" s="226">
        <v>0</v>
      </c>
      <c r="I1133" s="227">
        <v>120</v>
      </c>
      <c r="J1133" t="s">
        <v>8359</v>
      </c>
      <c r="K1133" t="s">
        <v>8360</v>
      </c>
      <c r="L1133" s="228">
        <v>44293</v>
      </c>
      <c r="M1133" s="229">
        <v>44298</v>
      </c>
      <c r="N1133" t="s">
        <v>8240</v>
      </c>
      <c r="O1133" t="s">
        <v>8285</v>
      </c>
      <c r="P1133" t="s">
        <v>2317</v>
      </c>
      <c r="Q1133" t="str">
        <f>tblSales[[#This Row],[FirstName]]&amp; " " &amp;tblSales[[#This Row],[LastName]]</f>
        <v>Nancy Davolio</v>
      </c>
      <c r="R1133">
        <f>YEAR(tblSales[[#This Row],[OrderDate]])</f>
        <v>2021</v>
      </c>
      <c r="S1133">
        <f>WEEKNUM(tblSales[[#This Row],[OrderDate]])</f>
        <v>15</v>
      </c>
      <c r="T1133">
        <f>IF(ISBLANK(tblSales[[#This Row],[ShippedDate]]),"",tblSales[[#This Row],[ShippedDate]]-tblSales[[#This Row],[OrderDate]])</f>
        <v>5</v>
      </c>
      <c r="U1133" t="str">
        <f>LEFT(tblSales[[#This Row],[ProductName]],20)</f>
        <v>Grandma's Boysenberr</v>
      </c>
    </row>
    <row r="1134" spans="2:21" x14ac:dyDescent="0.2">
      <c r="B1134">
        <v>11650</v>
      </c>
      <c r="C1134" t="s">
        <v>8235</v>
      </c>
      <c r="D1134" t="s">
        <v>8246</v>
      </c>
      <c r="E1134" t="s">
        <v>8237</v>
      </c>
      <c r="F1134" s="222">
        <v>27.8</v>
      </c>
      <c r="G1134">
        <v>40</v>
      </c>
      <c r="H1134" s="226">
        <v>0</v>
      </c>
      <c r="I1134" s="227">
        <v>1112</v>
      </c>
      <c r="J1134" t="s">
        <v>8359</v>
      </c>
      <c r="K1134" t="s">
        <v>8360</v>
      </c>
      <c r="L1134" s="228">
        <v>44293</v>
      </c>
      <c r="M1134" s="229">
        <v>44298</v>
      </c>
      <c r="N1134" t="s">
        <v>8240</v>
      </c>
      <c r="O1134" t="s">
        <v>8285</v>
      </c>
      <c r="P1134" t="s">
        <v>2317</v>
      </c>
      <c r="Q1134" t="str">
        <f>tblSales[[#This Row],[FirstName]]&amp; " " &amp;tblSales[[#This Row],[LastName]]</f>
        <v>Nancy Davolio</v>
      </c>
      <c r="R1134">
        <f>YEAR(tblSales[[#This Row],[OrderDate]])</f>
        <v>2021</v>
      </c>
      <c r="S1134">
        <f>WEEKNUM(tblSales[[#This Row],[OrderDate]])</f>
        <v>15</v>
      </c>
      <c r="T1134">
        <f>IF(ISBLANK(tblSales[[#This Row],[ShippedDate]]),"",tblSales[[#This Row],[ShippedDate]]-tblSales[[#This Row],[OrderDate]])</f>
        <v>5</v>
      </c>
      <c r="U1134" t="str">
        <f>LEFT(tblSales[[#This Row],[ProductName]],20)</f>
        <v>Mozzarella di Giovan</v>
      </c>
    </row>
    <row r="1135" spans="2:21" x14ac:dyDescent="0.2">
      <c r="B1135">
        <v>11650</v>
      </c>
      <c r="C1135" t="s">
        <v>8309</v>
      </c>
      <c r="D1135" t="s">
        <v>8246</v>
      </c>
      <c r="E1135" t="s">
        <v>8237</v>
      </c>
      <c r="F1135" s="222">
        <v>10</v>
      </c>
      <c r="G1135">
        <v>4</v>
      </c>
      <c r="H1135" s="226">
        <v>0</v>
      </c>
      <c r="I1135" s="227">
        <v>40</v>
      </c>
      <c r="J1135" t="s">
        <v>8359</v>
      </c>
      <c r="K1135" t="s">
        <v>8360</v>
      </c>
      <c r="L1135" s="228">
        <v>44293</v>
      </c>
      <c r="M1135" s="229">
        <v>44298</v>
      </c>
      <c r="N1135" t="s">
        <v>8240</v>
      </c>
      <c r="O1135" t="s">
        <v>8285</v>
      </c>
      <c r="P1135" t="s">
        <v>2317</v>
      </c>
      <c r="Q1135" t="str">
        <f>tblSales[[#This Row],[FirstName]]&amp; " " &amp;tblSales[[#This Row],[LastName]]</f>
        <v>Nancy Davolio</v>
      </c>
      <c r="R1135">
        <f>YEAR(tblSales[[#This Row],[OrderDate]])</f>
        <v>2021</v>
      </c>
      <c r="S1135">
        <f>WEEKNUM(tblSales[[#This Row],[OrderDate]])</f>
        <v>15</v>
      </c>
      <c r="T1135">
        <f>IF(ISBLANK(tblSales[[#This Row],[ShippedDate]]),"",tblSales[[#This Row],[ShippedDate]]-tblSales[[#This Row],[OrderDate]])</f>
        <v>5</v>
      </c>
      <c r="U1135" t="str">
        <f>LEFT(tblSales[[#This Row],[ProductName]],20)</f>
        <v>Gorgonzola Telino</v>
      </c>
    </row>
    <row r="1136" spans="2:21" x14ac:dyDescent="0.2">
      <c r="B1136">
        <v>11650</v>
      </c>
      <c r="C1136" t="s">
        <v>8252</v>
      </c>
      <c r="D1136" t="s">
        <v>8246</v>
      </c>
      <c r="E1136" t="s">
        <v>8247</v>
      </c>
      <c r="F1136" s="222">
        <v>18.600000000000001</v>
      </c>
      <c r="G1136">
        <v>9</v>
      </c>
      <c r="H1136" s="226">
        <v>0</v>
      </c>
      <c r="I1136" s="227">
        <v>167.4</v>
      </c>
      <c r="J1136" t="s">
        <v>8359</v>
      </c>
      <c r="K1136" t="s">
        <v>8360</v>
      </c>
      <c r="L1136" s="228">
        <v>44293</v>
      </c>
      <c r="M1136" s="229">
        <v>44298</v>
      </c>
      <c r="N1136" t="s">
        <v>8240</v>
      </c>
      <c r="O1136" t="s">
        <v>8285</v>
      </c>
      <c r="P1136" t="s">
        <v>2317</v>
      </c>
      <c r="Q1136" t="str">
        <f>tblSales[[#This Row],[FirstName]]&amp; " " &amp;tblSales[[#This Row],[LastName]]</f>
        <v>Nancy Davolio</v>
      </c>
      <c r="R1136">
        <f>YEAR(tblSales[[#This Row],[OrderDate]])</f>
        <v>2021</v>
      </c>
      <c r="S1136">
        <f>WEEKNUM(tblSales[[#This Row],[OrderDate]])</f>
        <v>15</v>
      </c>
      <c r="T1136">
        <f>IF(ISBLANK(tblSales[[#This Row],[ShippedDate]]),"",tblSales[[#This Row],[ShippedDate]]-tblSales[[#This Row],[OrderDate]])</f>
        <v>5</v>
      </c>
      <c r="U1136" t="str">
        <f>LEFT(tblSales[[#This Row],[ProductName]],20)</f>
        <v>Tofu</v>
      </c>
    </row>
    <row r="1137" spans="2:21" x14ac:dyDescent="0.2">
      <c r="B1137">
        <v>11651</v>
      </c>
      <c r="C1137" t="s">
        <v>8328</v>
      </c>
      <c r="D1137" t="s">
        <v>8324</v>
      </c>
      <c r="E1137" t="s">
        <v>8272</v>
      </c>
      <c r="F1137" s="222">
        <v>6.2</v>
      </c>
      <c r="G1137">
        <v>50</v>
      </c>
      <c r="H1137" s="226">
        <v>0</v>
      </c>
      <c r="I1137" s="227">
        <v>310</v>
      </c>
      <c r="J1137" t="s">
        <v>8363</v>
      </c>
      <c r="K1137" t="s">
        <v>8364</v>
      </c>
      <c r="L1137" s="228">
        <v>44294</v>
      </c>
      <c r="M1137" s="229">
        <v>44298</v>
      </c>
      <c r="N1137" t="s">
        <v>8265</v>
      </c>
      <c r="O1137" t="s">
        <v>8266</v>
      </c>
      <c r="P1137" t="s">
        <v>8267</v>
      </c>
      <c r="Q1137" t="str">
        <f>tblSales[[#This Row],[FirstName]]&amp; " " &amp;tblSales[[#This Row],[LastName]]</f>
        <v>Margaret Peacock</v>
      </c>
      <c r="R1137">
        <f>YEAR(tblSales[[#This Row],[OrderDate]])</f>
        <v>2021</v>
      </c>
      <c r="S1137">
        <f>WEEKNUM(tblSales[[#This Row],[OrderDate]])</f>
        <v>15</v>
      </c>
      <c r="T1137">
        <f>IF(ISBLANK(tblSales[[#This Row],[ShippedDate]]),"",tblSales[[#This Row],[ShippedDate]]-tblSales[[#This Row],[OrderDate]])</f>
        <v>4</v>
      </c>
      <c r="U1137" t="str">
        <f>LEFT(tblSales[[#This Row],[ProductName]],20)</f>
        <v>Rhönbräu Klosterbier</v>
      </c>
    </row>
    <row r="1138" spans="2:21" x14ac:dyDescent="0.2">
      <c r="B1138">
        <v>11651</v>
      </c>
      <c r="C1138" t="s">
        <v>8352</v>
      </c>
      <c r="D1138" t="s">
        <v>8324</v>
      </c>
      <c r="E1138" t="s">
        <v>8254</v>
      </c>
      <c r="F1138" s="222">
        <v>17.600000000000001</v>
      </c>
      <c r="G1138">
        <v>24</v>
      </c>
      <c r="H1138" s="226">
        <v>0</v>
      </c>
      <c r="I1138" s="227">
        <v>422.4</v>
      </c>
      <c r="J1138" t="s">
        <v>8363</v>
      </c>
      <c r="K1138" t="s">
        <v>8364</v>
      </c>
      <c r="L1138" s="228">
        <v>44294</v>
      </c>
      <c r="M1138" s="229">
        <v>44298</v>
      </c>
      <c r="N1138" t="s">
        <v>8265</v>
      </c>
      <c r="O1138" t="s">
        <v>8266</v>
      </c>
      <c r="P1138" t="s">
        <v>8267</v>
      </c>
      <c r="Q1138" t="str">
        <f>tblSales[[#This Row],[FirstName]]&amp; " " &amp;tblSales[[#This Row],[LastName]]</f>
        <v>Margaret Peacock</v>
      </c>
      <c r="R1138">
        <f>YEAR(tblSales[[#This Row],[OrderDate]])</f>
        <v>2021</v>
      </c>
      <c r="S1138">
        <f>WEEKNUM(tblSales[[#This Row],[OrderDate]])</f>
        <v>15</v>
      </c>
      <c r="T1138">
        <f>IF(ISBLANK(tblSales[[#This Row],[ShippedDate]]),"",tblSales[[#This Row],[ShippedDate]]-tblSales[[#This Row],[OrderDate]])</f>
        <v>4</v>
      </c>
      <c r="U1138" t="str">
        <f>LEFT(tblSales[[#This Row],[ProductName]],20)</f>
        <v>Chef Anton's Cajun S</v>
      </c>
    </row>
    <row r="1139" spans="2:21" x14ac:dyDescent="0.2">
      <c r="B1139">
        <v>11651</v>
      </c>
      <c r="C1139" t="s">
        <v>8258</v>
      </c>
      <c r="D1139" t="s">
        <v>8324</v>
      </c>
      <c r="E1139" t="s">
        <v>8244</v>
      </c>
      <c r="F1139" s="222">
        <v>15.6</v>
      </c>
      <c r="G1139">
        <v>16</v>
      </c>
      <c r="H1139" s="226">
        <v>0</v>
      </c>
      <c r="I1139" s="227">
        <v>249.6</v>
      </c>
      <c r="J1139" t="s">
        <v>8363</v>
      </c>
      <c r="K1139" t="s">
        <v>8364</v>
      </c>
      <c r="L1139" s="228">
        <v>44294</v>
      </c>
      <c r="M1139" s="229">
        <v>44298</v>
      </c>
      <c r="N1139" t="s">
        <v>8265</v>
      </c>
      <c r="O1139" t="s">
        <v>8266</v>
      </c>
      <c r="P1139" t="s">
        <v>8267</v>
      </c>
      <c r="Q1139" t="str">
        <f>tblSales[[#This Row],[FirstName]]&amp; " " &amp;tblSales[[#This Row],[LastName]]</f>
        <v>Margaret Peacock</v>
      </c>
      <c r="R1139">
        <f>YEAR(tblSales[[#This Row],[OrderDate]])</f>
        <v>2021</v>
      </c>
      <c r="S1139">
        <f>WEEKNUM(tblSales[[#This Row],[OrderDate]])</f>
        <v>15</v>
      </c>
      <c r="T1139">
        <f>IF(ISBLANK(tblSales[[#This Row],[ShippedDate]]),"",tblSales[[#This Row],[ShippedDate]]-tblSales[[#This Row],[OrderDate]])</f>
        <v>4</v>
      </c>
      <c r="U1139" t="str">
        <f>LEFT(tblSales[[#This Row],[ProductName]],20)</f>
        <v>Ravioli Angelo</v>
      </c>
    </row>
    <row r="1140" spans="2:21" x14ac:dyDescent="0.2">
      <c r="B1140">
        <v>11652</v>
      </c>
      <c r="C1140" t="s">
        <v>8276</v>
      </c>
      <c r="D1140" t="s">
        <v>8292</v>
      </c>
      <c r="E1140" t="s">
        <v>8272</v>
      </c>
      <c r="F1140" s="222">
        <v>15.2</v>
      </c>
      <c r="G1140">
        <v>25</v>
      </c>
      <c r="H1140" s="226">
        <v>0.20000000298023199</v>
      </c>
      <c r="I1140" s="227">
        <v>304</v>
      </c>
      <c r="J1140" t="s">
        <v>8293</v>
      </c>
      <c r="K1140" t="s">
        <v>8294</v>
      </c>
      <c r="L1140" s="228">
        <v>44295</v>
      </c>
      <c r="M1140" s="229">
        <v>44298</v>
      </c>
      <c r="N1140" t="s">
        <v>8250</v>
      </c>
      <c r="O1140" t="s">
        <v>8297</v>
      </c>
      <c r="P1140" t="s">
        <v>8298</v>
      </c>
      <c r="Q1140" t="str">
        <f>tblSales[[#This Row],[FirstName]]&amp; " " &amp;tblSales[[#This Row],[LastName]]</f>
        <v>Andrew Fuller</v>
      </c>
      <c r="R1140">
        <f>YEAR(tblSales[[#This Row],[OrderDate]])</f>
        <v>2021</v>
      </c>
      <c r="S1140">
        <f>WEEKNUM(tblSales[[#This Row],[OrderDate]])</f>
        <v>15</v>
      </c>
      <c r="T1140">
        <f>IF(ISBLANK(tblSales[[#This Row],[ShippedDate]]),"",tblSales[[#This Row],[ShippedDate]]-tblSales[[#This Row],[OrderDate]])</f>
        <v>3</v>
      </c>
      <c r="U1140" t="str">
        <f>LEFT(tblSales[[#This Row],[ProductName]],20)</f>
        <v>Chang</v>
      </c>
    </row>
    <row r="1141" spans="2:21" x14ac:dyDescent="0.2">
      <c r="B1141">
        <v>11652</v>
      </c>
      <c r="C1141" t="s">
        <v>8242</v>
      </c>
      <c r="D1141" t="s">
        <v>8292</v>
      </c>
      <c r="E1141" t="s">
        <v>8237</v>
      </c>
      <c r="F1141" s="222">
        <v>16.8</v>
      </c>
      <c r="G1141">
        <v>50</v>
      </c>
      <c r="H1141" s="226">
        <v>0.20000000298023199</v>
      </c>
      <c r="I1141" s="227">
        <v>672</v>
      </c>
      <c r="J1141" t="s">
        <v>8293</v>
      </c>
      <c r="K1141" t="s">
        <v>8294</v>
      </c>
      <c r="L1141" s="228">
        <v>44295</v>
      </c>
      <c r="M1141" s="229">
        <v>44298</v>
      </c>
      <c r="N1141" t="s">
        <v>8250</v>
      </c>
      <c r="O1141" t="s">
        <v>8297</v>
      </c>
      <c r="P1141" t="s">
        <v>8298</v>
      </c>
      <c r="Q1141" t="str">
        <f>tblSales[[#This Row],[FirstName]]&amp; " " &amp;tblSales[[#This Row],[LastName]]</f>
        <v>Andrew Fuller</v>
      </c>
      <c r="R1141">
        <f>YEAR(tblSales[[#This Row],[OrderDate]])</f>
        <v>2021</v>
      </c>
      <c r="S1141">
        <f>WEEKNUM(tblSales[[#This Row],[OrderDate]])</f>
        <v>15</v>
      </c>
      <c r="T1141">
        <f>IF(ISBLANK(tblSales[[#This Row],[ShippedDate]]),"",tblSales[[#This Row],[ShippedDate]]-tblSales[[#This Row],[OrderDate]])</f>
        <v>3</v>
      </c>
      <c r="U1141" t="str">
        <f>LEFT(tblSales[[#This Row],[ProductName]],20)</f>
        <v>Queso Cabrales</v>
      </c>
    </row>
    <row r="1142" spans="2:21" x14ac:dyDescent="0.2">
      <c r="B1142">
        <v>11653</v>
      </c>
      <c r="C1142" t="s">
        <v>8253</v>
      </c>
      <c r="D1142" t="s">
        <v>8365</v>
      </c>
      <c r="E1142" t="s">
        <v>8254</v>
      </c>
      <c r="F1142" s="222">
        <v>16.8</v>
      </c>
      <c r="G1142">
        <v>40</v>
      </c>
      <c r="H1142" s="226">
        <v>0</v>
      </c>
      <c r="I1142" s="227">
        <v>672</v>
      </c>
      <c r="J1142" t="s">
        <v>8366</v>
      </c>
      <c r="K1142" t="s">
        <v>8367</v>
      </c>
      <c r="L1142" s="228">
        <v>44298</v>
      </c>
      <c r="M1142" s="229">
        <v>44301</v>
      </c>
      <c r="N1142" t="s">
        <v>8240</v>
      </c>
      <c r="O1142" t="s">
        <v>8266</v>
      </c>
      <c r="P1142" t="s">
        <v>8267</v>
      </c>
      <c r="Q1142" t="str">
        <f>tblSales[[#This Row],[FirstName]]&amp; " " &amp;tblSales[[#This Row],[LastName]]</f>
        <v>Margaret Peacock</v>
      </c>
      <c r="R1142">
        <f>YEAR(tblSales[[#This Row],[OrderDate]])</f>
        <v>2021</v>
      </c>
      <c r="S1142">
        <f>WEEKNUM(tblSales[[#This Row],[OrderDate]])</f>
        <v>16</v>
      </c>
      <c r="T1142">
        <f>IF(ISBLANK(tblSales[[#This Row],[ShippedDate]]),"",tblSales[[#This Row],[ShippedDate]]-tblSales[[#This Row],[OrderDate]])</f>
        <v>3</v>
      </c>
      <c r="U1142" t="str">
        <f>LEFT(tblSales[[#This Row],[ProductName]],20)</f>
        <v xml:space="preserve">Louisiana Fiery Hot </v>
      </c>
    </row>
    <row r="1143" spans="2:21" x14ac:dyDescent="0.2">
      <c r="B1143">
        <v>11653</v>
      </c>
      <c r="C1143" t="s">
        <v>8334</v>
      </c>
      <c r="D1143" t="s">
        <v>8365</v>
      </c>
      <c r="E1143" t="s">
        <v>8262</v>
      </c>
      <c r="F1143" s="222">
        <v>10</v>
      </c>
      <c r="G1143">
        <v>10</v>
      </c>
      <c r="H1143" s="226">
        <v>0</v>
      </c>
      <c r="I1143" s="227">
        <v>100</v>
      </c>
      <c r="J1143" t="s">
        <v>8366</v>
      </c>
      <c r="K1143" t="s">
        <v>8367</v>
      </c>
      <c r="L1143" s="228">
        <v>44298</v>
      </c>
      <c r="M1143" s="229">
        <v>44301</v>
      </c>
      <c r="N1143" t="s">
        <v>8240</v>
      </c>
      <c r="O1143" t="s">
        <v>8266</v>
      </c>
      <c r="P1143" t="s">
        <v>8267</v>
      </c>
      <c r="Q1143" t="str">
        <f>tblSales[[#This Row],[FirstName]]&amp; " " &amp;tblSales[[#This Row],[LastName]]</f>
        <v>Margaret Peacock</v>
      </c>
      <c r="R1143">
        <f>YEAR(tblSales[[#This Row],[OrderDate]])</f>
        <v>2021</v>
      </c>
      <c r="S1143">
        <f>WEEKNUM(tblSales[[#This Row],[OrderDate]])</f>
        <v>16</v>
      </c>
      <c r="T1143">
        <f>IF(ISBLANK(tblSales[[#This Row],[ShippedDate]]),"",tblSales[[#This Row],[ShippedDate]]-tblSales[[#This Row],[OrderDate]])</f>
        <v>3</v>
      </c>
      <c r="U1143" t="str">
        <f>LEFT(tblSales[[#This Row],[ProductName]],20)</f>
        <v>Scottish Longbreads</v>
      </c>
    </row>
    <row r="1144" spans="2:21" x14ac:dyDescent="0.2">
      <c r="B1144">
        <v>11653</v>
      </c>
      <c r="C1144" t="s">
        <v>8281</v>
      </c>
      <c r="D1144" t="s">
        <v>8365</v>
      </c>
      <c r="E1144" t="s">
        <v>8237</v>
      </c>
      <c r="F1144" s="222">
        <v>44</v>
      </c>
      <c r="G1144">
        <v>9</v>
      </c>
      <c r="H1144" s="226">
        <v>0</v>
      </c>
      <c r="I1144" s="227">
        <v>396</v>
      </c>
      <c r="J1144" t="s">
        <v>8366</v>
      </c>
      <c r="K1144" t="s">
        <v>8367</v>
      </c>
      <c r="L1144" s="228">
        <v>44298</v>
      </c>
      <c r="M1144" s="229">
        <v>44301</v>
      </c>
      <c r="N1144" t="s">
        <v>8240</v>
      </c>
      <c r="O1144" t="s">
        <v>8266</v>
      </c>
      <c r="P1144" t="s">
        <v>8267</v>
      </c>
      <c r="Q1144" t="str">
        <f>tblSales[[#This Row],[FirstName]]&amp; " " &amp;tblSales[[#This Row],[LastName]]</f>
        <v>Margaret Peacock</v>
      </c>
      <c r="R1144">
        <f>YEAR(tblSales[[#This Row],[OrderDate]])</f>
        <v>2021</v>
      </c>
      <c r="S1144">
        <f>WEEKNUM(tblSales[[#This Row],[OrderDate]])</f>
        <v>16</v>
      </c>
      <c r="T1144">
        <f>IF(ISBLANK(tblSales[[#This Row],[ShippedDate]]),"",tblSales[[#This Row],[ShippedDate]]-tblSales[[#This Row],[OrderDate]])</f>
        <v>3</v>
      </c>
      <c r="U1144" t="str">
        <f>LEFT(tblSales[[#This Row],[ProductName]],20)</f>
        <v>Raclette Courdavault</v>
      </c>
    </row>
    <row r="1145" spans="2:21" x14ac:dyDescent="0.2">
      <c r="B1145">
        <v>11658</v>
      </c>
      <c r="C1145" t="s">
        <v>8368</v>
      </c>
      <c r="D1145" t="s">
        <v>8300</v>
      </c>
      <c r="E1145" t="s">
        <v>8262</v>
      </c>
      <c r="F1145" s="222">
        <v>8</v>
      </c>
      <c r="G1145">
        <v>10</v>
      </c>
      <c r="H1145" s="226">
        <v>0.10000000149011599</v>
      </c>
      <c r="I1145" s="227">
        <v>72</v>
      </c>
      <c r="J1145" t="s">
        <v>8301</v>
      </c>
      <c r="K1145" t="s">
        <v>8302</v>
      </c>
      <c r="L1145" s="228">
        <v>44302</v>
      </c>
      <c r="M1145" s="229">
        <v>44309</v>
      </c>
      <c r="N1145" t="s">
        <v>8240</v>
      </c>
      <c r="O1145" t="s">
        <v>8241</v>
      </c>
      <c r="P1145" t="s">
        <v>6934</v>
      </c>
      <c r="Q1145" t="str">
        <f>tblSales[[#This Row],[FirstName]]&amp; " " &amp;tblSales[[#This Row],[LastName]]</f>
        <v>Steven Buchanan</v>
      </c>
      <c r="R1145">
        <f>YEAR(tblSales[[#This Row],[OrderDate]])</f>
        <v>2021</v>
      </c>
      <c r="S1145">
        <f>WEEKNUM(tblSales[[#This Row],[OrderDate]])</f>
        <v>16</v>
      </c>
      <c r="T1145">
        <f>IF(ISBLANK(tblSales[[#This Row],[ShippedDate]]),"",tblSales[[#This Row],[ShippedDate]]-tblSales[[#This Row],[OrderDate]])</f>
        <v>7</v>
      </c>
      <c r="U1145" t="str">
        <f>LEFT(tblSales[[#This Row],[ProductName]],20)</f>
        <v>Sir Rodney's Scones</v>
      </c>
    </row>
    <row r="1146" spans="2:21" x14ac:dyDescent="0.2">
      <c r="B1146">
        <v>11658</v>
      </c>
      <c r="C1146" t="s">
        <v>8310</v>
      </c>
      <c r="D1146" t="s">
        <v>8300</v>
      </c>
      <c r="E1146" t="s">
        <v>8237</v>
      </c>
      <c r="F1146" s="222">
        <v>17.2</v>
      </c>
      <c r="G1146">
        <v>40</v>
      </c>
      <c r="H1146" s="226">
        <v>0.10000000149011599</v>
      </c>
      <c r="I1146" s="227">
        <v>619.20000000000005</v>
      </c>
      <c r="J1146" t="s">
        <v>8301</v>
      </c>
      <c r="K1146" t="s">
        <v>8302</v>
      </c>
      <c r="L1146" s="228">
        <v>44302</v>
      </c>
      <c r="M1146" s="229">
        <v>44309</v>
      </c>
      <c r="N1146" t="s">
        <v>8240</v>
      </c>
      <c r="O1146" t="s">
        <v>8241</v>
      </c>
      <c r="P1146" t="s">
        <v>6934</v>
      </c>
      <c r="Q1146" t="str">
        <f>tblSales[[#This Row],[FirstName]]&amp; " " &amp;tblSales[[#This Row],[LastName]]</f>
        <v>Steven Buchanan</v>
      </c>
      <c r="R1146">
        <f>YEAR(tblSales[[#This Row],[OrderDate]])</f>
        <v>2021</v>
      </c>
      <c r="S1146">
        <f>WEEKNUM(tblSales[[#This Row],[OrderDate]])</f>
        <v>16</v>
      </c>
      <c r="T1146">
        <f>IF(ISBLANK(tblSales[[#This Row],[ShippedDate]]),"",tblSales[[#This Row],[ShippedDate]]-tblSales[[#This Row],[OrderDate]])</f>
        <v>7</v>
      </c>
      <c r="U1146" t="str">
        <f>LEFT(tblSales[[#This Row],[ProductName]],20)</f>
        <v>Fløtemysost</v>
      </c>
    </row>
    <row r="1147" spans="2:21" x14ac:dyDescent="0.2">
      <c r="B1147">
        <v>11658</v>
      </c>
      <c r="C1147" t="s">
        <v>8252</v>
      </c>
      <c r="D1147" t="s">
        <v>8300</v>
      </c>
      <c r="E1147" t="s">
        <v>8247</v>
      </c>
      <c r="F1147" s="222">
        <v>18.600000000000001</v>
      </c>
      <c r="G1147">
        <v>10</v>
      </c>
      <c r="H1147" s="226">
        <v>0</v>
      </c>
      <c r="I1147" s="227">
        <v>186</v>
      </c>
      <c r="J1147" t="s">
        <v>8301</v>
      </c>
      <c r="K1147" t="s">
        <v>8302</v>
      </c>
      <c r="L1147" s="228">
        <v>44302</v>
      </c>
      <c r="M1147" s="229">
        <v>44309</v>
      </c>
      <c r="N1147" t="s">
        <v>8240</v>
      </c>
      <c r="O1147" t="s">
        <v>8241</v>
      </c>
      <c r="P1147" t="s">
        <v>6934</v>
      </c>
      <c r="Q1147" t="str">
        <f>tblSales[[#This Row],[FirstName]]&amp; " " &amp;tblSales[[#This Row],[LastName]]</f>
        <v>Steven Buchanan</v>
      </c>
      <c r="R1147">
        <f>YEAR(tblSales[[#This Row],[OrderDate]])</f>
        <v>2021</v>
      </c>
      <c r="S1147">
        <f>WEEKNUM(tblSales[[#This Row],[OrderDate]])</f>
        <v>16</v>
      </c>
      <c r="T1147">
        <f>IF(ISBLANK(tblSales[[#This Row],[ShippedDate]]),"",tblSales[[#This Row],[ShippedDate]]-tblSales[[#This Row],[OrderDate]])</f>
        <v>7</v>
      </c>
      <c r="U1147" t="str">
        <f>LEFT(tblSales[[#This Row],[ProductName]],20)</f>
        <v>Tofu</v>
      </c>
    </row>
    <row r="1148" spans="2:21" x14ac:dyDescent="0.2">
      <c r="B1148">
        <v>11659</v>
      </c>
      <c r="C1148" t="s">
        <v>8334</v>
      </c>
      <c r="D1148" t="s">
        <v>8236</v>
      </c>
      <c r="E1148" t="s">
        <v>8262</v>
      </c>
      <c r="F1148" s="222">
        <v>10</v>
      </c>
      <c r="G1148">
        <v>10</v>
      </c>
      <c r="H1148" s="226">
        <v>0</v>
      </c>
      <c r="I1148" s="227">
        <v>100</v>
      </c>
      <c r="J1148" t="s">
        <v>8255</v>
      </c>
      <c r="K1148" t="s">
        <v>8256</v>
      </c>
      <c r="L1148" s="228">
        <v>44305</v>
      </c>
      <c r="M1148" s="229">
        <v>44312</v>
      </c>
      <c r="N1148" t="s">
        <v>8265</v>
      </c>
      <c r="O1148" t="s">
        <v>8320</v>
      </c>
      <c r="P1148" t="s">
        <v>8321</v>
      </c>
      <c r="Q1148" t="str">
        <f>tblSales[[#This Row],[FirstName]]&amp; " " &amp;tblSales[[#This Row],[LastName]]</f>
        <v>Laura Callahan</v>
      </c>
      <c r="R1148">
        <f>YEAR(tblSales[[#This Row],[OrderDate]])</f>
        <v>2021</v>
      </c>
      <c r="S1148">
        <f>WEEKNUM(tblSales[[#This Row],[OrderDate]])</f>
        <v>17</v>
      </c>
      <c r="T1148">
        <f>IF(ISBLANK(tblSales[[#This Row],[ShippedDate]]),"",tblSales[[#This Row],[ShippedDate]]-tblSales[[#This Row],[OrderDate]])</f>
        <v>7</v>
      </c>
      <c r="U1148" t="str">
        <f>LEFT(tblSales[[#This Row],[ProductName]],20)</f>
        <v>Scottish Longbreads</v>
      </c>
    </row>
    <row r="1149" spans="2:21" x14ac:dyDescent="0.2">
      <c r="B1149">
        <v>11659</v>
      </c>
      <c r="C1149" t="s">
        <v>8369</v>
      </c>
      <c r="D1149" t="s">
        <v>8236</v>
      </c>
      <c r="E1149" t="s">
        <v>8244</v>
      </c>
      <c r="F1149" s="222">
        <v>5.6</v>
      </c>
      <c r="G1149">
        <v>8</v>
      </c>
      <c r="H1149" s="226">
        <v>0</v>
      </c>
      <c r="I1149" s="227">
        <v>44.8</v>
      </c>
      <c r="J1149" t="s">
        <v>8255</v>
      </c>
      <c r="K1149" t="s">
        <v>8256</v>
      </c>
      <c r="L1149" s="228">
        <v>44305</v>
      </c>
      <c r="M1149" s="229">
        <v>44312</v>
      </c>
      <c r="N1149" t="s">
        <v>8265</v>
      </c>
      <c r="O1149" t="s">
        <v>8320</v>
      </c>
      <c r="P1149" t="s">
        <v>8321</v>
      </c>
      <c r="Q1149" t="str">
        <f>tblSales[[#This Row],[FirstName]]&amp; " " &amp;tblSales[[#This Row],[LastName]]</f>
        <v>Laura Callahan</v>
      </c>
      <c r="R1149">
        <f>YEAR(tblSales[[#This Row],[OrderDate]])</f>
        <v>2021</v>
      </c>
      <c r="S1149">
        <f>WEEKNUM(tblSales[[#This Row],[OrderDate]])</f>
        <v>17</v>
      </c>
      <c r="T1149">
        <f>IF(ISBLANK(tblSales[[#This Row],[ShippedDate]]),"",tblSales[[#This Row],[ShippedDate]]-tblSales[[#This Row],[OrderDate]])</f>
        <v>7</v>
      </c>
      <c r="U1149" t="str">
        <f>LEFT(tblSales[[#This Row],[ProductName]],20)</f>
        <v>Filo Mix</v>
      </c>
    </row>
    <row r="1150" spans="2:21" x14ac:dyDescent="0.2">
      <c r="B1150">
        <v>11660</v>
      </c>
      <c r="C1150" t="s">
        <v>8276</v>
      </c>
      <c r="D1150" t="s">
        <v>8343</v>
      </c>
      <c r="E1150" t="s">
        <v>8272</v>
      </c>
      <c r="F1150" s="222">
        <v>15.2</v>
      </c>
      <c r="G1150">
        <v>7</v>
      </c>
      <c r="H1150" s="226">
        <v>0.20000000298023199</v>
      </c>
      <c r="I1150" s="227">
        <v>85.12</v>
      </c>
      <c r="J1150" t="s">
        <v>8344</v>
      </c>
      <c r="K1150" t="s">
        <v>8345</v>
      </c>
      <c r="L1150" s="228">
        <v>44306</v>
      </c>
      <c r="M1150" s="229">
        <v>44308</v>
      </c>
      <c r="N1150" t="s">
        <v>8265</v>
      </c>
      <c r="O1150" t="s">
        <v>8158</v>
      </c>
      <c r="P1150" t="s">
        <v>861</v>
      </c>
      <c r="Q1150" t="str">
        <f>tblSales[[#This Row],[FirstName]]&amp; " " &amp;tblSales[[#This Row],[LastName]]</f>
        <v>Robert King</v>
      </c>
      <c r="R1150">
        <f>YEAR(tblSales[[#This Row],[OrderDate]])</f>
        <v>2021</v>
      </c>
      <c r="S1150">
        <f>WEEKNUM(tblSales[[#This Row],[OrderDate]])</f>
        <v>17</v>
      </c>
      <c r="T1150">
        <f>IF(ISBLANK(tblSales[[#This Row],[ShippedDate]]),"",tblSales[[#This Row],[ShippedDate]]-tblSales[[#This Row],[OrderDate]])</f>
        <v>2</v>
      </c>
      <c r="U1150" t="str">
        <f>LEFT(tblSales[[#This Row],[ProductName]],20)</f>
        <v>Chang</v>
      </c>
    </row>
    <row r="1151" spans="2:21" x14ac:dyDescent="0.2">
      <c r="B1151">
        <v>11660</v>
      </c>
      <c r="C1151" t="s">
        <v>8309</v>
      </c>
      <c r="D1151" t="s">
        <v>8343</v>
      </c>
      <c r="E1151" t="s">
        <v>8237</v>
      </c>
      <c r="F1151" s="222">
        <v>10</v>
      </c>
      <c r="G1151">
        <v>25</v>
      </c>
      <c r="H1151" s="226">
        <v>0.20000000298023199</v>
      </c>
      <c r="I1151" s="227">
        <v>200</v>
      </c>
      <c r="J1151" t="s">
        <v>8344</v>
      </c>
      <c r="K1151" t="s">
        <v>8345</v>
      </c>
      <c r="L1151" s="228">
        <v>44306</v>
      </c>
      <c r="M1151" s="229">
        <v>44308</v>
      </c>
      <c r="N1151" t="s">
        <v>8265</v>
      </c>
      <c r="O1151" t="s">
        <v>8158</v>
      </c>
      <c r="P1151" t="s">
        <v>861</v>
      </c>
      <c r="Q1151" t="str">
        <f>tblSales[[#This Row],[FirstName]]&amp; " " &amp;tblSales[[#This Row],[LastName]]</f>
        <v>Robert King</v>
      </c>
      <c r="R1151">
        <f>YEAR(tblSales[[#This Row],[OrderDate]])</f>
        <v>2021</v>
      </c>
      <c r="S1151">
        <f>WEEKNUM(tblSales[[#This Row],[OrderDate]])</f>
        <v>17</v>
      </c>
      <c r="T1151">
        <f>IF(ISBLANK(tblSales[[#This Row],[ShippedDate]]),"",tblSales[[#This Row],[ShippedDate]]-tblSales[[#This Row],[OrderDate]])</f>
        <v>2</v>
      </c>
      <c r="U1151" t="str">
        <f>LEFT(tblSales[[#This Row],[ProductName]],20)</f>
        <v>Gorgonzola Telino</v>
      </c>
    </row>
    <row r="1152" spans="2:21" x14ac:dyDescent="0.2">
      <c r="B1152">
        <v>11660</v>
      </c>
      <c r="C1152" t="s">
        <v>8287</v>
      </c>
      <c r="D1152" t="s">
        <v>8343</v>
      </c>
      <c r="E1152" t="s">
        <v>8237</v>
      </c>
      <c r="F1152" s="222">
        <v>25.6</v>
      </c>
      <c r="G1152">
        <v>6</v>
      </c>
      <c r="H1152" s="226">
        <v>0.20000000298023199</v>
      </c>
      <c r="I1152" s="227">
        <v>122.88</v>
      </c>
      <c r="J1152" t="s">
        <v>8344</v>
      </c>
      <c r="K1152" t="s">
        <v>8345</v>
      </c>
      <c r="L1152" s="228">
        <v>44306</v>
      </c>
      <c r="M1152" s="229">
        <v>44308</v>
      </c>
      <c r="N1152" t="s">
        <v>8265</v>
      </c>
      <c r="O1152" t="s">
        <v>8158</v>
      </c>
      <c r="P1152" t="s">
        <v>861</v>
      </c>
      <c r="Q1152" t="str">
        <f>tblSales[[#This Row],[FirstName]]&amp; " " &amp;tblSales[[#This Row],[LastName]]</f>
        <v>Robert King</v>
      </c>
      <c r="R1152">
        <f>YEAR(tblSales[[#This Row],[OrderDate]])</f>
        <v>2021</v>
      </c>
      <c r="S1152">
        <f>WEEKNUM(tblSales[[#This Row],[OrderDate]])</f>
        <v>17</v>
      </c>
      <c r="T1152">
        <f>IF(ISBLANK(tblSales[[#This Row],[ShippedDate]]),"",tblSales[[#This Row],[ShippedDate]]-tblSales[[#This Row],[OrderDate]])</f>
        <v>2</v>
      </c>
      <c r="U1152" t="str">
        <f>LEFT(tblSales[[#This Row],[ProductName]],20)</f>
        <v>Mascarpone Fabioli</v>
      </c>
    </row>
    <row r="1153" spans="2:21" x14ac:dyDescent="0.2">
      <c r="B1153">
        <v>11660</v>
      </c>
      <c r="C1153" t="s">
        <v>8245</v>
      </c>
      <c r="D1153" t="s">
        <v>8343</v>
      </c>
      <c r="E1153" t="s">
        <v>8247</v>
      </c>
      <c r="F1153" s="222">
        <v>42.4</v>
      </c>
      <c r="G1153">
        <v>48</v>
      </c>
      <c r="H1153" s="226">
        <v>0.20000000298023199</v>
      </c>
      <c r="I1153" s="227">
        <v>1628.16</v>
      </c>
      <c r="J1153" t="s">
        <v>8344</v>
      </c>
      <c r="K1153" t="s">
        <v>8345</v>
      </c>
      <c r="L1153" s="228">
        <v>44306</v>
      </c>
      <c r="M1153" s="229">
        <v>44308</v>
      </c>
      <c r="N1153" t="s">
        <v>8265</v>
      </c>
      <c r="O1153" t="s">
        <v>8158</v>
      </c>
      <c r="P1153" t="s">
        <v>861</v>
      </c>
      <c r="Q1153" t="str">
        <f>tblSales[[#This Row],[FirstName]]&amp; " " &amp;tblSales[[#This Row],[LastName]]</f>
        <v>Robert King</v>
      </c>
      <c r="R1153">
        <f>YEAR(tblSales[[#This Row],[OrderDate]])</f>
        <v>2021</v>
      </c>
      <c r="S1153">
        <f>WEEKNUM(tblSales[[#This Row],[OrderDate]])</f>
        <v>17</v>
      </c>
      <c r="T1153">
        <f>IF(ISBLANK(tblSales[[#This Row],[ShippedDate]]),"",tblSales[[#This Row],[ShippedDate]]-tblSales[[#This Row],[OrderDate]])</f>
        <v>2</v>
      </c>
      <c r="U1153" t="str">
        <f>LEFT(tblSales[[#This Row],[ProductName]],20)</f>
        <v>Manjimup Dried Apple</v>
      </c>
    </row>
    <row r="1154" spans="2:21" x14ac:dyDescent="0.2">
      <c r="B1154">
        <v>11661</v>
      </c>
      <c r="C1154" t="s">
        <v>8352</v>
      </c>
      <c r="D1154" t="s">
        <v>8365</v>
      </c>
      <c r="E1154" t="s">
        <v>8254</v>
      </c>
      <c r="F1154" s="222">
        <v>17.600000000000001</v>
      </c>
      <c r="G1154">
        <v>18</v>
      </c>
      <c r="H1154" s="226">
        <v>0.10000000149011599</v>
      </c>
      <c r="I1154" s="227">
        <v>285.12</v>
      </c>
      <c r="J1154" t="s">
        <v>8370</v>
      </c>
      <c r="K1154" t="s">
        <v>8371</v>
      </c>
      <c r="L1154" s="228">
        <v>44307</v>
      </c>
      <c r="M1154" s="229">
        <v>44309</v>
      </c>
      <c r="N1154" t="s">
        <v>8265</v>
      </c>
      <c r="O1154" t="s">
        <v>8158</v>
      </c>
      <c r="P1154" t="s">
        <v>861</v>
      </c>
      <c r="Q1154" t="str">
        <f>tblSales[[#This Row],[FirstName]]&amp; " " &amp;tblSales[[#This Row],[LastName]]</f>
        <v>Robert King</v>
      </c>
      <c r="R1154">
        <f>YEAR(tblSales[[#This Row],[OrderDate]])</f>
        <v>2021</v>
      </c>
      <c r="S1154">
        <f>WEEKNUM(tblSales[[#This Row],[OrderDate]])</f>
        <v>17</v>
      </c>
      <c r="T1154">
        <f>IF(ISBLANK(tblSales[[#This Row],[ShippedDate]]),"",tblSales[[#This Row],[ShippedDate]]-tblSales[[#This Row],[OrderDate]])</f>
        <v>2</v>
      </c>
      <c r="U1154" t="str">
        <f>LEFT(tblSales[[#This Row],[ProductName]],20)</f>
        <v>Chef Anton's Cajun S</v>
      </c>
    </row>
    <row r="1155" spans="2:21" x14ac:dyDescent="0.2">
      <c r="B1155">
        <v>11662</v>
      </c>
      <c r="C1155" t="s">
        <v>8372</v>
      </c>
      <c r="D1155" t="s">
        <v>8246</v>
      </c>
      <c r="E1155" t="s">
        <v>8262</v>
      </c>
      <c r="F1155" s="222">
        <v>24.9</v>
      </c>
      <c r="G1155">
        <v>24</v>
      </c>
      <c r="H1155" s="226">
        <v>0</v>
      </c>
      <c r="I1155" s="227">
        <v>597.6</v>
      </c>
      <c r="J1155" t="s">
        <v>8304</v>
      </c>
      <c r="K1155" t="s">
        <v>8305</v>
      </c>
      <c r="L1155" s="228">
        <v>44308</v>
      </c>
      <c r="M1155" s="229">
        <v>44313</v>
      </c>
      <c r="N1155" t="s">
        <v>8240</v>
      </c>
      <c r="O1155" t="s">
        <v>8266</v>
      </c>
      <c r="P1155" t="s">
        <v>8267</v>
      </c>
      <c r="Q1155" t="str">
        <f>tblSales[[#This Row],[FirstName]]&amp; " " &amp;tblSales[[#This Row],[LastName]]</f>
        <v>Margaret Peacock</v>
      </c>
      <c r="R1155">
        <f>YEAR(tblSales[[#This Row],[OrderDate]])</f>
        <v>2021</v>
      </c>
      <c r="S1155">
        <f>WEEKNUM(tblSales[[#This Row],[OrderDate]])</f>
        <v>17</v>
      </c>
      <c r="T1155">
        <f>IF(ISBLANK(tblSales[[#This Row],[ShippedDate]]),"",tblSales[[#This Row],[ShippedDate]]-tblSales[[#This Row],[OrderDate]])</f>
        <v>5</v>
      </c>
      <c r="U1155" t="str">
        <f>LEFT(tblSales[[#This Row],[ProductName]],20)</f>
        <v>Gumbär Gummibärchen</v>
      </c>
    </row>
    <row r="1156" spans="2:21" x14ac:dyDescent="0.2">
      <c r="B1156">
        <v>11662</v>
      </c>
      <c r="C1156" t="s">
        <v>8235</v>
      </c>
      <c r="D1156" t="s">
        <v>8246</v>
      </c>
      <c r="E1156" t="s">
        <v>8237</v>
      </c>
      <c r="F1156" s="222">
        <v>27.8</v>
      </c>
      <c r="G1156">
        <v>25</v>
      </c>
      <c r="H1156" s="226">
        <v>0</v>
      </c>
      <c r="I1156" s="227">
        <v>695</v>
      </c>
      <c r="J1156" t="s">
        <v>8304</v>
      </c>
      <c r="K1156" t="s">
        <v>8305</v>
      </c>
      <c r="L1156" s="228">
        <v>44308</v>
      </c>
      <c r="M1156" s="229">
        <v>44313</v>
      </c>
      <c r="N1156" t="s">
        <v>8240</v>
      </c>
      <c r="O1156" t="s">
        <v>8266</v>
      </c>
      <c r="P1156" t="s">
        <v>8267</v>
      </c>
      <c r="Q1156" t="str">
        <f>tblSales[[#This Row],[FirstName]]&amp; " " &amp;tblSales[[#This Row],[LastName]]</f>
        <v>Margaret Peacock</v>
      </c>
      <c r="R1156">
        <f>YEAR(tblSales[[#This Row],[OrderDate]])</f>
        <v>2021</v>
      </c>
      <c r="S1156">
        <f>WEEKNUM(tblSales[[#This Row],[OrderDate]])</f>
        <v>17</v>
      </c>
      <c r="T1156">
        <f>IF(ISBLANK(tblSales[[#This Row],[ShippedDate]]),"",tblSales[[#This Row],[ShippedDate]]-tblSales[[#This Row],[OrderDate]])</f>
        <v>5</v>
      </c>
      <c r="U1156" t="str">
        <f>LEFT(tblSales[[#This Row],[ProductName]],20)</f>
        <v>Mozzarella di Giovan</v>
      </c>
    </row>
    <row r="1157" spans="2:21" x14ac:dyDescent="0.2">
      <c r="B1157">
        <v>11662</v>
      </c>
      <c r="C1157" t="s">
        <v>8373</v>
      </c>
      <c r="D1157" t="s">
        <v>8246</v>
      </c>
      <c r="E1157" t="s">
        <v>8244</v>
      </c>
      <c r="F1157" s="222">
        <v>7.2</v>
      </c>
      <c r="G1157">
        <v>40</v>
      </c>
      <c r="H1157" s="226">
        <v>0</v>
      </c>
      <c r="I1157" s="227">
        <v>288</v>
      </c>
      <c r="J1157" t="s">
        <v>8304</v>
      </c>
      <c r="K1157" t="s">
        <v>8305</v>
      </c>
      <c r="L1157" s="228">
        <v>44308</v>
      </c>
      <c r="M1157" s="229">
        <v>44313</v>
      </c>
      <c r="N1157" t="s">
        <v>8240</v>
      </c>
      <c r="O1157" t="s">
        <v>8266</v>
      </c>
      <c r="P1157" t="s">
        <v>8267</v>
      </c>
      <c r="Q1157" t="str">
        <f>tblSales[[#This Row],[FirstName]]&amp; " " &amp;tblSales[[#This Row],[LastName]]</f>
        <v>Margaret Peacock</v>
      </c>
      <c r="R1157">
        <f>YEAR(tblSales[[#This Row],[OrderDate]])</f>
        <v>2021</v>
      </c>
      <c r="S1157">
        <f>WEEKNUM(tblSales[[#This Row],[OrderDate]])</f>
        <v>17</v>
      </c>
      <c r="T1157">
        <f>IF(ISBLANK(tblSales[[#This Row],[ShippedDate]]),"",tblSales[[#This Row],[ShippedDate]]-tblSales[[#This Row],[OrderDate]])</f>
        <v>5</v>
      </c>
      <c r="U1157" t="str">
        <f>LEFT(tblSales[[#This Row],[ProductName]],20)</f>
        <v>Tunnbröd</v>
      </c>
    </row>
    <row r="1158" spans="2:21" x14ac:dyDescent="0.2">
      <c r="B1158">
        <v>11666</v>
      </c>
      <c r="C1158" t="s">
        <v>8281</v>
      </c>
      <c r="D1158" t="s">
        <v>8374</v>
      </c>
      <c r="E1158" t="s">
        <v>8237</v>
      </c>
      <c r="F1158" s="222">
        <v>44</v>
      </c>
      <c r="G1158">
        <v>9</v>
      </c>
      <c r="H1158" s="226">
        <v>0.15000000596046401</v>
      </c>
      <c r="I1158" s="227">
        <v>336.6</v>
      </c>
      <c r="J1158" t="s">
        <v>8375</v>
      </c>
      <c r="K1158" t="s">
        <v>8376</v>
      </c>
      <c r="L1158" s="228">
        <v>44313</v>
      </c>
      <c r="M1158" s="229">
        <v>44320</v>
      </c>
      <c r="N1158" t="s">
        <v>8240</v>
      </c>
      <c r="O1158" t="s">
        <v>8158</v>
      </c>
      <c r="P1158" t="s">
        <v>861</v>
      </c>
      <c r="Q1158" t="str">
        <f>tblSales[[#This Row],[FirstName]]&amp; " " &amp;tblSales[[#This Row],[LastName]]</f>
        <v>Robert King</v>
      </c>
      <c r="R1158">
        <f>YEAR(tblSales[[#This Row],[OrderDate]])</f>
        <v>2021</v>
      </c>
      <c r="S1158">
        <f>WEEKNUM(tblSales[[#This Row],[OrderDate]])</f>
        <v>18</v>
      </c>
      <c r="T1158">
        <f>IF(ISBLANK(tblSales[[#This Row],[ShippedDate]]),"",tblSales[[#This Row],[ShippedDate]]-tblSales[[#This Row],[OrderDate]])</f>
        <v>7</v>
      </c>
      <c r="U1158" t="str">
        <f>LEFT(tblSales[[#This Row],[ProductName]],20)</f>
        <v>Raclette Courdavault</v>
      </c>
    </row>
    <row r="1159" spans="2:21" x14ac:dyDescent="0.2">
      <c r="B1159">
        <v>11666</v>
      </c>
      <c r="C1159" t="s">
        <v>8269</v>
      </c>
      <c r="D1159" t="s">
        <v>8374</v>
      </c>
      <c r="E1159" t="s">
        <v>8237</v>
      </c>
      <c r="F1159" s="222">
        <v>2</v>
      </c>
      <c r="G1159">
        <v>8</v>
      </c>
      <c r="H1159" s="226">
        <v>0</v>
      </c>
      <c r="I1159" s="227">
        <v>16</v>
      </c>
      <c r="J1159" t="s">
        <v>8375</v>
      </c>
      <c r="K1159" t="s">
        <v>8376</v>
      </c>
      <c r="L1159" s="228">
        <v>44313</v>
      </c>
      <c r="M1159" s="229">
        <v>44320</v>
      </c>
      <c r="N1159" t="s">
        <v>8240</v>
      </c>
      <c r="O1159" t="s">
        <v>8158</v>
      </c>
      <c r="P1159" t="s">
        <v>861</v>
      </c>
      <c r="Q1159" t="str">
        <f>tblSales[[#This Row],[FirstName]]&amp; " " &amp;tblSales[[#This Row],[LastName]]</f>
        <v>Robert King</v>
      </c>
      <c r="R1159">
        <f>YEAR(tblSales[[#This Row],[OrderDate]])</f>
        <v>2021</v>
      </c>
      <c r="S1159">
        <f>WEEKNUM(tblSales[[#This Row],[OrderDate]])</f>
        <v>18</v>
      </c>
      <c r="T1159">
        <f>IF(ISBLANK(tblSales[[#This Row],[ShippedDate]]),"",tblSales[[#This Row],[ShippedDate]]-tblSales[[#This Row],[OrderDate]])</f>
        <v>7</v>
      </c>
      <c r="U1159" t="str">
        <f>LEFT(tblSales[[#This Row],[ProductName]],20)</f>
        <v>Geitost</v>
      </c>
    </row>
    <row r="1160" spans="2:21" x14ac:dyDescent="0.2">
      <c r="B1160">
        <v>11665</v>
      </c>
      <c r="C1160" t="s">
        <v>8306</v>
      </c>
      <c r="D1160" t="s">
        <v>8236</v>
      </c>
      <c r="E1160" t="s">
        <v>8272</v>
      </c>
      <c r="F1160" s="222">
        <v>36.799999999999997</v>
      </c>
      <c r="G1160">
        <v>40</v>
      </c>
      <c r="H1160" s="226">
        <v>5.0000000745058101E-2</v>
      </c>
      <c r="I1160" s="227">
        <v>1398.4</v>
      </c>
      <c r="J1160" t="s">
        <v>8377</v>
      </c>
      <c r="K1160" t="s">
        <v>8378</v>
      </c>
      <c r="L1160" s="228">
        <v>44313</v>
      </c>
      <c r="M1160" s="229">
        <v>44323</v>
      </c>
      <c r="N1160" t="s">
        <v>8240</v>
      </c>
      <c r="O1160" t="s">
        <v>8285</v>
      </c>
      <c r="P1160" t="s">
        <v>2317</v>
      </c>
      <c r="Q1160" t="str">
        <f>tblSales[[#This Row],[FirstName]]&amp; " " &amp;tblSales[[#This Row],[LastName]]</f>
        <v>Nancy Davolio</v>
      </c>
      <c r="R1160">
        <f>YEAR(tblSales[[#This Row],[OrderDate]])</f>
        <v>2021</v>
      </c>
      <c r="S1160">
        <f>WEEKNUM(tblSales[[#This Row],[OrderDate]])</f>
        <v>18</v>
      </c>
      <c r="T1160">
        <f>IF(ISBLANK(tblSales[[#This Row],[ShippedDate]]),"",tblSales[[#This Row],[ShippedDate]]-tblSales[[#This Row],[OrderDate]])</f>
        <v>10</v>
      </c>
      <c r="U1160" t="str">
        <f>LEFT(tblSales[[#This Row],[ProductName]],20)</f>
        <v>Ipoh Coffee</v>
      </c>
    </row>
    <row r="1161" spans="2:21" x14ac:dyDescent="0.2">
      <c r="B1161">
        <v>11667</v>
      </c>
      <c r="C1161" t="s">
        <v>8276</v>
      </c>
      <c r="D1161" t="s">
        <v>8246</v>
      </c>
      <c r="E1161" t="s">
        <v>8272</v>
      </c>
      <c r="F1161" s="222">
        <v>15.2</v>
      </c>
      <c r="G1161">
        <v>24</v>
      </c>
      <c r="H1161" s="226">
        <v>0.20000000298023199</v>
      </c>
      <c r="I1161" s="227">
        <v>291.83999999999997</v>
      </c>
      <c r="J1161" t="s">
        <v>8304</v>
      </c>
      <c r="K1161" t="s">
        <v>8305</v>
      </c>
      <c r="L1161" s="228">
        <v>44314</v>
      </c>
      <c r="M1161" s="229">
        <v>44319</v>
      </c>
      <c r="N1161" t="s">
        <v>8265</v>
      </c>
      <c r="O1161" t="s">
        <v>8266</v>
      </c>
      <c r="P1161" t="s">
        <v>8267</v>
      </c>
      <c r="Q1161" t="str">
        <f>tblSales[[#This Row],[FirstName]]&amp; " " &amp;tblSales[[#This Row],[LastName]]</f>
        <v>Margaret Peacock</v>
      </c>
      <c r="R1161">
        <f>YEAR(tblSales[[#This Row],[OrderDate]])</f>
        <v>2021</v>
      </c>
      <c r="S1161">
        <f>WEEKNUM(tblSales[[#This Row],[OrderDate]])</f>
        <v>18</v>
      </c>
      <c r="T1161">
        <f>IF(ISBLANK(tblSales[[#This Row],[ShippedDate]]),"",tblSales[[#This Row],[ShippedDate]]-tblSales[[#This Row],[OrderDate]])</f>
        <v>5</v>
      </c>
      <c r="U1161" t="str">
        <f>LEFT(tblSales[[#This Row],[ProductName]],20)</f>
        <v>Chang</v>
      </c>
    </row>
    <row r="1162" spans="2:21" x14ac:dyDescent="0.2">
      <c r="B1162">
        <v>11667</v>
      </c>
      <c r="C1162" t="s">
        <v>8309</v>
      </c>
      <c r="D1162" t="s">
        <v>8246</v>
      </c>
      <c r="E1162" t="s">
        <v>8237</v>
      </c>
      <c r="F1162" s="222">
        <v>10</v>
      </c>
      <c r="G1162">
        <v>56</v>
      </c>
      <c r="H1162" s="226">
        <v>0.20000000298023199</v>
      </c>
      <c r="I1162" s="227">
        <v>448</v>
      </c>
      <c r="J1162" t="s">
        <v>8304</v>
      </c>
      <c r="K1162" t="s">
        <v>8305</v>
      </c>
      <c r="L1162" s="228">
        <v>44314</v>
      </c>
      <c r="M1162" s="229">
        <v>44319</v>
      </c>
      <c r="N1162" t="s">
        <v>8265</v>
      </c>
      <c r="O1162" t="s">
        <v>8266</v>
      </c>
      <c r="P1162" t="s">
        <v>8267</v>
      </c>
      <c r="Q1162" t="str">
        <f>tblSales[[#This Row],[FirstName]]&amp; " " &amp;tblSales[[#This Row],[LastName]]</f>
        <v>Margaret Peacock</v>
      </c>
      <c r="R1162">
        <f>YEAR(tblSales[[#This Row],[OrderDate]])</f>
        <v>2021</v>
      </c>
      <c r="S1162">
        <f>WEEKNUM(tblSales[[#This Row],[OrderDate]])</f>
        <v>18</v>
      </c>
      <c r="T1162">
        <f>IF(ISBLANK(tblSales[[#This Row],[ShippedDate]]),"",tblSales[[#This Row],[ShippedDate]]-tblSales[[#This Row],[OrderDate]])</f>
        <v>5</v>
      </c>
      <c r="U1162" t="str">
        <f>LEFT(tblSales[[#This Row],[ProductName]],20)</f>
        <v>Gorgonzola Telino</v>
      </c>
    </row>
    <row r="1163" spans="2:21" x14ac:dyDescent="0.2">
      <c r="B1163">
        <v>11668</v>
      </c>
      <c r="C1163" t="s">
        <v>8303</v>
      </c>
      <c r="D1163" t="s">
        <v>8246</v>
      </c>
      <c r="E1163" t="s">
        <v>8272</v>
      </c>
      <c r="F1163" s="222">
        <v>14.4</v>
      </c>
      <c r="G1163">
        <v>15</v>
      </c>
      <c r="H1163" s="226">
        <v>0</v>
      </c>
      <c r="I1163" s="227">
        <v>216</v>
      </c>
      <c r="J1163" t="s">
        <v>8330</v>
      </c>
      <c r="K1163" t="s">
        <v>8331</v>
      </c>
      <c r="L1163" s="228">
        <v>44315</v>
      </c>
      <c r="M1163" s="229">
        <v>44321</v>
      </c>
      <c r="N1163" t="s">
        <v>8250</v>
      </c>
      <c r="O1163" t="s">
        <v>8266</v>
      </c>
      <c r="P1163" t="s">
        <v>8267</v>
      </c>
      <c r="Q1163" t="str">
        <f>tblSales[[#This Row],[FirstName]]&amp; " " &amp;tblSales[[#This Row],[LastName]]</f>
        <v>Margaret Peacock</v>
      </c>
      <c r="R1163">
        <f>YEAR(tblSales[[#This Row],[OrderDate]])</f>
        <v>2021</v>
      </c>
      <c r="S1163">
        <f>WEEKNUM(tblSales[[#This Row],[OrderDate]])</f>
        <v>18</v>
      </c>
      <c r="T1163">
        <f>IF(ISBLANK(tblSales[[#This Row],[ShippedDate]]),"",tblSales[[#This Row],[ShippedDate]]-tblSales[[#This Row],[OrderDate]])</f>
        <v>6</v>
      </c>
      <c r="U1163" t="str">
        <f>LEFT(tblSales[[#This Row],[ProductName]],20)</f>
        <v>Lakkalikööri</v>
      </c>
    </row>
    <row r="1164" spans="2:21" x14ac:dyDescent="0.2">
      <c r="B1164">
        <v>11668</v>
      </c>
      <c r="C1164" t="s">
        <v>8334</v>
      </c>
      <c r="D1164" t="s">
        <v>8246</v>
      </c>
      <c r="E1164" t="s">
        <v>8262</v>
      </c>
      <c r="F1164" s="222">
        <v>10</v>
      </c>
      <c r="G1164">
        <v>4</v>
      </c>
      <c r="H1164" s="226">
        <v>5.0000000745058101E-2</v>
      </c>
      <c r="I1164" s="227">
        <v>38</v>
      </c>
      <c r="J1164" t="s">
        <v>8330</v>
      </c>
      <c r="K1164" t="s">
        <v>8331</v>
      </c>
      <c r="L1164" s="228">
        <v>44315</v>
      </c>
      <c r="M1164" s="229">
        <v>44321</v>
      </c>
      <c r="N1164" t="s">
        <v>8250</v>
      </c>
      <c r="O1164" t="s">
        <v>8266</v>
      </c>
      <c r="P1164" t="s">
        <v>8267</v>
      </c>
      <c r="Q1164" t="str">
        <f>tblSales[[#This Row],[FirstName]]&amp; " " &amp;tblSales[[#This Row],[LastName]]</f>
        <v>Margaret Peacock</v>
      </c>
      <c r="R1164">
        <f>YEAR(tblSales[[#This Row],[OrderDate]])</f>
        <v>2021</v>
      </c>
      <c r="S1164">
        <f>WEEKNUM(tblSales[[#This Row],[OrderDate]])</f>
        <v>18</v>
      </c>
      <c r="T1164">
        <f>IF(ISBLANK(tblSales[[#This Row],[ShippedDate]]),"",tblSales[[#This Row],[ShippedDate]]-tblSales[[#This Row],[OrderDate]])</f>
        <v>6</v>
      </c>
      <c r="U1164" t="str">
        <f>LEFT(tblSales[[#This Row],[ProductName]],20)</f>
        <v>Scottish Longbreads</v>
      </c>
    </row>
    <row r="1165" spans="2:21" x14ac:dyDescent="0.2">
      <c r="B1165">
        <v>11668</v>
      </c>
      <c r="C1165" t="s">
        <v>8340</v>
      </c>
      <c r="D1165" t="s">
        <v>8246</v>
      </c>
      <c r="E1165" t="s">
        <v>8244</v>
      </c>
      <c r="F1165" s="222">
        <v>26.6</v>
      </c>
      <c r="G1165">
        <v>50</v>
      </c>
      <c r="H1165" s="226">
        <v>0</v>
      </c>
      <c r="I1165" s="227">
        <v>1330</v>
      </c>
      <c r="J1165" t="s">
        <v>8330</v>
      </c>
      <c r="K1165" t="s">
        <v>8331</v>
      </c>
      <c r="L1165" s="228">
        <v>44315</v>
      </c>
      <c r="M1165" s="229">
        <v>44321</v>
      </c>
      <c r="N1165" t="s">
        <v>8250</v>
      </c>
      <c r="O1165" t="s">
        <v>8266</v>
      </c>
      <c r="P1165" t="s">
        <v>8267</v>
      </c>
      <c r="Q1165" t="str">
        <f>tblSales[[#This Row],[FirstName]]&amp; " " &amp;tblSales[[#This Row],[LastName]]</f>
        <v>Margaret Peacock</v>
      </c>
      <c r="R1165">
        <f>YEAR(tblSales[[#This Row],[OrderDate]])</f>
        <v>2021</v>
      </c>
      <c r="S1165">
        <f>WEEKNUM(tblSales[[#This Row],[OrderDate]])</f>
        <v>18</v>
      </c>
      <c r="T1165">
        <f>IF(ISBLANK(tblSales[[#This Row],[ShippedDate]]),"",tblSales[[#This Row],[ShippedDate]]-tblSales[[#This Row],[OrderDate]])</f>
        <v>6</v>
      </c>
      <c r="U1165" t="str">
        <f>LEFT(tblSales[[#This Row],[ProductName]],20)</f>
        <v>Wimmers gute Semmelk</v>
      </c>
    </row>
    <row r="1166" spans="2:21" x14ac:dyDescent="0.2">
      <c r="B1166">
        <v>11670</v>
      </c>
      <c r="C1166" t="s">
        <v>8379</v>
      </c>
      <c r="D1166" t="s">
        <v>8246</v>
      </c>
      <c r="E1166" t="s">
        <v>8254</v>
      </c>
      <c r="F1166" s="222">
        <v>32</v>
      </c>
      <c r="G1166">
        <v>70</v>
      </c>
      <c r="H1166" s="226">
        <v>0</v>
      </c>
      <c r="I1166" s="227">
        <v>2240</v>
      </c>
      <c r="J1166" t="s">
        <v>8307</v>
      </c>
      <c r="K1166" t="s">
        <v>8308</v>
      </c>
      <c r="L1166" s="228">
        <v>44319</v>
      </c>
      <c r="M1166" s="229">
        <v>44326</v>
      </c>
      <c r="N1166" t="s">
        <v>8265</v>
      </c>
      <c r="O1166" t="s">
        <v>8297</v>
      </c>
      <c r="P1166" t="s">
        <v>8298</v>
      </c>
      <c r="Q1166" t="str">
        <f>tblSales[[#This Row],[FirstName]]&amp; " " &amp;tblSales[[#This Row],[LastName]]</f>
        <v>Andrew Fuller</v>
      </c>
      <c r="R1166">
        <f>YEAR(tblSales[[#This Row],[OrderDate]])</f>
        <v>2021</v>
      </c>
      <c r="S1166">
        <f>WEEKNUM(tblSales[[#This Row],[OrderDate]])</f>
        <v>19</v>
      </c>
      <c r="T1166">
        <f>IF(ISBLANK(tblSales[[#This Row],[ShippedDate]]),"",tblSales[[#This Row],[ShippedDate]]-tblSales[[#This Row],[OrderDate]])</f>
        <v>7</v>
      </c>
      <c r="U1166" t="str">
        <f>LEFT(tblSales[[#This Row],[ProductName]],20)</f>
        <v>Northwoods Cranberry</v>
      </c>
    </row>
    <row r="1167" spans="2:21" x14ac:dyDescent="0.2">
      <c r="B1167">
        <v>11670</v>
      </c>
      <c r="C1167" t="s">
        <v>8327</v>
      </c>
      <c r="D1167" t="s">
        <v>8246</v>
      </c>
      <c r="E1167" t="s">
        <v>8262</v>
      </c>
      <c r="F1167" s="222">
        <v>7.3</v>
      </c>
      <c r="G1167">
        <v>80</v>
      </c>
      <c r="H1167" s="226">
        <v>0</v>
      </c>
      <c r="I1167" s="227">
        <v>584</v>
      </c>
      <c r="J1167" t="s">
        <v>8307</v>
      </c>
      <c r="K1167" t="s">
        <v>8308</v>
      </c>
      <c r="L1167" s="228">
        <v>44319</v>
      </c>
      <c r="M1167" s="229">
        <v>44326</v>
      </c>
      <c r="N1167" t="s">
        <v>8265</v>
      </c>
      <c r="O1167" t="s">
        <v>8297</v>
      </c>
      <c r="P1167" t="s">
        <v>8298</v>
      </c>
      <c r="Q1167" t="str">
        <f>tblSales[[#This Row],[FirstName]]&amp; " " &amp;tblSales[[#This Row],[LastName]]</f>
        <v>Andrew Fuller</v>
      </c>
      <c r="R1167">
        <f>YEAR(tblSales[[#This Row],[OrderDate]])</f>
        <v>2021</v>
      </c>
      <c r="S1167">
        <f>WEEKNUM(tblSales[[#This Row],[OrderDate]])</f>
        <v>19</v>
      </c>
      <c r="T1167">
        <f>IF(ISBLANK(tblSales[[#This Row],[ShippedDate]]),"",tblSales[[#This Row],[ShippedDate]]-tblSales[[#This Row],[OrderDate]])</f>
        <v>7</v>
      </c>
      <c r="U1167" t="str">
        <f>LEFT(tblSales[[#This Row],[ProductName]],20)</f>
        <v>Teatime Chocolate Bi</v>
      </c>
    </row>
    <row r="1168" spans="2:21" x14ac:dyDescent="0.2">
      <c r="B1168">
        <v>11670</v>
      </c>
      <c r="C1168" t="s">
        <v>8243</v>
      </c>
      <c r="D1168" t="s">
        <v>8246</v>
      </c>
      <c r="E1168" t="s">
        <v>8244</v>
      </c>
      <c r="F1168" s="222">
        <v>11.2</v>
      </c>
      <c r="G1168">
        <v>9</v>
      </c>
      <c r="H1168" s="226">
        <v>0</v>
      </c>
      <c r="I1168" s="227">
        <v>100.8</v>
      </c>
      <c r="J1168" t="s">
        <v>8307</v>
      </c>
      <c r="K1168" t="s">
        <v>8308</v>
      </c>
      <c r="L1168" s="228">
        <v>44319</v>
      </c>
      <c r="M1168" s="229">
        <v>44326</v>
      </c>
      <c r="N1168" t="s">
        <v>8265</v>
      </c>
      <c r="O1168" t="s">
        <v>8297</v>
      </c>
      <c r="P1168" t="s">
        <v>8298</v>
      </c>
      <c r="Q1168" t="str">
        <f>tblSales[[#This Row],[FirstName]]&amp; " " &amp;tblSales[[#This Row],[LastName]]</f>
        <v>Andrew Fuller</v>
      </c>
      <c r="R1168">
        <f>YEAR(tblSales[[#This Row],[OrderDate]])</f>
        <v>2021</v>
      </c>
      <c r="S1168">
        <f>WEEKNUM(tblSales[[#This Row],[OrderDate]])</f>
        <v>19</v>
      </c>
      <c r="T1168">
        <f>IF(ISBLANK(tblSales[[#This Row],[ShippedDate]]),"",tblSales[[#This Row],[ShippedDate]]-tblSales[[#This Row],[OrderDate]])</f>
        <v>7</v>
      </c>
      <c r="U1168" t="str">
        <f>LEFT(tblSales[[#This Row],[ProductName]],20)</f>
        <v xml:space="preserve">Singaporean Hokkien </v>
      </c>
    </row>
    <row r="1169" spans="2:21" x14ac:dyDescent="0.2">
      <c r="B1169">
        <v>11673</v>
      </c>
      <c r="C1169" t="s">
        <v>8333</v>
      </c>
      <c r="D1169" t="s">
        <v>8246</v>
      </c>
      <c r="E1169" t="s">
        <v>8272</v>
      </c>
      <c r="F1169" s="222">
        <v>14.4</v>
      </c>
      <c r="G1169">
        <v>15</v>
      </c>
      <c r="H1169" s="226">
        <v>0.15000000596046401</v>
      </c>
      <c r="I1169" s="227">
        <v>183.6</v>
      </c>
      <c r="J1169" t="s">
        <v>8346</v>
      </c>
      <c r="K1169" t="s">
        <v>8347</v>
      </c>
      <c r="L1169" s="228">
        <v>44322</v>
      </c>
      <c r="M1169" s="229">
        <v>44330</v>
      </c>
      <c r="N1169" t="s">
        <v>8265</v>
      </c>
      <c r="O1169" t="s">
        <v>8266</v>
      </c>
      <c r="P1169" t="s">
        <v>8267</v>
      </c>
      <c r="Q1169" t="str">
        <f>tblSales[[#This Row],[FirstName]]&amp; " " &amp;tblSales[[#This Row],[LastName]]</f>
        <v>Margaret Peacock</v>
      </c>
      <c r="R1169">
        <f>YEAR(tblSales[[#This Row],[OrderDate]])</f>
        <v>2021</v>
      </c>
      <c r="S1169">
        <f>WEEKNUM(tblSales[[#This Row],[OrderDate]])</f>
        <v>19</v>
      </c>
      <c r="T1169">
        <f>IF(ISBLANK(tblSales[[#This Row],[ShippedDate]]),"",tblSales[[#This Row],[ShippedDate]]-tblSales[[#This Row],[OrderDate]])</f>
        <v>8</v>
      </c>
      <c r="U1169" t="str">
        <f>LEFT(tblSales[[#This Row],[ProductName]],20)</f>
        <v>Chai</v>
      </c>
    </row>
    <row r="1170" spans="2:21" x14ac:dyDescent="0.2">
      <c r="B1170">
        <v>11673</v>
      </c>
      <c r="C1170" t="s">
        <v>8373</v>
      </c>
      <c r="D1170" t="s">
        <v>8246</v>
      </c>
      <c r="E1170" t="s">
        <v>8244</v>
      </c>
      <c r="F1170" s="222">
        <v>7.2</v>
      </c>
      <c r="G1170">
        <v>25</v>
      </c>
      <c r="H1170" s="226">
        <v>0</v>
      </c>
      <c r="I1170" s="227">
        <v>180</v>
      </c>
      <c r="J1170" t="s">
        <v>8346</v>
      </c>
      <c r="K1170" t="s">
        <v>8347</v>
      </c>
      <c r="L1170" s="228">
        <v>44322</v>
      </c>
      <c r="M1170" s="229">
        <v>44330</v>
      </c>
      <c r="N1170" t="s">
        <v>8265</v>
      </c>
      <c r="O1170" t="s">
        <v>8266</v>
      </c>
      <c r="P1170" t="s">
        <v>8267</v>
      </c>
      <c r="Q1170" t="str">
        <f>tblSales[[#This Row],[FirstName]]&amp; " " &amp;tblSales[[#This Row],[LastName]]</f>
        <v>Margaret Peacock</v>
      </c>
      <c r="R1170">
        <f>YEAR(tblSales[[#This Row],[OrderDate]])</f>
        <v>2021</v>
      </c>
      <c r="S1170">
        <f>WEEKNUM(tblSales[[#This Row],[OrderDate]])</f>
        <v>19</v>
      </c>
      <c r="T1170">
        <f>IF(ISBLANK(tblSales[[#This Row],[ShippedDate]]),"",tblSales[[#This Row],[ShippedDate]]-tblSales[[#This Row],[OrderDate]])</f>
        <v>8</v>
      </c>
      <c r="U1170" t="str">
        <f>LEFT(tblSales[[#This Row],[ProductName]],20)</f>
        <v>Tunnbröd</v>
      </c>
    </row>
    <row r="1171" spans="2:21" x14ac:dyDescent="0.2">
      <c r="B1171">
        <v>11676</v>
      </c>
      <c r="C1171" t="s">
        <v>8380</v>
      </c>
      <c r="D1171" t="s">
        <v>8282</v>
      </c>
      <c r="E1171" t="s">
        <v>8272</v>
      </c>
      <c r="F1171" s="222">
        <v>210.8</v>
      </c>
      <c r="G1171">
        <v>20</v>
      </c>
      <c r="H1171" s="226">
        <v>5.0000000745058101E-2</v>
      </c>
      <c r="I1171" s="227">
        <v>4005.2</v>
      </c>
      <c r="J1171" t="s">
        <v>8283</v>
      </c>
      <c r="K1171" t="s">
        <v>8284</v>
      </c>
      <c r="L1171" s="228">
        <v>44326</v>
      </c>
      <c r="M1171" s="229">
        <v>44335</v>
      </c>
      <c r="N1171" t="s">
        <v>8250</v>
      </c>
      <c r="O1171" t="s">
        <v>8285</v>
      </c>
      <c r="P1171" t="s">
        <v>2317</v>
      </c>
      <c r="Q1171" t="str">
        <f>tblSales[[#This Row],[FirstName]]&amp; " " &amp;tblSales[[#This Row],[LastName]]</f>
        <v>Nancy Davolio</v>
      </c>
      <c r="R1171">
        <f>YEAR(tblSales[[#This Row],[OrderDate]])</f>
        <v>2021</v>
      </c>
      <c r="S1171">
        <f>WEEKNUM(tblSales[[#This Row],[OrderDate]])</f>
        <v>20</v>
      </c>
      <c r="T1171">
        <f>IF(ISBLANK(tblSales[[#This Row],[ShippedDate]]),"",tblSales[[#This Row],[ShippedDate]]-tblSales[[#This Row],[OrderDate]])</f>
        <v>9</v>
      </c>
      <c r="U1171" t="str">
        <f>LEFT(tblSales[[#This Row],[ProductName]],20)</f>
        <v>Côte de Blaye</v>
      </c>
    </row>
    <row r="1172" spans="2:21" x14ac:dyDescent="0.2">
      <c r="B1172">
        <v>11676</v>
      </c>
      <c r="C1172" t="s">
        <v>8322</v>
      </c>
      <c r="D1172" t="s">
        <v>8282</v>
      </c>
      <c r="E1172" t="s">
        <v>8254</v>
      </c>
      <c r="F1172" s="222">
        <v>15.5</v>
      </c>
      <c r="G1172">
        <v>77</v>
      </c>
      <c r="H1172" s="226">
        <v>5.0000000745058101E-2</v>
      </c>
      <c r="I1172" s="227">
        <v>1133.82</v>
      </c>
      <c r="J1172" t="s">
        <v>8283</v>
      </c>
      <c r="K1172" t="s">
        <v>8284</v>
      </c>
      <c r="L1172" s="228">
        <v>44326</v>
      </c>
      <c r="M1172" s="229">
        <v>44335</v>
      </c>
      <c r="N1172" t="s">
        <v>8250</v>
      </c>
      <c r="O1172" t="s">
        <v>8285</v>
      </c>
      <c r="P1172" t="s">
        <v>2317</v>
      </c>
      <c r="Q1172" t="str">
        <f>tblSales[[#This Row],[FirstName]]&amp; " " &amp;tblSales[[#This Row],[LastName]]</f>
        <v>Nancy Davolio</v>
      </c>
      <c r="R1172">
        <f>YEAR(tblSales[[#This Row],[OrderDate]])</f>
        <v>2021</v>
      </c>
      <c r="S1172">
        <f>WEEKNUM(tblSales[[#This Row],[OrderDate]])</f>
        <v>20</v>
      </c>
      <c r="T1172">
        <f>IF(ISBLANK(tblSales[[#This Row],[ShippedDate]]),"",tblSales[[#This Row],[ShippedDate]]-tblSales[[#This Row],[OrderDate]])</f>
        <v>9</v>
      </c>
      <c r="U1172" t="str">
        <f>LEFT(tblSales[[#This Row],[ProductName]],20)</f>
        <v>Gula Malacca</v>
      </c>
    </row>
    <row r="1173" spans="2:21" x14ac:dyDescent="0.2">
      <c r="B1173">
        <v>11676</v>
      </c>
      <c r="C1173" t="s">
        <v>8253</v>
      </c>
      <c r="D1173" t="s">
        <v>8282</v>
      </c>
      <c r="E1173" t="s">
        <v>8254</v>
      </c>
      <c r="F1173" s="222">
        <v>16.8</v>
      </c>
      <c r="G1173">
        <v>10</v>
      </c>
      <c r="H1173" s="226">
        <v>5.0000000745058101E-2</v>
      </c>
      <c r="I1173" s="227">
        <v>159.6</v>
      </c>
      <c r="J1173" t="s">
        <v>8283</v>
      </c>
      <c r="K1173" t="s">
        <v>8284</v>
      </c>
      <c r="L1173" s="228">
        <v>44326</v>
      </c>
      <c r="M1173" s="229">
        <v>44335</v>
      </c>
      <c r="N1173" t="s">
        <v>8250</v>
      </c>
      <c r="O1173" t="s">
        <v>8285</v>
      </c>
      <c r="P1173" t="s">
        <v>2317</v>
      </c>
      <c r="Q1173" t="str">
        <f>tblSales[[#This Row],[FirstName]]&amp; " " &amp;tblSales[[#This Row],[LastName]]</f>
        <v>Nancy Davolio</v>
      </c>
      <c r="R1173">
        <f>YEAR(tblSales[[#This Row],[OrderDate]])</f>
        <v>2021</v>
      </c>
      <c r="S1173">
        <f>WEEKNUM(tblSales[[#This Row],[OrderDate]])</f>
        <v>20</v>
      </c>
      <c r="T1173">
        <f>IF(ISBLANK(tblSales[[#This Row],[ShippedDate]]),"",tblSales[[#This Row],[ShippedDate]]-tblSales[[#This Row],[OrderDate]])</f>
        <v>9</v>
      </c>
      <c r="U1173" t="str">
        <f>LEFT(tblSales[[#This Row],[ProductName]],20)</f>
        <v xml:space="preserve">Louisiana Fiery Hot </v>
      </c>
    </row>
    <row r="1174" spans="2:21" x14ac:dyDescent="0.2">
      <c r="B1174">
        <v>11675</v>
      </c>
      <c r="C1174" t="s">
        <v>8381</v>
      </c>
      <c r="D1174" t="s">
        <v>8236</v>
      </c>
      <c r="E1174" t="s">
        <v>8262</v>
      </c>
      <c r="F1174" s="222">
        <v>13</v>
      </c>
      <c r="G1174">
        <v>15</v>
      </c>
      <c r="H1174" s="226">
        <v>0.10000000149011599</v>
      </c>
      <c r="I1174" s="227">
        <v>175.5</v>
      </c>
      <c r="J1174" t="s">
        <v>8382</v>
      </c>
      <c r="K1174" t="s">
        <v>8383</v>
      </c>
      <c r="L1174" s="228">
        <v>44326</v>
      </c>
      <c r="M1174" s="229">
        <v>44348</v>
      </c>
      <c r="N1174" t="s">
        <v>8265</v>
      </c>
      <c r="O1174" t="s">
        <v>8251</v>
      </c>
      <c r="P1174" t="s">
        <v>269</v>
      </c>
      <c r="Q1174" t="str">
        <f>tblSales[[#This Row],[FirstName]]&amp; " " &amp;tblSales[[#This Row],[LastName]]</f>
        <v>Michael Suyama</v>
      </c>
      <c r="R1174">
        <f>YEAR(tblSales[[#This Row],[OrderDate]])</f>
        <v>2021</v>
      </c>
      <c r="S1174">
        <f>WEEKNUM(tblSales[[#This Row],[OrderDate]])</f>
        <v>20</v>
      </c>
      <c r="T1174">
        <f>IF(ISBLANK(tblSales[[#This Row],[ShippedDate]]),"",tblSales[[#This Row],[ShippedDate]]-tblSales[[#This Row],[OrderDate]])</f>
        <v>22</v>
      </c>
      <c r="U1174" t="str">
        <f>LEFT(tblSales[[#This Row],[ProductName]],20)</f>
        <v>Valkoinen suklaa</v>
      </c>
    </row>
    <row r="1175" spans="2:21" x14ac:dyDescent="0.2">
      <c r="B1175">
        <v>11675</v>
      </c>
      <c r="C1175" t="s">
        <v>8353</v>
      </c>
      <c r="D1175" t="s">
        <v>8236</v>
      </c>
      <c r="E1175" t="s">
        <v>8237</v>
      </c>
      <c r="F1175" s="222">
        <v>28.8</v>
      </c>
      <c r="G1175">
        <v>18</v>
      </c>
      <c r="H1175" s="226">
        <v>0.10000000149011599</v>
      </c>
      <c r="I1175" s="227">
        <v>466.56</v>
      </c>
      <c r="J1175" t="s">
        <v>8382</v>
      </c>
      <c r="K1175" t="s">
        <v>8383</v>
      </c>
      <c r="L1175" s="228">
        <v>44326</v>
      </c>
      <c r="M1175" s="229">
        <v>44348</v>
      </c>
      <c r="N1175" t="s">
        <v>8265</v>
      </c>
      <c r="O1175" t="s">
        <v>8251</v>
      </c>
      <c r="P1175" t="s">
        <v>269</v>
      </c>
      <c r="Q1175" t="str">
        <f>tblSales[[#This Row],[FirstName]]&amp; " " &amp;tblSales[[#This Row],[LastName]]</f>
        <v>Michael Suyama</v>
      </c>
      <c r="R1175">
        <f>YEAR(tblSales[[#This Row],[OrderDate]])</f>
        <v>2021</v>
      </c>
      <c r="S1175">
        <f>WEEKNUM(tblSales[[#This Row],[OrderDate]])</f>
        <v>20</v>
      </c>
      <c r="T1175">
        <f>IF(ISBLANK(tblSales[[#This Row],[ShippedDate]]),"",tblSales[[#This Row],[ShippedDate]]-tblSales[[#This Row],[OrderDate]])</f>
        <v>22</v>
      </c>
      <c r="U1175" t="str">
        <f>LEFT(tblSales[[#This Row],[ProductName]],20)</f>
        <v>Gudbrandsdalsost</v>
      </c>
    </row>
    <row r="1176" spans="2:21" x14ac:dyDescent="0.2">
      <c r="B1176">
        <v>11677</v>
      </c>
      <c r="C1176" t="s">
        <v>8270</v>
      </c>
      <c r="D1176" t="s">
        <v>8365</v>
      </c>
      <c r="E1176" t="s">
        <v>8272</v>
      </c>
      <c r="F1176" s="222">
        <v>3.6</v>
      </c>
      <c r="G1176">
        <v>10</v>
      </c>
      <c r="H1176" s="226">
        <v>0</v>
      </c>
      <c r="I1176" s="227">
        <v>36</v>
      </c>
      <c r="J1176" t="s">
        <v>8366</v>
      </c>
      <c r="K1176" t="s">
        <v>8367</v>
      </c>
      <c r="L1176" s="228">
        <v>44327</v>
      </c>
      <c r="M1176" s="229">
        <v>44333</v>
      </c>
      <c r="N1176" t="s">
        <v>8240</v>
      </c>
      <c r="O1176" t="s">
        <v>8257</v>
      </c>
      <c r="P1176" t="s">
        <v>6984</v>
      </c>
      <c r="Q1176" t="str">
        <f>tblSales[[#This Row],[FirstName]]&amp; " " &amp;tblSales[[#This Row],[LastName]]</f>
        <v>Janet Leverling</v>
      </c>
      <c r="R1176">
        <f>YEAR(tblSales[[#This Row],[OrderDate]])</f>
        <v>2021</v>
      </c>
      <c r="S1176">
        <f>WEEKNUM(tblSales[[#This Row],[OrderDate]])</f>
        <v>20</v>
      </c>
      <c r="T1176">
        <f>IF(ISBLANK(tblSales[[#This Row],[ShippedDate]]),"",tblSales[[#This Row],[ShippedDate]]-tblSales[[#This Row],[OrderDate]])</f>
        <v>6</v>
      </c>
      <c r="U1176" t="str">
        <f>LEFT(tblSales[[#This Row],[ProductName]],20)</f>
        <v>Guaraná Fantástica</v>
      </c>
    </row>
    <row r="1177" spans="2:21" x14ac:dyDescent="0.2">
      <c r="B1177">
        <v>11678</v>
      </c>
      <c r="C1177" t="s">
        <v>8380</v>
      </c>
      <c r="D1177" t="s">
        <v>8282</v>
      </c>
      <c r="E1177" t="s">
        <v>8272</v>
      </c>
      <c r="F1177" s="222">
        <v>210.8</v>
      </c>
      <c r="G1177">
        <v>50</v>
      </c>
      <c r="H1177" s="226">
        <v>0.20000000298023199</v>
      </c>
      <c r="I1177" s="227">
        <v>8432</v>
      </c>
      <c r="J1177" t="s">
        <v>8384</v>
      </c>
      <c r="K1177" t="s">
        <v>8385</v>
      </c>
      <c r="L1177" s="228">
        <v>44328</v>
      </c>
      <c r="M1177" s="229">
        <v>44340</v>
      </c>
      <c r="N1177" t="s">
        <v>8240</v>
      </c>
      <c r="O1177" t="s">
        <v>8158</v>
      </c>
      <c r="P1177" t="s">
        <v>861</v>
      </c>
      <c r="Q1177" t="str">
        <f>tblSales[[#This Row],[FirstName]]&amp; " " &amp;tblSales[[#This Row],[LastName]]</f>
        <v>Robert King</v>
      </c>
      <c r="R1177">
        <f>YEAR(tblSales[[#This Row],[OrderDate]])</f>
        <v>2021</v>
      </c>
      <c r="S1177">
        <f>WEEKNUM(tblSales[[#This Row],[OrderDate]])</f>
        <v>20</v>
      </c>
      <c r="T1177">
        <f>IF(ISBLANK(tblSales[[#This Row],[ShippedDate]]),"",tblSales[[#This Row],[ShippedDate]]-tblSales[[#This Row],[OrderDate]])</f>
        <v>12</v>
      </c>
      <c r="U1177" t="str">
        <f>LEFT(tblSales[[#This Row],[ProductName]],20)</f>
        <v>Côte de Blaye</v>
      </c>
    </row>
    <row r="1178" spans="2:21" x14ac:dyDescent="0.2">
      <c r="B1178">
        <v>11678</v>
      </c>
      <c r="C1178" t="s">
        <v>8242</v>
      </c>
      <c r="D1178" t="s">
        <v>8282</v>
      </c>
      <c r="E1178" t="s">
        <v>8237</v>
      </c>
      <c r="F1178" s="222">
        <v>16.8</v>
      </c>
      <c r="G1178">
        <v>12</v>
      </c>
      <c r="H1178" s="226">
        <v>0.20000000298023199</v>
      </c>
      <c r="I1178" s="227">
        <v>161.28</v>
      </c>
      <c r="J1178" t="s">
        <v>8384</v>
      </c>
      <c r="K1178" t="s">
        <v>8385</v>
      </c>
      <c r="L1178" s="228">
        <v>44328</v>
      </c>
      <c r="M1178" s="229">
        <v>44340</v>
      </c>
      <c r="N1178" t="s">
        <v>8240</v>
      </c>
      <c r="O1178" t="s">
        <v>8158</v>
      </c>
      <c r="P1178" t="s">
        <v>861</v>
      </c>
      <c r="Q1178" t="str">
        <f>tblSales[[#This Row],[FirstName]]&amp; " " &amp;tblSales[[#This Row],[LastName]]</f>
        <v>Robert King</v>
      </c>
      <c r="R1178">
        <f>YEAR(tblSales[[#This Row],[OrderDate]])</f>
        <v>2021</v>
      </c>
      <c r="S1178">
        <f>WEEKNUM(tblSales[[#This Row],[OrderDate]])</f>
        <v>20</v>
      </c>
      <c r="T1178">
        <f>IF(ISBLANK(tblSales[[#This Row],[ShippedDate]]),"",tblSales[[#This Row],[ShippedDate]]-tblSales[[#This Row],[OrderDate]])</f>
        <v>12</v>
      </c>
      <c r="U1178" t="str">
        <f>LEFT(tblSales[[#This Row],[ProductName]],20)</f>
        <v>Queso Cabrales</v>
      </c>
    </row>
    <row r="1179" spans="2:21" x14ac:dyDescent="0.2">
      <c r="B1179">
        <v>11680</v>
      </c>
      <c r="C1179" t="s">
        <v>8270</v>
      </c>
      <c r="D1179" t="s">
        <v>2434</v>
      </c>
      <c r="E1179" t="s">
        <v>8272</v>
      </c>
      <c r="F1179" s="222">
        <v>3.6</v>
      </c>
      <c r="G1179">
        <v>25</v>
      </c>
      <c r="H1179" s="226">
        <v>0</v>
      </c>
      <c r="I1179" s="227">
        <v>90</v>
      </c>
      <c r="J1179" t="s">
        <v>8386</v>
      </c>
      <c r="K1179" t="s">
        <v>8387</v>
      </c>
      <c r="L1179" s="228">
        <v>44330</v>
      </c>
      <c r="M1179" s="229">
        <v>44335</v>
      </c>
      <c r="N1179" t="s">
        <v>8250</v>
      </c>
      <c r="O1179" t="s">
        <v>8251</v>
      </c>
      <c r="P1179" t="s">
        <v>269</v>
      </c>
      <c r="Q1179" t="str">
        <f>tblSales[[#This Row],[FirstName]]&amp; " " &amp;tblSales[[#This Row],[LastName]]</f>
        <v>Michael Suyama</v>
      </c>
      <c r="R1179">
        <f>YEAR(tblSales[[#This Row],[OrderDate]])</f>
        <v>2021</v>
      </c>
      <c r="S1179">
        <f>WEEKNUM(tblSales[[#This Row],[OrderDate]])</f>
        <v>20</v>
      </c>
      <c r="T1179">
        <f>IF(ISBLANK(tblSales[[#This Row],[ShippedDate]]),"",tblSales[[#This Row],[ShippedDate]]-tblSales[[#This Row],[OrderDate]])</f>
        <v>5</v>
      </c>
      <c r="U1179" t="str">
        <f>LEFT(tblSales[[#This Row],[ProductName]],20)</f>
        <v>Guaraná Fantástica</v>
      </c>
    </row>
    <row r="1180" spans="2:21" x14ac:dyDescent="0.2">
      <c r="B1180">
        <v>11680</v>
      </c>
      <c r="C1180" t="s">
        <v>8258</v>
      </c>
      <c r="D1180" t="s">
        <v>2434</v>
      </c>
      <c r="E1180" t="s">
        <v>8244</v>
      </c>
      <c r="F1180" s="222">
        <v>15.6</v>
      </c>
      <c r="G1180">
        <v>25</v>
      </c>
      <c r="H1180" s="226">
        <v>0</v>
      </c>
      <c r="I1180" s="227">
        <v>390</v>
      </c>
      <c r="J1180" t="s">
        <v>8386</v>
      </c>
      <c r="K1180" t="s">
        <v>8387</v>
      </c>
      <c r="L1180" s="228">
        <v>44330</v>
      </c>
      <c r="M1180" s="229">
        <v>44335</v>
      </c>
      <c r="N1180" t="s">
        <v>8250</v>
      </c>
      <c r="O1180" t="s">
        <v>8251</v>
      </c>
      <c r="P1180" t="s">
        <v>269</v>
      </c>
      <c r="Q1180" t="str">
        <f>tblSales[[#This Row],[FirstName]]&amp; " " &amp;tblSales[[#This Row],[LastName]]</f>
        <v>Michael Suyama</v>
      </c>
      <c r="R1180">
        <f>YEAR(tblSales[[#This Row],[OrderDate]])</f>
        <v>2021</v>
      </c>
      <c r="S1180">
        <f>WEEKNUM(tblSales[[#This Row],[OrderDate]])</f>
        <v>20</v>
      </c>
      <c r="T1180">
        <f>IF(ISBLANK(tblSales[[#This Row],[ShippedDate]]),"",tblSales[[#This Row],[ShippedDate]]-tblSales[[#This Row],[OrderDate]])</f>
        <v>5</v>
      </c>
      <c r="U1180" t="str">
        <f>LEFT(tblSales[[#This Row],[ProductName]],20)</f>
        <v>Ravioli Angelo</v>
      </c>
    </row>
    <row r="1181" spans="2:21" x14ac:dyDescent="0.2">
      <c r="B1181">
        <v>11681</v>
      </c>
      <c r="C1181" t="s">
        <v>8353</v>
      </c>
      <c r="D1181" t="s">
        <v>8246</v>
      </c>
      <c r="E1181" t="s">
        <v>8237</v>
      </c>
      <c r="F1181" s="222">
        <v>28.8</v>
      </c>
      <c r="G1181">
        <v>20</v>
      </c>
      <c r="H1181" s="226">
        <v>0</v>
      </c>
      <c r="I1181" s="227">
        <v>576</v>
      </c>
      <c r="J1181" t="s">
        <v>8346</v>
      </c>
      <c r="K1181" t="s">
        <v>8347</v>
      </c>
      <c r="L1181" s="228">
        <v>44333</v>
      </c>
      <c r="M1181" s="229">
        <v>44342</v>
      </c>
      <c r="N1181" t="s">
        <v>8265</v>
      </c>
      <c r="O1181" t="s">
        <v>8251</v>
      </c>
      <c r="P1181" t="s">
        <v>269</v>
      </c>
      <c r="Q1181" t="str">
        <f>tblSales[[#This Row],[FirstName]]&amp; " " &amp;tblSales[[#This Row],[LastName]]</f>
        <v>Michael Suyama</v>
      </c>
      <c r="R1181">
        <f>YEAR(tblSales[[#This Row],[OrderDate]])</f>
        <v>2021</v>
      </c>
      <c r="S1181">
        <f>WEEKNUM(tblSales[[#This Row],[OrderDate]])</f>
        <v>21</v>
      </c>
      <c r="T1181">
        <f>IF(ISBLANK(tblSales[[#This Row],[ShippedDate]]),"",tblSales[[#This Row],[ShippedDate]]-tblSales[[#This Row],[OrderDate]])</f>
        <v>9</v>
      </c>
      <c r="U1181" t="str">
        <f>LEFT(tblSales[[#This Row],[ProductName]],20)</f>
        <v>Gudbrandsdalsost</v>
      </c>
    </row>
    <row r="1182" spans="2:21" x14ac:dyDescent="0.2">
      <c r="B1182">
        <v>11681</v>
      </c>
      <c r="C1182" t="s">
        <v>8309</v>
      </c>
      <c r="D1182" t="s">
        <v>8246</v>
      </c>
      <c r="E1182" t="s">
        <v>8237</v>
      </c>
      <c r="F1182" s="222">
        <v>10</v>
      </c>
      <c r="G1182">
        <v>30</v>
      </c>
      <c r="H1182" s="226">
        <v>0</v>
      </c>
      <c r="I1182" s="227">
        <v>300</v>
      </c>
      <c r="J1182" t="s">
        <v>8346</v>
      </c>
      <c r="K1182" t="s">
        <v>8347</v>
      </c>
      <c r="L1182" s="228">
        <v>44333</v>
      </c>
      <c r="M1182" s="229">
        <v>44342</v>
      </c>
      <c r="N1182" t="s">
        <v>8265</v>
      </c>
      <c r="O1182" t="s">
        <v>8251</v>
      </c>
      <c r="P1182" t="s">
        <v>269</v>
      </c>
      <c r="Q1182" t="str">
        <f>tblSales[[#This Row],[FirstName]]&amp; " " &amp;tblSales[[#This Row],[LastName]]</f>
        <v>Michael Suyama</v>
      </c>
      <c r="R1182">
        <f>YEAR(tblSales[[#This Row],[OrderDate]])</f>
        <v>2021</v>
      </c>
      <c r="S1182">
        <f>WEEKNUM(tblSales[[#This Row],[OrderDate]])</f>
        <v>21</v>
      </c>
      <c r="T1182">
        <f>IF(ISBLANK(tblSales[[#This Row],[ShippedDate]]),"",tblSales[[#This Row],[ShippedDate]]-tblSales[[#This Row],[OrderDate]])</f>
        <v>9</v>
      </c>
      <c r="U1182" t="str">
        <f>LEFT(tblSales[[#This Row],[ProductName]],20)</f>
        <v>Gorgonzola Telino</v>
      </c>
    </row>
    <row r="1183" spans="2:21" x14ac:dyDescent="0.2">
      <c r="B1183">
        <v>11683</v>
      </c>
      <c r="C1183" t="s">
        <v>8358</v>
      </c>
      <c r="D1183" t="s">
        <v>8236</v>
      </c>
      <c r="E1183" t="s">
        <v>8272</v>
      </c>
      <c r="F1183" s="222">
        <v>11.2</v>
      </c>
      <c r="G1183">
        <v>10</v>
      </c>
      <c r="H1183" s="226">
        <v>5.0000000745058101E-2</v>
      </c>
      <c r="I1183" s="227">
        <v>106.4</v>
      </c>
      <c r="J1183" t="s">
        <v>8382</v>
      </c>
      <c r="K1183" t="s">
        <v>8383</v>
      </c>
      <c r="L1183" s="228">
        <v>44335</v>
      </c>
      <c r="M1183" s="229">
        <v>44342</v>
      </c>
      <c r="N1183" t="s">
        <v>8250</v>
      </c>
      <c r="O1183" t="s">
        <v>8241</v>
      </c>
      <c r="P1183" t="s">
        <v>6934</v>
      </c>
      <c r="Q1183" t="str">
        <f>tblSales[[#This Row],[FirstName]]&amp; " " &amp;tblSales[[#This Row],[LastName]]</f>
        <v>Steven Buchanan</v>
      </c>
      <c r="R1183">
        <f>YEAR(tblSales[[#This Row],[OrderDate]])</f>
        <v>2021</v>
      </c>
      <c r="S1183">
        <f>WEEKNUM(tblSales[[#This Row],[OrderDate]])</f>
        <v>21</v>
      </c>
      <c r="T1183">
        <f>IF(ISBLANK(tblSales[[#This Row],[ShippedDate]]),"",tblSales[[#This Row],[ShippedDate]]-tblSales[[#This Row],[OrderDate]])</f>
        <v>7</v>
      </c>
      <c r="U1183" t="str">
        <f>LEFT(tblSales[[#This Row],[ProductName]],20)</f>
        <v>Sasquatch Ale</v>
      </c>
    </row>
    <row r="1184" spans="2:21" x14ac:dyDescent="0.2">
      <c r="B1184">
        <v>11683</v>
      </c>
      <c r="C1184" t="s">
        <v>8270</v>
      </c>
      <c r="D1184" t="s">
        <v>8236</v>
      </c>
      <c r="E1184" t="s">
        <v>8272</v>
      </c>
      <c r="F1184" s="222">
        <v>3.6</v>
      </c>
      <c r="G1184">
        <v>10</v>
      </c>
      <c r="H1184" s="226">
        <v>5.0000000745058101E-2</v>
      </c>
      <c r="I1184" s="227">
        <v>34.200000000000003</v>
      </c>
      <c r="J1184" t="s">
        <v>8382</v>
      </c>
      <c r="K1184" t="s">
        <v>8383</v>
      </c>
      <c r="L1184" s="228">
        <v>44335</v>
      </c>
      <c r="M1184" s="229">
        <v>44342</v>
      </c>
      <c r="N1184" t="s">
        <v>8250</v>
      </c>
      <c r="O1184" t="s">
        <v>8241</v>
      </c>
      <c r="P1184" t="s">
        <v>6934</v>
      </c>
      <c r="Q1184" t="str">
        <f>tblSales[[#This Row],[FirstName]]&amp; " " &amp;tblSales[[#This Row],[LastName]]</f>
        <v>Steven Buchanan</v>
      </c>
      <c r="R1184">
        <f>YEAR(tblSales[[#This Row],[OrderDate]])</f>
        <v>2021</v>
      </c>
      <c r="S1184">
        <f>WEEKNUM(tblSales[[#This Row],[OrderDate]])</f>
        <v>21</v>
      </c>
      <c r="T1184">
        <f>IF(ISBLANK(tblSales[[#This Row],[ShippedDate]]),"",tblSales[[#This Row],[ShippedDate]]-tblSales[[#This Row],[OrderDate]])</f>
        <v>7</v>
      </c>
      <c r="U1184" t="str">
        <f>LEFT(tblSales[[#This Row],[ProductName]],20)</f>
        <v>Guaraná Fantástica</v>
      </c>
    </row>
    <row r="1185" spans="2:21" x14ac:dyDescent="0.2">
      <c r="B1185">
        <v>11684</v>
      </c>
      <c r="C1185" t="s">
        <v>8280</v>
      </c>
      <c r="D1185" t="s">
        <v>2434</v>
      </c>
      <c r="E1185" t="s">
        <v>8262</v>
      </c>
      <c r="F1185" s="222">
        <v>13.9</v>
      </c>
      <c r="G1185">
        <v>56</v>
      </c>
      <c r="H1185" s="226">
        <v>5.0000000745058101E-2</v>
      </c>
      <c r="I1185" s="227">
        <v>739.48</v>
      </c>
      <c r="J1185" t="s">
        <v>8388</v>
      </c>
      <c r="K1185" t="s">
        <v>8389</v>
      </c>
      <c r="L1185" s="228">
        <v>44336</v>
      </c>
      <c r="M1185" s="229">
        <v>44341</v>
      </c>
      <c r="N1185" t="s">
        <v>8240</v>
      </c>
      <c r="O1185" t="s">
        <v>8241</v>
      </c>
      <c r="P1185" t="s">
        <v>6934</v>
      </c>
      <c r="Q1185" t="str">
        <f>tblSales[[#This Row],[FirstName]]&amp; " " &amp;tblSales[[#This Row],[LastName]]</f>
        <v>Steven Buchanan</v>
      </c>
      <c r="R1185">
        <f>YEAR(tblSales[[#This Row],[OrderDate]])</f>
        <v>2021</v>
      </c>
      <c r="S1185">
        <f>WEEKNUM(tblSales[[#This Row],[OrderDate]])</f>
        <v>21</v>
      </c>
      <c r="T1185">
        <f>IF(ISBLANK(tblSales[[#This Row],[ShippedDate]]),"",tblSales[[#This Row],[ShippedDate]]-tblSales[[#This Row],[OrderDate]])</f>
        <v>5</v>
      </c>
      <c r="U1185" t="str">
        <f>LEFT(tblSales[[#This Row],[ProductName]],20)</f>
        <v>Pavlova</v>
      </c>
    </row>
    <row r="1186" spans="2:21" x14ac:dyDescent="0.2">
      <c r="B1186">
        <v>11684</v>
      </c>
      <c r="C1186" t="s">
        <v>8268</v>
      </c>
      <c r="D1186" t="s">
        <v>2434</v>
      </c>
      <c r="E1186" t="s">
        <v>8237</v>
      </c>
      <c r="F1186" s="222">
        <v>27.2</v>
      </c>
      <c r="G1186">
        <v>80</v>
      </c>
      <c r="H1186" s="226">
        <v>5.0000000745058101E-2</v>
      </c>
      <c r="I1186" s="227">
        <v>2067.1999999999998</v>
      </c>
      <c r="J1186" t="s">
        <v>8388</v>
      </c>
      <c r="K1186" t="s">
        <v>8389</v>
      </c>
      <c r="L1186" s="228">
        <v>44336</v>
      </c>
      <c r="M1186" s="229">
        <v>44341</v>
      </c>
      <c r="N1186" t="s">
        <v>8240</v>
      </c>
      <c r="O1186" t="s">
        <v>8241</v>
      </c>
      <c r="P1186" t="s">
        <v>6934</v>
      </c>
      <c r="Q1186" t="str">
        <f>tblSales[[#This Row],[FirstName]]&amp; " " &amp;tblSales[[#This Row],[LastName]]</f>
        <v>Steven Buchanan</v>
      </c>
      <c r="R1186">
        <f>YEAR(tblSales[[#This Row],[OrderDate]])</f>
        <v>2021</v>
      </c>
      <c r="S1186">
        <f>WEEKNUM(tblSales[[#This Row],[OrderDate]])</f>
        <v>21</v>
      </c>
      <c r="T1186">
        <f>IF(ISBLANK(tblSales[[#This Row],[ShippedDate]]),"",tblSales[[#This Row],[ShippedDate]]-tblSales[[#This Row],[OrderDate]])</f>
        <v>5</v>
      </c>
      <c r="U1186" t="str">
        <f>LEFT(tblSales[[#This Row],[ProductName]],20)</f>
        <v>Camembert Pierrot</v>
      </c>
    </row>
    <row r="1187" spans="2:21" x14ac:dyDescent="0.2">
      <c r="B1187">
        <v>11684</v>
      </c>
      <c r="C1187" t="s">
        <v>8309</v>
      </c>
      <c r="D1187" t="s">
        <v>2434</v>
      </c>
      <c r="E1187" t="s">
        <v>8237</v>
      </c>
      <c r="F1187" s="222">
        <v>10</v>
      </c>
      <c r="G1187">
        <v>70</v>
      </c>
      <c r="H1187" s="226">
        <v>5.0000000745058101E-2</v>
      </c>
      <c r="I1187" s="227">
        <v>665</v>
      </c>
      <c r="J1187" t="s">
        <v>8388</v>
      </c>
      <c r="K1187" t="s">
        <v>8389</v>
      </c>
      <c r="L1187" s="228">
        <v>44336</v>
      </c>
      <c r="M1187" s="229">
        <v>44341</v>
      </c>
      <c r="N1187" t="s">
        <v>8240</v>
      </c>
      <c r="O1187" t="s">
        <v>8241</v>
      </c>
      <c r="P1187" t="s">
        <v>6934</v>
      </c>
      <c r="Q1187" t="str">
        <f>tblSales[[#This Row],[FirstName]]&amp; " " &amp;tblSales[[#This Row],[LastName]]</f>
        <v>Steven Buchanan</v>
      </c>
      <c r="R1187">
        <f>YEAR(tblSales[[#This Row],[OrderDate]])</f>
        <v>2021</v>
      </c>
      <c r="S1187">
        <f>WEEKNUM(tblSales[[#This Row],[OrderDate]])</f>
        <v>21</v>
      </c>
      <c r="T1187">
        <f>IF(ISBLANK(tblSales[[#This Row],[ShippedDate]]),"",tblSales[[#This Row],[ShippedDate]]-tblSales[[#This Row],[OrderDate]])</f>
        <v>5</v>
      </c>
      <c r="U1187" t="str">
        <f>LEFT(tblSales[[#This Row],[ProductName]],20)</f>
        <v>Gorgonzola Telino</v>
      </c>
    </row>
    <row r="1188" spans="2:21" x14ac:dyDescent="0.2">
      <c r="B1188">
        <v>11685</v>
      </c>
      <c r="C1188" t="s">
        <v>8380</v>
      </c>
      <c r="D1188" t="s">
        <v>8236</v>
      </c>
      <c r="E1188" t="s">
        <v>8272</v>
      </c>
      <c r="F1188" s="222">
        <v>210.8</v>
      </c>
      <c r="G1188">
        <v>10</v>
      </c>
      <c r="H1188" s="226">
        <v>0</v>
      </c>
      <c r="I1188" s="227">
        <v>2108</v>
      </c>
      <c r="J1188" t="s">
        <v>8295</v>
      </c>
      <c r="K1188" t="s">
        <v>8296</v>
      </c>
      <c r="L1188" s="228">
        <v>44337</v>
      </c>
      <c r="M1188" s="229">
        <v>44347</v>
      </c>
      <c r="N1188" t="s">
        <v>8240</v>
      </c>
      <c r="O1188" t="s">
        <v>8266</v>
      </c>
      <c r="P1188" t="s">
        <v>8267</v>
      </c>
      <c r="Q1188" t="str">
        <f>tblSales[[#This Row],[FirstName]]&amp; " " &amp;tblSales[[#This Row],[LastName]]</f>
        <v>Margaret Peacock</v>
      </c>
      <c r="R1188">
        <f>YEAR(tblSales[[#This Row],[OrderDate]])</f>
        <v>2021</v>
      </c>
      <c r="S1188">
        <f>WEEKNUM(tblSales[[#This Row],[OrderDate]])</f>
        <v>21</v>
      </c>
      <c r="T1188">
        <f>IF(ISBLANK(tblSales[[#This Row],[ShippedDate]]),"",tblSales[[#This Row],[ShippedDate]]-tblSales[[#This Row],[OrderDate]])</f>
        <v>10</v>
      </c>
      <c r="U1188" t="str">
        <f>LEFT(tblSales[[#This Row],[ProductName]],20)</f>
        <v>Côte de Blaye</v>
      </c>
    </row>
    <row r="1189" spans="2:21" x14ac:dyDescent="0.2">
      <c r="B1189">
        <v>11685</v>
      </c>
      <c r="C1189" t="s">
        <v>8390</v>
      </c>
      <c r="D1189" t="s">
        <v>8236</v>
      </c>
      <c r="E1189" t="s">
        <v>8262</v>
      </c>
      <c r="F1189" s="222">
        <v>16</v>
      </c>
      <c r="G1189">
        <v>35</v>
      </c>
      <c r="H1189" s="226">
        <v>0</v>
      </c>
      <c r="I1189" s="227">
        <v>560</v>
      </c>
      <c r="J1189" t="s">
        <v>8295</v>
      </c>
      <c r="K1189" t="s">
        <v>8296</v>
      </c>
      <c r="L1189" s="228">
        <v>44337</v>
      </c>
      <c r="M1189" s="229">
        <v>44347</v>
      </c>
      <c r="N1189" t="s">
        <v>8240</v>
      </c>
      <c r="O1189" t="s">
        <v>8266</v>
      </c>
      <c r="P1189" t="s">
        <v>8267</v>
      </c>
      <c r="Q1189" t="str">
        <f>tblSales[[#This Row],[FirstName]]&amp; " " &amp;tblSales[[#This Row],[LastName]]</f>
        <v>Margaret Peacock</v>
      </c>
      <c r="R1189">
        <f>YEAR(tblSales[[#This Row],[OrderDate]])</f>
        <v>2021</v>
      </c>
      <c r="S1189">
        <f>WEEKNUM(tblSales[[#This Row],[OrderDate]])</f>
        <v>21</v>
      </c>
      <c r="T1189">
        <f>IF(ISBLANK(tblSales[[#This Row],[ShippedDate]]),"",tblSales[[#This Row],[ShippedDate]]-tblSales[[#This Row],[OrderDate]])</f>
        <v>10</v>
      </c>
      <c r="U1189" t="str">
        <f>LEFT(tblSales[[#This Row],[ProductName]],20)</f>
        <v>Maxilaku</v>
      </c>
    </row>
    <row r="1190" spans="2:21" x14ac:dyDescent="0.2">
      <c r="B1190">
        <v>11685</v>
      </c>
      <c r="C1190" t="s">
        <v>8316</v>
      </c>
      <c r="D1190" t="s">
        <v>8236</v>
      </c>
      <c r="E1190" t="s">
        <v>8247</v>
      </c>
      <c r="F1190" s="222">
        <v>36.4</v>
      </c>
      <c r="G1190">
        <v>30</v>
      </c>
      <c r="H1190" s="226">
        <v>0</v>
      </c>
      <c r="I1190" s="227">
        <v>1092</v>
      </c>
      <c r="J1190" t="s">
        <v>8295</v>
      </c>
      <c r="K1190" t="s">
        <v>8296</v>
      </c>
      <c r="L1190" s="228">
        <v>44337</v>
      </c>
      <c r="M1190" s="229">
        <v>44347</v>
      </c>
      <c r="N1190" t="s">
        <v>8240</v>
      </c>
      <c r="O1190" t="s">
        <v>8266</v>
      </c>
      <c r="P1190" t="s">
        <v>8267</v>
      </c>
      <c r="Q1190" t="str">
        <f>tblSales[[#This Row],[FirstName]]&amp; " " &amp;tblSales[[#This Row],[LastName]]</f>
        <v>Margaret Peacock</v>
      </c>
      <c r="R1190">
        <f>YEAR(tblSales[[#This Row],[OrderDate]])</f>
        <v>2021</v>
      </c>
      <c r="S1190">
        <f>WEEKNUM(tblSales[[#This Row],[OrderDate]])</f>
        <v>21</v>
      </c>
      <c r="T1190">
        <f>IF(ISBLANK(tblSales[[#This Row],[ShippedDate]]),"",tblSales[[#This Row],[ShippedDate]]-tblSales[[#This Row],[OrderDate]])</f>
        <v>10</v>
      </c>
      <c r="U1190" t="str">
        <f>LEFT(tblSales[[#This Row],[ProductName]],20)</f>
        <v>Rössle Sauerkraut</v>
      </c>
    </row>
    <row r="1191" spans="2:21" x14ac:dyDescent="0.2">
      <c r="B1191">
        <v>11686</v>
      </c>
      <c r="C1191" t="s">
        <v>8342</v>
      </c>
      <c r="D1191" t="s">
        <v>8246</v>
      </c>
      <c r="E1191" t="s">
        <v>8272</v>
      </c>
      <c r="F1191" s="222">
        <v>14.4</v>
      </c>
      <c r="G1191">
        <v>54</v>
      </c>
      <c r="H1191" s="226">
        <v>0.10000000149011599</v>
      </c>
      <c r="I1191" s="227">
        <v>699.84</v>
      </c>
      <c r="J1191" t="s">
        <v>8307</v>
      </c>
      <c r="K1191" t="s">
        <v>8308</v>
      </c>
      <c r="L1191" s="228">
        <v>44337</v>
      </c>
      <c r="M1191" s="229"/>
      <c r="N1191" t="s">
        <v>8265</v>
      </c>
      <c r="O1191" t="s">
        <v>8285</v>
      </c>
      <c r="P1191" t="s">
        <v>2317</v>
      </c>
      <c r="Q1191" t="str">
        <f>tblSales[[#This Row],[FirstName]]&amp; " " &amp;tblSales[[#This Row],[LastName]]</f>
        <v>Nancy Davolio</v>
      </c>
      <c r="R1191">
        <f>YEAR(tblSales[[#This Row],[OrderDate]])</f>
        <v>2021</v>
      </c>
      <c r="S1191">
        <f>WEEKNUM(tblSales[[#This Row],[OrderDate]])</f>
        <v>21</v>
      </c>
      <c r="T1191" t="str">
        <f>IF(ISBLANK(tblSales[[#This Row],[ShippedDate]]),"",tblSales[[#This Row],[ShippedDate]]-tblSales[[#This Row],[OrderDate]])</f>
        <v/>
      </c>
      <c r="U1191" t="str">
        <f>LEFT(tblSales[[#This Row],[ProductName]],20)</f>
        <v>Chartreuse verte</v>
      </c>
    </row>
    <row r="1192" spans="2:21" x14ac:dyDescent="0.2">
      <c r="B1192">
        <v>11686</v>
      </c>
      <c r="C1192" t="s">
        <v>8268</v>
      </c>
      <c r="D1192" t="s">
        <v>8246</v>
      </c>
      <c r="E1192" t="s">
        <v>8237</v>
      </c>
      <c r="F1192" s="222">
        <v>27.2</v>
      </c>
      <c r="G1192">
        <v>55</v>
      </c>
      <c r="H1192" s="226">
        <v>0.10000000149011599</v>
      </c>
      <c r="I1192" s="227">
        <v>1346.4</v>
      </c>
      <c r="J1192" t="s">
        <v>8307</v>
      </c>
      <c r="K1192" t="s">
        <v>8308</v>
      </c>
      <c r="L1192" s="228">
        <v>44337</v>
      </c>
      <c r="M1192" s="229"/>
      <c r="N1192" t="s">
        <v>8265</v>
      </c>
      <c r="O1192" t="s">
        <v>8285</v>
      </c>
      <c r="P1192" t="s">
        <v>2317</v>
      </c>
      <c r="Q1192" t="str">
        <f>tblSales[[#This Row],[FirstName]]&amp; " " &amp;tblSales[[#This Row],[LastName]]</f>
        <v>Nancy Davolio</v>
      </c>
      <c r="R1192">
        <f>YEAR(tblSales[[#This Row],[OrderDate]])</f>
        <v>2021</v>
      </c>
      <c r="S1192">
        <f>WEEKNUM(tblSales[[#This Row],[OrderDate]])</f>
        <v>21</v>
      </c>
      <c r="T1192" t="str">
        <f>IF(ISBLANK(tblSales[[#This Row],[ShippedDate]]),"",tblSales[[#This Row],[ShippedDate]]-tblSales[[#This Row],[OrderDate]])</f>
        <v/>
      </c>
      <c r="U1192" t="str">
        <f>LEFT(tblSales[[#This Row],[ProductName]],20)</f>
        <v>Camembert Pierrot</v>
      </c>
    </row>
    <row r="1193" spans="2:21" x14ac:dyDescent="0.2">
      <c r="B1193">
        <v>11687</v>
      </c>
      <c r="C1193" t="s">
        <v>8362</v>
      </c>
      <c r="D1193" t="s">
        <v>8236</v>
      </c>
      <c r="E1193" t="s">
        <v>8262</v>
      </c>
      <c r="F1193" s="222">
        <v>11.2</v>
      </c>
      <c r="G1193">
        <v>50</v>
      </c>
      <c r="H1193" s="226">
        <v>0</v>
      </c>
      <c r="I1193" s="227">
        <v>560</v>
      </c>
      <c r="J1193" t="s">
        <v>8377</v>
      </c>
      <c r="K1193" t="s">
        <v>8378</v>
      </c>
      <c r="L1193" s="228">
        <v>44340</v>
      </c>
      <c r="M1193" s="229">
        <v>44343</v>
      </c>
      <c r="N1193" t="s">
        <v>8250</v>
      </c>
      <c r="O1193" t="s">
        <v>8257</v>
      </c>
      <c r="P1193" t="s">
        <v>6984</v>
      </c>
      <c r="Q1193" t="str">
        <f>tblSales[[#This Row],[FirstName]]&amp; " " &amp;tblSales[[#This Row],[LastName]]</f>
        <v>Janet Leverling</v>
      </c>
      <c r="R1193">
        <f>YEAR(tblSales[[#This Row],[OrderDate]])</f>
        <v>2021</v>
      </c>
      <c r="S1193">
        <f>WEEKNUM(tblSales[[#This Row],[OrderDate]])</f>
        <v>22</v>
      </c>
      <c r="T1193">
        <f>IF(ISBLANK(tblSales[[#This Row],[ShippedDate]]),"",tblSales[[#This Row],[ShippedDate]]-tblSales[[#This Row],[OrderDate]])</f>
        <v>3</v>
      </c>
      <c r="U1193" t="str">
        <f>LEFT(tblSales[[#This Row],[ProductName]],20)</f>
        <v>NuNuCa Nuß-Nougat-Cr</v>
      </c>
    </row>
    <row r="1194" spans="2:21" x14ac:dyDescent="0.2">
      <c r="B1194">
        <v>11687</v>
      </c>
      <c r="C1194" t="s">
        <v>8245</v>
      </c>
      <c r="D1194" t="s">
        <v>8236</v>
      </c>
      <c r="E1194" t="s">
        <v>8247</v>
      </c>
      <c r="F1194" s="222">
        <v>42.4</v>
      </c>
      <c r="G1194">
        <v>20</v>
      </c>
      <c r="H1194" s="226">
        <v>0</v>
      </c>
      <c r="I1194" s="227">
        <v>848</v>
      </c>
      <c r="J1194" t="s">
        <v>8377</v>
      </c>
      <c r="K1194" t="s">
        <v>8378</v>
      </c>
      <c r="L1194" s="228">
        <v>44340</v>
      </c>
      <c r="M1194" s="229">
        <v>44343</v>
      </c>
      <c r="N1194" t="s">
        <v>8250</v>
      </c>
      <c r="O1194" t="s">
        <v>8257</v>
      </c>
      <c r="P1194" t="s">
        <v>6984</v>
      </c>
      <c r="Q1194" t="str">
        <f>tblSales[[#This Row],[FirstName]]&amp; " " &amp;tblSales[[#This Row],[LastName]]</f>
        <v>Janet Leverling</v>
      </c>
      <c r="R1194">
        <f>YEAR(tblSales[[#This Row],[OrderDate]])</f>
        <v>2021</v>
      </c>
      <c r="S1194">
        <f>WEEKNUM(tblSales[[#This Row],[OrderDate]])</f>
        <v>22</v>
      </c>
      <c r="T1194">
        <f>IF(ISBLANK(tblSales[[#This Row],[ShippedDate]]),"",tblSales[[#This Row],[ShippedDate]]-tblSales[[#This Row],[OrderDate]])</f>
        <v>3</v>
      </c>
      <c r="U1194" t="str">
        <f>LEFT(tblSales[[#This Row],[ProductName]],20)</f>
        <v>Manjimup Dried Apple</v>
      </c>
    </row>
    <row r="1195" spans="2:21" x14ac:dyDescent="0.2">
      <c r="B1195">
        <v>11688</v>
      </c>
      <c r="C1195" t="s">
        <v>8303</v>
      </c>
      <c r="D1195" t="s">
        <v>8246</v>
      </c>
      <c r="E1195" t="s">
        <v>8272</v>
      </c>
      <c r="F1195" s="222">
        <v>14.4</v>
      </c>
      <c r="G1195">
        <v>12</v>
      </c>
      <c r="H1195" s="226">
        <v>0</v>
      </c>
      <c r="I1195" s="227">
        <v>172.8</v>
      </c>
      <c r="J1195" t="s">
        <v>8391</v>
      </c>
      <c r="K1195" t="s">
        <v>8392</v>
      </c>
      <c r="L1195" s="228">
        <v>44341</v>
      </c>
      <c r="M1195" s="229">
        <v>44349</v>
      </c>
      <c r="N1195" t="s">
        <v>8240</v>
      </c>
      <c r="O1195" t="s">
        <v>8266</v>
      </c>
      <c r="P1195" t="s">
        <v>8267</v>
      </c>
      <c r="Q1195" t="str">
        <f>tblSales[[#This Row],[FirstName]]&amp; " " &amp;tblSales[[#This Row],[LastName]]</f>
        <v>Margaret Peacock</v>
      </c>
      <c r="R1195">
        <f>YEAR(tblSales[[#This Row],[OrderDate]])</f>
        <v>2021</v>
      </c>
      <c r="S1195">
        <f>WEEKNUM(tblSales[[#This Row],[OrderDate]])</f>
        <v>22</v>
      </c>
      <c r="T1195">
        <f>IF(ISBLANK(tblSales[[#This Row],[ShippedDate]]),"",tblSales[[#This Row],[ShippedDate]]-tblSales[[#This Row],[OrderDate]])</f>
        <v>8</v>
      </c>
      <c r="U1195" t="str">
        <f>LEFT(tblSales[[#This Row],[ProductName]],20)</f>
        <v>Lakkalikööri</v>
      </c>
    </row>
    <row r="1196" spans="2:21" x14ac:dyDescent="0.2">
      <c r="B1196">
        <v>11688</v>
      </c>
      <c r="C1196" t="s">
        <v>8328</v>
      </c>
      <c r="D1196" t="s">
        <v>8246</v>
      </c>
      <c r="E1196" t="s">
        <v>8272</v>
      </c>
      <c r="F1196" s="222">
        <v>6.2</v>
      </c>
      <c r="G1196">
        <v>12</v>
      </c>
      <c r="H1196" s="226">
        <v>0</v>
      </c>
      <c r="I1196" s="227">
        <v>74.400000000000006</v>
      </c>
      <c r="J1196" t="s">
        <v>8391</v>
      </c>
      <c r="K1196" t="s">
        <v>8392</v>
      </c>
      <c r="L1196" s="228">
        <v>44341</v>
      </c>
      <c r="M1196" s="229">
        <v>44349</v>
      </c>
      <c r="N1196" t="s">
        <v>8240</v>
      </c>
      <c r="O1196" t="s">
        <v>8266</v>
      </c>
      <c r="P1196" t="s">
        <v>8267</v>
      </c>
      <c r="Q1196" t="str">
        <f>tblSales[[#This Row],[FirstName]]&amp; " " &amp;tblSales[[#This Row],[LastName]]</f>
        <v>Margaret Peacock</v>
      </c>
      <c r="R1196">
        <f>YEAR(tblSales[[#This Row],[OrderDate]])</f>
        <v>2021</v>
      </c>
      <c r="S1196">
        <f>WEEKNUM(tblSales[[#This Row],[OrderDate]])</f>
        <v>22</v>
      </c>
      <c r="T1196">
        <f>IF(ISBLANK(tblSales[[#This Row],[ShippedDate]]),"",tblSales[[#This Row],[ShippedDate]]-tblSales[[#This Row],[OrderDate]])</f>
        <v>8</v>
      </c>
      <c r="U1196" t="str">
        <f>LEFT(tblSales[[#This Row],[ProductName]],20)</f>
        <v>Rhönbräu Klosterbier</v>
      </c>
    </row>
    <row r="1197" spans="2:21" x14ac:dyDescent="0.2">
      <c r="B1197">
        <v>11688</v>
      </c>
      <c r="C1197" t="s">
        <v>8309</v>
      </c>
      <c r="D1197" t="s">
        <v>8246</v>
      </c>
      <c r="E1197" t="s">
        <v>8237</v>
      </c>
      <c r="F1197" s="222">
        <v>10</v>
      </c>
      <c r="G1197">
        <v>20</v>
      </c>
      <c r="H1197" s="226">
        <v>0</v>
      </c>
      <c r="I1197" s="227">
        <v>200</v>
      </c>
      <c r="J1197" t="s">
        <v>8391</v>
      </c>
      <c r="K1197" t="s">
        <v>8392</v>
      </c>
      <c r="L1197" s="228">
        <v>44341</v>
      </c>
      <c r="M1197" s="229">
        <v>44349</v>
      </c>
      <c r="N1197" t="s">
        <v>8240</v>
      </c>
      <c r="O1197" t="s">
        <v>8266</v>
      </c>
      <c r="P1197" t="s">
        <v>8267</v>
      </c>
      <c r="Q1197" t="str">
        <f>tblSales[[#This Row],[FirstName]]&amp; " " &amp;tblSales[[#This Row],[LastName]]</f>
        <v>Margaret Peacock</v>
      </c>
      <c r="R1197">
        <f>YEAR(tblSales[[#This Row],[OrderDate]])</f>
        <v>2021</v>
      </c>
      <c r="S1197">
        <f>WEEKNUM(tblSales[[#This Row],[OrderDate]])</f>
        <v>22</v>
      </c>
      <c r="T1197">
        <f>IF(ISBLANK(tblSales[[#This Row],[ShippedDate]]),"",tblSales[[#This Row],[ShippedDate]]-tblSales[[#This Row],[OrderDate]])</f>
        <v>8</v>
      </c>
      <c r="U1197" t="str">
        <f>LEFT(tblSales[[#This Row],[ProductName]],20)</f>
        <v>Gorgonzola Telino</v>
      </c>
    </row>
    <row r="1198" spans="2:21" x14ac:dyDescent="0.2">
      <c r="B1198">
        <v>11689</v>
      </c>
      <c r="C1198" t="s">
        <v>8353</v>
      </c>
      <c r="D1198" t="s">
        <v>2434</v>
      </c>
      <c r="E1198" t="s">
        <v>8237</v>
      </c>
      <c r="F1198" s="222">
        <v>28.8</v>
      </c>
      <c r="G1198">
        <v>30</v>
      </c>
      <c r="H1198" s="226">
        <v>0</v>
      </c>
      <c r="I1198" s="227">
        <v>864</v>
      </c>
      <c r="J1198" t="s">
        <v>8393</v>
      </c>
      <c r="K1198" t="s">
        <v>8394</v>
      </c>
      <c r="L1198" s="228">
        <v>44341</v>
      </c>
      <c r="M1198" s="229"/>
      <c r="N1198" t="s">
        <v>8250</v>
      </c>
      <c r="O1198" t="s">
        <v>8285</v>
      </c>
      <c r="P1198" t="s">
        <v>2317</v>
      </c>
      <c r="Q1198" t="str">
        <f>tblSales[[#This Row],[FirstName]]&amp; " " &amp;tblSales[[#This Row],[LastName]]</f>
        <v>Nancy Davolio</v>
      </c>
      <c r="R1198">
        <f>YEAR(tblSales[[#This Row],[OrderDate]])</f>
        <v>2021</v>
      </c>
      <c r="S1198">
        <f>WEEKNUM(tblSales[[#This Row],[OrderDate]])</f>
        <v>22</v>
      </c>
      <c r="T1198" t="str">
        <f>IF(ISBLANK(tblSales[[#This Row],[ShippedDate]]),"",tblSales[[#This Row],[ShippedDate]]-tblSales[[#This Row],[OrderDate]])</f>
        <v/>
      </c>
      <c r="U1198" t="str">
        <f>LEFT(tblSales[[#This Row],[ProductName]],20)</f>
        <v>Gudbrandsdalsost</v>
      </c>
    </row>
    <row r="1199" spans="2:21" x14ac:dyDescent="0.2">
      <c r="B1199">
        <v>11689</v>
      </c>
      <c r="C1199" t="s">
        <v>8310</v>
      </c>
      <c r="D1199" t="s">
        <v>2434</v>
      </c>
      <c r="E1199" t="s">
        <v>8237</v>
      </c>
      <c r="F1199" s="222">
        <v>17.2</v>
      </c>
      <c r="G1199">
        <v>5</v>
      </c>
      <c r="H1199" s="226">
        <v>0</v>
      </c>
      <c r="I1199" s="227">
        <v>86</v>
      </c>
      <c r="J1199" t="s">
        <v>8393</v>
      </c>
      <c r="K1199" t="s">
        <v>8394</v>
      </c>
      <c r="L1199" s="228">
        <v>44341</v>
      </c>
      <c r="M1199" s="229"/>
      <c r="N1199" t="s">
        <v>8250</v>
      </c>
      <c r="O1199" t="s">
        <v>8285</v>
      </c>
      <c r="P1199" t="s">
        <v>2317</v>
      </c>
      <c r="Q1199" t="str">
        <f>tblSales[[#This Row],[FirstName]]&amp; " " &amp;tblSales[[#This Row],[LastName]]</f>
        <v>Nancy Davolio</v>
      </c>
      <c r="R1199">
        <f>YEAR(tblSales[[#This Row],[OrderDate]])</f>
        <v>2021</v>
      </c>
      <c r="S1199">
        <f>WEEKNUM(tblSales[[#This Row],[OrderDate]])</f>
        <v>22</v>
      </c>
      <c r="T1199" t="str">
        <f>IF(ISBLANK(tblSales[[#This Row],[ShippedDate]]),"",tblSales[[#This Row],[ShippedDate]]-tblSales[[#This Row],[OrderDate]])</f>
        <v/>
      </c>
      <c r="U1199" t="str">
        <f>LEFT(tblSales[[#This Row],[ProductName]],20)</f>
        <v>Fløtemysost</v>
      </c>
    </row>
    <row r="1200" spans="2:21" x14ac:dyDescent="0.2">
      <c r="B1200">
        <v>11692</v>
      </c>
      <c r="C1200" t="s">
        <v>8358</v>
      </c>
      <c r="D1200" t="s">
        <v>8374</v>
      </c>
      <c r="E1200" t="s">
        <v>8272</v>
      </c>
      <c r="F1200" s="222">
        <v>11.2</v>
      </c>
      <c r="G1200">
        <v>36</v>
      </c>
      <c r="H1200" s="226">
        <v>0</v>
      </c>
      <c r="I1200" s="227">
        <v>403.2</v>
      </c>
      <c r="J1200" t="s">
        <v>8395</v>
      </c>
      <c r="K1200" t="s">
        <v>8396</v>
      </c>
      <c r="L1200" s="228">
        <v>44343</v>
      </c>
      <c r="M1200" s="229">
        <v>44347</v>
      </c>
      <c r="N1200" t="s">
        <v>8240</v>
      </c>
      <c r="O1200" t="s">
        <v>8158</v>
      </c>
      <c r="P1200" t="s">
        <v>861</v>
      </c>
      <c r="Q1200" t="str">
        <f>tblSales[[#This Row],[FirstName]]&amp; " " &amp;tblSales[[#This Row],[LastName]]</f>
        <v>Robert King</v>
      </c>
      <c r="R1200">
        <f>YEAR(tblSales[[#This Row],[OrderDate]])</f>
        <v>2021</v>
      </c>
      <c r="S1200">
        <f>WEEKNUM(tblSales[[#This Row],[OrderDate]])</f>
        <v>22</v>
      </c>
      <c r="T1200">
        <f>IF(ISBLANK(tblSales[[#This Row],[ShippedDate]]),"",tblSales[[#This Row],[ShippedDate]]-tblSales[[#This Row],[OrderDate]])</f>
        <v>4</v>
      </c>
      <c r="U1200" t="str">
        <f>LEFT(tblSales[[#This Row],[ProductName]],20)</f>
        <v>Sasquatch Ale</v>
      </c>
    </row>
    <row r="1201" spans="2:21" x14ac:dyDescent="0.2">
      <c r="B1201">
        <v>11692</v>
      </c>
      <c r="C1201" t="s">
        <v>8253</v>
      </c>
      <c r="D1201" t="s">
        <v>8374</v>
      </c>
      <c r="E1201" t="s">
        <v>8254</v>
      </c>
      <c r="F1201" s="222">
        <v>16.8</v>
      </c>
      <c r="G1201">
        <v>15</v>
      </c>
      <c r="H1201" s="226">
        <v>0</v>
      </c>
      <c r="I1201" s="227">
        <v>252</v>
      </c>
      <c r="J1201" t="s">
        <v>8395</v>
      </c>
      <c r="K1201" t="s">
        <v>8396</v>
      </c>
      <c r="L1201" s="228">
        <v>44343</v>
      </c>
      <c r="M1201" s="229">
        <v>44347</v>
      </c>
      <c r="N1201" t="s">
        <v>8240</v>
      </c>
      <c r="O1201" t="s">
        <v>8158</v>
      </c>
      <c r="P1201" t="s">
        <v>861</v>
      </c>
      <c r="Q1201" t="str">
        <f>tblSales[[#This Row],[FirstName]]&amp; " " &amp;tblSales[[#This Row],[LastName]]</f>
        <v>Robert King</v>
      </c>
      <c r="R1201">
        <f>YEAR(tblSales[[#This Row],[OrderDate]])</f>
        <v>2021</v>
      </c>
      <c r="S1201">
        <f>WEEKNUM(tblSales[[#This Row],[OrderDate]])</f>
        <v>22</v>
      </c>
      <c r="T1201">
        <f>IF(ISBLANK(tblSales[[#This Row],[ShippedDate]]),"",tblSales[[#This Row],[ShippedDate]]-tblSales[[#This Row],[OrderDate]])</f>
        <v>4</v>
      </c>
      <c r="U1201" t="str">
        <f>LEFT(tblSales[[#This Row],[ProductName]],20)</f>
        <v xml:space="preserve">Louisiana Fiery Hot </v>
      </c>
    </row>
    <row r="1202" spans="2:21" x14ac:dyDescent="0.2">
      <c r="B1202">
        <v>11692</v>
      </c>
      <c r="C1202" t="s">
        <v>8397</v>
      </c>
      <c r="D1202" t="s">
        <v>8374</v>
      </c>
      <c r="E1202" t="s">
        <v>8254</v>
      </c>
      <c r="F1202" s="222">
        <v>10.4</v>
      </c>
      <c r="G1202">
        <v>7</v>
      </c>
      <c r="H1202" s="226">
        <v>0</v>
      </c>
      <c r="I1202" s="227">
        <v>72.8</v>
      </c>
      <c r="J1202" t="s">
        <v>8395</v>
      </c>
      <c r="K1202" t="s">
        <v>8396</v>
      </c>
      <c r="L1202" s="228">
        <v>44343</v>
      </c>
      <c r="M1202" s="229">
        <v>44347</v>
      </c>
      <c r="N1202" t="s">
        <v>8240</v>
      </c>
      <c r="O1202" t="s">
        <v>8158</v>
      </c>
      <c r="P1202" t="s">
        <v>861</v>
      </c>
      <c r="Q1202" t="str">
        <f>tblSales[[#This Row],[FirstName]]&amp; " " &amp;tblSales[[#This Row],[LastName]]</f>
        <v>Robert King</v>
      </c>
      <c r="R1202">
        <f>YEAR(tblSales[[#This Row],[OrderDate]])</f>
        <v>2021</v>
      </c>
      <c r="S1202">
        <f>WEEKNUM(tblSales[[#This Row],[OrderDate]])</f>
        <v>22</v>
      </c>
      <c r="T1202">
        <f>IF(ISBLANK(tblSales[[#This Row],[ShippedDate]]),"",tblSales[[#This Row],[ShippedDate]]-tblSales[[#This Row],[OrderDate]])</f>
        <v>4</v>
      </c>
      <c r="U1202" t="str">
        <f>LEFT(tblSales[[#This Row],[ProductName]],20)</f>
        <v>Original Frankfurter</v>
      </c>
    </row>
    <row r="1203" spans="2:21" x14ac:dyDescent="0.2">
      <c r="B1203">
        <v>11691</v>
      </c>
      <c r="C1203" t="s">
        <v>8253</v>
      </c>
      <c r="D1203" t="s">
        <v>8324</v>
      </c>
      <c r="E1203" t="s">
        <v>8254</v>
      </c>
      <c r="F1203" s="222">
        <v>16.8</v>
      </c>
      <c r="G1203">
        <v>5</v>
      </c>
      <c r="H1203" s="226">
        <v>0</v>
      </c>
      <c r="I1203" s="227">
        <v>84</v>
      </c>
      <c r="J1203" t="s">
        <v>8398</v>
      </c>
      <c r="K1203" t="s">
        <v>8399</v>
      </c>
      <c r="L1203" s="228">
        <v>44343</v>
      </c>
      <c r="M1203" s="229">
        <v>44375</v>
      </c>
      <c r="N1203" t="s">
        <v>8265</v>
      </c>
      <c r="O1203" t="s">
        <v>8320</v>
      </c>
      <c r="P1203" t="s">
        <v>8321</v>
      </c>
      <c r="Q1203" t="str">
        <f>tblSales[[#This Row],[FirstName]]&amp; " " &amp;tblSales[[#This Row],[LastName]]</f>
        <v>Laura Callahan</v>
      </c>
      <c r="R1203">
        <f>YEAR(tblSales[[#This Row],[OrderDate]])</f>
        <v>2021</v>
      </c>
      <c r="S1203">
        <f>WEEKNUM(tblSales[[#This Row],[OrderDate]])</f>
        <v>22</v>
      </c>
      <c r="T1203">
        <f>IF(ISBLANK(tblSales[[#This Row],[ShippedDate]]),"",tblSales[[#This Row],[ShippedDate]]-tblSales[[#This Row],[OrderDate]])</f>
        <v>32</v>
      </c>
      <c r="U1203" t="str">
        <f>LEFT(tblSales[[#This Row],[ProductName]],20)</f>
        <v xml:space="preserve">Louisiana Fiery Hot </v>
      </c>
    </row>
    <row r="1204" spans="2:21" x14ac:dyDescent="0.2">
      <c r="B1204">
        <v>11691</v>
      </c>
      <c r="C1204" t="s">
        <v>8397</v>
      </c>
      <c r="D1204" t="s">
        <v>8324</v>
      </c>
      <c r="E1204" t="s">
        <v>8254</v>
      </c>
      <c r="F1204" s="222">
        <v>10.4</v>
      </c>
      <c r="G1204">
        <v>5</v>
      </c>
      <c r="H1204" s="226">
        <v>0</v>
      </c>
      <c r="I1204" s="227">
        <v>52</v>
      </c>
      <c r="J1204" t="s">
        <v>8398</v>
      </c>
      <c r="K1204" t="s">
        <v>8399</v>
      </c>
      <c r="L1204" s="228">
        <v>44343</v>
      </c>
      <c r="M1204" s="229">
        <v>44375</v>
      </c>
      <c r="N1204" t="s">
        <v>8265</v>
      </c>
      <c r="O1204" t="s">
        <v>8320</v>
      </c>
      <c r="P1204" t="s">
        <v>8321</v>
      </c>
      <c r="Q1204" t="str">
        <f>tblSales[[#This Row],[FirstName]]&amp; " " &amp;tblSales[[#This Row],[LastName]]</f>
        <v>Laura Callahan</v>
      </c>
      <c r="R1204">
        <f>YEAR(tblSales[[#This Row],[OrderDate]])</f>
        <v>2021</v>
      </c>
      <c r="S1204">
        <f>WEEKNUM(tblSales[[#This Row],[OrderDate]])</f>
        <v>22</v>
      </c>
      <c r="T1204">
        <f>IF(ISBLANK(tblSales[[#This Row],[ShippedDate]]),"",tblSales[[#This Row],[ShippedDate]]-tblSales[[#This Row],[OrderDate]])</f>
        <v>32</v>
      </c>
      <c r="U1204" t="str">
        <f>LEFT(tblSales[[#This Row],[ProductName]],20)</f>
        <v>Original Frankfurter</v>
      </c>
    </row>
    <row r="1205" spans="2:21" x14ac:dyDescent="0.2">
      <c r="B1205">
        <v>11693</v>
      </c>
      <c r="C1205" t="s">
        <v>8368</v>
      </c>
      <c r="D1205" t="s">
        <v>8282</v>
      </c>
      <c r="E1205" t="s">
        <v>8262</v>
      </c>
      <c r="F1205" s="222">
        <v>8</v>
      </c>
      <c r="G1205">
        <v>5</v>
      </c>
      <c r="H1205" s="226">
        <v>0.10000000149011599</v>
      </c>
      <c r="I1205" s="227">
        <v>36</v>
      </c>
      <c r="J1205" t="s">
        <v>8283</v>
      </c>
      <c r="K1205" t="s">
        <v>8284</v>
      </c>
      <c r="L1205" s="228">
        <v>44344</v>
      </c>
      <c r="M1205" s="229">
        <v>44347</v>
      </c>
      <c r="N1205" t="s">
        <v>8265</v>
      </c>
      <c r="O1205" t="s">
        <v>8297</v>
      </c>
      <c r="P1205" t="s">
        <v>8298</v>
      </c>
      <c r="Q1205" t="str">
        <f>tblSales[[#This Row],[FirstName]]&amp; " " &amp;tblSales[[#This Row],[LastName]]</f>
        <v>Andrew Fuller</v>
      </c>
      <c r="R1205">
        <f>YEAR(tblSales[[#This Row],[OrderDate]])</f>
        <v>2021</v>
      </c>
      <c r="S1205">
        <f>WEEKNUM(tblSales[[#This Row],[OrderDate]])</f>
        <v>22</v>
      </c>
      <c r="T1205">
        <f>IF(ISBLANK(tblSales[[#This Row],[ShippedDate]]),"",tblSales[[#This Row],[ShippedDate]]-tblSales[[#This Row],[OrderDate]])</f>
        <v>3</v>
      </c>
      <c r="U1205" t="str">
        <f>LEFT(tblSales[[#This Row],[ProductName]],20)</f>
        <v>Sir Rodney's Scones</v>
      </c>
    </row>
    <row r="1206" spans="2:21" x14ac:dyDescent="0.2">
      <c r="B1206">
        <v>11693</v>
      </c>
      <c r="C1206" t="s">
        <v>8340</v>
      </c>
      <c r="D1206" t="s">
        <v>8282</v>
      </c>
      <c r="E1206" t="s">
        <v>8244</v>
      </c>
      <c r="F1206" s="222">
        <v>26.6</v>
      </c>
      <c r="G1206">
        <v>35</v>
      </c>
      <c r="H1206" s="226">
        <v>0.10000000149011599</v>
      </c>
      <c r="I1206" s="227">
        <v>837.9</v>
      </c>
      <c r="J1206" t="s">
        <v>8283</v>
      </c>
      <c r="K1206" t="s">
        <v>8284</v>
      </c>
      <c r="L1206" s="228">
        <v>44344</v>
      </c>
      <c r="M1206" s="229">
        <v>44347</v>
      </c>
      <c r="N1206" t="s">
        <v>8265</v>
      </c>
      <c r="O1206" t="s">
        <v>8297</v>
      </c>
      <c r="P1206" t="s">
        <v>8298</v>
      </c>
      <c r="Q1206" t="str">
        <f>tblSales[[#This Row],[FirstName]]&amp; " " &amp;tblSales[[#This Row],[LastName]]</f>
        <v>Andrew Fuller</v>
      </c>
      <c r="R1206">
        <f>YEAR(tblSales[[#This Row],[OrderDate]])</f>
        <v>2021</v>
      </c>
      <c r="S1206">
        <f>WEEKNUM(tblSales[[#This Row],[OrderDate]])</f>
        <v>22</v>
      </c>
      <c r="T1206">
        <f>IF(ISBLANK(tblSales[[#This Row],[ShippedDate]]),"",tblSales[[#This Row],[ShippedDate]]-tblSales[[#This Row],[OrderDate]])</f>
        <v>3</v>
      </c>
      <c r="U1206" t="str">
        <f>LEFT(tblSales[[#This Row],[ProductName]],20)</f>
        <v>Wimmers gute Semmelk</v>
      </c>
    </row>
    <row r="1207" spans="2:21" x14ac:dyDescent="0.2">
      <c r="B1207">
        <v>11693</v>
      </c>
      <c r="C1207" t="s">
        <v>8258</v>
      </c>
      <c r="D1207" t="s">
        <v>8282</v>
      </c>
      <c r="E1207" t="s">
        <v>8244</v>
      </c>
      <c r="F1207" s="222">
        <v>15.6</v>
      </c>
      <c r="G1207">
        <v>25</v>
      </c>
      <c r="H1207" s="226">
        <v>0</v>
      </c>
      <c r="I1207" s="227">
        <v>390</v>
      </c>
      <c r="J1207" t="s">
        <v>8283</v>
      </c>
      <c r="K1207" t="s">
        <v>8284</v>
      </c>
      <c r="L1207" s="228">
        <v>44344</v>
      </c>
      <c r="M1207" s="229">
        <v>44347</v>
      </c>
      <c r="N1207" t="s">
        <v>8265</v>
      </c>
      <c r="O1207" t="s">
        <v>8297</v>
      </c>
      <c r="P1207" t="s">
        <v>8298</v>
      </c>
      <c r="Q1207" t="str">
        <f>tblSales[[#This Row],[FirstName]]&amp; " " &amp;tblSales[[#This Row],[LastName]]</f>
        <v>Andrew Fuller</v>
      </c>
      <c r="R1207">
        <f>YEAR(tblSales[[#This Row],[OrderDate]])</f>
        <v>2021</v>
      </c>
      <c r="S1207">
        <f>WEEKNUM(tblSales[[#This Row],[OrderDate]])</f>
        <v>22</v>
      </c>
      <c r="T1207">
        <f>IF(ISBLANK(tblSales[[#This Row],[ShippedDate]]),"",tblSales[[#This Row],[ShippedDate]]-tblSales[[#This Row],[OrderDate]])</f>
        <v>3</v>
      </c>
      <c r="U1207" t="str">
        <f>LEFT(tblSales[[#This Row],[ProductName]],20)</f>
        <v>Ravioli Angelo</v>
      </c>
    </row>
    <row r="1208" spans="2:21" x14ac:dyDescent="0.2">
      <c r="B1208">
        <v>11693</v>
      </c>
      <c r="C1208" t="s">
        <v>8316</v>
      </c>
      <c r="D1208" t="s">
        <v>8282</v>
      </c>
      <c r="E1208" t="s">
        <v>8247</v>
      </c>
      <c r="F1208" s="222">
        <v>36.4</v>
      </c>
      <c r="G1208">
        <v>13</v>
      </c>
      <c r="H1208" s="226">
        <v>0.10000000149011599</v>
      </c>
      <c r="I1208" s="227">
        <v>425.88</v>
      </c>
      <c r="J1208" t="s">
        <v>8283</v>
      </c>
      <c r="K1208" t="s">
        <v>8284</v>
      </c>
      <c r="L1208" s="228">
        <v>44344</v>
      </c>
      <c r="M1208" s="229">
        <v>44347</v>
      </c>
      <c r="N1208" t="s">
        <v>8265</v>
      </c>
      <c r="O1208" t="s">
        <v>8297</v>
      </c>
      <c r="P1208" t="s">
        <v>8298</v>
      </c>
      <c r="Q1208" t="str">
        <f>tblSales[[#This Row],[FirstName]]&amp; " " &amp;tblSales[[#This Row],[LastName]]</f>
        <v>Andrew Fuller</v>
      </c>
      <c r="R1208">
        <f>YEAR(tblSales[[#This Row],[OrderDate]])</f>
        <v>2021</v>
      </c>
      <c r="S1208">
        <f>WEEKNUM(tblSales[[#This Row],[OrderDate]])</f>
        <v>22</v>
      </c>
      <c r="T1208">
        <f>IF(ISBLANK(tblSales[[#This Row],[ShippedDate]]),"",tblSales[[#This Row],[ShippedDate]]-tblSales[[#This Row],[OrderDate]])</f>
        <v>3</v>
      </c>
      <c r="U1208" t="str">
        <f>LEFT(tblSales[[#This Row],[ProductName]],20)</f>
        <v>Rössle Sauerkraut</v>
      </c>
    </row>
    <row r="1209" spans="2:21" x14ac:dyDescent="0.2">
      <c r="B1209">
        <v>11695</v>
      </c>
      <c r="C1209" t="s">
        <v>8333</v>
      </c>
      <c r="D1209" t="s">
        <v>8271</v>
      </c>
      <c r="E1209" t="s">
        <v>8272</v>
      </c>
      <c r="F1209" s="222">
        <v>14.4</v>
      </c>
      <c r="G1209">
        <v>15</v>
      </c>
      <c r="H1209" s="226">
        <v>0.15000000596046401</v>
      </c>
      <c r="I1209" s="227">
        <v>183.6</v>
      </c>
      <c r="J1209" t="s">
        <v>8273</v>
      </c>
      <c r="K1209" t="s">
        <v>8274</v>
      </c>
      <c r="L1209" s="228">
        <v>44348</v>
      </c>
      <c r="M1209" s="229"/>
      <c r="N1209" t="s">
        <v>8265</v>
      </c>
      <c r="O1209" t="s">
        <v>8251</v>
      </c>
      <c r="P1209" t="s">
        <v>269</v>
      </c>
      <c r="Q1209" t="str">
        <f>tblSales[[#This Row],[FirstName]]&amp; " " &amp;tblSales[[#This Row],[LastName]]</f>
        <v>Michael Suyama</v>
      </c>
      <c r="R1209">
        <f>YEAR(tblSales[[#This Row],[OrderDate]])</f>
        <v>2021</v>
      </c>
      <c r="S1209">
        <f>WEEKNUM(tblSales[[#This Row],[OrderDate]])</f>
        <v>23</v>
      </c>
      <c r="T1209" t="str">
        <f>IF(ISBLANK(tblSales[[#This Row],[ShippedDate]]),"",tblSales[[#This Row],[ShippedDate]]-tblSales[[#This Row],[OrderDate]])</f>
        <v/>
      </c>
      <c r="U1209" t="str">
        <f>LEFT(tblSales[[#This Row],[ProductName]],20)</f>
        <v>Chai</v>
      </c>
    </row>
    <row r="1210" spans="2:21" x14ac:dyDescent="0.2">
      <c r="B1210">
        <v>11695</v>
      </c>
      <c r="C1210" t="s">
        <v>8340</v>
      </c>
      <c r="D1210" t="s">
        <v>8271</v>
      </c>
      <c r="E1210" t="s">
        <v>8244</v>
      </c>
      <c r="F1210" s="222">
        <v>26.6</v>
      </c>
      <c r="G1210">
        <v>30</v>
      </c>
      <c r="H1210" s="226">
        <v>0</v>
      </c>
      <c r="I1210" s="227">
        <v>798</v>
      </c>
      <c r="J1210" t="s">
        <v>8273</v>
      </c>
      <c r="K1210" t="s">
        <v>8274</v>
      </c>
      <c r="L1210" s="228">
        <v>44348</v>
      </c>
      <c r="M1210" s="229"/>
      <c r="N1210" t="s">
        <v>8265</v>
      </c>
      <c r="O1210" t="s">
        <v>8251</v>
      </c>
      <c r="P1210" t="s">
        <v>269</v>
      </c>
      <c r="Q1210" t="str">
        <f>tblSales[[#This Row],[FirstName]]&amp; " " &amp;tblSales[[#This Row],[LastName]]</f>
        <v>Michael Suyama</v>
      </c>
      <c r="R1210">
        <f>YEAR(tblSales[[#This Row],[OrderDate]])</f>
        <v>2021</v>
      </c>
      <c r="S1210">
        <f>WEEKNUM(tblSales[[#This Row],[OrderDate]])</f>
        <v>23</v>
      </c>
      <c r="T1210" t="str">
        <f>IF(ISBLANK(tblSales[[#This Row],[ShippedDate]]),"",tblSales[[#This Row],[ShippedDate]]-tblSales[[#This Row],[OrderDate]])</f>
        <v/>
      </c>
      <c r="U1210" t="str">
        <f>LEFT(tblSales[[#This Row],[ProductName]],20)</f>
        <v>Wimmers gute Semmelk</v>
      </c>
    </row>
    <row r="1211" spans="2:21" x14ac:dyDescent="0.2">
      <c r="B1211">
        <v>11695</v>
      </c>
      <c r="C1211" t="s">
        <v>8275</v>
      </c>
      <c r="D1211" t="s">
        <v>8271</v>
      </c>
      <c r="E1211" t="s">
        <v>8247</v>
      </c>
      <c r="F1211" s="222">
        <v>8</v>
      </c>
      <c r="G1211">
        <v>20</v>
      </c>
      <c r="H1211" s="226">
        <v>0.15000000596046401</v>
      </c>
      <c r="I1211" s="227">
        <v>136</v>
      </c>
      <c r="J1211" t="s">
        <v>8273</v>
      </c>
      <c r="K1211" t="s">
        <v>8274</v>
      </c>
      <c r="L1211" s="228">
        <v>44348</v>
      </c>
      <c r="M1211" s="229"/>
      <c r="N1211" t="s">
        <v>8265</v>
      </c>
      <c r="O1211" t="s">
        <v>8251</v>
      </c>
      <c r="P1211" t="s">
        <v>269</v>
      </c>
      <c r="Q1211" t="str">
        <f>tblSales[[#This Row],[FirstName]]&amp; " " &amp;tblSales[[#This Row],[LastName]]</f>
        <v>Michael Suyama</v>
      </c>
      <c r="R1211">
        <f>YEAR(tblSales[[#This Row],[OrderDate]])</f>
        <v>2021</v>
      </c>
      <c r="S1211">
        <f>WEEKNUM(tblSales[[#This Row],[OrderDate]])</f>
        <v>23</v>
      </c>
      <c r="T1211" t="str">
        <f>IF(ISBLANK(tblSales[[#This Row],[ShippedDate]]),"",tblSales[[#This Row],[ShippedDate]]-tblSales[[#This Row],[OrderDate]])</f>
        <v/>
      </c>
      <c r="U1211" t="str">
        <f>LEFT(tblSales[[#This Row],[ProductName]],20)</f>
        <v>Longlife Tofu</v>
      </c>
    </row>
    <row r="1212" spans="2:21" x14ac:dyDescent="0.2">
      <c r="B1212">
        <v>11699</v>
      </c>
      <c r="C1212" t="s">
        <v>8309</v>
      </c>
      <c r="D1212" t="s">
        <v>8400</v>
      </c>
      <c r="E1212" t="s">
        <v>8237</v>
      </c>
      <c r="F1212" s="222">
        <v>10</v>
      </c>
      <c r="G1212">
        <v>30</v>
      </c>
      <c r="H1212" s="226">
        <v>0</v>
      </c>
      <c r="I1212" s="227">
        <v>300</v>
      </c>
      <c r="J1212" t="s">
        <v>8401</v>
      </c>
      <c r="K1212" t="s">
        <v>8402</v>
      </c>
      <c r="L1212" s="228">
        <v>44350</v>
      </c>
      <c r="M1212" s="229">
        <v>44354</v>
      </c>
      <c r="N1212" t="s">
        <v>8240</v>
      </c>
      <c r="O1212" t="s">
        <v>8285</v>
      </c>
      <c r="P1212" t="s">
        <v>2317</v>
      </c>
      <c r="Q1212" t="str">
        <f>tblSales[[#This Row],[FirstName]]&amp; " " &amp;tblSales[[#This Row],[LastName]]</f>
        <v>Nancy Davolio</v>
      </c>
      <c r="R1212">
        <f>YEAR(tblSales[[#This Row],[OrderDate]])</f>
        <v>2021</v>
      </c>
      <c r="S1212">
        <f>WEEKNUM(tblSales[[#This Row],[OrderDate]])</f>
        <v>23</v>
      </c>
      <c r="T1212">
        <f>IF(ISBLANK(tblSales[[#This Row],[ShippedDate]]),"",tblSales[[#This Row],[ShippedDate]]-tblSales[[#This Row],[OrderDate]])</f>
        <v>4</v>
      </c>
      <c r="U1212" t="str">
        <f>LEFT(tblSales[[#This Row],[ProductName]],20)</f>
        <v>Gorgonzola Telino</v>
      </c>
    </row>
    <row r="1213" spans="2:21" x14ac:dyDescent="0.2">
      <c r="B1213">
        <v>11698</v>
      </c>
      <c r="C1213" t="s">
        <v>8310</v>
      </c>
      <c r="D1213" t="s">
        <v>8343</v>
      </c>
      <c r="E1213" t="s">
        <v>8237</v>
      </c>
      <c r="F1213" s="222">
        <v>17.2</v>
      </c>
      <c r="G1213">
        <v>50</v>
      </c>
      <c r="H1213" s="226">
        <v>0.20000000298023199</v>
      </c>
      <c r="I1213" s="227">
        <v>688</v>
      </c>
      <c r="J1213" t="s">
        <v>8344</v>
      </c>
      <c r="K1213" t="s">
        <v>8345</v>
      </c>
      <c r="L1213" s="228">
        <v>44350</v>
      </c>
      <c r="M1213" s="229">
        <v>44356</v>
      </c>
      <c r="N1213" t="s">
        <v>8240</v>
      </c>
      <c r="O1213" t="s">
        <v>8266</v>
      </c>
      <c r="P1213" t="s">
        <v>8267</v>
      </c>
      <c r="Q1213" t="str">
        <f>tblSales[[#This Row],[FirstName]]&amp; " " &amp;tblSales[[#This Row],[LastName]]</f>
        <v>Margaret Peacock</v>
      </c>
      <c r="R1213">
        <f>YEAR(tblSales[[#This Row],[OrderDate]])</f>
        <v>2021</v>
      </c>
      <c r="S1213">
        <f>WEEKNUM(tblSales[[#This Row],[OrderDate]])</f>
        <v>23</v>
      </c>
      <c r="T1213">
        <f>IF(ISBLANK(tblSales[[#This Row],[ShippedDate]]),"",tblSales[[#This Row],[ShippedDate]]-tblSales[[#This Row],[OrderDate]])</f>
        <v>6</v>
      </c>
      <c r="U1213" t="str">
        <f>LEFT(tblSales[[#This Row],[ProductName]],20)</f>
        <v>Fløtemysost</v>
      </c>
    </row>
    <row r="1214" spans="2:21" x14ac:dyDescent="0.2">
      <c r="B1214">
        <v>11702</v>
      </c>
      <c r="C1214" t="s">
        <v>8342</v>
      </c>
      <c r="D1214" t="s">
        <v>2434</v>
      </c>
      <c r="E1214" t="s">
        <v>8272</v>
      </c>
      <c r="F1214" s="222">
        <v>14.4</v>
      </c>
      <c r="G1214">
        <v>20</v>
      </c>
      <c r="H1214" s="226">
        <v>0.15000000596046401</v>
      </c>
      <c r="I1214" s="227">
        <v>244.8</v>
      </c>
      <c r="J1214" t="s">
        <v>8388</v>
      </c>
      <c r="K1214" t="s">
        <v>8389</v>
      </c>
      <c r="L1214" s="228">
        <v>44354</v>
      </c>
      <c r="M1214" s="229">
        <v>44358</v>
      </c>
      <c r="N1214" t="s">
        <v>8240</v>
      </c>
      <c r="O1214" t="s">
        <v>8285</v>
      </c>
      <c r="P1214" t="s">
        <v>2317</v>
      </c>
      <c r="Q1214" t="str">
        <f>tblSales[[#This Row],[FirstName]]&amp; " " &amp;tblSales[[#This Row],[LastName]]</f>
        <v>Nancy Davolio</v>
      </c>
      <c r="R1214">
        <f>YEAR(tblSales[[#This Row],[OrderDate]])</f>
        <v>2021</v>
      </c>
      <c r="S1214">
        <f>WEEKNUM(tblSales[[#This Row],[OrderDate]])</f>
        <v>24</v>
      </c>
      <c r="T1214">
        <f>IF(ISBLANK(tblSales[[#This Row],[ShippedDate]]),"",tblSales[[#This Row],[ShippedDate]]-tblSales[[#This Row],[OrderDate]])</f>
        <v>4</v>
      </c>
      <c r="U1214" t="str">
        <f>LEFT(tblSales[[#This Row],[ProductName]],20)</f>
        <v>Chartreuse verte</v>
      </c>
    </row>
    <row r="1215" spans="2:21" x14ac:dyDescent="0.2">
      <c r="B1215">
        <v>11702</v>
      </c>
      <c r="C1215" t="s">
        <v>8316</v>
      </c>
      <c r="D1215" t="s">
        <v>2434</v>
      </c>
      <c r="E1215" t="s">
        <v>8247</v>
      </c>
      <c r="F1215" s="222">
        <v>36.4</v>
      </c>
      <c r="G1215">
        <v>20</v>
      </c>
      <c r="H1215" s="226">
        <v>0.15000000596046401</v>
      </c>
      <c r="I1215" s="227">
        <v>618.79999999999995</v>
      </c>
      <c r="J1215" t="s">
        <v>8388</v>
      </c>
      <c r="K1215" t="s">
        <v>8389</v>
      </c>
      <c r="L1215" s="228">
        <v>44354</v>
      </c>
      <c r="M1215" s="229">
        <v>44358</v>
      </c>
      <c r="N1215" t="s">
        <v>8240</v>
      </c>
      <c r="O1215" t="s">
        <v>8285</v>
      </c>
      <c r="P1215" t="s">
        <v>2317</v>
      </c>
      <c r="Q1215" t="str">
        <f>tblSales[[#This Row],[FirstName]]&amp; " " &amp;tblSales[[#This Row],[LastName]]</f>
        <v>Nancy Davolio</v>
      </c>
      <c r="R1215">
        <f>YEAR(tblSales[[#This Row],[OrderDate]])</f>
        <v>2021</v>
      </c>
      <c r="S1215">
        <f>WEEKNUM(tblSales[[#This Row],[OrderDate]])</f>
        <v>24</v>
      </c>
      <c r="T1215">
        <f>IF(ISBLANK(tblSales[[#This Row],[ShippedDate]]),"",tblSales[[#This Row],[ShippedDate]]-tblSales[[#This Row],[OrderDate]])</f>
        <v>4</v>
      </c>
      <c r="U1215" t="str">
        <f>LEFT(tblSales[[#This Row],[ProductName]],20)</f>
        <v>Rössle Sauerkraut</v>
      </c>
    </row>
    <row r="1216" spans="2:21" x14ac:dyDescent="0.2">
      <c r="B1216">
        <v>11703</v>
      </c>
      <c r="C1216" t="s">
        <v>8310</v>
      </c>
      <c r="D1216" t="s">
        <v>8292</v>
      </c>
      <c r="E1216" t="s">
        <v>8237</v>
      </c>
      <c r="F1216" s="222">
        <v>17.2</v>
      </c>
      <c r="G1216">
        <v>6</v>
      </c>
      <c r="H1216" s="226">
        <v>0</v>
      </c>
      <c r="I1216" s="227">
        <v>103.2</v>
      </c>
      <c r="J1216" t="s">
        <v>8293</v>
      </c>
      <c r="K1216" t="s">
        <v>8294</v>
      </c>
      <c r="L1216" s="228">
        <v>44355</v>
      </c>
      <c r="M1216" s="229"/>
      <c r="N1216" t="s">
        <v>8240</v>
      </c>
      <c r="O1216" t="s">
        <v>8241</v>
      </c>
      <c r="P1216" t="s">
        <v>6934</v>
      </c>
      <c r="Q1216" t="str">
        <f>tblSales[[#This Row],[FirstName]]&amp; " " &amp;tblSales[[#This Row],[LastName]]</f>
        <v>Steven Buchanan</v>
      </c>
      <c r="R1216">
        <f>YEAR(tblSales[[#This Row],[OrderDate]])</f>
        <v>2021</v>
      </c>
      <c r="S1216">
        <f>WEEKNUM(tblSales[[#This Row],[OrderDate]])</f>
        <v>24</v>
      </c>
      <c r="T1216" t="str">
        <f>IF(ISBLANK(tblSales[[#This Row],[ShippedDate]]),"",tblSales[[#This Row],[ShippedDate]]-tblSales[[#This Row],[OrderDate]])</f>
        <v/>
      </c>
      <c r="U1216" t="str">
        <f>LEFT(tblSales[[#This Row],[ProductName]],20)</f>
        <v>Fløtemysost</v>
      </c>
    </row>
    <row r="1217" spans="2:21" x14ac:dyDescent="0.2">
      <c r="B1217">
        <v>11705</v>
      </c>
      <c r="C1217" t="s">
        <v>8288</v>
      </c>
      <c r="D1217" t="s">
        <v>8343</v>
      </c>
      <c r="E1217" t="s">
        <v>8272</v>
      </c>
      <c r="F1217" s="222">
        <v>12</v>
      </c>
      <c r="G1217">
        <v>30</v>
      </c>
      <c r="H1217" s="226">
        <v>0</v>
      </c>
      <c r="I1217" s="227">
        <v>360</v>
      </c>
      <c r="J1217" t="s">
        <v>8344</v>
      </c>
      <c r="K1217" t="s">
        <v>8345</v>
      </c>
      <c r="L1217" s="228">
        <v>44357</v>
      </c>
      <c r="M1217" s="229">
        <v>44392</v>
      </c>
      <c r="N1217" t="s">
        <v>8240</v>
      </c>
      <c r="O1217" t="s">
        <v>8320</v>
      </c>
      <c r="P1217" t="s">
        <v>8321</v>
      </c>
      <c r="Q1217" t="str">
        <f>tblSales[[#This Row],[FirstName]]&amp; " " &amp;tblSales[[#This Row],[LastName]]</f>
        <v>Laura Callahan</v>
      </c>
      <c r="R1217">
        <f>YEAR(tblSales[[#This Row],[OrderDate]])</f>
        <v>2021</v>
      </c>
      <c r="S1217">
        <f>WEEKNUM(tblSales[[#This Row],[OrderDate]])</f>
        <v>24</v>
      </c>
      <c r="T1217">
        <f>IF(ISBLANK(tblSales[[#This Row],[ShippedDate]]),"",tblSales[[#This Row],[ShippedDate]]-tblSales[[#This Row],[OrderDate]])</f>
        <v>35</v>
      </c>
      <c r="U1217" t="str">
        <f>LEFT(tblSales[[#This Row],[ProductName]],20)</f>
        <v>Outback Lager</v>
      </c>
    </row>
    <row r="1218" spans="2:21" x14ac:dyDescent="0.2">
      <c r="B1218">
        <v>11705</v>
      </c>
      <c r="C1218" t="s">
        <v>8268</v>
      </c>
      <c r="D1218" t="s">
        <v>8343</v>
      </c>
      <c r="E1218" t="s">
        <v>8237</v>
      </c>
      <c r="F1218" s="222">
        <v>27.2</v>
      </c>
      <c r="G1218">
        <v>6</v>
      </c>
      <c r="H1218" s="226">
        <v>0.10000000149011599</v>
      </c>
      <c r="I1218" s="227">
        <v>146.88</v>
      </c>
      <c r="J1218" t="s">
        <v>8344</v>
      </c>
      <c r="K1218" t="s">
        <v>8345</v>
      </c>
      <c r="L1218" s="228">
        <v>44357</v>
      </c>
      <c r="M1218" s="229">
        <v>44392</v>
      </c>
      <c r="N1218" t="s">
        <v>8240</v>
      </c>
      <c r="O1218" t="s">
        <v>8320</v>
      </c>
      <c r="P1218" t="s">
        <v>8321</v>
      </c>
      <c r="Q1218" t="str">
        <f>tblSales[[#This Row],[FirstName]]&amp; " " &amp;tblSales[[#This Row],[LastName]]</f>
        <v>Laura Callahan</v>
      </c>
      <c r="R1218">
        <f>YEAR(tblSales[[#This Row],[OrderDate]])</f>
        <v>2021</v>
      </c>
      <c r="S1218">
        <f>WEEKNUM(tblSales[[#This Row],[OrderDate]])</f>
        <v>24</v>
      </c>
      <c r="T1218">
        <f>IF(ISBLANK(tblSales[[#This Row],[ShippedDate]]),"",tblSales[[#This Row],[ShippedDate]]-tblSales[[#This Row],[OrderDate]])</f>
        <v>35</v>
      </c>
      <c r="U1218" t="str">
        <f>LEFT(tblSales[[#This Row],[ProductName]],20)</f>
        <v>Camembert Pierrot</v>
      </c>
    </row>
    <row r="1219" spans="2:21" x14ac:dyDescent="0.2">
      <c r="B1219">
        <v>11707</v>
      </c>
      <c r="C1219" t="s">
        <v>8286</v>
      </c>
      <c r="D1219" t="s">
        <v>8282</v>
      </c>
      <c r="E1219" t="s">
        <v>8254</v>
      </c>
      <c r="F1219" s="222">
        <v>17</v>
      </c>
      <c r="G1219">
        <v>32</v>
      </c>
      <c r="H1219" s="226">
        <v>0</v>
      </c>
      <c r="I1219" s="227">
        <v>544</v>
      </c>
      <c r="J1219" t="s">
        <v>8283</v>
      </c>
      <c r="K1219" t="s">
        <v>8284</v>
      </c>
      <c r="L1219" s="228">
        <v>44358</v>
      </c>
      <c r="M1219" s="229">
        <v>44361</v>
      </c>
      <c r="N1219" t="s">
        <v>8250</v>
      </c>
      <c r="O1219" t="s">
        <v>8266</v>
      </c>
      <c r="P1219" t="s">
        <v>8267</v>
      </c>
      <c r="Q1219" t="str">
        <f>tblSales[[#This Row],[FirstName]]&amp; " " &amp;tblSales[[#This Row],[LastName]]</f>
        <v>Margaret Peacock</v>
      </c>
      <c r="R1219">
        <f>YEAR(tblSales[[#This Row],[OrderDate]])</f>
        <v>2021</v>
      </c>
      <c r="S1219">
        <f>WEEKNUM(tblSales[[#This Row],[OrderDate]])</f>
        <v>24</v>
      </c>
      <c r="T1219">
        <f>IF(ISBLANK(tblSales[[#This Row],[ShippedDate]]),"",tblSales[[#This Row],[ShippedDate]]-tblSales[[#This Row],[OrderDate]])</f>
        <v>3</v>
      </c>
      <c r="U1219" t="str">
        <f>LEFT(tblSales[[#This Row],[ProductName]],20)</f>
        <v>Chef Anton's Gumbo M</v>
      </c>
    </row>
    <row r="1220" spans="2:21" x14ac:dyDescent="0.2">
      <c r="B1220">
        <v>11707</v>
      </c>
      <c r="C1220" t="s">
        <v>8269</v>
      </c>
      <c r="D1220" t="s">
        <v>8282</v>
      </c>
      <c r="E1220" t="s">
        <v>8237</v>
      </c>
      <c r="F1220" s="222">
        <v>2</v>
      </c>
      <c r="G1220">
        <v>60</v>
      </c>
      <c r="H1220" s="226">
        <v>0</v>
      </c>
      <c r="I1220" s="227">
        <v>120</v>
      </c>
      <c r="J1220" t="s">
        <v>8283</v>
      </c>
      <c r="K1220" t="s">
        <v>8284</v>
      </c>
      <c r="L1220" s="228">
        <v>44358</v>
      </c>
      <c r="M1220" s="229">
        <v>44361</v>
      </c>
      <c r="N1220" t="s">
        <v>8250</v>
      </c>
      <c r="O1220" t="s">
        <v>8266</v>
      </c>
      <c r="P1220" t="s">
        <v>8267</v>
      </c>
      <c r="Q1220" t="str">
        <f>tblSales[[#This Row],[FirstName]]&amp; " " &amp;tblSales[[#This Row],[LastName]]</f>
        <v>Margaret Peacock</v>
      </c>
      <c r="R1220">
        <f>YEAR(tblSales[[#This Row],[OrderDate]])</f>
        <v>2021</v>
      </c>
      <c r="S1220">
        <f>WEEKNUM(tblSales[[#This Row],[OrderDate]])</f>
        <v>24</v>
      </c>
      <c r="T1220">
        <f>IF(ISBLANK(tblSales[[#This Row],[ShippedDate]]),"",tblSales[[#This Row],[ShippedDate]]-tblSales[[#This Row],[OrderDate]])</f>
        <v>3</v>
      </c>
      <c r="U1220" t="str">
        <f>LEFT(tblSales[[#This Row],[ProductName]],20)</f>
        <v>Geitost</v>
      </c>
    </row>
    <row r="1221" spans="2:21" x14ac:dyDescent="0.2">
      <c r="B1221">
        <v>11707</v>
      </c>
      <c r="C1221" t="s">
        <v>8275</v>
      </c>
      <c r="D1221" t="s">
        <v>8282</v>
      </c>
      <c r="E1221" t="s">
        <v>8247</v>
      </c>
      <c r="F1221" s="222">
        <v>8</v>
      </c>
      <c r="G1221">
        <v>50</v>
      </c>
      <c r="H1221" s="226">
        <v>0</v>
      </c>
      <c r="I1221" s="227">
        <v>400</v>
      </c>
      <c r="J1221" t="s">
        <v>8283</v>
      </c>
      <c r="K1221" t="s">
        <v>8284</v>
      </c>
      <c r="L1221" s="228">
        <v>44358</v>
      </c>
      <c r="M1221" s="229">
        <v>44361</v>
      </c>
      <c r="N1221" t="s">
        <v>8250</v>
      </c>
      <c r="O1221" t="s">
        <v>8266</v>
      </c>
      <c r="P1221" t="s">
        <v>8267</v>
      </c>
      <c r="Q1221" t="str">
        <f>tblSales[[#This Row],[FirstName]]&amp; " " &amp;tblSales[[#This Row],[LastName]]</f>
        <v>Margaret Peacock</v>
      </c>
      <c r="R1221">
        <f>YEAR(tblSales[[#This Row],[OrderDate]])</f>
        <v>2021</v>
      </c>
      <c r="S1221">
        <f>WEEKNUM(tblSales[[#This Row],[OrderDate]])</f>
        <v>24</v>
      </c>
      <c r="T1221">
        <f>IF(ISBLANK(tblSales[[#This Row],[ShippedDate]]),"",tblSales[[#This Row],[ShippedDate]]-tblSales[[#This Row],[OrderDate]])</f>
        <v>3</v>
      </c>
      <c r="U1221" t="str">
        <f>LEFT(tblSales[[#This Row],[ProductName]],20)</f>
        <v>Longlife Tofu</v>
      </c>
    </row>
    <row r="1222" spans="2:21" x14ac:dyDescent="0.2">
      <c r="B1222">
        <v>11708</v>
      </c>
      <c r="C1222" t="s">
        <v>8381</v>
      </c>
      <c r="D1222" t="s">
        <v>2434</v>
      </c>
      <c r="E1222" t="s">
        <v>8262</v>
      </c>
      <c r="F1222" s="222">
        <v>13</v>
      </c>
      <c r="G1222">
        <v>15</v>
      </c>
      <c r="H1222" s="226">
        <v>0</v>
      </c>
      <c r="I1222" s="227">
        <v>195</v>
      </c>
      <c r="J1222" t="s">
        <v>8386</v>
      </c>
      <c r="K1222" t="s">
        <v>8387</v>
      </c>
      <c r="L1222" s="228">
        <v>44361</v>
      </c>
      <c r="M1222" s="229">
        <v>44363</v>
      </c>
      <c r="N1222" t="s">
        <v>8240</v>
      </c>
      <c r="O1222" t="s">
        <v>8320</v>
      </c>
      <c r="P1222" t="s">
        <v>8321</v>
      </c>
      <c r="Q1222" t="str">
        <f>tblSales[[#This Row],[FirstName]]&amp; " " &amp;tblSales[[#This Row],[LastName]]</f>
        <v>Laura Callahan</v>
      </c>
      <c r="R1222">
        <f>YEAR(tblSales[[#This Row],[OrderDate]])</f>
        <v>2021</v>
      </c>
      <c r="S1222">
        <f>WEEKNUM(tblSales[[#This Row],[OrderDate]])</f>
        <v>25</v>
      </c>
      <c r="T1222">
        <f>IF(ISBLANK(tblSales[[#This Row],[ShippedDate]]),"",tblSales[[#This Row],[ShippedDate]]-tblSales[[#This Row],[OrderDate]])</f>
        <v>2</v>
      </c>
      <c r="U1222" t="str">
        <f>LEFT(tblSales[[#This Row],[ProductName]],20)</f>
        <v>Valkoinen suklaa</v>
      </c>
    </row>
    <row r="1223" spans="2:21" x14ac:dyDescent="0.2">
      <c r="B1223">
        <v>11708</v>
      </c>
      <c r="C1223" t="s">
        <v>8341</v>
      </c>
      <c r="D1223" t="s">
        <v>2434</v>
      </c>
      <c r="E1223" t="s">
        <v>8244</v>
      </c>
      <c r="F1223" s="222">
        <v>30.4</v>
      </c>
      <c r="G1223">
        <v>20</v>
      </c>
      <c r="H1223" s="226">
        <v>0</v>
      </c>
      <c r="I1223" s="227">
        <v>608</v>
      </c>
      <c r="J1223" t="s">
        <v>8386</v>
      </c>
      <c r="K1223" t="s">
        <v>8387</v>
      </c>
      <c r="L1223" s="228">
        <v>44361</v>
      </c>
      <c r="M1223" s="229">
        <v>44363</v>
      </c>
      <c r="N1223" t="s">
        <v>8240</v>
      </c>
      <c r="O1223" t="s">
        <v>8320</v>
      </c>
      <c r="P1223" t="s">
        <v>8321</v>
      </c>
      <c r="Q1223" t="str">
        <f>tblSales[[#This Row],[FirstName]]&amp; " " &amp;tblSales[[#This Row],[LastName]]</f>
        <v>Laura Callahan</v>
      </c>
      <c r="R1223">
        <f>YEAR(tblSales[[#This Row],[OrderDate]])</f>
        <v>2021</v>
      </c>
      <c r="S1223">
        <f>WEEKNUM(tblSales[[#This Row],[OrderDate]])</f>
        <v>25</v>
      </c>
      <c r="T1223">
        <f>IF(ISBLANK(tblSales[[#This Row],[ShippedDate]]),"",tblSales[[#This Row],[ShippedDate]]-tblSales[[#This Row],[OrderDate]])</f>
        <v>2</v>
      </c>
      <c r="U1223" t="str">
        <f>LEFT(tblSales[[#This Row],[ProductName]],20)</f>
        <v>Gnocchi di nonna Ali</v>
      </c>
    </row>
    <row r="1224" spans="2:21" x14ac:dyDescent="0.2">
      <c r="B1224">
        <v>11709</v>
      </c>
      <c r="C1224" t="s">
        <v>8260</v>
      </c>
      <c r="D1224" t="s">
        <v>8292</v>
      </c>
      <c r="E1224" t="s">
        <v>8262</v>
      </c>
      <c r="F1224" s="222">
        <v>64.8</v>
      </c>
      <c r="G1224">
        <v>28</v>
      </c>
      <c r="H1224" s="226">
        <v>0</v>
      </c>
      <c r="I1224" s="227">
        <v>1814.4</v>
      </c>
      <c r="J1224" t="s">
        <v>8318</v>
      </c>
      <c r="K1224" t="s">
        <v>8319</v>
      </c>
      <c r="L1224" s="228">
        <v>44361</v>
      </c>
      <c r="M1224" s="229"/>
      <c r="N1224" t="s">
        <v>8240</v>
      </c>
      <c r="O1224" t="s">
        <v>8257</v>
      </c>
      <c r="P1224" t="s">
        <v>6984</v>
      </c>
      <c r="Q1224" t="str">
        <f>tblSales[[#This Row],[FirstName]]&amp; " " &amp;tblSales[[#This Row],[LastName]]</f>
        <v>Janet Leverling</v>
      </c>
      <c r="R1224">
        <f>YEAR(tblSales[[#This Row],[OrderDate]])</f>
        <v>2021</v>
      </c>
      <c r="S1224">
        <f>WEEKNUM(tblSales[[#This Row],[OrderDate]])</f>
        <v>25</v>
      </c>
      <c r="T1224" t="str">
        <f>IF(ISBLANK(tblSales[[#This Row],[ShippedDate]]),"",tblSales[[#This Row],[ShippedDate]]-tblSales[[#This Row],[OrderDate]])</f>
        <v/>
      </c>
      <c r="U1224" t="str">
        <f>LEFT(tblSales[[#This Row],[ProductName]],20)</f>
        <v>Sir Rodney's Marmala</v>
      </c>
    </row>
    <row r="1225" spans="2:21" x14ac:dyDescent="0.2">
      <c r="B1225">
        <v>11709</v>
      </c>
      <c r="C1225" t="s">
        <v>8268</v>
      </c>
      <c r="D1225" t="s">
        <v>8292</v>
      </c>
      <c r="E1225" t="s">
        <v>8237</v>
      </c>
      <c r="F1225" s="222">
        <v>27.2</v>
      </c>
      <c r="G1225">
        <v>15</v>
      </c>
      <c r="H1225" s="226">
        <v>0</v>
      </c>
      <c r="I1225" s="227">
        <v>408</v>
      </c>
      <c r="J1225" t="s">
        <v>8318</v>
      </c>
      <c r="K1225" t="s">
        <v>8319</v>
      </c>
      <c r="L1225" s="228">
        <v>44361</v>
      </c>
      <c r="M1225" s="229"/>
      <c r="N1225" t="s">
        <v>8240</v>
      </c>
      <c r="O1225" t="s">
        <v>8257</v>
      </c>
      <c r="P1225" t="s">
        <v>6984</v>
      </c>
      <c r="Q1225" t="str">
        <f>tblSales[[#This Row],[FirstName]]&amp; " " &amp;tblSales[[#This Row],[LastName]]</f>
        <v>Janet Leverling</v>
      </c>
      <c r="R1225">
        <f>YEAR(tblSales[[#This Row],[OrderDate]])</f>
        <v>2021</v>
      </c>
      <c r="S1225">
        <f>WEEKNUM(tblSales[[#This Row],[OrderDate]])</f>
        <v>25</v>
      </c>
      <c r="T1225" t="str">
        <f>IF(ISBLANK(tblSales[[#This Row],[ShippedDate]]),"",tblSales[[#This Row],[ShippedDate]]-tblSales[[#This Row],[OrderDate]])</f>
        <v/>
      </c>
      <c r="U1225" t="str">
        <f>LEFT(tblSales[[#This Row],[ProductName]],20)</f>
        <v>Camembert Pierrot</v>
      </c>
    </row>
    <row r="1226" spans="2:21" x14ac:dyDescent="0.2">
      <c r="B1226">
        <v>11712</v>
      </c>
      <c r="C1226" t="s">
        <v>8270</v>
      </c>
      <c r="D1226" t="s">
        <v>8403</v>
      </c>
      <c r="E1226" t="s">
        <v>8272</v>
      </c>
      <c r="F1226" s="222">
        <v>3.6</v>
      </c>
      <c r="G1226">
        <v>15</v>
      </c>
      <c r="H1226" s="226">
        <v>0</v>
      </c>
      <c r="I1226" s="227">
        <v>54</v>
      </c>
      <c r="J1226" t="s">
        <v>8404</v>
      </c>
      <c r="K1226" t="s">
        <v>8405</v>
      </c>
      <c r="L1226" s="228">
        <v>44363</v>
      </c>
      <c r="M1226" s="229"/>
      <c r="N1226" t="s">
        <v>8265</v>
      </c>
      <c r="O1226" t="s">
        <v>8285</v>
      </c>
      <c r="P1226" t="s">
        <v>2317</v>
      </c>
      <c r="Q1226" t="str">
        <f>tblSales[[#This Row],[FirstName]]&amp; " " &amp;tblSales[[#This Row],[LastName]]</f>
        <v>Nancy Davolio</v>
      </c>
      <c r="R1226">
        <f>YEAR(tblSales[[#This Row],[OrderDate]])</f>
        <v>2021</v>
      </c>
      <c r="S1226">
        <f>WEEKNUM(tblSales[[#This Row],[OrderDate]])</f>
        <v>25</v>
      </c>
      <c r="T1226" t="str">
        <f>IF(ISBLANK(tblSales[[#This Row],[ShippedDate]]),"",tblSales[[#This Row],[ShippedDate]]-tblSales[[#This Row],[OrderDate]])</f>
        <v/>
      </c>
      <c r="U1226" t="str">
        <f>LEFT(tblSales[[#This Row],[ProductName]],20)</f>
        <v>Guaraná Fantástica</v>
      </c>
    </row>
    <row r="1227" spans="2:21" x14ac:dyDescent="0.2">
      <c r="B1227">
        <v>11712</v>
      </c>
      <c r="C1227" t="s">
        <v>8281</v>
      </c>
      <c r="D1227" t="s">
        <v>8403</v>
      </c>
      <c r="E1227" t="s">
        <v>8237</v>
      </c>
      <c r="F1227" s="222">
        <v>44</v>
      </c>
      <c r="G1227">
        <v>12</v>
      </c>
      <c r="H1227" s="226">
        <v>0</v>
      </c>
      <c r="I1227" s="227">
        <v>528</v>
      </c>
      <c r="J1227" t="s">
        <v>8404</v>
      </c>
      <c r="K1227" t="s">
        <v>8405</v>
      </c>
      <c r="L1227" s="228">
        <v>44363</v>
      </c>
      <c r="M1227" s="229"/>
      <c r="N1227" t="s">
        <v>8265</v>
      </c>
      <c r="O1227" t="s">
        <v>8285</v>
      </c>
      <c r="P1227" t="s">
        <v>2317</v>
      </c>
      <c r="Q1227" t="str">
        <f>tblSales[[#This Row],[FirstName]]&amp; " " &amp;tblSales[[#This Row],[LastName]]</f>
        <v>Nancy Davolio</v>
      </c>
      <c r="R1227">
        <f>YEAR(tblSales[[#This Row],[OrderDate]])</f>
        <v>2021</v>
      </c>
      <c r="S1227">
        <f>WEEKNUM(tblSales[[#This Row],[OrderDate]])</f>
        <v>25</v>
      </c>
      <c r="T1227" t="str">
        <f>IF(ISBLANK(tblSales[[#This Row],[ShippedDate]]),"",tblSales[[#This Row],[ShippedDate]]-tblSales[[#This Row],[OrderDate]])</f>
        <v/>
      </c>
      <c r="U1227" t="str">
        <f>LEFT(tblSales[[#This Row],[ProductName]],20)</f>
        <v>Raclette Courdavault</v>
      </c>
    </row>
    <row r="1228" spans="2:21" x14ac:dyDescent="0.2">
      <c r="B1228">
        <v>11712</v>
      </c>
      <c r="C1228" t="s">
        <v>8310</v>
      </c>
      <c r="D1228" t="s">
        <v>8403</v>
      </c>
      <c r="E1228" t="s">
        <v>8237</v>
      </c>
      <c r="F1228" s="222">
        <v>17.2</v>
      </c>
      <c r="G1228">
        <v>15</v>
      </c>
      <c r="H1228" s="226">
        <v>0</v>
      </c>
      <c r="I1228" s="227">
        <v>258</v>
      </c>
      <c r="J1228" t="s">
        <v>8404</v>
      </c>
      <c r="K1228" t="s">
        <v>8405</v>
      </c>
      <c r="L1228" s="228">
        <v>44363</v>
      </c>
      <c r="M1228" s="229"/>
      <c r="N1228" t="s">
        <v>8265</v>
      </c>
      <c r="O1228" t="s">
        <v>8285</v>
      </c>
      <c r="P1228" t="s">
        <v>2317</v>
      </c>
      <c r="Q1228" t="str">
        <f>tblSales[[#This Row],[FirstName]]&amp; " " &amp;tblSales[[#This Row],[LastName]]</f>
        <v>Nancy Davolio</v>
      </c>
      <c r="R1228">
        <f>YEAR(tblSales[[#This Row],[OrderDate]])</f>
        <v>2021</v>
      </c>
      <c r="S1228">
        <f>WEEKNUM(tblSales[[#This Row],[OrderDate]])</f>
        <v>25</v>
      </c>
      <c r="T1228" t="str">
        <f>IF(ISBLANK(tblSales[[#This Row],[ShippedDate]]),"",tblSales[[#This Row],[ShippedDate]]-tblSales[[#This Row],[OrderDate]])</f>
        <v/>
      </c>
      <c r="U1228" t="str">
        <f>LEFT(tblSales[[#This Row],[ProductName]],20)</f>
        <v>Fløtemysost</v>
      </c>
    </row>
    <row r="1229" spans="2:21" x14ac:dyDescent="0.2">
      <c r="B1229">
        <v>11712</v>
      </c>
      <c r="C1229" t="s">
        <v>8316</v>
      </c>
      <c r="D1229" t="s">
        <v>8403</v>
      </c>
      <c r="E1229" t="s">
        <v>8247</v>
      </c>
      <c r="F1229" s="222">
        <v>36.4</v>
      </c>
      <c r="G1229">
        <v>6</v>
      </c>
      <c r="H1229" s="226">
        <v>0</v>
      </c>
      <c r="I1229" s="227">
        <v>218.4</v>
      </c>
      <c r="J1229" t="s">
        <v>8404</v>
      </c>
      <c r="K1229" t="s">
        <v>8405</v>
      </c>
      <c r="L1229" s="228">
        <v>44363</v>
      </c>
      <c r="M1229" s="229"/>
      <c r="N1229" t="s">
        <v>8265</v>
      </c>
      <c r="O1229" t="s">
        <v>8285</v>
      </c>
      <c r="P1229" t="s">
        <v>2317</v>
      </c>
      <c r="Q1229" t="str">
        <f>tblSales[[#This Row],[FirstName]]&amp; " " &amp;tblSales[[#This Row],[LastName]]</f>
        <v>Nancy Davolio</v>
      </c>
      <c r="R1229">
        <f>YEAR(tblSales[[#This Row],[OrderDate]])</f>
        <v>2021</v>
      </c>
      <c r="S1229">
        <f>WEEKNUM(tblSales[[#This Row],[OrderDate]])</f>
        <v>25</v>
      </c>
      <c r="T1229" t="str">
        <f>IF(ISBLANK(tblSales[[#This Row],[ShippedDate]]),"",tblSales[[#This Row],[ShippedDate]]-tblSales[[#This Row],[OrderDate]])</f>
        <v/>
      </c>
      <c r="U1229" t="str">
        <f>LEFT(tblSales[[#This Row],[ProductName]],20)</f>
        <v>Rössle Sauerkraut</v>
      </c>
    </row>
    <row r="1230" spans="2:21" x14ac:dyDescent="0.2">
      <c r="B1230">
        <v>11713</v>
      </c>
      <c r="C1230" t="s">
        <v>8369</v>
      </c>
      <c r="D1230" t="s">
        <v>2434</v>
      </c>
      <c r="E1230" t="s">
        <v>8244</v>
      </c>
      <c r="F1230" s="222">
        <v>5.6</v>
      </c>
      <c r="G1230">
        <v>20</v>
      </c>
      <c r="H1230" s="226">
        <v>0.20000000298023199</v>
      </c>
      <c r="I1230" s="227">
        <v>89.6</v>
      </c>
      <c r="J1230" t="s">
        <v>8388</v>
      </c>
      <c r="K1230" t="s">
        <v>8389</v>
      </c>
      <c r="L1230" s="228">
        <v>44364</v>
      </c>
      <c r="M1230" s="229"/>
      <c r="N1230" t="s">
        <v>8250</v>
      </c>
      <c r="O1230" t="s">
        <v>8297</v>
      </c>
      <c r="P1230" t="s">
        <v>8298</v>
      </c>
      <c r="Q1230" t="str">
        <f>tblSales[[#This Row],[FirstName]]&amp; " " &amp;tblSales[[#This Row],[LastName]]</f>
        <v>Andrew Fuller</v>
      </c>
      <c r="R1230">
        <f>YEAR(tblSales[[#This Row],[OrderDate]])</f>
        <v>2021</v>
      </c>
      <c r="S1230">
        <f>WEEKNUM(tblSales[[#This Row],[OrderDate]])</f>
        <v>25</v>
      </c>
      <c r="T1230" t="str">
        <f>IF(ISBLANK(tblSales[[#This Row],[ShippedDate]]),"",tblSales[[#This Row],[ShippedDate]]-tblSales[[#This Row],[OrderDate]])</f>
        <v/>
      </c>
      <c r="U1230" t="str">
        <f>LEFT(tblSales[[#This Row],[ProductName]],20)</f>
        <v>Filo Mix</v>
      </c>
    </row>
    <row r="1231" spans="2:21" x14ac:dyDescent="0.2">
      <c r="B1231">
        <v>11715</v>
      </c>
      <c r="C1231" t="s">
        <v>8323</v>
      </c>
      <c r="D1231" t="s">
        <v>8282</v>
      </c>
      <c r="E1231" t="s">
        <v>8272</v>
      </c>
      <c r="F1231" s="222">
        <v>14.4</v>
      </c>
      <c r="G1231">
        <v>40</v>
      </c>
      <c r="H1231" s="226">
        <v>0.10000000149011599</v>
      </c>
      <c r="I1231" s="227">
        <v>518.4</v>
      </c>
      <c r="J1231" t="s">
        <v>8283</v>
      </c>
      <c r="K1231" t="s">
        <v>8284</v>
      </c>
      <c r="L1231" s="228">
        <v>44368</v>
      </c>
      <c r="M1231" s="229"/>
      <c r="N1231" t="s">
        <v>8250</v>
      </c>
      <c r="O1231" t="s">
        <v>8251</v>
      </c>
      <c r="P1231" t="s">
        <v>269</v>
      </c>
      <c r="Q1231" t="str">
        <f>tblSales[[#This Row],[FirstName]]&amp; " " &amp;tblSales[[#This Row],[LastName]]</f>
        <v>Michael Suyama</v>
      </c>
      <c r="R1231">
        <f>YEAR(tblSales[[#This Row],[OrderDate]])</f>
        <v>2021</v>
      </c>
      <c r="S1231">
        <f>WEEKNUM(tblSales[[#This Row],[OrderDate]])</f>
        <v>26</v>
      </c>
      <c r="T1231" t="str">
        <f>IF(ISBLANK(tblSales[[#This Row],[ShippedDate]]),"",tblSales[[#This Row],[ShippedDate]]-tblSales[[#This Row],[OrderDate]])</f>
        <v/>
      </c>
      <c r="U1231" t="str">
        <f>LEFT(tblSales[[#This Row],[ProductName]],20)</f>
        <v>Steeleye Stout</v>
      </c>
    </row>
    <row r="1232" spans="2:21" x14ac:dyDescent="0.2">
      <c r="B1232">
        <v>11715</v>
      </c>
      <c r="C1232" t="s">
        <v>8235</v>
      </c>
      <c r="D1232" t="s">
        <v>8282</v>
      </c>
      <c r="E1232" t="s">
        <v>8237</v>
      </c>
      <c r="F1232" s="222">
        <v>27.8</v>
      </c>
      <c r="G1232">
        <v>24</v>
      </c>
      <c r="H1232" s="226">
        <v>0.10000000149011599</v>
      </c>
      <c r="I1232" s="227">
        <v>600.48</v>
      </c>
      <c r="J1232" t="s">
        <v>8283</v>
      </c>
      <c r="K1232" t="s">
        <v>8284</v>
      </c>
      <c r="L1232" s="228">
        <v>44368</v>
      </c>
      <c r="M1232" s="229"/>
      <c r="N1232" t="s">
        <v>8250</v>
      </c>
      <c r="O1232" t="s">
        <v>8251</v>
      </c>
      <c r="P1232" t="s">
        <v>269</v>
      </c>
      <c r="Q1232" t="str">
        <f>tblSales[[#This Row],[FirstName]]&amp; " " &amp;tblSales[[#This Row],[LastName]]</f>
        <v>Michael Suyama</v>
      </c>
      <c r="R1232">
        <f>YEAR(tblSales[[#This Row],[OrderDate]])</f>
        <v>2021</v>
      </c>
      <c r="S1232">
        <f>WEEKNUM(tblSales[[#This Row],[OrderDate]])</f>
        <v>26</v>
      </c>
      <c r="T1232" t="str">
        <f>IF(ISBLANK(tblSales[[#This Row],[ShippedDate]]),"",tblSales[[#This Row],[ShippedDate]]-tblSales[[#This Row],[OrderDate]])</f>
        <v/>
      </c>
      <c r="U1232" t="str">
        <f>LEFT(tblSales[[#This Row],[ProductName]],20)</f>
        <v>Mozzarella di Giovan</v>
      </c>
    </row>
    <row r="1233" spans="2:21" x14ac:dyDescent="0.2">
      <c r="B1233">
        <v>11715</v>
      </c>
      <c r="C1233" t="s">
        <v>8309</v>
      </c>
      <c r="D1233" t="s">
        <v>8282</v>
      </c>
      <c r="E1233" t="s">
        <v>8237</v>
      </c>
      <c r="F1233" s="222">
        <v>10</v>
      </c>
      <c r="G1233">
        <v>60</v>
      </c>
      <c r="H1233" s="226">
        <v>0.10000000149011599</v>
      </c>
      <c r="I1233" s="227">
        <v>540</v>
      </c>
      <c r="J1233" t="s">
        <v>8283</v>
      </c>
      <c r="K1233" t="s">
        <v>8284</v>
      </c>
      <c r="L1233" s="228">
        <v>44368</v>
      </c>
      <c r="M1233" s="229"/>
      <c r="N1233" t="s">
        <v>8250</v>
      </c>
      <c r="O1233" t="s">
        <v>8251</v>
      </c>
      <c r="P1233" t="s">
        <v>269</v>
      </c>
      <c r="Q1233" t="str">
        <f>tblSales[[#This Row],[FirstName]]&amp; " " &amp;tblSales[[#This Row],[LastName]]</f>
        <v>Michael Suyama</v>
      </c>
      <c r="R1233">
        <f>YEAR(tblSales[[#This Row],[OrderDate]])</f>
        <v>2021</v>
      </c>
      <c r="S1233">
        <f>WEEKNUM(tblSales[[#This Row],[OrderDate]])</f>
        <v>26</v>
      </c>
      <c r="T1233" t="str">
        <f>IF(ISBLANK(tblSales[[#This Row],[ShippedDate]]),"",tblSales[[#This Row],[ShippedDate]]-tblSales[[#This Row],[OrderDate]])</f>
        <v/>
      </c>
      <c r="U1233" t="str">
        <f>LEFT(tblSales[[#This Row],[ProductName]],20)</f>
        <v>Gorgonzola Telino</v>
      </c>
    </row>
    <row r="1234" spans="2:21" x14ac:dyDescent="0.2">
      <c r="B1234">
        <v>11717</v>
      </c>
      <c r="C1234" t="s">
        <v>8353</v>
      </c>
      <c r="D1234" t="s">
        <v>8282</v>
      </c>
      <c r="E1234" t="s">
        <v>8237</v>
      </c>
      <c r="F1234" s="222">
        <v>28.8</v>
      </c>
      <c r="G1234">
        <v>50</v>
      </c>
      <c r="H1234" s="226">
        <v>0</v>
      </c>
      <c r="I1234" s="227">
        <v>1440</v>
      </c>
      <c r="J1234" t="s">
        <v>8384</v>
      </c>
      <c r="K1234" t="s">
        <v>8385</v>
      </c>
      <c r="L1234" s="228">
        <v>44369</v>
      </c>
      <c r="M1234" s="229"/>
      <c r="N1234" t="s">
        <v>8240</v>
      </c>
      <c r="O1234" t="s">
        <v>8297</v>
      </c>
      <c r="P1234" t="s">
        <v>8298</v>
      </c>
      <c r="Q1234" t="str">
        <f>tblSales[[#This Row],[FirstName]]&amp; " " &amp;tblSales[[#This Row],[LastName]]</f>
        <v>Andrew Fuller</v>
      </c>
      <c r="R1234">
        <f>YEAR(tblSales[[#This Row],[OrderDate]])</f>
        <v>2021</v>
      </c>
      <c r="S1234">
        <f>WEEKNUM(tblSales[[#This Row],[OrderDate]])</f>
        <v>26</v>
      </c>
      <c r="T1234" t="str">
        <f>IF(ISBLANK(tblSales[[#This Row],[ShippedDate]]),"",tblSales[[#This Row],[ShippedDate]]-tblSales[[#This Row],[OrderDate]])</f>
        <v/>
      </c>
      <c r="U1234" t="str">
        <f>LEFT(tblSales[[#This Row],[ProductName]],20)</f>
        <v>Gudbrandsdalsost</v>
      </c>
    </row>
    <row r="1235" spans="2:21" x14ac:dyDescent="0.2">
      <c r="B1235">
        <v>11722</v>
      </c>
      <c r="C1235" t="s">
        <v>8368</v>
      </c>
      <c r="D1235" t="s">
        <v>8365</v>
      </c>
      <c r="E1235" t="s">
        <v>8262</v>
      </c>
      <c r="F1235" s="222">
        <v>8</v>
      </c>
      <c r="G1235">
        <v>10</v>
      </c>
      <c r="H1235" s="226">
        <v>0.15000000596046401</v>
      </c>
      <c r="I1235" s="227">
        <v>68</v>
      </c>
      <c r="J1235" t="s">
        <v>8370</v>
      </c>
      <c r="K1235" t="s">
        <v>8371</v>
      </c>
      <c r="L1235" s="228">
        <v>44372</v>
      </c>
      <c r="M1235" s="229"/>
      <c r="N1235" t="s">
        <v>8250</v>
      </c>
      <c r="O1235" t="s">
        <v>8241</v>
      </c>
      <c r="P1235" t="s">
        <v>6934</v>
      </c>
      <c r="Q1235" t="str">
        <f>tblSales[[#This Row],[FirstName]]&amp; " " &amp;tblSales[[#This Row],[LastName]]</f>
        <v>Steven Buchanan</v>
      </c>
      <c r="R1235">
        <f>YEAR(tblSales[[#This Row],[OrderDate]])</f>
        <v>2021</v>
      </c>
      <c r="S1235">
        <f>WEEKNUM(tblSales[[#This Row],[OrderDate]])</f>
        <v>26</v>
      </c>
      <c r="T1235" t="str">
        <f>IF(ISBLANK(tblSales[[#This Row],[ShippedDate]]),"",tblSales[[#This Row],[ShippedDate]]-tblSales[[#This Row],[OrderDate]])</f>
        <v/>
      </c>
      <c r="U1235" t="str">
        <f>LEFT(tblSales[[#This Row],[ProductName]],20)</f>
        <v>Sir Rodney's Scones</v>
      </c>
    </row>
    <row r="1236" spans="2:21" x14ac:dyDescent="0.2">
      <c r="B1236">
        <v>11722</v>
      </c>
      <c r="C1236" t="s">
        <v>8245</v>
      </c>
      <c r="D1236" t="s">
        <v>8365</v>
      </c>
      <c r="E1236" t="s">
        <v>8247</v>
      </c>
      <c r="F1236" s="222">
        <v>42.4</v>
      </c>
      <c r="G1236">
        <v>18</v>
      </c>
      <c r="H1236" s="226">
        <v>0.15000000596046401</v>
      </c>
      <c r="I1236" s="227">
        <v>648.72</v>
      </c>
      <c r="J1236" t="s">
        <v>8370</v>
      </c>
      <c r="K1236" t="s">
        <v>8371</v>
      </c>
      <c r="L1236" s="228">
        <v>44372</v>
      </c>
      <c r="M1236" s="229"/>
      <c r="N1236" t="s">
        <v>8250</v>
      </c>
      <c r="O1236" t="s">
        <v>8241</v>
      </c>
      <c r="P1236" t="s">
        <v>6934</v>
      </c>
      <c r="Q1236" t="str">
        <f>tblSales[[#This Row],[FirstName]]&amp; " " &amp;tblSales[[#This Row],[LastName]]</f>
        <v>Steven Buchanan</v>
      </c>
      <c r="R1236">
        <f>YEAR(tblSales[[#This Row],[OrderDate]])</f>
        <v>2021</v>
      </c>
      <c r="S1236">
        <f>WEEKNUM(tblSales[[#This Row],[OrderDate]])</f>
        <v>26</v>
      </c>
      <c r="T1236" t="str">
        <f>IF(ISBLANK(tblSales[[#This Row],[ShippedDate]]),"",tblSales[[#This Row],[ShippedDate]]-tblSales[[#This Row],[OrderDate]])</f>
        <v/>
      </c>
      <c r="U1236" t="str">
        <f>LEFT(tblSales[[#This Row],[ProductName]],20)</f>
        <v>Manjimup Dried Apple</v>
      </c>
    </row>
    <row r="1237" spans="2:21" x14ac:dyDescent="0.2">
      <c r="B1237">
        <v>11721</v>
      </c>
      <c r="C1237" t="s">
        <v>8310</v>
      </c>
      <c r="D1237" t="s">
        <v>8246</v>
      </c>
      <c r="E1237" t="s">
        <v>8237</v>
      </c>
      <c r="F1237" s="222">
        <v>17.2</v>
      </c>
      <c r="G1237">
        <v>60</v>
      </c>
      <c r="H1237" s="226">
        <v>0</v>
      </c>
      <c r="I1237" s="227">
        <v>1032</v>
      </c>
      <c r="J1237" t="s">
        <v>8304</v>
      </c>
      <c r="K1237" t="s">
        <v>8305</v>
      </c>
      <c r="L1237" s="228">
        <v>44372</v>
      </c>
      <c r="M1237" s="229"/>
      <c r="N1237" t="s">
        <v>8240</v>
      </c>
      <c r="O1237" t="s">
        <v>8285</v>
      </c>
      <c r="P1237" t="s">
        <v>2317</v>
      </c>
      <c r="Q1237" t="str">
        <f>tblSales[[#This Row],[FirstName]]&amp; " " &amp;tblSales[[#This Row],[LastName]]</f>
        <v>Nancy Davolio</v>
      </c>
      <c r="R1237">
        <f>YEAR(tblSales[[#This Row],[OrderDate]])</f>
        <v>2021</v>
      </c>
      <c r="S1237">
        <f>WEEKNUM(tblSales[[#This Row],[OrderDate]])</f>
        <v>26</v>
      </c>
      <c r="T1237" t="str">
        <f>IF(ISBLANK(tblSales[[#This Row],[ShippedDate]]),"",tblSales[[#This Row],[ShippedDate]]-tblSales[[#This Row],[OrderDate]])</f>
        <v/>
      </c>
      <c r="U1237" t="str">
        <f>LEFT(tblSales[[#This Row],[ProductName]],20)</f>
        <v>Fløtemysost</v>
      </c>
    </row>
    <row r="1238" spans="2:21" x14ac:dyDescent="0.2">
      <c r="B1238">
        <v>11721</v>
      </c>
      <c r="C1238" t="s">
        <v>8235</v>
      </c>
      <c r="D1238" t="s">
        <v>8246</v>
      </c>
      <c r="E1238" t="s">
        <v>8237</v>
      </c>
      <c r="F1238" s="222">
        <v>27.8</v>
      </c>
      <c r="G1238">
        <v>21</v>
      </c>
      <c r="H1238" s="226">
        <v>0</v>
      </c>
      <c r="I1238" s="227">
        <v>583.79999999999995</v>
      </c>
      <c r="J1238" t="s">
        <v>8304</v>
      </c>
      <c r="K1238" t="s">
        <v>8305</v>
      </c>
      <c r="L1238" s="228">
        <v>44372</v>
      </c>
      <c r="M1238" s="229"/>
      <c r="N1238" t="s">
        <v>8240</v>
      </c>
      <c r="O1238" t="s">
        <v>8285</v>
      </c>
      <c r="P1238" t="s">
        <v>2317</v>
      </c>
      <c r="Q1238" t="str">
        <f>tblSales[[#This Row],[FirstName]]&amp; " " &amp;tblSales[[#This Row],[LastName]]</f>
        <v>Nancy Davolio</v>
      </c>
      <c r="R1238">
        <f>YEAR(tblSales[[#This Row],[OrderDate]])</f>
        <v>2021</v>
      </c>
      <c r="S1238">
        <f>WEEKNUM(tblSales[[#This Row],[OrderDate]])</f>
        <v>26</v>
      </c>
      <c r="T1238" t="str">
        <f>IF(ISBLANK(tblSales[[#This Row],[ShippedDate]]),"",tblSales[[#This Row],[ShippedDate]]-tblSales[[#This Row],[OrderDate]])</f>
        <v/>
      </c>
      <c r="U1238" t="str">
        <f>LEFT(tblSales[[#This Row],[ProductName]],20)</f>
        <v>Mozzarella di Giovan</v>
      </c>
    </row>
    <row r="1239" spans="2:21" x14ac:dyDescent="0.2">
      <c r="B1239">
        <v>11721</v>
      </c>
      <c r="C1239" t="s">
        <v>8373</v>
      </c>
      <c r="D1239" t="s">
        <v>8246</v>
      </c>
      <c r="E1239" t="s">
        <v>8244</v>
      </c>
      <c r="F1239" s="222">
        <v>7.2</v>
      </c>
      <c r="G1239">
        <v>40</v>
      </c>
      <c r="H1239" s="226">
        <v>0</v>
      </c>
      <c r="I1239" s="227">
        <v>288</v>
      </c>
      <c r="J1239" t="s">
        <v>8304</v>
      </c>
      <c r="K1239" t="s">
        <v>8305</v>
      </c>
      <c r="L1239" s="228">
        <v>44372</v>
      </c>
      <c r="M1239" s="229"/>
      <c r="N1239" t="s">
        <v>8240</v>
      </c>
      <c r="O1239" t="s">
        <v>8285</v>
      </c>
      <c r="P1239" t="s">
        <v>2317</v>
      </c>
      <c r="Q1239" t="str">
        <f>tblSales[[#This Row],[FirstName]]&amp; " " &amp;tblSales[[#This Row],[LastName]]</f>
        <v>Nancy Davolio</v>
      </c>
      <c r="R1239">
        <f>YEAR(tblSales[[#This Row],[OrderDate]])</f>
        <v>2021</v>
      </c>
      <c r="S1239">
        <f>WEEKNUM(tblSales[[#This Row],[OrderDate]])</f>
        <v>26</v>
      </c>
      <c r="T1239" t="str">
        <f>IF(ISBLANK(tblSales[[#This Row],[ShippedDate]]),"",tblSales[[#This Row],[ShippedDate]]-tblSales[[#This Row],[OrderDate]])</f>
        <v/>
      </c>
      <c r="U1239" t="str">
        <f>LEFT(tblSales[[#This Row],[ProductName]],20)</f>
        <v>Tunnbröd</v>
      </c>
    </row>
    <row r="1240" spans="2:21" x14ac:dyDescent="0.2">
      <c r="B1240">
        <v>11724</v>
      </c>
      <c r="C1240" t="s">
        <v>8303</v>
      </c>
      <c r="D1240" t="s">
        <v>8374</v>
      </c>
      <c r="E1240" t="s">
        <v>8272</v>
      </c>
      <c r="F1240" s="222">
        <v>14.4</v>
      </c>
      <c r="G1240">
        <v>35</v>
      </c>
      <c r="H1240" s="226">
        <v>0</v>
      </c>
      <c r="I1240" s="227">
        <v>504</v>
      </c>
      <c r="J1240" t="s">
        <v>8395</v>
      </c>
      <c r="K1240" t="s">
        <v>8396</v>
      </c>
      <c r="L1240" s="228">
        <v>44376</v>
      </c>
      <c r="M1240" s="229"/>
      <c r="N1240" t="s">
        <v>8240</v>
      </c>
      <c r="O1240" t="s">
        <v>8320</v>
      </c>
      <c r="P1240" t="s">
        <v>8321</v>
      </c>
      <c r="Q1240" t="str">
        <f>tblSales[[#This Row],[FirstName]]&amp; " " &amp;tblSales[[#This Row],[LastName]]</f>
        <v>Laura Callahan</v>
      </c>
      <c r="R1240">
        <f>YEAR(tblSales[[#This Row],[OrderDate]])</f>
        <v>2021</v>
      </c>
      <c r="S1240">
        <f>WEEKNUM(tblSales[[#This Row],[OrderDate]])</f>
        <v>27</v>
      </c>
      <c r="T1240" t="str">
        <f>IF(ISBLANK(tblSales[[#This Row],[ShippedDate]]),"",tblSales[[#This Row],[ShippedDate]]-tblSales[[#This Row],[OrderDate]])</f>
        <v/>
      </c>
      <c r="U1240" t="str">
        <f>LEFT(tblSales[[#This Row],[ProductName]],20)</f>
        <v>Lakkalikööri</v>
      </c>
    </row>
    <row r="1241" spans="2:21" x14ac:dyDescent="0.2">
      <c r="B1241">
        <v>11724</v>
      </c>
      <c r="C1241" t="s">
        <v>8397</v>
      </c>
      <c r="D1241" t="s">
        <v>8374</v>
      </c>
      <c r="E1241" t="s">
        <v>8254</v>
      </c>
      <c r="F1241" s="222">
        <v>10.4</v>
      </c>
      <c r="G1241">
        <v>14</v>
      </c>
      <c r="H1241" s="226">
        <v>0</v>
      </c>
      <c r="I1241" s="227">
        <v>145.6</v>
      </c>
      <c r="J1241" t="s">
        <v>8395</v>
      </c>
      <c r="K1241" t="s">
        <v>8396</v>
      </c>
      <c r="L1241" s="228">
        <v>44376</v>
      </c>
      <c r="M1241" s="229"/>
      <c r="N1241" t="s">
        <v>8240</v>
      </c>
      <c r="O1241" t="s">
        <v>8320</v>
      </c>
      <c r="P1241" t="s">
        <v>8321</v>
      </c>
      <c r="Q1241" t="str">
        <f>tblSales[[#This Row],[FirstName]]&amp; " " &amp;tblSales[[#This Row],[LastName]]</f>
        <v>Laura Callahan</v>
      </c>
      <c r="R1241">
        <f>YEAR(tblSales[[#This Row],[OrderDate]])</f>
        <v>2021</v>
      </c>
      <c r="S1241">
        <f>WEEKNUM(tblSales[[#This Row],[OrderDate]])</f>
        <v>27</v>
      </c>
      <c r="T1241" t="str">
        <f>IF(ISBLANK(tblSales[[#This Row],[ShippedDate]]),"",tblSales[[#This Row],[ShippedDate]]-tblSales[[#This Row],[OrderDate]])</f>
        <v/>
      </c>
      <c r="U1241" t="str">
        <f>LEFT(tblSales[[#This Row],[ProductName]],20)</f>
        <v>Original Frankfurter</v>
      </c>
    </row>
    <row r="1242" spans="2:21" x14ac:dyDescent="0.2">
      <c r="B1242">
        <v>11724</v>
      </c>
      <c r="C1242" t="s">
        <v>8334</v>
      </c>
      <c r="D1242" t="s">
        <v>8374</v>
      </c>
      <c r="E1242" t="s">
        <v>8262</v>
      </c>
      <c r="F1242" s="222">
        <v>10</v>
      </c>
      <c r="G1242">
        <v>60</v>
      </c>
      <c r="H1242" s="226">
        <v>0</v>
      </c>
      <c r="I1242" s="227">
        <v>600</v>
      </c>
      <c r="J1242" t="s">
        <v>8395</v>
      </c>
      <c r="K1242" t="s">
        <v>8396</v>
      </c>
      <c r="L1242" s="228">
        <v>44376</v>
      </c>
      <c r="M1242" s="229"/>
      <c r="N1242" t="s">
        <v>8240</v>
      </c>
      <c r="O1242" t="s">
        <v>8320</v>
      </c>
      <c r="P1242" t="s">
        <v>8321</v>
      </c>
      <c r="Q1242" t="str">
        <f>tblSales[[#This Row],[FirstName]]&amp; " " &amp;tblSales[[#This Row],[LastName]]</f>
        <v>Laura Callahan</v>
      </c>
      <c r="R1242">
        <f>YEAR(tblSales[[#This Row],[OrderDate]])</f>
        <v>2021</v>
      </c>
      <c r="S1242">
        <f>WEEKNUM(tblSales[[#This Row],[OrderDate]])</f>
        <v>27</v>
      </c>
      <c r="T1242" t="str">
        <f>IF(ISBLANK(tblSales[[#This Row],[ShippedDate]]),"",tblSales[[#This Row],[ShippedDate]]-tblSales[[#This Row],[OrderDate]])</f>
        <v/>
      </c>
      <c r="U1242" t="str">
        <f>LEFT(tblSales[[#This Row],[ProductName]],20)</f>
        <v>Scottish Longbreads</v>
      </c>
    </row>
    <row r="1243" spans="2:21" x14ac:dyDescent="0.2">
      <c r="B1243">
        <v>11724</v>
      </c>
      <c r="C1243" t="s">
        <v>8310</v>
      </c>
      <c r="D1243" t="s">
        <v>8374</v>
      </c>
      <c r="E1243" t="s">
        <v>8237</v>
      </c>
      <c r="F1243" s="222">
        <v>17.2</v>
      </c>
      <c r="G1243">
        <v>30</v>
      </c>
      <c r="H1243" s="226">
        <v>0</v>
      </c>
      <c r="I1243" s="227">
        <v>516</v>
      </c>
      <c r="J1243" t="s">
        <v>8395</v>
      </c>
      <c r="K1243" t="s">
        <v>8396</v>
      </c>
      <c r="L1243" s="228">
        <v>44376</v>
      </c>
      <c r="M1243" s="229"/>
      <c r="N1243" t="s">
        <v>8240</v>
      </c>
      <c r="O1243" t="s">
        <v>8320</v>
      </c>
      <c r="P1243" t="s">
        <v>8321</v>
      </c>
      <c r="Q1243" t="str">
        <f>tblSales[[#This Row],[FirstName]]&amp; " " &amp;tblSales[[#This Row],[LastName]]</f>
        <v>Laura Callahan</v>
      </c>
      <c r="R1243">
        <f>YEAR(tblSales[[#This Row],[OrderDate]])</f>
        <v>2021</v>
      </c>
      <c r="S1243">
        <f>WEEKNUM(tblSales[[#This Row],[OrderDate]])</f>
        <v>27</v>
      </c>
      <c r="T1243" t="str">
        <f>IF(ISBLANK(tblSales[[#This Row],[ShippedDate]]),"",tblSales[[#This Row],[ShippedDate]]-tblSales[[#This Row],[OrderDate]])</f>
        <v/>
      </c>
      <c r="U1243" t="str">
        <f>LEFT(tblSales[[#This Row],[ProductName]],20)</f>
        <v>Fløtemysost</v>
      </c>
    </row>
  </sheetData>
  <pageMargins left="0.7" right="0.7" top="0.75" bottom="0.75" header="0.3" footer="0.3"/>
  <pageSetup paperSize="9" orientation="portrait" horizontalDpi="1200" verticalDpi="1200"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dimension ref="B1:J27"/>
  <sheetViews>
    <sheetView showGridLines="0" zoomScale="120" zoomScaleNormal="120" workbookViewId="0"/>
  </sheetViews>
  <sheetFormatPr defaultColWidth="9" defaultRowHeight="12.75" x14ac:dyDescent="0.2"/>
  <cols>
    <col min="1" max="1" width="14.125" style="4" customWidth="1"/>
    <col min="2" max="2" width="29.875" style="4" customWidth="1"/>
    <col min="3" max="3" width="32.625" style="5" customWidth="1"/>
    <col min="4" max="4" width="47.5" style="5" customWidth="1"/>
    <col min="5" max="5" width="3.875" style="4" customWidth="1"/>
    <col min="6" max="6" width="16.875" style="4" bestFit="1" customWidth="1"/>
    <col min="7" max="7" width="10.375" style="4" bestFit="1" customWidth="1"/>
    <col min="8" max="8" width="27.625" style="4" bestFit="1" customWidth="1"/>
    <col min="9" max="9" width="19.875" style="4" customWidth="1"/>
    <col min="10" max="10" width="9.875" style="4" customWidth="1"/>
    <col min="11" max="16384" width="9" style="4"/>
  </cols>
  <sheetData>
    <row r="1" spans="2:10" ht="30" customHeight="1" x14ac:dyDescent="0.2"/>
    <row r="2" spans="2:10" s="6" customFormat="1" ht="14.25" x14ac:dyDescent="0.2"/>
    <row r="3" spans="2:10" s="6" customFormat="1" ht="17.25" thickBot="1" x14ac:dyDescent="0.3">
      <c r="B3" s="115" t="s">
        <v>8443</v>
      </c>
      <c r="C3" s="115"/>
      <c r="D3" s="115"/>
    </row>
    <row r="4" spans="2:10" s="6" customFormat="1" ht="15" thickTop="1" x14ac:dyDescent="0.2"/>
    <row r="5" spans="2:10" s="6" customFormat="1" ht="14.25" x14ac:dyDescent="0.2">
      <c r="B5" s="238" t="s">
        <v>8444</v>
      </c>
      <c r="D5"/>
    </row>
    <row r="6" spans="2:10" s="6" customFormat="1" ht="14.25" x14ac:dyDescent="0.2">
      <c r="B6" s="238" t="s">
        <v>8445</v>
      </c>
    </row>
    <row r="8" spans="2:10" ht="17.25" customHeight="1" x14ac:dyDescent="0.2">
      <c r="B8" s="252" t="s">
        <v>8441</v>
      </c>
      <c r="C8" s="253" t="s">
        <v>8446</v>
      </c>
      <c r="D8" s="252" t="s">
        <v>8442</v>
      </c>
      <c r="F8" s="252" t="s">
        <v>7101</v>
      </c>
      <c r="G8" s="252" t="s">
        <v>7102</v>
      </c>
      <c r="H8" s="252" t="s">
        <v>7103</v>
      </c>
      <c r="I8" s="252" t="s">
        <v>7104</v>
      </c>
      <c r="J8" s="252" t="s">
        <v>7105</v>
      </c>
    </row>
    <row r="9" spans="2:10" x14ac:dyDescent="0.2">
      <c r="B9" s="255">
        <v>1500</v>
      </c>
      <c r="C9" s="251">
        <v>1500</v>
      </c>
      <c r="D9" s="239"/>
      <c r="F9" s="300">
        <v>123.1231231</v>
      </c>
      <c r="G9" s="271" t="s">
        <v>7106</v>
      </c>
      <c r="H9" s="271" t="s">
        <v>8492</v>
      </c>
      <c r="I9" s="281">
        <f t="shared" ref="I9:I21" si="0">$F$9</f>
        <v>123.1231231</v>
      </c>
      <c r="J9" s="282">
        <f>+I9</f>
        <v>123.1231231</v>
      </c>
    </row>
    <row r="10" spans="2:10" x14ac:dyDescent="0.2">
      <c r="B10" s="256">
        <v>45237</v>
      </c>
      <c r="C10" s="241">
        <v>45237</v>
      </c>
      <c r="D10" s="240"/>
      <c r="F10" s="271"/>
      <c r="G10" s="271" t="s">
        <v>7107</v>
      </c>
      <c r="H10" s="271" t="s">
        <v>8493</v>
      </c>
      <c r="I10" s="283">
        <f t="shared" si="0"/>
        <v>123.1231231</v>
      </c>
      <c r="J10" s="282">
        <f t="shared" ref="J10:J21" si="1">+I10</f>
        <v>123.1231231</v>
      </c>
    </row>
    <row r="11" spans="2:10" x14ac:dyDescent="0.2">
      <c r="B11" s="256">
        <v>45238</v>
      </c>
      <c r="C11" s="242">
        <v>45238</v>
      </c>
      <c r="D11" s="240"/>
      <c r="F11" s="271"/>
      <c r="G11" s="271" t="s">
        <v>7108</v>
      </c>
      <c r="H11" s="271" t="s">
        <v>8494</v>
      </c>
      <c r="I11" s="284">
        <f t="shared" si="0"/>
        <v>123.1231231</v>
      </c>
      <c r="J11" s="282">
        <f t="shared" si="1"/>
        <v>123.1231231</v>
      </c>
    </row>
    <row r="12" spans="2:10" x14ac:dyDescent="0.2">
      <c r="B12" s="256">
        <v>41264</v>
      </c>
      <c r="C12" s="243">
        <v>41264</v>
      </c>
      <c r="D12" s="240" t="s">
        <v>8447</v>
      </c>
      <c r="F12" s="271"/>
      <c r="G12" s="271" t="s">
        <v>7109</v>
      </c>
      <c r="H12" s="271" t="s">
        <v>8495</v>
      </c>
      <c r="I12" s="289">
        <f t="shared" si="0"/>
        <v>123.1231231</v>
      </c>
      <c r="J12" s="282">
        <f t="shared" si="1"/>
        <v>123.1231231</v>
      </c>
    </row>
    <row r="13" spans="2:10" x14ac:dyDescent="0.2">
      <c r="B13" s="257">
        <v>0</v>
      </c>
      <c r="C13" s="244">
        <v>0</v>
      </c>
      <c r="D13" s="245" t="s">
        <v>8448</v>
      </c>
      <c r="F13" s="271"/>
      <c r="G13" s="271" t="s">
        <v>7110</v>
      </c>
      <c r="H13" s="271" t="s">
        <v>8496</v>
      </c>
      <c r="I13" s="285">
        <f t="shared" si="0"/>
        <v>123.1231231</v>
      </c>
      <c r="J13" s="282">
        <f t="shared" si="1"/>
        <v>123.1231231</v>
      </c>
    </row>
    <row r="14" spans="2:10" x14ac:dyDescent="0.2">
      <c r="B14" s="257" t="s">
        <v>8449</v>
      </c>
      <c r="C14" s="246">
        <v>25</v>
      </c>
      <c r="D14" s="247" t="s">
        <v>8450</v>
      </c>
      <c r="F14" s="271"/>
      <c r="G14" s="271" t="s">
        <v>7111</v>
      </c>
      <c r="H14" s="271" t="s">
        <v>8497</v>
      </c>
      <c r="I14" s="284">
        <f t="shared" si="0"/>
        <v>123.1231231</v>
      </c>
      <c r="J14" s="282">
        <f t="shared" si="1"/>
        <v>123.1231231</v>
      </c>
    </row>
    <row r="15" spans="2:10" x14ac:dyDescent="0.2">
      <c r="B15" s="257" t="s">
        <v>8455</v>
      </c>
      <c r="C15" s="248">
        <v>108</v>
      </c>
      <c r="D15" s="247" t="s">
        <v>8451</v>
      </c>
      <c r="F15" s="271"/>
      <c r="G15" s="271" t="s">
        <v>7112</v>
      </c>
      <c r="H15" s="271" t="s">
        <v>8498</v>
      </c>
      <c r="I15" s="286">
        <f t="shared" si="0"/>
        <v>123.1231231</v>
      </c>
      <c r="J15" s="282">
        <f t="shared" si="1"/>
        <v>123.1231231</v>
      </c>
    </row>
    <row r="16" spans="2:10" x14ac:dyDescent="0.2">
      <c r="B16" s="258" t="s">
        <v>8453</v>
      </c>
      <c r="C16" s="249" t="s">
        <v>8454</v>
      </c>
      <c r="D16" s="240" t="s">
        <v>8452</v>
      </c>
      <c r="F16" s="271"/>
      <c r="G16" s="287" t="s">
        <v>7113</v>
      </c>
      <c r="H16" s="271" t="s">
        <v>8499</v>
      </c>
      <c r="I16" s="290">
        <f t="shared" si="0"/>
        <v>123.1231231</v>
      </c>
      <c r="J16" s="282">
        <f t="shared" si="1"/>
        <v>123.1231231</v>
      </c>
    </row>
    <row r="17" spans="2:10" x14ac:dyDescent="0.2">
      <c r="B17" s="258">
        <v>0.32540000000000002</v>
      </c>
      <c r="C17" s="250">
        <v>0.32540000000000002</v>
      </c>
      <c r="D17" s="240"/>
      <c r="F17" s="271"/>
      <c r="G17" s="287" t="s">
        <v>7114</v>
      </c>
      <c r="H17" s="271" t="s">
        <v>8500</v>
      </c>
      <c r="I17" s="291">
        <f t="shared" si="0"/>
        <v>123.1231231</v>
      </c>
      <c r="J17" s="282">
        <f t="shared" si="1"/>
        <v>123.1231231</v>
      </c>
    </row>
    <row r="18" spans="2:10" x14ac:dyDescent="0.2">
      <c r="B18" s="259" t="s">
        <v>8456</v>
      </c>
      <c r="C18" s="260">
        <v>1.1666666666666667</v>
      </c>
      <c r="D18" s="264" t="s">
        <v>8459</v>
      </c>
      <c r="F18" s="271"/>
      <c r="G18" s="287" t="s">
        <v>7115</v>
      </c>
      <c r="H18" s="271" t="s">
        <v>8501</v>
      </c>
      <c r="I18" s="292">
        <f t="shared" si="0"/>
        <v>123.1231231</v>
      </c>
      <c r="J18" s="282">
        <f t="shared" si="1"/>
        <v>123.1231231</v>
      </c>
    </row>
    <row r="19" spans="2:10" x14ac:dyDescent="0.2">
      <c r="B19" s="259">
        <v>1000</v>
      </c>
      <c r="C19" s="263">
        <v>1000</v>
      </c>
      <c r="D19" s="243" t="s">
        <v>8457</v>
      </c>
      <c r="F19" s="271"/>
      <c r="G19" s="287" t="s">
        <v>7116</v>
      </c>
      <c r="H19" s="271" t="s">
        <v>8502</v>
      </c>
      <c r="I19" s="293">
        <f t="shared" si="0"/>
        <v>123.1231231</v>
      </c>
      <c r="J19" s="282">
        <f t="shared" si="1"/>
        <v>123.1231231</v>
      </c>
    </row>
    <row r="20" spans="2:10" x14ac:dyDescent="0.2">
      <c r="B20" s="259">
        <v>-2000</v>
      </c>
      <c r="C20" s="261">
        <v>-2000</v>
      </c>
      <c r="D20" s="243" t="s">
        <v>8458</v>
      </c>
      <c r="F20" s="271"/>
      <c r="G20" s="287" t="s">
        <v>7117</v>
      </c>
      <c r="H20" s="271" t="s">
        <v>8503</v>
      </c>
      <c r="I20" s="294">
        <f t="shared" si="0"/>
        <v>123.1231231</v>
      </c>
      <c r="J20" s="282">
        <f t="shared" si="1"/>
        <v>123.1231231</v>
      </c>
    </row>
    <row r="21" spans="2:10" x14ac:dyDescent="0.2">
      <c r="B21" s="259">
        <v>10000000</v>
      </c>
      <c r="C21" s="262">
        <v>10000000</v>
      </c>
      <c r="D21" s="243"/>
      <c r="F21" s="271"/>
      <c r="G21" s="287" t="s">
        <v>7118</v>
      </c>
      <c r="H21" s="271" t="s">
        <v>8504</v>
      </c>
      <c r="I21" s="288">
        <f t="shared" si="0"/>
        <v>123.1231231</v>
      </c>
      <c r="J21" s="282">
        <f t="shared" si="1"/>
        <v>123.1231231</v>
      </c>
    </row>
    <row r="22" spans="2:10" x14ac:dyDescent="0.2">
      <c r="F22" s="271">
        <v>3.7399999999999998E-3</v>
      </c>
      <c r="G22" s="271" t="s">
        <v>7109</v>
      </c>
      <c r="H22" s="271" t="s">
        <v>8505</v>
      </c>
      <c r="I22" s="299">
        <f>+F22</f>
        <v>3.7399999999999998E-3</v>
      </c>
      <c r="J22" s="282">
        <f>+I22</f>
        <v>3.7399999999999998E-3</v>
      </c>
    </row>
    <row r="23" spans="2:10" x14ac:dyDescent="0.2">
      <c r="F23" s="295"/>
      <c r="G23" s="296"/>
      <c r="H23" s="297"/>
      <c r="I23" s="298"/>
      <c r="J23" s="298"/>
    </row>
    <row r="26" spans="2:10" ht="14.25" x14ac:dyDescent="0.2">
      <c r="F26"/>
      <c r="G26"/>
      <c r="H26"/>
      <c r="I26"/>
      <c r="J26"/>
    </row>
    <row r="27" spans="2:10" ht="14.25" x14ac:dyDescent="0.2">
      <c r="F27"/>
      <c r="G27"/>
      <c r="H27"/>
      <c r="I27"/>
      <c r="J27"/>
    </row>
  </sheetData>
  <hyperlinks>
    <hyperlink ref="B5" r:id="rId1" xr:uid="{44A88849-FB05-48E8-8CD9-467591103813}"/>
    <hyperlink ref="B6" r:id="rId2" xr:uid="{1DEE4B40-6F0A-4C47-9CF4-C943CC62D892}"/>
  </hyperlinks>
  <printOptions horizontalCentered="1" gridLinesSet="0"/>
  <pageMargins left="0.39370078740157483" right="0.39370078740157483" top="0.39370078740157483" bottom="0.39370078740157483" header="0.39370078740157483" footer="0.39370078740157483"/>
  <pageSetup paperSize="9" scale="69" orientation="portrait" horizontalDpi="300" verticalDpi="300" r:id="rId3"/>
  <headerFooter alignWithMargins="0">
    <oddHeader>&amp;F</oddHeader>
    <oddFooter>Page &amp;P of &amp;N</oddFooter>
  </headerFooter>
  <rowBreaks count="1" manualBreakCount="1">
    <brk id="19" max="7" man="1"/>
  </rowBreak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AD030-DB4A-4789-A073-64E52552BE0D}">
  <sheetPr codeName="Sheet44"/>
  <dimension ref="B1:P489"/>
  <sheetViews>
    <sheetView showGridLines="0" zoomScaleNormal="100" workbookViewId="0">
      <selection activeCell="H6" sqref="H6:H489"/>
    </sheetView>
  </sheetViews>
  <sheetFormatPr defaultColWidth="9" defaultRowHeight="14.25" x14ac:dyDescent="0.2"/>
  <cols>
    <col min="1" max="1" width="10.25" style="6" customWidth="1"/>
    <col min="2" max="2" width="16" style="6" customWidth="1"/>
    <col min="3" max="3" width="15.25" style="6" customWidth="1"/>
    <col min="4" max="4" width="13.25" style="6" bestFit="1" customWidth="1"/>
    <col min="5" max="6" width="10.375" style="6" customWidth="1"/>
    <col min="7" max="7" width="17.375" style="6" customWidth="1"/>
    <col min="8" max="8" width="10.375" style="6" customWidth="1"/>
    <col min="9" max="9" width="13.375" style="6" customWidth="1"/>
    <col min="10" max="10" width="15" style="6" customWidth="1"/>
    <col min="11" max="11" width="12.875" customWidth="1"/>
    <col min="12" max="12" width="12" customWidth="1"/>
    <col min="13" max="13" width="30.375" style="6" customWidth="1"/>
    <col min="14" max="14" width="5.25" customWidth="1"/>
    <col min="15" max="16" width="11.875" style="6" hidden="1" customWidth="1"/>
    <col min="17" max="17" width="7.125" style="6" customWidth="1"/>
    <col min="18" max="18" width="27.5" style="6" bestFit="1" customWidth="1"/>
    <col min="19" max="16384" width="9" style="6"/>
  </cols>
  <sheetData>
    <row r="1" spans="2:15" ht="33" customHeight="1" x14ac:dyDescent="0.2"/>
    <row r="2" spans="2:15" x14ac:dyDescent="0.2">
      <c r="B2" s="64"/>
      <c r="C2" s="64" t="str">
        <f>C5</f>
        <v>Name</v>
      </c>
      <c r="D2" s="64" t="str">
        <f>D5</f>
        <v>Language</v>
      </c>
      <c r="E2" s="64" t="str">
        <f t="shared" ref="E2:I2" si="0">E5</f>
        <v>Gender</v>
      </c>
      <c r="F2" s="64" t="str">
        <f t="shared" si="0"/>
        <v>Height</v>
      </c>
      <c r="G2" s="64" t="str">
        <f t="shared" si="0"/>
        <v>Birthdate</v>
      </c>
      <c r="H2" s="64" t="str">
        <f t="shared" si="0"/>
        <v>Age</v>
      </c>
      <c r="I2" s="64" t="str">
        <f t="shared" si="0"/>
        <v>Availability</v>
      </c>
      <c r="J2" s="64"/>
      <c r="K2" s="6"/>
    </row>
    <row r="3" spans="2:15" x14ac:dyDescent="0.2">
      <c r="B3" s="64" t="b">
        <f>LEFT(C6,3)="Bla"</f>
        <v>0</v>
      </c>
      <c r="C3" s="64"/>
      <c r="D3" s="64"/>
      <c r="E3" s="64"/>
      <c r="F3" s="64"/>
      <c r="G3" s="64"/>
      <c r="H3" s="64"/>
      <c r="I3" s="64"/>
      <c r="J3" s="64" t="b">
        <f>H6&gt;=AVERAGE(mesAges)</f>
        <v>0</v>
      </c>
    </row>
    <row r="4" spans="2:15" ht="15" thickBot="1" x14ac:dyDescent="0.25"/>
    <row r="5" spans="2:15" ht="21.75" customHeight="1" thickTop="1" thickBot="1" x14ac:dyDescent="0.25">
      <c r="B5" s="199" t="s">
        <v>2422</v>
      </c>
      <c r="C5" s="199" t="s">
        <v>48</v>
      </c>
      <c r="D5" s="199" t="s">
        <v>2423</v>
      </c>
      <c r="E5" s="199" t="s">
        <v>47</v>
      </c>
      <c r="F5" s="199" t="s">
        <v>46</v>
      </c>
      <c r="G5" s="199" t="s">
        <v>2424</v>
      </c>
      <c r="H5" s="199" t="s">
        <v>45</v>
      </c>
      <c r="I5" s="199" t="s">
        <v>2425</v>
      </c>
      <c r="J5" s="199" t="s">
        <v>44</v>
      </c>
      <c r="L5" s="411" t="s">
        <v>2425</v>
      </c>
      <c r="M5" s="411"/>
    </row>
    <row r="6" spans="2:15" ht="15" x14ac:dyDescent="0.2">
      <c r="B6" s="195" t="s">
        <v>2369</v>
      </c>
      <c r="C6" s="195" t="s">
        <v>56</v>
      </c>
      <c r="D6" s="196" t="s">
        <v>157</v>
      </c>
      <c r="E6" s="196" t="s">
        <v>17</v>
      </c>
      <c r="F6" s="196">
        <v>181</v>
      </c>
      <c r="G6" s="197">
        <v>31228</v>
      </c>
      <c r="H6" s="198">
        <f t="shared" ref="H6:H69" si="1">ROUNDDOWN(($L$16-G6) /365.25,0)</f>
        <v>35</v>
      </c>
      <c r="I6" s="196">
        <v>3</v>
      </c>
      <c r="J6" s="196" t="str">
        <f>IF(D6=$L$12,IF(E6=$L$13,IF(F6&gt;=$L$14,IF(H6&lt;=$L$15,IF(I6=1,"OK","prob dispo"),"prob âge"),"prob taille"),"prob gender"),"prob langue")</f>
        <v>prob dispo</v>
      </c>
      <c r="L6" s="132">
        <v>1</v>
      </c>
      <c r="M6" s="17" t="s">
        <v>2426</v>
      </c>
      <c r="O6" s="62" t="str">
        <f t="shared" ref="O6:O69" si="2">REPT("|",DAY(G6))</f>
        <v>||||||||||||||||||||||||||||||</v>
      </c>
    </row>
    <row r="7" spans="2:15" ht="15" x14ac:dyDescent="0.2">
      <c r="B7" s="195" t="s">
        <v>166</v>
      </c>
      <c r="C7" s="195" t="s">
        <v>2366</v>
      </c>
      <c r="D7" s="196" t="s">
        <v>157</v>
      </c>
      <c r="E7" s="196" t="s">
        <v>17</v>
      </c>
      <c r="F7" s="196">
        <v>180</v>
      </c>
      <c r="G7" s="197">
        <v>34152</v>
      </c>
      <c r="H7" s="198">
        <f t="shared" si="1"/>
        <v>27</v>
      </c>
      <c r="I7" s="196">
        <v>2</v>
      </c>
      <c r="J7" s="196" t="str">
        <f t="shared" ref="J7:J70" si="3">IF(D7=$L$12,IF(E7=$L$13,IF(F7&gt;=$L$14,IF(H7&lt;=$L$15,IF(I7=1,"OK","prob dispo"),"prob âge"),"prob taille"),"prob gender"),"prob langue")</f>
        <v>prob dispo</v>
      </c>
      <c r="L7" s="132">
        <v>2</v>
      </c>
      <c r="M7" s="17" t="s">
        <v>2427</v>
      </c>
      <c r="O7" s="62" t="str">
        <f t="shared" si="2"/>
        <v>||</v>
      </c>
    </row>
    <row r="8" spans="2:15" ht="15" x14ac:dyDescent="0.2">
      <c r="B8" s="195" t="s">
        <v>849</v>
      </c>
      <c r="C8" s="195" t="s">
        <v>1593</v>
      </c>
      <c r="D8" s="196" t="s">
        <v>157</v>
      </c>
      <c r="E8" s="196" t="s">
        <v>17</v>
      </c>
      <c r="F8" s="196">
        <v>172</v>
      </c>
      <c r="G8" s="197">
        <v>28538</v>
      </c>
      <c r="H8" s="198">
        <f t="shared" si="1"/>
        <v>42</v>
      </c>
      <c r="I8" s="196">
        <v>2</v>
      </c>
      <c r="J8" s="196" t="str">
        <f t="shared" si="3"/>
        <v>prob dispo</v>
      </c>
      <c r="L8" s="132">
        <v>3</v>
      </c>
      <c r="M8" s="17" t="s">
        <v>2428</v>
      </c>
      <c r="O8" s="62" t="str">
        <f t="shared" si="2"/>
        <v>|||||||||||||||||</v>
      </c>
    </row>
    <row r="9" spans="2:15" ht="15" x14ac:dyDescent="0.2">
      <c r="B9" s="195" t="s">
        <v>276</v>
      </c>
      <c r="C9" s="195" t="s">
        <v>2357</v>
      </c>
      <c r="D9" s="196" t="s">
        <v>157</v>
      </c>
      <c r="E9" s="196" t="s">
        <v>17</v>
      </c>
      <c r="F9" s="196">
        <v>182</v>
      </c>
      <c r="G9" s="197">
        <v>28722</v>
      </c>
      <c r="H9" s="198">
        <f t="shared" si="1"/>
        <v>42</v>
      </c>
      <c r="I9" s="196">
        <v>3</v>
      </c>
      <c r="J9" s="196" t="str">
        <f t="shared" si="3"/>
        <v>prob dispo</v>
      </c>
      <c r="O9" s="62" t="str">
        <f t="shared" si="2"/>
        <v>||||||||||||||||||||</v>
      </c>
    </row>
    <row r="10" spans="2:15" ht="15.75" thickBot="1" x14ac:dyDescent="0.25">
      <c r="B10" s="195" t="s">
        <v>465</v>
      </c>
      <c r="C10" s="195" t="s">
        <v>2352</v>
      </c>
      <c r="D10" s="196" t="s">
        <v>157</v>
      </c>
      <c r="E10" s="196" t="s">
        <v>21</v>
      </c>
      <c r="F10" s="196">
        <v>170</v>
      </c>
      <c r="G10" s="197">
        <v>33487</v>
      </c>
      <c r="H10" s="198">
        <f t="shared" si="1"/>
        <v>29</v>
      </c>
      <c r="I10" s="196">
        <v>2</v>
      </c>
      <c r="J10" s="196" t="str">
        <f t="shared" si="3"/>
        <v>prob gender</v>
      </c>
      <c r="O10" s="62" t="str">
        <f t="shared" si="2"/>
        <v>||||||</v>
      </c>
    </row>
    <row r="11" spans="2:15" ht="16.5" thickTop="1" x14ac:dyDescent="0.2">
      <c r="B11" s="195" t="s">
        <v>2288</v>
      </c>
      <c r="C11" s="195" t="s">
        <v>2345</v>
      </c>
      <c r="D11" s="196" t="s">
        <v>157</v>
      </c>
      <c r="E11" s="196" t="s">
        <v>17</v>
      </c>
      <c r="F11" s="196">
        <v>170</v>
      </c>
      <c r="G11" s="197">
        <v>22832</v>
      </c>
      <c r="H11" s="198">
        <f t="shared" si="1"/>
        <v>58</v>
      </c>
      <c r="I11" s="196">
        <v>1</v>
      </c>
      <c r="J11" s="196" t="str">
        <f t="shared" si="3"/>
        <v>prob âge</v>
      </c>
      <c r="L11" s="411" t="s">
        <v>8123</v>
      </c>
      <c r="M11" s="411"/>
      <c r="O11" s="62" t="str">
        <f t="shared" si="2"/>
        <v>|||||</v>
      </c>
    </row>
    <row r="12" spans="2:15" ht="15" x14ac:dyDescent="0.2">
      <c r="B12" s="195" t="s">
        <v>364</v>
      </c>
      <c r="C12" s="195" t="s">
        <v>2345</v>
      </c>
      <c r="D12" s="196" t="s">
        <v>157</v>
      </c>
      <c r="E12" s="196" t="s">
        <v>21</v>
      </c>
      <c r="F12" s="196">
        <v>158</v>
      </c>
      <c r="G12" s="197">
        <v>32573</v>
      </c>
      <c r="H12" s="198">
        <f t="shared" si="1"/>
        <v>31</v>
      </c>
      <c r="I12" s="196">
        <v>2</v>
      </c>
      <c r="J12" s="196" t="str">
        <f t="shared" si="3"/>
        <v>prob gender</v>
      </c>
      <c r="L12" s="76" t="s">
        <v>157</v>
      </c>
      <c r="M12" s="6" t="s">
        <v>8122</v>
      </c>
      <c r="O12" s="62" t="str">
        <f t="shared" si="2"/>
        <v>||||||</v>
      </c>
    </row>
    <row r="13" spans="2:15" ht="15" x14ac:dyDescent="0.2">
      <c r="B13" s="195" t="s">
        <v>1046</v>
      </c>
      <c r="C13" s="195" t="s">
        <v>2338</v>
      </c>
      <c r="D13" s="196" t="s">
        <v>157</v>
      </c>
      <c r="E13" s="196" t="s">
        <v>21</v>
      </c>
      <c r="F13" s="196">
        <v>181</v>
      </c>
      <c r="G13" s="197">
        <v>22705</v>
      </c>
      <c r="H13" s="198">
        <f t="shared" si="1"/>
        <v>58</v>
      </c>
      <c r="I13" s="196">
        <v>1</v>
      </c>
      <c r="J13" s="196" t="str">
        <f t="shared" si="3"/>
        <v>prob gender</v>
      </c>
      <c r="L13" s="76" t="s">
        <v>17</v>
      </c>
      <c r="M13" s="6" t="s">
        <v>8121</v>
      </c>
      <c r="O13" s="62" t="str">
        <f t="shared" si="2"/>
        <v>||||||||||||||||||||||||||||</v>
      </c>
    </row>
    <row r="14" spans="2:15" ht="15" x14ac:dyDescent="0.2">
      <c r="B14" s="195" t="s">
        <v>1088</v>
      </c>
      <c r="C14" s="195" t="s">
        <v>2335</v>
      </c>
      <c r="D14" s="196" t="s">
        <v>157</v>
      </c>
      <c r="E14" s="196" t="s">
        <v>17</v>
      </c>
      <c r="F14" s="196">
        <v>191</v>
      </c>
      <c r="G14" s="197">
        <v>26466</v>
      </c>
      <c r="H14" s="198">
        <f t="shared" si="1"/>
        <v>48</v>
      </c>
      <c r="I14" s="196">
        <v>1</v>
      </c>
      <c r="J14" s="196" t="str">
        <f t="shared" si="3"/>
        <v>prob âge</v>
      </c>
      <c r="L14" s="76">
        <v>165</v>
      </c>
      <c r="M14" s="6" t="s">
        <v>8120</v>
      </c>
      <c r="O14" s="62" t="str">
        <f t="shared" si="2"/>
        <v>||||||||||||||||</v>
      </c>
    </row>
    <row r="15" spans="2:15" ht="15" x14ac:dyDescent="0.2">
      <c r="B15" s="195" t="s">
        <v>689</v>
      </c>
      <c r="C15" s="195" t="s">
        <v>2331</v>
      </c>
      <c r="D15" s="196" t="s">
        <v>157</v>
      </c>
      <c r="E15" s="196" t="s">
        <v>21</v>
      </c>
      <c r="F15" s="196">
        <v>180</v>
      </c>
      <c r="G15" s="197">
        <v>31790</v>
      </c>
      <c r="H15" s="198">
        <f t="shared" si="1"/>
        <v>33</v>
      </c>
      <c r="I15" s="196">
        <v>2</v>
      </c>
      <c r="J15" s="196" t="str">
        <f t="shared" si="3"/>
        <v>prob gender</v>
      </c>
      <c r="L15" s="76">
        <v>45</v>
      </c>
      <c r="M15" s="6" t="s">
        <v>8119</v>
      </c>
      <c r="O15" s="62" t="str">
        <f t="shared" si="2"/>
        <v>|||||||||||||</v>
      </c>
    </row>
    <row r="16" spans="2:15" ht="15" x14ac:dyDescent="0.2">
      <c r="B16" s="195" t="s">
        <v>345</v>
      </c>
      <c r="C16" s="195" t="s">
        <v>2328</v>
      </c>
      <c r="D16" s="196" t="s">
        <v>157</v>
      </c>
      <c r="E16" s="196" t="s">
        <v>21</v>
      </c>
      <c r="F16" s="196">
        <v>188</v>
      </c>
      <c r="G16" s="197">
        <v>22062</v>
      </c>
      <c r="H16" s="198">
        <f t="shared" si="1"/>
        <v>60</v>
      </c>
      <c r="I16" s="196">
        <v>1</v>
      </c>
      <c r="J16" s="196" t="str">
        <f t="shared" si="3"/>
        <v>prob gender</v>
      </c>
      <c r="L16" s="99">
        <v>44196</v>
      </c>
      <c r="M16" s="6" t="s">
        <v>8118</v>
      </c>
      <c r="O16" s="62" t="str">
        <f t="shared" si="2"/>
        <v>||||||||||||||||||||||||||</v>
      </c>
    </row>
    <row r="17" spans="2:15" ht="15.75" thickBot="1" x14ac:dyDescent="0.25">
      <c r="B17" s="195" t="s">
        <v>2325</v>
      </c>
      <c r="C17" s="195" t="s">
        <v>2324</v>
      </c>
      <c r="D17" s="196" t="s">
        <v>157</v>
      </c>
      <c r="E17" s="196" t="s">
        <v>21</v>
      </c>
      <c r="F17" s="196">
        <v>183</v>
      </c>
      <c r="G17" s="197">
        <v>24631</v>
      </c>
      <c r="H17" s="198">
        <f t="shared" si="1"/>
        <v>53</v>
      </c>
      <c r="I17" s="196">
        <v>2</v>
      </c>
      <c r="J17" s="196" t="str">
        <f t="shared" si="3"/>
        <v>prob gender</v>
      </c>
      <c r="O17" s="62" t="str">
        <f t="shared" si="2"/>
        <v>||||||||</v>
      </c>
    </row>
    <row r="18" spans="2:15" ht="16.5" thickTop="1" x14ac:dyDescent="0.2">
      <c r="B18" s="195" t="s">
        <v>405</v>
      </c>
      <c r="C18" s="195" t="s">
        <v>2320</v>
      </c>
      <c r="D18" s="196" t="s">
        <v>157</v>
      </c>
      <c r="E18" s="196" t="s">
        <v>17</v>
      </c>
      <c r="F18" s="196">
        <v>163</v>
      </c>
      <c r="G18" s="197">
        <v>24107</v>
      </c>
      <c r="H18" s="198">
        <f t="shared" si="1"/>
        <v>55</v>
      </c>
      <c r="I18" s="196">
        <v>1</v>
      </c>
      <c r="J18" s="196" t="str">
        <f t="shared" si="3"/>
        <v>prob taille</v>
      </c>
      <c r="L18" s="411" t="s">
        <v>8117</v>
      </c>
      <c r="M18" s="411"/>
      <c r="O18" s="62" t="str">
        <f t="shared" si="2"/>
        <v>|||||||||||||||||||||||||||||||</v>
      </c>
    </row>
    <row r="19" spans="2:15" ht="15" x14ac:dyDescent="0.2">
      <c r="B19" s="195" t="s">
        <v>2317</v>
      </c>
      <c r="C19" s="195" t="s">
        <v>2316</v>
      </c>
      <c r="D19" s="196" t="s">
        <v>157</v>
      </c>
      <c r="E19" s="196" t="s">
        <v>17</v>
      </c>
      <c r="F19" s="196">
        <v>184</v>
      </c>
      <c r="G19" s="197">
        <v>31516</v>
      </c>
      <c r="H19" s="198">
        <f t="shared" si="1"/>
        <v>34</v>
      </c>
      <c r="I19" s="196">
        <v>2</v>
      </c>
      <c r="J19" s="196" t="str">
        <f t="shared" si="3"/>
        <v>prob dispo</v>
      </c>
      <c r="L19" s="192">
        <f>AVERAGE(mesAges)</f>
        <v>43.776859504132233</v>
      </c>
      <c r="M19" s="6" t="s">
        <v>8116</v>
      </c>
      <c r="O19" s="62" t="str">
        <f t="shared" si="2"/>
        <v>||||||||||||||</v>
      </c>
    </row>
    <row r="20" spans="2:15" ht="15" x14ac:dyDescent="0.2">
      <c r="B20" s="195" t="s">
        <v>448</v>
      </c>
      <c r="C20" s="195" t="s">
        <v>2313</v>
      </c>
      <c r="D20" s="196" t="s">
        <v>157</v>
      </c>
      <c r="E20" s="196" t="s">
        <v>21</v>
      </c>
      <c r="F20" s="196">
        <v>192</v>
      </c>
      <c r="G20" s="197">
        <v>31050</v>
      </c>
      <c r="H20" s="198">
        <f t="shared" si="1"/>
        <v>35</v>
      </c>
      <c r="I20" s="196">
        <v>1</v>
      </c>
      <c r="J20" s="196" t="str">
        <f t="shared" si="3"/>
        <v>prob gender</v>
      </c>
      <c r="L20" s="69">
        <f>COUNTA(C6:C489)</f>
        <v>484</v>
      </c>
      <c r="M20" s="6" t="s">
        <v>8115</v>
      </c>
      <c r="O20" s="62" t="str">
        <f t="shared" si="2"/>
        <v>|||</v>
      </c>
    </row>
    <row r="21" spans="2:15" ht="15" x14ac:dyDescent="0.2">
      <c r="B21" s="195" t="s">
        <v>1440</v>
      </c>
      <c r="C21" s="195" t="s">
        <v>2309</v>
      </c>
      <c r="D21" s="196" t="s">
        <v>157</v>
      </c>
      <c r="E21" s="196" t="s">
        <v>17</v>
      </c>
      <c r="F21" s="196">
        <v>162</v>
      </c>
      <c r="G21" s="197">
        <v>24740</v>
      </c>
      <c r="H21" s="198">
        <f t="shared" si="1"/>
        <v>53</v>
      </c>
      <c r="I21" s="196">
        <v>1</v>
      </c>
      <c r="J21" s="196" t="str">
        <f t="shared" si="3"/>
        <v>prob taille</v>
      </c>
      <c r="L21" s="69">
        <f>COUNTIF(E6:E489,"F")</f>
        <v>212</v>
      </c>
      <c r="M21" s="6" t="s">
        <v>8114</v>
      </c>
      <c r="O21" s="62" t="str">
        <f t="shared" si="2"/>
        <v>|||||||||||||||||||||||||</v>
      </c>
    </row>
    <row r="22" spans="2:15" ht="15" x14ac:dyDescent="0.2">
      <c r="B22" s="195" t="s">
        <v>101</v>
      </c>
      <c r="C22" s="195" t="s">
        <v>2305</v>
      </c>
      <c r="D22" s="196" t="s">
        <v>157</v>
      </c>
      <c r="E22" s="196" t="s">
        <v>21</v>
      </c>
      <c r="F22" s="196">
        <v>195</v>
      </c>
      <c r="G22" s="197">
        <v>28084</v>
      </c>
      <c r="H22" s="198">
        <f t="shared" si="1"/>
        <v>44</v>
      </c>
      <c r="I22" s="196">
        <v>2</v>
      </c>
      <c r="J22" s="196" t="str">
        <f t="shared" si="3"/>
        <v>prob gender</v>
      </c>
      <c r="L22" s="191">
        <f>COUNTIF(E6:E489,"F")/COUNTA(C6:C489)</f>
        <v>0.43801652892561982</v>
      </c>
      <c r="M22" s="6" t="s">
        <v>8113</v>
      </c>
      <c r="O22" s="62" t="str">
        <f t="shared" si="2"/>
        <v>||||||||||||||||||||</v>
      </c>
    </row>
    <row r="23" spans="2:15" ht="15" x14ac:dyDescent="0.2">
      <c r="B23" s="195" t="s">
        <v>2222</v>
      </c>
      <c r="C23" s="195" t="s">
        <v>2300</v>
      </c>
      <c r="D23" s="196" t="s">
        <v>157</v>
      </c>
      <c r="E23" s="196" t="s">
        <v>21</v>
      </c>
      <c r="F23" s="196">
        <v>180</v>
      </c>
      <c r="G23" s="197">
        <v>28964</v>
      </c>
      <c r="H23" s="198">
        <f t="shared" si="1"/>
        <v>41</v>
      </c>
      <c r="I23" s="196">
        <v>1</v>
      </c>
      <c r="J23" s="196" t="str">
        <f t="shared" si="3"/>
        <v>prob gender</v>
      </c>
      <c r="L23" s="69">
        <f>COUNTIF(J6:J489,"OK")</f>
        <v>16</v>
      </c>
      <c r="M23" s="6" t="s">
        <v>8112</v>
      </c>
      <c r="O23" s="62" t="str">
        <f t="shared" si="2"/>
        <v>|||||||||||||||||||</v>
      </c>
    </row>
    <row r="24" spans="2:15" ht="15" x14ac:dyDescent="0.2">
      <c r="B24" s="195" t="s">
        <v>756</v>
      </c>
      <c r="C24" s="195" t="s">
        <v>2297</v>
      </c>
      <c r="D24" s="196" t="s">
        <v>157</v>
      </c>
      <c r="E24" s="196" t="s">
        <v>21</v>
      </c>
      <c r="F24" s="196">
        <v>163</v>
      </c>
      <c r="G24" s="197">
        <v>28320</v>
      </c>
      <c r="H24" s="198">
        <f t="shared" si="1"/>
        <v>43</v>
      </c>
      <c r="I24" s="196">
        <v>1</v>
      </c>
      <c r="J24" s="196" t="str">
        <f t="shared" si="3"/>
        <v>prob gender</v>
      </c>
      <c r="L24" s="69">
        <f>COUNTIFS(D6:D489,"N",E6:E489,"F")</f>
        <v>115</v>
      </c>
      <c r="M24" s="6" t="s">
        <v>8111</v>
      </c>
      <c r="O24" s="62" t="str">
        <f t="shared" si="2"/>
        <v>||||||||||||||</v>
      </c>
    </row>
    <row r="25" spans="2:15" ht="15" x14ac:dyDescent="0.2">
      <c r="B25" s="195" t="s">
        <v>2293</v>
      </c>
      <c r="C25" s="195" t="s">
        <v>2292</v>
      </c>
      <c r="D25" s="196" t="s">
        <v>157</v>
      </c>
      <c r="E25" s="196" t="s">
        <v>21</v>
      </c>
      <c r="F25" s="196">
        <v>192</v>
      </c>
      <c r="G25" s="197">
        <v>33610</v>
      </c>
      <c r="H25" s="198">
        <f t="shared" si="1"/>
        <v>28</v>
      </c>
      <c r="I25" s="196">
        <v>2</v>
      </c>
      <c r="J25" s="196" t="str">
        <f t="shared" si="3"/>
        <v>prob gender</v>
      </c>
      <c r="L25" s="69">
        <f>COUNTIFS(E6:E489,"F",F6:F489,"&gt;=170",D6:D489,"&lt;&gt;N")</f>
        <v>59</v>
      </c>
      <c r="M25" s="6" t="s">
        <v>8110</v>
      </c>
      <c r="O25" s="62" t="str">
        <f t="shared" si="2"/>
        <v>|||||||</v>
      </c>
    </row>
    <row r="26" spans="2:15" ht="15" x14ac:dyDescent="0.2">
      <c r="B26" s="195" t="s">
        <v>2288</v>
      </c>
      <c r="C26" s="195" t="s">
        <v>858</v>
      </c>
      <c r="D26" s="196" t="s">
        <v>157</v>
      </c>
      <c r="E26" s="196" t="s">
        <v>17</v>
      </c>
      <c r="F26" s="196">
        <v>162</v>
      </c>
      <c r="G26" s="197">
        <v>23004</v>
      </c>
      <c r="H26" s="198">
        <f t="shared" si="1"/>
        <v>58</v>
      </c>
      <c r="I26" s="196">
        <v>1</v>
      </c>
      <c r="J26" s="196" t="str">
        <f t="shared" si="3"/>
        <v>prob taille</v>
      </c>
      <c r="O26" s="62" t="str">
        <f t="shared" si="2"/>
        <v>||||||||||||||||||||||||</v>
      </c>
    </row>
    <row r="27" spans="2:15" ht="15" x14ac:dyDescent="0.2">
      <c r="B27" s="195" t="s">
        <v>276</v>
      </c>
      <c r="C27" s="195" t="s">
        <v>2283</v>
      </c>
      <c r="D27" s="196" t="s">
        <v>157</v>
      </c>
      <c r="E27" s="196" t="s">
        <v>17</v>
      </c>
      <c r="F27" s="196">
        <v>175</v>
      </c>
      <c r="G27" s="197">
        <v>26718</v>
      </c>
      <c r="H27" s="198">
        <f t="shared" si="1"/>
        <v>47</v>
      </c>
      <c r="I27" s="196">
        <v>2</v>
      </c>
      <c r="J27" s="196" t="str">
        <f t="shared" si="3"/>
        <v>prob âge</v>
      </c>
      <c r="O27" s="62" t="str">
        <f t="shared" si="2"/>
        <v>|||||||||||||||||||||||</v>
      </c>
    </row>
    <row r="28" spans="2:15" ht="15" x14ac:dyDescent="0.2">
      <c r="B28" s="195" t="s">
        <v>166</v>
      </c>
      <c r="C28" s="195" t="s">
        <v>2283</v>
      </c>
      <c r="D28" s="196" t="s">
        <v>157</v>
      </c>
      <c r="E28" s="196" t="s">
        <v>17</v>
      </c>
      <c r="F28" s="196">
        <v>173</v>
      </c>
      <c r="G28" s="197">
        <v>33202</v>
      </c>
      <c r="H28" s="198">
        <f t="shared" si="1"/>
        <v>30</v>
      </c>
      <c r="I28" s="196">
        <v>3</v>
      </c>
      <c r="J28" s="196" t="str">
        <f t="shared" si="3"/>
        <v>prob dispo</v>
      </c>
      <c r="O28" s="62" t="str">
        <f t="shared" si="2"/>
        <v>|||||||||||||||||||||||||</v>
      </c>
    </row>
    <row r="29" spans="2:15" ht="15" x14ac:dyDescent="0.2">
      <c r="B29" s="195" t="s">
        <v>434</v>
      </c>
      <c r="C29" s="195" t="s">
        <v>2280</v>
      </c>
      <c r="D29" s="196" t="s">
        <v>17</v>
      </c>
      <c r="E29" s="196" t="s">
        <v>21</v>
      </c>
      <c r="F29" s="196">
        <v>190</v>
      </c>
      <c r="G29" s="197">
        <v>22629</v>
      </c>
      <c r="H29" s="198">
        <f t="shared" si="1"/>
        <v>59</v>
      </c>
      <c r="I29" s="196">
        <v>2</v>
      </c>
      <c r="J29" s="196" t="str">
        <f t="shared" si="3"/>
        <v>prob langue</v>
      </c>
      <c r="O29" s="62" t="str">
        <f t="shared" si="2"/>
        <v>||||||||||||||</v>
      </c>
    </row>
    <row r="30" spans="2:15" ht="15" x14ac:dyDescent="0.2">
      <c r="B30" s="195" t="s">
        <v>81</v>
      </c>
      <c r="C30" s="195" t="s">
        <v>2271</v>
      </c>
      <c r="D30" s="196" t="s">
        <v>157</v>
      </c>
      <c r="E30" s="196" t="s">
        <v>21</v>
      </c>
      <c r="F30" s="196">
        <v>181</v>
      </c>
      <c r="G30" s="197">
        <v>30148</v>
      </c>
      <c r="H30" s="198">
        <f t="shared" si="1"/>
        <v>38</v>
      </c>
      <c r="I30" s="196">
        <v>2</v>
      </c>
      <c r="J30" s="196" t="str">
        <f t="shared" si="3"/>
        <v>prob gender</v>
      </c>
      <c r="O30" s="62" t="str">
        <f t="shared" si="2"/>
        <v>||||||||||||||||</v>
      </c>
    </row>
    <row r="31" spans="2:15" ht="15" x14ac:dyDescent="0.2">
      <c r="B31" s="195" t="s">
        <v>2268</v>
      </c>
      <c r="C31" s="195" t="s">
        <v>2267</v>
      </c>
      <c r="D31" s="196" t="s">
        <v>157</v>
      </c>
      <c r="E31" s="196" t="s">
        <v>17</v>
      </c>
      <c r="F31" s="196">
        <v>183</v>
      </c>
      <c r="G31" s="197">
        <v>27734</v>
      </c>
      <c r="H31" s="198">
        <f t="shared" si="1"/>
        <v>45</v>
      </c>
      <c r="I31" s="196">
        <v>3</v>
      </c>
      <c r="J31" s="196" t="str">
        <f t="shared" si="3"/>
        <v>prob dispo</v>
      </c>
      <c r="O31" s="62" t="str">
        <f t="shared" si="2"/>
        <v>||||||</v>
      </c>
    </row>
    <row r="32" spans="2:15" ht="15" x14ac:dyDescent="0.2">
      <c r="B32" s="195" t="s">
        <v>849</v>
      </c>
      <c r="C32" s="195" t="s">
        <v>2264</v>
      </c>
      <c r="D32" s="196" t="s">
        <v>157</v>
      </c>
      <c r="E32" s="196" t="s">
        <v>17</v>
      </c>
      <c r="F32" s="196">
        <v>186</v>
      </c>
      <c r="G32" s="197">
        <v>23256</v>
      </c>
      <c r="H32" s="198">
        <f t="shared" si="1"/>
        <v>57</v>
      </c>
      <c r="I32" s="196">
        <v>2</v>
      </c>
      <c r="J32" s="196" t="str">
        <f t="shared" si="3"/>
        <v>prob âge</v>
      </c>
      <c r="O32" s="62" t="str">
        <f t="shared" si="2"/>
        <v>||</v>
      </c>
    </row>
    <row r="33" spans="2:15" ht="15" x14ac:dyDescent="0.2">
      <c r="B33" s="195" t="s">
        <v>288</v>
      </c>
      <c r="C33" s="195" t="s">
        <v>2261</v>
      </c>
      <c r="D33" s="196" t="s">
        <v>17</v>
      </c>
      <c r="E33" s="196" t="s">
        <v>21</v>
      </c>
      <c r="F33" s="196">
        <v>188</v>
      </c>
      <c r="G33" s="197">
        <v>27040</v>
      </c>
      <c r="H33" s="198">
        <f t="shared" si="1"/>
        <v>46</v>
      </c>
      <c r="I33" s="196">
        <v>2</v>
      </c>
      <c r="J33" s="196" t="str">
        <f t="shared" si="3"/>
        <v>prob langue</v>
      </c>
      <c r="O33" s="62" t="str">
        <f t="shared" si="2"/>
        <v>|||||||||||</v>
      </c>
    </row>
    <row r="34" spans="2:15" ht="15" x14ac:dyDescent="0.2">
      <c r="B34" s="195" t="s">
        <v>2259</v>
      </c>
      <c r="C34" s="195" t="s">
        <v>2258</v>
      </c>
      <c r="D34" s="196" t="s">
        <v>17</v>
      </c>
      <c r="E34" s="196" t="s">
        <v>21</v>
      </c>
      <c r="F34" s="196">
        <v>174</v>
      </c>
      <c r="G34" s="197">
        <v>29052</v>
      </c>
      <c r="H34" s="198">
        <f t="shared" si="1"/>
        <v>41</v>
      </c>
      <c r="I34" s="196">
        <v>3</v>
      </c>
      <c r="J34" s="196" t="str">
        <f t="shared" si="3"/>
        <v>prob langue</v>
      </c>
      <c r="O34" s="62" t="str">
        <f t="shared" si="2"/>
        <v>||||||||||||||||</v>
      </c>
    </row>
    <row r="35" spans="2:15" ht="15" x14ac:dyDescent="0.2">
      <c r="B35" s="195" t="s">
        <v>696</v>
      </c>
      <c r="C35" s="195" t="s">
        <v>2252</v>
      </c>
      <c r="D35" s="196" t="s">
        <v>157</v>
      </c>
      <c r="E35" s="196" t="s">
        <v>21</v>
      </c>
      <c r="F35" s="196">
        <v>164</v>
      </c>
      <c r="G35" s="197">
        <v>23016</v>
      </c>
      <c r="H35" s="198">
        <f t="shared" si="1"/>
        <v>57</v>
      </c>
      <c r="I35" s="196">
        <v>3</v>
      </c>
      <c r="J35" s="196" t="str">
        <f t="shared" si="3"/>
        <v>prob gender</v>
      </c>
      <c r="O35" s="62" t="str">
        <f t="shared" si="2"/>
        <v>|||||</v>
      </c>
    </row>
    <row r="36" spans="2:15" ht="15" x14ac:dyDescent="0.2">
      <c r="B36" s="195" t="s">
        <v>652</v>
      </c>
      <c r="C36" s="195" t="s">
        <v>2248</v>
      </c>
      <c r="D36" s="196" t="s">
        <v>157</v>
      </c>
      <c r="E36" s="196" t="s">
        <v>17</v>
      </c>
      <c r="F36" s="196">
        <v>165</v>
      </c>
      <c r="G36" s="197">
        <v>23208</v>
      </c>
      <c r="H36" s="198">
        <f t="shared" si="1"/>
        <v>57</v>
      </c>
      <c r="I36" s="196">
        <v>2</v>
      </c>
      <c r="J36" s="196" t="str">
        <f t="shared" si="3"/>
        <v>prob âge</v>
      </c>
      <c r="O36" s="62" t="str">
        <f t="shared" si="2"/>
        <v>||||||||||||||||</v>
      </c>
    </row>
    <row r="37" spans="2:15" ht="15" x14ac:dyDescent="0.2">
      <c r="B37" s="195" t="s">
        <v>458</v>
      </c>
      <c r="C37" s="195" t="s">
        <v>2245</v>
      </c>
      <c r="D37" s="196" t="s">
        <v>17</v>
      </c>
      <c r="E37" s="196" t="s">
        <v>17</v>
      </c>
      <c r="F37" s="196">
        <v>180</v>
      </c>
      <c r="G37" s="197">
        <v>29042</v>
      </c>
      <c r="H37" s="198">
        <f t="shared" si="1"/>
        <v>41</v>
      </c>
      <c r="I37" s="196">
        <v>3</v>
      </c>
      <c r="J37" s="196" t="str">
        <f t="shared" si="3"/>
        <v>prob langue</v>
      </c>
      <c r="O37" s="62" t="str">
        <f t="shared" si="2"/>
        <v>||||||</v>
      </c>
    </row>
    <row r="38" spans="2:15" ht="15" x14ac:dyDescent="0.2">
      <c r="B38" s="195" t="s">
        <v>101</v>
      </c>
      <c r="C38" s="195" t="s">
        <v>2242</v>
      </c>
      <c r="D38" s="196" t="s">
        <v>17</v>
      </c>
      <c r="E38" s="196" t="s">
        <v>21</v>
      </c>
      <c r="F38" s="196">
        <v>182</v>
      </c>
      <c r="G38" s="197">
        <v>33019</v>
      </c>
      <c r="H38" s="198">
        <f t="shared" si="1"/>
        <v>30</v>
      </c>
      <c r="I38" s="196">
        <v>2</v>
      </c>
      <c r="J38" s="196" t="str">
        <f t="shared" si="3"/>
        <v>prob langue</v>
      </c>
      <c r="O38" s="62" t="str">
        <f t="shared" si="2"/>
        <v>||||||||||||||||||||||||||</v>
      </c>
    </row>
    <row r="39" spans="2:15" ht="15" x14ac:dyDescent="0.2">
      <c r="B39" s="195" t="s">
        <v>2239</v>
      </c>
      <c r="C39" s="195" t="s">
        <v>2237</v>
      </c>
      <c r="D39" s="196" t="s">
        <v>17</v>
      </c>
      <c r="E39" s="196" t="s">
        <v>21</v>
      </c>
      <c r="F39" s="196">
        <v>188</v>
      </c>
      <c r="G39" s="197">
        <v>24739</v>
      </c>
      <c r="H39" s="198">
        <f t="shared" si="1"/>
        <v>53</v>
      </c>
      <c r="I39" s="196">
        <v>1</v>
      </c>
      <c r="J39" s="196" t="str">
        <f t="shared" si="3"/>
        <v>prob langue</v>
      </c>
      <c r="O39" s="62" t="str">
        <f t="shared" si="2"/>
        <v>||||||||||||||||||||||||</v>
      </c>
    </row>
    <row r="40" spans="2:15" ht="15" x14ac:dyDescent="0.2">
      <c r="B40" s="195" t="s">
        <v>65</v>
      </c>
      <c r="C40" s="195" t="s">
        <v>2237</v>
      </c>
      <c r="D40" s="196" t="s">
        <v>157</v>
      </c>
      <c r="E40" s="196" t="s">
        <v>17</v>
      </c>
      <c r="F40" s="196">
        <v>194</v>
      </c>
      <c r="G40" s="197">
        <v>24086</v>
      </c>
      <c r="H40" s="198">
        <f t="shared" si="1"/>
        <v>55</v>
      </c>
      <c r="I40" s="196">
        <v>3</v>
      </c>
      <c r="J40" s="196" t="str">
        <f t="shared" si="3"/>
        <v>prob âge</v>
      </c>
      <c r="O40" s="62" t="str">
        <f t="shared" si="2"/>
        <v>||||||||||</v>
      </c>
    </row>
    <row r="41" spans="2:15" ht="15" x14ac:dyDescent="0.2">
      <c r="B41" s="195" t="s">
        <v>825</v>
      </c>
      <c r="C41" s="195" t="s">
        <v>2234</v>
      </c>
      <c r="D41" s="196" t="s">
        <v>17</v>
      </c>
      <c r="E41" s="196" t="s">
        <v>21</v>
      </c>
      <c r="F41" s="196">
        <v>163</v>
      </c>
      <c r="G41" s="197">
        <v>23652</v>
      </c>
      <c r="H41" s="198">
        <f t="shared" si="1"/>
        <v>56</v>
      </c>
      <c r="I41" s="196">
        <v>1</v>
      </c>
      <c r="J41" s="196" t="str">
        <f t="shared" si="3"/>
        <v>prob langue</v>
      </c>
      <c r="O41" s="62" t="str">
        <f t="shared" si="2"/>
        <v>||</v>
      </c>
    </row>
    <row r="42" spans="2:15" ht="15" x14ac:dyDescent="0.2">
      <c r="B42" s="195" t="s">
        <v>81</v>
      </c>
      <c r="C42" s="195" t="s">
        <v>2231</v>
      </c>
      <c r="D42" s="196" t="s">
        <v>157</v>
      </c>
      <c r="E42" s="196" t="s">
        <v>21</v>
      </c>
      <c r="F42" s="196">
        <v>156</v>
      </c>
      <c r="G42" s="197">
        <v>29253</v>
      </c>
      <c r="H42" s="198">
        <f t="shared" si="1"/>
        <v>40</v>
      </c>
      <c r="I42" s="196">
        <v>3</v>
      </c>
      <c r="J42" s="196" t="str">
        <f t="shared" si="3"/>
        <v>prob gender</v>
      </c>
      <c r="O42" s="62" t="str">
        <f t="shared" si="2"/>
        <v>||</v>
      </c>
    </row>
    <row r="43" spans="2:15" ht="15" x14ac:dyDescent="0.2">
      <c r="B43" s="195" t="s">
        <v>1797</v>
      </c>
      <c r="C43" s="195" t="s">
        <v>2228</v>
      </c>
      <c r="D43" s="196" t="s">
        <v>17</v>
      </c>
      <c r="E43" s="196" t="s">
        <v>21</v>
      </c>
      <c r="F43" s="196">
        <v>174</v>
      </c>
      <c r="G43" s="197">
        <v>33020</v>
      </c>
      <c r="H43" s="198">
        <f t="shared" si="1"/>
        <v>30</v>
      </c>
      <c r="I43" s="196">
        <v>2</v>
      </c>
      <c r="J43" s="196" t="str">
        <f t="shared" si="3"/>
        <v>prob langue</v>
      </c>
      <c r="O43" s="62" t="str">
        <f t="shared" si="2"/>
        <v>|||||||||||||||||||||||||||</v>
      </c>
    </row>
    <row r="44" spans="2:15" ht="15" x14ac:dyDescent="0.2">
      <c r="B44" s="195" t="s">
        <v>2225</v>
      </c>
      <c r="C44" s="195" t="s">
        <v>2224</v>
      </c>
      <c r="D44" s="196" t="s">
        <v>157</v>
      </c>
      <c r="E44" s="196" t="s">
        <v>17</v>
      </c>
      <c r="F44" s="196">
        <v>195</v>
      </c>
      <c r="G44" s="197">
        <v>25693</v>
      </c>
      <c r="H44" s="198">
        <f t="shared" si="1"/>
        <v>50</v>
      </c>
      <c r="I44" s="196">
        <v>1</v>
      </c>
      <c r="J44" s="196" t="str">
        <f t="shared" si="3"/>
        <v>prob âge</v>
      </c>
      <c r="O44" s="62" t="str">
        <f t="shared" si="2"/>
        <v>|||||</v>
      </c>
    </row>
    <row r="45" spans="2:15" ht="15" x14ac:dyDescent="0.2">
      <c r="B45" s="195" t="s">
        <v>849</v>
      </c>
      <c r="C45" s="195" t="s">
        <v>2218</v>
      </c>
      <c r="D45" s="196" t="s">
        <v>17</v>
      </c>
      <c r="E45" s="196" t="s">
        <v>17</v>
      </c>
      <c r="F45" s="196">
        <v>176</v>
      </c>
      <c r="G45" s="197">
        <v>26349</v>
      </c>
      <c r="H45" s="198">
        <f t="shared" si="1"/>
        <v>48</v>
      </c>
      <c r="I45" s="196">
        <v>1</v>
      </c>
      <c r="J45" s="196" t="str">
        <f t="shared" si="3"/>
        <v>prob langue</v>
      </c>
      <c r="O45" s="62" t="str">
        <f t="shared" si="2"/>
        <v>||||||||||||||||||||</v>
      </c>
    </row>
    <row r="46" spans="2:15" ht="15" x14ac:dyDescent="0.2">
      <c r="B46" s="195" t="s">
        <v>193</v>
      </c>
      <c r="C46" s="195" t="s">
        <v>2218</v>
      </c>
      <c r="D46" s="196" t="s">
        <v>17</v>
      </c>
      <c r="E46" s="196" t="s">
        <v>21</v>
      </c>
      <c r="F46" s="196">
        <v>185</v>
      </c>
      <c r="G46" s="197">
        <v>30219</v>
      </c>
      <c r="H46" s="198">
        <f t="shared" si="1"/>
        <v>38</v>
      </c>
      <c r="I46" s="196">
        <v>2</v>
      </c>
      <c r="J46" s="196" t="str">
        <f t="shared" si="3"/>
        <v>prob langue</v>
      </c>
      <c r="O46" s="62" t="str">
        <f t="shared" si="2"/>
        <v>|||||||||||||||||||||||||</v>
      </c>
    </row>
    <row r="47" spans="2:15" ht="15" x14ac:dyDescent="0.2">
      <c r="B47" s="195" t="s">
        <v>2222</v>
      </c>
      <c r="C47" s="195" t="s">
        <v>2218</v>
      </c>
      <c r="D47" s="196" t="s">
        <v>17</v>
      </c>
      <c r="E47" s="196" t="s">
        <v>21</v>
      </c>
      <c r="F47" s="196">
        <v>164</v>
      </c>
      <c r="G47" s="197">
        <v>33898</v>
      </c>
      <c r="H47" s="198">
        <f t="shared" si="1"/>
        <v>28</v>
      </c>
      <c r="I47" s="196">
        <v>2</v>
      </c>
      <c r="J47" s="196" t="str">
        <f t="shared" si="3"/>
        <v>prob langue</v>
      </c>
      <c r="O47" s="62" t="str">
        <f t="shared" si="2"/>
        <v>|||||||||||||||||||||</v>
      </c>
    </row>
    <row r="48" spans="2:15" ht="15" x14ac:dyDescent="0.2">
      <c r="B48" s="195" t="s">
        <v>2216</v>
      </c>
      <c r="C48" s="195" t="s">
        <v>2215</v>
      </c>
      <c r="D48" s="196" t="s">
        <v>17</v>
      </c>
      <c r="E48" s="196" t="s">
        <v>17</v>
      </c>
      <c r="F48" s="196">
        <v>183</v>
      </c>
      <c r="G48" s="197">
        <v>22222</v>
      </c>
      <c r="H48" s="198">
        <f t="shared" si="1"/>
        <v>60</v>
      </c>
      <c r="I48" s="196">
        <v>1</v>
      </c>
      <c r="J48" s="196" t="str">
        <f t="shared" si="3"/>
        <v>prob langue</v>
      </c>
      <c r="O48" s="62" t="str">
        <f t="shared" si="2"/>
        <v>||</v>
      </c>
    </row>
    <row r="49" spans="2:15" ht="15" x14ac:dyDescent="0.2">
      <c r="B49" s="195" t="s">
        <v>113</v>
      </c>
      <c r="C49" s="195" t="s">
        <v>2212</v>
      </c>
      <c r="D49" s="196" t="s">
        <v>17</v>
      </c>
      <c r="E49" s="196" t="s">
        <v>21</v>
      </c>
      <c r="F49" s="196">
        <v>190</v>
      </c>
      <c r="G49" s="197">
        <v>32812</v>
      </c>
      <c r="H49" s="198">
        <f t="shared" si="1"/>
        <v>31</v>
      </c>
      <c r="I49" s="196">
        <v>3</v>
      </c>
      <c r="J49" s="196" t="str">
        <f t="shared" si="3"/>
        <v>prob langue</v>
      </c>
      <c r="O49" s="62" t="str">
        <f t="shared" si="2"/>
        <v>|||||||||||||||||||||||||||||||</v>
      </c>
    </row>
    <row r="50" spans="2:15" ht="15" x14ac:dyDescent="0.2">
      <c r="B50" s="195" t="s">
        <v>1245</v>
      </c>
      <c r="C50" s="195" t="s">
        <v>2206</v>
      </c>
      <c r="D50" s="196" t="s">
        <v>17</v>
      </c>
      <c r="E50" s="196" t="s">
        <v>17</v>
      </c>
      <c r="F50" s="196">
        <v>179</v>
      </c>
      <c r="G50" s="197">
        <v>26588</v>
      </c>
      <c r="H50" s="198">
        <f t="shared" si="1"/>
        <v>48</v>
      </c>
      <c r="I50" s="196">
        <v>2</v>
      </c>
      <c r="J50" s="196" t="str">
        <f t="shared" si="3"/>
        <v>prob langue</v>
      </c>
      <c r="O50" s="62" t="str">
        <f t="shared" si="2"/>
        <v>||||||||||||||||</v>
      </c>
    </row>
    <row r="51" spans="2:15" ht="15" x14ac:dyDescent="0.2">
      <c r="B51" s="195" t="s">
        <v>202</v>
      </c>
      <c r="C51" s="195" t="s">
        <v>2203</v>
      </c>
      <c r="D51" s="196" t="s">
        <v>17</v>
      </c>
      <c r="E51" s="196" t="s">
        <v>21</v>
      </c>
      <c r="F51" s="196">
        <v>184</v>
      </c>
      <c r="G51" s="197">
        <v>34162</v>
      </c>
      <c r="H51" s="198">
        <f t="shared" si="1"/>
        <v>27</v>
      </c>
      <c r="I51" s="196">
        <v>3</v>
      </c>
      <c r="J51" s="196" t="str">
        <f t="shared" si="3"/>
        <v>prob langue</v>
      </c>
      <c r="O51" s="62" t="str">
        <f t="shared" si="2"/>
        <v>||||||||||||</v>
      </c>
    </row>
    <row r="52" spans="2:15" ht="15" x14ac:dyDescent="0.2">
      <c r="B52" s="195" t="s">
        <v>62</v>
      </c>
      <c r="C52" s="195" t="s">
        <v>788</v>
      </c>
      <c r="D52" s="196" t="s">
        <v>17</v>
      </c>
      <c r="E52" s="196" t="s">
        <v>21</v>
      </c>
      <c r="F52" s="196">
        <v>182</v>
      </c>
      <c r="G52" s="197">
        <v>23326</v>
      </c>
      <c r="H52" s="198">
        <f t="shared" si="1"/>
        <v>57</v>
      </c>
      <c r="I52" s="196">
        <v>1</v>
      </c>
      <c r="J52" s="196" t="str">
        <f t="shared" si="3"/>
        <v>prob langue</v>
      </c>
      <c r="O52" s="62" t="str">
        <f t="shared" si="2"/>
        <v>|||||||||||</v>
      </c>
    </row>
    <row r="53" spans="2:15" ht="15" x14ac:dyDescent="0.2">
      <c r="B53" s="195" t="s">
        <v>2199</v>
      </c>
      <c r="C53" s="195" t="s">
        <v>788</v>
      </c>
      <c r="D53" s="196" t="s">
        <v>17</v>
      </c>
      <c r="E53" s="196" t="s">
        <v>17</v>
      </c>
      <c r="F53" s="196">
        <v>167</v>
      </c>
      <c r="G53" s="197">
        <v>32308</v>
      </c>
      <c r="H53" s="198">
        <f t="shared" si="1"/>
        <v>32</v>
      </c>
      <c r="I53" s="196">
        <v>1</v>
      </c>
      <c r="J53" s="196" t="str">
        <f t="shared" si="3"/>
        <v>prob langue</v>
      </c>
      <c r="O53" s="62" t="str">
        <f t="shared" si="2"/>
        <v>||||||||||||||</v>
      </c>
    </row>
    <row r="54" spans="2:15" ht="15" x14ac:dyDescent="0.2">
      <c r="B54" s="195" t="s">
        <v>2196</v>
      </c>
      <c r="C54" s="195" t="s">
        <v>788</v>
      </c>
      <c r="D54" s="196" t="s">
        <v>17</v>
      </c>
      <c r="E54" s="196" t="s">
        <v>17</v>
      </c>
      <c r="F54" s="196">
        <v>170</v>
      </c>
      <c r="G54" s="197">
        <v>30629</v>
      </c>
      <c r="H54" s="198">
        <f t="shared" si="1"/>
        <v>37</v>
      </c>
      <c r="I54" s="196">
        <v>3</v>
      </c>
      <c r="J54" s="196" t="str">
        <f t="shared" si="3"/>
        <v>prob langue</v>
      </c>
      <c r="O54" s="62" t="str">
        <f t="shared" si="2"/>
        <v>|||||||||</v>
      </c>
    </row>
    <row r="55" spans="2:15" ht="15" x14ac:dyDescent="0.2">
      <c r="B55" s="195" t="s">
        <v>1709</v>
      </c>
      <c r="C55" s="195" t="s">
        <v>2189</v>
      </c>
      <c r="D55" s="196" t="s">
        <v>17</v>
      </c>
      <c r="E55" s="196" t="s">
        <v>17</v>
      </c>
      <c r="F55" s="196">
        <v>181</v>
      </c>
      <c r="G55" s="197">
        <v>22666</v>
      </c>
      <c r="H55" s="198">
        <f t="shared" si="1"/>
        <v>58</v>
      </c>
      <c r="I55" s="196">
        <v>3</v>
      </c>
      <c r="J55" s="196" t="str">
        <f t="shared" si="3"/>
        <v>prob langue</v>
      </c>
      <c r="O55" s="62" t="str">
        <f t="shared" si="2"/>
        <v>||||||||||||||||||||</v>
      </c>
    </row>
    <row r="56" spans="2:15" ht="15" x14ac:dyDescent="0.2">
      <c r="B56" s="195" t="s">
        <v>710</v>
      </c>
      <c r="C56" s="195" t="s">
        <v>2185</v>
      </c>
      <c r="D56" s="196" t="s">
        <v>17</v>
      </c>
      <c r="E56" s="196" t="s">
        <v>17</v>
      </c>
      <c r="F56" s="196">
        <v>158</v>
      </c>
      <c r="G56" s="197">
        <v>23342</v>
      </c>
      <c r="H56" s="198">
        <f t="shared" si="1"/>
        <v>57</v>
      </c>
      <c r="I56" s="196">
        <v>1</v>
      </c>
      <c r="J56" s="196" t="str">
        <f t="shared" si="3"/>
        <v>prob langue</v>
      </c>
      <c r="O56" s="62" t="str">
        <f t="shared" si="2"/>
        <v>|||||||||||||||||||||||||||</v>
      </c>
    </row>
    <row r="57" spans="2:15" ht="15" x14ac:dyDescent="0.2">
      <c r="B57" s="195" t="s">
        <v>501</v>
      </c>
      <c r="C57" s="195" t="s">
        <v>2176</v>
      </c>
      <c r="D57" s="196" t="s">
        <v>17</v>
      </c>
      <c r="E57" s="196" t="s">
        <v>21</v>
      </c>
      <c r="F57" s="196">
        <v>187</v>
      </c>
      <c r="G57" s="197">
        <v>26354</v>
      </c>
      <c r="H57" s="198">
        <f t="shared" si="1"/>
        <v>48</v>
      </c>
      <c r="I57" s="196">
        <v>2</v>
      </c>
      <c r="J57" s="196" t="str">
        <f t="shared" si="3"/>
        <v>prob langue</v>
      </c>
      <c r="O57" s="62" t="str">
        <f t="shared" si="2"/>
        <v>|||||||||||||||||||||||||</v>
      </c>
    </row>
    <row r="58" spans="2:15" ht="15" x14ac:dyDescent="0.2">
      <c r="B58" s="195" t="s">
        <v>2180</v>
      </c>
      <c r="C58" s="195" t="s">
        <v>2176</v>
      </c>
      <c r="D58" s="196" t="s">
        <v>17</v>
      </c>
      <c r="E58" s="196" t="s">
        <v>17</v>
      </c>
      <c r="F58" s="196">
        <v>178</v>
      </c>
      <c r="G58" s="197">
        <v>31771</v>
      </c>
      <c r="H58" s="198">
        <f t="shared" si="1"/>
        <v>34</v>
      </c>
      <c r="I58" s="196">
        <v>1</v>
      </c>
      <c r="J58" s="196" t="str">
        <f t="shared" si="3"/>
        <v>prob langue</v>
      </c>
      <c r="O58" s="62" t="str">
        <f t="shared" si="2"/>
        <v>|||||||||||||||||||||||||</v>
      </c>
    </row>
    <row r="59" spans="2:15" ht="15" x14ac:dyDescent="0.2">
      <c r="B59" s="195" t="s">
        <v>458</v>
      </c>
      <c r="C59" s="195" t="s">
        <v>2173</v>
      </c>
      <c r="D59" s="196" t="s">
        <v>17</v>
      </c>
      <c r="E59" s="196" t="s">
        <v>17</v>
      </c>
      <c r="F59" s="196">
        <v>159</v>
      </c>
      <c r="G59" s="197">
        <v>30613</v>
      </c>
      <c r="H59" s="198">
        <f t="shared" si="1"/>
        <v>37</v>
      </c>
      <c r="I59" s="196">
        <v>3</v>
      </c>
      <c r="J59" s="196" t="str">
        <f t="shared" si="3"/>
        <v>prob langue</v>
      </c>
      <c r="O59" s="62" t="str">
        <f t="shared" si="2"/>
        <v>||||||||||||||||||||||||</v>
      </c>
    </row>
    <row r="60" spans="2:15" ht="15" x14ac:dyDescent="0.2">
      <c r="B60" s="195" t="s">
        <v>448</v>
      </c>
      <c r="C60" s="195" t="s">
        <v>2170</v>
      </c>
      <c r="D60" s="196" t="s">
        <v>157</v>
      </c>
      <c r="E60" s="196" t="s">
        <v>21</v>
      </c>
      <c r="F60" s="196">
        <v>177</v>
      </c>
      <c r="G60" s="197">
        <v>22311</v>
      </c>
      <c r="H60" s="198">
        <f t="shared" si="1"/>
        <v>59</v>
      </c>
      <c r="I60" s="196">
        <v>3</v>
      </c>
      <c r="J60" s="196" t="str">
        <f t="shared" si="3"/>
        <v>prob gender</v>
      </c>
      <c r="O60" s="62" t="str">
        <f t="shared" si="2"/>
        <v>||||||||||||||||||||||||||||||</v>
      </c>
    </row>
    <row r="61" spans="2:15" ht="15" x14ac:dyDescent="0.2">
      <c r="B61" s="195" t="s">
        <v>756</v>
      </c>
      <c r="C61" s="195" t="s">
        <v>2167</v>
      </c>
      <c r="D61" s="196" t="s">
        <v>17</v>
      </c>
      <c r="E61" s="196" t="s">
        <v>21</v>
      </c>
      <c r="F61" s="196">
        <v>166</v>
      </c>
      <c r="G61" s="197">
        <v>27941</v>
      </c>
      <c r="H61" s="198">
        <f t="shared" si="1"/>
        <v>44</v>
      </c>
      <c r="I61" s="196">
        <v>2</v>
      </c>
      <c r="J61" s="196" t="str">
        <f t="shared" si="3"/>
        <v>prob langue</v>
      </c>
      <c r="O61" s="62" t="str">
        <f t="shared" si="2"/>
        <v>||||||||||||||||||||||||||||||</v>
      </c>
    </row>
    <row r="62" spans="2:15" ht="15" x14ac:dyDescent="0.2">
      <c r="B62" s="195" t="s">
        <v>578</v>
      </c>
      <c r="C62" s="195" t="s">
        <v>2165</v>
      </c>
      <c r="D62" s="196" t="s">
        <v>17</v>
      </c>
      <c r="E62" s="196" t="s">
        <v>17</v>
      </c>
      <c r="F62" s="196">
        <v>181</v>
      </c>
      <c r="G62" s="197">
        <v>29668</v>
      </c>
      <c r="H62" s="198">
        <f t="shared" si="1"/>
        <v>39</v>
      </c>
      <c r="I62" s="196">
        <v>3</v>
      </c>
      <c r="J62" s="196" t="str">
        <f t="shared" si="3"/>
        <v>prob langue</v>
      </c>
      <c r="O62" s="62" t="str">
        <f t="shared" si="2"/>
        <v>|||||||||||||||||||||||</v>
      </c>
    </row>
    <row r="63" spans="2:15" ht="15" x14ac:dyDescent="0.2">
      <c r="B63" s="195" t="s">
        <v>2162</v>
      </c>
      <c r="C63" s="195" t="s">
        <v>2161</v>
      </c>
      <c r="D63" s="196" t="s">
        <v>157</v>
      </c>
      <c r="E63" s="196" t="s">
        <v>17</v>
      </c>
      <c r="F63" s="196">
        <v>167</v>
      </c>
      <c r="G63" s="197">
        <v>32148</v>
      </c>
      <c r="H63" s="198">
        <f t="shared" si="1"/>
        <v>32</v>
      </c>
      <c r="I63" s="196">
        <v>1</v>
      </c>
      <c r="J63" s="196" t="str">
        <f t="shared" si="3"/>
        <v>OK</v>
      </c>
      <c r="O63" s="62" t="str">
        <f t="shared" si="2"/>
        <v>||||||</v>
      </c>
    </row>
    <row r="64" spans="2:15" ht="15" x14ac:dyDescent="0.2">
      <c r="B64" s="195" t="s">
        <v>2157</v>
      </c>
      <c r="C64" s="195" t="s">
        <v>2156</v>
      </c>
      <c r="D64" s="196" t="s">
        <v>17</v>
      </c>
      <c r="E64" s="196" t="s">
        <v>17</v>
      </c>
      <c r="F64" s="196">
        <v>155</v>
      </c>
      <c r="G64" s="197">
        <v>33416</v>
      </c>
      <c r="H64" s="198">
        <f t="shared" si="1"/>
        <v>29</v>
      </c>
      <c r="I64" s="196">
        <v>3</v>
      </c>
      <c r="J64" s="196" t="str">
        <f t="shared" si="3"/>
        <v>prob langue</v>
      </c>
      <c r="O64" s="62" t="str">
        <f t="shared" si="2"/>
        <v>|||||||||||||||||||||||||||</v>
      </c>
    </row>
    <row r="65" spans="2:15" ht="15" x14ac:dyDescent="0.2">
      <c r="B65" s="195" t="s">
        <v>198</v>
      </c>
      <c r="C65" s="195" t="s">
        <v>2152</v>
      </c>
      <c r="D65" s="196" t="s">
        <v>157</v>
      </c>
      <c r="E65" s="196" t="s">
        <v>21</v>
      </c>
      <c r="F65" s="196">
        <v>191</v>
      </c>
      <c r="G65" s="197">
        <v>32866</v>
      </c>
      <c r="H65" s="198">
        <f t="shared" si="1"/>
        <v>31</v>
      </c>
      <c r="I65" s="196">
        <v>1</v>
      </c>
      <c r="J65" s="196" t="str">
        <f t="shared" si="3"/>
        <v>prob gender</v>
      </c>
      <c r="O65" s="62" t="str">
        <f t="shared" si="2"/>
        <v>||||||||||||||||||||||||</v>
      </c>
    </row>
    <row r="66" spans="2:15" ht="15" x14ac:dyDescent="0.2">
      <c r="B66" s="195" t="s">
        <v>448</v>
      </c>
      <c r="C66" s="195" t="s">
        <v>2149</v>
      </c>
      <c r="D66" s="196" t="s">
        <v>17</v>
      </c>
      <c r="E66" s="196" t="s">
        <v>21</v>
      </c>
      <c r="F66" s="196">
        <v>167</v>
      </c>
      <c r="G66" s="197">
        <v>33578</v>
      </c>
      <c r="H66" s="198">
        <f t="shared" si="1"/>
        <v>29</v>
      </c>
      <c r="I66" s="196">
        <v>3</v>
      </c>
      <c r="J66" s="196" t="str">
        <f t="shared" si="3"/>
        <v>prob langue</v>
      </c>
      <c r="O66" s="62" t="str">
        <f t="shared" si="2"/>
        <v>||||||</v>
      </c>
    </row>
    <row r="67" spans="2:15" ht="15" x14ac:dyDescent="0.2">
      <c r="B67" s="195" t="s">
        <v>2146</v>
      </c>
      <c r="C67" s="195" t="s">
        <v>2145</v>
      </c>
      <c r="D67" s="196" t="s">
        <v>17</v>
      </c>
      <c r="E67" s="196" t="s">
        <v>21</v>
      </c>
      <c r="F67" s="196">
        <v>155</v>
      </c>
      <c r="G67" s="197">
        <v>26582</v>
      </c>
      <c r="H67" s="198">
        <f t="shared" si="1"/>
        <v>48</v>
      </c>
      <c r="I67" s="196">
        <v>1</v>
      </c>
      <c r="J67" s="196" t="str">
        <f t="shared" si="3"/>
        <v>prob langue</v>
      </c>
      <c r="O67" s="62" t="str">
        <f t="shared" si="2"/>
        <v>||||||||||</v>
      </c>
    </row>
    <row r="68" spans="2:15" ht="15" x14ac:dyDescent="0.2">
      <c r="B68" s="195" t="s">
        <v>2142</v>
      </c>
      <c r="C68" s="195" t="s">
        <v>2141</v>
      </c>
      <c r="D68" s="196" t="s">
        <v>17</v>
      </c>
      <c r="E68" s="196" t="s">
        <v>17</v>
      </c>
      <c r="F68" s="196">
        <v>189</v>
      </c>
      <c r="G68" s="197">
        <v>30457</v>
      </c>
      <c r="H68" s="198">
        <f t="shared" si="1"/>
        <v>37</v>
      </c>
      <c r="I68" s="196">
        <v>1</v>
      </c>
      <c r="J68" s="196" t="str">
        <f t="shared" si="3"/>
        <v>prob langue</v>
      </c>
      <c r="O68" s="62" t="str">
        <f t="shared" si="2"/>
        <v>|||||||||||||||||||||</v>
      </c>
    </row>
    <row r="69" spans="2:15" ht="15" x14ac:dyDescent="0.2">
      <c r="B69" s="195" t="s">
        <v>591</v>
      </c>
      <c r="C69" s="195" t="s">
        <v>2139</v>
      </c>
      <c r="D69" s="196" t="s">
        <v>17</v>
      </c>
      <c r="E69" s="196" t="s">
        <v>17</v>
      </c>
      <c r="F69" s="196">
        <v>158</v>
      </c>
      <c r="G69" s="197">
        <v>23768</v>
      </c>
      <c r="H69" s="198">
        <f t="shared" si="1"/>
        <v>55</v>
      </c>
      <c r="I69" s="196">
        <v>2</v>
      </c>
      <c r="J69" s="196" t="str">
        <f t="shared" si="3"/>
        <v>prob langue</v>
      </c>
      <c r="O69" s="62" t="str">
        <f t="shared" si="2"/>
        <v>||||||||||||||||||||||||||</v>
      </c>
    </row>
    <row r="70" spans="2:15" ht="15" x14ac:dyDescent="0.2">
      <c r="B70" s="195" t="s">
        <v>696</v>
      </c>
      <c r="C70" s="195" t="s">
        <v>2136</v>
      </c>
      <c r="D70" s="196" t="s">
        <v>17</v>
      </c>
      <c r="E70" s="196" t="s">
        <v>21</v>
      </c>
      <c r="F70" s="196">
        <v>180</v>
      </c>
      <c r="G70" s="197">
        <v>23323</v>
      </c>
      <c r="H70" s="198">
        <f t="shared" ref="H70:H133" si="4">ROUNDDOWN(($L$16-G70) /365.25,0)</f>
        <v>57</v>
      </c>
      <c r="I70" s="196">
        <v>1</v>
      </c>
      <c r="J70" s="196" t="str">
        <f t="shared" si="3"/>
        <v>prob langue</v>
      </c>
      <c r="O70" s="62" t="str">
        <f t="shared" ref="O70:O133" si="5">REPT("|",DAY(G70))</f>
        <v>||||||||</v>
      </c>
    </row>
    <row r="71" spans="2:15" ht="15" x14ac:dyDescent="0.2">
      <c r="B71" s="195" t="s">
        <v>186</v>
      </c>
      <c r="C71" s="195" t="s">
        <v>2133</v>
      </c>
      <c r="D71" s="196" t="s">
        <v>17</v>
      </c>
      <c r="E71" s="196" t="s">
        <v>21</v>
      </c>
      <c r="F71" s="196">
        <v>161</v>
      </c>
      <c r="G71" s="197">
        <v>25632</v>
      </c>
      <c r="H71" s="198">
        <f t="shared" si="4"/>
        <v>50</v>
      </c>
      <c r="I71" s="196">
        <v>2</v>
      </c>
      <c r="J71" s="196" t="str">
        <f t="shared" ref="J71:J134" si="6">IF(D71=$L$12,IF(E71=$L$13,IF(F71&gt;=$L$14,IF(H71&lt;=$L$15,IF(I71=1,"OK","prob dispo"),"prob âge"),"prob taille"),"prob gender"),"prob langue")</f>
        <v>prob langue</v>
      </c>
      <c r="O71" s="62" t="str">
        <f t="shared" si="5"/>
        <v>|||||</v>
      </c>
    </row>
    <row r="72" spans="2:15" ht="15" x14ac:dyDescent="0.2">
      <c r="B72" s="195" t="s">
        <v>2131</v>
      </c>
      <c r="C72" s="195" t="s">
        <v>2130</v>
      </c>
      <c r="D72" s="196" t="s">
        <v>17</v>
      </c>
      <c r="E72" s="196" t="s">
        <v>17</v>
      </c>
      <c r="F72" s="196">
        <v>170</v>
      </c>
      <c r="G72" s="197">
        <v>29933</v>
      </c>
      <c r="H72" s="198">
        <f t="shared" si="4"/>
        <v>39</v>
      </c>
      <c r="I72" s="196">
        <v>1</v>
      </c>
      <c r="J72" s="196" t="str">
        <f t="shared" si="6"/>
        <v>prob langue</v>
      </c>
      <c r="O72" s="62" t="str">
        <f t="shared" si="5"/>
        <v>|||||||||||||</v>
      </c>
    </row>
    <row r="73" spans="2:15" ht="15" x14ac:dyDescent="0.2">
      <c r="B73" s="195" t="s">
        <v>149</v>
      </c>
      <c r="C73" s="195" t="s">
        <v>2127</v>
      </c>
      <c r="D73" s="196" t="s">
        <v>17</v>
      </c>
      <c r="E73" s="196" t="s">
        <v>17</v>
      </c>
      <c r="F73" s="196">
        <v>176</v>
      </c>
      <c r="G73" s="197">
        <v>22961</v>
      </c>
      <c r="H73" s="198">
        <f t="shared" si="4"/>
        <v>58</v>
      </c>
      <c r="I73" s="196">
        <v>2</v>
      </c>
      <c r="J73" s="196" t="str">
        <f t="shared" si="6"/>
        <v>prob langue</v>
      </c>
      <c r="O73" s="62" t="str">
        <f t="shared" si="5"/>
        <v>|||||||||||</v>
      </c>
    </row>
    <row r="74" spans="2:15" ht="15" x14ac:dyDescent="0.2">
      <c r="B74" s="195" t="s">
        <v>364</v>
      </c>
      <c r="C74" s="195" t="s">
        <v>2121</v>
      </c>
      <c r="D74" s="196" t="s">
        <v>17</v>
      </c>
      <c r="E74" s="196" t="s">
        <v>21</v>
      </c>
      <c r="F74" s="196">
        <v>155</v>
      </c>
      <c r="G74" s="197">
        <v>24674</v>
      </c>
      <c r="H74" s="198">
        <f t="shared" si="4"/>
        <v>53</v>
      </c>
      <c r="I74" s="196">
        <v>2</v>
      </c>
      <c r="J74" s="196" t="str">
        <f t="shared" si="6"/>
        <v>prob langue</v>
      </c>
      <c r="O74" s="62" t="str">
        <f t="shared" si="5"/>
        <v>|||||||||||||||||||||</v>
      </c>
    </row>
    <row r="75" spans="2:15" ht="15" x14ac:dyDescent="0.2">
      <c r="B75" s="195" t="s">
        <v>2115</v>
      </c>
      <c r="C75" s="195" t="s">
        <v>2114</v>
      </c>
      <c r="D75" s="196" t="s">
        <v>17</v>
      </c>
      <c r="E75" s="196" t="s">
        <v>17</v>
      </c>
      <c r="F75" s="196">
        <v>191</v>
      </c>
      <c r="G75" s="197">
        <v>26009</v>
      </c>
      <c r="H75" s="198">
        <f t="shared" si="4"/>
        <v>49</v>
      </c>
      <c r="I75" s="196">
        <v>2</v>
      </c>
      <c r="J75" s="196" t="str">
        <f t="shared" si="6"/>
        <v>prob langue</v>
      </c>
      <c r="O75" s="62" t="str">
        <f t="shared" si="5"/>
        <v>|||||||||||||||||</v>
      </c>
    </row>
    <row r="76" spans="2:15" ht="15" x14ac:dyDescent="0.2">
      <c r="B76" s="195" t="s">
        <v>443</v>
      </c>
      <c r="C76" s="195" t="s">
        <v>2112</v>
      </c>
      <c r="D76" s="196" t="s">
        <v>157</v>
      </c>
      <c r="E76" s="196" t="s">
        <v>21</v>
      </c>
      <c r="F76" s="196">
        <v>188</v>
      </c>
      <c r="G76" s="197">
        <v>28340</v>
      </c>
      <c r="H76" s="198">
        <f t="shared" si="4"/>
        <v>43</v>
      </c>
      <c r="I76" s="196">
        <v>2</v>
      </c>
      <c r="J76" s="196" t="str">
        <f t="shared" si="6"/>
        <v>prob gender</v>
      </c>
      <c r="O76" s="62" t="str">
        <f t="shared" si="5"/>
        <v>|||</v>
      </c>
    </row>
    <row r="77" spans="2:15" ht="15" x14ac:dyDescent="0.2">
      <c r="B77" s="195" t="s">
        <v>231</v>
      </c>
      <c r="C77" s="195" t="s">
        <v>2109</v>
      </c>
      <c r="D77" s="196" t="s">
        <v>157</v>
      </c>
      <c r="E77" s="196" t="s">
        <v>21</v>
      </c>
      <c r="F77" s="196">
        <v>180</v>
      </c>
      <c r="G77" s="197">
        <v>30690</v>
      </c>
      <c r="H77" s="198">
        <f t="shared" si="4"/>
        <v>36</v>
      </c>
      <c r="I77" s="196">
        <v>1</v>
      </c>
      <c r="J77" s="196" t="str">
        <f t="shared" si="6"/>
        <v>prob gender</v>
      </c>
      <c r="O77" s="62" t="str">
        <f t="shared" si="5"/>
        <v>|||||||||</v>
      </c>
    </row>
    <row r="78" spans="2:15" ht="15" x14ac:dyDescent="0.2">
      <c r="B78" s="195" t="s">
        <v>2107</v>
      </c>
      <c r="C78" s="195" t="s">
        <v>2106</v>
      </c>
      <c r="D78" s="196" t="s">
        <v>17</v>
      </c>
      <c r="E78" s="196" t="s">
        <v>17</v>
      </c>
      <c r="F78" s="196">
        <v>164</v>
      </c>
      <c r="G78" s="197">
        <v>23656</v>
      </c>
      <c r="H78" s="198">
        <f t="shared" si="4"/>
        <v>56</v>
      </c>
      <c r="I78" s="196">
        <v>3</v>
      </c>
      <c r="J78" s="196" t="str">
        <f t="shared" si="6"/>
        <v>prob langue</v>
      </c>
      <c r="O78" s="62" t="str">
        <f t="shared" si="5"/>
        <v>||||||</v>
      </c>
    </row>
    <row r="79" spans="2:15" ht="15" x14ac:dyDescent="0.2">
      <c r="B79" s="195" t="s">
        <v>2103</v>
      </c>
      <c r="C79" s="195" t="s">
        <v>2102</v>
      </c>
      <c r="D79" s="196" t="s">
        <v>17</v>
      </c>
      <c r="E79" s="196" t="s">
        <v>17</v>
      </c>
      <c r="F79" s="196">
        <v>181</v>
      </c>
      <c r="G79" s="197">
        <v>24858</v>
      </c>
      <c r="H79" s="198">
        <f t="shared" si="4"/>
        <v>52</v>
      </c>
      <c r="I79" s="196">
        <v>1</v>
      </c>
      <c r="J79" s="196" t="str">
        <f t="shared" si="6"/>
        <v>prob langue</v>
      </c>
      <c r="O79" s="62" t="str">
        <f t="shared" si="5"/>
        <v>|||||||||||||||||||||</v>
      </c>
    </row>
    <row r="80" spans="2:15" ht="15" x14ac:dyDescent="0.2">
      <c r="B80" s="195" t="s">
        <v>101</v>
      </c>
      <c r="C80" s="195" t="s">
        <v>2099</v>
      </c>
      <c r="D80" s="196" t="s">
        <v>17</v>
      </c>
      <c r="E80" s="196" t="s">
        <v>21</v>
      </c>
      <c r="F80" s="196">
        <v>181</v>
      </c>
      <c r="G80" s="197">
        <v>33798</v>
      </c>
      <c r="H80" s="198">
        <f t="shared" si="4"/>
        <v>28</v>
      </c>
      <c r="I80" s="196">
        <v>2</v>
      </c>
      <c r="J80" s="196" t="str">
        <f t="shared" si="6"/>
        <v>prob langue</v>
      </c>
      <c r="O80" s="62" t="str">
        <f t="shared" si="5"/>
        <v>|||||||||||||</v>
      </c>
    </row>
    <row r="81" spans="2:15" ht="15" x14ac:dyDescent="0.2">
      <c r="B81" s="195" t="s">
        <v>1192</v>
      </c>
      <c r="C81" s="195" t="s">
        <v>2097</v>
      </c>
      <c r="D81" s="196" t="s">
        <v>17</v>
      </c>
      <c r="E81" s="196" t="s">
        <v>17</v>
      </c>
      <c r="F81" s="196">
        <v>156</v>
      </c>
      <c r="G81" s="197">
        <v>30251</v>
      </c>
      <c r="H81" s="198">
        <f t="shared" si="4"/>
        <v>38</v>
      </c>
      <c r="I81" s="196">
        <v>3</v>
      </c>
      <c r="J81" s="196" t="str">
        <f t="shared" si="6"/>
        <v>prob langue</v>
      </c>
      <c r="O81" s="62" t="str">
        <f t="shared" si="5"/>
        <v>|||||||||||||||||||||||||||</v>
      </c>
    </row>
    <row r="82" spans="2:15" ht="15" x14ac:dyDescent="0.2">
      <c r="B82" s="195" t="s">
        <v>2090</v>
      </c>
      <c r="C82" s="195" t="s">
        <v>2089</v>
      </c>
      <c r="D82" s="196" t="s">
        <v>17</v>
      </c>
      <c r="E82" s="196" t="s">
        <v>21</v>
      </c>
      <c r="F82" s="196">
        <v>181</v>
      </c>
      <c r="G82" s="197">
        <v>25106</v>
      </c>
      <c r="H82" s="198">
        <f t="shared" si="4"/>
        <v>52</v>
      </c>
      <c r="I82" s="196">
        <v>1</v>
      </c>
      <c r="J82" s="196" t="str">
        <f t="shared" si="6"/>
        <v>prob langue</v>
      </c>
      <c r="O82" s="62" t="str">
        <f t="shared" si="5"/>
        <v>|||||||||||||||||||||||||</v>
      </c>
    </row>
    <row r="83" spans="2:15" ht="15" x14ac:dyDescent="0.2">
      <c r="B83" s="195" t="s">
        <v>525</v>
      </c>
      <c r="C83" s="195" t="s">
        <v>2086</v>
      </c>
      <c r="D83" s="196" t="s">
        <v>157</v>
      </c>
      <c r="E83" s="196" t="s">
        <v>17</v>
      </c>
      <c r="F83" s="196">
        <v>186</v>
      </c>
      <c r="G83" s="197">
        <v>23307</v>
      </c>
      <c r="H83" s="198">
        <f t="shared" si="4"/>
        <v>57</v>
      </c>
      <c r="I83" s="196">
        <v>3</v>
      </c>
      <c r="J83" s="196" t="str">
        <f t="shared" si="6"/>
        <v>prob âge</v>
      </c>
      <c r="O83" s="62" t="str">
        <f t="shared" si="5"/>
        <v>|||||||||||||||||||||||</v>
      </c>
    </row>
    <row r="84" spans="2:15" ht="15" x14ac:dyDescent="0.2">
      <c r="B84" s="195" t="s">
        <v>875</v>
      </c>
      <c r="C84" s="195" t="s">
        <v>2082</v>
      </c>
      <c r="D84" s="196" t="s">
        <v>157</v>
      </c>
      <c r="E84" s="196" t="s">
        <v>21</v>
      </c>
      <c r="F84" s="196">
        <v>178</v>
      </c>
      <c r="G84" s="197">
        <v>33856</v>
      </c>
      <c r="H84" s="198">
        <f t="shared" si="4"/>
        <v>28</v>
      </c>
      <c r="I84" s="196">
        <v>1</v>
      </c>
      <c r="J84" s="196" t="str">
        <f t="shared" si="6"/>
        <v>prob gender</v>
      </c>
      <c r="O84" s="62" t="str">
        <f t="shared" si="5"/>
        <v>|||||||||</v>
      </c>
    </row>
    <row r="85" spans="2:15" ht="15" x14ac:dyDescent="0.2">
      <c r="B85" s="195" t="s">
        <v>1462</v>
      </c>
      <c r="C85" s="195" t="s">
        <v>2076</v>
      </c>
      <c r="D85" s="196" t="s">
        <v>157</v>
      </c>
      <c r="E85" s="196" t="s">
        <v>21</v>
      </c>
      <c r="F85" s="196">
        <v>179</v>
      </c>
      <c r="G85" s="197">
        <v>28898</v>
      </c>
      <c r="H85" s="198">
        <f t="shared" si="4"/>
        <v>41</v>
      </c>
      <c r="I85" s="196">
        <v>2</v>
      </c>
      <c r="J85" s="196" t="str">
        <f t="shared" si="6"/>
        <v>prob gender</v>
      </c>
      <c r="O85" s="62" t="str">
        <f t="shared" si="5"/>
        <v>||||||||||||</v>
      </c>
    </row>
    <row r="86" spans="2:15" ht="15" x14ac:dyDescent="0.2">
      <c r="B86" s="195" t="s">
        <v>2069</v>
      </c>
      <c r="C86" s="195" t="s">
        <v>2068</v>
      </c>
      <c r="D86" s="196" t="s">
        <v>157</v>
      </c>
      <c r="E86" s="196" t="s">
        <v>21</v>
      </c>
      <c r="F86" s="196">
        <v>166</v>
      </c>
      <c r="G86" s="197">
        <v>26463</v>
      </c>
      <c r="H86" s="198">
        <f t="shared" si="4"/>
        <v>48</v>
      </c>
      <c r="I86" s="196">
        <v>2</v>
      </c>
      <c r="J86" s="196" t="str">
        <f t="shared" si="6"/>
        <v>prob gender</v>
      </c>
      <c r="O86" s="62" t="str">
        <f t="shared" si="5"/>
        <v>|||||||||||||</v>
      </c>
    </row>
    <row r="87" spans="2:15" ht="15" x14ac:dyDescent="0.2">
      <c r="B87" s="195" t="s">
        <v>652</v>
      </c>
      <c r="C87" s="195" t="s">
        <v>2065</v>
      </c>
      <c r="D87" s="196" t="s">
        <v>157</v>
      </c>
      <c r="E87" s="196" t="s">
        <v>17</v>
      </c>
      <c r="F87" s="196">
        <v>165</v>
      </c>
      <c r="G87" s="197">
        <v>24356</v>
      </c>
      <c r="H87" s="198">
        <f t="shared" si="4"/>
        <v>54</v>
      </c>
      <c r="I87" s="196">
        <v>2</v>
      </c>
      <c r="J87" s="196" t="str">
        <f t="shared" si="6"/>
        <v>prob âge</v>
      </c>
      <c r="O87" s="62" t="str">
        <f t="shared" si="5"/>
        <v>||||||</v>
      </c>
    </row>
    <row r="88" spans="2:15" ht="15" x14ac:dyDescent="0.2">
      <c r="B88" s="195" t="s">
        <v>2062</v>
      </c>
      <c r="C88" s="195" t="s">
        <v>2061</v>
      </c>
      <c r="D88" s="196" t="s">
        <v>157</v>
      </c>
      <c r="E88" s="196" t="s">
        <v>17</v>
      </c>
      <c r="F88" s="196">
        <v>168</v>
      </c>
      <c r="G88" s="197">
        <v>24741</v>
      </c>
      <c r="H88" s="198">
        <f t="shared" si="4"/>
        <v>53</v>
      </c>
      <c r="I88" s="196">
        <v>2</v>
      </c>
      <c r="J88" s="196" t="str">
        <f t="shared" si="6"/>
        <v>prob âge</v>
      </c>
      <c r="O88" s="62" t="str">
        <f t="shared" si="5"/>
        <v>||||||||||||||||||||||||||</v>
      </c>
    </row>
    <row r="89" spans="2:15" ht="15" x14ac:dyDescent="0.2">
      <c r="B89" s="195" t="s">
        <v>2057</v>
      </c>
      <c r="C89" s="195" t="s">
        <v>2056</v>
      </c>
      <c r="D89" s="196" t="s">
        <v>17</v>
      </c>
      <c r="E89" s="196" t="s">
        <v>17</v>
      </c>
      <c r="F89" s="196">
        <v>168</v>
      </c>
      <c r="G89" s="197">
        <v>30982</v>
      </c>
      <c r="H89" s="198">
        <f t="shared" si="4"/>
        <v>36</v>
      </c>
      <c r="I89" s="196">
        <v>3</v>
      </c>
      <c r="J89" s="196" t="str">
        <f t="shared" si="6"/>
        <v>prob langue</v>
      </c>
      <c r="O89" s="62" t="str">
        <f t="shared" si="5"/>
        <v>|||||||||||||||||||||||||||</v>
      </c>
    </row>
    <row r="90" spans="2:15" ht="15" x14ac:dyDescent="0.2">
      <c r="B90" s="195" t="s">
        <v>2052</v>
      </c>
      <c r="C90" s="195" t="s">
        <v>2051</v>
      </c>
      <c r="D90" s="196" t="s">
        <v>157</v>
      </c>
      <c r="E90" s="196" t="s">
        <v>21</v>
      </c>
      <c r="F90" s="196">
        <v>161</v>
      </c>
      <c r="G90" s="197">
        <v>34316</v>
      </c>
      <c r="H90" s="198">
        <f t="shared" si="4"/>
        <v>27</v>
      </c>
      <c r="I90" s="196">
        <v>2</v>
      </c>
      <c r="J90" s="196" t="str">
        <f t="shared" si="6"/>
        <v>prob gender</v>
      </c>
      <c r="O90" s="62" t="str">
        <f t="shared" si="5"/>
        <v>|||||||||||||</v>
      </c>
    </row>
    <row r="91" spans="2:15" ht="15" x14ac:dyDescent="0.2">
      <c r="B91" s="195" t="s">
        <v>2046</v>
      </c>
      <c r="C91" s="195" t="s">
        <v>2045</v>
      </c>
      <c r="D91" s="196" t="s">
        <v>157</v>
      </c>
      <c r="E91" s="196" t="s">
        <v>17</v>
      </c>
      <c r="F91" s="196">
        <v>190</v>
      </c>
      <c r="G91" s="197">
        <v>31990</v>
      </c>
      <c r="H91" s="198">
        <f t="shared" si="4"/>
        <v>33</v>
      </c>
      <c r="I91" s="196">
        <v>1</v>
      </c>
      <c r="J91" s="196" t="str">
        <f t="shared" si="6"/>
        <v>OK</v>
      </c>
      <c r="O91" s="62" t="str">
        <f t="shared" si="5"/>
        <v>|</v>
      </c>
    </row>
    <row r="92" spans="2:15" ht="15" x14ac:dyDescent="0.2">
      <c r="B92" s="195" t="s">
        <v>93</v>
      </c>
      <c r="C92" s="195" t="s">
        <v>2042</v>
      </c>
      <c r="D92" s="196" t="s">
        <v>157</v>
      </c>
      <c r="E92" s="196" t="s">
        <v>21</v>
      </c>
      <c r="F92" s="196">
        <v>179</v>
      </c>
      <c r="G92" s="197">
        <v>26059</v>
      </c>
      <c r="H92" s="198">
        <f t="shared" si="4"/>
        <v>49</v>
      </c>
      <c r="I92" s="196">
        <v>1</v>
      </c>
      <c r="J92" s="196" t="str">
        <f t="shared" si="6"/>
        <v>prob gender</v>
      </c>
      <c r="O92" s="62" t="str">
        <f t="shared" si="5"/>
        <v>||||||</v>
      </c>
    </row>
    <row r="93" spans="2:15" ht="15" x14ac:dyDescent="0.2">
      <c r="B93" s="195" t="s">
        <v>821</v>
      </c>
      <c r="C93" s="195" t="s">
        <v>2035</v>
      </c>
      <c r="D93" s="196" t="s">
        <v>157</v>
      </c>
      <c r="E93" s="196" t="s">
        <v>21</v>
      </c>
      <c r="F93" s="196">
        <v>194</v>
      </c>
      <c r="G93" s="197">
        <v>34136</v>
      </c>
      <c r="H93" s="198">
        <f t="shared" si="4"/>
        <v>27</v>
      </c>
      <c r="I93" s="196">
        <v>1</v>
      </c>
      <c r="J93" s="196" t="str">
        <f t="shared" si="6"/>
        <v>prob gender</v>
      </c>
      <c r="O93" s="62" t="str">
        <f t="shared" si="5"/>
        <v>||||||||||||||||</v>
      </c>
    </row>
    <row r="94" spans="2:15" ht="15" x14ac:dyDescent="0.2">
      <c r="B94" s="195" t="s">
        <v>1432</v>
      </c>
      <c r="C94" s="195" t="s">
        <v>2032</v>
      </c>
      <c r="D94" s="196" t="s">
        <v>157</v>
      </c>
      <c r="E94" s="196" t="s">
        <v>17</v>
      </c>
      <c r="F94" s="196">
        <v>169</v>
      </c>
      <c r="G94" s="197">
        <v>30142</v>
      </c>
      <c r="H94" s="198">
        <f t="shared" si="4"/>
        <v>38</v>
      </c>
      <c r="I94" s="196">
        <v>3</v>
      </c>
      <c r="J94" s="196" t="str">
        <f t="shared" si="6"/>
        <v>prob dispo</v>
      </c>
      <c r="O94" s="62" t="str">
        <f t="shared" si="5"/>
        <v>||||||||||</v>
      </c>
    </row>
    <row r="95" spans="2:15" ht="15" x14ac:dyDescent="0.2">
      <c r="B95" s="195" t="s">
        <v>81</v>
      </c>
      <c r="C95" s="195" t="s">
        <v>2029</v>
      </c>
      <c r="D95" s="196" t="s">
        <v>157</v>
      </c>
      <c r="E95" s="196" t="s">
        <v>21</v>
      </c>
      <c r="F95" s="196">
        <v>169</v>
      </c>
      <c r="G95" s="197">
        <v>29854</v>
      </c>
      <c r="H95" s="198">
        <f t="shared" si="4"/>
        <v>39</v>
      </c>
      <c r="I95" s="196">
        <v>3</v>
      </c>
      <c r="J95" s="196" t="str">
        <f t="shared" si="6"/>
        <v>prob gender</v>
      </c>
      <c r="O95" s="62" t="str">
        <f t="shared" si="5"/>
        <v>|||||||||||||||||||||||||</v>
      </c>
    </row>
    <row r="96" spans="2:15" ht="15" x14ac:dyDescent="0.2">
      <c r="B96" s="195" t="s">
        <v>652</v>
      </c>
      <c r="C96" s="195" t="s">
        <v>2026</v>
      </c>
      <c r="D96" s="196" t="s">
        <v>17</v>
      </c>
      <c r="E96" s="196" t="s">
        <v>17</v>
      </c>
      <c r="F96" s="196">
        <v>168</v>
      </c>
      <c r="G96" s="197">
        <v>22436</v>
      </c>
      <c r="H96" s="198">
        <f t="shared" si="4"/>
        <v>59</v>
      </c>
      <c r="I96" s="196">
        <v>1</v>
      </c>
      <c r="J96" s="196" t="str">
        <f t="shared" si="6"/>
        <v>prob langue</v>
      </c>
      <c r="O96" s="62" t="str">
        <f t="shared" si="5"/>
        <v>||||</v>
      </c>
    </row>
    <row r="97" spans="2:15" ht="15" x14ac:dyDescent="0.2">
      <c r="B97" s="195" t="s">
        <v>968</v>
      </c>
      <c r="C97" s="195" t="s">
        <v>2023</v>
      </c>
      <c r="D97" s="196" t="s">
        <v>17</v>
      </c>
      <c r="E97" s="196" t="s">
        <v>21</v>
      </c>
      <c r="F97" s="196">
        <v>156</v>
      </c>
      <c r="G97" s="197">
        <v>28951</v>
      </c>
      <c r="H97" s="198">
        <f t="shared" si="4"/>
        <v>41</v>
      </c>
      <c r="I97" s="196">
        <v>2</v>
      </c>
      <c r="J97" s="196" t="str">
        <f t="shared" si="6"/>
        <v>prob langue</v>
      </c>
      <c r="O97" s="62" t="str">
        <f t="shared" si="5"/>
        <v>||||||</v>
      </c>
    </row>
    <row r="98" spans="2:15" ht="15" x14ac:dyDescent="0.2">
      <c r="B98" s="195" t="s">
        <v>1117</v>
      </c>
      <c r="C98" s="195" t="s">
        <v>2019</v>
      </c>
      <c r="D98" s="196" t="s">
        <v>157</v>
      </c>
      <c r="E98" s="196" t="s">
        <v>17</v>
      </c>
      <c r="F98" s="196">
        <v>190</v>
      </c>
      <c r="G98" s="197">
        <v>24264</v>
      </c>
      <c r="H98" s="198">
        <f t="shared" si="4"/>
        <v>54</v>
      </c>
      <c r="I98" s="196">
        <v>3</v>
      </c>
      <c r="J98" s="196" t="str">
        <f t="shared" si="6"/>
        <v>prob âge</v>
      </c>
      <c r="O98" s="62" t="str">
        <f t="shared" si="5"/>
        <v>||||||</v>
      </c>
    </row>
    <row r="99" spans="2:15" ht="15" x14ac:dyDescent="0.2">
      <c r="B99" s="195" t="s">
        <v>70</v>
      </c>
      <c r="C99" s="195" t="s">
        <v>2015</v>
      </c>
      <c r="D99" s="196" t="s">
        <v>157</v>
      </c>
      <c r="E99" s="196" t="s">
        <v>21</v>
      </c>
      <c r="F99" s="196">
        <v>169</v>
      </c>
      <c r="G99" s="197">
        <v>24725</v>
      </c>
      <c r="H99" s="198">
        <f t="shared" si="4"/>
        <v>53</v>
      </c>
      <c r="I99" s="196">
        <v>2</v>
      </c>
      <c r="J99" s="196" t="str">
        <f t="shared" si="6"/>
        <v>prob gender</v>
      </c>
      <c r="O99" s="62" t="str">
        <f t="shared" si="5"/>
        <v>||||||||||</v>
      </c>
    </row>
    <row r="100" spans="2:15" ht="15" x14ac:dyDescent="0.2">
      <c r="B100" s="195" t="s">
        <v>60</v>
      </c>
      <c r="C100" s="195" t="s">
        <v>2011</v>
      </c>
      <c r="D100" s="196" t="s">
        <v>157</v>
      </c>
      <c r="E100" s="196" t="s">
        <v>21</v>
      </c>
      <c r="F100" s="196">
        <v>162</v>
      </c>
      <c r="G100" s="197">
        <v>26648</v>
      </c>
      <c r="H100" s="198">
        <f t="shared" si="4"/>
        <v>48</v>
      </c>
      <c r="I100" s="196">
        <v>2</v>
      </c>
      <c r="J100" s="196" t="str">
        <f t="shared" si="6"/>
        <v>prob gender</v>
      </c>
      <c r="O100" s="62" t="str">
        <f t="shared" si="5"/>
        <v>|||||||||||||||</v>
      </c>
    </row>
    <row r="101" spans="2:15" ht="15" x14ac:dyDescent="0.2">
      <c r="B101" s="195" t="s">
        <v>1597</v>
      </c>
      <c r="C101" s="195" t="s">
        <v>2005</v>
      </c>
      <c r="D101" s="196" t="s">
        <v>157</v>
      </c>
      <c r="E101" s="196" t="s">
        <v>17</v>
      </c>
      <c r="F101" s="196">
        <v>156</v>
      </c>
      <c r="G101" s="197">
        <v>30732</v>
      </c>
      <c r="H101" s="198">
        <f t="shared" si="4"/>
        <v>36</v>
      </c>
      <c r="I101" s="196">
        <v>3</v>
      </c>
      <c r="J101" s="196" t="str">
        <f t="shared" si="6"/>
        <v>prob taille</v>
      </c>
      <c r="O101" s="62" t="str">
        <f t="shared" si="5"/>
        <v>||||||||||||||||||||</v>
      </c>
    </row>
    <row r="102" spans="2:15" ht="15" x14ac:dyDescent="0.2">
      <c r="B102" s="195" t="s">
        <v>714</v>
      </c>
      <c r="C102" s="195" t="s">
        <v>2001</v>
      </c>
      <c r="D102" s="196" t="s">
        <v>157</v>
      </c>
      <c r="E102" s="196" t="s">
        <v>17</v>
      </c>
      <c r="F102" s="196">
        <v>176</v>
      </c>
      <c r="G102" s="197">
        <v>33039</v>
      </c>
      <c r="H102" s="198">
        <f t="shared" si="4"/>
        <v>30</v>
      </c>
      <c r="I102" s="196">
        <v>1</v>
      </c>
      <c r="J102" s="196" t="str">
        <f t="shared" si="6"/>
        <v>OK</v>
      </c>
      <c r="O102" s="62" t="str">
        <f t="shared" si="5"/>
        <v>|||||||||||||||</v>
      </c>
    </row>
    <row r="103" spans="2:15" ht="15" x14ac:dyDescent="0.2">
      <c r="B103" s="195" t="s">
        <v>549</v>
      </c>
      <c r="C103" s="195" t="s">
        <v>1995</v>
      </c>
      <c r="D103" s="196" t="s">
        <v>17</v>
      </c>
      <c r="E103" s="196" t="s">
        <v>17</v>
      </c>
      <c r="F103" s="196">
        <v>188</v>
      </c>
      <c r="G103" s="197">
        <v>31002</v>
      </c>
      <c r="H103" s="198">
        <f t="shared" si="4"/>
        <v>36</v>
      </c>
      <c r="I103" s="196">
        <v>2</v>
      </c>
      <c r="J103" s="196" t="str">
        <f t="shared" si="6"/>
        <v>prob langue</v>
      </c>
      <c r="O103" s="62" t="str">
        <f t="shared" si="5"/>
        <v>||||||||||||||||</v>
      </c>
    </row>
    <row r="104" spans="2:15" ht="15" x14ac:dyDescent="0.2">
      <c r="B104" s="195" t="s">
        <v>1991</v>
      </c>
      <c r="C104" s="195" t="s">
        <v>1990</v>
      </c>
      <c r="D104" s="196" t="s">
        <v>157</v>
      </c>
      <c r="E104" s="196" t="s">
        <v>17</v>
      </c>
      <c r="F104" s="196">
        <v>170</v>
      </c>
      <c r="G104" s="197">
        <v>26614</v>
      </c>
      <c r="H104" s="198">
        <f t="shared" si="4"/>
        <v>48</v>
      </c>
      <c r="I104" s="196">
        <v>3</v>
      </c>
      <c r="J104" s="196" t="str">
        <f t="shared" si="6"/>
        <v>prob âge</v>
      </c>
      <c r="O104" s="62" t="str">
        <f t="shared" si="5"/>
        <v>|||||||||||</v>
      </c>
    </row>
    <row r="105" spans="2:15" ht="15" x14ac:dyDescent="0.2">
      <c r="B105" s="195" t="s">
        <v>1987</v>
      </c>
      <c r="C105" s="195" t="s">
        <v>1986</v>
      </c>
      <c r="D105" s="196" t="s">
        <v>157</v>
      </c>
      <c r="E105" s="196" t="s">
        <v>21</v>
      </c>
      <c r="F105" s="196">
        <v>157</v>
      </c>
      <c r="G105" s="197">
        <v>25172</v>
      </c>
      <c r="H105" s="198">
        <f t="shared" si="4"/>
        <v>52</v>
      </c>
      <c r="I105" s="196">
        <v>1</v>
      </c>
      <c r="J105" s="196" t="str">
        <f t="shared" si="6"/>
        <v>prob gender</v>
      </c>
      <c r="O105" s="62" t="str">
        <f t="shared" si="5"/>
        <v>||||||||||||||||||||||||||||||</v>
      </c>
    </row>
    <row r="106" spans="2:15" ht="15" x14ac:dyDescent="0.2">
      <c r="B106" s="195" t="s">
        <v>671</v>
      </c>
      <c r="C106" s="195" t="s">
        <v>1983</v>
      </c>
      <c r="D106" s="196" t="s">
        <v>17</v>
      </c>
      <c r="E106" s="196" t="s">
        <v>21</v>
      </c>
      <c r="F106" s="196">
        <v>179</v>
      </c>
      <c r="G106" s="197">
        <v>22546</v>
      </c>
      <c r="H106" s="198">
        <f t="shared" si="4"/>
        <v>59</v>
      </c>
      <c r="I106" s="196">
        <v>2</v>
      </c>
      <c r="J106" s="196" t="str">
        <f t="shared" si="6"/>
        <v>prob langue</v>
      </c>
      <c r="O106" s="62" t="str">
        <f t="shared" si="5"/>
        <v>||||||||||||||||||||||</v>
      </c>
    </row>
    <row r="107" spans="2:15" ht="15" x14ac:dyDescent="0.2">
      <c r="B107" s="195" t="s">
        <v>202</v>
      </c>
      <c r="C107" s="195" t="s">
        <v>1975</v>
      </c>
      <c r="D107" s="196" t="s">
        <v>157</v>
      </c>
      <c r="E107" s="196" t="s">
        <v>21</v>
      </c>
      <c r="F107" s="196">
        <v>178</v>
      </c>
      <c r="G107" s="197">
        <v>33424</v>
      </c>
      <c r="H107" s="198">
        <f t="shared" si="4"/>
        <v>29</v>
      </c>
      <c r="I107" s="196">
        <v>1</v>
      </c>
      <c r="J107" s="196" t="str">
        <f t="shared" si="6"/>
        <v>prob gender</v>
      </c>
      <c r="O107" s="62" t="str">
        <f t="shared" si="5"/>
        <v>|||||</v>
      </c>
    </row>
    <row r="108" spans="2:15" ht="15" x14ac:dyDescent="0.2">
      <c r="B108" s="195" t="s">
        <v>364</v>
      </c>
      <c r="C108" s="195" t="s">
        <v>1970</v>
      </c>
      <c r="D108" s="196" t="s">
        <v>157</v>
      </c>
      <c r="E108" s="196" t="s">
        <v>21</v>
      </c>
      <c r="F108" s="196">
        <v>174</v>
      </c>
      <c r="G108" s="197">
        <v>22320</v>
      </c>
      <c r="H108" s="198">
        <f t="shared" si="4"/>
        <v>59</v>
      </c>
      <c r="I108" s="196">
        <v>2</v>
      </c>
      <c r="J108" s="196" t="str">
        <f t="shared" si="6"/>
        <v>prob gender</v>
      </c>
      <c r="O108" s="62" t="str">
        <f t="shared" si="5"/>
        <v>||||||||</v>
      </c>
    </row>
    <row r="109" spans="2:15" ht="15" x14ac:dyDescent="0.2">
      <c r="B109" s="195" t="s">
        <v>469</v>
      </c>
      <c r="C109" s="195" t="s">
        <v>1970</v>
      </c>
      <c r="D109" s="196" t="s">
        <v>17</v>
      </c>
      <c r="E109" s="196" t="s">
        <v>21</v>
      </c>
      <c r="F109" s="196">
        <v>184</v>
      </c>
      <c r="G109" s="197">
        <v>28128</v>
      </c>
      <c r="H109" s="198">
        <f t="shared" si="4"/>
        <v>43</v>
      </c>
      <c r="I109" s="196">
        <v>1</v>
      </c>
      <c r="J109" s="196" t="str">
        <f t="shared" si="6"/>
        <v>prob langue</v>
      </c>
      <c r="O109" s="62" t="str">
        <f t="shared" si="5"/>
        <v>|||</v>
      </c>
    </row>
    <row r="110" spans="2:15" ht="15" x14ac:dyDescent="0.2">
      <c r="B110" s="195" t="s">
        <v>98</v>
      </c>
      <c r="C110" s="195" t="s">
        <v>1967</v>
      </c>
      <c r="D110" s="196" t="s">
        <v>17</v>
      </c>
      <c r="E110" s="196" t="s">
        <v>21</v>
      </c>
      <c r="F110" s="196">
        <v>189</v>
      </c>
      <c r="G110" s="197">
        <v>23972</v>
      </c>
      <c r="H110" s="198">
        <f t="shared" si="4"/>
        <v>55</v>
      </c>
      <c r="I110" s="196">
        <v>3</v>
      </c>
      <c r="J110" s="196" t="str">
        <f t="shared" si="6"/>
        <v>prob langue</v>
      </c>
      <c r="O110" s="62" t="str">
        <f t="shared" si="5"/>
        <v>||||||||||||||||||</v>
      </c>
    </row>
    <row r="111" spans="2:15" ht="15" x14ac:dyDescent="0.2">
      <c r="B111" s="195" t="s">
        <v>1964</v>
      </c>
      <c r="C111" s="195" t="s">
        <v>1963</v>
      </c>
      <c r="D111" s="196" t="s">
        <v>157</v>
      </c>
      <c r="E111" s="196" t="s">
        <v>17</v>
      </c>
      <c r="F111" s="196">
        <v>158</v>
      </c>
      <c r="G111" s="197">
        <v>31635</v>
      </c>
      <c r="H111" s="198">
        <f t="shared" si="4"/>
        <v>34</v>
      </c>
      <c r="I111" s="196">
        <v>3</v>
      </c>
      <c r="J111" s="196" t="str">
        <f t="shared" si="6"/>
        <v>prob taille</v>
      </c>
      <c r="O111" s="62" t="str">
        <f t="shared" si="5"/>
        <v>|||||||||||</v>
      </c>
    </row>
    <row r="112" spans="2:15" ht="15" x14ac:dyDescent="0.2">
      <c r="B112" s="195" t="s">
        <v>591</v>
      </c>
      <c r="C112" s="195" t="s">
        <v>1960</v>
      </c>
      <c r="D112" s="196" t="s">
        <v>17</v>
      </c>
      <c r="E112" s="196" t="s">
        <v>17</v>
      </c>
      <c r="F112" s="196">
        <v>171</v>
      </c>
      <c r="G112" s="197">
        <v>23578</v>
      </c>
      <c r="H112" s="198">
        <f t="shared" si="4"/>
        <v>56</v>
      </c>
      <c r="I112" s="196">
        <v>2</v>
      </c>
      <c r="J112" s="196" t="str">
        <f t="shared" si="6"/>
        <v>prob langue</v>
      </c>
      <c r="O112" s="62" t="str">
        <f t="shared" si="5"/>
        <v>||||||||||||||||||||</v>
      </c>
    </row>
    <row r="113" spans="2:15" ht="15" x14ac:dyDescent="0.2">
      <c r="B113" s="195" t="s">
        <v>1956</v>
      </c>
      <c r="C113" s="195" t="s">
        <v>1955</v>
      </c>
      <c r="D113" s="196" t="s">
        <v>157</v>
      </c>
      <c r="E113" s="196" t="s">
        <v>17</v>
      </c>
      <c r="F113" s="196">
        <v>186</v>
      </c>
      <c r="G113" s="197">
        <v>21736</v>
      </c>
      <c r="H113" s="198">
        <f t="shared" si="4"/>
        <v>61</v>
      </c>
      <c r="I113" s="196">
        <v>3</v>
      </c>
      <c r="J113" s="196" t="str">
        <f t="shared" si="6"/>
        <v>prob âge</v>
      </c>
      <c r="O113" s="62" t="str">
        <f t="shared" si="5"/>
        <v>|||||</v>
      </c>
    </row>
    <row r="114" spans="2:15" ht="15" x14ac:dyDescent="0.2">
      <c r="B114" s="195" t="s">
        <v>64</v>
      </c>
      <c r="C114" s="195" t="s">
        <v>1952</v>
      </c>
      <c r="D114" s="196" t="s">
        <v>157</v>
      </c>
      <c r="E114" s="196" t="s">
        <v>17</v>
      </c>
      <c r="F114" s="196">
        <v>160</v>
      </c>
      <c r="G114" s="197">
        <v>22542</v>
      </c>
      <c r="H114" s="198">
        <f t="shared" si="4"/>
        <v>59</v>
      </c>
      <c r="I114" s="196">
        <v>2</v>
      </c>
      <c r="J114" s="196" t="str">
        <f t="shared" si="6"/>
        <v>prob taille</v>
      </c>
      <c r="O114" s="62" t="str">
        <f t="shared" si="5"/>
        <v>||||||||||||||||||</v>
      </c>
    </row>
    <row r="115" spans="2:15" ht="15" x14ac:dyDescent="0.2">
      <c r="B115" s="195" t="s">
        <v>65</v>
      </c>
      <c r="C115" s="195" t="s">
        <v>1945</v>
      </c>
      <c r="D115" s="196" t="s">
        <v>17</v>
      </c>
      <c r="E115" s="196" t="s">
        <v>17</v>
      </c>
      <c r="F115" s="196">
        <v>158</v>
      </c>
      <c r="G115" s="197">
        <v>22484</v>
      </c>
      <c r="H115" s="198">
        <f t="shared" si="4"/>
        <v>59</v>
      </c>
      <c r="I115" s="196">
        <v>1</v>
      </c>
      <c r="J115" s="196" t="str">
        <f t="shared" si="6"/>
        <v>prob langue</v>
      </c>
      <c r="O115" s="62" t="str">
        <f t="shared" si="5"/>
        <v>||||||||||||||||||||||</v>
      </c>
    </row>
    <row r="116" spans="2:15" ht="15" x14ac:dyDescent="0.2">
      <c r="B116" s="195" t="s">
        <v>647</v>
      </c>
      <c r="C116" s="195" t="s">
        <v>1945</v>
      </c>
      <c r="D116" s="196" t="s">
        <v>17</v>
      </c>
      <c r="E116" s="196" t="s">
        <v>21</v>
      </c>
      <c r="F116" s="196">
        <v>157</v>
      </c>
      <c r="G116" s="197">
        <v>25268</v>
      </c>
      <c r="H116" s="198">
        <f t="shared" si="4"/>
        <v>51</v>
      </c>
      <c r="I116" s="196">
        <v>2</v>
      </c>
      <c r="J116" s="196" t="str">
        <f t="shared" si="6"/>
        <v>prob langue</v>
      </c>
      <c r="O116" s="62" t="str">
        <f t="shared" si="5"/>
        <v>||||||</v>
      </c>
    </row>
    <row r="117" spans="2:15" ht="15" x14ac:dyDescent="0.2">
      <c r="B117" s="195" t="s">
        <v>81</v>
      </c>
      <c r="C117" s="195" t="s">
        <v>1940</v>
      </c>
      <c r="D117" s="196" t="s">
        <v>157</v>
      </c>
      <c r="E117" s="196" t="s">
        <v>21</v>
      </c>
      <c r="F117" s="196">
        <v>159</v>
      </c>
      <c r="G117" s="197">
        <v>24292</v>
      </c>
      <c r="H117" s="198">
        <f t="shared" si="4"/>
        <v>54</v>
      </c>
      <c r="I117" s="196">
        <v>3</v>
      </c>
      <c r="J117" s="196" t="str">
        <f t="shared" si="6"/>
        <v>prob gender</v>
      </c>
      <c r="O117" s="62" t="str">
        <f t="shared" si="5"/>
        <v>||||</v>
      </c>
    </row>
    <row r="118" spans="2:15" ht="15" x14ac:dyDescent="0.2">
      <c r="B118" s="195" t="s">
        <v>938</v>
      </c>
      <c r="C118" s="195" t="s">
        <v>1936</v>
      </c>
      <c r="D118" s="196" t="s">
        <v>157</v>
      </c>
      <c r="E118" s="196" t="s">
        <v>17</v>
      </c>
      <c r="F118" s="196">
        <v>166</v>
      </c>
      <c r="G118" s="197">
        <v>25756</v>
      </c>
      <c r="H118" s="198">
        <f t="shared" si="4"/>
        <v>50</v>
      </c>
      <c r="I118" s="196">
        <v>1</v>
      </c>
      <c r="J118" s="196" t="str">
        <f t="shared" si="6"/>
        <v>prob âge</v>
      </c>
      <c r="O118" s="62" t="str">
        <f t="shared" si="5"/>
        <v>|||||||</v>
      </c>
    </row>
    <row r="119" spans="2:15" ht="15" x14ac:dyDescent="0.2">
      <c r="B119" s="195" t="s">
        <v>1149</v>
      </c>
      <c r="C119" s="195" t="s">
        <v>1932</v>
      </c>
      <c r="D119" s="196" t="s">
        <v>157</v>
      </c>
      <c r="E119" s="196" t="s">
        <v>21</v>
      </c>
      <c r="F119" s="196">
        <v>183</v>
      </c>
      <c r="G119" s="197">
        <v>27368</v>
      </c>
      <c r="H119" s="198">
        <f t="shared" si="4"/>
        <v>46</v>
      </c>
      <c r="I119" s="196">
        <v>3</v>
      </c>
      <c r="J119" s="196" t="str">
        <f t="shared" si="6"/>
        <v>prob gender</v>
      </c>
      <c r="O119" s="62" t="str">
        <f t="shared" si="5"/>
        <v>|||||</v>
      </c>
    </row>
    <row r="120" spans="2:15" ht="15" x14ac:dyDescent="0.2">
      <c r="B120" s="195" t="s">
        <v>710</v>
      </c>
      <c r="C120" s="195" t="s">
        <v>1930</v>
      </c>
      <c r="D120" s="196" t="s">
        <v>17</v>
      </c>
      <c r="E120" s="196" t="s">
        <v>17</v>
      </c>
      <c r="F120" s="196">
        <v>169</v>
      </c>
      <c r="G120" s="197">
        <v>28750</v>
      </c>
      <c r="H120" s="198">
        <f t="shared" si="4"/>
        <v>42</v>
      </c>
      <c r="I120" s="196">
        <v>3</v>
      </c>
      <c r="J120" s="196" t="str">
        <f t="shared" si="6"/>
        <v>prob langue</v>
      </c>
      <c r="O120" s="62" t="str">
        <f t="shared" si="5"/>
        <v>|||||||||||||||||</v>
      </c>
    </row>
    <row r="121" spans="2:15" ht="15" x14ac:dyDescent="0.2">
      <c r="B121" s="195" t="s">
        <v>81</v>
      </c>
      <c r="C121" s="195" t="s">
        <v>1927</v>
      </c>
      <c r="D121" s="196" t="s">
        <v>17</v>
      </c>
      <c r="E121" s="196" t="s">
        <v>21</v>
      </c>
      <c r="F121" s="196">
        <v>177</v>
      </c>
      <c r="G121" s="197">
        <v>28484</v>
      </c>
      <c r="H121" s="198">
        <f t="shared" si="4"/>
        <v>43</v>
      </c>
      <c r="I121" s="196">
        <v>2</v>
      </c>
      <c r="J121" s="196" t="str">
        <f t="shared" si="6"/>
        <v>prob langue</v>
      </c>
      <c r="O121" s="62" t="str">
        <f t="shared" si="5"/>
        <v>|||||||||||||||||||||||||</v>
      </c>
    </row>
    <row r="122" spans="2:15" ht="15" x14ac:dyDescent="0.2">
      <c r="B122" s="195" t="s">
        <v>1921</v>
      </c>
      <c r="C122" s="195" t="s">
        <v>1920</v>
      </c>
      <c r="D122" s="196" t="s">
        <v>17</v>
      </c>
      <c r="E122" s="196" t="s">
        <v>17</v>
      </c>
      <c r="F122" s="196">
        <v>160</v>
      </c>
      <c r="G122" s="197">
        <v>26501</v>
      </c>
      <c r="H122" s="198">
        <f t="shared" si="4"/>
        <v>48</v>
      </c>
      <c r="I122" s="196">
        <v>3</v>
      </c>
      <c r="J122" s="196" t="str">
        <f t="shared" si="6"/>
        <v>prob langue</v>
      </c>
      <c r="O122" s="62" t="str">
        <f t="shared" si="5"/>
        <v>|||||||||||||||||||||</v>
      </c>
    </row>
    <row r="123" spans="2:15" ht="15" x14ac:dyDescent="0.2">
      <c r="B123" s="195" t="s">
        <v>535</v>
      </c>
      <c r="C123" s="195" t="s">
        <v>1918</v>
      </c>
      <c r="D123" s="196" t="s">
        <v>157</v>
      </c>
      <c r="E123" s="196" t="s">
        <v>21</v>
      </c>
      <c r="F123" s="196">
        <v>191</v>
      </c>
      <c r="G123" s="197">
        <v>33636</v>
      </c>
      <c r="H123" s="198">
        <f t="shared" si="4"/>
        <v>28</v>
      </c>
      <c r="I123" s="196">
        <v>1</v>
      </c>
      <c r="J123" s="196" t="str">
        <f t="shared" si="6"/>
        <v>prob gender</v>
      </c>
      <c r="O123" s="62" t="str">
        <f t="shared" si="5"/>
        <v>||</v>
      </c>
    </row>
    <row r="124" spans="2:15" ht="15" x14ac:dyDescent="0.2">
      <c r="B124" s="195" t="s">
        <v>341</v>
      </c>
      <c r="C124" s="195" t="s">
        <v>1916</v>
      </c>
      <c r="D124" s="196" t="s">
        <v>157</v>
      </c>
      <c r="E124" s="196" t="s">
        <v>17</v>
      </c>
      <c r="F124" s="196">
        <v>173</v>
      </c>
      <c r="G124" s="197">
        <v>23270</v>
      </c>
      <c r="H124" s="198">
        <f t="shared" si="4"/>
        <v>57</v>
      </c>
      <c r="I124" s="196">
        <v>3</v>
      </c>
      <c r="J124" s="196" t="str">
        <f t="shared" si="6"/>
        <v>prob âge</v>
      </c>
      <c r="O124" s="62" t="str">
        <f t="shared" si="5"/>
        <v>||||||||||||||||</v>
      </c>
    </row>
    <row r="125" spans="2:15" ht="15" x14ac:dyDescent="0.2">
      <c r="B125" s="195" t="s">
        <v>779</v>
      </c>
      <c r="C125" s="195" t="s">
        <v>1910</v>
      </c>
      <c r="D125" s="196" t="s">
        <v>157</v>
      </c>
      <c r="E125" s="196" t="s">
        <v>21</v>
      </c>
      <c r="F125" s="196">
        <v>186</v>
      </c>
      <c r="G125" s="197">
        <v>27267</v>
      </c>
      <c r="H125" s="198">
        <f t="shared" si="4"/>
        <v>46</v>
      </c>
      <c r="I125" s="196">
        <v>3</v>
      </c>
      <c r="J125" s="196" t="str">
        <f t="shared" si="6"/>
        <v>prob gender</v>
      </c>
      <c r="O125" s="62" t="str">
        <f t="shared" si="5"/>
        <v>||||||||||||||||||||||||||</v>
      </c>
    </row>
    <row r="126" spans="2:15" ht="15" x14ac:dyDescent="0.2">
      <c r="B126" s="195" t="s">
        <v>1906</v>
      </c>
      <c r="C126" s="195" t="s">
        <v>1905</v>
      </c>
      <c r="D126" s="196" t="s">
        <v>157</v>
      </c>
      <c r="E126" s="196" t="s">
        <v>17</v>
      </c>
      <c r="F126" s="196">
        <v>187</v>
      </c>
      <c r="G126" s="197">
        <v>26415</v>
      </c>
      <c r="H126" s="198">
        <f t="shared" si="4"/>
        <v>48</v>
      </c>
      <c r="I126" s="196">
        <v>1</v>
      </c>
      <c r="J126" s="196" t="str">
        <f t="shared" si="6"/>
        <v>prob âge</v>
      </c>
      <c r="O126" s="62" t="str">
        <f t="shared" si="5"/>
        <v>||||||||||||||||||||||||||</v>
      </c>
    </row>
    <row r="127" spans="2:15" ht="15" x14ac:dyDescent="0.2">
      <c r="B127" s="195" t="s">
        <v>1797</v>
      </c>
      <c r="C127" s="195" t="s">
        <v>1902</v>
      </c>
      <c r="D127" s="196" t="s">
        <v>17</v>
      </c>
      <c r="E127" s="196" t="s">
        <v>21</v>
      </c>
      <c r="F127" s="196">
        <v>156</v>
      </c>
      <c r="G127" s="197">
        <v>32530</v>
      </c>
      <c r="H127" s="198">
        <f t="shared" si="4"/>
        <v>31</v>
      </c>
      <c r="I127" s="196">
        <v>2</v>
      </c>
      <c r="J127" s="196" t="str">
        <f t="shared" si="6"/>
        <v>prob langue</v>
      </c>
      <c r="O127" s="62" t="str">
        <f t="shared" si="5"/>
        <v>||||||||||||||||||||||</v>
      </c>
    </row>
    <row r="128" spans="2:15" ht="15" x14ac:dyDescent="0.2">
      <c r="B128" s="195" t="s">
        <v>779</v>
      </c>
      <c r="C128" s="195" t="s">
        <v>1899</v>
      </c>
      <c r="D128" s="196" t="s">
        <v>17</v>
      </c>
      <c r="E128" s="196" t="s">
        <v>21</v>
      </c>
      <c r="F128" s="196">
        <v>162</v>
      </c>
      <c r="G128" s="197">
        <v>22058</v>
      </c>
      <c r="H128" s="198">
        <f t="shared" si="4"/>
        <v>60</v>
      </c>
      <c r="I128" s="196">
        <v>1</v>
      </c>
      <c r="J128" s="196" t="str">
        <f t="shared" si="6"/>
        <v>prob langue</v>
      </c>
      <c r="O128" s="62" t="str">
        <f t="shared" si="5"/>
        <v>||||||||||||||||||||||</v>
      </c>
    </row>
    <row r="129" spans="2:15" ht="15" x14ac:dyDescent="0.2">
      <c r="B129" s="195" t="s">
        <v>1894</v>
      </c>
      <c r="C129" s="195" t="s">
        <v>1893</v>
      </c>
      <c r="D129" s="196" t="s">
        <v>17</v>
      </c>
      <c r="E129" s="196" t="s">
        <v>17</v>
      </c>
      <c r="F129" s="196">
        <v>190</v>
      </c>
      <c r="G129" s="197">
        <v>30042</v>
      </c>
      <c r="H129" s="198">
        <f t="shared" si="4"/>
        <v>38</v>
      </c>
      <c r="I129" s="196">
        <v>3</v>
      </c>
      <c r="J129" s="196" t="str">
        <f t="shared" si="6"/>
        <v>prob langue</v>
      </c>
      <c r="O129" s="62" t="str">
        <f t="shared" si="5"/>
        <v>|</v>
      </c>
    </row>
    <row r="130" spans="2:15" ht="15" x14ac:dyDescent="0.2">
      <c r="B130" s="195" t="s">
        <v>98</v>
      </c>
      <c r="C130" s="195" t="s">
        <v>1889</v>
      </c>
      <c r="D130" s="196" t="s">
        <v>157</v>
      </c>
      <c r="E130" s="196" t="s">
        <v>21</v>
      </c>
      <c r="F130" s="196">
        <v>173</v>
      </c>
      <c r="G130" s="197">
        <v>24570</v>
      </c>
      <c r="H130" s="198">
        <f t="shared" si="4"/>
        <v>53</v>
      </c>
      <c r="I130" s="196">
        <v>2</v>
      </c>
      <c r="J130" s="196" t="str">
        <f t="shared" si="6"/>
        <v>prob gender</v>
      </c>
      <c r="O130" s="62" t="str">
        <f t="shared" si="5"/>
        <v>||||||||</v>
      </c>
    </row>
    <row r="131" spans="2:15" ht="15" x14ac:dyDescent="0.2">
      <c r="B131" s="195" t="s">
        <v>101</v>
      </c>
      <c r="C131" s="195" t="s">
        <v>1884</v>
      </c>
      <c r="D131" s="196" t="s">
        <v>157</v>
      </c>
      <c r="E131" s="196" t="s">
        <v>21</v>
      </c>
      <c r="F131" s="196">
        <v>195</v>
      </c>
      <c r="G131" s="197">
        <v>30230</v>
      </c>
      <c r="H131" s="198">
        <f t="shared" si="4"/>
        <v>38</v>
      </c>
      <c r="I131" s="196">
        <v>3</v>
      </c>
      <c r="J131" s="196" t="str">
        <f t="shared" si="6"/>
        <v>prob gender</v>
      </c>
      <c r="O131" s="62" t="str">
        <f t="shared" si="5"/>
        <v>||||||</v>
      </c>
    </row>
    <row r="132" spans="2:15" ht="15" x14ac:dyDescent="0.2">
      <c r="B132" s="195" t="s">
        <v>81</v>
      </c>
      <c r="C132" s="195" t="s">
        <v>1882</v>
      </c>
      <c r="D132" s="196" t="s">
        <v>157</v>
      </c>
      <c r="E132" s="196" t="s">
        <v>21</v>
      </c>
      <c r="F132" s="196">
        <v>180</v>
      </c>
      <c r="G132" s="197">
        <v>25486</v>
      </c>
      <c r="H132" s="198">
        <f t="shared" si="4"/>
        <v>51</v>
      </c>
      <c r="I132" s="196">
        <v>2</v>
      </c>
      <c r="J132" s="196" t="str">
        <f t="shared" si="6"/>
        <v>prob gender</v>
      </c>
      <c r="O132" s="62" t="str">
        <f t="shared" si="5"/>
        <v>||||||||||</v>
      </c>
    </row>
    <row r="133" spans="2:15" ht="15" x14ac:dyDescent="0.2">
      <c r="B133" s="195" t="s">
        <v>364</v>
      </c>
      <c r="C133" s="195" t="s">
        <v>1880</v>
      </c>
      <c r="D133" s="196" t="s">
        <v>17</v>
      </c>
      <c r="E133" s="196" t="s">
        <v>21</v>
      </c>
      <c r="F133" s="196">
        <v>176</v>
      </c>
      <c r="G133" s="197">
        <v>30207</v>
      </c>
      <c r="H133" s="198">
        <f t="shared" si="4"/>
        <v>38</v>
      </c>
      <c r="I133" s="196">
        <v>1</v>
      </c>
      <c r="J133" s="196" t="str">
        <f t="shared" si="6"/>
        <v>prob langue</v>
      </c>
      <c r="O133" s="62" t="str">
        <f t="shared" si="5"/>
        <v>|||||||||||||</v>
      </c>
    </row>
    <row r="134" spans="2:15" ht="15" x14ac:dyDescent="0.2">
      <c r="B134" s="195" t="s">
        <v>70</v>
      </c>
      <c r="C134" s="195" t="s">
        <v>1877</v>
      </c>
      <c r="D134" s="196" t="s">
        <v>157</v>
      </c>
      <c r="E134" s="196" t="s">
        <v>21</v>
      </c>
      <c r="F134" s="196">
        <v>173</v>
      </c>
      <c r="G134" s="197">
        <v>34073</v>
      </c>
      <c r="H134" s="198">
        <f t="shared" ref="H134:H197" si="7">ROUNDDOWN(($L$16-G134) /365.25,0)</f>
        <v>27</v>
      </c>
      <c r="I134" s="196">
        <v>1</v>
      </c>
      <c r="J134" s="196" t="str">
        <f t="shared" si="6"/>
        <v>prob gender</v>
      </c>
      <c r="O134" s="62" t="str">
        <f t="shared" ref="O134:O197" si="8">REPT("|",DAY(G134))</f>
        <v>||||||||||||||</v>
      </c>
    </row>
    <row r="135" spans="2:15" ht="15" x14ac:dyDescent="0.2">
      <c r="B135" s="195" t="s">
        <v>1873</v>
      </c>
      <c r="C135" s="195" t="s">
        <v>1872</v>
      </c>
      <c r="D135" s="196" t="s">
        <v>157</v>
      </c>
      <c r="E135" s="196" t="s">
        <v>17</v>
      </c>
      <c r="F135" s="196">
        <v>173</v>
      </c>
      <c r="G135" s="197">
        <v>24456</v>
      </c>
      <c r="H135" s="198">
        <f t="shared" si="7"/>
        <v>54</v>
      </c>
      <c r="I135" s="196">
        <v>2</v>
      </c>
      <c r="J135" s="196" t="str">
        <f t="shared" ref="J135:J198" si="9">IF(D135=$L$12,IF(E135=$L$13,IF(F135&gt;=$L$14,IF(H135&lt;=$L$15,IF(I135=1,"OK","prob dispo"),"prob âge"),"prob taille"),"prob gender"),"prob langue")</f>
        <v>prob âge</v>
      </c>
      <c r="O135" s="62" t="str">
        <f t="shared" si="8"/>
        <v>|||||||||||||||</v>
      </c>
    </row>
    <row r="136" spans="2:15" ht="15" x14ac:dyDescent="0.2">
      <c r="B136" s="195" t="s">
        <v>1869</v>
      </c>
      <c r="C136" s="195" t="s">
        <v>1868</v>
      </c>
      <c r="D136" s="196" t="s">
        <v>157</v>
      </c>
      <c r="E136" s="196" t="s">
        <v>21</v>
      </c>
      <c r="F136" s="196">
        <v>195</v>
      </c>
      <c r="G136" s="197">
        <v>27160</v>
      </c>
      <c r="H136" s="198">
        <f t="shared" si="7"/>
        <v>46</v>
      </c>
      <c r="I136" s="196">
        <v>2</v>
      </c>
      <c r="J136" s="196" t="str">
        <f t="shared" si="9"/>
        <v>prob gender</v>
      </c>
      <c r="O136" s="62" t="str">
        <f t="shared" si="8"/>
        <v>|||||||||||</v>
      </c>
    </row>
    <row r="137" spans="2:15" ht="15" x14ac:dyDescent="0.2">
      <c r="B137" s="195" t="s">
        <v>861</v>
      </c>
      <c r="C137" s="195" t="s">
        <v>1865</v>
      </c>
      <c r="D137" s="196" t="s">
        <v>17</v>
      </c>
      <c r="E137" s="196" t="s">
        <v>21</v>
      </c>
      <c r="F137" s="196">
        <v>172</v>
      </c>
      <c r="G137" s="197">
        <v>31918</v>
      </c>
      <c r="H137" s="198">
        <f t="shared" si="7"/>
        <v>33</v>
      </c>
      <c r="I137" s="196">
        <v>2</v>
      </c>
      <c r="J137" s="196" t="str">
        <f t="shared" si="9"/>
        <v>prob langue</v>
      </c>
      <c r="O137" s="62" t="str">
        <f t="shared" si="8"/>
        <v>|||||||||||||||||||||</v>
      </c>
    </row>
    <row r="138" spans="2:15" ht="15" x14ac:dyDescent="0.2">
      <c r="B138" s="195" t="s">
        <v>1862</v>
      </c>
      <c r="C138" s="195" t="s">
        <v>1861</v>
      </c>
      <c r="D138" s="196" t="s">
        <v>17</v>
      </c>
      <c r="E138" s="196" t="s">
        <v>21</v>
      </c>
      <c r="F138" s="196">
        <v>179</v>
      </c>
      <c r="G138" s="197">
        <v>26735</v>
      </c>
      <c r="H138" s="198">
        <f t="shared" si="7"/>
        <v>47</v>
      </c>
      <c r="I138" s="196">
        <v>2</v>
      </c>
      <c r="J138" s="196" t="str">
        <f t="shared" si="9"/>
        <v>prob langue</v>
      </c>
      <c r="O138" s="62" t="str">
        <f t="shared" si="8"/>
        <v>||||||||||||</v>
      </c>
    </row>
    <row r="139" spans="2:15" ht="15" x14ac:dyDescent="0.2">
      <c r="B139" s="195" t="s">
        <v>1856</v>
      </c>
      <c r="C139" s="195" t="s">
        <v>1855</v>
      </c>
      <c r="D139" s="196" t="s">
        <v>17</v>
      </c>
      <c r="E139" s="196" t="s">
        <v>21</v>
      </c>
      <c r="F139" s="196">
        <v>191</v>
      </c>
      <c r="G139" s="197">
        <v>22101</v>
      </c>
      <c r="H139" s="198">
        <f t="shared" si="7"/>
        <v>60</v>
      </c>
      <c r="I139" s="196">
        <v>2</v>
      </c>
      <c r="J139" s="196" t="str">
        <f t="shared" si="9"/>
        <v>prob langue</v>
      </c>
      <c r="O139" s="62" t="str">
        <f t="shared" si="8"/>
        <v>||||</v>
      </c>
    </row>
    <row r="140" spans="2:15" ht="15" x14ac:dyDescent="0.2">
      <c r="B140" s="195" t="s">
        <v>1207</v>
      </c>
      <c r="C140" s="195" t="s">
        <v>1855</v>
      </c>
      <c r="D140" s="196" t="s">
        <v>157</v>
      </c>
      <c r="E140" s="196" t="s">
        <v>17</v>
      </c>
      <c r="F140" s="196">
        <v>177</v>
      </c>
      <c r="G140" s="197">
        <v>31432</v>
      </c>
      <c r="H140" s="198">
        <f t="shared" si="7"/>
        <v>34</v>
      </c>
      <c r="I140" s="196">
        <v>2</v>
      </c>
      <c r="J140" s="196" t="str">
        <f t="shared" si="9"/>
        <v>prob dispo</v>
      </c>
      <c r="O140" s="62" t="str">
        <f t="shared" si="8"/>
        <v>||||||||||||||||||||</v>
      </c>
    </row>
    <row r="141" spans="2:15" ht="15" x14ac:dyDescent="0.2">
      <c r="B141" s="195" t="s">
        <v>1852</v>
      </c>
      <c r="C141" s="195" t="s">
        <v>1851</v>
      </c>
      <c r="D141" s="196" t="s">
        <v>157</v>
      </c>
      <c r="E141" s="196" t="s">
        <v>17</v>
      </c>
      <c r="F141" s="196">
        <v>188</v>
      </c>
      <c r="G141" s="197">
        <v>31093</v>
      </c>
      <c r="H141" s="198">
        <f t="shared" si="7"/>
        <v>35</v>
      </c>
      <c r="I141" s="196">
        <v>1</v>
      </c>
      <c r="J141" s="196" t="str">
        <f t="shared" si="9"/>
        <v>OK</v>
      </c>
      <c r="O141" s="62" t="str">
        <f t="shared" si="8"/>
        <v>|||||||||||||||</v>
      </c>
    </row>
    <row r="142" spans="2:15" ht="15" x14ac:dyDescent="0.2">
      <c r="B142" s="195" t="s">
        <v>886</v>
      </c>
      <c r="C142" s="195" t="s">
        <v>1846</v>
      </c>
      <c r="D142" s="196" t="s">
        <v>157</v>
      </c>
      <c r="E142" s="196" t="s">
        <v>17</v>
      </c>
      <c r="F142" s="196">
        <v>159</v>
      </c>
      <c r="G142" s="197">
        <v>23694</v>
      </c>
      <c r="H142" s="198">
        <f t="shared" si="7"/>
        <v>56</v>
      </c>
      <c r="I142" s="196">
        <v>3</v>
      </c>
      <c r="J142" s="196" t="str">
        <f t="shared" si="9"/>
        <v>prob taille</v>
      </c>
      <c r="O142" s="62" t="str">
        <f t="shared" si="8"/>
        <v>|||||||||||||</v>
      </c>
    </row>
    <row r="143" spans="2:15" ht="15" x14ac:dyDescent="0.2">
      <c r="B143" s="195" t="s">
        <v>1839</v>
      </c>
      <c r="C143" s="195" t="s">
        <v>1838</v>
      </c>
      <c r="D143" s="196" t="s">
        <v>17</v>
      </c>
      <c r="E143" s="196" t="s">
        <v>17</v>
      </c>
      <c r="F143" s="196">
        <v>195</v>
      </c>
      <c r="G143" s="197">
        <v>29651</v>
      </c>
      <c r="H143" s="198">
        <f t="shared" si="7"/>
        <v>39</v>
      </c>
      <c r="I143" s="196">
        <v>2</v>
      </c>
      <c r="J143" s="196" t="str">
        <f t="shared" si="9"/>
        <v>prob langue</v>
      </c>
      <c r="O143" s="62" t="str">
        <f t="shared" si="8"/>
        <v>||||||</v>
      </c>
    </row>
    <row r="144" spans="2:15" ht="15" x14ac:dyDescent="0.2">
      <c r="B144" s="195" t="s">
        <v>364</v>
      </c>
      <c r="C144" s="195" t="s">
        <v>1834</v>
      </c>
      <c r="D144" s="196" t="s">
        <v>17</v>
      </c>
      <c r="E144" s="196" t="s">
        <v>21</v>
      </c>
      <c r="F144" s="196">
        <v>180</v>
      </c>
      <c r="G144" s="197">
        <v>27116</v>
      </c>
      <c r="H144" s="198">
        <f t="shared" si="7"/>
        <v>46</v>
      </c>
      <c r="I144" s="196">
        <v>2</v>
      </c>
      <c r="J144" s="196" t="str">
        <f t="shared" si="9"/>
        <v>prob langue</v>
      </c>
      <c r="O144" s="62" t="str">
        <f t="shared" si="8"/>
        <v>||||||||||||||||||||||||||||</v>
      </c>
    </row>
    <row r="145" spans="2:15" ht="15" x14ac:dyDescent="0.2">
      <c r="B145" s="195" t="s">
        <v>1832</v>
      </c>
      <c r="C145" s="195" t="s">
        <v>1831</v>
      </c>
      <c r="D145" s="196" t="s">
        <v>157</v>
      </c>
      <c r="E145" s="196" t="s">
        <v>17</v>
      </c>
      <c r="F145" s="196">
        <v>191</v>
      </c>
      <c r="G145" s="197">
        <v>26752</v>
      </c>
      <c r="H145" s="198">
        <f t="shared" si="7"/>
        <v>47</v>
      </c>
      <c r="I145" s="196">
        <v>2</v>
      </c>
      <c r="J145" s="196" t="str">
        <f t="shared" si="9"/>
        <v>prob âge</v>
      </c>
      <c r="O145" s="62" t="str">
        <f t="shared" si="8"/>
        <v>|||||||||||||||||||||||||||||</v>
      </c>
    </row>
    <row r="146" spans="2:15" ht="15" x14ac:dyDescent="0.2">
      <c r="B146" s="195" t="s">
        <v>1827</v>
      </c>
      <c r="C146" s="195" t="s">
        <v>1826</v>
      </c>
      <c r="D146" s="196" t="s">
        <v>157</v>
      </c>
      <c r="E146" s="196" t="s">
        <v>21</v>
      </c>
      <c r="F146" s="196">
        <v>184</v>
      </c>
      <c r="G146" s="197">
        <v>31832</v>
      </c>
      <c r="H146" s="198">
        <f t="shared" si="7"/>
        <v>33</v>
      </c>
      <c r="I146" s="196">
        <v>2</v>
      </c>
      <c r="J146" s="196" t="str">
        <f t="shared" si="9"/>
        <v>prob gender</v>
      </c>
      <c r="O146" s="62" t="str">
        <f t="shared" si="8"/>
        <v>||||||||||||||||||||||||</v>
      </c>
    </row>
    <row r="147" spans="2:15" ht="15" x14ac:dyDescent="0.2">
      <c r="B147" s="195" t="s">
        <v>1822</v>
      </c>
      <c r="C147" s="195" t="s">
        <v>1821</v>
      </c>
      <c r="D147" s="196" t="s">
        <v>17</v>
      </c>
      <c r="E147" s="196" t="s">
        <v>21</v>
      </c>
      <c r="F147" s="196">
        <v>193</v>
      </c>
      <c r="G147" s="197">
        <v>26968</v>
      </c>
      <c r="H147" s="198">
        <f t="shared" si="7"/>
        <v>47</v>
      </c>
      <c r="I147" s="196">
        <v>1</v>
      </c>
      <c r="J147" s="196" t="str">
        <f t="shared" si="9"/>
        <v>prob langue</v>
      </c>
      <c r="O147" s="62" t="str">
        <f t="shared" si="8"/>
        <v>|||||||||||||||||||||||||||||||</v>
      </c>
    </row>
    <row r="148" spans="2:15" ht="15" x14ac:dyDescent="0.2">
      <c r="B148" s="195" t="s">
        <v>1819</v>
      </c>
      <c r="C148" s="195" t="s">
        <v>1818</v>
      </c>
      <c r="D148" s="196" t="s">
        <v>157</v>
      </c>
      <c r="E148" s="196" t="s">
        <v>21</v>
      </c>
      <c r="F148" s="196">
        <v>185</v>
      </c>
      <c r="G148" s="197">
        <v>26610</v>
      </c>
      <c r="H148" s="198">
        <f t="shared" si="7"/>
        <v>48</v>
      </c>
      <c r="I148" s="196">
        <v>1</v>
      </c>
      <c r="J148" s="196" t="str">
        <f t="shared" si="9"/>
        <v>prob gender</v>
      </c>
      <c r="O148" s="62" t="str">
        <f t="shared" si="8"/>
        <v>|||||||</v>
      </c>
    </row>
    <row r="149" spans="2:15" ht="15" x14ac:dyDescent="0.2">
      <c r="B149" s="195" t="s">
        <v>1815</v>
      </c>
      <c r="C149" s="195" t="s">
        <v>1814</v>
      </c>
      <c r="D149" s="196" t="s">
        <v>157</v>
      </c>
      <c r="E149" s="196" t="s">
        <v>17</v>
      </c>
      <c r="F149" s="196">
        <v>161</v>
      </c>
      <c r="G149" s="197">
        <v>33811</v>
      </c>
      <c r="H149" s="198">
        <f t="shared" si="7"/>
        <v>28</v>
      </c>
      <c r="I149" s="196">
        <v>3</v>
      </c>
      <c r="J149" s="196" t="str">
        <f t="shared" si="9"/>
        <v>prob taille</v>
      </c>
      <c r="O149" s="62" t="str">
        <f t="shared" si="8"/>
        <v>||||||||||||||||||||||||||</v>
      </c>
    </row>
    <row r="150" spans="2:15" ht="15" x14ac:dyDescent="0.2">
      <c r="B150" s="195" t="s">
        <v>276</v>
      </c>
      <c r="C150" s="195" t="s">
        <v>193</v>
      </c>
      <c r="D150" s="196" t="s">
        <v>157</v>
      </c>
      <c r="E150" s="196" t="s">
        <v>17</v>
      </c>
      <c r="F150" s="196">
        <v>175</v>
      </c>
      <c r="G150" s="197">
        <v>22828</v>
      </c>
      <c r="H150" s="198">
        <f t="shared" si="7"/>
        <v>58</v>
      </c>
      <c r="I150" s="196">
        <v>1</v>
      </c>
      <c r="J150" s="196" t="str">
        <f t="shared" si="9"/>
        <v>prob âge</v>
      </c>
      <c r="O150" s="62" t="str">
        <f t="shared" si="8"/>
        <v>|</v>
      </c>
    </row>
    <row r="151" spans="2:15" ht="15" x14ac:dyDescent="0.2">
      <c r="B151" s="195" t="s">
        <v>1597</v>
      </c>
      <c r="C151" s="195" t="s">
        <v>1804</v>
      </c>
      <c r="D151" s="196" t="s">
        <v>157</v>
      </c>
      <c r="E151" s="196" t="s">
        <v>17</v>
      </c>
      <c r="F151" s="196">
        <v>155</v>
      </c>
      <c r="G151" s="197">
        <v>23682</v>
      </c>
      <c r="H151" s="198">
        <f t="shared" si="7"/>
        <v>56</v>
      </c>
      <c r="I151" s="196">
        <v>1</v>
      </c>
      <c r="J151" s="196" t="str">
        <f t="shared" si="9"/>
        <v>prob taille</v>
      </c>
      <c r="O151" s="62" t="str">
        <f t="shared" si="8"/>
        <v>|</v>
      </c>
    </row>
    <row r="152" spans="2:15" ht="15" x14ac:dyDescent="0.2">
      <c r="B152" s="195" t="s">
        <v>101</v>
      </c>
      <c r="C152" s="195" t="s">
        <v>1802</v>
      </c>
      <c r="D152" s="196" t="s">
        <v>157</v>
      </c>
      <c r="E152" s="196" t="s">
        <v>21</v>
      </c>
      <c r="F152" s="196">
        <v>155</v>
      </c>
      <c r="G152" s="197">
        <v>34070</v>
      </c>
      <c r="H152" s="198">
        <f t="shared" si="7"/>
        <v>27</v>
      </c>
      <c r="I152" s="196">
        <v>2</v>
      </c>
      <c r="J152" s="196" t="str">
        <f t="shared" si="9"/>
        <v>prob gender</v>
      </c>
      <c r="O152" s="62" t="str">
        <f t="shared" si="8"/>
        <v>|||||||||||</v>
      </c>
    </row>
    <row r="153" spans="2:15" ht="15" x14ac:dyDescent="0.2">
      <c r="B153" s="195" t="s">
        <v>1797</v>
      </c>
      <c r="C153" s="195" t="s">
        <v>1796</v>
      </c>
      <c r="D153" s="196" t="s">
        <v>157</v>
      </c>
      <c r="E153" s="196" t="s">
        <v>21</v>
      </c>
      <c r="F153" s="196">
        <v>164</v>
      </c>
      <c r="G153" s="197">
        <v>30991</v>
      </c>
      <c r="H153" s="198">
        <f t="shared" si="7"/>
        <v>36</v>
      </c>
      <c r="I153" s="196">
        <v>3</v>
      </c>
      <c r="J153" s="196" t="str">
        <f t="shared" si="9"/>
        <v>prob gender</v>
      </c>
      <c r="O153" s="62" t="str">
        <f t="shared" si="8"/>
        <v>|||||</v>
      </c>
    </row>
    <row r="154" spans="2:15" ht="15" x14ac:dyDescent="0.2">
      <c r="B154" s="195" t="s">
        <v>1422</v>
      </c>
      <c r="C154" s="195" t="s">
        <v>652</v>
      </c>
      <c r="D154" s="196" t="s">
        <v>157</v>
      </c>
      <c r="E154" s="196" t="s">
        <v>17</v>
      </c>
      <c r="F154" s="196">
        <v>163</v>
      </c>
      <c r="G154" s="197">
        <v>31248</v>
      </c>
      <c r="H154" s="198">
        <f t="shared" si="7"/>
        <v>35</v>
      </c>
      <c r="I154" s="196">
        <v>3</v>
      </c>
      <c r="J154" s="196" t="str">
        <f t="shared" si="9"/>
        <v>prob taille</v>
      </c>
      <c r="O154" s="62" t="str">
        <f t="shared" si="8"/>
        <v>||||||||||||||||||||</v>
      </c>
    </row>
    <row r="155" spans="2:15" ht="15" x14ac:dyDescent="0.2">
      <c r="B155" s="195" t="s">
        <v>1789</v>
      </c>
      <c r="C155" s="195" t="s">
        <v>1784</v>
      </c>
      <c r="D155" s="196" t="s">
        <v>157</v>
      </c>
      <c r="E155" s="196" t="s">
        <v>21</v>
      </c>
      <c r="F155" s="196">
        <v>185</v>
      </c>
      <c r="G155" s="197">
        <v>26385</v>
      </c>
      <c r="H155" s="198">
        <f t="shared" si="7"/>
        <v>48</v>
      </c>
      <c r="I155" s="196">
        <v>1</v>
      </c>
      <c r="J155" s="196" t="str">
        <f t="shared" si="9"/>
        <v>prob gender</v>
      </c>
      <c r="O155" s="62" t="str">
        <f t="shared" si="8"/>
        <v>|||||||||||||||||||||||||||</v>
      </c>
    </row>
    <row r="156" spans="2:15" ht="15" x14ac:dyDescent="0.2">
      <c r="B156" s="195" t="s">
        <v>1785</v>
      </c>
      <c r="C156" s="195" t="s">
        <v>1784</v>
      </c>
      <c r="D156" s="196" t="s">
        <v>17</v>
      </c>
      <c r="E156" s="196" t="s">
        <v>17</v>
      </c>
      <c r="F156" s="196">
        <v>186</v>
      </c>
      <c r="G156" s="197">
        <v>31612</v>
      </c>
      <c r="H156" s="198">
        <f t="shared" si="7"/>
        <v>34</v>
      </c>
      <c r="I156" s="196">
        <v>3</v>
      </c>
      <c r="J156" s="196" t="str">
        <f t="shared" si="9"/>
        <v>prob langue</v>
      </c>
      <c r="O156" s="62" t="str">
        <f t="shared" si="8"/>
        <v>|||||||||||||||||||</v>
      </c>
    </row>
    <row r="157" spans="2:15" ht="15" x14ac:dyDescent="0.2">
      <c r="B157" s="195" t="s">
        <v>149</v>
      </c>
      <c r="C157" s="195" t="s">
        <v>1781</v>
      </c>
      <c r="D157" s="196" t="s">
        <v>157</v>
      </c>
      <c r="E157" s="196" t="s">
        <v>17</v>
      </c>
      <c r="F157" s="196">
        <v>194</v>
      </c>
      <c r="G157" s="197">
        <v>29138</v>
      </c>
      <c r="H157" s="198">
        <f t="shared" si="7"/>
        <v>41</v>
      </c>
      <c r="I157" s="196">
        <v>2</v>
      </c>
      <c r="J157" s="196" t="str">
        <f t="shared" si="9"/>
        <v>prob dispo</v>
      </c>
      <c r="O157" s="62" t="str">
        <f t="shared" si="8"/>
        <v>||||||||||</v>
      </c>
    </row>
    <row r="158" spans="2:15" ht="15" x14ac:dyDescent="0.2">
      <c r="B158" s="195" t="s">
        <v>1778</v>
      </c>
      <c r="C158" s="195" t="s">
        <v>1777</v>
      </c>
      <c r="D158" s="196" t="s">
        <v>17</v>
      </c>
      <c r="E158" s="196" t="s">
        <v>17</v>
      </c>
      <c r="F158" s="196">
        <v>175</v>
      </c>
      <c r="G158" s="197">
        <v>32640</v>
      </c>
      <c r="H158" s="198">
        <f t="shared" si="7"/>
        <v>31</v>
      </c>
      <c r="I158" s="196">
        <v>2</v>
      </c>
      <c r="J158" s="196" t="str">
        <f t="shared" si="9"/>
        <v>prob langue</v>
      </c>
      <c r="O158" s="62" t="str">
        <f t="shared" si="8"/>
        <v>||||||||||||</v>
      </c>
    </row>
    <row r="159" spans="2:15" ht="15" x14ac:dyDescent="0.2">
      <c r="B159" s="195" t="s">
        <v>938</v>
      </c>
      <c r="C159" s="195" t="s">
        <v>1772</v>
      </c>
      <c r="D159" s="196" t="s">
        <v>157</v>
      </c>
      <c r="E159" s="196" t="s">
        <v>17</v>
      </c>
      <c r="F159" s="196">
        <v>184</v>
      </c>
      <c r="G159" s="197">
        <v>28626</v>
      </c>
      <c r="H159" s="198">
        <f t="shared" si="7"/>
        <v>42</v>
      </c>
      <c r="I159" s="196">
        <v>1</v>
      </c>
      <c r="J159" s="196" t="str">
        <f t="shared" si="9"/>
        <v>OK</v>
      </c>
      <c r="O159" s="62" t="str">
        <f t="shared" si="8"/>
        <v>||||||||||||||||</v>
      </c>
    </row>
    <row r="160" spans="2:15" ht="15" x14ac:dyDescent="0.2">
      <c r="B160" s="195" t="s">
        <v>1769</v>
      </c>
      <c r="C160" s="195" t="s">
        <v>1768</v>
      </c>
      <c r="D160" s="196" t="s">
        <v>157</v>
      </c>
      <c r="E160" s="196" t="s">
        <v>17</v>
      </c>
      <c r="F160" s="196">
        <v>187</v>
      </c>
      <c r="G160" s="197">
        <v>26483</v>
      </c>
      <c r="H160" s="198">
        <f t="shared" si="7"/>
        <v>48</v>
      </c>
      <c r="I160" s="196">
        <v>3</v>
      </c>
      <c r="J160" s="196" t="str">
        <f t="shared" si="9"/>
        <v>prob âge</v>
      </c>
      <c r="O160" s="62" t="str">
        <f t="shared" si="8"/>
        <v>|||</v>
      </c>
    </row>
    <row r="161" spans="2:15" ht="15" x14ac:dyDescent="0.2">
      <c r="B161" s="195" t="s">
        <v>227</v>
      </c>
      <c r="C161" s="195" t="s">
        <v>1764</v>
      </c>
      <c r="D161" s="196" t="s">
        <v>157</v>
      </c>
      <c r="E161" s="196" t="s">
        <v>17</v>
      </c>
      <c r="F161" s="196">
        <v>161</v>
      </c>
      <c r="G161" s="197">
        <v>28728</v>
      </c>
      <c r="H161" s="198">
        <f t="shared" si="7"/>
        <v>42</v>
      </c>
      <c r="I161" s="196">
        <v>3</v>
      </c>
      <c r="J161" s="196" t="str">
        <f t="shared" si="9"/>
        <v>prob taille</v>
      </c>
      <c r="O161" s="62" t="str">
        <f t="shared" si="8"/>
        <v>||||||||||||||||||||||||||</v>
      </c>
    </row>
    <row r="162" spans="2:15" ht="15" x14ac:dyDescent="0.2">
      <c r="B162" s="195" t="s">
        <v>540</v>
      </c>
      <c r="C162" s="195" t="s">
        <v>1761</v>
      </c>
      <c r="D162" s="196" t="s">
        <v>157</v>
      </c>
      <c r="E162" s="196" t="s">
        <v>21</v>
      </c>
      <c r="F162" s="196">
        <v>175</v>
      </c>
      <c r="G162" s="197">
        <v>22973</v>
      </c>
      <c r="H162" s="198">
        <f t="shared" si="7"/>
        <v>58</v>
      </c>
      <c r="I162" s="196">
        <v>2</v>
      </c>
      <c r="J162" s="196" t="str">
        <f t="shared" si="9"/>
        <v>prob gender</v>
      </c>
      <c r="O162" s="62" t="str">
        <f t="shared" si="8"/>
        <v>|||||||||||||||||||||||</v>
      </c>
    </row>
    <row r="163" spans="2:15" ht="15" x14ac:dyDescent="0.2">
      <c r="B163" s="195" t="s">
        <v>647</v>
      </c>
      <c r="C163" s="195" t="s">
        <v>1758</v>
      </c>
      <c r="D163" s="196" t="s">
        <v>157</v>
      </c>
      <c r="E163" s="196" t="s">
        <v>21</v>
      </c>
      <c r="F163" s="196">
        <v>178</v>
      </c>
      <c r="G163" s="197">
        <v>28778</v>
      </c>
      <c r="H163" s="198">
        <f t="shared" si="7"/>
        <v>42</v>
      </c>
      <c r="I163" s="196">
        <v>2</v>
      </c>
      <c r="J163" s="196" t="str">
        <f t="shared" si="9"/>
        <v>prob gender</v>
      </c>
      <c r="O163" s="62" t="str">
        <f t="shared" si="8"/>
        <v>|||||||||||||||</v>
      </c>
    </row>
    <row r="164" spans="2:15" ht="15" x14ac:dyDescent="0.2">
      <c r="B164" s="195" t="s">
        <v>1755</v>
      </c>
      <c r="C164" s="195" t="s">
        <v>1754</v>
      </c>
      <c r="D164" s="196" t="s">
        <v>157</v>
      </c>
      <c r="E164" s="196" t="s">
        <v>17</v>
      </c>
      <c r="F164" s="196">
        <v>166</v>
      </c>
      <c r="G164" s="197">
        <v>28670</v>
      </c>
      <c r="H164" s="198">
        <f t="shared" si="7"/>
        <v>42</v>
      </c>
      <c r="I164" s="196">
        <v>3</v>
      </c>
      <c r="J164" s="196" t="str">
        <f t="shared" si="9"/>
        <v>prob dispo</v>
      </c>
      <c r="O164" s="62" t="str">
        <f t="shared" si="8"/>
        <v>|||||||||||||||||||||||||||||</v>
      </c>
    </row>
    <row r="165" spans="2:15" ht="15" x14ac:dyDescent="0.2">
      <c r="B165" s="195" t="s">
        <v>535</v>
      </c>
      <c r="C165" s="195" t="s">
        <v>1750</v>
      </c>
      <c r="D165" s="196" t="s">
        <v>157</v>
      </c>
      <c r="E165" s="196" t="s">
        <v>21</v>
      </c>
      <c r="F165" s="196">
        <v>167</v>
      </c>
      <c r="G165" s="197">
        <v>27294</v>
      </c>
      <c r="H165" s="198">
        <f t="shared" si="7"/>
        <v>46</v>
      </c>
      <c r="I165" s="196">
        <v>2</v>
      </c>
      <c r="J165" s="196" t="str">
        <f t="shared" si="9"/>
        <v>prob gender</v>
      </c>
      <c r="O165" s="62" t="str">
        <f t="shared" si="8"/>
        <v>||||||||||||||||||||||</v>
      </c>
    </row>
    <row r="166" spans="2:15" ht="15" x14ac:dyDescent="0.2">
      <c r="B166" s="195" t="s">
        <v>1747</v>
      </c>
      <c r="C166" s="195" t="s">
        <v>1746</v>
      </c>
      <c r="D166" s="196" t="s">
        <v>17</v>
      </c>
      <c r="E166" s="196" t="s">
        <v>21</v>
      </c>
      <c r="F166" s="196">
        <v>162</v>
      </c>
      <c r="G166" s="197">
        <v>33533</v>
      </c>
      <c r="H166" s="198">
        <f t="shared" si="7"/>
        <v>29</v>
      </c>
      <c r="I166" s="196">
        <v>2</v>
      </c>
      <c r="J166" s="196" t="str">
        <f t="shared" si="9"/>
        <v>prob langue</v>
      </c>
      <c r="O166" s="62" t="str">
        <f t="shared" si="8"/>
        <v>||||||||||||||||||||||</v>
      </c>
    </row>
    <row r="167" spans="2:15" ht="15" x14ac:dyDescent="0.2">
      <c r="B167" s="195" t="s">
        <v>714</v>
      </c>
      <c r="C167" s="195" t="s">
        <v>1741</v>
      </c>
      <c r="D167" s="196" t="s">
        <v>17</v>
      </c>
      <c r="E167" s="196" t="s">
        <v>17</v>
      </c>
      <c r="F167" s="196">
        <v>157</v>
      </c>
      <c r="G167" s="197">
        <v>33654</v>
      </c>
      <c r="H167" s="198">
        <f t="shared" si="7"/>
        <v>28</v>
      </c>
      <c r="I167" s="196">
        <v>3</v>
      </c>
      <c r="J167" s="196" t="str">
        <f t="shared" si="9"/>
        <v>prob langue</v>
      </c>
      <c r="O167" s="62" t="str">
        <f t="shared" si="8"/>
        <v>||||||||||||||||||||</v>
      </c>
    </row>
    <row r="168" spans="2:15" ht="15" x14ac:dyDescent="0.2">
      <c r="B168" s="195" t="s">
        <v>269</v>
      </c>
      <c r="C168" s="195" t="s">
        <v>1736</v>
      </c>
      <c r="D168" s="196" t="s">
        <v>17</v>
      </c>
      <c r="E168" s="196" t="s">
        <v>21</v>
      </c>
      <c r="F168" s="196">
        <v>168</v>
      </c>
      <c r="G168" s="197">
        <v>24281</v>
      </c>
      <c r="H168" s="198">
        <f t="shared" si="7"/>
        <v>54</v>
      </c>
      <c r="I168" s="196">
        <v>2</v>
      </c>
      <c r="J168" s="196" t="str">
        <f t="shared" si="9"/>
        <v>prob langue</v>
      </c>
      <c r="O168" s="62" t="str">
        <f t="shared" si="8"/>
        <v>|||||||||||||||||||||||</v>
      </c>
    </row>
    <row r="169" spans="2:15" ht="15" x14ac:dyDescent="0.2">
      <c r="B169" s="195" t="s">
        <v>51</v>
      </c>
      <c r="C169" s="195" t="s">
        <v>1731</v>
      </c>
      <c r="D169" s="196" t="s">
        <v>157</v>
      </c>
      <c r="E169" s="196" t="s">
        <v>17</v>
      </c>
      <c r="F169" s="196">
        <v>172</v>
      </c>
      <c r="G169" s="197">
        <v>25100</v>
      </c>
      <c r="H169" s="198">
        <f t="shared" si="7"/>
        <v>52</v>
      </c>
      <c r="I169" s="196">
        <v>3</v>
      </c>
      <c r="J169" s="196" t="str">
        <f t="shared" si="9"/>
        <v>prob âge</v>
      </c>
      <c r="O169" s="62" t="str">
        <f t="shared" si="8"/>
        <v>|||||||||||||||||||</v>
      </c>
    </row>
    <row r="170" spans="2:15" ht="15" x14ac:dyDescent="0.2">
      <c r="B170" s="195" t="s">
        <v>1734</v>
      </c>
      <c r="C170" s="195" t="s">
        <v>1731</v>
      </c>
      <c r="D170" s="196" t="s">
        <v>157</v>
      </c>
      <c r="E170" s="196" t="s">
        <v>17</v>
      </c>
      <c r="F170" s="196">
        <v>192</v>
      </c>
      <c r="G170" s="197">
        <v>28006</v>
      </c>
      <c r="H170" s="198">
        <f t="shared" si="7"/>
        <v>44</v>
      </c>
      <c r="I170" s="196">
        <v>1</v>
      </c>
      <c r="J170" s="196" t="str">
        <f t="shared" si="9"/>
        <v>OK</v>
      </c>
      <c r="O170" s="62" t="str">
        <f t="shared" si="8"/>
        <v>|||</v>
      </c>
    </row>
    <row r="171" spans="2:15" ht="15" x14ac:dyDescent="0.2">
      <c r="B171" s="195" t="s">
        <v>81</v>
      </c>
      <c r="C171" s="195" t="s">
        <v>1723</v>
      </c>
      <c r="D171" s="196" t="s">
        <v>157</v>
      </c>
      <c r="E171" s="196" t="s">
        <v>21</v>
      </c>
      <c r="F171" s="196">
        <v>172</v>
      </c>
      <c r="G171" s="197">
        <v>23541</v>
      </c>
      <c r="H171" s="198">
        <f t="shared" si="7"/>
        <v>56</v>
      </c>
      <c r="I171" s="196">
        <v>1</v>
      </c>
      <c r="J171" s="196" t="str">
        <f t="shared" si="9"/>
        <v>prob gender</v>
      </c>
      <c r="O171" s="62" t="str">
        <f t="shared" si="8"/>
        <v>|||||||||||||</v>
      </c>
    </row>
    <row r="172" spans="2:15" ht="15" x14ac:dyDescent="0.2">
      <c r="B172" s="195" t="s">
        <v>1727</v>
      </c>
      <c r="C172" s="195" t="s">
        <v>1723</v>
      </c>
      <c r="D172" s="196" t="s">
        <v>17</v>
      </c>
      <c r="E172" s="196" t="s">
        <v>21</v>
      </c>
      <c r="F172" s="196">
        <v>184</v>
      </c>
      <c r="G172" s="197">
        <v>31340</v>
      </c>
      <c r="H172" s="198">
        <f t="shared" si="7"/>
        <v>35</v>
      </c>
      <c r="I172" s="196">
        <v>3</v>
      </c>
      <c r="J172" s="196" t="str">
        <f t="shared" si="9"/>
        <v>prob langue</v>
      </c>
      <c r="O172" s="62" t="str">
        <f t="shared" si="8"/>
        <v>||||||||||||||||||||</v>
      </c>
    </row>
    <row r="173" spans="2:15" ht="15" x14ac:dyDescent="0.2">
      <c r="B173" s="195" t="s">
        <v>848</v>
      </c>
      <c r="C173" s="195" t="s">
        <v>1720</v>
      </c>
      <c r="D173" s="196" t="s">
        <v>17</v>
      </c>
      <c r="E173" s="196" t="s">
        <v>21</v>
      </c>
      <c r="F173" s="196">
        <v>181</v>
      </c>
      <c r="G173" s="197">
        <v>33778</v>
      </c>
      <c r="H173" s="198">
        <f t="shared" si="7"/>
        <v>28</v>
      </c>
      <c r="I173" s="196">
        <v>3</v>
      </c>
      <c r="J173" s="196" t="str">
        <f t="shared" si="9"/>
        <v>prob langue</v>
      </c>
      <c r="O173" s="62" t="str">
        <f t="shared" si="8"/>
        <v>|||||||||||||||||||||||</v>
      </c>
    </row>
    <row r="174" spans="2:15" ht="15" x14ac:dyDescent="0.2">
      <c r="B174" s="195" t="s">
        <v>1709</v>
      </c>
      <c r="C174" s="195" t="s">
        <v>1708</v>
      </c>
      <c r="D174" s="196" t="s">
        <v>157</v>
      </c>
      <c r="E174" s="196" t="s">
        <v>17</v>
      </c>
      <c r="F174" s="196">
        <v>160</v>
      </c>
      <c r="G174" s="197">
        <v>25348</v>
      </c>
      <c r="H174" s="198">
        <f t="shared" si="7"/>
        <v>51</v>
      </c>
      <c r="I174" s="196">
        <v>3</v>
      </c>
      <c r="J174" s="196" t="str">
        <f t="shared" si="9"/>
        <v>prob taille</v>
      </c>
      <c r="O174" s="62" t="str">
        <f t="shared" si="8"/>
        <v>|||||||||||||||||||||||||</v>
      </c>
    </row>
    <row r="175" spans="2:15" ht="15" x14ac:dyDescent="0.2">
      <c r="B175" s="195" t="s">
        <v>647</v>
      </c>
      <c r="C175" s="195" t="s">
        <v>1703</v>
      </c>
      <c r="D175" s="196" t="s">
        <v>157</v>
      </c>
      <c r="E175" s="196" t="s">
        <v>21</v>
      </c>
      <c r="F175" s="196">
        <v>155</v>
      </c>
      <c r="G175" s="197">
        <v>21962</v>
      </c>
      <c r="H175" s="198">
        <f t="shared" si="7"/>
        <v>60</v>
      </c>
      <c r="I175" s="196">
        <v>3</v>
      </c>
      <c r="J175" s="196" t="str">
        <f t="shared" si="9"/>
        <v>prob gender</v>
      </c>
      <c r="O175" s="62" t="str">
        <f t="shared" si="8"/>
        <v>||||||||||||||||</v>
      </c>
    </row>
    <row r="176" spans="2:15" ht="15" x14ac:dyDescent="0.2">
      <c r="B176" s="195" t="s">
        <v>1268</v>
      </c>
      <c r="C176" s="195" t="s">
        <v>1700</v>
      </c>
      <c r="D176" s="196" t="s">
        <v>157</v>
      </c>
      <c r="E176" s="196" t="s">
        <v>17</v>
      </c>
      <c r="F176" s="196">
        <v>193</v>
      </c>
      <c r="G176" s="197">
        <v>23302</v>
      </c>
      <c r="H176" s="198">
        <f t="shared" si="7"/>
        <v>57</v>
      </c>
      <c r="I176" s="196">
        <v>2</v>
      </c>
      <c r="J176" s="196" t="str">
        <f t="shared" si="9"/>
        <v>prob âge</v>
      </c>
      <c r="O176" s="62" t="str">
        <f t="shared" si="8"/>
        <v>||||||||||||||||||</v>
      </c>
    </row>
    <row r="177" spans="2:15" ht="15" x14ac:dyDescent="0.2">
      <c r="B177" s="195" t="s">
        <v>193</v>
      </c>
      <c r="C177" s="195" t="s">
        <v>1695</v>
      </c>
      <c r="D177" s="196" t="s">
        <v>157</v>
      </c>
      <c r="E177" s="196" t="s">
        <v>21</v>
      </c>
      <c r="F177" s="196">
        <v>157</v>
      </c>
      <c r="G177" s="197">
        <v>29540</v>
      </c>
      <c r="H177" s="198">
        <f t="shared" si="7"/>
        <v>40</v>
      </c>
      <c r="I177" s="196">
        <v>1</v>
      </c>
      <c r="J177" s="196" t="str">
        <f t="shared" si="9"/>
        <v>prob gender</v>
      </c>
      <c r="O177" s="62" t="str">
        <f t="shared" si="8"/>
        <v>|||||||||||||||</v>
      </c>
    </row>
    <row r="178" spans="2:15" ht="15" x14ac:dyDescent="0.2">
      <c r="B178" s="195" t="s">
        <v>364</v>
      </c>
      <c r="C178" s="195" t="s">
        <v>1691</v>
      </c>
      <c r="D178" s="196" t="s">
        <v>17</v>
      </c>
      <c r="E178" s="196" t="s">
        <v>21</v>
      </c>
      <c r="F178" s="196">
        <v>157</v>
      </c>
      <c r="G178" s="197">
        <v>28674</v>
      </c>
      <c r="H178" s="198">
        <f t="shared" si="7"/>
        <v>42</v>
      </c>
      <c r="I178" s="196">
        <v>2</v>
      </c>
      <c r="J178" s="196" t="str">
        <f t="shared" si="9"/>
        <v>prob langue</v>
      </c>
      <c r="O178" s="62" t="str">
        <f t="shared" si="8"/>
        <v>|||</v>
      </c>
    </row>
    <row r="179" spans="2:15" ht="15" x14ac:dyDescent="0.2">
      <c r="B179" s="195" t="s">
        <v>91</v>
      </c>
      <c r="C179" s="195" t="s">
        <v>1686</v>
      </c>
      <c r="D179" s="196" t="s">
        <v>17</v>
      </c>
      <c r="E179" s="196" t="s">
        <v>21</v>
      </c>
      <c r="F179" s="196">
        <v>159</v>
      </c>
      <c r="G179" s="197">
        <v>27926</v>
      </c>
      <c r="H179" s="198">
        <f t="shared" si="7"/>
        <v>44</v>
      </c>
      <c r="I179" s="196">
        <v>2</v>
      </c>
      <c r="J179" s="196" t="str">
        <f t="shared" si="9"/>
        <v>prob langue</v>
      </c>
      <c r="O179" s="62" t="str">
        <f t="shared" si="8"/>
        <v>|||||||||||||||</v>
      </c>
    </row>
    <row r="180" spans="2:15" ht="15" x14ac:dyDescent="0.2">
      <c r="B180" s="195" t="s">
        <v>1680</v>
      </c>
      <c r="C180" s="195" t="s">
        <v>1679</v>
      </c>
      <c r="D180" s="196" t="s">
        <v>17</v>
      </c>
      <c r="E180" s="196" t="s">
        <v>17</v>
      </c>
      <c r="F180" s="196">
        <v>186</v>
      </c>
      <c r="G180" s="197">
        <v>30312</v>
      </c>
      <c r="H180" s="198">
        <f t="shared" si="7"/>
        <v>38</v>
      </c>
      <c r="I180" s="196">
        <v>1</v>
      </c>
      <c r="J180" s="196" t="str">
        <f t="shared" si="9"/>
        <v>prob langue</v>
      </c>
      <c r="O180" s="62" t="str">
        <f t="shared" si="8"/>
        <v>|||||||||||||||||||||||||||</v>
      </c>
    </row>
    <row r="181" spans="2:15" ht="15" x14ac:dyDescent="0.2">
      <c r="B181" s="195" t="s">
        <v>793</v>
      </c>
      <c r="C181" s="195" t="s">
        <v>1673</v>
      </c>
      <c r="D181" s="196" t="s">
        <v>17</v>
      </c>
      <c r="E181" s="196" t="s">
        <v>21</v>
      </c>
      <c r="F181" s="196">
        <v>177</v>
      </c>
      <c r="G181" s="197">
        <v>32260</v>
      </c>
      <c r="H181" s="198">
        <f t="shared" si="7"/>
        <v>32</v>
      </c>
      <c r="I181" s="196">
        <v>2</v>
      </c>
      <c r="J181" s="196" t="str">
        <f t="shared" si="9"/>
        <v>prob langue</v>
      </c>
      <c r="O181" s="62" t="str">
        <f t="shared" si="8"/>
        <v>|||||||||||||||||||||||||||</v>
      </c>
    </row>
    <row r="182" spans="2:15" ht="15" x14ac:dyDescent="0.2">
      <c r="B182" s="195" t="s">
        <v>1670</v>
      </c>
      <c r="C182" s="195" t="s">
        <v>1669</v>
      </c>
      <c r="D182" s="196" t="s">
        <v>17</v>
      </c>
      <c r="E182" s="196" t="s">
        <v>21</v>
      </c>
      <c r="F182" s="196">
        <v>189</v>
      </c>
      <c r="G182" s="197">
        <v>30391</v>
      </c>
      <c r="H182" s="198">
        <f t="shared" si="7"/>
        <v>37</v>
      </c>
      <c r="I182" s="196">
        <v>2</v>
      </c>
      <c r="J182" s="196" t="str">
        <f t="shared" si="9"/>
        <v>prob langue</v>
      </c>
      <c r="O182" s="62" t="str">
        <f t="shared" si="8"/>
        <v>||||||||||||||||</v>
      </c>
    </row>
    <row r="183" spans="2:15" ht="15" x14ac:dyDescent="0.2">
      <c r="B183" s="195" t="s">
        <v>1440</v>
      </c>
      <c r="C183" s="195" t="s">
        <v>1663</v>
      </c>
      <c r="D183" s="196" t="s">
        <v>157</v>
      </c>
      <c r="E183" s="196" t="s">
        <v>17</v>
      </c>
      <c r="F183" s="196">
        <v>155</v>
      </c>
      <c r="G183" s="197">
        <v>28379</v>
      </c>
      <c r="H183" s="198">
        <f t="shared" si="7"/>
        <v>43</v>
      </c>
      <c r="I183" s="196">
        <v>3</v>
      </c>
      <c r="J183" s="196" t="str">
        <f t="shared" si="9"/>
        <v>prob taille</v>
      </c>
      <c r="O183" s="62" t="str">
        <f t="shared" si="8"/>
        <v>|||||||||||</v>
      </c>
    </row>
    <row r="184" spans="2:15" ht="15" x14ac:dyDescent="0.2">
      <c r="B184" s="195" t="s">
        <v>1660</v>
      </c>
      <c r="C184" s="195" t="s">
        <v>1659</v>
      </c>
      <c r="D184" s="196" t="s">
        <v>17</v>
      </c>
      <c r="E184" s="196" t="s">
        <v>21</v>
      </c>
      <c r="F184" s="196">
        <v>159</v>
      </c>
      <c r="G184" s="197">
        <v>29499</v>
      </c>
      <c r="H184" s="198">
        <f t="shared" si="7"/>
        <v>40</v>
      </c>
      <c r="I184" s="196">
        <v>3</v>
      </c>
      <c r="J184" s="196" t="str">
        <f t="shared" si="9"/>
        <v>prob langue</v>
      </c>
      <c r="O184" s="62" t="str">
        <f t="shared" si="8"/>
        <v>|||||</v>
      </c>
    </row>
    <row r="185" spans="2:15" ht="15" x14ac:dyDescent="0.2">
      <c r="B185" s="195" t="s">
        <v>1331</v>
      </c>
      <c r="C185" s="195" t="s">
        <v>1655</v>
      </c>
      <c r="D185" s="196" t="s">
        <v>17</v>
      </c>
      <c r="E185" s="196" t="s">
        <v>17</v>
      </c>
      <c r="F185" s="196">
        <v>155</v>
      </c>
      <c r="G185" s="197">
        <v>24622</v>
      </c>
      <c r="H185" s="198">
        <f t="shared" si="7"/>
        <v>53</v>
      </c>
      <c r="I185" s="196">
        <v>3</v>
      </c>
      <c r="J185" s="196" t="str">
        <f t="shared" si="9"/>
        <v>prob langue</v>
      </c>
      <c r="O185" s="62" t="str">
        <f t="shared" si="8"/>
        <v>||||||||||||||||||||||||||||||</v>
      </c>
    </row>
    <row r="186" spans="2:15" ht="15" x14ac:dyDescent="0.2">
      <c r="B186" s="195" t="s">
        <v>501</v>
      </c>
      <c r="C186" s="195" t="s">
        <v>1652</v>
      </c>
      <c r="D186" s="196" t="s">
        <v>157</v>
      </c>
      <c r="E186" s="196" t="s">
        <v>21</v>
      </c>
      <c r="F186" s="196">
        <v>159</v>
      </c>
      <c r="G186" s="197">
        <v>23579</v>
      </c>
      <c r="H186" s="198">
        <f t="shared" si="7"/>
        <v>56</v>
      </c>
      <c r="I186" s="196">
        <v>1</v>
      </c>
      <c r="J186" s="196" t="str">
        <f t="shared" si="9"/>
        <v>prob gender</v>
      </c>
      <c r="O186" s="62" t="str">
        <f t="shared" si="8"/>
        <v>|||||||||||||||||||||</v>
      </c>
    </row>
    <row r="187" spans="2:15" ht="15" x14ac:dyDescent="0.2">
      <c r="B187" s="195" t="s">
        <v>1647</v>
      </c>
      <c r="C187" s="195" t="s">
        <v>1646</v>
      </c>
      <c r="D187" s="196" t="s">
        <v>17</v>
      </c>
      <c r="E187" s="196" t="s">
        <v>17</v>
      </c>
      <c r="F187" s="196">
        <v>175</v>
      </c>
      <c r="G187" s="197">
        <v>27954</v>
      </c>
      <c r="H187" s="198">
        <f t="shared" si="7"/>
        <v>44</v>
      </c>
      <c r="I187" s="196">
        <v>3</v>
      </c>
      <c r="J187" s="196" t="str">
        <f t="shared" si="9"/>
        <v>prob langue</v>
      </c>
      <c r="O187" s="62" t="str">
        <f t="shared" si="8"/>
        <v>|||||||||||||</v>
      </c>
    </row>
    <row r="188" spans="2:15" ht="15" x14ac:dyDescent="0.2">
      <c r="B188" s="195" t="s">
        <v>1642</v>
      </c>
      <c r="C188" s="195" t="s">
        <v>1641</v>
      </c>
      <c r="D188" s="196" t="s">
        <v>17</v>
      </c>
      <c r="E188" s="196" t="s">
        <v>17</v>
      </c>
      <c r="F188" s="196">
        <v>159</v>
      </c>
      <c r="G188" s="197">
        <v>21910</v>
      </c>
      <c r="H188" s="198">
        <f t="shared" si="7"/>
        <v>61</v>
      </c>
      <c r="I188" s="196">
        <v>2</v>
      </c>
      <c r="J188" s="196" t="str">
        <f t="shared" si="9"/>
        <v>prob langue</v>
      </c>
      <c r="O188" s="62" t="str">
        <f t="shared" si="8"/>
        <v>||||||||||||||||||||||||||</v>
      </c>
    </row>
    <row r="189" spans="2:15" ht="15" x14ac:dyDescent="0.2">
      <c r="B189" s="195" t="s">
        <v>1001</v>
      </c>
      <c r="C189" s="195" t="s">
        <v>1635</v>
      </c>
      <c r="D189" s="196" t="s">
        <v>17</v>
      </c>
      <c r="E189" s="196" t="s">
        <v>17</v>
      </c>
      <c r="F189" s="196">
        <v>178</v>
      </c>
      <c r="G189" s="197">
        <v>32478</v>
      </c>
      <c r="H189" s="198">
        <f t="shared" si="7"/>
        <v>32</v>
      </c>
      <c r="I189" s="196">
        <v>2</v>
      </c>
      <c r="J189" s="196" t="str">
        <f t="shared" si="9"/>
        <v>prob langue</v>
      </c>
      <c r="O189" s="62" t="str">
        <f t="shared" si="8"/>
        <v>|</v>
      </c>
    </row>
    <row r="190" spans="2:15" ht="15" x14ac:dyDescent="0.2">
      <c r="B190" s="195" t="s">
        <v>288</v>
      </c>
      <c r="C190" s="195" t="s">
        <v>1632</v>
      </c>
      <c r="D190" s="196" t="s">
        <v>17</v>
      </c>
      <c r="E190" s="196" t="s">
        <v>21</v>
      </c>
      <c r="F190" s="196">
        <v>161</v>
      </c>
      <c r="G190" s="197">
        <v>22625</v>
      </c>
      <c r="H190" s="198">
        <f t="shared" si="7"/>
        <v>59</v>
      </c>
      <c r="I190" s="196">
        <v>3</v>
      </c>
      <c r="J190" s="196" t="str">
        <f t="shared" si="9"/>
        <v>prob langue</v>
      </c>
      <c r="O190" s="62" t="str">
        <f t="shared" si="8"/>
        <v>||||||||||</v>
      </c>
    </row>
    <row r="191" spans="2:15" ht="15" x14ac:dyDescent="0.2">
      <c r="B191" s="195" t="s">
        <v>1627</v>
      </c>
      <c r="C191" s="195" t="s">
        <v>1626</v>
      </c>
      <c r="D191" s="196" t="s">
        <v>157</v>
      </c>
      <c r="E191" s="196" t="s">
        <v>21</v>
      </c>
      <c r="F191" s="196">
        <v>188</v>
      </c>
      <c r="G191" s="197">
        <v>31233</v>
      </c>
      <c r="H191" s="198">
        <f t="shared" si="7"/>
        <v>35</v>
      </c>
      <c r="I191" s="196">
        <v>2</v>
      </c>
      <c r="J191" s="196" t="str">
        <f t="shared" si="9"/>
        <v>prob gender</v>
      </c>
      <c r="O191" s="62" t="str">
        <f t="shared" si="8"/>
        <v>|||||</v>
      </c>
    </row>
    <row r="192" spans="2:15" ht="15" x14ac:dyDescent="0.2">
      <c r="B192" s="195" t="s">
        <v>1623</v>
      </c>
      <c r="C192" s="195" t="s">
        <v>1622</v>
      </c>
      <c r="D192" s="196" t="s">
        <v>17</v>
      </c>
      <c r="E192" s="196" t="s">
        <v>21</v>
      </c>
      <c r="F192" s="196">
        <v>178</v>
      </c>
      <c r="G192" s="197">
        <v>28833</v>
      </c>
      <c r="H192" s="198">
        <f t="shared" si="7"/>
        <v>42</v>
      </c>
      <c r="I192" s="196">
        <v>1</v>
      </c>
      <c r="J192" s="196" t="str">
        <f t="shared" si="9"/>
        <v>prob langue</v>
      </c>
      <c r="O192" s="62" t="str">
        <f t="shared" si="8"/>
        <v>|||||||||</v>
      </c>
    </row>
    <row r="193" spans="2:15" ht="15" x14ac:dyDescent="0.2">
      <c r="B193" s="195" t="s">
        <v>1619</v>
      </c>
      <c r="C193" s="195" t="s">
        <v>1618</v>
      </c>
      <c r="D193" s="196" t="s">
        <v>17</v>
      </c>
      <c r="E193" s="196" t="s">
        <v>17</v>
      </c>
      <c r="F193" s="196">
        <v>174</v>
      </c>
      <c r="G193" s="197">
        <v>30142</v>
      </c>
      <c r="H193" s="198">
        <f t="shared" si="7"/>
        <v>38</v>
      </c>
      <c r="I193" s="196">
        <v>1</v>
      </c>
      <c r="J193" s="196" t="str">
        <f t="shared" si="9"/>
        <v>prob langue</v>
      </c>
      <c r="O193" s="62" t="str">
        <f t="shared" si="8"/>
        <v>||||||||||</v>
      </c>
    </row>
    <row r="194" spans="2:15" ht="15" x14ac:dyDescent="0.2">
      <c r="B194" s="195" t="s">
        <v>1615</v>
      </c>
      <c r="C194" s="195" t="s">
        <v>1614</v>
      </c>
      <c r="D194" s="196" t="s">
        <v>17</v>
      </c>
      <c r="E194" s="196" t="s">
        <v>17</v>
      </c>
      <c r="F194" s="196">
        <v>167</v>
      </c>
      <c r="G194" s="197">
        <v>27380</v>
      </c>
      <c r="H194" s="198">
        <f t="shared" si="7"/>
        <v>46</v>
      </c>
      <c r="I194" s="196">
        <v>1</v>
      </c>
      <c r="J194" s="196" t="str">
        <f t="shared" si="9"/>
        <v>prob langue</v>
      </c>
      <c r="O194" s="62" t="str">
        <f t="shared" si="8"/>
        <v>|||||||||||||||||</v>
      </c>
    </row>
    <row r="195" spans="2:15" ht="15" x14ac:dyDescent="0.2">
      <c r="B195" s="195" t="s">
        <v>748</v>
      </c>
      <c r="C195" s="195" t="s">
        <v>1611</v>
      </c>
      <c r="D195" s="196" t="s">
        <v>157</v>
      </c>
      <c r="E195" s="196" t="s">
        <v>21</v>
      </c>
      <c r="F195" s="196">
        <v>170</v>
      </c>
      <c r="G195" s="197">
        <v>25628</v>
      </c>
      <c r="H195" s="198">
        <f t="shared" si="7"/>
        <v>50</v>
      </c>
      <c r="I195" s="196">
        <v>3</v>
      </c>
      <c r="J195" s="196" t="str">
        <f t="shared" si="9"/>
        <v>prob gender</v>
      </c>
      <c r="O195" s="62" t="str">
        <f t="shared" si="8"/>
        <v>|</v>
      </c>
    </row>
    <row r="196" spans="2:15" ht="15" x14ac:dyDescent="0.2">
      <c r="B196" s="195" t="s">
        <v>423</v>
      </c>
      <c r="C196" s="195" t="s">
        <v>1601</v>
      </c>
      <c r="D196" s="196" t="s">
        <v>157</v>
      </c>
      <c r="E196" s="196" t="s">
        <v>17</v>
      </c>
      <c r="F196" s="196">
        <v>186</v>
      </c>
      <c r="G196" s="197">
        <v>33180</v>
      </c>
      <c r="H196" s="198">
        <f t="shared" si="7"/>
        <v>30</v>
      </c>
      <c r="I196" s="196">
        <v>3</v>
      </c>
      <c r="J196" s="196" t="str">
        <f t="shared" si="9"/>
        <v>prob dispo</v>
      </c>
      <c r="O196" s="62" t="str">
        <f t="shared" si="8"/>
        <v>|||</v>
      </c>
    </row>
    <row r="197" spans="2:15" ht="15" x14ac:dyDescent="0.2">
      <c r="B197" s="195" t="s">
        <v>1597</v>
      </c>
      <c r="C197" s="195" t="s">
        <v>1596</v>
      </c>
      <c r="D197" s="196" t="s">
        <v>157</v>
      </c>
      <c r="E197" s="196" t="s">
        <v>17</v>
      </c>
      <c r="F197" s="196">
        <v>178</v>
      </c>
      <c r="G197" s="197">
        <v>30580</v>
      </c>
      <c r="H197" s="198">
        <f t="shared" si="7"/>
        <v>37</v>
      </c>
      <c r="I197" s="196">
        <v>1</v>
      </c>
      <c r="J197" s="196" t="str">
        <f t="shared" si="9"/>
        <v>OK</v>
      </c>
      <c r="O197" s="62" t="str">
        <f t="shared" si="8"/>
        <v>|||||||||||||||||||||</v>
      </c>
    </row>
    <row r="198" spans="2:15" ht="15" x14ac:dyDescent="0.2">
      <c r="B198" s="195" t="s">
        <v>1593</v>
      </c>
      <c r="C198" s="195" t="s">
        <v>1592</v>
      </c>
      <c r="D198" s="196" t="s">
        <v>17</v>
      </c>
      <c r="E198" s="196" t="s">
        <v>21</v>
      </c>
      <c r="F198" s="196">
        <v>159</v>
      </c>
      <c r="G198" s="197">
        <v>33948</v>
      </c>
      <c r="H198" s="198">
        <f t="shared" ref="H198:H261" si="10">ROUNDDOWN(($L$16-G198) /365.25,0)</f>
        <v>28</v>
      </c>
      <c r="I198" s="196">
        <v>2</v>
      </c>
      <c r="J198" s="196" t="str">
        <f t="shared" si="9"/>
        <v>prob langue</v>
      </c>
      <c r="O198" s="62" t="str">
        <f t="shared" ref="O198:O261" si="11">REPT("|",DAY(G198))</f>
        <v>||||||||||</v>
      </c>
    </row>
    <row r="199" spans="2:15" ht="15" x14ac:dyDescent="0.2">
      <c r="B199" s="195" t="s">
        <v>1589</v>
      </c>
      <c r="C199" s="195" t="s">
        <v>1585</v>
      </c>
      <c r="D199" s="196" t="s">
        <v>17</v>
      </c>
      <c r="E199" s="196" t="s">
        <v>21</v>
      </c>
      <c r="F199" s="196">
        <v>186</v>
      </c>
      <c r="G199" s="197">
        <v>26481</v>
      </c>
      <c r="H199" s="198">
        <f t="shared" si="10"/>
        <v>48</v>
      </c>
      <c r="I199" s="196">
        <v>1</v>
      </c>
      <c r="J199" s="196" t="str">
        <f t="shared" ref="J199:J262" si="12">IF(D199=$L$12,IF(E199=$L$13,IF(F199&gt;=$L$14,IF(H199&lt;=$L$15,IF(I199=1,"OK","prob dispo"),"prob âge"),"prob taille"),"prob gender"),"prob langue")</f>
        <v>prob langue</v>
      </c>
      <c r="O199" s="62" t="str">
        <f t="shared" si="11"/>
        <v>|</v>
      </c>
    </row>
    <row r="200" spans="2:15" ht="15" x14ac:dyDescent="0.2">
      <c r="B200" s="195" t="s">
        <v>65</v>
      </c>
      <c r="C200" s="195" t="s">
        <v>1585</v>
      </c>
      <c r="D200" s="196" t="s">
        <v>157</v>
      </c>
      <c r="E200" s="196" t="s">
        <v>17</v>
      </c>
      <c r="F200" s="196">
        <v>162</v>
      </c>
      <c r="G200" s="197">
        <v>27806</v>
      </c>
      <c r="H200" s="198">
        <f t="shared" si="10"/>
        <v>44</v>
      </c>
      <c r="I200" s="196">
        <v>2</v>
      </c>
      <c r="J200" s="196" t="str">
        <f t="shared" si="12"/>
        <v>prob taille</v>
      </c>
      <c r="O200" s="62" t="str">
        <f t="shared" si="11"/>
        <v>||||||||||||||||</v>
      </c>
    </row>
    <row r="201" spans="2:15" ht="15" x14ac:dyDescent="0.2">
      <c r="B201" s="195" t="s">
        <v>89</v>
      </c>
      <c r="C201" s="195" t="s">
        <v>1580</v>
      </c>
      <c r="D201" s="196" t="s">
        <v>157</v>
      </c>
      <c r="E201" s="196" t="s">
        <v>21</v>
      </c>
      <c r="F201" s="196">
        <v>163</v>
      </c>
      <c r="G201" s="197">
        <v>33728</v>
      </c>
      <c r="H201" s="198">
        <f t="shared" si="10"/>
        <v>28</v>
      </c>
      <c r="I201" s="196">
        <v>3</v>
      </c>
      <c r="J201" s="196" t="str">
        <f t="shared" si="12"/>
        <v>prob gender</v>
      </c>
      <c r="O201" s="62" t="str">
        <f t="shared" si="11"/>
        <v>||||</v>
      </c>
    </row>
    <row r="202" spans="2:15" ht="15" x14ac:dyDescent="0.2">
      <c r="B202" s="195" t="s">
        <v>748</v>
      </c>
      <c r="C202" s="195" t="s">
        <v>1577</v>
      </c>
      <c r="D202" s="196" t="s">
        <v>157</v>
      </c>
      <c r="E202" s="196" t="s">
        <v>21</v>
      </c>
      <c r="F202" s="196">
        <v>181</v>
      </c>
      <c r="G202" s="197">
        <v>27108</v>
      </c>
      <c r="H202" s="198">
        <f t="shared" si="10"/>
        <v>46</v>
      </c>
      <c r="I202" s="196">
        <v>3</v>
      </c>
      <c r="J202" s="196" t="str">
        <f t="shared" si="12"/>
        <v>prob gender</v>
      </c>
      <c r="O202" s="62" t="str">
        <f t="shared" si="11"/>
        <v>||||||||||||||||||||</v>
      </c>
    </row>
    <row r="203" spans="2:15" ht="15" x14ac:dyDescent="0.2">
      <c r="B203" s="195" t="s">
        <v>1574</v>
      </c>
      <c r="C203" s="195" t="s">
        <v>1573</v>
      </c>
      <c r="D203" s="196" t="s">
        <v>17</v>
      </c>
      <c r="E203" s="196" t="s">
        <v>17</v>
      </c>
      <c r="F203" s="196">
        <v>170</v>
      </c>
      <c r="G203" s="197">
        <v>26390</v>
      </c>
      <c r="H203" s="198">
        <f t="shared" si="10"/>
        <v>48</v>
      </c>
      <c r="I203" s="196">
        <v>1</v>
      </c>
      <c r="J203" s="196" t="str">
        <f t="shared" si="12"/>
        <v>prob langue</v>
      </c>
      <c r="O203" s="62" t="str">
        <f t="shared" si="11"/>
        <v>|</v>
      </c>
    </row>
    <row r="204" spans="2:15" ht="15" x14ac:dyDescent="0.2">
      <c r="B204" s="195" t="s">
        <v>57</v>
      </c>
      <c r="C204" s="195" t="s">
        <v>1568</v>
      </c>
      <c r="D204" s="196" t="s">
        <v>17</v>
      </c>
      <c r="E204" s="196" t="s">
        <v>21</v>
      </c>
      <c r="F204" s="196">
        <v>191</v>
      </c>
      <c r="G204" s="197">
        <v>21775</v>
      </c>
      <c r="H204" s="198">
        <f t="shared" si="10"/>
        <v>61</v>
      </c>
      <c r="I204" s="196">
        <v>2</v>
      </c>
      <c r="J204" s="196" t="str">
        <f t="shared" si="12"/>
        <v>prob langue</v>
      </c>
      <c r="O204" s="62" t="str">
        <f t="shared" si="11"/>
        <v>|||||||||||||</v>
      </c>
    </row>
    <row r="205" spans="2:15" ht="15" x14ac:dyDescent="0.2">
      <c r="B205" s="195" t="s">
        <v>1149</v>
      </c>
      <c r="C205" s="195" t="s">
        <v>1564</v>
      </c>
      <c r="D205" s="196" t="s">
        <v>157</v>
      </c>
      <c r="E205" s="196" t="s">
        <v>21</v>
      </c>
      <c r="F205" s="196">
        <v>190</v>
      </c>
      <c r="G205" s="197">
        <v>26478</v>
      </c>
      <c r="H205" s="198">
        <f t="shared" si="10"/>
        <v>48</v>
      </c>
      <c r="I205" s="196">
        <v>2</v>
      </c>
      <c r="J205" s="196" t="str">
        <f t="shared" si="12"/>
        <v>prob gender</v>
      </c>
      <c r="O205" s="62" t="str">
        <f t="shared" si="11"/>
        <v>||||||||||||||||||||||||||||</v>
      </c>
    </row>
    <row r="206" spans="2:15" ht="15" x14ac:dyDescent="0.2">
      <c r="B206" s="195" t="s">
        <v>1084</v>
      </c>
      <c r="C206" s="195" t="s">
        <v>1561</v>
      </c>
      <c r="D206" s="196" t="s">
        <v>17</v>
      </c>
      <c r="E206" s="196" t="s">
        <v>17</v>
      </c>
      <c r="F206" s="196">
        <v>181</v>
      </c>
      <c r="G206" s="197">
        <v>28005</v>
      </c>
      <c r="H206" s="198">
        <f t="shared" si="10"/>
        <v>44</v>
      </c>
      <c r="I206" s="196">
        <v>1</v>
      </c>
      <c r="J206" s="196" t="str">
        <f t="shared" si="12"/>
        <v>prob langue</v>
      </c>
      <c r="O206" s="62" t="str">
        <f t="shared" si="11"/>
        <v>||</v>
      </c>
    </row>
    <row r="207" spans="2:15" ht="15" x14ac:dyDescent="0.2">
      <c r="B207" s="195" t="s">
        <v>1558</v>
      </c>
      <c r="C207" s="195" t="s">
        <v>1557</v>
      </c>
      <c r="D207" s="196" t="s">
        <v>17</v>
      </c>
      <c r="E207" s="196" t="s">
        <v>21</v>
      </c>
      <c r="F207" s="196">
        <v>195</v>
      </c>
      <c r="G207" s="197">
        <v>27086</v>
      </c>
      <c r="H207" s="198">
        <f t="shared" si="10"/>
        <v>46</v>
      </c>
      <c r="I207" s="196">
        <v>2</v>
      </c>
      <c r="J207" s="196" t="str">
        <f t="shared" si="12"/>
        <v>prob langue</v>
      </c>
      <c r="O207" s="62" t="str">
        <f t="shared" si="11"/>
        <v>||||||||||||||||||||||||||</v>
      </c>
    </row>
    <row r="208" spans="2:15" ht="15" x14ac:dyDescent="0.2">
      <c r="B208" s="195" t="s">
        <v>198</v>
      </c>
      <c r="C208" s="195" t="s">
        <v>1553</v>
      </c>
      <c r="D208" s="196" t="s">
        <v>17</v>
      </c>
      <c r="E208" s="196" t="s">
        <v>21</v>
      </c>
      <c r="F208" s="196">
        <v>157</v>
      </c>
      <c r="G208" s="197">
        <v>29164</v>
      </c>
      <c r="H208" s="198">
        <f t="shared" si="10"/>
        <v>41</v>
      </c>
      <c r="I208" s="196">
        <v>1</v>
      </c>
      <c r="J208" s="196" t="str">
        <f t="shared" si="12"/>
        <v>prob langue</v>
      </c>
      <c r="O208" s="62" t="str">
        <f t="shared" si="11"/>
        <v>|||||</v>
      </c>
    </row>
    <row r="209" spans="2:15" ht="15" x14ac:dyDescent="0.2">
      <c r="B209" s="195" t="s">
        <v>345</v>
      </c>
      <c r="C209" s="195" t="s">
        <v>1550</v>
      </c>
      <c r="D209" s="196" t="s">
        <v>157</v>
      </c>
      <c r="E209" s="196" t="s">
        <v>21</v>
      </c>
      <c r="F209" s="196">
        <v>188</v>
      </c>
      <c r="G209" s="197">
        <v>31488</v>
      </c>
      <c r="H209" s="198">
        <f t="shared" si="10"/>
        <v>34</v>
      </c>
      <c r="I209" s="196">
        <v>3</v>
      </c>
      <c r="J209" s="196" t="str">
        <f t="shared" si="12"/>
        <v>prob gender</v>
      </c>
      <c r="O209" s="62" t="str">
        <f t="shared" si="11"/>
        <v>|||||||||||||||||</v>
      </c>
    </row>
    <row r="210" spans="2:15" ht="15" x14ac:dyDescent="0.2">
      <c r="B210" s="195" t="s">
        <v>98</v>
      </c>
      <c r="C210" s="195" t="s">
        <v>1547</v>
      </c>
      <c r="D210" s="196" t="s">
        <v>17</v>
      </c>
      <c r="E210" s="196" t="s">
        <v>21</v>
      </c>
      <c r="F210" s="196">
        <v>159</v>
      </c>
      <c r="G210" s="197">
        <v>33331</v>
      </c>
      <c r="H210" s="198">
        <f t="shared" si="10"/>
        <v>29</v>
      </c>
      <c r="I210" s="196">
        <v>3</v>
      </c>
      <c r="J210" s="196" t="str">
        <f t="shared" si="12"/>
        <v>prob langue</v>
      </c>
      <c r="O210" s="62" t="str">
        <f t="shared" si="11"/>
        <v>|||</v>
      </c>
    </row>
    <row r="211" spans="2:15" ht="15" x14ac:dyDescent="0.2">
      <c r="B211" s="195" t="s">
        <v>1046</v>
      </c>
      <c r="C211" s="195" t="s">
        <v>1544</v>
      </c>
      <c r="D211" s="196" t="s">
        <v>157</v>
      </c>
      <c r="E211" s="196" t="s">
        <v>21</v>
      </c>
      <c r="F211" s="196">
        <v>190</v>
      </c>
      <c r="G211" s="197">
        <v>33063</v>
      </c>
      <c r="H211" s="198">
        <f t="shared" si="10"/>
        <v>30</v>
      </c>
      <c r="I211" s="196">
        <v>2</v>
      </c>
      <c r="J211" s="196" t="str">
        <f t="shared" si="12"/>
        <v>prob gender</v>
      </c>
      <c r="O211" s="62" t="str">
        <f t="shared" si="11"/>
        <v>|||||||||</v>
      </c>
    </row>
    <row r="212" spans="2:15" ht="15" x14ac:dyDescent="0.2">
      <c r="B212" s="195" t="s">
        <v>60</v>
      </c>
      <c r="C212" s="195" t="s">
        <v>1541</v>
      </c>
      <c r="D212" s="196" t="s">
        <v>157</v>
      </c>
      <c r="E212" s="196" t="s">
        <v>21</v>
      </c>
      <c r="F212" s="196">
        <v>176</v>
      </c>
      <c r="G212" s="197">
        <v>22820</v>
      </c>
      <c r="H212" s="198">
        <f t="shared" si="10"/>
        <v>58</v>
      </c>
      <c r="I212" s="196">
        <v>3</v>
      </c>
      <c r="J212" s="196" t="str">
        <f t="shared" si="12"/>
        <v>prob gender</v>
      </c>
      <c r="O212" s="62" t="str">
        <f t="shared" si="11"/>
        <v>|||||||||||||||||||||||</v>
      </c>
    </row>
    <row r="213" spans="2:15" ht="15" x14ac:dyDescent="0.2">
      <c r="B213" s="195" t="s">
        <v>1538</v>
      </c>
      <c r="C213" s="195" t="s">
        <v>1537</v>
      </c>
      <c r="D213" s="196" t="s">
        <v>17</v>
      </c>
      <c r="E213" s="196" t="s">
        <v>17</v>
      </c>
      <c r="F213" s="196">
        <v>162</v>
      </c>
      <c r="G213" s="197">
        <v>28547</v>
      </c>
      <c r="H213" s="198">
        <f t="shared" si="10"/>
        <v>42</v>
      </c>
      <c r="I213" s="196">
        <v>1</v>
      </c>
      <c r="J213" s="196" t="str">
        <f t="shared" si="12"/>
        <v>prob langue</v>
      </c>
      <c r="O213" s="62" t="str">
        <f t="shared" si="11"/>
        <v>||||||||||||||||||||||||||</v>
      </c>
    </row>
    <row r="214" spans="2:15" ht="15" x14ac:dyDescent="0.2">
      <c r="B214" s="195" t="s">
        <v>269</v>
      </c>
      <c r="C214" s="195" t="s">
        <v>1533</v>
      </c>
      <c r="D214" s="196" t="s">
        <v>157</v>
      </c>
      <c r="E214" s="196" t="s">
        <v>21</v>
      </c>
      <c r="F214" s="196">
        <v>172</v>
      </c>
      <c r="G214" s="197">
        <v>32858</v>
      </c>
      <c r="H214" s="198">
        <f t="shared" si="10"/>
        <v>31</v>
      </c>
      <c r="I214" s="196">
        <v>3</v>
      </c>
      <c r="J214" s="196" t="str">
        <f t="shared" si="12"/>
        <v>prob gender</v>
      </c>
      <c r="O214" s="62" t="str">
        <f t="shared" si="11"/>
        <v>||||||||||||||||</v>
      </c>
    </row>
    <row r="215" spans="2:15" ht="15" x14ac:dyDescent="0.2">
      <c r="B215" s="195" t="s">
        <v>647</v>
      </c>
      <c r="C215" s="195" t="s">
        <v>1523</v>
      </c>
      <c r="D215" s="196" t="s">
        <v>157</v>
      </c>
      <c r="E215" s="196" t="s">
        <v>21</v>
      </c>
      <c r="F215" s="196">
        <v>195</v>
      </c>
      <c r="G215" s="197">
        <v>25179</v>
      </c>
      <c r="H215" s="198">
        <f t="shared" si="10"/>
        <v>52</v>
      </c>
      <c r="I215" s="196">
        <v>3</v>
      </c>
      <c r="J215" s="196" t="str">
        <f t="shared" si="12"/>
        <v>prob gender</v>
      </c>
      <c r="O215" s="62" t="str">
        <f t="shared" si="11"/>
        <v>|||||||</v>
      </c>
    </row>
    <row r="216" spans="2:15" ht="15" x14ac:dyDescent="0.2">
      <c r="B216" s="195" t="s">
        <v>101</v>
      </c>
      <c r="C216" s="195" t="s">
        <v>1523</v>
      </c>
      <c r="D216" s="196" t="s">
        <v>17</v>
      </c>
      <c r="E216" s="196" t="s">
        <v>21</v>
      </c>
      <c r="F216" s="196">
        <v>184</v>
      </c>
      <c r="G216" s="197">
        <v>27716</v>
      </c>
      <c r="H216" s="198">
        <f t="shared" si="10"/>
        <v>45</v>
      </c>
      <c r="I216" s="196">
        <v>2</v>
      </c>
      <c r="J216" s="196" t="str">
        <f t="shared" si="12"/>
        <v>prob langue</v>
      </c>
      <c r="O216" s="62" t="str">
        <f t="shared" si="11"/>
        <v>||||||||||||||||||</v>
      </c>
    </row>
    <row r="217" spans="2:15" ht="15" x14ac:dyDescent="0.2">
      <c r="B217" s="195" t="s">
        <v>578</v>
      </c>
      <c r="C217" s="195" t="s">
        <v>1514</v>
      </c>
      <c r="D217" s="196" t="s">
        <v>17</v>
      </c>
      <c r="E217" s="196" t="s">
        <v>17</v>
      </c>
      <c r="F217" s="196">
        <v>168</v>
      </c>
      <c r="G217" s="197">
        <v>23990</v>
      </c>
      <c r="H217" s="198">
        <f t="shared" si="10"/>
        <v>55</v>
      </c>
      <c r="I217" s="196">
        <v>3</v>
      </c>
      <c r="J217" s="196" t="str">
        <f t="shared" si="12"/>
        <v>prob langue</v>
      </c>
      <c r="O217" s="62" t="str">
        <f t="shared" si="11"/>
        <v>|||||</v>
      </c>
    </row>
    <row r="218" spans="2:15" ht="15" x14ac:dyDescent="0.2">
      <c r="B218" s="195" t="s">
        <v>77</v>
      </c>
      <c r="C218" s="195" t="s">
        <v>1514</v>
      </c>
      <c r="D218" s="196" t="s">
        <v>157</v>
      </c>
      <c r="E218" s="196" t="s">
        <v>17</v>
      </c>
      <c r="F218" s="196">
        <v>184</v>
      </c>
      <c r="G218" s="197">
        <v>33044</v>
      </c>
      <c r="H218" s="198">
        <f t="shared" si="10"/>
        <v>30</v>
      </c>
      <c r="I218" s="196">
        <v>2</v>
      </c>
      <c r="J218" s="196" t="str">
        <f t="shared" si="12"/>
        <v>prob dispo</v>
      </c>
      <c r="O218" s="62" t="str">
        <f t="shared" si="11"/>
        <v>||||||||||||||||||||</v>
      </c>
    </row>
    <row r="219" spans="2:15" ht="15" x14ac:dyDescent="0.2">
      <c r="B219" s="195" t="s">
        <v>1511</v>
      </c>
      <c r="C219" s="195" t="s">
        <v>1508</v>
      </c>
      <c r="D219" s="196" t="s">
        <v>157</v>
      </c>
      <c r="E219" s="196" t="s">
        <v>17</v>
      </c>
      <c r="F219" s="196">
        <v>165</v>
      </c>
      <c r="G219" s="197">
        <v>29508</v>
      </c>
      <c r="H219" s="198">
        <f t="shared" si="10"/>
        <v>40</v>
      </c>
      <c r="I219" s="196">
        <v>2</v>
      </c>
      <c r="J219" s="196" t="str">
        <f t="shared" si="12"/>
        <v>prob dispo</v>
      </c>
      <c r="O219" s="62" t="str">
        <f t="shared" si="11"/>
        <v>||||||||||||||</v>
      </c>
    </row>
    <row r="220" spans="2:15" ht="15" x14ac:dyDescent="0.2">
      <c r="B220" s="195" t="s">
        <v>1509</v>
      </c>
      <c r="C220" s="195" t="s">
        <v>1508</v>
      </c>
      <c r="D220" s="196" t="s">
        <v>157</v>
      </c>
      <c r="E220" s="196" t="s">
        <v>17</v>
      </c>
      <c r="F220" s="196">
        <v>191</v>
      </c>
      <c r="G220" s="197">
        <v>33426</v>
      </c>
      <c r="H220" s="198">
        <f t="shared" si="10"/>
        <v>29</v>
      </c>
      <c r="I220" s="196">
        <v>2</v>
      </c>
      <c r="J220" s="196" t="str">
        <f t="shared" si="12"/>
        <v>prob dispo</v>
      </c>
      <c r="O220" s="62" t="str">
        <f t="shared" si="11"/>
        <v>|||||||</v>
      </c>
    </row>
    <row r="221" spans="2:15" ht="15" x14ac:dyDescent="0.2">
      <c r="B221" s="195" t="s">
        <v>1136</v>
      </c>
      <c r="C221" s="195" t="s">
        <v>1505</v>
      </c>
      <c r="D221" s="196" t="s">
        <v>17</v>
      </c>
      <c r="E221" s="196" t="s">
        <v>21</v>
      </c>
      <c r="F221" s="196">
        <v>175</v>
      </c>
      <c r="G221" s="197">
        <v>30540</v>
      </c>
      <c r="H221" s="198">
        <f t="shared" si="10"/>
        <v>37</v>
      </c>
      <c r="I221" s="196">
        <v>2</v>
      </c>
      <c r="J221" s="196" t="str">
        <f t="shared" si="12"/>
        <v>prob langue</v>
      </c>
      <c r="O221" s="62" t="str">
        <f t="shared" si="11"/>
        <v>||||||||||||</v>
      </c>
    </row>
    <row r="222" spans="2:15" ht="15" x14ac:dyDescent="0.2">
      <c r="B222" s="195" t="s">
        <v>1502</v>
      </c>
      <c r="C222" s="195" t="s">
        <v>1501</v>
      </c>
      <c r="D222" s="196" t="s">
        <v>157</v>
      </c>
      <c r="E222" s="196" t="s">
        <v>17</v>
      </c>
      <c r="F222" s="196">
        <v>194</v>
      </c>
      <c r="G222" s="197">
        <v>30925</v>
      </c>
      <c r="H222" s="198">
        <f t="shared" si="10"/>
        <v>36</v>
      </c>
      <c r="I222" s="196">
        <v>3</v>
      </c>
      <c r="J222" s="196" t="str">
        <f t="shared" si="12"/>
        <v>prob dispo</v>
      </c>
      <c r="O222" s="62" t="str">
        <f t="shared" si="11"/>
        <v>|||||||||||||||||||||||||||||||</v>
      </c>
    </row>
    <row r="223" spans="2:15" ht="15" x14ac:dyDescent="0.2">
      <c r="B223" s="195" t="s">
        <v>647</v>
      </c>
      <c r="C223" s="195" t="s">
        <v>1498</v>
      </c>
      <c r="D223" s="196" t="s">
        <v>17</v>
      </c>
      <c r="E223" s="196" t="s">
        <v>21</v>
      </c>
      <c r="F223" s="196">
        <v>174</v>
      </c>
      <c r="G223" s="197">
        <v>25584</v>
      </c>
      <c r="H223" s="198">
        <f t="shared" si="10"/>
        <v>50</v>
      </c>
      <c r="I223" s="196">
        <v>3</v>
      </c>
      <c r="J223" s="196" t="str">
        <f t="shared" si="12"/>
        <v>prob langue</v>
      </c>
      <c r="O223" s="62" t="str">
        <f t="shared" si="11"/>
        <v>||||||||||||||||</v>
      </c>
    </row>
    <row r="224" spans="2:15" ht="15" x14ac:dyDescent="0.2">
      <c r="B224" s="195" t="s">
        <v>1494</v>
      </c>
      <c r="C224" s="195" t="s">
        <v>1493</v>
      </c>
      <c r="D224" s="196" t="s">
        <v>17</v>
      </c>
      <c r="E224" s="196" t="s">
        <v>17</v>
      </c>
      <c r="F224" s="196">
        <v>178</v>
      </c>
      <c r="G224" s="197">
        <v>27136</v>
      </c>
      <c r="H224" s="198">
        <f t="shared" si="10"/>
        <v>46</v>
      </c>
      <c r="I224" s="196">
        <v>2</v>
      </c>
      <c r="J224" s="196" t="str">
        <f t="shared" si="12"/>
        <v>prob langue</v>
      </c>
      <c r="O224" s="62" t="str">
        <f t="shared" si="11"/>
        <v>|||||||||||||||||</v>
      </c>
    </row>
    <row r="225" spans="2:15" ht="15" x14ac:dyDescent="0.2">
      <c r="B225" s="195" t="s">
        <v>312</v>
      </c>
      <c r="C225" s="195" t="s">
        <v>1490</v>
      </c>
      <c r="D225" s="196" t="s">
        <v>17</v>
      </c>
      <c r="E225" s="196" t="s">
        <v>21</v>
      </c>
      <c r="F225" s="196">
        <v>180</v>
      </c>
      <c r="G225" s="197">
        <v>34476</v>
      </c>
      <c r="H225" s="198">
        <f t="shared" si="10"/>
        <v>26</v>
      </c>
      <c r="I225" s="196">
        <v>2</v>
      </c>
      <c r="J225" s="196" t="str">
        <f t="shared" si="12"/>
        <v>prob langue</v>
      </c>
      <c r="O225" s="62" t="str">
        <f t="shared" si="11"/>
        <v>||||||||||||||||||||||</v>
      </c>
    </row>
    <row r="226" spans="2:15" ht="15" x14ac:dyDescent="0.2">
      <c r="B226" s="195" t="s">
        <v>193</v>
      </c>
      <c r="C226" s="195" t="s">
        <v>1487</v>
      </c>
      <c r="D226" s="196" t="s">
        <v>17</v>
      </c>
      <c r="E226" s="196" t="s">
        <v>21</v>
      </c>
      <c r="F226" s="196">
        <v>187</v>
      </c>
      <c r="G226" s="197">
        <v>24792</v>
      </c>
      <c r="H226" s="198">
        <f t="shared" si="10"/>
        <v>53</v>
      </c>
      <c r="I226" s="196">
        <v>3</v>
      </c>
      <c r="J226" s="196" t="str">
        <f t="shared" si="12"/>
        <v>prob langue</v>
      </c>
      <c r="O226" s="62" t="str">
        <f t="shared" si="11"/>
        <v>||||||||||||||||</v>
      </c>
    </row>
    <row r="227" spans="2:15" ht="15" x14ac:dyDescent="0.2">
      <c r="B227" s="195" t="s">
        <v>260</v>
      </c>
      <c r="C227" s="195" t="s">
        <v>1481</v>
      </c>
      <c r="D227" s="196" t="s">
        <v>17</v>
      </c>
      <c r="E227" s="196" t="s">
        <v>17</v>
      </c>
      <c r="F227" s="196">
        <v>162</v>
      </c>
      <c r="G227" s="197">
        <v>30913</v>
      </c>
      <c r="H227" s="198">
        <f t="shared" si="10"/>
        <v>36</v>
      </c>
      <c r="I227" s="196">
        <v>1</v>
      </c>
      <c r="J227" s="196" t="str">
        <f t="shared" si="12"/>
        <v>prob langue</v>
      </c>
      <c r="O227" s="62" t="str">
        <f t="shared" si="11"/>
        <v>|||||||||||||||||||</v>
      </c>
    </row>
    <row r="228" spans="2:15" ht="15" x14ac:dyDescent="0.2">
      <c r="B228" s="195" t="s">
        <v>93</v>
      </c>
      <c r="C228" s="195" t="s">
        <v>1479</v>
      </c>
      <c r="D228" s="196" t="s">
        <v>157</v>
      </c>
      <c r="E228" s="196" t="s">
        <v>21</v>
      </c>
      <c r="F228" s="196">
        <v>181</v>
      </c>
      <c r="G228" s="197">
        <v>25412</v>
      </c>
      <c r="H228" s="198">
        <f t="shared" si="10"/>
        <v>51</v>
      </c>
      <c r="I228" s="196">
        <v>1</v>
      </c>
      <c r="J228" s="196" t="str">
        <f t="shared" si="12"/>
        <v>prob gender</v>
      </c>
      <c r="O228" s="62" t="str">
        <f t="shared" si="11"/>
        <v>||||||||||||||||||||||||||||</v>
      </c>
    </row>
    <row r="229" spans="2:15" ht="15" x14ac:dyDescent="0.2">
      <c r="B229" s="195" t="s">
        <v>1468</v>
      </c>
      <c r="C229" s="195" t="s">
        <v>1467</v>
      </c>
      <c r="D229" s="196" t="s">
        <v>157</v>
      </c>
      <c r="E229" s="196" t="s">
        <v>21</v>
      </c>
      <c r="F229" s="196">
        <v>162</v>
      </c>
      <c r="G229" s="197">
        <v>31463</v>
      </c>
      <c r="H229" s="198">
        <f t="shared" si="10"/>
        <v>34</v>
      </c>
      <c r="I229" s="196">
        <v>1</v>
      </c>
      <c r="J229" s="196" t="str">
        <f t="shared" si="12"/>
        <v>prob gender</v>
      </c>
      <c r="O229" s="62" t="str">
        <f t="shared" si="11"/>
        <v>||||||||||||||||||||</v>
      </c>
    </row>
    <row r="230" spans="2:15" ht="15" x14ac:dyDescent="0.2">
      <c r="B230" s="195" t="s">
        <v>1462</v>
      </c>
      <c r="C230" s="195" t="s">
        <v>1461</v>
      </c>
      <c r="D230" s="196" t="s">
        <v>17</v>
      </c>
      <c r="E230" s="196" t="s">
        <v>21</v>
      </c>
      <c r="F230" s="196">
        <v>190</v>
      </c>
      <c r="G230" s="197">
        <v>31308</v>
      </c>
      <c r="H230" s="198">
        <f t="shared" si="10"/>
        <v>35</v>
      </c>
      <c r="I230" s="196">
        <v>3</v>
      </c>
      <c r="J230" s="196" t="str">
        <f t="shared" si="12"/>
        <v>prob langue</v>
      </c>
      <c r="O230" s="62" t="str">
        <f t="shared" si="11"/>
        <v>||||||||||||||||||</v>
      </c>
    </row>
    <row r="231" spans="2:15" ht="15" x14ac:dyDescent="0.2">
      <c r="B231" s="195" t="s">
        <v>227</v>
      </c>
      <c r="C231" s="195" t="s">
        <v>1457</v>
      </c>
      <c r="D231" s="196" t="s">
        <v>17</v>
      </c>
      <c r="E231" s="196" t="s">
        <v>17</v>
      </c>
      <c r="F231" s="196">
        <v>172</v>
      </c>
      <c r="G231" s="197">
        <v>26278</v>
      </c>
      <c r="H231" s="198">
        <f t="shared" si="10"/>
        <v>49</v>
      </c>
      <c r="I231" s="196">
        <v>1</v>
      </c>
      <c r="J231" s="196" t="str">
        <f t="shared" si="12"/>
        <v>prob langue</v>
      </c>
      <c r="O231" s="62" t="str">
        <f t="shared" si="11"/>
        <v>|||||||||||</v>
      </c>
    </row>
    <row r="232" spans="2:15" ht="15" x14ac:dyDescent="0.2">
      <c r="B232" s="195" t="s">
        <v>1149</v>
      </c>
      <c r="C232" s="195" t="s">
        <v>93</v>
      </c>
      <c r="D232" s="196" t="s">
        <v>17</v>
      </c>
      <c r="E232" s="196" t="s">
        <v>21</v>
      </c>
      <c r="F232" s="196">
        <v>191</v>
      </c>
      <c r="G232" s="197">
        <v>24878</v>
      </c>
      <c r="H232" s="198">
        <f t="shared" si="10"/>
        <v>52</v>
      </c>
      <c r="I232" s="196">
        <v>1</v>
      </c>
      <c r="J232" s="196" t="str">
        <f t="shared" si="12"/>
        <v>prob langue</v>
      </c>
      <c r="O232" s="62" t="str">
        <f t="shared" si="11"/>
        <v>||||||||||</v>
      </c>
    </row>
    <row r="233" spans="2:15" ht="15" x14ac:dyDescent="0.2">
      <c r="B233" s="195" t="s">
        <v>1452</v>
      </c>
      <c r="C233" s="195" t="s">
        <v>1451</v>
      </c>
      <c r="D233" s="196" t="s">
        <v>157</v>
      </c>
      <c r="E233" s="196" t="s">
        <v>17</v>
      </c>
      <c r="F233" s="196">
        <v>194</v>
      </c>
      <c r="G233" s="197">
        <v>22236</v>
      </c>
      <c r="H233" s="198">
        <f t="shared" si="10"/>
        <v>60</v>
      </c>
      <c r="I233" s="196">
        <v>3</v>
      </c>
      <c r="J233" s="196" t="str">
        <f t="shared" si="12"/>
        <v>prob âge</v>
      </c>
      <c r="O233" s="62" t="str">
        <f t="shared" si="11"/>
        <v>||||||||||||||||</v>
      </c>
    </row>
    <row r="234" spans="2:15" ht="15" x14ac:dyDescent="0.2">
      <c r="B234" s="195" t="s">
        <v>108</v>
      </c>
      <c r="C234" s="195" t="s">
        <v>1447</v>
      </c>
      <c r="D234" s="196" t="s">
        <v>157</v>
      </c>
      <c r="E234" s="196" t="s">
        <v>17</v>
      </c>
      <c r="F234" s="196">
        <v>192</v>
      </c>
      <c r="G234" s="197">
        <v>28630</v>
      </c>
      <c r="H234" s="198">
        <f t="shared" si="10"/>
        <v>42</v>
      </c>
      <c r="I234" s="196">
        <v>2</v>
      </c>
      <c r="J234" s="196" t="str">
        <f t="shared" si="12"/>
        <v>prob dispo</v>
      </c>
      <c r="O234" s="62" t="str">
        <f t="shared" si="11"/>
        <v>||||||||||||||||||||</v>
      </c>
    </row>
    <row r="235" spans="2:15" ht="15" x14ac:dyDescent="0.2">
      <c r="B235" s="195" t="s">
        <v>1117</v>
      </c>
      <c r="C235" s="195" t="s">
        <v>1439</v>
      </c>
      <c r="D235" s="196" t="s">
        <v>17</v>
      </c>
      <c r="E235" s="196" t="s">
        <v>17</v>
      </c>
      <c r="F235" s="196">
        <v>179</v>
      </c>
      <c r="G235" s="197">
        <v>23238</v>
      </c>
      <c r="H235" s="198">
        <f t="shared" si="10"/>
        <v>57</v>
      </c>
      <c r="I235" s="196">
        <v>2</v>
      </c>
      <c r="J235" s="196" t="str">
        <f t="shared" si="12"/>
        <v>prob langue</v>
      </c>
      <c r="O235" s="62" t="str">
        <f t="shared" si="11"/>
        <v>|||||||||||||||</v>
      </c>
    </row>
    <row r="236" spans="2:15" ht="15" x14ac:dyDescent="0.2">
      <c r="B236" s="195" t="s">
        <v>1440</v>
      </c>
      <c r="C236" s="195" t="s">
        <v>1439</v>
      </c>
      <c r="D236" s="196" t="s">
        <v>17</v>
      </c>
      <c r="E236" s="196" t="s">
        <v>17</v>
      </c>
      <c r="F236" s="196">
        <v>181</v>
      </c>
      <c r="G236" s="197">
        <v>27802</v>
      </c>
      <c r="H236" s="198">
        <f t="shared" si="10"/>
        <v>44</v>
      </c>
      <c r="I236" s="196">
        <v>1</v>
      </c>
      <c r="J236" s="196" t="str">
        <f t="shared" si="12"/>
        <v>prob langue</v>
      </c>
      <c r="O236" s="62" t="str">
        <f t="shared" si="11"/>
        <v>||||||||||||</v>
      </c>
    </row>
    <row r="237" spans="2:15" ht="15" x14ac:dyDescent="0.2">
      <c r="B237" s="195" t="s">
        <v>2222</v>
      </c>
      <c r="C237" s="195" t="s">
        <v>1434</v>
      </c>
      <c r="D237" s="196" t="s">
        <v>157</v>
      </c>
      <c r="E237" s="196" t="s">
        <v>21</v>
      </c>
      <c r="F237" s="196">
        <v>182</v>
      </c>
      <c r="G237" s="197">
        <v>22758</v>
      </c>
      <c r="H237" s="198">
        <f t="shared" si="10"/>
        <v>58</v>
      </c>
      <c r="I237" s="196">
        <v>1</v>
      </c>
      <c r="J237" s="196" t="str">
        <f t="shared" si="12"/>
        <v>prob gender</v>
      </c>
      <c r="O237" s="62" t="str">
        <f t="shared" si="11"/>
        <v>||||||||||||||||||||||</v>
      </c>
    </row>
    <row r="238" spans="2:15" ht="15" x14ac:dyDescent="0.2">
      <c r="B238" s="195" t="s">
        <v>535</v>
      </c>
      <c r="C238" s="195" t="s">
        <v>1428</v>
      </c>
      <c r="D238" s="196" t="s">
        <v>157</v>
      </c>
      <c r="E238" s="196" t="s">
        <v>21</v>
      </c>
      <c r="F238" s="196">
        <v>192</v>
      </c>
      <c r="G238" s="197">
        <v>32614</v>
      </c>
      <c r="H238" s="198">
        <f t="shared" si="10"/>
        <v>31</v>
      </c>
      <c r="I238" s="196">
        <v>2</v>
      </c>
      <c r="J238" s="196" t="str">
        <f t="shared" si="12"/>
        <v>prob gender</v>
      </c>
      <c r="O238" s="62" t="str">
        <f t="shared" si="11"/>
        <v>||||||||||||||||</v>
      </c>
    </row>
    <row r="239" spans="2:15" ht="15" x14ac:dyDescent="0.2">
      <c r="B239" s="195" t="s">
        <v>70</v>
      </c>
      <c r="C239" s="195" t="s">
        <v>1425</v>
      </c>
      <c r="D239" s="196" t="s">
        <v>157</v>
      </c>
      <c r="E239" s="196" t="s">
        <v>21</v>
      </c>
      <c r="F239" s="196">
        <v>178</v>
      </c>
      <c r="G239" s="197">
        <v>29850</v>
      </c>
      <c r="H239" s="198">
        <f t="shared" si="10"/>
        <v>39</v>
      </c>
      <c r="I239" s="196">
        <v>3</v>
      </c>
      <c r="J239" s="196" t="str">
        <f t="shared" si="12"/>
        <v>prob gender</v>
      </c>
      <c r="O239" s="62" t="str">
        <f t="shared" si="11"/>
        <v>|||||||||||||||||||||</v>
      </c>
    </row>
    <row r="240" spans="2:15" ht="15" x14ac:dyDescent="0.2">
      <c r="B240" s="195" t="s">
        <v>1422</v>
      </c>
      <c r="C240" s="195" t="s">
        <v>1421</v>
      </c>
      <c r="D240" s="196" t="s">
        <v>157</v>
      </c>
      <c r="E240" s="196" t="s">
        <v>17</v>
      </c>
      <c r="F240" s="196">
        <v>187</v>
      </c>
      <c r="G240" s="197">
        <v>22323</v>
      </c>
      <c r="H240" s="198">
        <f t="shared" si="10"/>
        <v>59</v>
      </c>
      <c r="I240" s="196">
        <v>3</v>
      </c>
      <c r="J240" s="196" t="str">
        <f t="shared" si="12"/>
        <v>prob âge</v>
      </c>
      <c r="O240" s="62" t="str">
        <f t="shared" si="11"/>
        <v>|||||||||||</v>
      </c>
    </row>
    <row r="241" spans="2:15" ht="15" x14ac:dyDescent="0.2">
      <c r="B241" s="195" t="s">
        <v>1419</v>
      </c>
      <c r="C241" s="195" t="s">
        <v>1418</v>
      </c>
      <c r="D241" s="196" t="s">
        <v>157</v>
      </c>
      <c r="E241" s="196" t="s">
        <v>17</v>
      </c>
      <c r="F241" s="196">
        <v>166</v>
      </c>
      <c r="G241" s="197">
        <v>33923</v>
      </c>
      <c r="H241" s="198">
        <f t="shared" si="10"/>
        <v>28</v>
      </c>
      <c r="I241" s="196">
        <v>2</v>
      </c>
      <c r="J241" s="196" t="str">
        <f t="shared" si="12"/>
        <v>prob dispo</v>
      </c>
      <c r="O241" s="62" t="str">
        <f t="shared" si="11"/>
        <v>|||||||||||||||</v>
      </c>
    </row>
    <row r="242" spans="2:15" ht="15" x14ac:dyDescent="0.2">
      <c r="B242" s="195" t="s">
        <v>101</v>
      </c>
      <c r="C242" s="195" t="s">
        <v>1416</v>
      </c>
      <c r="D242" s="196" t="s">
        <v>157</v>
      </c>
      <c r="E242" s="196" t="s">
        <v>21</v>
      </c>
      <c r="F242" s="196">
        <v>191</v>
      </c>
      <c r="G242" s="197">
        <v>28324</v>
      </c>
      <c r="H242" s="198">
        <f t="shared" si="10"/>
        <v>43</v>
      </c>
      <c r="I242" s="196">
        <v>2</v>
      </c>
      <c r="J242" s="196" t="str">
        <f t="shared" si="12"/>
        <v>prob gender</v>
      </c>
      <c r="O242" s="62" t="str">
        <f t="shared" si="11"/>
        <v>||||||||||||||||||</v>
      </c>
    </row>
    <row r="243" spans="2:15" ht="15" x14ac:dyDescent="0.2">
      <c r="B243" s="195" t="s">
        <v>1046</v>
      </c>
      <c r="C243" s="195" t="s">
        <v>1411</v>
      </c>
      <c r="D243" s="196" t="s">
        <v>17</v>
      </c>
      <c r="E243" s="196" t="s">
        <v>21</v>
      </c>
      <c r="F243" s="196">
        <v>192</v>
      </c>
      <c r="G243" s="197">
        <v>32952</v>
      </c>
      <c r="H243" s="198">
        <f t="shared" si="10"/>
        <v>30</v>
      </c>
      <c r="I243" s="196">
        <v>2</v>
      </c>
      <c r="J243" s="196" t="str">
        <f t="shared" si="12"/>
        <v>prob langue</v>
      </c>
      <c r="O243" s="62" t="str">
        <f t="shared" si="11"/>
        <v>||||||||||||||||||||</v>
      </c>
    </row>
    <row r="244" spans="2:15" ht="15" x14ac:dyDescent="0.2">
      <c r="B244" s="195" t="s">
        <v>1408</v>
      </c>
      <c r="C244" s="195" t="s">
        <v>1407</v>
      </c>
      <c r="D244" s="196" t="s">
        <v>17</v>
      </c>
      <c r="E244" s="196" t="s">
        <v>21</v>
      </c>
      <c r="F244" s="196">
        <v>194</v>
      </c>
      <c r="G244" s="197">
        <v>25926</v>
      </c>
      <c r="H244" s="198">
        <f t="shared" si="10"/>
        <v>50</v>
      </c>
      <c r="I244" s="196">
        <v>1</v>
      </c>
      <c r="J244" s="196" t="str">
        <f t="shared" si="12"/>
        <v>prob langue</v>
      </c>
      <c r="O244" s="62" t="str">
        <f t="shared" si="11"/>
        <v>||||||||||||||||||||||||</v>
      </c>
    </row>
    <row r="245" spans="2:15" ht="15" x14ac:dyDescent="0.2">
      <c r="B245" s="195" t="s">
        <v>1399</v>
      </c>
      <c r="C245" s="195" t="s">
        <v>1398</v>
      </c>
      <c r="D245" s="196" t="s">
        <v>17</v>
      </c>
      <c r="E245" s="196" t="s">
        <v>21</v>
      </c>
      <c r="F245" s="196">
        <v>181</v>
      </c>
      <c r="G245" s="197">
        <v>31848</v>
      </c>
      <c r="H245" s="198">
        <f t="shared" si="10"/>
        <v>33</v>
      </c>
      <c r="I245" s="196">
        <v>3</v>
      </c>
      <c r="J245" s="196" t="str">
        <f t="shared" si="12"/>
        <v>prob langue</v>
      </c>
      <c r="O245" s="62" t="str">
        <f t="shared" si="11"/>
        <v>||||||||||||</v>
      </c>
    </row>
    <row r="246" spans="2:15" ht="15" x14ac:dyDescent="0.2">
      <c r="B246" s="195" t="s">
        <v>689</v>
      </c>
      <c r="C246" s="195" t="s">
        <v>1394</v>
      </c>
      <c r="D246" s="196" t="s">
        <v>157</v>
      </c>
      <c r="E246" s="196" t="s">
        <v>21</v>
      </c>
      <c r="F246" s="196">
        <v>166</v>
      </c>
      <c r="G246" s="197">
        <v>30755</v>
      </c>
      <c r="H246" s="198">
        <f t="shared" si="10"/>
        <v>36</v>
      </c>
      <c r="I246" s="196">
        <v>2</v>
      </c>
      <c r="J246" s="196" t="str">
        <f t="shared" si="12"/>
        <v>prob gender</v>
      </c>
      <c r="O246" s="62" t="str">
        <f t="shared" si="11"/>
        <v>||||||||||||||</v>
      </c>
    </row>
    <row r="247" spans="2:15" ht="15" x14ac:dyDescent="0.2">
      <c r="B247" s="195" t="s">
        <v>1390</v>
      </c>
      <c r="C247" s="195" t="s">
        <v>1389</v>
      </c>
      <c r="D247" s="196" t="s">
        <v>17</v>
      </c>
      <c r="E247" s="196" t="s">
        <v>21</v>
      </c>
      <c r="F247" s="196">
        <v>163</v>
      </c>
      <c r="G247" s="197">
        <v>28740</v>
      </c>
      <c r="H247" s="198">
        <f t="shared" si="10"/>
        <v>42</v>
      </c>
      <c r="I247" s="196">
        <v>2</v>
      </c>
      <c r="J247" s="196" t="str">
        <f t="shared" si="12"/>
        <v>prob langue</v>
      </c>
      <c r="O247" s="62" t="str">
        <f t="shared" si="11"/>
        <v>|||||||</v>
      </c>
    </row>
    <row r="248" spans="2:15" ht="15" x14ac:dyDescent="0.2">
      <c r="B248" s="195" t="s">
        <v>149</v>
      </c>
      <c r="C248" s="195" t="s">
        <v>1386</v>
      </c>
      <c r="D248" s="196" t="s">
        <v>157</v>
      </c>
      <c r="E248" s="196" t="s">
        <v>17</v>
      </c>
      <c r="F248" s="196">
        <v>183</v>
      </c>
      <c r="G248" s="197">
        <v>33657</v>
      </c>
      <c r="H248" s="198">
        <f t="shared" si="10"/>
        <v>28</v>
      </c>
      <c r="I248" s="196">
        <v>3</v>
      </c>
      <c r="J248" s="196" t="str">
        <f t="shared" si="12"/>
        <v>prob dispo</v>
      </c>
      <c r="O248" s="62" t="str">
        <f t="shared" si="11"/>
        <v>|||||||||||||||||||||||</v>
      </c>
    </row>
    <row r="249" spans="2:15" ht="15" x14ac:dyDescent="0.2">
      <c r="B249" s="195" t="s">
        <v>1351</v>
      </c>
      <c r="C249" s="195" t="s">
        <v>1383</v>
      </c>
      <c r="D249" s="196" t="s">
        <v>17</v>
      </c>
      <c r="E249" s="196" t="s">
        <v>21</v>
      </c>
      <c r="F249" s="196">
        <v>174</v>
      </c>
      <c r="G249" s="197">
        <v>28605</v>
      </c>
      <c r="H249" s="198">
        <f t="shared" si="10"/>
        <v>42</v>
      </c>
      <c r="I249" s="196">
        <v>2</v>
      </c>
      <c r="J249" s="196" t="str">
        <f t="shared" si="12"/>
        <v>prob langue</v>
      </c>
      <c r="O249" s="62" t="str">
        <f t="shared" si="11"/>
        <v>|||||||||||||||||||||||||</v>
      </c>
    </row>
    <row r="250" spans="2:15" ht="15" x14ac:dyDescent="0.2">
      <c r="B250" s="195" t="s">
        <v>65</v>
      </c>
      <c r="C250" s="195" t="s">
        <v>1380</v>
      </c>
      <c r="D250" s="196" t="s">
        <v>17</v>
      </c>
      <c r="E250" s="196" t="s">
        <v>17</v>
      </c>
      <c r="F250" s="196">
        <v>168</v>
      </c>
      <c r="G250" s="197">
        <v>29160</v>
      </c>
      <c r="H250" s="198">
        <f t="shared" si="10"/>
        <v>41</v>
      </c>
      <c r="I250" s="196">
        <v>3</v>
      </c>
      <c r="J250" s="196" t="str">
        <f t="shared" si="12"/>
        <v>prob langue</v>
      </c>
      <c r="O250" s="62" t="str">
        <f t="shared" si="11"/>
        <v>|</v>
      </c>
    </row>
    <row r="251" spans="2:15" ht="15" x14ac:dyDescent="0.2">
      <c r="B251" s="195" t="s">
        <v>591</v>
      </c>
      <c r="C251" s="195" t="s">
        <v>1375</v>
      </c>
      <c r="D251" s="196" t="s">
        <v>17</v>
      </c>
      <c r="E251" s="196" t="s">
        <v>17</v>
      </c>
      <c r="F251" s="196">
        <v>156</v>
      </c>
      <c r="G251" s="197">
        <v>29304</v>
      </c>
      <c r="H251" s="198">
        <f t="shared" si="10"/>
        <v>40</v>
      </c>
      <c r="I251" s="196">
        <v>2</v>
      </c>
      <c r="J251" s="196" t="str">
        <f t="shared" si="12"/>
        <v>prob langue</v>
      </c>
      <c r="O251" s="62" t="str">
        <f t="shared" si="11"/>
        <v>||||||||||||||||||||||||</v>
      </c>
    </row>
    <row r="252" spans="2:15" ht="15" x14ac:dyDescent="0.2">
      <c r="B252" s="195" t="s">
        <v>756</v>
      </c>
      <c r="C252" s="195" t="s">
        <v>1364</v>
      </c>
      <c r="D252" s="196" t="s">
        <v>157</v>
      </c>
      <c r="E252" s="196" t="s">
        <v>21</v>
      </c>
      <c r="F252" s="196">
        <v>185</v>
      </c>
      <c r="G252" s="197">
        <v>26491</v>
      </c>
      <c r="H252" s="198">
        <f t="shared" si="10"/>
        <v>48</v>
      </c>
      <c r="I252" s="196">
        <v>2</v>
      </c>
      <c r="J252" s="196" t="str">
        <f t="shared" si="12"/>
        <v>prob gender</v>
      </c>
      <c r="O252" s="62" t="str">
        <f t="shared" si="11"/>
        <v>|||||||||||</v>
      </c>
    </row>
    <row r="253" spans="2:15" ht="15" x14ac:dyDescent="0.2">
      <c r="B253" s="195" t="s">
        <v>158</v>
      </c>
      <c r="C253" s="195" t="s">
        <v>1364</v>
      </c>
      <c r="D253" s="196" t="s">
        <v>17</v>
      </c>
      <c r="E253" s="196" t="s">
        <v>21</v>
      </c>
      <c r="F253" s="196">
        <v>180</v>
      </c>
      <c r="G253" s="197">
        <v>28072</v>
      </c>
      <c r="H253" s="198">
        <f t="shared" si="10"/>
        <v>44</v>
      </c>
      <c r="I253" s="196">
        <v>3</v>
      </c>
      <c r="J253" s="196" t="str">
        <f t="shared" si="12"/>
        <v>prob langue</v>
      </c>
      <c r="O253" s="62" t="str">
        <f t="shared" si="11"/>
        <v>||||||||</v>
      </c>
    </row>
    <row r="254" spans="2:15" ht="15" x14ac:dyDescent="0.2">
      <c r="B254" s="195" t="s">
        <v>1368</v>
      </c>
      <c r="C254" s="195" t="s">
        <v>1364</v>
      </c>
      <c r="D254" s="196" t="s">
        <v>17</v>
      </c>
      <c r="E254" s="196" t="s">
        <v>17</v>
      </c>
      <c r="F254" s="196">
        <v>189</v>
      </c>
      <c r="G254" s="197">
        <v>29979</v>
      </c>
      <c r="H254" s="198">
        <f t="shared" si="10"/>
        <v>38</v>
      </c>
      <c r="I254" s="196">
        <v>2</v>
      </c>
      <c r="J254" s="196" t="str">
        <f t="shared" si="12"/>
        <v>prob langue</v>
      </c>
      <c r="O254" s="62" t="str">
        <f t="shared" si="11"/>
        <v>||||||||||||||||||||||||||||</v>
      </c>
    </row>
    <row r="255" spans="2:15" ht="15" x14ac:dyDescent="0.2">
      <c r="B255" s="195" t="s">
        <v>66</v>
      </c>
      <c r="C255" s="195" t="s">
        <v>1364</v>
      </c>
      <c r="D255" s="196" t="s">
        <v>17</v>
      </c>
      <c r="E255" s="196" t="s">
        <v>21</v>
      </c>
      <c r="F255" s="196">
        <v>165</v>
      </c>
      <c r="G255" s="197">
        <v>32671</v>
      </c>
      <c r="H255" s="198">
        <f t="shared" si="10"/>
        <v>31</v>
      </c>
      <c r="I255" s="196">
        <v>3</v>
      </c>
      <c r="J255" s="196" t="str">
        <f t="shared" si="12"/>
        <v>prob langue</v>
      </c>
      <c r="O255" s="62" t="str">
        <f t="shared" si="11"/>
        <v>||||||||||||</v>
      </c>
    </row>
    <row r="256" spans="2:15" ht="15" x14ac:dyDescent="0.2">
      <c r="B256" s="195" t="s">
        <v>312</v>
      </c>
      <c r="C256" s="195" t="s">
        <v>1359</v>
      </c>
      <c r="D256" s="196" t="s">
        <v>17</v>
      </c>
      <c r="E256" s="196" t="s">
        <v>21</v>
      </c>
      <c r="F256" s="196">
        <v>186</v>
      </c>
      <c r="G256" s="197">
        <v>33856</v>
      </c>
      <c r="H256" s="198">
        <f t="shared" si="10"/>
        <v>28</v>
      </c>
      <c r="I256" s="196">
        <v>1</v>
      </c>
      <c r="J256" s="196" t="str">
        <f t="shared" si="12"/>
        <v>prob langue</v>
      </c>
      <c r="O256" s="62" t="str">
        <f t="shared" si="11"/>
        <v>|||||||||</v>
      </c>
    </row>
    <row r="257" spans="2:15" ht="15" x14ac:dyDescent="0.2">
      <c r="B257" s="195" t="s">
        <v>434</v>
      </c>
      <c r="C257" s="195" t="s">
        <v>1356</v>
      </c>
      <c r="D257" s="196" t="s">
        <v>157</v>
      </c>
      <c r="E257" s="196" t="s">
        <v>21</v>
      </c>
      <c r="F257" s="196">
        <v>155</v>
      </c>
      <c r="G257" s="197">
        <v>33492</v>
      </c>
      <c r="H257" s="198">
        <f t="shared" si="10"/>
        <v>29</v>
      </c>
      <c r="I257" s="196">
        <v>1</v>
      </c>
      <c r="J257" s="196" t="str">
        <f t="shared" si="12"/>
        <v>prob gender</v>
      </c>
      <c r="O257" s="62" t="str">
        <f t="shared" si="11"/>
        <v>|||||||||||</v>
      </c>
    </row>
    <row r="258" spans="2:15" ht="15" x14ac:dyDescent="0.2">
      <c r="B258" s="195" t="s">
        <v>70</v>
      </c>
      <c r="C258" s="195" t="s">
        <v>1354</v>
      </c>
      <c r="D258" s="196" t="s">
        <v>157</v>
      </c>
      <c r="E258" s="196" t="s">
        <v>21</v>
      </c>
      <c r="F258" s="196">
        <v>179</v>
      </c>
      <c r="G258" s="197">
        <v>33662</v>
      </c>
      <c r="H258" s="198">
        <f t="shared" si="10"/>
        <v>28</v>
      </c>
      <c r="I258" s="196">
        <v>3</v>
      </c>
      <c r="J258" s="196" t="str">
        <f t="shared" si="12"/>
        <v>prob gender</v>
      </c>
      <c r="O258" s="62" t="str">
        <f t="shared" si="11"/>
        <v>||||||||||||||||||||||||||||</v>
      </c>
    </row>
    <row r="259" spans="2:15" ht="15" x14ac:dyDescent="0.2">
      <c r="B259" s="195" t="s">
        <v>1351</v>
      </c>
      <c r="C259" s="195" t="s">
        <v>1350</v>
      </c>
      <c r="D259" s="196" t="s">
        <v>157</v>
      </c>
      <c r="E259" s="196" t="s">
        <v>21</v>
      </c>
      <c r="F259" s="196">
        <v>180</v>
      </c>
      <c r="G259" s="197">
        <v>26311</v>
      </c>
      <c r="H259" s="198">
        <f t="shared" si="10"/>
        <v>48</v>
      </c>
      <c r="I259" s="196">
        <v>1</v>
      </c>
      <c r="J259" s="196" t="str">
        <f t="shared" si="12"/>
        <v>prob gender</v>
      </c>
      <c r="O259" s="62" t="str">
        <f t="shared" si="11"/>
        <v>|||||||||||||</v>
      </c>
    </row>
    <row r="260" spans="2:15" ht="15" x14ac:dyDescent="0.2">
      <c r="B260" s="195" t="s">
        <v>1347</v>
      </c>
      <c r="C260" s="195" t="s">
        <v>1346</v>
      </c>
      <c r="D260" s="196" t="s">
        <v>157</v>
      </c>
      <c r="E260" s="196" t="s">
        <v>17</v>
      </c>
      <c r="F260" s="196">
        <v>172</v>
      </c>
      <c r="G260" s="197">
        <v>30167</v>
      </c>
      <c r="H260" s="198">
        <f t="shared" si="10"/>
        <v>38</v>
      </c>
      <c r="I260" s="196">
        <v>3</v>
      </c>
      <c r="J260" s="196" t="str">
        <f t="shared" si="12"/>
        <v>prob dispo</v>
      </c>
      <c r="O260" s="62" t="str">
        <f t="shared" si="11"/>
        <v>||||</v>
      </c>
    </row>
    <row r="261" spans="2:15" ht="15" x14ac:dyDescent="0.2">
      <c r="B261" s="195" t="s">
        <v>1344</v>
      </c>
      <c r="C261" s="195" t="s">
        <v>1343</v>
      </c>
      <c r="D261" s="196" t="s">
        <v>157</v>
      </c>
      <c r="E261" s="196" t="s">
        <v>21</v>
      </c>
      <c r="F261" s="196">
        <v>161</v>
      </c>
      <c r="G261" s="197">
        <v>25976</v>
      </c>
      <c r="H261" s="198">
        <f t="shared" si="10"/>
        <v>49</v>
      </c>
      <c r="I261" s="196">
        <v>2</v>
      </c>
      <c r="J261" s="196" t="str">
        <f t="shared" si="12"/>
        <v>prob gender</v>
      </c>
      <c r="O261" s="62" t="str">
        <f t="shared" si="11"/>
        <v>||||||||||||</v>
      </c>
    </row>
    <row r="262" spans="2:15" ht="15" x14ac:dyDescent="0.2">
      <c r="B262" s="195" t="s">
        <v>465</v>
      </c>
      <c r="C262" s="195" t="s">
        <v>1340</v>
      </c>
      <c r="D262" s="196" t="s">
        <v>157</v>
      </c>
      <c r="E262" s="196" t="s">
        <v>21</v>
      </c>
      <c r="F262" s="196">
        <v>164</v>
      </c>
      <c r="G262" s="197">
        <v>25128</v>
      </c>
      <c r="H262" s="198">
        <f t="shared" ref="H262:H325" si="13">ROUNDDOWN(($L$16-G262) /365.25,0)</f>
        <v>52</v>
      </c>
      <c r="I262" s="196">
        <v>1</v>
      </c>
      <c r="J262" s="196" t="str">
        <f t="shared" si="12"/>
        <v>prob gender</v>
      </c>
      <c r="O262" s="62" t="str">
        <f t="shared" ref="O262:O325" si="14">REPT("|",DAY(G262))</f>
        <v>|||||||||||||||||</v>
      </c>
    </row>
    <row r="263" spans="2:15" ht="15" x14ac:dyDescent="0.2">
      <c r="B263" s="195" t="s">
        <v>1327</v>
      </c>
      <c r="C263" s="195" t="s">
        <v>1326</v>
      </c>
      <c r="D263" s="196" t="s">
        <v>157</v>
      </c>
      <c r="E263" s="196" t="s">
        <v>21</v>
      </c>
      <c r="F263" s="196">
        <v>162</v>
      </c>
      <c r="G263" s="197">
        <v>32191</v>
      </c>
      <c r="H263" s="198">
        <f t="shared" si="13"/>
        <v>32</v>
      </c>
      <c r="I263" s="196">
        <v>1</v>
      </c>
      <c r="J263" s="196" t="str">
        <f t="shared" ref="J263:J326" si="15">IF(D263=$L$12,IF(E263=$L$13,IF(F263&gt;=$L$14,IF(H263&lt;=$L$15,IF(I263=1,"OK","prob dispo"),"prob âge"),"prob taille"),"prob gender"),"prob langue")</f>
        <v>prob gender</v>
      </c>
      <c r="O263" s="62" t="str">
        <f t="shared" si="14"/>
        <v>||||||||||||||||||</v>
      </c>
    </row>
    <row r="264" spans="2:15" ht="15" x14ac:dyDescent="0.2">
      <c r="B264" s="195" t="s">
        <v>227</v>
      </c>
      <c r="C264" s="195" t="s">
        <v>1324</v>
      </c>
      <c r="D264" s="196" t="s">
        <v>157</v>
      </c>
      <c r="E264" s="196" t="s">
        <v>17</v>
      </c>
      <c r="F264" s="196">
        <v>173</v>
      </c>
      <c r="G264" s="197">
        <v>25892</v>
      </c>
      <c r="H264" s="198">
        <f t="shared" si="13"/>
        <v>50</v>
      </c>
      <c r="I264" s="196">
        <v>1</v>
      </c>
      <c r="J264" s="196" t="str">
        <f t="shared" si="15"/>
        <v>prob âge</v>
      </c>
      <c r="O264" s="62" t="str">
        <f t="shared" si="14"/>
        <v>||||||||||||||||||||</v>
      </c>
    </row>
    <row r="265" spans="2:15" ht="15" x14ac:dyDescent="0.2">
      <c r="B265" s="195" t="s">
        <v>1321</v>
      </c>
      <c r="C265" s="195" t="s">
        <v>1320</v>
      </c>
      <c r="D265" s="196" t="s">
        <v>157</v>
      </c>
      <c r="E265" s="196" t="s">
        <v>17</v>
      </c>
      <c r="F265" s="196">
        <v>175</v>
      </c>
      <c r="G265" s="197">
        <v>31742</v>
      </c>
      <c r="H265" s="198">
        <f t="shared" si="13"/>
        <v>34</v>
      </c>
      <c r="I265" s="196">
        <v>1</v>
      </c>
      <c r="J265" s="196" t="str">
        <f t="shared" si="15"/>
        <v>OK</v>
      </c>
      <c r="O265" s="62" t="str">
        <f t="shared" si="14"/>
        <v>||||||||||||||||||||||||||</v>
      </c>
    </row>
    <row r="266" spans="2:15" ht="15" x14ac:dyDescent="0.2">
      <c r="B266" s="195" t="s">
        <v>1316</v>
      </c>
      <c r="C266" s="195" t="s">
        <v>1315</v>
      </c>
      <c r="D266" s="196" t="s">
        <v>157</v>
      </c>
      <c r="E266" s="196" t="s">
        <v>21</v>
      </c>
      <c r="F266" s="196">
        <v>184</v>
      </c>
      <c r="G266" s="197">
        <v>32698</v>
      </c>
      <c r="H266" s="198">
        <f t="shared" si="13"/>
        <v>31</v>
      </c>
      <c r="I266" s="196">
        <v>2</v>
      </c>
      <c r="J266" s="196" t="str">
        <f t="shared" si="15"/>
        <v>prob gender</v>
      </c>
      <c r="O266" s="62" t="str">
        <f t="shared" si="14"/>
        <v>|||||||||</v>
      </c>
    </row>
    <row r="267" spans="2:15" ht="15" x14ac:dyDescent="0.2">
      <c r="B267" s="195" t="s">
        <v>652</v>
      </c>
      <c r="C267" s="195" t="s">
        <v>1313</v>
      </c>
      <c r="D267" s="196" t="s">
        <v>157</v>
      </c>
      <c r="E267" s="196" t="s">
        <v>17</v>
      </c>
      <c r="F267" s="196">
        <v>174</v>
      </c>
      <c r="G267" s="197">
        <v>27739</v>
      </c>
      <c r="H267" s="198">
        <f t="shared" si="13"/>
        <v>45</v>
      </c>
      <c r="I267" s="196">
        <v>1</v>
      </c>
      <c r="J267" s="196" t="str">
        <f t="shared" si="15"/>
        <v>OK</v>
      </c>
      <c r="O267" s="62" t="str">
        <f t="shared" si="14"/>
        <v>|||||||||||</v>
      </c>
    </row>
    <row r="268" spans="2:15" ht="15" x14ac:dyDescent="0.2">
      <c r="B268" s="195" t="s">
        <v>215</v>
      </c>
      <c r="C268" s="195" t="s">
        <v>1305</v>
      </c>
      <c r="D268" s="196" t="s">
        <v>157</v>
      </c>
      <c r="E268" s="196" t="s">
        <v>17</v>
      </c>
      <c r="F268" s="196">
        <v>161</v>
      </c>
      <c r="G268" s="197">
        <v>27078</v>
      </c>
      <c r="H268" s="198">
        <f t="shared" si="13"/>
        <v>46</v>
      </c>
      <c r="I268" s="196">
        <v>3</v>
      </c>
      <c r="J268" s="196" t="str">
        <f t="shared" si="15"/>
        <v>prob taille</v>
      </c>
      <c r="O268" s="62" t="str">
        <f t="shared" si="14"/>
        <v>||||||||||||||||||</v>
      </c>
    </row>
    <row r="269" spans="2:15" ht="15" x14ac:dyDescent="0.2">
      <c r="B269" s="195" t="s">
        <v>1301</v>
      </c>
      <c r="C269" s="195" t="s">
        <v>1300</v>
      </c>
      <c r="D269" s="196" t="s">
        <v>17</v>
      </c>
      <c r="E269" s="196" t="s">
        <v>17</v>
      </c>
      <c r="F269" s="196">
        <v>194</v>
      </c>
      <c r="G269" s="197">
        <v>32914</v>
      </c>
      <c r="H269" s="198">
        <f t="shared" si="13"/>
        <v>30</v>
      </c>
      <c r="I269" s="196">
        <v>2</v>
      </c>
      <c r="J269" s="196" t="str">
        <f t="shared" si="15"/>
        <v>prob langue</v>
      </c>
      <c r="O269" s="62" t="str">
        <f t="shared" si="14"/>
        <v>||||||||||</v>
      </c>
    </row>
    <row r="270" spans="2:15" ht="15" x14ac:dyDescent="0.2">
      <c r="B270" s="195" t="s">
        <v>652</v>
      </c>
      <c r="C270" s="195" t="s">
        <v>1293</v>
      </c>
      <c r="D270" s="196" t="s">
        <v>157</v>
      </c>
      <c r="E270" s="196" t="s">
        <v>17</v>
      </c>
      <c r="F270" s="196">
        <v>190</v>
      </c>
      <c r="G270" s="197">
        <v>31512</v>
      </c>
      <c r="H270" s="198">
        <f t="shared" si="13"/>
        <v>34</v>
      </c>
      <c r="I270" s="196">
        <v>2</v>
      </c>
      <c r="J270" s="196" t="str">
        <f t="shared" si="15"/>
        <v>prob dispo</v>
      </c>
      <c r="O270" s="62" t="str">
        <f t="shared" si="14"/>
        <v>||||||||||</v>
      </c>
    </row>
    <row r="271" spans="2:15" ht="15" x14ac:dyDescent="0.2">
      <c r="B271" s="195" t="s">
        <v>175</v>
      </c>
      <c r="C271" s="195" t="s">
        <v>1293</v>
      </c>
      <c r="D271" s="196" t="s">
        <v>157</v>
      </c>
      <c r="E271" s="196" t="s">
        <v>21</v>
      </c>
      <c r="F271" s="196">
        <v>189</v>
      </c>
      <c r="G271" s="197">
        <v>32681</v>
      </c>
      <c r="H271" s="198">
        <f t="shared" si="13"/>
        <v>31</v>
      </c>
      <c r="I271" s="196">
        <v>2</v>
      </c>
      <c r="J271" s="196" t="str">
        <f t="shared" si="15"/>
        <v>prob gender</v>
      </c>
      <c r="O271" s="62" t="str">
        <f t="shared" si="14"/>
        <v>||||||||||||||||||||||</v>
      </c>
    </row>
    <row r="272" spans="2:15" ht="15" x14ac:dyDescent="0.2">
      <c r="B272" s="195" t="s">
        <v>849</v>
      </c>
      <c r="C272" s="195" t="s">
        <v>1288</v>
      </c>
      <c r="D272" s="196" t="s">
        <v>157</v>
      </c>
      <c r="E272" s="196" t="s">
        <v>17</v>
      </c>
      <c r="F272" s="196">
        <v>159</v>
      </c>
      <c r="G272" s="197">
        <v>27657</v>
      </c>
      <c r="H272" s="198">
        <f t="shared" si="13"/>
        <v>45</v>
      </c>
      <c r="I272" s="196">
        <v>2</v>
      </c>
      <c r="J272" s="196" t="str">
        <f t="shared" si="15"/>
        <v>prob taille</v>
      </c>
      <c r="O272" s="62" t="str">
        <f t="shared" si="14"/>
        <v>||||||||||||||||||||</v>
      </c>
    </row>
    <row r="273" spans="2:15" ht="15" x14ac:dyDescent="0.2">
      <c r="B273" s="195" t="s">
        <v>55</v>
      </c>
      <c r="C273" s="195" t="s">
        <v>1285</v>
      </c>
      <c r="D273" s="196" t="s">
        <v>17</v>
      </c>
      <c r="E273" s="196" t="s">
        <v>21</v>
      </c>
      <c r="F273" s="196">
        <v>163</v>
      </c>
      <c r="G273" s="197">
        <v>25012</v>
      </c>
      <c r="H273" s="198">
        <f t="shared" si="13"/>
        <v>52</v>
      </c>
      <c r="I273" s="196">
        <v>1</v>
      </c>
      <c r="J273" s="196" t="str">
        <f t="shared" si="15"/>
        <v>prob langue</v>
      </c>
      <c r="O273" s="62" t="str">
        <f t="shared" si="14"/>
        <v>|||||||||||||||||||||||</v>
      </c>
    </row>
    <row r="274" spans="2:15" ht="15" x14ac:dyDescent="0.2">
      <c r="B274" s="195" t="s">
        <v>825</v>
      </c>
      <c r="C274" s="195" t="s">
        <v>1282</v>
      </c>
      <c r="D274" s="196" t="s">
        <v>157</v>
      </c>
      <c r="E274" s="196" t="s">
        <v>21</v>
      </c>
      <c r="F274" s="196">
        <v>171</v>
      </c>
      <c r="G274" s="197">
        <v>30086</v>
      </c>
      <c r="H274" s="198">
        <f t="shared" si="13"/>
        <v>38</v>
      </c>
      <c r="I274" s="196">
        <v>3</v>
      </c>
      <c r="J274" s="196" t="str">
        <f t="shared" si="15"/>
        <v>prob gender</v>
      </c>
      <c r="O274" s="62" t="str">
        <f t="shared" si="14"/>
        <v>|||||||||||||||</v>
      </c>
    </row>
    <row r="275" spans="2:15" ht="15" x14ac:dyDescent="0.2">
      <c r="B275" s="195" t="s">
        <v>175</v>
      </c>
      <c r="C275" s="195" t="s">
        <v>1272</v>
      </c>
      <c r="D275" s="196" t="s">
        <v>17</v>
      </c>
      <c r="E275" s="196" t="s">
        <v>21</v>
      </c>
      <c r="F275" s="196">
        <v>186</v>
      </c>
      <c r="G275" s="197">
        <v>25318</v>
      </c>
      <c r="H275" s="198">
        <f t="shared" si="13"/>
        <v>51</v>
      </c>
      <c r="I275" s="196">
        <v>3</v>
      </c>
      <c r="J275" s="196" t="str">
        <f t="shared" si="15"/>
        <v>prob langue</v>
      </c>
      <c r="O275" s="62" t="str">
        <f t="shared" si="14"/>
        <v>|||||||||||||||||||||||||</v>
      </c>
    </row>
    <row r="276" spans="2:15" ht="15" x14ac:dyDescent="0.2">
      <c r="B276" s="195" t="s">
        <v>1268</v>
      </c>
      <c r="C276" s="195" t="s">
        <v>1267</v>
      </c>
      <c r="D276" s="196" t="s">
        <v>157</v>
      </c>
      <c r="E276" s="196" t="s">
        <v>17</v>
      </c>
      <c r="F276" s="196">
        <v>181</v>
      </c>
      <c r="G276" s="197">
        <v>22815</v>
      </c>
      <c r="H276" s="198">
        <f t="shared" si="13"/>
        <v>58</v>
      </c>
      <c r="I276" s="196">
        <v>2</v>
      </c>
      <c r="J276" s="196" t="str">
        <f t="shared" si="15"/>
        <v>prob âge</v>
      </c>
      <c r="O276" s="62" t="str">
        <f t="shared" si="14"/>
        <v>||||||||||||||||||</v>
      </c>
    </row>
    <row r="277" spans="2:15" ht="15" x14ac:dyDescent="0.2">
      <c r="B277" s="195" t="s">
        <v>1263</v>
      </c>
      <c r="C277" s="195" t="s">
        <v>1262</v>
      </c>
      <c r="D277" s="196" t="s">
        <v>157</v>
      </c>
      <c r="E277" s="196" t="s">
        <v>21</v>
      </c>
      <c r="F277" s="196">
        <v>186</v>
      </c>
      <c r="G277" s="197">
        <v>32679</v>
      </c>
      <c r="H277" s="198">
        <f t="shared" si="13"/>
        <v>31</v>
      </c>
      <c r="I277" s="196">
        <v>1</v>
      </c>
      <c r="J277" s="196" t="str">
        <f t="shared" si="15"/>
        <v>prob gender</v>
      </c>
      <c r="O277" s="62" t="str">
        <f t="shared" si="14"/>
        <v>||||||||||||||||||||</v>
      </c>
    </row>
    <row r="278" spans="2:15" ht="15" x14ac:dyDescent="0.2">
      <c r="B278" s="195" t="s">
        <v>938</v>
      </c>
      <c r="C278" s="195" t="s">
        <v>1259</v>
      </c>
      <c r="D278" s="196" t="s">
        <v>157</v>
      </c>
      <c r="E278" s="196" t="s">
        <v>17</v>
      </c>
      <c r="F278" s="196">
        <v>190</v>
      </c>
      <c r="G278" s="197">
        <v>23739</v>
      </c>
      <c r="H278" s="198">
        <f t="shared" si="13"/>
        <v>56</v>
      </c>
      <c r="I278" s="196">
        <v>1</v>
      </c>
      <c r="J278" s="196" t="str">
        <f t="shared" si="15"/>
        <v>prob âge</v>
      </c>
      <c r="O278" s="62" t="str">
        <f t="shared" si="14"/>
        <v>||||||||||||||||||||||||||||</v>
      </c>
    </row>
    <row r="279" spans="2:15" ht="15" x14ac:dyDescent="0.2">
      <c r="B279" s="195" t="s">
        <v>1257</v>
      </c>
      <c r="C279" s="195" t="s">
        <v>1256</v>
      </c>
      <c r="D279" s="196" t="s">
        <v>157</v>
      </c>
      <c r="E279" s="196" t="s">
        <v>21</v>
      </c>
      <c r="F279" s="196">
        <v>187</v>
      </c>
      <c r="G279" s="197">
        <v>23112</v>
      </c>
      <c r="H279" s="198">
        <f t="shared" si="13"/>
        <v>57</v>
      </c>
      <c r="I279" s="196">
        <v>2</v>
      </c>
      <c r="J279" s="196" t="str">
        <f t="shared" si="15"/>
        <v>prob gender</v>
      </c>
      <c r="O279" s="62" t="str">
        <f t="shared" si="14"/>
        <v>|||||||||||</v>
      </c>
    </row>
    <row r="280" spans="2:15" ht="15" x14ac:dyDescent="0.2">
      <c r="B280" s="195" t="s">
        <v>231</v>
      </c>
      <c r="C280" s="195" t="s">
        <v>1251</v>
      </c>
      <c r="D280" s="196" t="s">
        <v>157</v>
      </c>
      <c r="E280" s="196" t="s">
        <v>21</v>
      </c>
      <c r="F280" s="196">
        <v>185</v>
      </c>
      <c r="G280" s="197">
        <v>28542</v>
      </c>
      <c r="H280" s="198">
        <f t="shared" si="13"/>
        <v>42</v>
      </c>
      <c r="I280" s="196">
        <v>2</v>
      </c>
      <c r="J280" s="196" t="str">
        <f t="shared" si="15"/>
        <v>prob gender</v>
      </c>
      <c r="O280" s="62" t="str">
        <f t="shared" si="14"/>
        <v>|||||||||||||||||||||</v>
      </c>
    </row>
    <row r="281" spans="2:15" ht="15" x14ac:dyDescent="0.2">
      <c r="B281" s="195" t="s">
        <v>1245</v>
      </c>
      <c r="C281" s="195" t="s">
        <v>1244</v>
      </c>
      <c r="D281" s="196" t="s">
        <v>157</v>
      </c>
      <c r="E281" s="196" t="s">
        <v>17</v>
      </c>
      <c r="F281" s="196">
        <v>179</v>
      </c>
      <c r="G281" s="197">
        <v>25280</v>
      </c>
      <c r="H281" s="198">
        <f t="shared" si="13"/>
        <v>51</v>
      </c>
      <c r="I281" s="196">
        <v>3</v>
      </c>
      <c r="J281" s="196" t="str">
        <f t="shared" si="15"/>
        <v>prob âge</v>
      </c>
      <c r="O281" s="62" t="str">
        <f t="shared" si="14"/>
        <v>||||||||||||||||||</v>
      </c>
    </row>
    <row r="282" spans="2:15" ht="15" x14ac:dyDescent="0.2">
      <c r="B282" s="195" t="s">
        <v>240</v>
      </c>
      <c r="C282" s="195" t="s">
        <v>1241</v>
      </c>
      <c r="D282" s="196" t="s">
        <v>157</v>
      </c>
      <c r="E282" s="196" t="s">
        <v>21</v>
      </c>
      <c r="F282" s="196">
        <v>190</v>
      </c>
      <c r="G282" s="197">
        <v>26663</v>
      </c>
      <c r="H282" s="198">
        <f t="shared" si="13"/>
        <v>48</v>
      </c>
      <c r="I282" s="196">
        <v>1</v>
      </c>
      <c r="J282" s="196" t="str">
        <f t="shared" si="15"/>
        <v>prob gender</v>
      </c>
      <c r="O282" s="62" t="str">
        <f t="shared" si="14"/>
        <v>||||||||||||||||||||||||||||||</v>
      </c>
    </row>
    <row r="283" spans="2:15" ht="15" x14ac:dyDescent="0.2">
      <c r="B283" s="195" t="s">
        <v>416</v>
      </c>
      <c r="C283" s="195" t="s">
        <v>1237</v>
      </c>
      <c r="D283" s="196" t="s">
        <v>157</v>
      </c>
      <c r="E283" s="196" t="s">
        <v>21</v>
      </c>
      <c r="F283" s="196">
        <v>183</v>
      </c>
      <c r="G283" s="197">
        <v>32613</v>
      </c>
      <c r="H283" s="198">
        <f t="shared" si="13"/>
        <v>31</v>
      </c>
      <c r="I283" s="196">
        <v>1</v>
      </c>
      <c r="J283" s="196" t="str">
        <f t="shared" si="15"/>
        <v>prob gender</v>
      </c>
      <c r="O283" s="62" t="str">
        <f t="shared" si="14"/>
        <v>|||||||||||||||</v>
      </c>
    </row>
    <row r="284" spans="2:15" ht="15" x14ac:dyDescent="0.2">
      <c r="B284" s="195" t="s">
        <v>227</v>
      </c>
      <c r="C284" s="195" t="s">
        <v>1233</v>
      </c>
      <c r="D284" s="196" t="s">
        <v>157</v>
      </c>
      <c r="E284" s="196" t="s">
        <v>17</v>
      </c>
      <c r="F284" s="196">
        <v>180</v>
      </c>
      <c r="G284" s="197">
        <v>28744</v>
      </c>
      <c r="H284" s="198">
        <f t="shared" si="13"/>
        <v>42</v>
      </c>
      <c r="I284" s="196">
        <v>1</v>
      </c>
      <c r="J284" s="196" t="str">
        <f t="shared" si="15"/>
        <v>OK</v>
      </c>
      <c r="O284" s="62" t="str">
        <f t="shared" si="14"/>
        <v>|||||||||||</v>
      </c>
    </row>
    <row r="285" spans="2:15" ht="15" x14ac:dyDescent="0.2">
      <c r="B285" s="195" t="s">
        <v>647</v>
      </c>
      <c r="C285" s="195" t="s">
        <v>1219</v>
      </c>
      <c r="D285" s="196" t="s">
        <v>157</v>
      </c>
      <c r="E285" s="196" t="s">
        <v>21</v>
      </c>
      <c r="F285" s="196">
        <v>193</v>
      </c>
      <c r="G285" s="197">
        <v>22671</v>
      </c>
      <c r="H285" s="198">
        <f t="shared" si="13"/>
        <v>58</v>
      </c>
      <c r="I285" s="196">
        <v>3</v>
      </c>
      <c r="J285" s="196" t="str">
        <f t="shared" si="15"/>
        <v>prob gender</v>
      </c>
      <c r="O285" s="62" t="str">
        <f t="shared" si="14"/>
        <v>|||||||||||||||||||||||||</v>
      </c>
    </row>
    <row r="286" spans="2:15" ht="15" x14ac:dyDescent="0.2">
      <c r="B286" s="195" t="s">
        <v>227</v>
      </c>
      <c r="C286" s="195" t="s">
        <v>1219</v>
      </c>
      <c r="D286" s="196" t="s">
        <v>157</v>
      </c>
      <c r="E286" s="196" t="s">
        <v>17</v>
      </c>
      <c r="F286" s="196">
        <v>158</v>
      </c>
      <c r="G286" s="197">
        <v>32322</v>
      </c>
      <c r="H286" s="198">
        <f t="shared" si="13"/>
        <v>32</v>
      </c>
      <c r="I286" s="196">
        <v>1</v>
      </c>
      <c r="J286" s="196" t="str">
        <f t="shared" si="15"/>
        <v>prob taille</v>
      </c>
      <c r="O286" s="62" t="str">
        <f t="shared" si="14"/>
        <v>||||||||||||||||||||||||||||</v>
      </c>
    </row>
    <row r="287" spans="2:15" ht="15" x14ac:dyDescent="0.2">
      <c r="B287" s="195" t="s">
        <v>98</v>
      </c>
      <c r="C287" s="195" t="s">
        <v>1219</v>
      </c>
      <c r="D287" s="196" t="s">
        <v>17</v>
      </c>
      <c r="E287" s="196" t="s">
        <v>21</v>
      </c>
      <c r="F287" s="196">
        <v>173</v>
      </c>
      <c r="G287" s="197">
        <v>32845</v>
      </c>
      <c r="H287" s="198">
        <f t="shared" si="13"/>
        <v>31</v>
      </c>
      <c r="I287" s="196">
        <v>3</v>
      </c>
      <c r="J287" s="196" t="str">
        <f t="shared" si="15"/>
        <v>prob langue</v>
      </c>
      <c r="O287" s="62" t="str">
        <f t="shared" si="14"/>
        <v>|||</v>
      </c>
    </row>
    <row r="288" spans="2:15" ht="15" x14ac:dyDescent="0.2">
      <c r="B288" s="195" t="s">
        <v>1214</v>
      </c>
      <c r="C288" s="195" t="s">
        <v>1213</v>
      </c>
      <c r="D288" s="196" t="s">
        <v>17</v>
      </c>
      <c r="E288" s="196" t="s">
        <v>17</v>
      </c>
      <c r="F288" s="196">
        <v>194</v>
      </c>
      <c r="G288" s="197">
        <v>29716</v>
      </c>
      <c r="H288" s="198">
        <f t="shared" si="13"/>
        <v>39</v>
      </c>
      <c r="I288" s="196">
        <v>1</v>
      </c>
      <c r="J288" s="196" t="str">
        <f t="shared" si="15"/>
        <v>prob langue</v>
      </c>
      <c r="O288" s="62" t="str">
        <f t="shared" si="14"/>
        <v>||||||||||</v>
      </c>
    </row>
    <row r="289" spans="2:15" ht="15" x14ac:dyDescent="0.2">
      <c r="B289" s="195" t="s">
        <v>1207</v>
      </c>
      <c r="C289" s="195" t="s">
        <v>1202</v>
      </c>
      <c r="D289" s="196" t="s">
        <v>17</v>
      </c>
      <c r="E289" s="196" t="s">
        <v>17</v>
      </c>
      <c r="F289" s="196">
        <v>194</v>
      </c>
      <c r="G289" s="197">
        <v>26546</v>
      </c>
      <c r="H289" s="198">
        <f t="shared" si="13"/>
        <v>48</v>
      </c>
      <c r="I289" s="196">
        <v>2</v>
      </c>
      <c r="J289" s="196" t="str">
        <f t="shared" si="15"/>
        <v>prob langue</v>
      </c>
      <c r="O289" s="62" t="str">
        <f t="shared" si="14"/>
        <v>||||</v>
      </c>
    </row>
    <row r="290" spans="2:15" ht="15" x14ac:dyDescent="0.2">
      <c r="B290" s="195" t="s">
        <v>170</v>
      </c>
      <c r="C290" s="195" t="s">
        <v>1202</v>
      </c>
      <c r="D290" s="196" t="s">
        <v>157</v>
      </c>
      <c r="E290" s="196" t="s">
        <v>21</v>
      </c>
      <c r="F290" s="196">
        <v>165</v>
      </c>
      <c r="G290" s="197">
        <v>26684</v>
      </c>
      <c r="H290" s="198">
        <f t="shared" si="13"/>
        <v>47</v>
      </c>
      <c r="I290" s="196">
        <v>1</v>
      </c>
      <c r="J290" s="196" t="str">
        <f t="shared" si="15"/>
        <v>prob gender</v>
      </c>
      <c r="O290" s="62" t="str">
        <f t="shared" si="14"/>
        <v>||||||||||||||||||||</v>
      </c>
    </row>
    <row r="291" spans="2:15" ht="15" x14ac:dyDescent="0.2">
      <c r="B291" s="195" t="s">
        <v>875</v>
      </c>
      <c r="C291" s="195" t="s">
        <v>1202</v>
      </c>
      <c r="D291" s="196" t="s">
        <v>157</v>
      </c>
      <c r="E291" s="196" t="s">
        <v>21</v>
      </c>
      <c r="F291" s="196">
        <v>165</v>
      </c>
      <c r="G291" s="197">
        <v>32033</v>
      </c>
      <c r="H291" s="198">
        <f t="shared" si="13"/>
        <v>33</v>
      </c>
      <c r="I291" s="196">
        <v>1</v>
      </c>
      <c r="J291" s="196" t="str">
        <f t="shared" si="15"/>
        <v>prob gender</v>
      </c>
      <c r="O291" s="62" t="str">
        <f t="shared" si="14"/>
        <v>|||||||||||||</v>
      </c>
    </row>
    <row r="292" spans="2:15" ht="15" x14ac:dyDescent="0.2">
      <c r="B292" s="195" t="s">
        <v>1198</v>
      </c>
      <c r="C292" s="195" t="s">
        <v>1191</v>
      </c>
      <c r="D292" s="196" t="s">
        <v>157</v>
      </c>
      <c r="E292" s="196" t="s">
        <v>21</v>
      </c>
      <c r="F292" s="196">
        <v>188</v>
      </c>
      <c r="G292" s="197">
        <v>23768</v>
      </c>
      <c r="H292" s="198">
        <f t="shared" si="13"/>
        <v>55</v>
      </c>
      <c r="I292" s="196">
        <v>3</v>
      </c>
      <c r="J292" s="196" t="str">
        <f t="shared" si="15"/>
        <v>prob gender</v>
      </c>
      <c r="O292" s="62" t="str">
        <f t="shared" si="14"/>
        <v>||||||||||||||||||||||||||</v>
      </c>
    </row>
    <row r="293" spans="2:15" ht="15" x14ac:dyDescent="0.2">
      <c r="B293" s="195" t="s">
        <v>101</v>
      </c>
      <c r="C293" s="195" t="s">
        <v>1191</v>
      </c>
      <c r="D293" s="196" t="s">
        <v>17</v>
      </c>
      <c r="E293" s="196" t="s">
        <v>21</v>
      </c>
      <c r="F293" s="196">
        <v>170</v>
      </c>
      <c r="G293" s="197">
        <v>31546</v>
      </c>
      <c r="H293" s="198">
        <f t="shared" si="13"/>
        <v>34</v>
      </c>
      <c r="I293" s="196">
        <v>1</v>
      </c>
      <c r="J293" s="196" t="str">
        <f t="shared" si="15"/>
        <v>prob langue</v>
      </c>
      <c r="O293" s="62" t="str">
        <f t="shared" si="14"/>
        <v>||||||||||||||</v>
      </c>
    </row>
    <row r="294" spans="2:15" ht="15" x14ac:dyDescent="0.2">
      <c r="B294" s="195" t="s">
        <v>1192</v>
      </c>
      <c r="C294" s="195" t="s">
        <v>1191</v>
      </c>
      <c r="D294" s="196" t="s">
        <v>17</v>
      </c>
      <c r="E294" s="196" t="s">
        <v>17</v>
      </c>
      <c r="F294" s="196">
        <v>175</v>
      </c>
      <c r="G294" s="197">
        <v>34032</v>
      </c>
      <c r="H294" s="198">
        <f t="shared" si="13"/>
        <v>27</v>
      </c>
      <c r="I294" s="196">
        <v>2</v>
      </c>
      <c r="J294" s="196" t="str">
        <f t="shared" si="15"/>
        <v>prob langue</v>
      </c>
      <c r="O294" s="62" t="str">
        <f t="shared" si="14"/>
        <v>||||</v>
      </c>
    </row>
    <row r="295" spans="2:15" ht="15" x14ac:dyDescent="0.2">
      <c r="B295" s="195" t="s">
        <v>215</v>
      </c>
      <c r="C295" s="195" t="s">
        <v>1187</v>
      </c>
      <c r="D295" s="196" t="s">
        <v>157</v>
      </c>
      <c r="E295" s="196" t="s">
        <v>17</v>
      </c>
      <c r="F295" s="196">
        <v>191</v>
      </c>
      <c r="G295" s="197">
        <v>25066</v>
      </c>
      <c r="H295" s="198">
        <f t="shared" si="13"/>
        <v>52</v>
      </c>
      <c r="I295" s="196">
        <v>1</v>
      </c>
      <c r="J295" s="196" t="str">
        <f t="shared" si="15"/>
        <v>prob âge</v>
      </c>
      <c r="O295" s="62" t="str">
        <f t="shared" si="14"/>
        <v>||||||||||||||||</v>
      </c>
    </row>
    <row r="296" spans="2:15" ht="15" x14ac:dyDescent="0.2">
      <c r="B296" s="195" t="s">
        <v>1184</v>
      </c>
      <c r="C296" s="195" t="s">
        <v>1180</v>
      </c>
      <c r="D296" s="196" t="s">
        <v>17</v>
      </c>
      <c r="E296" s="196" t="s">
        <v>21</v>
      </c>
      <c r="F296" s="196">
        <v>159</v>
      </c>
      <c r="G296" s="197">
        <v>23200</v>
      </c>
      <c r="H296" s="198">
        <f t="shared" si="13"/>
        <v>57</v>
      </c>
      <c r="I296" s="196">
        <v>1</v>
      </c>
      <c r="J296" s="196" t="str">
        <f t="shared" si="15"/>
        <v>prob langue</v>
      </c>
      <c r="O296" s="62" t="str">
        <f t="shared" si="14"/>
        <v>||||||||</v>
      </c>
    </row>
    <row r="297" spans="2:15" ht="15" x14ac:dyDescent="0.2">
      <c r="B297" s="195" t="s">
        <v>1166</v>
      </c>
      <c r="C297" s="195" t="s">
        <v>1165</v>
      </c>
      <c r="D297" s="196" t="s">
        <v>17</v>
      </c>
      <c r="E297" s="196" t="s">
        <v>21</v>
      </c>
      <c r="F297" s="196">
        <v>183</v>
      </c>
      <c r="G297" s="197">
        <v>33164</v>
      </c>
      <c r="H297" s="198">
        <f t="shared" si="13"/>
        <v>30</v>
      </c>
      <c r="I297" s="196">
        <v>3</v>
      </c>
      <c r="J297" s="196" t="str">
        <f t="shared" si="15"/>
        <v>prob langue</v>
      </c>
      <c r="O297" s="62" t="str">
        <f t="shared" si="14"/>
        <v>||||||||||||||||||</v>
      </c>
    </row>
    <row r="298" spans="2:15" ht="15" x14ac:dyDescent="0.2">
      <c r="B298" s="195" t="s">
        <v>98</v>
      </c>
      <c r="C298" s="195" t="s">
        <v>1162</v>
      </c>
      <c r="D298" s="196" t="s">
        <v>17</v>
      </c>
      <c r="E298" s="196" t="s">
        <v>21</v>
      </c>
      <c r="F298" s="196">
        <v>187</v>
      </c>
      <c r="G298" s="197">
        <v>22975</v>
      </c>
      <c r="H298" s="198">
        <f t="shared" si="13"/>
        <v>58</v>
      </c>
      <c r="I298" s="196">
        <v>2</v>
      </c>
      <c r="J298" s="196" t="str">
        <f t="shared" si="15"/>
        <v>prob langue</v>
      </c>
      <c r="O298" s="62" t="str">
        <f t="shared" si="14"/>
        <v>|||||||||||||||||||||||||</v>
      </c>
    </row>
    <row r="299" spans="2:15" ht="15" x14ac:dyDescent="0.2">
      <c r="B299" s="195" t="s">
        <v>1158</v>
      </c>
      <c r="C299" s="195" t="s">
        <v>1157</v>
      </c>
      <c r="D299" s="196" t="s">
        <v>17</v>
      </c>
      <c r="E299" s="196" t="s">
        <v>21</v>
      </c>
      <c r="F299" s="196">
        <v>164</v>
      </c>
      <c r="G299" s="197">
        <v>22564</v>
      </c>
      <c r="H299" s="198">
        <f t="shared" si="13"/>
        <v>59</v>
      </c>
      <c r="I299" s="196">
        <v>3</v>
      </c>
      <c r="J299" s="196" t="str">
        <f t="shared" si="15"/>
        <v>prob langue</v>
      </c>
      <c r="O299" s="62" t="str">
        <f t="shared" si="14"/>
        <v>||||||||||</v>
      </c>
    </row>
    <row r="300" spans="2:15" ht="15" x14ac:dyDescent="0.2">
      <c r="B300" s="195" t="s">
        <v>652</v>
      </c>
      <c r="C300" s="195" t="s">
        <v>1153</v>
      </c>
      <c r="D300" s="196" t="s">
        <v>17</v>
      </c>
      <c r="E300" s="196" t="s">
        <v>17</v>
      </c>
      <c r="F300" s="196">
        <v>155</v>
      </c>
      <c r="G300" s="197">
        <v>24562</v>
      </c>
      <c r="H300" s="198">
        <f t="shared" si="13"/>
        <v>53</v>
      </c>
      <c r="I300" s="196">
        <v>2</v>
      </c>
      <c r="J300" s="196" t="str">
        <f t="shared" si="15"/>
        <v>prob langue</v>
      </c>
      <c r="O300" s="62" t="str">
        <f t="shared" si="14"/>
        <v>|||||||||||||||||||||||||||||||</v>
      </c>
    </row>
    <row r="301" spans="2:15" ht="15" x14ac:dyDescent="0.2">
      <c r="B301" s="195" t="s">
        <v>1149</v>
      </c>
      <c r="C301" s="195" t="s">
        <v>1148</v>
      </c>
      <c r="D301" s="196" t="s">
        <v>157</v>
      </c>
      <c r="E301" s="196" t="s">
        <v>21</v>
      </c>
      <c r="F301" s="196">
        <v>191</v>
      </c>
      <c r="G301" s="197">
        <v>30544</v>
      </c>
      <c r="H301" s="198">
        <f t="shared" si="13"/>
        <v>37</v>
      </c>
      <c r="I301" s="196">
        <v>1</v>
      </c>
      <c r="J301" s="196" t="str">
        <f t="shared" si="15"/>
        <v>prob gender</v>
      </c>
      <c r="O301" s="62" t="str">
        <f t="shared" si="14"/>
        <v>||||||||||||||||</v>
      </c>
    </row>
    <row r="302" spans="2:15" ht="15" x14ac:dyDescent="0.2">
      <c r="B302" s="195" t="s">
        <v>1141</v>
      </c>
      <c r="C302" s="195" t="s">
        <v>1140</v>
      </c>
      <c r="D302" s="196" t="s">
        <v>157</v>
      </c>
      <c r="E302" s="196" t="s">
        <v>21</v>
      </c>
      <c r="F302" s="196">
        <v>191</v>
      </c>
      <c r="G302" s="197">
        <v>22448</v>
      </c>
      <c r="H302" s="198">
        <f t="shared" si="13"/>
        <v>59</v>
      </c>
      <c r="I302" s="196">
        <v>1</v>
      </c>
      <c r="J302" s="196" t="str">
        <f t="shared" si="15"/>
        <v>prob gender</v>
      </c>
      <c r="O302" s="62" t="str">
        <f t="shared" si="14"/>
        <v>||||||||||||||||</v>
      </c>
    </row>
    <row r="303" spans="2:15" ht="15" x14ac:dyDescent="0.2">
      <c r="B303" s="195" t="s">
        <v>1136</v>
      </c>
      <c r="C303" s="195" t="s">
        <v>1135</v>
      </c>
      <c r="D303" s="196" t="s">
        <v>17</v>
      </c>
      <c r="E303" s="196" t="s">
        <v>21</v>
      </c>
      <c r="F303" s="196">
        <v>172</v>
      </c>
      <c r="G303" s="197">
        <v>31344</v>
      </c>
      <c r="H303" s="198">
        <f t="shared" si="13"/>
        <v>35</v>
      </c>
      <c r="I303" s="196">
        <v>3</v>
      </c>
      <c r="J303" s="196" t="str">
        <f t="shared" si="15"/>
        <v>prob langue</v>
      </c>
      <c r="O303" s="62" t="str">
        <f t="shared" si="14"/>
        <v>||||||||||||||||||||||||</v>
      </c>
    </row>
    <row r="304" spans="2:15" ht="15" x14ac:dyDescent="0.2">
      <c r="B304" s="195" t="s">
        <v>1128</v>
      </c>
      <c r="C304" s="195" t="s">
        <v>1127</v>
      </c>
      <c r="D304" s="196" t="s">
        <v>17</v>
      </c>
      <c r="E304" s="196" t="s">
        <v>21</v>
      </c>
      <c r="F304" s="196">
        <v>186</v>
      </c>
      <c r="G304" s="197">
        <v>33964</v>
      </c>
      <c r="H304" s="198">
        <f t="shared" si="13"/>
        <v>28</v>
      </c>
      <c r="I304" s="196">
        <v>2</v>
      </c>
      <c r="J304" s="196" t="str">
        <f t="shared" si="15"/>
        <v>prob langue</v>
      </c>
      <c r="O304" s="62" t="str">
        <f t="shared" si="14"/>
        <v>||||||||||||||||||||||||||</v>
      </c>
    </row>
    <row r="305" spans="2:15" ht="15" x14ac:dyDescent="0.2">
      <c r="B305" s="195" t="s">
        <v>312</v>
      </c>
      <c r="C305" s="195" t="s">
        <v>1121</v>
      </c>
      <c r="D305" s="196" t="s">
        <v>17</v>
      </c>
      <c r="E305" s="196" t="s">
        <v>21</v>
      </c>
      <c r="F305" s="196">
        <v>190</v>
      </c>
      <c r="G305" s="197">
        <v>33357</v>
      </c>
      <c r="H305" s="198">
        <f t="shared" si="13"/>
        <v>29</v>
      </c>
      <c r="I305" s="196">
        <v>2</v>
      </c>
      <c r="J305" s="196" t="str">
        <f t="shared" si="15"/>
        <v>prob langue</v>
      </c>
      <c r="O305" s="62" t="str">
        <f t="shared" si="14"/>
        <v>|||||||||||||||||||||||||||||</v>
      </c>
    </row>
    <row r="306" spans="2:15" ht="15" x14ac:dyDescent="0.2">
      <c r="B306" s="195" t="s">
        <v>1117</v>
      </c>
      <c r="C306" s="195" t="s">
        <v>1116</v>
      </c>
      <c r="D306" s="196" t="s">
        <v>157</v>
      </c>
      <c r="E306" s="196" t="s">
        <v>17</v>
      </c>
      <c r="F306" s="196">
        <v>182</v>
      </c>
      <c r="G306" s="197">
        <v>26480</v>
      </c>
      <c r="H306" s="198">
        <f t="shared" si="13"/>
        <v>48</v>
      </c>
      <c r="I306" s="196">
        <v>1</v>
      </c>
      <c r="J306" s="196" t="str">
        <f t="shared" si="15"/>
        <v>prob âge</v>
      </c>
      <c r="O306" s="62" t="str">
        <f t="shared" si="14"/>
        <v>||||||||||||||||||||||||||||||</v>
      </c>
    </row>
    <row r="307" spans="2:15" ht="15" x14ac:dyDescent="0.2">
      <c r="B307" s="195" t="s">
        <v>423</v>
      </c>
      <c r="C307" s="195" t="s">
        <v>1112</v>
      </c>
      <c r="D307" s="196" t="s">
        <v>157</v>
      </c>
      <c r="E307" s="196" t="s">
        <v>17</v>
      </c>
      <c r="F307" s="196">
        <v>194</v>
      </c>
      <c r="G307" s="197">
        <v>25176</v>
      </c>
      <c r="H307" s="198">
        <f t="shared" si="13"/>
        <v>52</v>
      </c>
      <c r="I307" s="196">
        <v>3</v>
      </c>
      <c r="J307" s="196" t="str">
        <f t="shared" si="15"/>
        <v>prob âge</v>
      </c>
      <c r="O307" s="62" t="str">
        <f t="shared" si="14"/>
        <v>||||</v>
      </c>
    </row>
    <row r="308" spans="2:15" ht="15" x14ac:dyDescent="0.2">
      <c r="B308" s="195" t="s">
        <v>458</v>
      </c>
      <c r="C308" s="195" t="s">
        <v>1109</v>
      </c>
      <c r="D308" s="196" t="s">
        <v>157</v>
      </c>
      <c r="E308" s="196" t="s">
        <v>17</v>
      </c>
      <c r="F308" s="196">
        <v>167</v>
      </c>
      <c r="G308" s="197">
        <v>32734</v>
      </c>
      <c r="H308" s="198">
        <f t="shared" si="13"/>
        <v>31</v>
      </c>
      <c r="I308" s="196">
        <v>2</v>
      </c>
      <c r="J308" s="196" t="str">
        <f t="shared" si="15"/>
        <v>prob dispo</v>
      </c>
      <c r="O308" s="62" t="str">
        <f t="shared" si="14"/>
        <v>||||||||||||||</v>
      </c>
    </row>
    <row r="309" spans="2:15" ht="15" x14ac:dyDescent="0.2">
      <c r="B309" s="195" t="s">
        <v>1105</v>
      </c>
      <c r="C309" s="195" t="s">
        <v>1104</v>
      </c>
      <c r="D309" s="196" t="s">
        <v>157</v>
      </c>
      <c r="E309" s="196" t="s">
        <v>21</v>
      </c>
      <c r="F309" s="196">
        <v>188</v>
      </c>
      <c r="G309" s="197">
        <v>32212</v>
      </c>
      <c r="H309" s="198">
        <f t="shared" si="13"/>
        <v>32</v>
      </c>
      <c r="I309" s="196">
        <v>2</v>
      </c>
      <c r="J309" s="196" t="str">
        <f t="shared" si="15"/>
        <v>prob gender</v>
      </c>
      <c r="O309" s="62" t="str">
        <f t="shared" si="14"/>
        <v>||||||||||</v>
      </c>
    </row>
    <row r="310" spans="2:15" ht="15" x14ac:dyDescent="0.2">
      <c r="B310" s="195" t="s">
        <v>1098</v>
      </c>
      <c r="C310" s="195" t="s">
        <v>1097</v>
      </c>
      <c r="D310" s="196" t="s">
        <v>17</v>
      </c>
      <c r="E310" s="196" t="s">
        <v>17</v>
      </c>
      <c r="F310" s="196">
        <v>177</v>
      </c>
      <c r="G310" s="197">
        <v>25689</v>
      </c>
      <c r="H310" s="198">
        <f t="shared" si="13"/>
        <v>50</v>
      </c>
      <c r="I310" s="196">
        <v>3</v>
      </c>
      <c r="J310" s="196" t="str">
        <f t="shared" si="15"/>
        <v>prob langue</v>
      </c>
      <c r="O310" s="62" t="str">
        <f t="shared" si="14"/>
        <v>|</v>
      </c>
    </row>
    <row r="311" spans="2:15" ht="15" x14ac:dyDescent="0.2">
      <c r="B311" s="195" t="s">
        <v>202</v>
      </c>
      <c r="C311" s="195" t="s">
        <v>1093</v>
      </c>
      <c r="D311" s="196" t="s">
        <v>157</v>
      </c>
      <c r="E311" s="196" t="s">
        <v>21</v>
      </c>
      <c r="F311" s="196">
        <v>187</v>
      </c>
      <c r="G311" s="197">
        <v>23792</v>
      </c>
      <c r="H311" s="198">
        <f t="shared" si="13"/>
        <v>55</v>
      </c>
      <c r="I311" s="196">
        <v>2</v>
      </c>
      <c r="J311" s="196" t="str">
        <f t="shared" si="15"/>
        <v>prob gender</v>
      </c>
      <c r="O311" s="62" t="str">
        <f t="shared" si="14"/>
        <v>|||||||||||||||||||</v>
      </c>
    </row>
    <row r="312" spans="2:15" ht="15" x14ac:dyDescent="0.2">
      <c r="B312" s="195" t="s">
        <v>1084</v>
      </c>
      <c r="C312" s="195" t="s">
        <v>1083</v>
      </c>
      <c r="D312" s="196" t="s">
        <v>157</v>
      </c>
      <c r="E312" s="196" t="s">
        <v>17</v>
      </c>
      <c r="F312" s="196">
        <v>166</v>
      </c>
      <c r="G312" s="197">
        <v>32774</v>
      </c>
      <c r="H312" s="198">
        <f t="shared" si="13"/>
        <v>31</v>
      </c>
      <c r="I312" s="196">
        <v>1</v>
      </c>
      <c r="J312" s="196" t="str">
        <f t="shared" si="15"/>
        <v>OK</v>
      </c>
      <c r="O312" s="62" t="str">
        <f t="shared" si="14"/>
        <v>|||||||||||||||||||||||</v>
      </c>
    </row>
    <row r="313" spans="2:15" ht="15" x14ac:dyDescent="0.2">
      <c r="B313" s="195" t="s">
        <v>1077</v>
      </c>
      <c r="C313" s="195" t="s">
        <v>1076</v>
      </c>
      <c r="D313" s="196" t="s">
        <v>157</v>
      </c>
      <c r="E313" s="196" t="s">
        <v>17</v>
      </c>
      <c r="F313" s="196">
        <v>159</v>
      </c>
      <c r="G313" s="197">
        <v>24556</v>
      </c>
      <c r="H313" s="198">
        <f t="shared" si="13"/>
        <v>53</v>
      </c>
      <c r="I313" s="196">
        <v>1</v>
      </c>
      <c r="J313" s="196" t="str">
        <f t="shared" si="15"/>
        <v>prob taille</v>
      </c>
      <c r="O313" s="62" t="str">
        <f t="shared" si="14"/>
        <v>|||||||||||||||||||||||||</v>
      </c>
    </row>
    <row r="314" spans="2:15" ht="15" x14ac:dyDescent="0.2">
      <c r="B314" s="195" t="s">
        <v>98</v>
      </c>
      <c r="C314" s="195" t="s">
        <v>1072</v>
      </c>
      <c r="D314" s="196" t="s">
        <v>157</v>
      </c>
      <c r="E314" s="196" t="s">
        <v>21</v>
      </c>
      <c r="F314" s="196">
        <v>177</v>
      </c>
      <c r="G314" s="197">
        <v>28999</v>
      </c>
      <c r="H314" s="198">
        <f t="shared" si="13"/>
        <v>41</v>
      </c>
      <c r="I314" s="196">
        <v>3</v>
      </c>
      <c r="J314" s="196" t="str">
        <f t="shared" si="15"/>
        <v>prob gender</v>
      </c>
      <c r="O314" s="62" t="str">
        <f t="shared" si="14"/>
        <v>||||||||||||||||||||||||</v>
      </c>
    </row>
    <row r="315" spans="2:15" ht="15" x14ac:dyDescent="0.2">
      <c r="B315" s="195" t="s">
        <v>1062</v>
      </c>
      <c r="C315" s="195" t="s">
        <v>1061</v>
      </c>
      <c r="D315" s="196" t="s">
        <v>17</v>
      </c>
      <c r="E315" s="196" t="s">
        <v>21</v>
      </c>
      <c r="F315" s="196">
        <v>177</v>
      </c>
      <c r="G315" s="197">
        <v>31668</v>
      </c>
      <c r="H315" s="198">
        <f t="shared" si="13"/>
        <v>34</v>
      </c>
      <c r="I315" s="196">
        <v>3</v>
      </c>
      <c r="J315" s="196" t="str">
        <f t="shared" si="15"/>
        <v>prob langue</v>
      </c>
      <c r="O315" s="62" t="str">
        <f t="shared" si="14"/>
        <v>|||||||||||||</v>
      </c>
    </row>
    <row r="316" spans="2:15" ht="15" x14ac:dyDescent="0.2">
      <c r="B316" s="195" t="s">
        <v>1056</v>
      </c>
      <c r="C316" s="195" t="s">
        <v>1055</v>
      </c>
      <c r="D316" s="196" t="s">
        <v>17</v>
      </c>
      <c r="E316" s="196" t="s">
        <v>17</v>
      </c>
      <c r="F316" s="196">
        <v>176</v>
      </c>
      <c r="G316" s="197">
        <v>28578</v>
      </c>
      <c r="H316" s="198">
        <f t="shared" si="13"/>
        <v>42</v>
      </c>
      <c r="I316" s="196">
        <v>1</v>
      </c>
      <c r="J316" s="196" t="str">
        <f t="shared" si="15"/>
        <v>prob langue</v>
      </c>
      <c r="O316" s="62" t="str">
        <f t="shared" si="14"/>
        <v>|||||||||||||||||||||||||||||</v>
      </c>
    </row>
    <row r="317" spans="2:15" ht="15" x14ac:dyDescent="0.2">
      <c r="B317" s="195" t="s">
        <v>1052</v>
      </c>
      <c r="C317" s="195" t="s">
        <v>1051</v>
      </c>
      <c r="D317" s="196" t="s">
        <v>157</v>
      </c>
      <c r="E317" s="196" t="s">
        <v>21</v>
      </c>
      <c r="F317" s="196">
        <v>185</v>
      </c>
      <c r="G317" s="197">
        <v>23040</v>
      </c>
      <c r="H317" s="198">
        <f t="shared" si="13"/>
        <v>57</v>
      </c>
      <c r="I317" s="196">
        <v>2</v>
      </c>
      <c r="J317" s="196" t="str">
        <f t="shared" si="15"/>
        <v>prob gender</v>
      </c>
      <c r="O317" s="62" t="str">
        <f t="shared" si="14"/>
        <v>|||||||||||||||||||||||||||||</v>
      </c>
    </row>
    <row r="318" spans="2:15" ht="15" x14ac:dyDescent="0.2">
      <c r="B318" s="195" t="s">
        <v>1046</v>
      </c>
      <c r="C318" s="195" t="s">
        <v>1045</v>
      </c>
      <c r="D318" s="196" t="s">
        <v>17</v>
      </c>
      <c r="E318" s="196" t="s">
        <v>21</v>
      </c>
      <c r="F318" s="196">
        <v>156</v>
      </c>
      <c r="G318" s="197">
        <v>33684</v>
      </c>
      <c r="H318" s="198">
        <f t="shared" si="13"/>
        <v>28</v>
      </c>
      <c r="I318" s="196">
        <v>2</v>
      </c>
      <c r="J318" s="196" t="str">
        <f t="shared" si="15"/>
        <v>prob langue</v>
      </c>
      <c r="O318" s="62" t="str">
        <f t="shared" si="14"/>
        <v>|||||||||||||||||||||</v>
      </c>
    </row>
    <row r="319" spans="2:15" ht="15" x14ac:dyDescent="0.2">
      <c r="B319" s="195" t="s">
        <v>1041</v>
      </c>
      <c r="C319" s="195" t="s">
        <v>1040</v>
      </c>
      <c r="D319" s="196" t="s">
        <v>157</v>
      </c>
      <c r="E319" s="196" t="s">
        <v>17</v>
      </c>
      <c r="F319" s="196">
        <v>166</v>
      </c>
      <c r="G319" s="197">
        <v>32388</v>
      </c>
      <c r="H319" s="198">
        <f t="shared" si="13"/>
        <v>32</v>
      </c>
      <c r="I319" s="196">
        <v>1</v>
      </c>
      <c r="J319" s="196" t="str">
        <f t="shared" si="15"/>
        <v>OK</v>
      </c>
      <c r="O319" s="62" t="str">
        <f t="shared" si="14"/>
        <v>||</v>
      </c>
    </row>
    <row r="320" spans="2:15" ht="15" x14ac:dyDescent="0.2">
      <c r="B320" s="195" t="s">
        <v>1034</v>
      </c>
      <c r="C320" s="195" t="s">
        <v>1033</v>
      </c>
      <c r="D320" s="196" t="s">
        <v>157</v>
      </c>
      <c r="E320" s="196" t="s">
        <v>17</v>
      </c>
      <c r="F320" s="196">
        <v>184</v>
      </c>
      <c r="G320" s="197">
        <v>23060</v>
      </c>
      <c r="H320" s="198">
        <f t="shared" si="13"/>
        <v>57</v>
      </c>
      <c r="I320" s="196">
        <v>1</v>
      </c>
      <c r="J320" s="196" t="str">
        <f t="shared" si="15"/>
        <v>prob âge</v>
      </c>
      <c r="O320" s="62" t="str">
        <f t="shared" si="14"/>
        <v>||||||||||||||||||</v>
      </c>
    </row>
    <row r="321" spans="2:15" ht="15" x14ac:dyDescent="0.2">
      <c r="B321" s="195" t="s">
        <v>1030</v>
      </c>
      <c r="C321" s="195" t="s">
        <v>1029</v>
      </c>
      <c r="D321" s="196" t="s">
        <v>157</v>
      </c>
      <c r="E321" s="196" t="s">
        <v>17</v>
      </c>
      <c r="F321" s="196">
        <v>160</v>
      </c>
      <c r="G321" s="197">
        <v>25183</v>
      </c>
      <c r="H321" s="198">
        <f t="shared" si="13"/>
        <v>52</v>
      </c>
      <c r="I321" s="196">
        <v>3</v>
      </c>
      <c r="J321" s="196" t="str">
        <f t="shared" si="15"/>
        <v>prob taille</v>
      </c>
      <c r="O321" s="62" t="str">
        <f t="shared" si="14"/>
        <v>|||||||||||</v>
      </c>
    </row>
    <row r="322" spans="2:15" ht="15" x14ac:dyDescent="0.2">
      <c r="B322" s="195" t="s">
        <v>1026</v>
      </c>
      <c r="C322" s="195" t="s">
        <v>1025</v>
      </c>
      <c r="D322" s="196" t="s">
        <v>17</v>
      </c>
      <c r="E322" s="196" t="s">
        <v>17</v>
      </c>
      <c r="F322" s="196">
        <v>162</v>
      </c>
      <c r="G322" s="197">
        <v>33228</v>
      </c>
      <c r="H322" s="198">
        <f t="shared" si="13"/>
        <v>30</v>
      </c>
      <c r="I322" s="196">
        <v>1</v>
      </c>
      <c r="J322" s="196" t="str">
        <f t="shared" si="15"/>
        <v>prob langue</v>
      </c>
      <c r="O322" s="62" t="str">
        <f t="shared" si="14"/>
        <v>|||||||||||||||||||||</v>
      </c>
    </row>
    <row r="323" spans="2:15" ht="15" x14ac:dyDescent="0.2">
      <c r="B323" s="195" t="s">
        <v>1022</v>
      </c>
      <c r="C323" s="195" t="s">
        <v>1021</v>
      </c>
      <c r="D323" s="196" t="s">
        <v>17</v>
      </c>
      <c r="E323" s="196" t="s">
        <v>17</v>
      </c>
      <c r="F323" s="196">
        <v>156</v>
      </c>
      <c r="G323" s="197">
        <v>23223</v>
      </c>
      <c r="H323" s="198">
        <f t="shared" si="13"/>
        <v>57</v>
      </c>
      <c r="I323" s="196">
        <v>3</v>
      </c>
      <c r="J323" s="196" t="str">
        <f t="shared" si="15"/>
        <v>prob langue</v>
      </c>
      <c r="O323" s="62" t="str">
        <f t="shared" si="14"/>
        <v>|||||||||||||||||||||||||||||||</v>
      </c>
    </row>
    <row r="324" spans="2:15" ht="15" x14ac:dyDescent="0.2">
      <c r="B324" s="195" t="s">
        <v>535</v>
      </c>
      <c r="C324" s="195" t="s">
        <v>1011</v>
      </c>
      <c r="D324" s="196" t="s">
        <v>157</v>
      </c>
      <c r="E324" s="196" t="s">
        <v>21</v>
      </c>
      <c r="F324" s="196">
        <v>181</v>
      </c>
      <c r="G324" s="197">
        <v>22595</v>
      </c>
      <c r="H324" s="198">
        <f t="shared" si="13"/>
        <v>59</v>
      </c>
      <c r="I324" s="196">
        <v>1</v>
      </c>
      <c r="J324" s="196" t="str">
        <f t="shared" si="15"/>
        <v>prob gender</v>
      </c>
      <c r="O324" s="62" t="str">
        <f t="shared" si="14"/>
        <v>||||||||||</v>
      </c>
    </row>
    <row r="325" spans="2:15" ht="15" x14ac:dyDescent="0.2">
      <c r="B325" s="195" t="s">
        <v>409</v>
      </c>
      <c r="C325" s="195" t="s">
        <v>1011</v>
      </c>
      <c r="D325" s="196" t="s">
        <v>17</v>
      </c>
      <c r="E325" s="196" t="s">
        <v>17</v>
      </c>
      <c r="F325" s="196">
        <v>178</v>
      </c>
      <c r="G325" s="197">
        <v>24374</v>
      </c>
      <c r="H325" s="198">
        <f t="shared" si="13"/>
        <v>54</v>
      </c>
      <c r="I325" s="196">
        <v>3</v>
      </c>
      <c r="J325" s="196" t="str">
        <f t="shared" si="15"/>
        <v>prob langue</v>
      </c>
      <c r="O325" s="62" t="str">
        <f t="shared" si="14"/>
        <v>||||||||||||||||||||||||</v>
      </c>
    </row>
    <row r="326" spans="2:15" ht="15" x14ac:dyDescent="0.2">
      <c r="B326" s="195" t="s">
        <v>1001</v>
      </c>
      <c r="C326" s="195" t="s">
        <v>994</v>
      </c>
      <c r="D326" s="196" t="s">
        <v>157</v>
      </c>
      <c r="E326" s="196" t="s">
        <v>17</v>
      </c>
      <c r="F326" s="196">
        <v>171</v>
      </c>
      <c r="G326" s="197">
        <v>27850</v>
      </c>
      <c r="H326" s="198">
        <f t="shared" ref="H326:H389" si="16">ROUNDDOWN(($L$16-G326) /365.25,0)</f>
        <v>44</v>
      </c>
      <c r="I326" s="196">
        <v>3</v>
      </c>
      <c r="J326" s="196" t="str">
        <f t="shared" si="15"/>
        <v>prob dispo</v>
      </c>
      <c r="O326" s="62" t="str">
        <f t="shared" ref="O326:O389" si="17">REPT("|",DAY(G326))</f>
        <v>|||||||||||||||||||||||||||||||</v>
      </c>
    </row>
    <row r="327" spans="2:15" ht="15" x14ac:dyDescent="0.2">
      <c r="B327" s="195" t="s">
        <v>927</v>
      </c>
      <c r="C327" s="195" t="s">
        <v>994</v>
      </c>
      <c r="D327" s="196" t="s">
        <v>17</v>
      </c>
      <c r="E327" s="196" t="s">
        <v>21</v>
      </c>
      <c r="F327" s="196">
        <v>171</v>
      </c>
      <c r="G327" s="197">
        <v>28156</v>
      </c>
      <c r="H327" s="198">
        <f t="shared" si="16"/>
        <v>43</v>
      </c>
      <c r="I327" s="196">
        <v>1</v>
      </c>
      <c r="J327" s="196" t="str">
        <f t="shared" ref="J327:J390" si="18">IF(D327=$L$12,IF(E327=$L$13,IF(F327&gt;=$L$14,IF(H327&lt;=$L$15,IF(I327=1,"OK","prob dispo"),"prob âge"),"prob taille"),"prob gender"),"prob langue")</f>
        <v>prob langue</v>
      </c>
      <c r="O327" s="62" t="str">
        <f t="shared" si="17"/>
        <v>|||||||||||||||||||||||||||||||</v>
      </c>
    </row>
    <row r="328" spans="2:15" ht="15" x14ac:dyDescent="0.2">
      <c r="B328" s="195" t="s">
        <v>991</v>
      </c>
      <c r="C328" s="195" t="s">
        <v>202</v>
      </c>
      <c r="D328" s="196" t="s">
        <v>17</v>
      </c>
      <c r="E328" s="196" t="s">
        <v>21</v>
      </c>
      <c r="F328" s="196">
        <v>182</v>
      </c>
      <c r="G328" s="197">
        <v>26716</v>
      </c>
      <c r="H328" s="198">
        <f t="shared" si="16"/>
        <v>47</v>
      </c>
      <c r="I328" s="196">
        <v>3</v>
      </c>
      <c r="J328" s="196" t="str">
        <f t="shared" si="18"/>
        <v>prob langue</v>
      </c>
      <c r="O328" s="62" t="str">
        <f t="shared" si="17"/>
        <v>|||||||||||||||||||||</v>
      </c>
    </row>
    <row r="329" spans="2:15" ht="15" x14ac:dyDescent="0.2">
      <c r="B329" s="195" t="s">
        <v>988</v>
      </c>
      <c r="C329" s="195" t="s">
        <v>987</v>
      </c>
      <c r="D329" s="196" t="s">
        <v>17</v>
      </c>
      <c r="E329" s="196" t="s">
        <v>17</v>
      </c>
      <c r="F329" s="196">
        <v>161</v>
      </c>
      <c r="G329" s="197">
        <v>32684</v>
      </c>
      <c r="H329" s="198">
        <f t="shared" si="16"/>
        <v>31</v>
      </c>
      <c r="I329" s="196">
        <v>1</v>
      </c>
      <c r="J329" s="196" t="str">
        <f t="shared" si="18"/>
        <v>prob langue</v>
      </c>
      <c r="O329" s="62" t="str">
        <f t="shared" si="17"/>
        <v>|||||||||||||||||||||||||</v>
      </c>
    </row>
    <row r="330" spans="2:15" ht="15" x14ac:dyDescent="0.2">
      <c r="B330" s="195" t="s">
        <v>981</v>
      </c>
      <c r="C330" s="195" t="s">
        <v>980</v>
      </c>
      <c r="D330" s="196" t="s">
        <v>157</v>
      </c>
      <c r="E330" s="196" t="s">
        <v>17</v>
      </c>
      <c r="F330" s="196">
        <v>187</v>
      </c>
      <c r="G330" s="197">
        <v>24547</v>
      </c>
      <c r="H330" s="198">
        <f t="shared" si="16"/>
        <v>53</v>
      </c>
      <c r="I330" s="196">
        <v>1</v>
      </c>
      <c r="J330" s="196" t="str">
        <f t="shared" si="18"/>
        <v>prob âge</v>
      </c>
      <c r="O330" s="62" t="str">
        <f t="shared" si="17"/>
        <v>||||||||||||||||</v>
      </c>
    </row>
    <row r="331" spans="2:15" ht="15" x14ac:dyDescent="0.2">
      <c r="B331" s="195" t="s">
        <v>81</v>
      </c>
      <c r="C331" s="195" t="s">
        <v>975</v>
      </c>
      <c r="D331" s="196" t="s">
        <v>157</v>
      </c>
      <c r="E331" s="196" t="s">
        <v>21</v>
      </c>
      <c r="F331" s="196">
        <v>187</v>
      </c>
      <c r="G331" s="197">
        <v>24870</v>
      </c>
      <c r="H331" s="198">
        <f t="shared" si="16"/>
        <v>52</v>
      </c>
      <c r="I331" s="196">
        <v>3</v>
      </c>
      <c r="J331" s="196" t="str">
        <f t="shared" si="18"/>
        <v>prob gender</v>
      </c>
      <c r="O331" s="62" t="str">
        <f t="shared" si="17"/>
        <v>||</v>
      </c>
    </row>
    <row r="332" spans="2:15" ht="15" x14ac:dyDescent="0.2">
      <c r="B332" s="195" t="s">
        <v>972</v>
      </c>
      <c r="C332" s="195" t="s">
        <v>971</v>
      </c>
      <c r="D332" s="196" t="s">
        <v>17</v>
      </c>
      <c r="E332" s="196" t="s">
        <v>21</v>
      </c>
      <c r="F332" s="196">
        <v>176</v>
      </c>
      <c r="G332" s="197">
        <v>30654</v>
      </c>
      <c r="H332" s="198">
        <f t="shared" si="16"/>
        <v>37</v>
      </c>
      <c r="I332" s="196">
        <v>3</v>
      </c>
      <c r="J332" s="196" t="str">
        <f t="shared" si="18"/>
        <v>prob langue</v>
      </c>
      <c r="O332" s="62" t="str">
        <f t="shared" si="17"/>
        <v>||||</v>
      </c>
    </row>
    <row r="333" spans="2:15" ht="15" x14ac:dyDescent="0.2">
      <c r="B333" s="195" t="s">
        <v>968</v>
      </c>
      <c r="C333" s="195" t="s">
        <v>967</v>
      </c>
      <c r="D333" s="196" t="s">
        <v>157</v>
      </c>
      <c r="E333" s="196" t="s">
        <v>21</v>
      </c>
      <c r="F333" s="196">
        <v>186</v>
      </c>
      <c r="G333" s="197">
        <v>26818</v>
      </c>
      <c r="H333" s="198">
        <f t="shared" si="16"/>
        <v>47</v>
      </c>
      <c r="I333" s="196">
        <v>3</v>
      </c>
      <c r="J333" s="196" t="str">
        <f t="shared" si="18"/>
        <v>prob gender</v>
      </c>
      <c r="O333" s="62" t="str">
        <f t="shared" si="17"/>
        <v>|||</v>
      </c>
    </row>
    <row r="334" spans="2:15" ht="15" x14ac:dyDescent="0.2">
      <c r="B334" s="195" t="s">
        <v>512</v>
      </c>
      <c r="C334" s="195" t="s">
        <v>963</v>
      </c>
      <c r="D334" s="196" t="s">
        <v>17</v>
      </c>
      <c r="E334" s="196" t="s">
        <v>21</v>
      </c>
      <c r="F334" s="196">
        <v>189</v>
      </c>
      <c r="G334" s="197">
        <v>25752</v>
      </c>
      <c r="H334" s="198">
        <f t="shared" si="16"/>
        <v>50</v>
      </c>
      <c r="I334" s="196">
        <v>3</v>
      </c>
      <c r="J334" s="196" t="str">
        <f t="shared" si="18"/>
        <v>prob langue</v>
      </c>
      <c r="O334" s="62" t="str">
        <f t="shared" si="17"/>
        <v>|||</v>
      </c>
    </row>
    <row r="335" spans="2:15" ht="15" x14ac:dyDescent="0.2">
      <c r="B335" s="195" t="s">
        <v>710</v>
      </c>
      <c r="C335" s="195" t="s">
        <v>956</v>
      </c>
      <c r="D335" s="196" t="s">
        <v>157</v>
      </c>
      <c r="E335" s="196" t="s">
        <v>17</v>
      </c>
      <c r="F335" s="196">
        <v>183</v>
      </c>
      <c r="G335" s="197">
        <v>33400</v>
      </c>
      <c r="H335" s="198">
        <f t="shared" si="16"/>
        <v>29</v>
      </c>
      <c r="I335" s="196">
        <v>3</v>
      </c>
      <c r="J335" s="196" t="str">
        <f t="shared" si="18"/>
        <v>prob dispo</v>
      </c>
      <c r="O335" s="62" t="str">
        <f t="shared" si="17"/>
        <v>|||||||||||</v>
      </c>
    </row>
    <row r="336" spans="2:15" ht="15" x14ac:dyDescent="0.2">
      <c r="B336" s="195" t="s">
        <v>951</v>
      </c>
      <c r="C336" s="195" t="s">
        <v>950</v>
      </c>
      <c r="D336" s="196" t="s">
        <v>157</v>
      </c>
      <c r="E336" s="196" t="s">
        <v>17</v>
      </c>
      <c r="F336" s="196">
        <v>184</v>
      </c>
      <c r="G336" s="197">
        <v>26320</v>
      </c>
      <c r="H336" s="198">
        <f t="shared" si="16"/>
        <v>48</v>
      </c>
      <c r="I336" s="196">
        <v>3</v>
      </c>
      <c r="J336" s="196" t="str">
        <f t="shared" si="18"/>
        <v>prob âge</v>
      </c>
      <c r="O336" s="62" t="str">
        <f t="shared" si="17"/>
        <v>||||||||||||||||||||||</v>
      </c>
    </row>
    <row r="337" spans="2:15" ht="15" x14ac:dyDescent="0.2">
      <c r="B337" s="195" t="s">
        <v>101</v>
      </c>
      <c r="C337" s="195" t="s">
        <v>947</v>
      </c>
      <c r="D337" s="196" t="s">
        <v>17</v>
      </c>
      <c r="E337" s="196" t="s">
        <v>21</v>
      </c>
      <c r="F337" s="196">
        <v>185</v>
      </c>
      <c r="G337" s="197">
        <v>22641</v>
      </c>
      <c r="H337" s="198">
        <f t="shared" si="16"/>
        <v>59</v>
      </c>
      <c r="I337" s="196">
        <v>3</v>
      </c>
      <c r="J337" s="196" t="str">
        <f t="shared" si="18"/>
        <v>prob langue</v>
      </c>
      <c r="O337" s="62" t="str">
        <f t="shared" si="17"/>
        <v>||||||||||||||||||||||||||</v>
      </c>
    </row>
    <row r="338" spans="2:15" ht="15" x14ac:dyDescent="0.2">
      <c r="B338" s="195" t="s">
        <v>193</v>
      </c>
      <c r="C338" s="195" t="s">
        <v>944</v>
      </c>
      <c r="D338" s="196" t="s">
        <v>17</v>
      </c>
      <c r="E338" s="196" t="s">
        <v>21</v>
      </c>
      <c r="F338" s="196">
        <v>193</v>
      </c>
      <c r="G338" s="197">
        <v>29276</v>
      </c>
      <c r="H338" s="198">
        <f t="shared" si="16"/>
        <v>40</v>
      </c>
      <c r="I338" s="196">
        <v>2</v>
      </c>
      <c r="J338" s="196" t="str">
        <f t="shared" si="18"/>
        <v>prob langue</v>
      </c>
      <c r="O338" s="62" t="str">
        <f t="shared" si="17"/>
        <v>|||||||||||||||||||||||||</v>
      </c>
    </row>
    <row r="339" spans="2:15" ht="15" x14ac:dyDescent="0.2">
      <c r="B339" s="195" t="s">
        <v>284</v>
      </c>
      <c r="C339" s="195" t="s">
        <v>941</v>
      </c>
      <c r="D339" s="196" t="s">
        <v>17</v>
      </c>
      <c r="E339" s="196" t="s">
        <v>21</v>
      </c>
      <c r="F339" s="196">
        <v>184</v>
      </c>
      <c r="G339" s="197">
        <v>25840</v>
      </c>
      <c r="H339" s="198">
        <f t="shared" si="16"/>
        <v>50</v>
      </c>
      <c r="I339" s="196">
        <v>2</v>
      </c>
      <c r="J339" s="196" t="str">
        <f t="shared" si="18"/>
        <v>prob langue</v>
      </c>
      <c r="O339" s="62" t="str">
        <f t="shared" si="17"/>
        <v>|||||||||||||||||||||||||||||</v>
      </c>
    </row>
    <row r="340" spans="2:15" ht="15" x14ac:dyDescent="0.2">
      <c r="B340" s="195" t="s">
        <v>938</v>
      </c>
      <c r="C340" s="195" t="s">
        <v>937</v>
      </c>
      <c r="D340" s="196" t="s">
        <v>157</v>
      </c>
      <c r="E340" s="196" t="s">
        <v>17</v>
      </c>
      <c r="F340" s="196">
        <v>189</v>
      </c>
      <c r="G340" s="197">
        <v>25736</v>
      </c>
      <c r="H340" s="198">
        <f t="shared" si="16"/>
        <v>50</v>
      </c>
      <c r="I340" s="196">
        <v>1</v>
      </c>
      <c r="J340" s="196" t="str">
        <f t="shared" si="18"/>
        <v>prob âge</v>
      </c>
      <c r="O340" s="62" t="str">
        <f t="shared" si="17"/>
        <v>|||||||||||||||||</v>
      </c>
    </row>
    <row r="341" spans="2:15" ht="15" x14ac:dyDescent="0.2">
      <c r="B341" s="195" t="s">
        <v>345</v>
      </c>
      <c r="C341" s="195" t="s">
        <v>934</v>
      </c>
      <c r="D341" s="196" t="s">
        <v>17</v>
      </c>
      <c r="E341" s="196" t="s">
        <v>21</v>
      </c>
      <c r="F341" s="196">
        <v>168</v>
      </c>
      <c r="G341" s="197">
        <v>29860</v>
      </c>
      <c r="H341" s="198">
        <f t="shared" si="16"/>
        <v>39</v>
      </c>
      <c r="I341" s="196">
        <v>3</v>
      </c>
      <c r="J341" s="196" t="str">
        <f t="shared" si="18"/>
        <v>prob langue</v>
      </c>
      <c r="O341" s="62" t="str">
        <f t="shared" si="17"/>
        <v>|</v>
      </c>
    </row>
    <row r="342" spans="2:15" ht="15" x14ac:dyDescent="0.2">
      <c r="B342" s="195" t="s">
        <v>98</v>
      </c>
      <c r="C342" s="195" t="s">
        <v>931</v>
      </c>
      <c r="D342" s="196" t="s">
        <v>17</v>
      </c>
      <c r="E342" s="196" t="s">
        <v>21</v>
      </c>
      <c r="F342" s="196">
        <v>159</v>
      </c>
      <c r="G342" s="197">
        <v>25711</v>
      </c>
      <c r="H342" s="198">
        <f t="shared" si="16"/>
        <v>50</v>
      </c>
      <c r="I342" s="196">
        <v>2</v>
      </c>
      <c r="J342" s="196" t="str">
        <f t="shared" si="18"/>
        <v>prob langue</v>
      </c>
      <c r="O342" s="62" t="str">
        <f t="shared" si="17"/>
        <v>|||||||||||||||||||||||</v>
      </c>
    </row>
    <row r="343" spans="2:15" ht="15" x14ac:dyDescent="0.2">
      <c r="B343" s="195" t="s">
        <v>927</v>
      </c>
      <c r="C343" s="195" t="s">
        <v>926</v>
      </c>
      <c r="D343" s="196" t="s">
        <v>157</v>
      </c>
      <c r="E343" s="196" t="s">
        <v>21</v>
      </c>
      <c r="F343" s="196">
        <v>179</v>
      </c>
      <c r="G343" s="197">
        <v>30524</v>
      </c>
      <c r="H343" s="198">
        <f t="shared" si="16"/>
        <v>37</v>
      </c>
      <c r="I343" s="196">
        <v>1</v>
      </c>
      <c r="J343" s="196" t="str">
        <f t="shared" si="18"/>
        <v>prob gender</v>
      </c>
      <c r="O343" s="62" t="str">
        <f t="shared" si="17"/>
        <v>|||||||||||||||||||||||||||</v>
      </c>
    </row>
    <row r="344" spans="2:15" ht="15" x14ac:dyDescent="0.2">
      <c r="B344" s="195" t="s">
        <v>71</v>
      </c>
      <c r="C344" s="195" t="s">
        <v>923</v>
      </c>
      <c r="D344" s="196" t="s">
        <v>17</v>
      </c>
      <c r="E344" s="196" t="s">
        <v>21</v>
      </c>
      <c r="F344" s="196">
        <v>163</v>
      </c>
      <c r="G344" s="197">
        <v>30116</v>
      </c>
      <c r="H344" s="198">
        <f t="shared" si="16"/>
        <v>38</v>
      </c>
      <c r="I344" s="196">
        <v>2</v>
      </c>
      <c r="J344" s="196" t="str">
        <f t="shared" si="18"/>
        <v>prob langue</v>
      </c>
      <c r="O344" s="62" t="str">
        <f t="shared" si="17"/>
        <v>||||||||||||||</v>
      </c>
    </row>
    <row r="345" spans="2:15" ht="15" x14ac:dyDescent="0.2">
      <c r="B345" s="195" t="s">
        <v>260</v>
      </c>
      <c r="C345" s="195" t="s">
        <v>919</v>
      </c>
      <c r="D345" s="196" t="s">
        <v>17</v>
      </c>
      <c r="E345" s="196" t="s">
        <v>17</v>
      </c>
      <c r="F345" s="196">
        <v>180</v>
      </c>
      <c r="G345" s="197">
        <v>31781</v>
      </c>
      <c r="H345" s="198">
        <f t="shared" si="16"/>
        <v>33</v>
      </c>
      <c r="I345" s="196">
        <v>3</v>
      </c>
      <c r="J345" s="196" t="str">
        <f t="shared" si="18"/>
        <v>prob langue</v>
      </c>
      <c r="O345" s="62" t="str">
        <f t="shared" si="17"/>
        <v>||||</v>
      </c>
    </row>
    <row r="346" spans="2:15" ht="15" x14ac:dyDescent="0.2">
      <c r="B346" s="195" t="s">
        <v>916</v>
      </c>
      <c r="C346" s="195" t="s">
        <v>915</v>
      </c>
      <c r="D346" s="196" t="s">
        <v>17</v>
      </c>
      <c r="E346" s="196" t="s">
        <v>17</v>
      </c>
      <c r="F346" s="196">
        <v>161</v>
      </c>
      <c r="G346" s="197">
        <v>24072</v>
      </c>
      <c r="H346" s="198">
        <f t="shared" si="16"/>
        <v>55</v>
      </c>
      <c r="I346" s="196">
        <v>3</v>
      </c>
      <c r="J346" s="196" t="str">
        <f t="shared" si="18"/>
        <v>prob langue</v>
      </c>
      <c r="O346" s="62" t="str">
        <f t="shared" si="17"/>
        <v>||||||||||||||||||||||||||</v>
      </c>
    </row>
    <row r="347" spans="2:15" ht="15" x14ac:dyDescent="0.2">
      <c r="B347" s="195" t="s">
        <v>793</v>
      </c>
      <c r="C347" s="195" t="s">
        <v>911</v>
      </c>
      <c r="D347" s="196" t="s">
        <v>17</v>
      </c>
      <c r="E347" s="196" t="s">
        <v>21</v>
      </c>
      <c r="F347" s="196">
        <v>187</v>
      </c>
      <c r="G347" s="197">
        <v>26339</v>
      </c>
      <c r="H347" s="198">
        <f t="shared" si="16"/>
        <v>48</v>
      </c>
      <c r="I347" s="196">
        <v>2</v>
      </c>
      <c r="J347" s="196" t="str">
        <f t="shared" si="18"/>
        <v>prob langue</v>
      </c>
      <c r="O347" s="62" t="str">
        <f t="shared" si="17"/>
        <v>||||||||||</v>
      </c>
    </row>
    <row r="348" spans="2:15" ht="15" x14ac:dyDescent="0.2">
      <c r="B348" s="195" t="s">
        <v>215</v>
      </c>
      <c r="C348" s="195" t="s">
        <v>904</v>
      </c>
      <c r="D348" s="196" t="s">
        <v>157</v>
      </c>
      <c r="E348" s="196" t="s">
        <v>17</v>
      </c>
      <c r="F348" s="196">
        <v>184</v>
      </c>
      <c r="G348" s="197">
        <v>28308</v>
      </c>
      <c r="H348" s="198">
        <f t="shared" si="16"/>
        <v>43</v>
      </c>
      <c r="I348" s="196">
        <v>1</v>
      </c>
      <c r="J348" s="196" t="str">
        <f t="shared" si="18"/>
        <v>OK</v>
      </c>
      <c r="O348" s="62" t="str">
        <f t="shared" si="17"/>
        <v>||</v>
      </c>
    </row>
    <row r="349" spans="2:15" ht="15" x14ac:dyDescent="0.2">
      <c r="B349" s="195" t="s">
        <v>386</v>
      </c>
      <c r="C349" s="195" t="s">
        <v>899</v>
      </c>
      <c r="D349" s="196" t="s">
        <v>157</v>
      </c>
      <c r="E349" s="196" t="s">
        <v>21</v>
      </c>
      <c r="F349" s="196">
        <v>166</v>
      </c>
      <c r="G349" s="197">
        <v>31712</v>
      </c>
      <c r="H349" s="198">
        <f t="shared" si="16"/>
        <v>34</v>
      </c>
      <c r="I349" s="196">
        <v>3</v>
      </c>
      <c r="J349" s="196" t="str">
        <f t="shared" si="18"/>
        <v>prob gender</v>
      </c>
      <c r="O349" s="62" t="str">
        <f t="shared" si="17"/>
        <v>|||||||||||||||||||||||||||</v>
      </c>
    </row>
    <row r="350" spans="2:15" ht="15" x14ac:dyDescent="0.2">
      <c r="B350" s="195" t="s">
        <v>465</v>
      </c>
      <c r="C350" s="195" t="s">
        <v>893</v>
      </c>
      <c r="D350" s="196" t="s">
        <v>17</v>
      </c>
      <c r="E350" s="196" t="s">
        <v>21</v>
      </c>
      <c r="F350" s="196">
        <v>184</v>
      </c>
      <c r="G350" s="197">
        <v>25025</v>
      </c>
      <c r="H350" s="198">
        <f t="shared" si="16"/>
        <v>52</v>
      </c>
      <c r="I350" s="196">
        <v>2</v>
      </c>
      <c r="J350" s="196" t="str">
        <f t="shared" si="18"/>
        <v>prob langue</v>
      </c>
      <c r="O350" s="62" t="str">
        <f t="shared" si="17"/>
        <v>||||||</v>
      </c>
    </row>
    <row r="351" spans="2:15" ht="15" x14ac:dyDescent="0.2">
      <c r="B351" s="195" t="s">
        <v>886</v>
      </c>
      <c r="C351" s="195" t="s">
        <v>885</v>
      </c>
      <c r="D351" s="196" t="s">
        <v>17</v>
      </c>
      <c r="E351" s="196" t="s">
        <v>17</v>
      </c>
      <c r="F351" s="196">
        <v>183</v>
      </c>
      <c r="G351" s="197">
        <v>29223</v>
      </c>
      <c r="H351" s="198">
        <f t="shared" si="16"/>
        <v>40</v>
      </c>
      <c r="I351" s="196">
        <v>3</v>
      </c>
      <c r="J351" s="196" t="str">
        <f t="shared" si="18"/>
        <v>prob langue</v>
      </c>
      <c r="O351" s="62" t="str">
        <f t="shared" si="17"/>
        <v>|||</v>
      </c>
    </row>
    <row r="352" spans="2:15" ht="15" x14ac:dyDescent="0.2">
      <c r="B352" s="195" t="s">
        <v>364</v>
      </c>
      <c r="C352" s="195" t="s">
        <v>881</v>
      </c>
      <c r="D352" s="196" t="s">
        <v>17</v>
      </c>
      <c r="E352" s="196" t="s">
        <v>21</v>
      </c>
      <c r="F352" s="196">
        <v>177</v>
      </c>
      <c r="G352" s="197">
        <v>32882</v>
      </c>
      <c r="H352" s="198">
        <f t="shared" si="16"/>
        <v>30</v>
      </c>
      <c r="I352" s="196">
        <v>3</v>
      </c>
      <c r="J352" s="196" t="str">
        <f t="shared" si="18"/>
        <v>prob langue</v>
      </c>
      <c r="O352" s="62" t="str">
        <f t="shared" si="17"/>
        <v>|||||||||</v>
      </c>
    </row>
    <row r="353" spans="2:15" ht="15" x14ac:dyDescent="0.2">
      <c r="B353" s="195" t="s">
        <v>193</v>
      </c>
      <c r="C353" s="195" t="s">
        <v>878</v>
      </c>
      <c r="D353" s="196" t="s">
        <v>17</v>
      </c>
      <c r="E353" s="196" t="s">
        <v>21</v>
      </c>
      <c r="F353" s="196">
        <v>183</v>
      </c>
      <c r="G353" s="197">
        <v>22968</v>
      </c>
      <c r="H353" s="198">
        <f t="shared" si="16"/>
        <v>58</v>
      </c>
      <c r="I353" s="196">
        <v>3</v>
      </c>
      <c r="J353" s="196" t="str">
        <f t="shared" si="18"/>
        <v>prob langue</v>
      </c>
      <c r="O353" s="62" t="str">
        <f t="shared" si="17"/>
        <v>||||||||||||||||||</v>
      </c>
    </row>
    <row r="354" spans="2:15" ht="15" x14ac:dyDescent="0.2">
      <c r="B354" s="195" t="s">
        <v>875</v>
      </c>
      <c r="C354" s="195" t="s">
        <v>874</v>
      </c>
      <c r="D354" s="196" t="s">
        <v>17</v>
      </c>
      <c r="E354" s="196" t="s">
        <v>21</v>
      </c>
      <c r="F354" s="196">
        <v>164</v>
      </c>
      <c r="G354" s="197">
        <v>33606</v>
      </c>
      <c r="H354" s="198">
        <f t="shared" si="16"/>
        <v>28</v>
      </c>
      <c r="I354" s="196">
        <v>3</v>
      </c>
      <c r="J354" s="196" t="str">
        <f t="shared" si="18"/>
        <v>prob langue</v>
      </c>
      <c r="O354" s="62" t="str">
        <f t="shared" si="17"/>
        <v>|||</v>
      </c>
    </row>
    <row r="355" spans="2:15" ht="15" x14ac:dyDescent="0.2">
      <c r="B355" s="195" t="s">
        <v>170</v>
      </c>
      <c r="C355" s="195" t="s">
        <v>871</v>
      </c>
      <c r="D355" s="196" t="s">
        <v>17</v>
      </c>
      <c r="E355" s="196" t="s">
        <v>21</v>
      </c>
      <c r="F355" s="196">
        <v>184</v>
      </c>
      <c r="G355" s="197">
        <v>22638</v>
      </c>
      <c r="H355" s="198">
        <f t="shared" si="16"/>
        <v>59</v>
      </c>
      <c r="I355" s="196">
        <v>3</v>
      </c>
      <c r="J355" s="196" t="str">
        <f t="shared" si="18"/>
        <v>prob langue</v>
      </c>
      <c r="O355" s="62" t="str">
        <f t="shared" si="17"/>
        <v>|||||||||||||||||||||||</v>
      </c>
    </row>
    <row r="356" spans="2:15" ht="15" x14ac:dyDescent="0.2">
      <c r="B356" s="195" t="s">
        <v>865</v>
      </c>
      <c r="C356" s="195" t="s">
        <v>861</v>
      </c>
      <c r="D356" s="196" t="s">
        <v>157</v>
      </c>
      <c r="E356" s="196" t="s">
        <v>21</v>
      </c>
      <c r="F356" s="196">
        <v>195</v>
      </c>
      <c r="G356" s="197">
        <v>25296</v>
      </c>
      <c r="H356" s="198">
        <f t="shared" si="16"/>
        <v>51</v>
      </c>
      <c r="I356" s="196">
        <v>2</v>
      </c>
      <c r="J356" s="196" t="str">
        <f t="shared" si="18"/>
        <v>prob gender</v>
      </c>
      <c r="O356" s="62" t="str">
        <f t="shared" si="17"/>
        <v>|||</v>
      </c>
    </row>
    <row r="357" spans="2:15" ht="15" x14ac:dyDescent="0.2">
      <c r="B357" s="195" t="s">
        <v>858</v>
      </c>
      <c r="C357" s="195" t="s">
        <v>857</v>
      </c>
      <c r="D357" s="196" t="s">
        <v>157</v>
      </c>
      <c r="E357" s="196" t="s">
        <v>17</v>
      </c>
      <c r="F357" s="196">
        <v>183</v>
      </c>
      <c r="G357" s="197">
        <v>24908</v>
      </c>
      <c r="H357" s="198">
        <f t="shared" si="16"/>
        <v>52</v>
      </c>
      <c r="I357" s="196">
        <v>3</v>
      </c>
      <c r="J357" s="196" t="str">
        <f t="shared" si="18"/>
        <v>prob âge</v>
      </c>
      <c r="O357" s="62" t="str">
        <f t="shared" si="17"/>
        <v>|||||||||||</v>
      </c>
    </row>
    <row r="358" spans="2:15" ht="15" x14ac:dyDescent="0.2">
      <c r="B358" s="195" t="s">
        <v>854</v>
      </c>
      <c r="C358" s="195" t="s">
        <v>853</v>
      </c>
      <c r="D358" s="196" t="s">
        <v>17</v>
      </c>
      <c r="E358" s="196" t="s">
        <v>17</v>
      </c>
      <c r="F358" s="196">
        <v>177</v>
      </c>
      <c r="G358" s="197">
        <v>26898</v>
      </c>
      <c r="H358" s="198">
        <f t="shared" si="16"/>
        <v>47</v>
      </c>
      <c r="I358" s="196">
        <v>2</v>
      </c>
      <c r="J358" s="196" t="str">
        <f t="shared" si="18"/>
        <v>prob langue</v>
      </c>
      <c r="O358" s="62" t="str">
        <f t="shared" si="17"/>
        <v>||||||||||||||||||||||</v>
      </c>
    </row>
    <row r="359" spans="2:15" ht="15" x14ac:dyDescent="0.2">
      <c r="B359" s="195" t="s">
        <v>849</v>
      </c>
      <c r="C359" s="195" t="s">
        <v>848</v>
      </c>
      <c r="D359" s="196" t="s">
        <v>17</v>
      </c>
      <c r="E359" s="196" t="s">
        <v>17</v>
      </c>
      <c r="F359" s="196">
        <v>188</v>
      </c>
      <c r="G359" s="197">
        <v>33988</v>
      </c>
      <c r="H359" s="198">
        <f t="shared" si="16"/>
        <v>27</v>
      </c>
      <c r="I359" s="196">
        <v>2</v>
      </c>
      <c r="J359" s="196" t="str">
        <f t="shared" si="18"/>
        <v>prob langue</v>
      </c>
      <c r="O359" s="62" t="str">
        <f t="shared" si="17"/>
        <v>|||||||||||||||||||</v>
      </c>
    </row>
    <row r="360" spans="2:15" ht="15" x14ac:dyDescent="0.2">
      <c r="B360" s="195" t="s">
        <v>825</v>
      </c>
      <c r="C360" s="195" t="s">
        <v>842</v>
      </c>
      <c r="D360" s="196" t="s">
        <v>17</v>
      </c>
      <c r="E360" s="196" t="s">
        <v>21</v>
      </c>
      <c r="F360" s="196">
        <v>189</v>
      </c>
      <c r="G360" s="197">
        <v>32286</v>
      </c>
      <c r="H360" s="198">
        <f t="shared" si="16"/>
        <v>32</v>
      </c>
      <c r="I360" s="196">
        <v>3</v>
      </c>
      <c r="J360" s="196" t="str">
        <f t="shared" si="18"/>
        <v>prob langue</v>
      </c>
      <c r="O360" s="62" t="str">
        <f t="shared" si="17"/>
        <v>|||||||||||||||||||||||</v>
      </c>
    </row>
    <row r="361" spans="2:15" ht="15" x14ac:dyDescent="0.2">
      <c r="B361" s="195" t="s">
        <v>838</v>
      </c>
      <c r="C361" s="195" t="s">
        <v>837</v>
      </c>
      <c r="D361" s="196" t="s">
        <v>17</v>
      </c>
      <c r="E361" s="196" t="s">
        <v>17</v>
      </c>
      <c r="F361" s="196">
        <v>180</v>
      </c>
      <c r="G361" s="197">
        <v>22859</v>
      </c>
      <c r="H361" s="198">
        <f t="shared" si="16"/>
        <v>58</v>
      </c>
      <c r="I361" s="196">
        <v>3</v>
      </c>
      <c r="J361" s="196" t="str">
        <f t="shared" si="18"/>
        <v>prob langue</v>
      </c>
      <c r="O361" s="62" t="str">
        <f t="shared" si="17"/>
        <v>|</v>
      </c>
    </row>
    <row r="362" spans="2:15" ht="15" x14ac:dyDescent="0.2">
      <c r="B362" s="195" t="s">
        <v>364</v>
      </c>
      <c r="C362" s="195" t="s">
        <v>829</v>
      </c>
      <c r="D362" s="196" t="s">
        <v>17</v>
      </c>
      <c r="E362" s="196" t="s">
        <v>21</v>
      </c>
      <c r="F362" s="196">
        <v>162</v>
      </c>
      <c r="G362" s="197">
        <v>24882</v>
      </c>
      <c r="H362" s="198">
        <f t="shared" si="16"/>
        <v>52</v>
      </c>
      <c r="I362" s="196">
        <v>1</v>
      </c>
      <c r="J362" s="196" t="str">
        <f t="shared" si="18"/>
        <v>prob langue</v>
      </c>
      <c r="O362" s="62" t="str">
        <f t="shared" si="17"/>
        <v>||||||||||||||</v>
      </c>
    </row>
    <row r="363" spans="2:15" ht="15" x14ac:dyDescent="0.2">
      <c r="B363" s="195" t="s">
        <v>833</v>
      </c>
      <c r="C363" s="195" t="s">
        <v>829</v>
      </c>
      <c r="D363" s="196" t="s">
        <v>157</v>
      </c>
      <c r="E363" s="196" t="s">
        <v>17</v>
      </c>
      <c r="F363" s="196">
        <v>176</v>
      </c>
      <c r="G363" s="197">
        <v>25178</v>
      </c>
      <c r="H363" s="198">
        <f t="shared" si="16"/>
        <v>52</v>
      </c>
      <c r="I363" s="196">
        <v>3</v>
      </c>
      <c r="J363" s="196" t="str">
        <f t="shared" si="18"/>
        <v>prob âge</v>
      </c>
      <c r="O363" s="62" t="str">
        <f t="shared" si="17"/>
        <v>||||||</v>
      </c>
    </row>
    <row r="364" spans="2:15" ht="15" x14ac:dyDescent="0.2">
      <c r="B364" s="195" t="s">
        <v>825</v>
      </c>
      <c r="C364" s="195" t="s">
        <v>820</v>
      </c>
      <c r="D364" s="196" t="s">
        <v>157</v>
      </c>
      <c r="E364" s="196" t="s">
        <v>21</v>
      </c>
      <c r="F364" s="196">
        <v>173</v>
      </c>
      <c r="G364" s="197">
        <v>25789</v>
      </c>
      <c r="H364" s="198">
        <f t="shared" si="16"/>
        <v>50</v>
      </c>
      <c r="I364" s="196">
        <v>3</v>
      </c>
      <c r="J364" s="196" t="str">
        <f t="shared" si="18"/>
        <v>prob gender</v>
      </c>
      <c r="O364" s="62" t="str">
        <f t="shared" si="17"/>
        <v>|||||||||</v>
      </c>
    </row>
    <row r="365" spans="2:15" ht="15" x14ac:dyDescent="0.2">
      <c r="B365" s="195" t="s">
        <v>821</v>
      </c>
      <c r="C365" s="195" t="s">
        <v>820</v>
      </c>
      <c r="D365" s="196" t="s">
        <v>157</v>
      </c>
      <c r="E365" s="196" t="s">
        <v>21</v>
      </c>
      <c r="F365" s="196">
        <v>161</v>
      </c>
      <c r="G365" s="197">
        <v>30454</v>
      </c>
      <c r="H365" s="198">
        <f t="shared" si="16"/>
        <v>37</v>
      </c>
      <c r="I365" s="196">
        <v>2</v>
      </c>
      <c r="J365" s="196" t="str">
        <f t="shared" si="18"/>
        <v>prob gender</v>
      </c>
      <c r="O365" s="62" t="str">
        <f t="shared" si="17"/>
        <v>||||||||||||||||||</v>
      </c>
    </row>
    <row r="366" spans="2:15" ht="15" x14ac:dyDescent="0.2">
      <c r="B366" s="195" t="s">
        <v>814</v>
      </c>
      <c r="C366" s="195" t="s">
        <v>813</v>
      </c>
      <c r="D366" s="196" t="s">
        <v>17</v>
      </c>
      <c r="E366" s="196" t="s">
        <v>21</v>
      </c>
      <c r="F366" s="196">
        <v>192</v>
      </c>
      <c r="G366" s="197">
        <v>26272</v>
      </c>
      <c r="H366" s="198">
        <f t="shared" si="16"/>
        <v>49</v>
      </c>
      <c r="I366" s="196">
        <v>1</v>
      </c>
      <c r="J366" s="196" t="str">
        <f t="shared" si="18"/>
        <v>prob langue</v>
      </c>
      <c r="O366" s="62" t="str">
        <f t="shared" si="17"/>
        <v>|||||</v>
      </c>
    </row>
    <row r="367" spans="2:15" ht="15" x14ac:dyDescent="0.2">
      <c r="B367" s="195" t="s">
        <v>809</v>
      </c>
      <c r="C367" s="195" t="s">
        <v>805</v>
      </c>
      <c r="D367" s="196" t="s">
        <v>157</v>
      </c>
      <c r="E367" s="196" t="s">
        <v>21</v>
      </c>
      <c r="F367" s="196">
        <v>192</v>
      </c>
      <c r="G367" s="197">
        <v>27591</v>
      </c>
      <c r="H367" s="198">
        <f t="shared" si="16"/>
        <v>45</v>
      </c>
      <c r="I367" s="196">
        <v>2</v>
      </c>
      <c r="J367" s="196" t="str">
        <f t="shared" si="18"/>
        <v>prob gender</v>
      </c>
      <c r="O367" s="62" t="str">
        <f t="shared" si="17"/>
        <v>||||||||||||||||</v>
      </c>
    </row>
    <row r="368" spans="2:15" ht="15" x14ac:dyDescent="0.2">
      <c r="B368" s="195" t="s">
        <v>448</v>
      </c>
      <c r="C368" s="195" t="s">
        <v>805</v>
      </c>
      <c r="D368" s="196" t="s">
        <v>17</v>
      </c>
      <c r="E368" s="196" t="s">
        <v>21</v>
      </c>
      <c r="F368" s="196">
        <v>173</v>
      </c>
      <c r="G368" s="197">
        <v>31356</v>
      </c>
      <c r="H368" s="198">
        <f t="shared" si="16"/>
        <v>35</v>
      </c>
      <c r="I368" s="196">
        <v>2</v>
      </c>
      <c r="J368" s="196" t="str">
        <f t="shared" si="18"/>
        <v>prob langue</v>
      </c>
      <c r="O368" s="62" t="str">
        <f t="shared" si="17"/>
        <v>|||||</v>
      </c>
    </row>
    <row r="369" spans="2:15" ht="15" x14ac:dyDescent="0.2">
      <c r="B369" s="195" t="s">
        <v>448</v>
      </c>
      <c r="C369" s="195" t="s">
        <v>802</v>
      </c>
      <c r="D369" s="196" t="s">
        <v>17</v>
      </c>
      <c r="E369" s="196" t="s">
        <v>21</v>
      </c>
      <c r="F369" s="196">
        <v>158</v>
      </c>
      <c r="G369" s="197">
        <v>32894</v>
      </c>
      <c r="H369" s="198">
        <f t="shared" si="16"/>
        <v>30</v>
      </c>
      <c r="I369" s="196">
        <v>1</v>
      </c>
      <c r="J369" s="196" t="str">
        <f t="shared" si="18"/>
        <v>prob langue</v>
      </c>
      <c r="O369" s="62" t="str">
        <f t="shared" si="17"/>
        <v>|||||||||||||||||||||</v>
      </c>
    </row>
    <row r="370" spans="2:15" ht="15" x14ac:dyDescent="0.2">
      <c r="B370" s="195" t="s">
        <v>101</v>
      </c>
      <c r="C370" s="195" t="s">
        <v>797</v>
      </c>
      <c r="D370" s="196" t="s">
        <v>157</v>
      </c>
      <c r="E370" s="196" t="s">
        <v>21</v>
      </c>
      <c r="F370" s="196">
        <v>162</v>
      </c>
      <c r="G370" s="197">
        <v>27494</v>
      </c>
      <c r="H370" s="198">
        <f t="shared" si="16"/>
        <v>45</v>
      </c>
      <c r="I370" s="196">
        <v>2</v>
      </c>
      <c r="J370" s="196" t="str">
        <f t="shared" si="18"/>
        <v>prob gender</v>
      </c>
      <c r="O370" s="62" t="str">
        <f t="shared" si="17"/>
        <v>||||||||||</v>
      </c>
    </row>
    <row r="371" spans="2:15" ht="15" x14ac:dyDescent="0.2">
      <c r="B371" s="195" t="s">
        <v>793</v>
      </c>
      <c r="C371" s="195" t="s">
        <v>792</v>
      </c>
      <c r="D371" s="196" t="s">
        <v>17</v>
      </c>
      <c r="E371" s="196" t="s">
        <v>21</v>
      </c>
      <c r="F371" s="196">
        <v>175</v>
      </c>
      <c r="G371" s="197">
        <v>33739</v>
      </c>
      <c r="H371" s="198">
        <f t="shared" si="16"/>
        <v>28</v>
      </c>
      <c r="I371" s="196">
        <v>2</v>
      </c>
      <c r="J371" s="196" t="str">
        <f t="shared" si="18"/>
        <v>prob langue</v>
      </c>
      <c r="O371" s="62" t="str">
        <f t="shared" si="17"/>
        <v>|||||||||||||||</v>
      </c>
    </row>
    <row r="372" spans="2:15" ht="15" x14ac:dyDescent="0.2">
      <c r="B372" s="195" t="s">
        <v>101</v>
      </c>
      <c r="C372" s="195" t="s">
        <v>782</v>
      </c>
      <c r="D372" s="196" t="s">
        <v>157</v>
      </c>
      <c r="E372" s="196" t="s">
        <v>21</v>
      </c>
      <c r="F372" s="196">
        <v>187</v>
      </c>
      <c r="G372" s="197">
        <v>26748</v>
      </c>
      <c r="H372" s="198">
        <f t="shared" si="16"/>
        <v>47</v>
      </c>
      <c r="I372" s="196">
        <v>1</v>
      </c>
      <c r="J372" s="196" t="str">
        <f t="shared" si="18"/>
        <v>prob gender</v>
      </c>
      <c r="O372" s="62" t="str">
        <f t="shared" si="17"/>
        <v>|||||||||||||||||||||||||</v>
      </c>
    </row>
    <row r="373" spans="2:15" ht="15" x14ac:dyDescent="0.2">
      <c r="B373" s="195" t="s">
        <v>779</v>
      </c>
      <c r="C373" s="195" t="s">
        <v>778</v>
      </c>
      <c r="D373" s="196" t="s">
        <v>17</v>
      </c>
      <c r="E373" s="196" t="s">
        <v>21</v>
      </c>
      <c r="F373" s="196">
        <v>180</v>
      </c>
      <c r="G373" s="197">
        <v>26948</v>
      </c>
      <c r="H373" s="198">
        <f t="shared" si="16"/>
        <v>47</v>
      </c>
      <c r="I373" s="196">
        <v>2</v>
      </c>
      <c r="J373" s="196" t="str">
        <f t="shared" si="18"/>
        <v>prob langue</v>
      </c>
      <c r="O373" s="62" t="str">
        <f t="shared" si="17"/>
        <v>|||||||||||</v>
      </c>
    </row>
    <row r="374" spans="2:15" ht="15" x14ac:dyDescent="0.2">
      <c r="B374" s="195" t="s">
        <v>65</v>
      </c>
      <c r="C374" s="195" t="s">
        <v>774</v>
      </c>
      <c r="D374" s="196" t="s">
        <v>157</v>
      </c>
      <c r="E374" s="196" t="s">
        <v>17</v>
      </c>
      <c r="F374" s="196">
        <v>194</v>
      </c>
      <c r="G374" s="197">
        <v>30650</v>
      </c>
      <c r="H374" s="198">
        <f t="shared" si="16"/>
        <v>37</v>
      </c>
      <c r="I374" s="196">
        <v>3</v>
      </c>
      <c r="J374" s="196" t="str">
        <f t="shared" si="18"/>
        <v>prob dispo</v>
      </c>
      <c r="O374" s="62" t="str">
        <f t="shared" si="17"/>
        <v>||||||||||||||||||||||||||||||</v>
      </c>
    </row>
    <row r="375" spans="2:15" ht="15" x14ac:dyDescent="0.2">
      <c r="B375" s="195" t="s">
        <v>89</v>
      </c>
      <c r="C375" s="195" t="s">
        <v>771</v>
      </c>
      <c r="D375" s="196" t="s">
        <v>17</v>
      </c>
      <c r="E375" s="196" t="s">
        <v>21</v>
      </c>
      <c r="F375" s="196">
        <v>163</v>
      </c>
      <c r="G375" s="197">
        <v>24201</v>
      </c>
      <c r="H375" s="198">
        <f t="shared" si="16"/>
        <v>54</v>
      </c>
      <c r="I375" s="196">
        <v>3</v>
      </c>
      <c r="J375" s="196" t="str">
        <f t="shared" si="18"/>
        <v>prob langue</v>
      </c>
      <c r="O375" s="62" t="str">
        <f t="shared" si="17"/>
        <v>||||</v>
      </c>
    </row>
    <row r="376" spans="2:15" ht="15" x14ac:dyDescent="0.2">
      <c r="B376" s="195" t="s">
        <v>767</v>
      </c>
      <c r="C376" s="195" t="s">
        <v>763</v>
      </c>
      <c r="D376" s="196" t="s">
        <v>17</v>
      </c>
      <c r="E376" s="196" t="s">
        <v>17</v>
      </c>
      <c r="F376" s="196">
        <v>172</v>
      </c>
      <c r="G376" s="197">
        <v>28930</v>
      </c>
      <c r="H376" s="198">
        <f t="shared" si="16"/>
        <v>41</v>
      </c>
      <c r="I376" s="196">
        <v>3</v>
      </c>
      <c r="J376" s="196" t="str">
        <f t="shared" si="18"/>
        <v>prob langue</v>
      </c>
      <c r="O376" s="62" t="str">
        <f t="shared" si="17"/>
        <v>||||||||||||||||</v>
      </c>
    </row>
    <row r="377" spans="2:15" ht="15" x14ac:dyDescent="0.2">
      <c r="B377" s="195" t="s">
        <v>341</v>
      </c>
      <c r="C377" s="195" t="s">
        <v>763</v>
      </c>
      <c r="D377" s="196" t="s">
        <v>17</v>
      </c>
      <c r="E377" s="196" t="s">
        <v>17</v>
      </c>
      <c r="F377" s="196">
        <v>178</v>
      </c>
      <c r="G377" s="197">
        <v>33846</v>
      </c>
      <c r="H377" s="198">
        <f t="shared" si="16"/>
        <v>28</v>
      </c>
      <c r="I377" s="196">
        <v>3</v>
      </c>
      <c r="J377" s="196" t="str">
        <f t="shared" si="18"/>
        <v>prob langue</v>
      </c>
      <c r="O377" s="62" t="str">
        <f t="shared" si="17"/>
        <v>||||||||||||||||||||||||||||||</v>
      </c>
    </row>
    <row r="378" spans="2:15" ht="15" x14ac:dyDescent="0.2">
      <c r="B378" s="195" t="s">
        <v>756</v>
      </c>
      <c r="C378" s="195" t="s">
        <v>755</v>
      </c>
      <c r="D378" s="196" t="s">
        <v>17</v>
      </c>
      <c r="E378" s="196" t="s">
        <v>21</v>
      </c>
      <c r="F378" s="196">
        <v>162</v>
      </c>
      <c r="G378" s="197">
        <v>22634</v>
      </c>
      <c r="H378" s="198">
        <f t="shared" si="16"/>
        <v>59</v>
      </c>
      <c r="I378" s="196">
        <v>3</v>
      </c>
      <c r="J378" s="196" t="str">
        <f t="shared" si="18"/>
        <v>prob langue</v>
      </c>
      <c r="O378" s="62" t="str">
        <f t="shared" si="17"/>
        <v>|||||||||||||||||||</v>
      </c>
    </row>
    <row r="379" spans="2:15" ht="15" x14ac:dyDescent="0.2">
      <c r="B379" s="195" t="s">
        <v>647</v>
      </c>
      <c r="C379" s="195" t="s">
        <v>752</v>
      </c>
      <c r="D379" s="196" t="s">
        <v>17</v>
      </c>
      <c r="E379" s="196" t="s">
        <v>21</v>
      </c>
      <c r="F379" s="196">
        <v>187</v>
      </c>
      <c r="G379" s="197">
        <v>22118</v>
      </c>
      <c r="H379" s="198">
        <f t="shared" si="16"/>
        <v>60</v>
      </c>
      <c r="I379" s="196">
        <v>1</v>
      </c>
      <c r="J379" s="196" t="str">
        <f t="shared" si="18"/>
        <v>prob langue</v>
      </c>
      <c r="O379" s="62" t="str">
        <f t="shared" si="17"/>
        <v>|||||||||||||||||||||</v>
      </c>
    </row>
    <row r="380" spans="2:15" ht="15" x14ac:dyDescent="0.2">
      <c r="B380" s="195" t="s">
        <v>170</v>
      </c>
      <c r="C380" s="195" t="s">
        <v>744</v>
      </c>
      <c r="D380" s="196" t="s">
        <v>17</v>
      </c>
      <c r="E380" s="196" t="s">
        <v>21</v>
      </c>
      <c r="F380" s="196">
        <v>190</v>
      </c>
      <c r="G380" s="197">
        <v>26572</v>
      </c>
      <c r="H380" s="198">
        <f t="shared" si="16"/>
        <v>48</v>
      </c>
      <c r="I380" s="196">
        <v>3</v>
      </c>
      <c r="J380" s="196" t="str">
        <f t="shared" si="18"/>
        <v>prob langue</v>
      </c>
      <c r="O380" s="62" t="str">
        <f t="shared" si="17"/>
        <v>||||||||||||||||||||||||||||||</v>
      </c>
    </row>
    <row r="381" spans="2:15" ht="15" x14ac:dyDescent="0.2">
      <c r="B381" s="195" t="s">
        <v>525</v>
      </c>
      <c r="C381" s="195" t="s">
        <v>740</v>
      </c>
      <c r="D381" s="196" t="s">
        <v>17</v>
      </c>
      <c r="E381" s="196" t="s">
        <v>17</v>
      </c>
      <c r="F381" s="196">
        <v>159</v>
      </c>
      <c r="G381" s="197">
        <v>32584</v>
      </c>
      <c r="H381" s="198">
        <f t="shared" si="16"/>
        <v>31</v>
      </c>
      <c r="I381" s="196">
        <v>2</v>
      </c>
      <c r="J381" s="196" t="str">
        <f t="shared" si="18"/>
        <v>prob langue</v>
      </c>
      <c r="O381" s="62" t="str">
        <f t="shared" si="17"/>
        <v>|||||||||||||||||</v>
      </c>
    </row>
    <row r="382" spans="2:15" ht="15" x14ac:dyDescent="0.2">
      <c r="B382" s="195" t="s">
        <v>149</v>
      </c>
      <c r="C382" s="195" t="s">
        <v>731</v>
      </c>
      <c r="D382" s="196" t="s">
        <v>17</v>
      </c>
      <c r="E382" s="196" t="s">
        <v>17</v>
      </c>
      <c r="F382" s="196">
        <v>181</v>
      </c>
      <c r="G382" s="197">
        <v>33314</v>
      </c>
      <c r="H382" s="198">
        <f t="shared" si="16"/>
        <v>29</v>
      </c>
      <c r="I382" s="196">
        <v>2</v>
      </c>
      <c r="J382" s="196" t="str">
        <f t="shared" si="18"/>
        <v>prob langue</v>
      </c>
      <c r="O382" s="62" t="str">
        <f t="shared" si="17"/>
        <v>|||||||||||||||||</v>
      </c>
    </row>
    <row r="383" spans="2:15" ht="15" x14ac:dyDescent="0.2">
      <c r="B383" s="195" t="s">
        <v>728</v>
      </c>
      <c r="C383" s="195" t="s">
        <v>727</v>
      </c>
      <c r="D383" s="196" t="s">
        <v>157</v>
      </c>
      <c r="E383" s="196" t="s">
        <v>21</v>
      </c>
      <c r="F383" s="196">
        <v>173</v>
      </c>
      <c r="G383" s="197">
        <v>26614</v>
      </c>
      <c r="H383" s="198">
        <f t="shared" si="16"/>
        <v>48</v>
      </c>
      <c r="I383" s="196">
        <v>2</v>
      </c>
      <c r="J383" s="196" t="str">
        <f t="shared" si="18"/>
        <v>prob gender</v>
      </c>
      <c r="O383" s="62" t="str">
        <f t="shared" si="17"/>
        <v>|||||||||||</v>
      </c>
    </row>
    <row r="384" spans="2:15" ht="15" x14ac:dyDescent="0.2">
      <c r="B384" s="195" t="s">
        <v>723</v>
      </c>
      <c r="C384" s="195" t="s">
        <v>722</v>
      </c>
      <c r="D384" s="196" t="s">
        <v>157</v>
      </c>
      <c r="E384" s="196" t="s">
        <v>17</v>
      </c>
      <c r="F384" s="196">
        <v>184</v>
      </c>
      <c r="G384" s="197">
        <v>23438</v>
      </c>
      <c r="H384" s="198">
        <f t="shared" si="16"/>
        <v>56</v>
      </c>
      <c r="I384" s="196">
        <v>3</v>
      </c>
      <c r="J384" s="196" t="str">
        <f t="shared" si="18"/>
        <v>prob âge</v>
      </c>
      <c r="O384" s="62" t="str">
        <f t="shared" si="17"/>
        <v>||</v>
      </c>
    </row>
    <row r="385" spans="2:15" ht="15" x14ac:dyDescent="0.2">
      <c r="B385" s="195" t="s">
        <v>719</v>
      </c>
      <c r="C385" s="195" t="s">
        <v>718</v>
      </c>
      <c r="D385" s="196" t="s">
        <v>157</v>
      </c>
      <c r="E385" s="196" t="s">
        <v>21</v>
      </c>
      <c r="F385" s="196">
        <v>163</v>
      </c>
      <c r="G385" s="197">
        <v>24444</v>
      </c>
      <c r="H385" s="198">
        <f t="shared" si="16"/>
        <v>54</v>
      </c>
      <c r="I385" s="196">
        <v>2</v>
      </c>
      <c r="J385" s="196" t="str">
        <f t="shared" si="18"/>
        <v>prob gender</v>
      </c>
      <c r="O385" s="62" t="str">
        <f t="shared" si="17"/>
        <v>|||</v>
      </c>
    </row>
    <row r="386" spans="2:15" ht="15" x14ac:dyDescent="0.2">
      <c r="B386" s="195" t="s">
        <v>714</v>
      </c>
      <c r="C386" s="195" t="s">
        <v>713</v>
      </c>
      <c r="D386" s="196" t="s">
        <v>157</v>
      </c>
      <c r="E386" s="196" t="s">
        <v>17</v>
      </c>
      <c r="F386" s="196">
        <v>194</v>
      </c>
      <c r="G386" s="197">
        <v>29070</v>
      </c>
      <c r="H386" s="198">
        <f t="shared" si="16"/>
        <v>41</v>
      </c>
      <c r="I386" s="196">
        <v>2</v>
      </c>
      <c r="J386" s="196" t="str">
        <f t="shared" si="18"/>
        <v>prob dispo</v>
      </c>
      <c r="O386" s="62" t="str">
        <f t="shared" si="17"/>
        <v>|||</v>
      </c>
    </row>
    <row r="387" spans="2:15" ht="15" x14ac:dyDescent="0.2">
      <c r="B387" s="195" t="s">
        <v>710</v>
      </c>
      <c r="C387" s="195" t="s">
        <v>709</v>
      </c>
      <c r="D387" s="196" t="s">
        <v>17</v>
      </c>
      <c r="E387" s="196" t="s">
        <v>17</v>
      </c>
      <c r="F387" s="196">
        <v>158</v>
      </c>
      <c r="G387" s="197">
        <v>28280</v>
      </c>
      <c r="H387" s="198">
        <f t="shared" si="16"/>
        <v>43</v>
      </c>
      <c r="I387" s="196">
        <v>3</v>
      </c>
      <c r="J387" s="196" t="str">
        <f t="shared" si="18"/>
        <v>prob langue</v>
      </c>
      <c r="O387" s="62" t="str">
        <f t="shared" si="17"/>
        <v>||||</v>
      </c>
    </row>
    <row r="388" spans="2:15" ht="15" x14ac:dyDescent="0.2">
      <c r="B388" s="195" t="s">
        <v>707</v>
      </c>
      <c r="C388" s="195" t="s">
        <v>706</v>
      </c>
      <c r="D388" s="196" t="s">
        <v>17</v>
      </c>
      <c r="E388" s="196" t="s">
        <v>17</v>
      </c>
      <c r="F388" s="196">
        <v>165</v>
      </c>
      <c r="G388" s="197">
        <v>24516</v>
      </c>
      <c r="H388" s="198">
        <f t="shared" si="16"/>
        <v>53</v>
      </c>
      <c r="I388" s="196">
        <v>2</v>
      </c>
      <c r="J388" s="196" t="str">
        <f t="shared" si="18"/>
        <v>prob langue</v>
      </c>
      <c r="O388" s="62" t="str">
        <f t="shared" si="17"/>
        <v>|||||||||||||</v>
      </c>
    </row>
    <row r="389" spans="2:15" ht="15" x14ac:dyDescent="0.2">
      <c r="B389" s="195" t="s">
        <v>701</v>
      </c>
      <c r="C389" s="195" t="s">
        <v>700</v>
      </c>
      <c r="D389" s="196" t="s">
        <v>17</v>
      </c>
      <c r="E389" s="196" t="s">
        <v>21</v>
      </c>
      <c r="F389" s="196">
        <v>160</v>
      </c>
      <c r="G389" s="197">
        <v>25161</v>
      </c>
      <c r="H389" s="198">
        <f t="shared" si="16"/>
        <v>52</v>
      </c>
      <c r="I389" s="196">
        <v>3</v>
      </c>
      <c r="J389" s="196" t="str">
        <f t="shared" si="18"/>
        <v>prob langue</v>
      </c>
      <c r="O389" s="62" t="str">
        <f t="shared" si="17"/>
        <v>|||||||||||||||||||</v>
      </c>
    </row>
    <row r="390" spans="2:15" ht="15" x14ac:dyDescent="0.2">
      <c r="B390" s="195" t="s">
        <v>696</v>
      </c>
      <c r="C390" s="195" t="s">
        <v>695</v>
      </c>
      <c r="D390" s="196" t="s">
        <v>17</v>
      </c>
      <c r="E390" s="196" t="s">
        <v>21</v>
      </c>
      <c r="F390" s="196">
        <v>183</v>
      </c>
      <c r="G390" s="197">
        <v>26056</v>
      </c>
      <c r="H390" s="198">
        <f t="shared" ref="H390:H453" si="19">ROUNDDOWN(($L$16-G390) /365.25,0)</f>
        <v>49</v>
      </c>
      <c r="I390" s="196">
        <v>1</v>
      </c>
      <c r="J390" s="196" t="str">
        <f t="shared" si="18"/>
        <v>prob langue</v>
      </c>
      <c r="O390" s="62" t="str">
        <f t="shared" ref="O390:O453" si="20">REPT("|",DAY(G390))</f>
        <v>|||</v>
      </c>
    </row>
    <row r="391" spans="2:15" ht="15" x14ac:dyDescent="0.2">
      <c r="B391" s="195" t="s">
        <v>689</v>
      </c>
      <c r="C391" s="195" t="s">
        <v>688</v>
      </c>
      <c r="D391" s="196" t="s">
        <v>157</v>
      </c>
      <c r="E391" s="196" t="s">
        <v>21</v>
      </c>
      <c r="F391" s="196">
        <v>164</v>
      </c>
      <c r="G391" s="197">
        <v>26707</v>
      </c>
      <c r="H391" s="198">
        <f t="shared" si="19"/>
        <v>47</v>
      </c>
      <c r="I391" s="196">
        <v>2</v>
      </c>
      <c r="J391" s="196" t="str">
        <f t="shared" ref="J391:J454" si="21">IF(D391=$L$12,IF(E391=$L$13,IF(F391&gt;=$L$14,IF(H391&lt;=$L$15,IF(I391=1,"OK","prob dispo"),"prob âge"),"prob taille"),"prob gender"),"prob langue")</f>
        <v>prob gender</v>
      </c>
      <c r="O391" s="62" t="str">
        <f t="shared" si="20"/>
        <v>||||||||||||</v>
      </c>
    </row>
    <row r="392" spans="2:15" ht="15" x14ac:dyDescent="0.2">
      <c r="B392" s="195" t="s">
        <v>685</v>
      </c>
      <c r="C392" s="195" t="s">
        <v>684</v>
      </c>
      <c r="D392" s="196" t="s">
        <v>17</v>
      </c>
      <c r="E392" s="196" t="s">
        <v>17</v>
      </c>
      <c r="F392" s="196">
        <v>194</v>
      </c>
      <c r="G392" s="197">
        <v>32388</v>
      </c>
      <c r="H392" s="198">
        <f t="shared" si="19"/>
        <v>32</v>
      </c>
      <c r="I392" s="196">
        <v>2</v>
      </c>
      <c r="J392" s="196" t="str">
        <f t="shared" si="21"/>
        <v>prob langue</v>
      </c>
      <c r="O392" s="62" t="str">
        <f t="shared" si="20"/>
        <v>||</v>
      </c>
    </row>
    <row r="393" spans="2:15" ht="15" x14ac:dyDescent="0.2">
      <c r="B393" s="195" t="s">
        <v>448</v>
      </c>
      <c r="C393" s="195" t="s">
        <v>681</v>
      </c>
      <c r="D393" s="196" t="s">
        <v>17</v>
      </c>
      <c r="E393" s="196" t="s">
        <v>21</v>
      </c>
      <c r="F393" s="196">
        <v>181</v>
      </c>
      <c r="G393" s="197">
        <v>27820</v>
      </c>
      <c r="H393" s="198">
        <f t="shared" si="19"/>
        <v>44</v>
      </c>
      <c r="I393" s="196">
        <v>1</v>
      </c>
      <c r="J393" s="196" t="str">
        <f t="shared" si="21"/>
        <v>prob langue</v>
      </c>
      <c r="O393" s="62" t="str">
        <f t="shared" si="20"/>
        <v>|</v>
      </c>
    </row>
    <row r="394" spans="2:15" ht="15" x14ac:dyDescent="0.2">
      <c r="B394" s="195" t="s">
        <v>227</v>
      </c>
      <c r="C394" s="195" t="s">
        <v>664</v>
      </c>
      <c r="D394" s="196" t="s">
        <v>17</v>
      </c>
      <c r="E394" s="196" t="s">
        <v>17</v>
      </c>
      <c r="F394" s="196">
        <v>176</v>
      </c>
      <c r="G394" s="197">
        <v>24959</v>
      </c>
      <c r="H394" s="198">
        <f t="shared" si="19"/>
        <v>52</v>
      </c>
      <c r="I394" s="196">
        <v>1</v>
      </c>
      <c r="J394" s="196" t="str">
        <f t="shared" si="21"/>
        <v>prob langue</v>
      </c>
      <c r="O394" s="62" t="str">
        <f t="shared" si="20"/>
        <v>|</v>
      </c>
    </row>
    <row r="395" spans="2:15" ht="15" x14ac:dyDescent="0.2">
      <c r="B395" s="195" t="s">
        <v>170</v>
      </c>
      <c r="C395" s="195" t="s">
        <v>661</v>
      </c>
      <c r="D395" s="196" t="s">
        <v>17</v>
      </c>
      <c r="E395" s="196" t="s">
        <v>21</v>
      </c>
      <c r="F395" s="196">
        <v>192</v>
      </c>
      <c r="G395" s="197">
        <v>32760</v>
      </c>
      <c r="H395" s="198">
        <f t="shared" si="19"/>
        <v>31</v>
      </c>
      <c r="I395" s="196">
        <v>1</v>
      </c>
      <c r="J395" s="196" t="str">
        <f t="shared" si="21"/>
        <v>prob langue</v>
      </c>
      <c r="O395" s="62" t="str">
        <f t="shared" si="20"/>
        <v>|||||||||</v>
      </c>
    </row>
    <row r="396" spans="2:15" ht="15" x14ac:dyDescent="0.2">
      <c r="B396" s="195" t="s">
        <v>276</v>
      </c>
      <c r="C396" s="195" t="s">
        <v>657</v>
      </c>
      <c r="D396" s="196" t="s">
        <v>157</v>
      </c>
      <c r="E396" s="196" t="s">
        <v>17</v>
      </c>
      <c r="F396" s="196">
        <v>175</v>
      </c>
      <c r="G396" s="197">
        <v>23500</v>
      </c>
      <c r="H396" s="198">
        <f t="shared" si="19"/>
        <v>56</v>
      </c>
      <c r="I396" s="196">
        <v>1</v>
      </c>
      <c r="J396" s="196" t="str">
        <f t="shared" si="21"/>
        <v>prob âge</v>
      </c>
      <c r="O396" s="62" t="str">
        <f t="shared" si="20"/>
        <v>|||</v>
      </c>
    </row>
    <row r="397" spans="2:15" ht="15" x14ac:dyDescent="0.2">
      <c r="B397" s="195" t="s">
        <v>652</v>
      </c>
      <c r="C397" s="195" t="s">
        <v>651</v>
      </c>
      <c r="D397" s="196" t="s">
        <v>17</v>
      </c>
      <c r="E397" s="196" t="s">
        <v>17</v>
      </c>
      <c r="F397" s="196">
        <v>155</v>
      </c>
      <c r="G397" s="197">
        <v>30362</v>
      </c>
      <c r="H397" s="198">
        <f t="shared" si="19"/>
        <v>37</v>
      </c>
      <c r="I397" s="196">
        <v>2</v>
      </c>
      <c r="J397" s="196" t="str">
        <f t="shared" si="21"/>
        <v>prob langue</v>
      </c>
      <c r="O397" s="62" t="str">
        <f t="shared" si="20"/>
        <v>|||||||||||||||</v>
      </c>
    </row>
    <row r="398" spans="2:15" ht="15" x14ac:dyDescent="0.2">
      <c r="B398" s="195" t="s">
        <v>647</v>
      </c>
      <c r="C398" s="195" t="s">
        <v>646</v>
      </c>
      <c r="D398" s="196" t="s">
        <v>17</v>
      </c>
      <c r="E398" s="196" t="s">
        <v>21</v>
      </c>
      <c r="F398" s="196">
        <v>194</v>
      </c>
      <c r="G398" s="197">
        <v>27275</v>
      </c>
      <c r="H398" s="198">
        <f t="shared" si="19"/>
        <v>46</v>
      </c>
      <c r="I398" s="196">
        <v>2</v>
      </c>
      <c r="J398" s="196" t="str">
        <f t="shared" si="21"/>
        <v>prob langue</v>
      </c>
      <c r="O398" s="62" t="str">
        <f t="shared" si="20"/>
        <v>|||</v>
      </c>
    </row>
    <row r="399" spans="2:15" ht="15" x14ac:dyDescent="0.2">
      <c r="B399" s="195" t="s">
        <v>318</v>
      </c>
      <c r="C399" s="195" t="s">
        <v>642</v>
      </c>
      <c r="D399" s="196" t="s">
        <v>17</v>
      </c>
      <c r="E399" s="196" t="s">
        <v>17</v>
      </c>
      <c r="F399" s="196">
        <v>188</v>
      </c>
      <c r="G399" s="197">
        <v>31716</v>
      </c>
      <c r="H399" s="198">
        <f t="shared" si="19"/>
        <v>34</v>
      </c>
      <c r="I399" s="196">
        <v>1</v>
      </c>
      <c r="J399" s="196" t="str">
        <f t="shared" si="21"/>
        <v>prob langue</v>
      </c>
      <c r="O399" s="62" t="str">
        <f t="shared" si="20"/>
        <v>|||||||||||||||||||||||||||||||</v>
      </c>
    </row>
    <row r="400" spans="2:15" ht="15" x14ac:dyDescent="0.2">
      <c r="B400" s="195" t="s">
        <v>633</v>
      </c>
      <c r="C400" s="195" t="s">
        <v>632</v>
      </c>
      <c r="D400" s="196" t="s">
        <v>157</v>
      </c>
      <c r="E400" s="196" t="s">
        <v>17</v>
      </c>
      <c r="F400" s="196">
        <v>181</v>
      </c>
      <c r="G400" s="197">
        <v>29604</v>
      </c>
      <c r="H400" s="198">
        <f t="shared" si="19"/>
        <v>39</v>
      </c>
      <c r="I400" s="196">
        <v>1</v>
      </c>
      <c r="J400" s="196" t="str">
        <f t="shared" si="21"/>
        <v>OK</v>
      </c>
      <c r="O400" s="62" t="str">
        <f t="shared" si="20"/>
        <v>||||||||||||||||||</v>
      </c>
    </row>
    <row r="401" spans="2:15" ht="15" x14ac:dyDescent="0.2">
      <c r="B401" s="195" t="s">
        <v>627</v>
      </c>
      <c r="C401" s="195" t="s">
        <v>626</v>
      </c>
      <c r="D401" s="196" t="s">
        <v>17</v>
      </c>
      <c r="E401" s="196" t="s">
        <v>21</v>
      </c>
      <c r="F401" s="196">
        <v>184</v>
      </c>
      <c r="G401" s="197">
        <v>27468</v>
      </c>
      <c r="H401" s="198">
        <f t="shared" si="19"/>
        <v>45</v>
      </c>
      <c r="I401" s="196">
        <v>2</v>
      </c>
      <c r="J401" s="196" t="str">
        <f t="shared" si="21"/>
        <v>prob langue</v>
      </c>
      <c r="O401" s="62" t="str">
        <f t="shared" si="20"/>
        <v>|||||||||||||||</v>
      </c>
    </row>
    <row r="402" spans="2:15" ht="15" x14ac:dyDescent="0.2">
      <c r="B402" s="195" t="s">
        <v>448</v>
      </c>
      <c r="C402" s="195" t="s">
        <v>623</v>
      </c>
      <c r="D402" s="196" t="s">
        <v>157</v>
      </c>
      <c r="E402" s="196" t="s">
        <v>21</v>
      </c>
      <c r="F402" s="196">
        <v>187</v>
      </c>
      <c r="G402" s="197">
        <v>28317</v>
      </c>
      <c r="H402" s="198">
        <f t="shared" si="19"/>
        <v>43</v>
      </c>
      <c r="I402" s="196">
        <v>3</v>
      </c>
      <c r="J402" s="196" t="str">
        <f t="shared" si="21"/>
        <v>prob gender</v>
      </c>
      <c r="O402" s="62" t="str">
        <f t="shared" si="20"/>
        <v>|||||||||||</v>
      </c>
    </row>
    <row r="403" spans="2:15" ht="15" x14ac:dyDescent="0.2">
      <c r="B403" s="195" t="s">
        <v>434</v>
      </c>
      <c r="C403" s="195" t="s">
        <v>619</v>
      </c>
      <c r="D403" s="196" t="s">
        <v>157</v>
      </c>
      <c r="E403" s="196" t="s">
        <v>21</v>
      </c>
      <c r="F403" s="196">
        <v>189</v>
      </c>
      <c r="G403" s="197">
        <v>27201</v>
      </c>
      <c r="H403" s="198">
        <f t="shared" si="19"/>
        <v>46</v>
      </c>
      <c r="I403" s="196">
        <v>1</v>
      </c>
      <c r="J403" s="196" t="str">
        <f t="shared" si="21"/>
        <v>prob gender</v>
      </c>
      <c r="O403" s="62" t="str">
        <f t="shared" si="20"/>
        <v>|||||||||||||||||||||</v>
      </c>
    </row>
    <row r="404" spans="2:15" ht="15" x14ac:dyDescent="0.2">
      <c r="B404" s="195" t="s">
        <v>318</v>
      </c>
      <c r="C404" s="195" t="s">
        <v>613</v>
      </c>
      <c r="D404" s="196" t="s">
        <v>17</v>
      </c>
      <c r="E404" s="196" t="s">
        <v>17</v>
      </c>
      <c r="F404" s="196">
        <v>190</v>
      </c>
      <c r="G404" s="197">
        <v>22036</v>
      </c>
      <c r="H404" s="198">
        <f t="shared" si="19"/>
        <v>60</v>
      </c>
      <c r="I404" s="196">
        <v>3</v>
      </c>
      <c r="J404" s="196" t="str">
        <f t="shared" si="21"/>
        <v>prob langue</v>
      </c>
      <c r="O404" s="62" t="str">
        <f t="shared" si="20"/>
        <v>||||||||||||||||||||||||||||||</v>
      </c>
    </row>
    <row r="405" spans="2:15" ht="15" x14ac:dyDescent="0.2">
      <c r="B405" s="195" t="s">
        <v>610</v>
      </c>
      <c r="C405" s="195" t="s">
        <v>609</v>
      </c>
      <c r="D405" s="196" t="s">
        <v>17</v>
      </c>
      <c r="E405" s="196" t="s">
        <v>17</v>
      </c>
      <c r="F405" s="196">
        <v>168</v>
      </c>
      <c r="G405" s="197">
        <v>33722</v>
      </c>
      <c r="H405" s="198">
        <f t="shared" si="19"/>
        <v>28</v>
      </c>
      <c r="I405" s="196">
        <v>3</v>
      </c>
      <c r="J405" s="196" t="str">
        <f t="shared" si="21"/>
        <v>prob langue</v>
      </c>
      <c r="O405" s="62" t="str">
        <f t="shared" si="20"/>
        <v>||||||||||||||||||||||||||||</v>
      </c>
    </row>
    <row r="406" spans="2:15" ht="15" x14ac:dyDescent="0.2">
      <c r="B406" s="195" t="s">
        <v>606</v>
      </c>
      <c r="C406" s="195" t="s">
        <v>605</v>
      </c>
      <c r="D406" s="196" t="s">
        <v>17</v>
      </c>
      <c r="E406" s="196" t="s">
        <v>17</v>
      </c>
      <c r="F406" s="196">
        <v>166</v>
      </c>
      <c r="G406" s="197">
        <v>24884</v>
      </c>
      <c r="H406" s="198">
        <f t="shared" si="19"/>
        <v>52</v>
      </c>
      <c r="I406" s="196">
        <v>2</v>
      </c>
      <c r="J406" s="196" t="str">
        <f t="shared" si="21"/>
        <v>prob langue</v>
      </c>
      <c r="O406" s="62" t="str">
        <f t="shared" si="20"/>
        <v>||||||||||||||||</v>
      </c>
    </row>
    <row r="407" spans="2:15" ht="15" x14ac:dyDescent="0.2">
      <c r="B407" s="195" t="s">
        <v>599</v>
      </c>
      <c r="C407" s="195" t="s">
        <v>598</v>
      </c>
      <c r="D407" s="196" t="s">
        <v>157</v>
      </c>
      <c r="E407" s="196" t="s">
        <v>17</v>
      </c>
      <c r="F407" s="196">
        <v>167</v>
      </c>
      <c r="G407" s="197">
        <v>29216</v>
      </c>
      <c r="H407" s="198">
        <f t="shared" si="19"/>
        <v>41</v>
      </c>
      <c r="I407" s="196">
        <v>3</v>
      </c>
      <c r="J407" s="196" t="str">
        <f t="shared" si="21"/>
        <v>prob dispo</v>
      </c>
      <c r="O407" s="62" t="str">
        <f t="shared" si="20"/>
        <v>|||||||||||||||||||||||||||</v>
      </c>
    </row>
    <row r="408" spans="2:15" ht="15" x14ac:dyDescent="0.2">
      <c r="B408" s="195" t="s">
        <v>469</v>
      </c>
      <c r="C408" s="195" t="s">
        <v>585</v>
      </c>
      <c r="D408" s="196" t="s">
        <v>157</v>
      </c>
      <c r="E408" s="196" t="s">
        <v>21</v>
      </c>
      <c r="F408" s="196">
        <v>157</v>
      </c>
      <c r="G408" s="197">
        <v>24264</v>
      </c>
      <c r="H408" s="198">
        <f t="shared" si="19"/>
        <v>54</v>
      </c>
      <c r="I408" s="196">
        <v>2</v>
      </c>
      <c r="J408" s="196" t="str">
        <f t="shared" si="21"/>
        <v>prob gender</v>
      </c>
      <c r="O408" s="62" t="str">
        <f t="shared" si="20"/>
        <v>||||||</v>
      </c>
    </row>
    <row r="409" spans="2:15" ht="15" x14ac:dyDescent="0.2">
      <c r="B409" s="195" t="s">
        <v>591</v>
      </c>
      <c r="C409" s="195" t="s">
        <v>585</v>
      </c>
      <c r="D409" s="196" t="s">
        <v>157</v>
      </c>
      <c r="E409" s="196" t="s">
        <v>17</v>
      </c>
      <c r="F409" s="196">
        <v>167</v>
      </c>
      <c r="G409" s="197">
        <v>33073</v>
      </c>
      <c r="H409" s="198">
        <f t="shared" si="19"/>
        <v>30</v>
      </c>
      <c r="I409" s="196">
        <v>2</v>
      </c>
      <c r="J409" s="196" t="str">
        <f t="shared" si="21"/>
        <v>prob dispo</v>
      </c>
      <c r="O409" s="62" t="str">
        <f t="shared" si="20"/>
        <v>|||||||||||||||||||</v>
      </c>
    </row>
    <row r="410" spans="2:15" ht="15" x14ac:dyDescent="0.2">
      <c r="B410" s="195" t="s">
        <v>578</v>
      </c>
      <c r="C410" s="195" t="s">
        <v>577</v>
      </c>
      <c r="D410" s="196" t="s">
        <v>157</v>
      </c>
      <c r="E410" s="196" t="s">
        <v>17</v>
      </c>
      <c r="F410" s="196">
        <v>195</v>
      </c>
      <c r="G410" s="197">
        <v>27396</v>
      </c>
      <c r="H410" s="198">
        <f t="shared" si="19"/>
        <v>45</v>
      </c>
      <c r="I410" s="196">
        <v>2</v>
      </c>
      <c r="J410" s="196" t="str">
        <f t="shared" si="21"/>
        <v>prob dispo</v>
      </c>
      <c r="O410" s="62" t="str">
        <f t="shared" si="20"/>
        <v>||</v>
      </c>
    </row>
    <row r="411" spans="2:15" ht="15" x14ac:dyDescent="0.2">
      <c r="B411" s="195" t="s">
        <v>175</v>
      </c>
      <c r="C411" s="195" t="s">
        <v>572</v>
      </c>
      <c r="D411" s="196" t="s">
        <v>157</v>
      </c>
      <c r="E411" s="196" t="s">
        <v>21</v>
      </c>
      <c r="F411" s="196">
        <v>170</v>
      </c>
      <c r="G411" s="197">
        <v>31777</v>
      </c>
      <c r="H411" s="198">
        <f t="shared" si="19"/>
        <v>34</v>
      </c>
      <c r="I411" s="196">
        <v>1</v>
      </c>
      <c r="J411" s="196" t="str">
        <f t="shared" si="21"/>
        <v>prob gender</v>
      </c>
      <c r="O411" s="62" t="str">
        <f t="shared" si="20"/>
        <v>|||||||||||||||||||||||||||||||</v>
      </c>
    </row>
    <row r="412" spans="2:15" ht="15" x14ac:dyDescent="0.2">
      <c r="B412" s="195" t="s">
        <v>568</v>
      </c>
      <c r="C412" s="195" t="s">
        <v>567</v>
      </c>
      <c r="D412" s="196" t="s">
        <v>17</v>
      </c>
      <c r="E412" s="196" t="s">
        <v>21</v>
      </c>
      <c r="F412" s="196">
        <v>178</v>
      </c>
      <c r="G412" s="197">
        <v>28562</v>
      </c>
      <c r="H412" s="198">
        <f t="shared" si="19"/>
        <v>42</v>
      </c>
      <c r="I412" s="196">
        <v>3</v>
      </c>
      <c r="J412" s="196" t="str">
        <f t="shared" si="21"/>
        <v>prob langue</v>
      </c>
      <c r="O412" s="62" t="str">
        <f t="shared" si="20"/>
        <v>|||||||||||||</v>
      </c>
    </row>
    <row r="413" spans="2:15" ht="15" x14ac:dyDescent="0.2">
      <c r="B413" s="195" t="s">
        <v>560</v>
      </c>
      <c r="C413" s="195" t="s">
        <v>559</v>
      </c>
      <c r="D413" s="196" t="s">
        <v>17</v>
      </c>
      <c r="E413" s="196" t="s">
        <v>17</v>
      </c>
      <c r="F413" s="196">
        <v>178</v>
      </c>
      <c r="G413" s="197">
        <v>33185</v>
      </c>
      <c r="H413" s="198">
        <f t="shared" si="19"/>
        <v>30</v>
      </c>
      <c r="I413" s="196">
        <v>1</v>
      </c>
      <c r="J413" s="196" t="str">
        <f t="shared" si="21"/>
        <v>prob langue</v>
      </c>
      <c r="O413" s="62" t="str">
        <f t="shared" si="20"/>
        <v>||||||||</v>
      </c>
    </row>
    <row r="414" spans="2:15" ht="15" x14ac:dyDescent="0.2">
      <c r="B414" s="195" t="s">
        <v>170</v>
      </c>
      <c r="C414" s="195" t="s">
        <v>556</v>
      </c>
      <c r="D414" s="196" t="s">
        <v>157</v>
      </c>
      <c r="E414" s="196" t="s">
        <v>21</v>
      </c>
      <c r="F414" s="196">
        <v>195</v>
      </c>
      <c r="G414" s="197">
        <v>25405</v>
      </c>
      <c r="H414" s="198">
        <f t="shared" si="19"/>
        <v>51</v>
      </c>
      <c r="I414" s="196">
        <v>1</v>
      </c>
      <c r="J414" s="196" t="str">
        <f t="shared" si="21"/>
        <v>prob gender</v>
      </c>
      <c r="O414" s="62" t="str">
        <f t="shared" si="20"/>
        <v>|||||||||||||||||||||</v>
      </c>
    </row>
    <row r="415" spans="2:15" ht="15" x14ac:dyDescent="0.2">
      <c r="B415" s="195" t="s">
        <v>206</v>
      </c>
      <c r="C415" s="195" t="s">
        <v>553</v>
      </c>
      <c r="D415" s="196" t="s">
        <v>17</v>
      </c>
      <c r="E415" s="196" t="s">
        <v>21</v>
      </c>
      <c r="F415" s="196">
        <v>182</v>
      </c>
      <c r="G415" s="197">
        <v>25513</v>
      </c>
      <c r="H415" s="198">
        <f t="shared" si="19"/>
        <v>51</v>
      </c>
      <c r="I415" s="196">
        <v>1</v>
      </c>
      <c r="J415" s="196" t="str">
        <f t="shared" si="21"/>
        <v>prob langue</v>
      </c>
      <c r="O415" s="62" t="str">
        <f t="shared" si="20"/>
        <v>||||||</v>
      </c>
    </row>
    <row r="416" spans="2:15" ht="15" x14ac:dyDescent="0.2">
      <c r="B416" s="195" t="s">
        <v>549</v>
      </c>
      <c r="C416" s="195" t="s">
        <v>548</v>
      </c>
      <c r="D416" s="196" t="s">
        <v>157</v>
      </c>
      <c r="E416" s="196" t="s">
        <v>17</v>
      </c>
      <c r="F416" s="196">
        <v>179</v>
      </c>
      <c r="G416" s="197">
        <v>22049</v>
      </c>
      <c r="H416" s="198">
        <f t="shared" si="19"/>
        <v>60</v>
      </c>
      <c r="I416" s="196">
        <v>2</v>
      </c>
      <c r="J416" s="196" t="str">
        <f t="shared" si="21"/>
        <v>prob âge</v>
      </c>
      <c r="O416" s="62" t="str">
        <f t="shared" si="20"/>
        <v>|||||||||||||</v>
      </c>
    </row>
    <row r="417" spans="2:15" ht="15" x14ac:dyDescent="0.2">
      <c r="B417" s="195" t="s">
        <v>98</v>
      </c>
      <c r="C417" s="195" t="s">
        <v>544</v>
      </c>
      <c r="D417" s="196" t="s">
        <v>17</v>
      </c>
      <c r="E417" s="196" t="s">
        <v>21</v>
      </c>
      <c r="F417" s="196">
        <v>163</v>
      </c>
      <c r="G417" s="197">
        <v>30946</v>
      </c>
      <c r="H417" s="198">
        <f t="shared" si="19"/>
        <v>36</v>
      </c>
      <c r="I417" s="196">
        <v>1</v>
      </c>
      <c r="J417" s="196" t="str">
        <f t="shared" si="21"/>
        <v>prob langue</v>
      </c>
      <c r="O417" s="62" t="str">
        <f t="shared" si="20"/>
        <v>|||||||||||||||||||||</v>
      </c>
    </row>
    <row r="418" spans="2:15" ht="15" x14ac:dyDescent="0.2">
      <c r="B418" s="195" t="s">
        <v>540</v>
      </c>
      <c r="C418" s="195" t="s">
        <v>539</v>
      </c>
      <c r="D418" s="196" t="s">
        <v>157</v>
      </c>
      <c r="E418" s="196" t="s">
        <v>21</v>
      </c>
      <c r="F418" s="196">
        <v>161</v>
      </c>
      <c r="G418" s="197">
        <v>22884</v>
      </c>
      <c r="H418" s="198">
        <f t="shared" si="19"/>
        <v>58</v>
      </c>
      <c r="I418" s="196">
        <v>1</v>
      </c>
      <c r="J418" s="196" t="str">
        <f t="shared" si="21"/>
        <v>prob gender</v>
      </c>
      <c r="O418" s="62" t="str">
        <f t="shared" si="20"/>
        <v>||||||||||||||||||||||||||</v>
      </c>
    </row>
    <row r="419" spans="2:15" ht="15" x14ac:dyDescent="0.2">
      <c r="B419" s="195" t="s">
        <v>535</v>
      </c>
      <c r="C419" s="195" t="s">
        <v>534</v>
      </c>
      <c r="D419" s="196" t="s">
        <v>157</v>
      </c>
      <c r="E419" s="196" t="s">
        <v>21</v>
      </c>
      <c r="F419" s="196">
        <v>172</v>
      </c>
      <c r="G419" s="197">
        <v>30423</v>
      </c>
      <c r="H419" s="198">
        <f t="shared" si="19"/>
        <v>37</v>
      </c>
      <c r="I419" s="196">
        <v>3</v>
      </c>
      <c r="J419" s="196" t="str">
        <f t="shared" si="21"/>
        <v>prob gender</v>
      </c>
      <c r="O419" s="62" t="str">
        <f t="shared" si="20"/>
        <v>|||||||||||||||||</v>
      </c>
    </row>
    <row r="420" spans="2:15" ht="15" x14ac:dyDescent="0.2">
      <c r="B420" s="195" t="s">
        <v>469</v>
      </c>
      <c r="C420" s="195" t="s">
        <v>529</v>
      </c>
      <c r="D420" s="196" t="s">
        <v>17</v>
      </c>
      <c r="E420" s="196" t="s">
        <v>21</v>
      </c>
      <c r="F420" s="196">
        <v>166</v>
      </c>
      <c r="G420" s="197">
        <v>23699</v>
      </c>
      <c r="H420" s="198">
        <f t="shared" si="19"/>
        <v>56</v>
      </c>
      <c r="I420" s="196">
        <v>1</v>
      </c>
      <c r="J420" s="196" t="str">
        <f t="shared" si="21"/>
        <v>prob langue</v>
      </c>
      <c r="O420" s="62" t="str">
        <f t="shared" si="20"/>
        <v>||||||||||||||||||</v>
      </c>
    </row>
    <row r="421" spans="2:15" ht="15" x14ac:dyDescent="0.2">
      <c r="B421" s="195" t="s">
        <v>525</v>
      </c>
      <c r="C421" s="195" t="s">
        <v>524</v>
      </c>
      <c r="D421" s="196" t="s">
        <v>17</v>
      </c>
      <c r="E421" s="196" t="s">
        <v>17</v>
      </c>
      <c r="F421" s="196">
        <v>159</v>
      </c>
      <c r="G421" s="197">
        <v>28193</v>
      </c>
      <c r="H421" s="198">
        <f t="shared" si="19"/>
        <v>43</v>
      </c>
      <c r="I421" s="196">
        <v>2</v>
      </c>
      <c r="J421" s="196" t="str">
        <f t="shared" si="21"/>
        <v>prob langue</v>
      </c>
      <c r="O421" s="62" t="str">
        <f t="shared" si="20"/>
        <v>|||||||||</v>
      </c>
    </row>
    <row r="422" spans="2:15" ht="15" x14ac:dyDescent="0.2">
      <c r="B422" s="195" t="s">
        <v>345</v>
      </c>
      <c r="C422" s="195" t="s">
        <v>521</v>
      </c>
      <c r="D422" s="196" t="s">
        <v>17</v>
      </c>
      <c r="E422" s="196" t="s">
        <v>21</v>
      </c>
      <c r="F422" s="196">
        <v>162</v>
      </c>
      <c r="G422" s="197">
        <v>29677</v>
      </c>
      <c r="H422" s="198">
        <f t="shared" si="19"/>
        <v>39</v>
      </c>
      <c r="I422" s="196">
        <v>1</v>
      </c>
      <c r="J422" s="196" t="str">
        <f t="shared" si="21"/>
        <v>prob langue</v>
      </c>
      <c r="O422" s="62" t="str">
        <f t="shared" si="20"/>
        <v>|</v>
      </c>
    </row>
    <row r="423" spans="2:15" ht="15" x14ac:dyDescent="0.2">
      <c r="B423" s="195" t="s">
        <v>512</v>
      </c>
      <c r="C423" s="195" t="s">
        <v>511</v>
      </c>
      <c r="D423" s="196" t="s">
        <v>157</v>
      </c>
      <c r="E423" s="196" t="s">
        <v>21</v>
      </c>
      <c r="F423" s="196">
        <v>172</v>
      </c>
      <c r="G423" s="197">
        <v>33996</v>
      </c>
      <c r="H423" s="198">
        <f t="shared" si="19"/>
        <v>27</v>
      </c>
      <c r="I423" s="196">
        <v>3</v>
      </c>
      <c r="J423" s="196" t="str">
        <f t="shared" si="21"/>
        <v>prob gender</v>
      </c>
      <c r="O423" s="62" t="str">
        <f t="shared" si="20"/>
        <v>|||||||||||||||||||||||||||</v>
      </c>
    </row>
    <row r="424" spans="2:15" ht="15" x14ac:dyDescent="0.2">
      <c r="B424" s="195" t="s">
        <v>508</v>
      </c>
      <c r="C424" s="195" t="s">
        <v>507</v>
      </c>
      <c r="D424" s="196" t="s">
        <v>17</v>
      </c>
      <c r="E424" s="196" t="s">
        <v>17</v>
      </c>
      <c r="F424" s="196">
        <v>194</v>
      </c>
      <c r="G424" s="197">
        <v>29865</v>
      </c>
      <c r="H424" s="198">
        <f t="shared" si="19"/>
        <v>39</v>
      </c>
      <c r="I424" s="196">
        <v>1</v>
      </c>
      <c r="J424" s="196" t="str">
        <f t="shared" si="21"/>
        <v>prob langue</v>
      </c>
      <c r="O424" s="62" t="str">
        <f t="shared" si="20"/>
        <v>||||||</v>
      </c>
    </row>
    <row r="425" spans="2:15" ht="15" x14ac:dyDescent="0.2">
      <c r="B425" s="195" t="s">
        <v>501</v>
      </c>
      <c r="C425" s="195" t="s">
        <v>500</v>
      </c>
      <c r="D425" s="196" t="s">
        <v>17</v>
      </c>
      <c r="E425" s="196" t="s">
        <v>21</v>
      </c>
      <c r="F425" s="196">
        <v>192</v>
      </c>
      <c r="G425" s="197">
        <v>23986</v>
      </c>
      <c r="H425" s="198">
        <f t="shared" si="19"/>
        <v>55</v>
      </c>
      <c r="I425" s="196">
        <v>1</v>
      </c>
      <c r="J425" s="196" t="str">
        <f t="shared" si="21"/>
        <v>prob langue</v>
      </c>
      <c r="O425" s="62" t="str">
        <f t="shared" si="20"/>
        <v>|</v>
      </c>
    </row>
    <row r="426" spans="2:15" ht="15" x14ac:dyDescent="0.2">
      <c r="B426" s="195" t="s">
        <v>93</v>
      </c>
      <c r="C426" s="195" t="s">
        <v>496</v>
      </c>
      <c r="D426" s="196" t="s">
        <v>17</v>
      </c>
      <c r="E426" s="196" t="s">
        <v>21</v>
      </c>
      <c r="F426" s="196">
        <v>172</v>
      </c>
      <c r="G426" s="197">
        <v>22356</v>
      </c>
      <c r="H426" s="198">
        <f t="shared" si="19"/>
        <v>59</v>
      </c>
      <c r="I426" s="196">
        <v>1</v>
      </c>
      <c r="J426" s="196" t="str">
        <f t="shared" si="21"/>
        <v>prob langue</v>
      </c>
      <c r="O426" s="62" t="str">
        <f t="shared" si="20"/>
        <v>||||||||||||||||</v>
      </c>
    </row>
    <row r="427" spans="2:15" ht="15" x14ac:dyDescent="0.2">
      <c r="B427" s="195" t="s">
        <v>492</v>
      </c>
      <c r="C427" s="195" t="s">
        <v>491</v>
      </c>
      <c r="D427" s="196" t="s">
        <v>157</v>
      </c>
      <c r="E427" s="196" t="s">
        <v>17</v>
      </c>
      <c r="F427" s="196">
        <v>192</v>
      </c>
      <c r="G427" s="197">
        <v>22729</v>
      </c>
      <c r="H427" s="198">
        <f t="shared" si="19"/>
        <v>58</v>
      </c>
      <c r="I427" s="196">
        <v>3</v>
      </c>
      <c r="J427" s="196" t="str">
        <f t="shared" si="21"/>
        <v>prob âge</v>
      </c>
      <c r="O427" s="62" t="str">
        <f t="shared" si="20"/>
        <v>||||||||||||||||||||||||</v>
      </c>
    </row>
    <row r="428" spans="2:15" ht="15" x14ac:dyDescent="0.2">
      <c r="B428" s="195" t="s">
        <v>478</v>
      </c>
      <c r="C428" s="195" t="s">
        <v>477</v>
      </c>
      <c r="D428" s="196" t="s">
        <v>17</v>
      </c>
      <c r="E428" s="196" t="s">
        <v>17</v>
      </c>
      <c r="F428" s="196">
        <v>177</v>
      </c>
      <c r="G428" s="197">
        <v>26864</v>
      </c>
      <c r="H428" s="198">
        <f t="shared" si="19"/>
        <v>47</v>
      </c>
      <c r="I428" s="196">
        <v>1</v>
      </c>
      <c r="J428" s="196" t="str">
        <f t="shared" si="21"/>
        <v>prob langue</v>
      </c>
      <c r="O428" s="62" t="str">
        <f t="shared" si="20"/>
        <v>|||||||||||||||||||</v>
      </c>
    </row>
    <row r="429" spans="2:15" ht="15" x14ac:dyDescent="0.2">
      <c r="B429" s="195" t="s">
        <v>465</v>
      </c>
      <c r="C429" s="195" t="s">
        <v>457</v>
      </c>
      <c r="D429" s="196" t="s">
        <v>157</v>
      </c>
      <c r="E429" s="196" t="s">
        <v>21</v>
      </c>
      <c r="F429" s="196">
        <v>189</v>
      </c>
      <c r="G429" s="197">
        <v>22800</v>
      </c>
      <c r="H429" s="198">
        <f t="shared" si="19"/>
        <v>58</v>
      </c>
      <c r="I429" s="196">
        <v>1</v>
      </c>
      <c r="J429" s="196" t="str">
        <f t="shared" si="21"/>
        <v>prob gender</v>
      </c>
      <c r="O429" s="62" t="str">
        <f t="shared" si="20"/>
        <v>|||</v>
      </c>
    </row>
    <row r="430" spans="2:15" ht="15" x14ac:dyDescent="0.2">
      <c r="B430" s="195" t="s">
        <v>175</v>
      </c>
      <c r="C430" s="195" t="s">
        <v>457</v>
      </c>
      <c r="D430" s="196" t="s">
        <v>157</v>
      </c>
      <c r="E430" s="196" t="s">
        <v>21</v>
      </c>
      <c r="F430" s="196">
        <v>167</v>
      </c>
      <c r="G430" s="197">
        <v>22806</v>
      </c>
      <c r="H430" s="198">
        <f t="shared" si="19"/>
        <v>58</v>
      </c>
      <c r="I430" s="196">
        <v>3</v>
      </c>
      <c r="J430" s="196" t="str">
        <f t="shared" si="21"/>
        <v>prob gender</v>
      </c>
      <c r="O430" s="62" t="str">
        <f t="shared" si="20"/>
        <v>|||||||||</v>
      </c>
    </row>
    <row r="431" spans="2:15" ht="15" x14ac:dyDescent="0.2">
      <c r="B431" s="195" t="s">
        <v>458</v>
      </c>
      <c r="C431" s="195" t="s">
        <v>457</v>
      </c>
      <c r="D431" s="196" t="s">
        <v>157</v>
      </c>
      <c r="E431" s="196" t="s">
        <v>17</v>
      </c>
      <c r="F431" s="196">
        <v>167</v>
      </c>
      <c r="G431" s="197">
        <v>27698</v>
      </c>
      <c r="H431" s="198">
        <f t="shared" si="19"/>
        <v>45</v>
      </c>
      <c r="I431" s="196">
        <v>1</v>
      </c>
      <c r="J431" s="196" t="str">
        <f t="shared" si="21"/>
        <v>OK</v>
      </c>
      <c r="O431" s="62" t="str">
        <f t="shared" si="20"/>
        <v>|||||||||||||||||||||||||||||||</v>
      </c>
    </row>
    <row r="432" spans="2:15" ht="15" x14ac:dyDescent="0.2">
      <c r="B432" s="195" t="s">
        <v>469</v>
      </c>
      <c r="C432" s="195" t="s">
        <v>457</v>
      </c>
      <c r="D432" s="196" t="s">
        <v>157</v>
      </c>
      <c r="E432" s="196" t="s">
        <v>21</v>
      </c>
      <c r="F432" s="196">
        <v>169</v>
      </c>
      <c r="G432" s="197">
        <v>32492</v>
      </c>
      <c r="H432" s="198">
        <f t="shared" si="19"/>
        <v>32</v>
      </c>
      <c r="I432" s="196">
        <v>3</v>
      </c>
      <c r="J432" s="196" t="str">
        <f t="shared" si="21"/>
        <v>prob gender</v>
      </c>
      <c r="O432" s="62" t="str">
        <f t="shared" si="20"/>
        <v>|||||||||||||||</v>
      </c>
    </row>
    <row r="433" spans="2:15" ht="15" x14ac:dyDescent="0.2">
      <c r="B433" s="195" t="s">
        <v>448</v>
      </c>
      <c r="C433" s="195" t="s">
        <v>452</v>
      </c>
      <c r="D433" s="196" t="s">
        <v>17</v>
      </c>
      <c r="E433" s="196" t="s">
        <v>21</v>
      </c>
      <c r="F433" s="196">
        <v>176</v>
      </c>
      <c r="G433" s="197">
        <v>28144</v>
      </c>
      <c r="H433" s="198">
        <f t="shared" si="19"/>
        <v>43</v>
      </c>
      <c r="I433" s="196">
        <v>3</v>
      </c>
      <c r="J433" s="196" t="str">
        <f t="shared" si="21"/>
        <v>prob langue</v>
      </c>
      <c r="O433" s="62" t="str">
        <f t="shared" si="20"/>
        <v>|||||||||||||||||||</v>
      </c>
    </row>
    <row r="434" spans="2:15" ht="15" x14ac:dyDescent="0.2">
      <c r="B434" s="195" t="s">
        <v>448</v>
      </c>
      <c r="C434" s="195" t="s">
        <v>447</v>
      </c>
      <c r="D434" s="196" t="s">
        <v>17</v>
      </c>
      <c r="E434" s="196" t="s">
        <v>21</v>
      </c>
      <c r="F434" s="196">
        <v>181</v>
      </c>
      <c r="G434" s="197">
        <v>30510</v>
      </c>
      <c r="H434" s="198">
        <f t="shared" si="19"/>
        <v>37</v>
      </c>
      <c r="I434" s="196">
        <v>2</v>
      </c>
      <c r="J434" s="196" t="str">
        <f t="shared" si="21"/>
        <v>prob langue</v>
      </c>
      <c r="O434" s="62" t="str">
        <f t="shared" si="20"/>
        <v>|||||||||||||</v>
      </c>
    </row>
    <row r="435" spans="2:15" ht="15" x14ac:dyDescent="0.2">
      <c r="B435" s="195" t="s">
        <v>443</v>
      </c>
      <c r="C435" s="195" t="s">
        <v>442</v>
      </c>
      <c r="D435" s="196" t="s">
        <v>17</v>
      </c>
      <c r="E435" s="196" t="s">
        <v>21</v>
      </c>
      <c r="F435" s="196">
        <v>183</v>
      </c>
      <c r="G435" s="197">
        <v>25040</v>
      </c>
      <c r="H435" s="198">
        <f t="shared" si="19"/>
        <v>52</v>
      </c>
      <c r="I435" s="196">
        <v>3</v>
      </c>
      <c r="J435" s="196" t="str">
        <f t="shared" si="21"/>
        <v>prob langue</v>
      </c>
      <c r="O435" s="62" t="str">
        <f t="shared" si="20"/>
        <v>|||||||||||||||||||||</v>
      </c>
    </row>
    <row r="436" spans="2:15" ht="15" x14ac:dyDescent="0.2">
      <c r="B436" s="195" t="s">
        <v>434</v>
      </c>
      <c r="C436" s="195" t="s">
        <v>433</v>
      </c>
      <c r="D436" s="196" t="s">
        <v>17</v>
      </c>
      <c r="E436" s="196" t="s">
        <v>21</v>
      </c>
      <c r="F436" s="196">
        <v>184</v>
      </c>
      <c r="G436" s="197">
        <v>27897</v>
      </c>
      <c r="H436" s="198">
        <f t="shared" si="19"/>
        <v>44</v>
      </c>
      <c r="I436" s="196">
        <v>2</v>
      </c>
      <c r="J436" s="196" t="str">
        <f t="shared" si="21"/>
        <v>prob langue</v>
      </c>
      <c r="O436" s="62" t="str">
        <f t="shared" si="20"/>
        <v>|||||||||||||||||</v>
      </c>
    </row>
    <row r="437" spans="2:15" ht="15" x14ac:dyDescent="0.2">
      <c r="B437" s="195" t="s">
        <v>423</v>
      </c>
      <c r="C437" s="195" t="s">
        <v>420</v>
      </c>
      <c r="D437" s="196" t="s">
        <v>157</v>
      </c>
      <c r="E437" s="196" t="s">
        <v>17</v>
      </c>
      <c r="F437" s="196">
        <v>171</v>
      </c>
      <c r="G437" s="197">
        <v>32459</v>
      </c>
      <c r="H437" s="198">
        <f t="shared" si="19"/>
        <v>32</v>
      </c>
      <c r="I437" s="196">
        <v>2</v>
      </c>
      <c r="J437" s="196" t="str">
        <f t="shared" si="21"/>
        <v>prob dispo</v>
      </c>
      <c r="O437" s="62" t="str">
        <f t="shared" si="20"/>
        <v>||||||||||||</v>
      </c>
    </row>
    <row r="438" spans="2:15" ht="15" x14ac:dyDescent="0.2">
      <c r="B438" s="195" t="s">
        <v>416</v>
      </c>
      <c r="C438" s="195" t="s">
        <v>415</v>
      </c>
      <c r="D438" s="196" t="s">
        <v>157</v>
      </c>
      <c r="E438" s="196" t="s">
        <v>21</v>
      </c>
      <c r="F438" s="196">
        <v>186</v>
      </c>
      <c r="G438" s="197">
        <v>32766</v>
      </c>
      <c r="H438" s="198">
        <f t="shared" si="19"/>
        <v>31</v>
      </c>
      <c r="I438" s="196">
        <v>2</v>
      </c>
      <c r="J438" s="196" t="str">
        <f t="shared" si="21"/>
        <v>prob gender</v>
      </c>
      <c r="O438" s="62" t="str">
        <f t="shared" si="20"/>
        <v>|||||||||||||||</v>
      </c>
    </row>
    <row r="439" spans="2:15" ht="15" x14ac:dyDescent="0.2">
      <c r="B439" s="195" t="s">
        <v>412</v>
      </c>
      <c r="C439" s="195" t="s">
        <v>411</v>
      </c>
      <c r="D439" s="196" t="s">
        <v>17</v>
      </c>
      <c r="E439" s="196" t="s">
        <v>17</v>
      </c>
      <c r="F439" s="196">
        <v>158</v>
      </c>
      <c r="G439" s="197">
        <v>29416</v>
      </c>
      <c r="H439" s="198">
        <f t="shared" si="19"/>
        <v>40</v>
      </c>
      <c r="I439" s="196">
        <v>3</v>
      </c>
      <c r="J439" s="196" t="str">
        <f t="shared" si="21"/>
        <v>prob langue</v>
      </c>
      <c r="O439" s="62" t="str">
        <f t="shared" si="20"/>
        <v>||||||||||||||</v>
      </c>
    </row>
    <row r="440" spans="2:15" ht="15" x14ac:dyDescent="0.2">
      <c r="B440" s="195" t="s">
        <v>409</v>
      </c>
      <c r="C440" s="195" t="s">
        <v>408</v>
      </c>
      <c r="D440" s="196" t="s">
        <v>17</v>
      </c>
      <c r="E440" s="196" t="s">
        <v>17</v>
      </c>
      <c r="F440" s="196">
        <v>157</v>
      </c>
      <c r="G440" s="197">
        <v>23066</v>
      </c>
      <c r="H440" s="198">
        <f t="shared" si="19"/>
        <v>57</v>
      </c>
      <c r="I440" s="196">
        <v>3</v>
      </c>
      <c r="J440" s="196" t="str">
        <f t="shared" si="21"/>
        <v>prob langue</v>
      </c>
      <c r="O440" s="62" t="str">
        <f t="shared" si="20"/>
        <v>||||||||||||||||||||||||</v>
      </c>
    </row>
    <row r="441" spans="2:15" ht="15" x14ac:dyDescent="0.2">
      <c r="B441" s="195" t="s">
        <v>405</v>
      </c>
      <c r="C441" s="195" t="s">
        <v>404</v>
      </c>
      <c r="D441" s="196" t="s">
        <v>157</v>
      </c>
      <c r="E441" s="196" t="s">
        <v>17</v>
      </c>
      <c r="F441" s="196">
        <v>187</v>
      </c>
      <c r="G441" s="197">
        <v>32019</v>
      </c>
      <c r="H441" s="198">
        <f t="shared" si="19"/>
        <v>33</v>
      </c>
      <c r="I441" s="196">
        <v>1</v>
      </c>
      <c r="J441" s="196" t="str">
        <f t="shared" si="21"/>
        <v>OK</v>
      </c>
      <c r="O441" s="62" t="str">
        <f t="shared" si="20"/>
        <v>||||||||||||||||||||||||||||||</v>
      </c>
    </row>
    <row r="442" spans="2:15" ht="15" x14ac:dyDescent="0.2">
      <c r="B442" s="195" t="s">
        <v>400</v>
      </c>
      <c r="C442" s="195" t="s">
        <v>399</v>
      </c>
      <c r="D442" s="196" t="s">
        <v>17</v>
      </c>
      <c r="E442" s="196" t="s">
        <v>17</v>
      </c>
      <c r="F442" s="196">
        <v>164</v>
      </c>
      <c r="G442" s="197">
        <v>29483</v>
      </c>
      <c r="H442" s="198">
        <f t="shared" si="19"/>
        <v>40</v>
      </c>
      <c r="I442" s="196">
        <v>1</v>
      </c>
      <c r="J442" s="196" t="str">
        <f t="shared" si="21"/>
        <v>prob langue</v>
      </c>
      <c r="O442" s="62" t="str">
        <f t="shared" si="20"/>
        <v>|||||||||||||||||||</v>
      </c>
    </row>
    <row r="443" spans="2:15" ht="15" x14ac:dyDescent="0.2">
      <c r="B443" s="195" t="s">
        <v>113</v>
      </c>
      <c r="C443" s="195" t="s">
        <v>396</v>
      </c>
      <c r="D443" s="196" t="s">
        <v>17</v>
      </c>
      <c r="E443" s="196" t="s">
        <v>21</v>
      </c>
      <c r="F443" s="196">
        <v>178</v>
      </c>
      <c r="G443" s="197">
        <v>28040</v>
      </c>
      <c r="H443" s="198">
        <f t="shared" si="19"/>
        <v>44</v>
      </c>
      <c r="I443" s="196">
        <v>2</v>
      </c>
      <c r="J443" s="196" t="str">
        <f t="shared" si="21"/>
        <v>prob langue</v>
      </c>
      <c r="O443" s="62" t="str">
        <f t="shared" si="20"/>
        <v>|||||||</v>
      </c>
    </row>
    <row r="444" spans="2:15" ht="15" x14ac:dyDescent="0.2">
      <c r="B444" s="195" t="s">
        <v>392</v>
      </c>
      <c r="C444" s="195" t="s">
        <v>391</v>
      </c>
      <c r="D444" s="196" t="s">
        <v>17</v>
      </c>
      <c r="E444" s="196" t="s">
        <v>17</v>
      </c>
      <c r="F444" s="196">
        <v>180</v>
      </c>
      <c r="G444" s="197">
        <v>22106</v>
      </c>
      <c r="H444" s="198">
        <f t="shared" si="19"/>
        <v>60</v>
      </c>
      <c r="I444" s="196">
        <v>1</v>
      </c>
      <c r="J444" s="196" t="str">
        <f t="shared" si="21"/>
        <v>prob langue</v>
      </c>
      <c r="O444" s="62" t="str">
        <f t="shared" si="20"/>
        <v>|||||||||</v>
      </c>
    </row>
    <row r="445" spans="2:15" ht="15" x14ac:dyDescent="0.2">
      <c r="B445" s="195" t="s">
        <v>386</v>
      </c>
      <c r="C445" s="195" t="s">
        <v>385</v>
      </c>
      <c r="D445" s="196" t="s">
        <v>157</v>
      </c>
      <c r="E445" s="196" t="s">
        <v>21</v>
      </c>
      <c r="F445" s="196">
        <v>159</v>
      </c>
      <c r="G445" s="197">
        <v>25530</v>
      </c>
      <c r="H445" s="198">
        <f t="shared" si="19"/>
        <v>51</v>
      </c>
      <c r="I445" s="196">
        <v>2</v>
      </c>
      <c r="J445" s="196" t="str">
        <f t="shared" si="21"/>
        <v>prob gender</v>
      </c>
      <c r="O445" s="62" t="str">
        <f t="shared" si="20"/>
        <v>|||||||||||||||||||||||</v>
      </c>
    </row>
    <row r="446" spans="2:15" ht="15" x14ac:dyDescent="0.2">
      <c r="B446" s="195" t="s">
        <v>381</v>
      </c>
      <c r="C446" s="195" t="s">
        <v>380</v>
      </c>
      <c r="D446" s="196" t="s">
        <v>157</v>
      </c>
      <c r="E446" s="196" t="s">
        <v>21</v>
      </c>
      <c r="F446" s="196">
        <v>167</v>
      </c>
      <c r="G446" s="197">
        <v>31012</v>
      </c>
      <c r="H446" s="198">
        <f t="shared" si="19"/>
        <v>36</v>
      </c>
      <c r="I446" s="196">
        <v>2</v>
      </c>
      <c r="J446" s="196" t="str">
        <f t="shared" si="21"/>
        <v>prob gender</v>
      </c>
      <c r="O446" s="62" t="str">
        <f t="shared" si="20"/>
        <v>||||||||||||||||||||||||||</v>
      </c>
    </row>
    <row r="447" spans="2:15" ht="15" x14ac:dyDescent="0.2">
      <c r="B447" s="195" t="s">
        <v>373</v>
      </c>
      <c r="C447" s="195" t="s">
        <v>372</v>
      </c>
      <c r="D447" s="196" t="s">
        <v>17</v>
      </c>
      <c r="E447" s="196" t="s">
        <v>21</v>
      </c>
      <c r="F447" s="196">
        <v>164</v>
      </c>
      <c r="G447" s="197">
        <v>23212</v>
      </c>
      <c r="H447" s="198">
        <f t="shared" si="19"/>
        <v>57</v>
      </c>
      <c r="I447" s="196">
        <v>3</v>
      </c>
      <c r="J447" s="196" t="str">
        <f t="shared" si="21"/>
        <v>prob langue</v>
      </c>
      <c r="O447" s="62" t="str">
        <f t="shared" si="20"/>
        <v>||||||||||||||||||||</v>
      </c>
    </row>
    <row r="448" spans="2:15" ht="15" x14ac:dyDescent="0.2">
      <c r="B448" s="195" t="s">
        <v>369</v>
      </c>
      <c r="C448" s="195" t="s">
        <v>368</v>
      </c>
      <c r="D448" s="196" t="s">
        <v>157</v>
      </c>
      <c r="E448" s="196" t="s">
        <v>17</v>
      </c>
      <c r="F448" s="196">
        <v>184</v>
      </c>
      <c r="G448" s="197">
        <v>29010</v>
      </c>
      <c r="H448" s="198">
        <f t="shared" si="19"/>
        <v>41</v>
      </c>
      <c r="I448" s="196">
        <v>3</v>
      </c>
      <c r="J448" s="196" t="str">
        <f t="shared" si="21"/>
        <v>prob dispo</v>
      </c>
      <c r="O448" s="62" t="str">
        <f t="shared" si="20"/>
        <v>||||</v>
      </c>
    </row>
    <row r="449" spans="2:15" ht="15" x14ac:dyDescent="0.2">
      <c r="B449" s="195" t="s">
        <v>364</v>
      </c>
      <c r="C449" s="195" t="s">
        <v>363</v>
      </c>
      <c r="D449" s="196" t="s">
        <v>157</v>
      </c>
      <c r="E449" s="196" t="s">
        <v>21</v>
      </c>
      <c r="F449" s="196">
        <v>186</v>
      </c>
      <c r="G449" s="197">
        <v>33699</v>
      </c>
      <c r="H449" s="198">
        <f t="shared" si="19"/>
        <v>28</v>
      </c>
      <c r="I449" s="196">
        <v>2</v>
      </c>
      <c r="J449" s="196" t="str">
        <f t="shared" si="21"/>
        <v>prob gender</v>
      </c>
      <c r="O449" s="62" t="str">
        <f t="shared" si="20"/>
        <v>|||||</v>
      </c>
    </row>
    <row r="450" spans="2:15" ht="15" x14ac:dyDescent="0.2">
      <c r="B450" s="195" t="s">
        <v>360</v>
      </c>
      <c r="C450" s="195" t="s">
        <v>359</v>
      </c>
      <c r="D450" s="196" t="s">
        <v>17</v>
      </c>
      <c r="E450" s="196" t="s">
        <v>17</v>
      </c>
      <c r="F450" s="196">
        <v>159</v>
      </c>
      <c r="G450" s="197">
        <v>22893</v>
      </c>
      <c r="H450" s="198">
        <f t="shared" si="19"/>
        <v>58</v>
      </c>
      <c r="I450" s="196">
        <v>1</v>
      </c>
      <c r="J450" s="196" t="str">
        <f t="shared" si="21"/>
        <v>prob langue</v>
      </c>
      <c r="O450" s="62" t="str">
        <f t="shared" si="20"/>
        <v>||||</v>
      </c>
    </row>
    <row r="451" spans="2:15" ht="15" x14ac:dyDescent="0.2">
      <c r="B451" s="195" t="s">
        <v>349</v>
      </c>
      <c r="C451" s="195" t="s">
        <v>348</v>
      </c>
      <c r="D451" s="196" t="s">
        <v>157</v>
      </c>
      <c r="E451" s="196" t="s">
        <v>21</v>
      </c>
      <c r="F451" s="196">
        <v>165</v>
      </c>
      <c r="G451" s="197">
        <v>22939</v>
      </c>
      <c r="H451" s="198">
        <f t="shared" si="19"/>
        <v>58</v>
      </c>
      <c r="I451" s="196">
        <v>1</v>
      </c>
      <c r="J451" s="196" t="str">
        <f t="shared" si="21"/>
        <v>prob gender</v>
      </c>
      <c r="O451" s="62" t="str">
        <f t="shared" si="20"/>
        <v>||||||||||||||||||||</v>
      </c>
    </row>
    <row r="452" spans="2:15" ht="15" x14ac:dyDescent="0.2">
      <c r="B452" s="195" t="s">
        <v>345</v>
      </c>
      <c r="C452" s="195" t="s">
        <v>344</v>
      </c>
      <c r="D452" s="196" t="s">
        <v>17</v>
      </c>
      <c r="E452" s="196" t="s">
        <v>21</v>
      </c>
      <c r="F452" s="196">
        <v>179</v>
      </c>
      <c r="G452" s="197">
        <v>27232</v>
      </c>
      <c r="H452" s="198">
        <f t="shared" si="19"/>
        <v>46</v>
      </c>
      <c r="I452" s="196">
        <v>3</v>
      </c>
      <c r="J452" s="196" t="str">
        <f t="shared" si="21"/>
        <v>prob langue</v>
      </c>
      <c r="O452" s="62" t="str">
        <f t="shared" si="20"/>
        <v>||||||||||||||||||||||</v>
      </c>
    </row>
    <row r="453" spans="2:15" ht="15" x14ac:dyDescent="0.2">
      <c r="B453" s="195" t="s">
        <v>341</v>
      </c>
      <c r="C453" s="195" t="s">
        <v>340</v>
      </c>
      <c r="D453" s="196" t="s">
        <v>157</v>
      </c>
      <c r="E453" s="196" t="s">
        <v>17</v>
      </c>
      <c r="F453" s="196">
        <v>195</v>
      </c>
      <c r="G453" s="197">
        <v>33264</v>
      </c>
      <c r="H453" s="198">
        <f t="shared" si="19"/>
        <v>29</v>
      </c>
      <c r="I453" s="196">
        <v>3</v>
      </c>
      <c r="J453" s="196" t="str">
        <f t="shared" si="21"/>
        <v>prob dispo</v>
      </c>
      <c r="O453" s="62" t="str">
        <f t="shared" si="20"/>
        <v>||||||||||||||||||||||||||</v>
      </c>
    </row>
    <row r="454" spans="2:15" ht="15" x14ac:dyDescent="0.2">
      <c r="B454" s="195" t="s">
        <v>202</v>
      </c>
      <c r="C454" s="195" t="s">
        <v>327</v>
      </c>
      <c r="D454" s="196" t="s">
        <v>157</v>
      </c>
      <c r="E454" s="196" t="s">
        <v>21</v>
      </c>
      <c r="F454" s="196">
        <v>166</v>
      </c>
      <c r="G454" s="197">
        <v>22073</v>
      </c>
      <c r="H454" s="198">
        <f t="shared" ref="H454:H489" si="22">ROUNDDOWN(($L$16-G454) /365.25,0)</f>
        <v>60</v>
      </c>
      <c r="I454" s="196">
        <v>3</v>
      </c>
      <c r="J454" s="196" t="str">
        <f t="shared" si="21"/>
        <v>prob gender</v>
      </c>
      <c r="O454" s="62" t="str">
        <f t="shared" ref="O454:O489" si="23">REPT("|",DAY(G454))</f>
        <v>||||||</v>
      </c>
    </row>
    <row r="455" spans="2:15" ht="15" x14ac:dyDescent="0.2">
      <c r="B455" s="195" t="s">
        <v>323</v>
      </c>
      <c r="C455" s="195" t="s">
        <v>322</v>
      </c>
      <c r="D455" s="196" t="s">
        <v>157</v>
      </c>
      <c r="E455" s="196" t="s">
        <v>17</v>
      </c>
      <c r="F455" s="196">
        <v>187</v>
      </c>
      <c r="G455" s="197">
        <v>23546</v>
      </c>
      <c r="H455" s="198">
        <f t="shared" si="22"/>
        <v>56</v>
      </c>
      <c r="I455" s="196">
        <v>2</v>
      </c>
      <c r="J455" s="196" t="str">
        <f t="shared" ref="J455:J489" si="24">IF(D455=$L$12,IF(E455=$L$13,IF(F455&gt;=$L$14,IF(H455&lt;=$L$15,IF(I455=1,"OK","prob dispo"),"prob âge"),"prob taille"),"prob gender"),"prob langue")</f>
        <v>prob âge</v>
      </c>
      <c r="O455" s="62" t="str">
        <f t="shared" si="23"/>
        <v>||||||||||||||||||</v>
      </c>
    </row>
    <row r="456" spans="2:15" ht="15" x14ac:dyDescent="0.2">
      <c r="B456" s="195" t="s">
        <v>318</v>
      </c>
      <c r="C456" s="195" t="s">
        <v>317</v>
      </c>
      <c r="D456" s="196" t="s">
        <v>157</v>
      </c>
      <c r="E456" s="196" t="s">
        <v>17</v>
      </c>
      <c r="F456" s="196">
        <v>167</v>
      </c>
      <c r="G456" s="197">
        <v>26597</v>
      </c>
      <c r="H456" s="198">
        <f t="shared" si="22"/>
        <v>48</v>
      </c>
      <c r="I456" s="196">
        <v>1</v>
      </c>
      <c r="J456" s="196" t="str">
        <f t="shared" si="24"/>
        <v>prob âge</v>
      </c>
      <c r="O456" s="62" t="str">
        <f t="shared" si="23"/>
        <v>|||||||||||||||||||||||||</v>
      </c>
    </row>
    <row r="457" spans="2:15" ht="15" x14ac:dyDescent="0.2">
      <c r="B457" s="195" t="s">
        <v>312</v>
      </c>
      <c r="C457" s="195" t="s">
        <v>311</v>
      </c>
      <c r="D457" s="196" t="s">
        <v>157</v>
      </c>
      <c r="E457" s="196" t="s">
        <v>21</v>
      </c>
      <c r="F457" s="196">
        <v>183</v>
      </c>
      <c r="G457" s="197">
        <v>29548</v>
      </c>
      <c r="H457" s="198">
        <f t="shared" si="22"/>
        <v>40</v>
      </c>
      <c r="I457" s="196">
        <v>1</v>
      </c>
      <c r="J457" s="196" t="str">
        <f t="shared" si="24"/>
        <v>prob gender</v>
      </c>
      <c r="O457" s="62" t="str">
        <f t="shared" si="23"/>
        <v>|||||||||||||||||||||||</v>
      </c>
    </row>
    <row r="458" spans="2:15" ht="15" x14ac:dyDescent="0.2">
      <c r="B458" s="195" t="s">
        <v>307</v>
      </c>
      <c r="C458" s="195" t="s">
        <v>306</v>
      </c>
      <c r="D458" s="196" t="s">
        <v>157</v>
      </c>
      <c r="E458" s="196" t="s">
        <v>17</v>
      </c>
      <c r="F458" s="196">
        <v>162</v>
      </c>
      <c r="G458" s="197">
        <v>30708</v>
      </c>
      <c r="H458" s="198">
        <f t="shared" si="22"/>
        <v>36</v>
      </c>
      <c r="I458" s="196">
        <v>3</v>
      </c>
      <c r="J458" s="196" t="str">
        <f t="shared" si="24"/>
        <v>prob taille</v>
      </c>
      <c r="O458" s="62" t="str">
        <f t="shared" si="23"/>
        <v>|||||||||||||||||||||||||||</v>
      </c>
    </row>
    <row r="459" spans="2:15" ht="15" x14ac:dyDescent="0.2">
      <c r="B459" s="195" t="s">
        <v>113</v>
      </c>
      <c r="C459" s="195" t="s">
        <v>300</v>
      </c>
      <c r="D459" s="196" t="s">
        <v>157</v>
      </c>
      <c r="E459" s="196" t="s">
        <v>21</v>
      </c>
      <c r="F459" s="196">
        <v>186</v>
      </c>
      <c r="G459" s="197">
        <v>22791</v>
      </c>
      <c r="H459" s="198">
        <f t="shared" si="22"/>
        <v>58</v>
      </c>
      <c r="I459" s="196">
        <v>3</v>
      </c>
      <c r="J459" s="196" t="str">
        <f t="shared" si="24"/>
        <v>prob gender</v>
      </c>
      <c r="O459" s="62" t="str">
        <f t="shared" si="23"/>
        <v>|||||||||||||||||||||||||</v>
      </c>
    </row>
    <row r="460" spans="2:15" ht="15" x14ac:dyDescent="0.2">
      <c r="B460" s="195" t="s">
        <v>296</v>
      </c>
      <c r="C460" s="195" t="s">
        <v>295</v>
      </c>
      <c r="D460" s="196" t="s">
        <v>157</v>
      </c>
      <c r="E460" s="196" t="s">
        <v>21</v>
      </c>
      <c r="F460" s="196">
        <v>169</v>
      </c>
      <c r="G460" s="197">
        <v>27200</v>
      </c>
      <c r="H460" s="198">
        <f t="shared" si="22"/>
        <v>46</v>
      </c>
      <c r="I460" s="196">
        <v>3</v>
      </c>
      <c r="J460" s="196" t="str">
        <f t="shared" si="24"/>
        <v>prob gender</v>
      </c>
      <c r="O460" s="62" t="str">
        <f t="shared" si="23"/>
        <v>||||||||||||||||||||</v>
      </c>
    </row>
    <row r="461" spans="2:15" ht="15" x14ac:dyDescent="0.2">
      <c r="B461" s="195" t="s">
        <v>292</v>
      </c>
      <c r="C461" s="195" t="s">
        <v>291</v>
      </c>
      <c r="D461" s="196" t="s">
        <v>17</v>
      </c>
      <c r="E461" s="196" t="s">
        <v>17</v>
      </c>
      <c r="F461" s="196">
        <v>183</v>
      </c>
      <c r="G461" s="197">
        <v>30194</v>
      </c>
      <c r="H461" s="198">
        <f t="shared" si="22"/>
        <v>38</v>
      </c>
      <c r="I461" s="196">
        <v>1</v>
      </c>
      <c r="J461" s="196" t="str">
        <f t="shared" si="24"/>
        <v>prob langue</v>
      </c>
      <c r="O461" s="62" t="str">
        <f t="shared" si="23"/>
        <v>|||||||||||||||||||||||||||||||</v>
      </c>
    </row>
    <row r="462" spans="2:15" ht="15" x14ac:dyDescent="0.2">
      <c r="B462" s="195" t="s">
        <v>288</v>
      </c>
      <c r="C462" s="195" t="s">
        <v>287</v>
      </c>
      <c r="D462" s="196" t="s">
        <v>157</v>
      </c>
      <c r="E462" s="196" t="s">
        <v>21</v>
      </c>
      <c r="F462" s="196">
        <v>181</v>
      </c>
      <c r="G462" s="197">
        <v>27771</v>
      </c>
      <c r="H462" s="198">
        <f t="shared" si="22"/>
        <v>44</v>
      </c>
      <c r="I462" s="196">
        <v>2</v>
      </c>
      <c r="J462" s="196" t="str">
        <f t="shared" si="24"/>
        <v>prob gender</v>
      </c>
      <c r="O462" s="62" t="str">
        <f t="shared" si="23"/>
        <v>||||||||||||</v>
      </c>
    </row>
    <row r="463" spans="2:15" ht="15" x14ac:dyDescent="0.2">
      <c r="B463" s="195" t="s">
        <v>284</v>
      </c>
      <c r="C463" s="195" t="s">
        <v>283</v>
      </c>
      <c r="D463" s="196" t="s">
        <v>17</v>
      </c>
      <c r="E463" s="196" t="s">
        <v>21</v>
      </c>
      <c r="F463" s="196">
        <v>161</v>
      </c>
      <c r="G463" s="197">
        <v>27847</v>
      </c>
      <c r="H463" s="198">
        <f t="shared" si="22"/>
        <v>44</v>
      </c>
      <c r="I463" s="196">
        <v>2</v>
      </c>
      <c r="J463" s="196" t="str">
        <f t="shared" si="24"/>
        <v>prob langue</v>
      </c>
      <c r="O463" s="62" t="str">
        <f t="shared" si="23"/>
        <v>||||||||||||||||||||||||||||</v>
      </c>
    </row>
    <row r="464" spans="2:15" ht="15" x14ac:dyDescent="0.2">
      <c r="B464" s="195" t="s">
        <v>276</v>
      </c>
      <c r="C464" s="195" t="s">
        <v>275</v>
      </c>
      <c r="D464" s="196" t="s">
        <v>157</v>
      </c>
      <c r="E464" s="196" t="s">
        <v>17</v>
      </c>
      <c r="F464" s="196">
        <v>173</v>
      </c>
      <c r="G464" s="197">
        <v>29801</v>
      </c>
      <c r="H464" s="198">
        <f t="shared" si="22"/>
        <v>39</v>
      </c>
      <c r="I464" s="196">
        <v>3</v>
      </c>
      <c r="J464" s="196" t="str">
        <f t="shared" si="24"/>
        <v>prob dispo</v>
      </c>
      <c r="O464" s="62" t="str">
        <f t="shared" si="23"/>
        <v>|||</v>
      </c>
    </row>
    <row r="465" spans="2:15" ht="15" x14ac:dyDescent="0.2">
      <c r="B465" s="195" t="s">
        <v>269</v>
      </c>
      <c r="C465" s="195" t="s">
        <v>264</v>
      </c>
      <c r="D465" s="196" t="s">
        <v>157</v>
      </c>
      <c r="E465" s="196" t="s">
        <v>21</v>
      </c>
      <c r="F465" s="196">
        <v>168</v>
      </c>
      <c r="G465" s="197">
        <v>27652</v>
      </c>
      <c r="H465" s="198">
        <f t="shared" si="22"/>
        <v>45</v>
      </c>
      <c r="I465" s="196">
        <v>2</v>
      </c>
      <c r="J465" s="196" t="str">
        <f t="shared" si="24"/>
        <v>prob gender</v>
      </c>
      <c r="O465" s="62" t="str">
        <f t="shared" si="23"/>
        <v>|||||||||||||||</v>
      </c>
    </row>
    <row r="466" spans="2:15" ht="15" x14ac:dyDescent="0.2">
      <c r="B466" s="195" t="s">
        <v>198</v>
      </c>
      <c r="C466" s="195" t="s">
        <v>264</v>
      </c>
      <c r="D466" s="196" t="s">
        <v>17</v>
      </c>
      <c r="E466" s="196" t="s">
        <v>21</v>
      </c>
      <c r="F466" s="196">
        <v>172</v>
      </c>
      <c r="G466" s="197">
        <v>31570</v>
      </c>
      <c r="H466" s="198">
        <f t="shared" si="22"/>
        <v>34</v>
      </c>
      <c r="I466" s="196">
        <v>2</v>
      </c>
      <c r="J466" s="196" t="str">
        <f t="shared" si="24"/>
        <v>prob langue</v>
      </c>
      <c r="O466" s="62" t="str">
        <f t="shared" si="23"/>
        <v>|||||||</v>
      </c>
    </row>
    <row r="467" spans="2:15" ht="15" x14ac:dyDescent="0.2">
      <c r="B467" s="195" t="s">
        <v>265</v>
      </c>
      <c r="C467" s="195" t="s">
        <v>264</v>
      </c>
      <c r="D467" s="196" t="s">
        <v>157</v>
      </c>
      <c r="E467" s="196" t="s">
        <v>17</v>
      </c>
      <c r="F467" s="196">
        <v>171</v>
      </c>
      <c r="G467" s="197">
        <v>33538</v>
      </c>
      <c r="H467" s="198">
        <f t="shared" si="22"/>
        <v>29</v>
      </c>
      <c r="I467" s="196">
        <v>2</v>
      </c>
      <c r="J467" s="196" t="str">
        <f t="shared" si="24"/>
        <v>prob dispo</v>
      </c>
      <c r="O467" s="62" t="str">
        <f t="shared" si="23"/>
        <v>|||||||||||||||||||||||||||</v>
      </c>
    </row>
    <row r="468" spans="2:15" ht="15" x14ac:dyDescent="0.2">
      <c r="B468" s="195" t="s">
        <v>257</v>
      </c>
      <c r="C468" s="195" t="s">
        <v>256</v>
      </c>
      <c r="D468" s="196" t="s">
        <v>157</v>
      </c>
      <c r="E468" s="196" t="s">
        <v>21</v>
      </c>
      <c r="F468" s="196">
        <v>162</v>
      </c>
      <c r="G468" s="197">
        <v>26870</v>
      </c>
      <c r="H468" s="198">
        <f t="shared" si="22"/>
        <v>47</v>
      </c>
      <c r="I468" s="196">
        <v>2</v>
      </c>
      <c r="J468" s="196" t="str">
        <f t="shared" si="24"/>
        <v>prob gender</v>
      </c>
      <c r="O468" s="62" t="str">
        <f t="shared" si="23"/>
        <v>|||||||||||||||||||||||||</v>
      </c>
    </row>
    <row r="469" spans="2:15" ht="15" x14ac:dyDescent="0.2">
      <c r="B469" s="195" t="s">
        <v>260</v>
      </c>
      <c r="C469" s="195" t="s">
        <v>256</v>
      </c>
      <c r="D469" s="196" t="s">
        <v>17</v>
      </c>
      <c r="E469" s="196" t="s">
        <v>17</v>
      </c>
      <c r="F469" s="196">
        <v>155</v>
      </c>
      <c r="G469" s="197">
        <v>29680</v>
      </c>
      <c r="H469" s="198">
        <f t="shared" si="22"/>
        <v>39</v>
      </c>
      <c r="I469" s="196">
        <v>3</v>
      </c>
      <c r="J469" s="196" t="str">
        <f t="shared" si="24"/>
        <v>prob langue</v>
      </c>
      <c r="O469" s="62" t="str">
        <f t="shared" si="23"/>
        <v>||||</v>
      </c>
    </row>
    <row r="470" spans="2:15" ht="15" x14ac:dyDescent="0.2">
      <c r="B470" s="195" t="s">
        <v>202</v>
      </c>
      <c r="C470" s="195" t="s">
        <v>252</v>
      </c>
      <c r="D470" s="196" t="s">
        <v>157</v>
      </c>
      <c r="E470" s="196" t="s">
        <v>21</v>
      </c>
      <c r="F470" s="196">
        <v>174</v>
      </c>
      <c r="G470" s="197">
        <v>23155</v>
      </c>
      <c r="H470" s="198">
        <f t="shared" si="22"/>
        <v>57</v>
      </c>
      <c r="I470" s="196">
        <v>1</v>
      </c>
      <c r="J470" s="196" t="str">
        <f t="shared" si="24"/>
        <v>prob gender</v>
      </c>
      <c r="O470" s="62" t="str">
        <f t="shared" si="23"/>
        <v>||||||||||||||||||||||||</v>
      </c>
    </row>
    <row r="471" spans="2:15" ht="15" x14ac:dyDescent="0.2">
      <c r="B471" s="195" t="s">
        <v>240</v>
      </c>
      <c r="C471" s="195" t="s">
        <v>239</v>
      </c>
      <c r="D471" s="196" t="s">
        <v>157</v>
      </c>
      <c r="E471" s="196" t="s">
        <v>21</v>
      </c>
      <c r="F471" s="196">
        <v>155</v>
      </c>
      <c r="G471" s="197">
        <v>22954</v>
      </c>
      <c r="H471" s="198">
        <f t="shared" si="22"/>
        <v>58</v>
      </c>
      <c r="I471" s="196">
        <v>2</v>
      </c>
      <c r="J471" s="196" t="str">
        <f t="shared" si="24"/>
        <v>prob gender</v>
      </c>
      <c r="O471" s="62" t="str">
        <f t="shared" si="23"/>
        <v>||||</v>
      </c>
    </row>
    <row r="472" spans="2:15" ht="15" x14ac:dyDescent="0.2">
      <c r="B472" s="195" t="s">
        <v>149</v>
      </c>
      <c r="C472" s="195" t="s">
        <v>234</v>
      </c>
      <c r="D472" s="196" t="s">
        <v>17</v>
      </c>
      <c r="E472" s="196" t="s">
        <v>17</v>
      </c>
      <c r="F472" s="196">
        <v>185</v>
      </c>
      <c r="G472" s="197">
        <v>28520</v>
      </c>
      <c r="H472" s="198">
        <f t="shared" si="22"/>
        <v>42</v>
      </c>
      <c r="I472" s="196">
        <v>1</v>
      </c>
      <c r="J472" s="196" t="str">
        <f t="shared" si="24"/>
        <v>prob langue</v>
      </c>
      <c r="O472" s="62" t="str">
        <f t="shared" si="23"/>
        <v>||||||||||||||||||||||||||||||</v>
      </c>
    </row>
    <row r="473" spans="2:15" ht="15" x14ac:dyDescent="0.2">
      <c r="B473" s="195" t="s">
        <v>77</v>
      </c>
      <c r="C473" s="195" t="s">
        <v>234</v>
      </c>
      <c r="D473" s="196" t="s">
        <v>17</v>
      </c>
      <c r="E473" s="196" t="s">
        <v>17</v>
      </c>
      <c r="F473" s="196">
        <v>172</v>
      </c>
      <c r="G473" s="197">
        <v>33872</v>
      </c>
      <c r="H473" s="198">
        <f t="shared" si="22"/>
        <v>28</v>
      </c>
      <c r="I473" s="196">
        <v>1</v>
      </c>
      <c r="J473" s="196" t="str">
        <f t="shared" si="24"/>
        <v>prob langue</v>
      </c>
      <c r="O473" s="62" t="str">
        <f t="shared" si="23"/>
        <v>|||||||||||||||||||||||||</v>
      </c>
    </row>
    <row r="474" spans="2:15" ht="15" x14ac:dyDescent="0.2">
      <c r="B474" s="195" t="s">
        <v>231</v>
      </c>
      <c r="C474" s="195" t="s">
        <v>230</v>
      </c>
      <c r="D474" s="196" t="s">
        <v>157</v>
      </c>
      <c r="E474" s="196" t="s">
        <v>21</v>
      </c>
      <c r="F474" s="196">
        <v>189</v>
      </c>
      <c r="G474" s="197">
        <v>32104</v>
      </c>
      <c r="H474" s="198">
        <f t="shared" si="22"/>
        <v>33</v>
      </c>
      <c r="I474" s="196">
        <v>3</v>
      </c>
      <c r="J474" s="196" t="str">
        <f t="shared" si="24"/>
        <v>prob gender</v>
      </c>
      <c r="O474" s="62" t="str">
        <f t="shared" si="23"/>
        <v>|||||||||||||||||||||||</v>
      </c>
    </row>
    <row r="475" spans="2:15" ht="15" x14ac:dyDescent="0.2">
      <c r="B475" s="195" t="s">
        <v>227</v>
      </c>
      <c r="C475" s="195" t="s">
        <v>226</v>
      </c>
      <c r="D475" s="196" t="s">
        <v>17</v>
      </c>
      <c r="E475" s="196" t="s">
        <v>17</v>
      </c>
      <c r="F475" s="196">
        <v>186</v>
      </c>
      <c r="G475" s="197">
        <v>29097</v>
      </c>
      <c r="H475" s="198">
        <f t="shared" si="22"/>
        <v>41</v>
      </c>
      <c r="I475" s="196">
        <v>1</v>
      </c>
      <c r="J475" s="196" t="str">
        <f t="shared" si="24"/>
        <v>prob langue</v>
      </c>
      <c r="O475" s="62" t="str">
        <f t="shared" si="23"/>
        <v>||||||||||||||||||||||||||||||</v>
      </c>
    </row>
    <row r="476" spans="2:15" ht="15" x14ac:dyDescent="0.2">
      <c r="B476" s="195" t="s">
        <v>93</v>
      </c>
      <c r="C476" s="195" t="s">
        <v>222</v>
      </c>
      <c r="D476" s="196" t="s">
        <v>17</v>
      </c>
      <c r="E476" s="196" t="s">
        <v>21</v>
      </c>
      <c r="F476" s="196">
        <v>191</v>
      </c>
      <c r="G476" s="197">
        <v>25221</v>
      </c>
      <c r="H476" s="198">
        <f t="shared" si="22"/>
        <v>51</v>
      </c>
      <c r="I476" s="196">
        <v>3</v>
      </c>
      <c r="J476" s="196" t="str">
        <f t="shared" si="24"/>
        <v>prob langue</v>
      </c>
      <c r="O476" s="62" t="str">
        <f t="shared" si="23"/>
        <v>||||||||||||||||||</v>
      </c>
    </row>
    <row r="477" spans="2:15" ht="15" x14ac:dyDescent="0.2">
      <c r="B477" s="195" t="s">
        <v>215</v>
      </c>
      <c r="C477" s="195" t="s">
        <v>214</v>
      </c>
      <c r="D477" s="196" t="s">
        <v>157</v>
      </c>
      <c r="E477" s="196" t="s">
        <v>17</v>
      </c>
      <c r="F477" s="196">
        <v>184</v>
      </c>
      <c r="G477" s="197">
        <v>22832</v>
      </c>
      <c r="H477" s="198">
        <f t="shared" si="22"/>
        <v>58</v>
      </c>
      <c r="I477" s="196">
        <v>2</v>
      </c>
      <c r="J477" s="196" t="str">
        <f t="shared" si="24"/>
        <v>prob âge</v>
      </c>
      <c r="O477" s="62" t="str">
        <f t="shared" si="23"/>
        <v>|||||</v>
      </c>
    </row>
    <row r="478" spans="2:15" ht="15" x14ac:dyDescent="0.2">
      <c r="B478" s="195" t="s">
        <v>210</v>
      </c>
      <c r="C478" s="195" t="s">
        <v>209</v>
      </c>
      <c r="D478" s="196" t="s">
        <v>157</v>
      </c>
      <c r="E478" s="196" t="s">
        <v>21</v>
      </c>
      <c r="F478" s="196">
        <v>171</v>
      </c>
      <c r="G478" s="197">
        <v>22670</v>
      </c>
      <c r="H478" s="198">
        <f t="shared" si="22"/>
        <v>58</v>
      </c>
      <c r="I478" s="196">
        <v>2</v>
      </c>
      <c r="J478" s="196" t="str">
        <f t="shared" si="24"/>
        <v>prob gender</v>
      </c>
      <c r="O478" s="62" t="str">
        <f t="shared" si="23"/>
        <v>||||||||||||||||||||||||</v>
      </c>
    </row>
    <row r="479" spans="2:15" ht="15" x14ac:dyDescent="0.2">
      <c r="B479" s="195" t="s">
        <v>206</v>
      </c>
      <c r="C479" s="195" t="s">
        <v>205</v>
      </c>
      <c r="D479" s="196" t="s">
        <v>17</v>
      </c>
      <c r="E479" s="196" t="s">
        <v>21</v>
      </c>
      <c r="F479" s="196">
        <v>171</v>
      </c>
      <c r="G479" s="197">
        <v>29916</v>
      </c>
      <c r="H479" s="198">
        <f t="shared" si="22"/>
        <v>39</v>
      </c>
      <c r="I479" s="196">
        <v>3</v>
      </c>
      <c r="J479" s="196" t="str">
        <f t="shared" si="24"/>
        <v>prob langue</v>
      </c>
      <c r="O479" s="62" t="str">
        <f t="shared" si="23"/>
        <v>||||||||||||||||||||||||||</v>
      </c>
    </row>
    <row r="480" spans="2:15" ht="15" x14ac:dyDescent="0.2">
      <c r="B480" s="195" t="s">
        <v>198</v>
      </c>
      <c r="C480" s="195" t="s">
        <v>197</v>
      </c>
      <c r="D480" s="196" t="s">
        <v>17</v>
      </c>
      <c r="E480" s="196" t="s">
        <v>21</v>
      </c>
      <c r="F480" s="196">
        <v>188</v>
      </c>
      <c r="G480" s="197">
        <v>24066</v>
      </c>
      <c r="H480" s="198">
        <f t="shared" si="22"/>
        <v>55</v>
      </c>
      <c r="I480" s="196">
        <v>1</v>
      </c>
      <c r="J480" s="196" t="str">
        <f t="shared" si="24"/>
        <v>prob langue</v>
      </c>
      <c r="O480" s="62" t="str">
        <f t="shared" si="23"/>
        <v>||||||||||||||||||||</v>
      </c>
    </row>
    <row r="481" spans="2:15" ht="15" x14ac:dyDescent="0.2">
      <c r="B481" s="195" t="s">
        <v>193</v>
      </c>
      <c r="C481" s="195" t="s">
        <v>189</v>
      </c>
      <c r="D481" s="196" t="s">
        <v>17</v>
      </c>
      <c r="E481" s="196" t="s">
        <v>21</v>
      </c>
      <c r="F481" s="196">
        <v>161</v>
      </c>
      <c r="G481" s="197">
        <v>23236</v>
      </c>
      <c r="H481" s="198">
        <f t="shared" si="22"/>
        <v>57</v>
      </c>
      <c r="I481" s="196">
        <v>1</v>
      </c>
      <c r="J481" s="196" t="str">
        <f t="shared" si="24"/>
        <v>prob langue</v>
      </c>
      <c r="O481" s="62" t="str">
        <f t="shared" si="23"/>
        <v>|||||||||||||</v>
      </c>
    </row>
    <row r="482" spans="2:15" ht="15" x14ac:dyDescent="0.2">
      <c r="B482" s="195" t="s">
        <v>190</v>
      </c>
      <c r="C482" s="195" t="s">
        <v>189</v>
      </c>
      <c r="D482" s="196" t="s">
        <v>157</v>
      </c>
      <c r="E482" s="196" t="s">
        <v>17</v>
      </c>
      <c r="F482" s="196">
        <v>156</v>
      </c>
      <c r="G482" s="197">
        <v>29148</v>
      </c>
      <c r="H482" s="198">
        <f t="shared" si="22"/>
        <v>41</v>
      </c>
      <c r="I482" s="196">
        <v>1</v>
      </c>
      <c r="J482" s="196" t="str">
        <f t="shared" si="24"/>
        <v>prob taille</v>
      </c>
      <c r="O482" s="62" t="str">
        <f t="shared" si="23"/>
        <v>||||||||||||||||||||</v>
      </c>
    </row>
    <row r="483" spans="2:15" ht="15" x14ac:dyDescent="0.2">
      <c r="B483" s="195" t="s">
        <v>186</v>
      </c>
      <c r="C483" s="195" t="s">
        <v>185</v>
      </c>
      <c r="D483" s="196" t="s">
        <v>17</v>
      </c>
      <c r="E483" s="196" t="s">
        <v>21</v>
      </c>
      <c r="F483" s="196">
        <v>187</v>
      </c>
      <c r="G483" s="197">
        <v>23204</v>
      </c>
      <c r="H483" s="198">
        <f t="shared" si="22"/>
        <v>57</v>
      </c>
      <c r="I483" s="196">
        <v>2</v>
      </c>
      <c r="J483" s="196" t="str">
        <f t="shared" si="24"/>
        <v>prob langue</v>
      </c>
      <c r="O483" s="62" t="str">
        <f t="shared" si="23"/>
        <v>||||||||||||</v>
      </c>
    </row>
    <row r="484" spans="2:15" ht="15" x14ac:dyDescent="0.2">
      <c r="B484" s="195" t="s">
        <v>179</v>
      </c>
      <c r="C484" s="195" t="s">
        <v>178</v>
      </c>
      <c r="D484" s="196" t="s">
        <v>157</v>
      </c>
      <c r="E484" s="196" t="s">
        <v>21</v>
      </c>
      <c r="F484" s="196">
        <v>194</v>
      </c>
      <c r="G484" s="197">
        <v>33846</v>
      </c>
      <c r="H484" s="198">
        <f t="shared" si="22"/>
        <v>28</v>
      </c>
      <c r="I484" s="196">
        <v>3</v>
      </c>
      <c r="J484" s="196" t="str">
        <f t="shared" si="24"/>
        <v>prob gender</v>
      </c>
      <c r="O484" s="62" t="str">
        <f t="shared" si="23"/>
        <v>||||||||||||||||||||||||||||||</v>
      </c>
    </row>
    <row r="485" spans="2:15" ht="15" x14ac:dyDescent="0.2">
      <c r="B485" s="195" t="s">
        <v>175</v>
      </c>
      <c r="C485" s="195" t="s">
        <v>174</v>
      </c>
      <c r="D485" s="196" t="s">
        <v>17</v>
      </c>
      <c r="E485" s="196" t="s">
        <v>21</v>
      </c>
      <c r="F485" s="196">
        <v>192</v>
      </c>
      <c r="G485" s="197">
        <v>32616</v>
      </c>
      <c r="H485" s="198">
        <f t="shared" si="22"/>
        <v>31</v>
      </c>
      <c r="I485" s="196">
        <v>2</v>
      </c>
      <c r="J485" s="196" t="str">
        <f t="shared" si="24"/>
        <v>prob langue</v>
      </c>
      <c r="O485" s="62" t="str">
        <f t="shared" si="23"/>
        <v>||||||||||||||||||</v>
      </c>
    </row>
    <row r="486" spans="2:15" ht="15" x14ac:dyDescent="0.2">
      <c r="B486" s="195" t="s">
        <v>170</v>
      </c>
      <c r="C486" s="195" t="s">
        <v>169</v>
      </c>
      <c r="D486" s="196" t="s">
        <v>157</v>
      </c>
      <c r="E486" s="196" t="s">
        <v>21</v>
      </c>
      <c r="F486" s="196">
        <v>183</v>
      </c>
      <c r="G486" s="197">
        <v>30964</v>
      </c>
      <c r="H486" s="198">
        <f t="shared" si="22"/>
        <v>36</v>
      </c>
      <c r="I486" s="196">
        <v>2</v>
      </c>
      <c r="J486" s="196" t="str">
        <f t="shared" si="24"/>
        <v>prob gender</v>
      </c>
      <c r="O486" s="62" t="str">
        <f t="shared" si="23"/>
        <v>|||||||||</v>
      </c>
    </row>
    <row r="487" spans="2:15" ht="15" x14ac:dyDescent="0.2">
      <c r="B487" s="195" t="s">
        <v>166</v>
      </c>
      <c r="C487" s="195" t="s">
        <v>165</v>
      </c>
      <c r="D487" s="196" t="s">
        <v>17</v>
      </c>
      <c r="E487" s="196" t="s">
        <v>17</v>
      </c>
      <c r="F487" s="196">
        <v>189</v>
      </c>
      <c r="G487" s="197">
        <v>27188</v>
      </c>
      <c r="H487" s="198">
        <f t="shared" si="22"/>
        <v>46</v>
      </c>
      <c r="I487" s="196">
        <v>1</v>
      </c>
      <c r="J487" s="196" t="str">
        <f t="shared" si="24"/>
        <v>prob langue</v>
      </c>
      <c r="O487" s="62" t="str">
        <f t="shared" si="23"/>
        <v>||||||||</v>
      </c>
    </row>
    <row r="488" spans="2:15" ht="15" x14ac:dyDescent="0.2">
      <c r="B488" s="195" t="s">
        <v>154</v>
      </c>
      <c r="C488" s="195" t="s">
        <v>153</v>
      </c>
      <c r="D488" s="196" t="s">
        <v>17</v>
      </c>
      <c r="E488" s="196" t="s">
        <v>21</v>
      </c>
      <c r="F488" s="196">
        <v>155</v>
      </c>
      <c r="G488" s="197">
        <v>30460</v>
      </c>
      <c r="H488" s="198">
        <f t="shared" si="22"/>
        <v>37</v>
      </c>
      <c r="I488" s="196">
        <v>3</v>
      </c>
      <c r="J488" s="196" t="str">
        <f t="shared" si="24"/>
        <v>prob langue</v>
      </c>
      <c r="O488" s="62" t="str">
        <f t="shared" si="23"/>
        <v>||||||||||||||||||||||||</v>
      </c>
    </row>
    <row r="489" spans="2:15" ht="15" x14ac:dyDescent="0.2">
      <c r="B489" s="195" t="s">
        <v>149</v>
      </c>
      <c r="C489" s="195" t="s">
        <v>148</v>
      </c>
      <c r="D489" s="196" t="s">
        <v>17</v>
      </c>
      <c r="E489" s="196" t="s">
        <v>17</v>
      </c>
      <c r="F489" s="196">
        <v>185</v>
      </c>
      <c r="G489" s="197">
        <v>28358</v>
      </c>
      <c r="H489" s="198">
        <f t="shared" si="22"/>
        <v>43</v>
      </c>
      <c r="I489" s="196">
        <v>1</v>
      </c>
      <c r="J489" s="196" t="str">
        <f t="shared" si="24"/>
        <v>prob langue</v>
      </c>
      <c r="O489" s="62" t="str">
        <f t="shared" si="23"/>
        <v>|||||||||||||||||||||</v>
      </c>
    </row>
  </sheetData>
  <mergeCells count="3">
    <mergeCell ref="L5:M5"/>
    <mergeCell ref="L11:M11"/>
    <mergeCell ref="L18:M18"/>
  </mergeCells>
  <conditionalFormatting sqref="B6:J489">
    <cfRule type="expression" dxfId="25" priority="1" stopIfTrue="1">
      <formula>$J6="OK"</formula>
    </cfRule>
  </conditionalFormatting>
  <conditionalFormatting sqref="F6:F489">
    <cfRule type="dataBar" priority="2">
      <dataBar>
        <cfvo type="min"/>
        <cfvo type="max"/>
        <color theme="6" tint="0.59999389629810485"/>
      </dataBar>
      <extLst>
        <ext xmlns:x14="http://schemas.microsoft.com/office/spreadsheetml/2009/9/main" uri="{B025F937-C7B1-47D3-B67F-A62EFF666E3E}">
          <x14:id>{C0948EA3-82CB-4E0B-8756-81C2C4E02256}</x14:id>
        </ext>
      </extLst>
    </cfRule>
  </conditionalFormatting>
  <conditionalFormatting sqref="H6:H489">
    <cfRule type="cellIs" dxfId="24" priority="3" operator="greaterThanOrEqual">
      <formula>55</formula>
    </cfRule>
  </conditionalFormatting>
  <dataValidations count="4">
    <dataValidation type="list" allowBlank="1" showInputMessage="1" showErrorMessage="1" sqref="L12" xr:uid="{D42F40A1-9865-4BB7-923B-ED48EAE38DCE}">
      <formula1>"F,N,E"</formula1>
    </dataValidation>
    <dataValidation type="list" allowBlank="1" showInputMessage="1" showErrorMessage="1" sqref="L13" xr:uid="{E0B933C8-728A-4C09-AE36-3810CD5584F1}">
      <formula1>"M,F,"</formula1>
    </dataValidation>
    <dataValidation type="whole" errorStyle="warning" allowBlank="1" showInputMessage="1" showErrorMessage="1" errorTitle="Attn" error="Vérifiez votre date, il nous semble erroné" sqref="L14" xr:uid="{F18FC11D-2338-405A-B70B-2B97949E5306}">
      <formula1>130</formula1>
      <formula2>220</formula2>
    </dataValidation>
    <dataValidation type="date" allowBlank="1" showInputMessage="1" showErrorMessage="1" sqref="L16" xr:uid="{5698B632-3CB0-4531-8F0E-0A25D65ED817}">
      <formula1>43831</formula1>
      <formula2>46022</formula2>
    </dataValidation>
  </dataValidations>
  <printOptions horizontalCentered="1"/>
  <pageMargins left="0.25" right="0.25" top="0.75" bottom="0.75" header="0.3" footer="0.3"/>
  <pageSetup paperSize="9" scale="64" orientation="portrait" horizontalDpi="300" verticalDpi="300" r:id="rId1"/>
  <headerFooter alignWithMargins="0">
    <oddHeader>&amp;F</oddHeader>
    <oddFooter>Page &amp;P of &amp;N</oddFooter>
  </headerFooter>
  <colBreaks count="1" manualBreakCount="1">
    <brk id="12"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dataBar" id="{C0948EA3-82CB-4E0B-8756-81C2C4E02256}">
            <x14:dataBar minLength="0" maxLength="100" gradient="0">
              <x14:cfvo type="min"/>
              <x14:cfvo type="max"/>
              <x14:negativeFillColor rgb="FFFF0000"/>
              <x14:axisColor rgb="FF000000"/>
            </x14:dataBar>
          </x14:cfRule>
          <xm:sqref>F6:F489</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B1:J88"/>
  <sheetViews>
    <sheetView showGridLines="0" zoomScaleNormal="100" workbookViewId="0"/>
  </sheetViews>
  <sheetFormatPr defaultColWidth="9" defaultRowHeight="12.75" x14ac:dyDescent="0.2"/>
  <cols>
    <col min="1" max="1" width="15.75" style="4" customWidth="1"/>
    <col min="2" max="2" width="17.25" style="4" customWidth="1"/>
    <col min="3" max="3" width="19" style="4" customWidth="1"/>
    <col min="4" max="4" width="15.75" style="4" customWidth="1"/>
    <col min="5" max="5" width="18.25" style="4" customWidth="1"/>
    <col min="6" max="6" width="17.5" style="4" customWidth="1"/>
    <col min="7" max="7" width="16" style="4" customWidth="1"/>
    <col min="8" max="8" width="14" style="4" customWidth="1"/>
    <col min="9" max="9" width="15.375" style="4" customWidth="1"/>
    <col min="10" max="10" width="15.875" style="4" bestFit="1" customWidth="1"/>
    <col min="11" max="16384" width="9" style="4"/>
  </cols>
  <sheetData>
    <row r="1" spans="2:10" ht="38.25" customHeight="1" x14ac:dyDescent="0.2"/>
    <row r="2" spans="2:10" x14ac:dyDescent="0.2">
      <c r="B2" s="277" t="s">
        <v>8488</v>
      </c>
      <c r="C2" s="238" t="s">
        <v>8487</v>
      </c>
    </row>
    <row r="3" spans="2:10" x14ac:dyDescent="0.2">
      <c r="B3" s="277"/>
      <c r="C3" s="238" t="s">
        <v>8489</v>
      </c>
    </row>
    <row r="4" spans="2:10" x14ac:dyDescent="0.2">
      <c r="B4" s="277"/>
      <c r="C4" s="238" t="s">
        <v>8490</v>
      </c>
    </row>
    <row r="5" spans="2:10" x14ac:dyDescent="0.2">
      <c r="B5" s="277"/>
      <c r="C5" s="238" t="s">
        <v>8491</v>
      </c>
    </row>
    <row r="6" spans="2:10" ht="17.25" customHeight="1" x14ac:dyDescent="0.2"/>
    <row r="7" spans="2:10" ht="30" customHeight="1" x14ac:dyDescent="0.2">
      <c r="B7" s="278" t="s">
        <v>2457</v>
      </c>
      <c r="C7" s="278" t="s">
        <v>2458</v>
      </c>
      <c r="D7" s="278" t="s">
        <v>2459</v>
      </c>
      <c r="E7" s="278" t="s">
        <v>2460</v>
      </c>
      <c r="F7" s="278" t="s">
        <v>2461</v>
      </c>
      <c r="G7" s="278" t="s">
        <v>2462</v>
      </c>
      <c r="H7" s="278" t="s">
        <v>2463</v>
      </c>
      <c r="I7" s="278" t="s">
        <v>2464</v>
      </c>
      <c r="J7" s="278" t="s">
        <v>2465</v>
      </c>
    </row>
    <row r="8" spans="2:10" ht="21.75" x14ac:dyDescent="0.2">
      <c r="B8" s="279" t="s">
        <v>2466</v>
      </c>
      <c r="C8" s="280" t="s">
        <v>2467</v>
      </c>
      <c r="D8" s="280" t="s">
        <v>2468</v>
      </c>
      <c r="E8" s="280" t="s">
        <v>2469</v>
      </c>
      <c r="F8" s="280" t="s">
        <v>2470</v>
      </c>
      <c r="G8" s="280" t="s">
        <v>2471</v>
      </c>
      <c r="H8" s="280" t="s">
        <v>2472</v>
      </c>
      <c r="I8" s="280" t="s">
        <v>2473</v>
      </c>
      <c r="J8" s="280" t="s">
        <v>2471</v>
      </c>
    </row>
    <row r="9" spans="2:10" ht="21.75" x14ac:dyDescent="0.2">
      <c r="B9" s="279" t="s">
        <v>2474</v>
      </c>
      <c r="C9" s="280" t="s">
        <v>2475</v>
      </c>
      <c r="D9" s="280" t="s">
        <v>2476</v>
      </c>
      <c r="E9" s="280" t="s">
        <v>2477</v>
      </c>
      <c r="F9" s="280" t="s">
        <v>2478</v>
      </c>
      <c r="G9" s="280" t="s">
        <v>2471</v>
      </c>
      <c r="H9" s="280" t="s">
        <v>2479</v>
      </c>
      <c r="I9" s="280" t="s">
        <v>2480</v>
      </c>
      <c r="J9" s="280" t="s">
        <v>2481</v>
      </c>
    </row>
    <row r="10" spans="2:10" x14ac:dyDescent="0.2">
      <c r="B10" s="279" t="s">
        <v>2482</v>
      </c>
      <c r="C10" s="280" t="s">
        <v>2483</v>
      </c>
      <c r="D10" s="280" t="s">
        <v>2484</v>
      </c>
      <c r="E10" s="280" t="s">
        <v>2485</v>
      </c>
      <c r="F10" s="280"/>
      <c r="G10" s="280" t="s">
        <v>2486</v>
      </c>
      <c r="H10" s="280" t="s">
        <v>2471</v>
      </c>
      <c r="I10" s="280" t="s">
        <v>2487</v>
      </c>
      <c r="J10" s="280" t="s">
        <v>2471</v>
      </c>
    </row>
    <row r="11" spans="2:10" ht="21.75" x14ac:dyDescent="0.2">
      <c r="B11" s="279" t="s">
        <v>2488</v>
      </c>
      <c r="C11" s="280" t="s">
        <v>8486</v>
      </c>
      <c r="D11" s="280" t="s">
        <v>2490</v>
      </c>
      <c r="E11" s="280" t="s">
        <v>2491</v>
      </c>
      <c r="F11" s="280" t="s">
        <v>2492</v>
      </c>
      <c r="G11" s="280" t="s">
        <v>2493</v>
      </c>
      <c r="H11" s="280" t="s">
        <v>2492</v>
      </c>
      <c r="I11" s="280" t="s">
        <v>2492</v>
      </c>
      <c r="J11" s="280" t="s">
        <v>2492</v>
      </c>
    </row>
    <row r="12" spans="2:10" ht="21.75" x14ac:dyDescent="0.2">
      <c r="B12" s="279" t="s">
        <v>2494</v>
      </c>
      <c r="C12" s="280" t="s">
        <v>2495</v>
      </c>
      <c r="D12" s="280" t="s">
        <v>2496</v>
      </c>
      <c r="E12" s="280" t="s">
        <v>2497</v>
      </c>
      <c r="F12" s="280" t="s">
        <v>2498</v>
      </c>
      <c r="G12" s="280" t="s">
        <v>2471</v>
      </c>
      <c r="H12" s="280" t="s">
        <v>2471</v>
      </c>
      <c r="I12" s="280" t="s">
        <v>2499</v>
      </c>
      <c r="J12" s="280" t="s">
        <v>2471</v>
      </c>
    </row>
    <row r="13" spans="2:10" ht="21.75" x14ac:dyDescent="0.2">
      <c r="B13" s="279" t="s">
        <v>2500</v>
      </c>
      <c r="C13" s="280" t="s">
        <v>2501</v>
      </c>
      <c r="D13" s="280" t="s">
        <v>2502</v>
      </c>
      <c r="E13" s="280" t="s">
        <v>2503</v>
      </c>
      <c r="F13" s="280" t="s">
        <v>2504</v>
      </c>
      <c r="G13" s="280" t="s">
        <v>2505</v>
      </c>
      <c r="H13" s="280" t="s">
        <v>2471</v>
      </c>
      <c r="I13" s="280" t="s">
        <v>2471</v>
      </c>
      <c r="J13" s="280" t="s">
        <v>2471</v>
      </c>
    </row>
    <row r="14" spans="2:10" x14ac:dyDescent="0.2">
      <c r="B14" s="279" t="s">
        <v>2506</v>
      </c>
      <c r="C14" s="280" t="s">
        <v>2507</v>
      </c>
      <c r="D14" s="280" t="s">
        <v>2471</v>
      </c>
      <c r="E14" s="280" t="s">
        <v>2508</v>
      </c>
      <c r="F14" s="280" t="s">
        <v>2471</v>
      </c>
      <c r="G14" s="280" t="s">
        <v>2471</v>
      </c>
      <c r="H14" s="280" t="s">
        <v>2471</v>
      </c>
      <c r="I14" s="280"/>
      <c r="J14" s="280" t="s">
        <v>2471</v>
      </c>
    </row>
    <row r="15" spans="2:10" ht="21.75" x14ac:dyDescent="0.2">
      <c r="B15" s="279" t="s">
        <v>2509</v>
      </c>
      <c r="C15" s="280" t="s">
        <v>2510</v>
      </c>
      <c r="D15" s="280" t="s">
        <v>2511</v>
      </c>
      <c r="E15" s="280" t="s">
        <v>2512</v>
      </c>
      <c r="F15" s="280" t="s">
        <v>2513</v>
      </c>
      <c r="G15" s="280" t="s">
        <v>2471</v>
      </c>
      <c r="H15" s="280" t="s">
        <v>2471</v>
      </c>
      <c r="I15" s="280" t="s">
        <v>2471</v>
      </c>
      <c r="J15" s="280" t="s">
        <v>2471</v>
      </c>
    </row>
    <row r="16" spans="2:10" x14ac:dyDescent="0.2">
      <c r="B16" s="279" t="s">
        <v>2514</v>
      </c>
      <c r="C16" s="280" t="s">
        <v>2515</v>
      </c>
      <c r="D16" s="280" t="s">
        <v>2516</v>
      </c>
      <c r="E16" s="280" t="s">
        <v>2517</v>
      </c>
      <c r="F16" s="280" t="s">
        <v>2471</v>
      </c>
      <c r="G16" s="280" t="s">
        <v>2471</v>
      </c>
      <c r="H16" s="280" t="s">
        <v>2471</v>
      </c>
      <c r="I16" s="280" t="s">
        <v>2518</v>
      </c>
      <c r="J16" s="280" t="s">
        <v>2519</v>
      </c>
    </row>
    <row r="17" spans="2:10" ht="21.75" x14ac:dyDescent="0.2">
      <c r="B17" s="279" t="s">
        <v>2520</v>
      </c>
      <c r="C17" s="280" t="s">
        <v>2521</v>
      </c>
      <c r="D17" s="280" t="s">
        <v>2522</v>
      </c>
      <c r="E17" s="280" t="s">
        <v>2523</v>
      </c>
      <c r="F17" s="280" t="s">
        <v>2471</v>
      </c>
      <c r="G17" s="280" t="s">
        <v>2471</v>
      </c>
      <c r="H17" s="280" t="s">
        <v>2524</v>
      </c>
      <c r="I17" s="280" t="s">
        <v>2471</v>
      </c>
      <c r="J17" s="280" t="s">
        <v>2471</v>
      </c>
    </row>
    <row r="18" spans="2:10" ht="21.75" x14ac:dyDescent="0.2">
      <c r="B18" s="279" t="s">
        <v>2525</v>
      </c>
      <c r="C18" s="280" t="s">
        <v>2526</v>
      </c>
      <c r="D18" s="280" t="s">
        <v>2527</v>
      </c>
      <c r="E18" s="280" t="s">
        <v>2528</v>
      </c>
      <c r="F18" s="280" t="s">
        <v>2529</v>
      </c>
      <c r="G18" s="280" t="s">
        <v>2471</v>
      </c>
      <c r="H18" s="280" t="s">
        <v>2530</v>
      </c>
      <c r="I18" s="280" t="s">
        <v>2471</v>
      </c>
      <c r="J18" s="280" t="s">
        <v>2471</v>
      </c>
    </row>
    <row r="19" spans="2:10" x14ac:dyDescent="0.2">
      <c r="B19" s="279" t="s">
        <v>2531</v>
      </c>
      <c r="C19" s="280" t="s">
        <v>2478</v>
      </c>
      <c r="D19" s="280" t="s">
        <v>2479</v>
      </c>
      <c r="E19" s="280" t="s">
        <v>2480</v>
      </c>
      <c r="F19" s="280" t="s">
        <v>2471</v>
      </c>
      <c r="G19" s="280" t="s">
        <v>2481</v>
      </c>
      <c r="H19" s="280" t="s">
        <v>2471</v>
      </c>
      <c r="I19" s="280" t="s">
        <v>2532</v>
      </c>
      <c r="J19" s="280" t="s">
        <v>2471</v>
      </c>
    </row>
    <row r="20" spans="2:10" x14ac:dyDescent="0.2">
      <c r="B20" s="279" t="s">
        <v>2533</v>
      </c>
      <c r="C20" s="280" t="s">
        <v>2471</v>
      </c>
      <c r="D20" s="280" t="s">
        <v>2471</v>
      </c>
      <c r="E20" s="280" t="s">
        <v>2534</v>
      </c>
      <c r="F20" s="280" t="s">
        <v>2471</v>
      </c>
      <c r="G20" s="280" t="s">
        <v>2471</v>
      </c>
      <c r="H20" s="280" t="s">
        <v>2471</v>
      </c>
      <c r="I20" s="280" t="s">
        <v>2471</v>
      </c>
      <c r="J20" s="280" t="s">
        <v>2471</v>
      </c>
    </row>
    <row r="21" spans="2:10" ht="21.75" x14ac:dyDescent="0.2">
      <c r="B21" s="279" t="s">
        <v>2535</v>
      </c>
      <c r="C21" s="280" t="s">
        <v>2536</v>
      </c>
      <c r="D21" s="280" t="s">
        <v>2537</v>
      </c>
      <c r="E21" s="280" t="s">
        <v>2538</v>
      </c>
      <c r="F21" s="280" t="s">
        <v>2539</v>
      </c>
      <c r="G21" s="280" t="s">
        <v>2471</v>
      </c>
      <c r="H21" s="280" t="s">
        <v>2471</v>
      </c>
      <c r="I21" s="280" t="s">
        <v>2471</v>
      </c>
      <c r="J21" s="280" t="s">
        <v>2471</v>
      </c>
    </row>
    <row r="22" spans="2:10" ht="32.25" x14ac:dyDescent="0.2">
      <c r="B22" s="279" t="s">
        <v>2540</v>
      </c>
      <c r="C22" s="280" t="s">
        <v>2471</v>
      </c>
      <c r="D22" s="280" t="s">
        <v>2471</v>
      </c>
      <c r="E22" s="280" t="s">
        <v>2541</v>
      </c>
      <c r="F22" s="280" t="s">
        <v>2471</v>
      </c>
      <c r="G22" s="280" t="s">
        <v>2471</v>
      </c>
      <c r="H22" s="280" t="s">
        <v>2471</v>
      </c>
      <c r="I22" s="280" t="s">
        <v>2471</v>
      </c>
      <c r="J22" s="280" t="s">
        <v>2471</v>
      </c>
    </row>
    <row r="23" spans="2:10" x14ac:dyDescent="0.2">
      <c r="B23" s="279" t="s">
        <v>2542</v>
      </c>
      <c r="C23" s="280" t="s">
        <v>2543</v>
      </c>
      <c r="D23" s="280" t="s">
        <v>2544</v>
      </c>
      <c r="E23" s="280" t="s">
        <v>2543</v>
      </c>
      <c r="F23" s="280" t="s">
        <v>2471</v>
      </c>
      <c r="G23" s="280" t="s">
        <v>2471</v>
      </c>
      <c r="H23" s="280" t="s">
        <v>2471</v>
      </c>
      <c r="I23" s="280" t="s">
        <v>2471</v>
      </c>
      <c r="J23" s="280" t="s">
        <v>2471</v>
      </c>
    </row>
    <row r="24" spans="2:10" x14ac:dyDescent="0.2">
      <c r="B24" s="279" t="s">
        <v>2545</v>
      </c>
      <c r="C24" s="280" t="s">
        <v>2471</v>
      </c>
      <c r="D24" s="280" t="s">
        <v>2471</v>
      </c>
      <c r="E24" s="280" t="s">
        <v>2546</v>
      </c>
      <c r="F24" s="280" t="s">
        <v>2471</v>
      </c>
      <c r="G24" s="280" t="s">
        <v>2471</v>
      </c>
      <c r="H24" s="280" t="s">
        <v>2471</v>
      </c>
      <c r="I24" s="280" t="s">
        <v>2471</v>
      </c>
      <c r="J24" s="280" t="s">
        <v>2471</v>
      </c>
    </row>
    <row r="25" spans="2:10" ht="32.25" x14ac:dyDescent="0.2">
      <c r="B25" s="279" t="s">
        <v>2547</v>
      </c>
      <c r="C25" s="280" t="s">
        <v>2548</v>
      </c>
      <c r="D25" s="280" t="s">
        <v>2549</v>
      </c>
      <c r="E25" s="280" t="s">
        <v>2550</v>
      </c>
      <c r="F25" s="280" t="s">
        <v>2551</v>
      </c>
      <c r="G25" s="280" t="s">
        <v>2552</v>
      </c>
      <c r="H25" s="280" t="s">
        <v>2471</v>
      </c>
      <c r="I25" s="280" t="s">
        <v>2471</v>
      </c>
      <c r="J25" s="280" t="s">
        <v>2471</v>
      </c>
    </row>
    <row r="26" spans="2:10" ht="42.75" x14ac:dyDescent="0.2">
      <c r="B26" s="279" t="s">
        <v>2553</v>
      </c>
      <c r="C26" s="280" t="s">
        <v>2554</v>
      </c>
      <c r="D26" s="280" t="s">
        <v>2555</v>
      </c>
      <c r="E26" s="280" t="s">
        <v>2556</v>
      </c>
      <c r="F26" s="280" t="s">
        <v>2471</v>
      </c>
      <c r="G26" s="280" t="s">
        <v>2557</v>
      </c>
      <c r="H26" s="280" t="s">
        <v>2471</v>
      </c>
      <c r="I26" s="280" t="s">
        <v>2471</v>
      </c>
      <c r="J26" s="280" t="s">
        <v>2471</v>
      </c>
    </row>
    <row r="27" spans="2:10" ht="42.75" x14ac:dyDescent="0.2">
      <c r="B27" s="279" t="s">
        <v>2558</v>
      </c>
      <c r="C27" s="280" t="s">
        <v>2559</v>
      </c>
      <c r="D27" s="280" t="s">
        <v>2559</v>
      </c>
      <c r="E27" s="280" t="s">
        <v>2560</v>
      </c>
      <c r="F27" s="280" t="s">
        <v>2471</v>
      </c>
      <c r="G27" s="280" t="s">
        <v>2561</v>
      </c>
      <c r="H27" s="280" t="s">
        <v>2471</v>
      </c>
      <c r="I27" s="280" t="s">
        <v>2471</v>
      </c>
      <c r="J27" s="280" t="s">
        <v>2471</v>
      </c>
    </row>
    <row r="28" spans="2:10" ht="32.25" x14ac:dyDescent="0.2">
      <c r="B28" s="279" t="s">
        <v>2562</v>
      </c>
      <c r="C28" s="280" t="s">
        <v>2563</v>
      </c>
      <c r="D28" s="280" t="s">
        <v>2564</v>
      </c>
      <c r="E28" s="280" t="s">
        <v>2565</v>
      </c>
      <c r="F28" s="280" t="s">
        <v>2489</v>
      </c>
      <c r="G28" s="280" t="s">
        <v>2565</v>
      </c>
      <c r="H28" s="280" t="s">
        <v>2471</v>
      </c>
      <c r="I28" s="280" t="s">
        <v>2471</v>
      </c>
      <c r="J28" s="280" t="s">
        <v>2471</v>
      </c>
    </row>
    <row r="29" spans="2:10" x14ac:dyDescent="0.2">
      <c r="B29" s="279" t="s">
        <v>2467</v>
      </c>
      <c r="C29" s="280" t="s">
        <v>2467</v>
      </c>
      <c r="D29" s="280" t="s">
        <v>2468</v>
      </c>
      <c r="E29" s="280" t="s">
        <v>2471</v>
      </c>
      <c r="F29" s="280" t="s">
        <v>2471</v>
      </c>
      <c r="G29" s="280" t="s">
        <v>2471</v>
      </c>
      <c r="H29" s="280" t="s">
        <v>2471</v>
      </c>
      <c r="I29" s="280" t="s">
        <v>2471</v>
      </c>
      <c r="J29" s="280" t="s">
        <v>2471</v>
      </c>
    </row>
    <row r="30" spans="2:10" ht="32.25" x14ac:dyDescent="0.2">
      <c r="B30" s="279" t="s">
        <v>10</v>
      </c>
      <c r="C30" s="280" t="s">
        <v>2566</v>
      </c>
      <c r="D30" s="280" t="s">
        <v>2567</v>
      </c>
      <c r="E30" s="280" t="s">
        <v>2568</v>
      </c>
      <c r="F30" s="280" t="s">
        <v>2471</v>
      </c>
      <c r="G30" s="280" t="s">
        <v>2569</v>
      </c>
      <c r="H30" s="280" t="s">
        <v>2471</v>
      </c>
      <c r="I30" s="280" t="s">
        <v>2471</v>
      </c>
      <c r="J30" s="280" t="s">
        <v>2471</v>
      </c>
    </row>
    <row r="31" spans="2:10" ht="21.75" x14ac:dyDescent="0.2">
      <c r="B31" s="279" t="s">
        <v>2570</v>
      </c>
      <c r="C31" s="280" t="s">
        <v>2571</v>
      </c>
      <c r="D31" s="280" t="s">
        <v>2572</v>
      </c>
      <c r="E31" s="280" t="s">
        <v>2573</v>
      </c>
      <c r="F31" s="280" t="s">
        <v>2471</v>
      </c>
      <c r="G31" s="280" t="s">
        <v>2471</v>
      </c>
      <c r="H31" s="280" t="s">
        <v>2471</v>
      </c>
      <c r="I31" s="280" t="s">
        <v>2471</v>
      </c>
      <c r="J31" s="280" t="s">
        <v>2471</v>
      </c>
    </row>
    <row r="32" spans="2:10" ht="42.75" x14ac:dyDescent="0.2">
      <c r="B32" s="279" t="s">
        <v>2574</v>
      </c>
      <c r="C32" s="280" t="s">
        <v>2575</v>
      </c>
      <c r="D32" s="280" t="s">
        <v>2576</v>
      </c>
      <c r="E32" s="280" t="s">
        <v>2577</v>
      </c>
      <c r="F32" s="280" t="s">
        <v>2578</v>
      </c>
      <c r="G32" s="280" t="s">
        <v>2579</v>
      </c>
      <c r="H32" s="280" t="s">
        <v>2580</v>
      </c>
      <c r="I32" s="280" t="s">
        <v>2581</v>
      </c>
      <c r="J32" s="280" t="s">
        <v>2471</v>
      </c>
    </row>
    <row r="33" spans="2:10" x14ac:dyDescent="0.2">
      <c r="B33" s="279" t="s">
        <v>2582</v>
      </c>
      <c r="C33" s="280" t="s">
        <v>2471</v>
      </c>
      <c r="D33" s="280" t="s">
        <v>2471</v>
      </c>
      <c r="E33" s="280" t="s">
        <v>2583</v>
      </c>
      <c r="F33" s="280" t="s">
        <v>2471</v>
      </c>
      <c r="G33" s="280" t="s">
        <v>2471</v>
      </c>
      <c r="H33" s="280" t="s">
        <v>2471</v>
      </c>
      <c r="I33" s="280" t="s">
        <v>2471</v>
      </c>
      <c r="J33" s="280" t="s">
        <v>2471</v>
      </c>
    </row>
    <row r="34" spans="2:10" ht="21.75" x14ac:dyDescent="0.2">
      <c r="B34" s="279" t="s">
        <v>2584</v>
      </c>
      <c r="C34" s="280" t="s">
        <v>2585</v>
      </c>
      <c r="D34" s="280" t="s">
        <v>2586</v>
      </c>
      <c r="E34" s="280" t="s">
        <v>2587</v>
      </c>
      <c r="F34" s="280" t="s">
        <v>2588</v>
      </c>
      <c r="G34" s="280" t="s">
        <v>2589</v>
      </c>
      <c r="H34" s="280" t="s">
        <v>2590</v>
      </c>
      <c r="I34" s="280" t="s">
        <v>2471</v>
      </c>
      <c r="J34" s="280" t="s">
        <v>2471</v>
      </c>
    </row>
    <row r="35" spans="2:10" ht="21.75" x14ac:dyDescent="0.2">
      <c r="B35" s="279" t="s">
        <v>2591</v>
      </c>
      <c r="C35" s="280" t="s">
        <v>2592</v>
      </c>
      <c r="D35" s="280" t="s">
        <v>2593</v>
      </c>
      <c r="E35" s="280" t="s">
        <v>2594</v>
      </c>
      <c r="F35" s="280" t="s">
        <v>2595</v>
      </c>
      <c r="G35" s="280" t="s">
        <v>2596</v>
      </c>
      <c r="H35" s="280" t="s">
        <v>2597</v>
      </c>
      <c r="I35" s="280" t="s">
        <v>2471</v>
      </c>
      <c r="J35" s="280" t="s">
        <v>2471</v>
      </c>
    </row>
    <row r="36" spans="2:10" ht="32.25" x14ac:dyDescent="0.2">
      <c r="B36" s="279" t="s">
        <v>2598</v>
      </c>
      <c r="C36" s="280" t="s">
        <v>2563</v>
      </c>
      <c r="D36" s="280" t="s">
        <v>2564</v>
      </c>
      <c r="E36" s="280" t="s">
        <v>2565</v>
      </c>
      <c r="F36" s="280" t="s">
        <v>2489</v>
      </c>
      <c r="G36" s="280" t="s">
        <v>2565</v>
      </c>
      <c r="H36" s="280" t="s">
        <v>2471</v>
      </c>
      <c r="I36" s="280" t="s">
        <v>2471</v>
      </c>
      <c r="J36" s="280" t="s">
        <v>2471</v>
      </c>
    </row>
    <row r="37" spans="2:10" ht="42.75" x14ac:dyDescent="0.2">
      <c r="B37" s="279" t="s">
        <v>2599</v>
      </c>
      <c r="C37" s="280" t="s">
        <v>2600</v>
      </c>
      <c r="D37" s="280" t="s">
        <v>2601</v>
      </c>
      <c r="E37" s="280" t="s">
        <v>2602</v>
      </c>
      <c r="F37" s="280" t="s">
        <v>2603</v>
      </c>
      <c r="G37" s="280" t="s">
        <v>2604</v>
      </c>
      <c r="H37" s="280" t="s">
        <v>2605</v>
      </c>
      <c r="I37" s="280" t="s">
        <v>2606</v>
      </c>
      <c r="J37" s="280" t="s">
        <v>2471</v>
      </c>
    </row>
    <row r="38" spans="2:10" x14ac:dyDescent="0.2">
      <c r="B38" s="279" t="s">
        <v>2607</v>
      </c>
      <c r="C38" s="280" t="s">
        <v>2471</v>
      </c>
      <c r="D38" s="280" t="s">
        <v>2608</v>
      </c>
      <c r="E38" s="280" t="s">
        <v>2609</v>
      </c>
      <c r="F38" s="280" t="s">
        <v>2471</v>
      </c>
      <c r="G38" s="280" t="s">
        <v>2610</v>
      </c>
      <c r="H38" s="280" t="s">
        <v>2471</v>
      </c>
      <c r="I38" s="280" t="s">
        <v>2471</v>
      </c>
      <c r="J38" s="280" t="s">
        <v>2471</v>
      </c>
    </row>
    <row r="39" spans="2:10" ht="21.75" x14ac:dyDescent="0.2">
      <c r="B39" s="279" t="s">
        <v>2611</v>
      </c>
      <c r="C39" s="280" t="s">
        <v>2510</v>
      </c>
      <c r="D39" s="280" t="s">
        <v>2511</v>
      </c>
      <c r="E39" s="280" t="s">
        <v>2612</v>
      </c>
      <c r="F39" s="280" t="s">
        <v>2471</v>
      </c>
      <c r="G39" s="280" t="s">
        <v>2471</v>
      </c>
      <c r="H39" s="280" t="s">
        <v>2471</v>
      </c>
      <c r="I39" s="280" t="s">
        <v>2471</v>
      </c>
      <c r="J39" s="280" t="s">
        <v>2471</v>
      </c>
    </row>
    <row r="40" spans="2:10" x14ac:dyDescent="0.2">
      <c r="B40" s="279" t="s">
        <v>2613</v>
      </c>
      <c r="C40" s="280" t="s">
        <v>2613</v>
      </c>
      <c r="D40" s="280" t="s">
        <v>2614</v>
      </c>
      <c r="E40" s="280" t="s">
        <v>2503</v>
      </c>
      <c r="F40" s="280" t="s">
        <v>2615</v>
      </c>
      <c r="G40" s="280" t="s">
        <v>2505</v>
      </c>
      <c r="H40" s="280" t="s">
        <v>2471</v>
      </c>
      <c r="I40" s="280" t="s">
        <v>2616</v>
      </c>
      <c r="J40" s="280" t="s">
        <v>2617</v>
      </c>
    </row>
    <row r="41" spans="2:10" ht="21.75" x14ac:dyDescent="0.2">
      <c r="B41" s="279" t="s">
        <v>2618</v>
      </c>
      <c r="C41" s="280" t="s">
        <v>2619</v>
      </c>
      <c r="D41" s="280" t="s">
        <v>2620</v>
      </c>
      <c r="E41" s="280" t="s">
        <v>2621</v>
      </c>
      <c r="F41" s="280" t="s">
        <v>2622</v>
      </c>
      <c r="G41" s="280" t="s">
        <v>2623</v>
      </c>
      <c r="H41" s="280"/>
      <c r="I41" s="280" t="s">
        <v>2471</v>
      </c>
      <c r="J41" s="280" t="s">
        <v>2471</v>
      </c>
    </row>
    <row r="42" spans="2:10" x14ac:dyDescent="0.2">
      <c r="B42" s="279">
        <v>0</v>
      </c>
      <c r="C42" s="280"/>
      <c r="D42" s="280"/>
      <c r="E42" s="280" t="s">
        <v>2624</v>
      </c>
      <c r="F42" s="280" t="s">
        <v>2471</v>
      </c>
      <c r="G42" s="280" t="s">
        <v>2625</v>
      </c>
      <c r="H42" s="280" t="s">
        <v>2471</v>
      </c>
      <c r="I42" s="280" t="s">
        <v>2471</v>
      </c>
      <c r="J42" s="280" t="s">
        <v>2471</v>
      </c>
    </row>
    <row r="43" spans="2:10" ht="21.75" x14ac:dyDescent="0.2">
      <c r="B43" s="279">
        <v>1</v>
      </c>
      <c r="C43" s="280"/>
      <c r="D43" s="280"/>
      <c r="E43" s="280" t="s">
        <v>2626</v>
      </c>
      <c r="F43" s="280" t="s">
        <v>2471</v>
      </c>
      <c r="G43" s="280" t="s">
        <v>2627</v>
      </c>
      <c r="H43" s="280" t="s">
        <v>2471</v>
      </c>
      <c r="I43" s="280" t="s">
        <v>2471</v>
      </c>
      <c r="J43" s="280" t="s">
        <v>2471</v>
      </c>
    </row>
    <row r="44" spans="2:10" ht="21.75" x14ac:dyDescent="0.2">
      <c r="B44" s="279">
        <v>2</v>
      </c>
      <c r="C44" s="280"/>
      <c r="D44" s="280"/>
      <c r="E44" s="280" t="s">
        <v>2628</v>
      </c>
      <c r="F44" s="280" t="s">
        <v>2471</v>
      </c>
      <c r="G44" s="280" t="s">
        <v>2629</v>
      </c>
      <c r="H44" s="280" t="s">
        <v>2471</v>
      </c>
      <c r="I44" s="280" t="s">
        <v>2471</v>
      </c>
      <c r="J44" s="280" t="s">
        <v>2471</v>
      </c>
    </row>
    <row r="45" spans="2:10" x14ac:dyDescent="0.2">
      <c r="B45" s="279">
        <v>3</v>
      </c>
      <c r="C45" s="280"/>
      <c r="D45" s="280"/>
      <c r="E45" s="280" t="s">
        <v>2630</v>
      </c>
      <c r="F45" s="280" t="s">
        <v>2471</v>
      </c>
      <c r="G45" s="280" t="s">
        <v>2631</v>
      </c>
      <c r="H45" s="280" t="s">
        <v>2471</v>
      </c>
      <c r="I45" s="280" t="s">
        <v>2471</v>
      </c>
      <c r="J45" s="280" t="s">
        <v>2471</v>
      </c>
    </row>
    <row r="46" spans="2:10" x14ac:dyDescent="0.2">
      <c r="B46" s="279">
        <v>4</v>
      </c>
      <c r="C46" s="280"/>
      <c r="D46" s="280"/>
      <c r="E46" s="280" t="s">
        <v>2632</v>
      </c>
      <c r="F46" s="280" t="s">
        <v>2471</v>
      </c>
      <c r="G46" s="280" t="s">
        <v>2633</v>
      </c>
      <c r="H46" s="280" t="s">
        <v>2471</v>
      </c>
      <c r="I46" s="280" t="s">
        <v>2471</v>
      </c>
      <c r="J46" s="280" t="s">
        <v>2471</v>
      </c>
    </row>
    <row r="47" spans="2:10" x14ac:dyDescent="0.2">
      <c r="B47" s="279">
        <v>5</v>
      </c>
      <c r="C47" s="280"/>
      <c r="D47" s="280"/>
      <c r="E47" s="280" t="s">
        <v>2634</v>
      </c>
      <c r="F47" s="280" t="s">
        <v>2471</v>
      </c>
      <c r="G47" s="280" t="s">
        <v>2635</v>
      </c>
      <c r="H47" s="280" t="s">
        <v>2471</v>
      </c>
      <c r="I47" s="280" t="s">
        <v>2471</v>
      </c>
      <c r="J47" s="280" t="s">
        <v>2471</v>
      </c>
    </row>
    <row r="48" spans="2:10" ht="32.25" x14ac:dyDescent="0.2">
      <c r="B48" s="279">
        <v>6</v>
      </c>
      <c r="C48" s="280"/>
      <c r="D48" s="280"/>
      <c r="E48" s="280" t="s">
        <v>2636</v>
      </c>
      <c r="F48" s="280" t="s">
        <v>2471</v>
      </c>
      <c r="G48" s="280" t="s">
        <v>2637</v>
      </c>
      <c r="H48" s="280" t="s">
        <v>2471</v>
      </c>
      <c r="I48" s="280" t="s">
        <v>2471</v>
      </c>
      <c r="J48" s="280" t="s">
        <v>2471</v>
      </c>
    </row>
    <row r="49" spans="2:10" ht="21.75" x14ac:dyDescent="0.2">
      <c r="B49" s="279">
        <v>7</v>
      </c>
      <c r="C49" s="280"/>
      <c r="D49" s="280"/>
      <c r="E49" s="280" t="s">
        <v>2638</v>
      </c>
      <c r="F49" s="280" t="s">
        <v>2471</v>
      </c>
      <c r="G49" s="280" t="s">
        <v>2639</v>
      </c>
      <c r="H49" s="280" t="s">
        <v>2471</v>
      </c>
      <c r="I49" s="280" t="s">
        <v>2471</v>
      </c>
      <c r="J49" s="280" t="s">
        <v>2471</v>
      </c>
    </row>
    <row r="50" spans="2:10" ht="21.75" x14ac:dyDescent="0.2">
      <c r="B50" s="279">
        <v>8</v>
      </c>
      <c r="C50" s="280"/>
      <c r="D50" s="280"/>
      <c r="E50" s="280" t="s">
        <v>2640</v>
      </c>
      <c r="F50" s="280" t="s">
        <v>2471</v>
      </c>
      <c r="G50" s="280" t="s">
        <v>2583</v>
      </c>
      <c r="H50" s="280" t="s">
        <v>2471</v>
      </c>
      <c r="I50" s="280" t="s">
        <v>2471</v>
      </c>
      <c r="J50" s="280" t="s">
        <v>2471</v>
      </c>
    </row>
    <row r="51" spans="2:10" x14ac:dyDescent="0.2">
      <c r="B51" s="279">
        <v>9</v>
      </c>
      <c r="C51" s="280"/>
      <c r="D51" s="280"/>
      <c r="E51" s="280" t="s">
        <v>2641</v>
      </c>
      <c r="F51" s="280" t="s">
        <v>2471</v>
      </c>
      <c r="G51" s="280" t="s">
        <v>2642</v>
      </c>
      <c r="H51" s="280" t="s">
        <v>2471</v>
      </c>
      <c r="I51" s="280" t="s">
        <v>2471</v>
      </c>
      <c r="J51" s="280" t="s">
        <v>2471</v>
      </c>
    </row>
    <row r="52" spans="2:10" ht="21.75" x14ac:dyDescent="0.2">
      <c r="B52" s="279" t="s">
        <v>2643</v>
      </c>
      <c r="C52" s="280"/>
      <c r="D52" s="280"/>
      <c r="E52" s="280" t="s">
        <v>2644</v>
      </c>
      <c r="F52" s="280" t="s">
        <v>2645</v>
      </c>
      <c r="G52" s="280" t="s">
        <v>2644</v>
      </c>
      <c r="H52" s="280" t="s">
        <v>2471</v>
      </c>
      <c r="I52" s="280" t="s">
        <v>2471</v>
      </c>
      <c r="J52" s="280" t="s">
        <v>2471</v>
      </c>
    </row>
    <row r="53" spans="2:10" x14ac:dyDescent="0.2">
      <c r="B53" s="279" t="s">
        <v>2646</v>
      </c>
      <c r="C53" s="280"/>
      <c r="D53" s="280"/>
      <c r="E53" s="280" t="s">
        <v>2612</v>
      </c>
      <c r="F53" s="280" t="s">
        <v>2471</v>
      </c>
      <c r="G53" s="280" t="s">
        <v>2647</v>
      </c>
      <c r="H53" s="280" t="s">
        <v>2471</v>
      </c>
      <c r="I53" s="280" t="s">
        <v>2471</v>
      </c>
      <c r="J53" s="280" t="s">
        <v>2471</v>
      </c>
    </row>
    <row r="54" spans="2:10" x14ac:dyDescent="0.2">
      <c r="B54" s="279" t="s">
        <v>2648</v>
      </c>
      <c r="C54" s="280"/>
      <c r="D54" s="280"/>
      <c r="E54" s="280" t="s">
        <v>2649</v>
      </c>
      <c r="F54" s="280" t="s">
        <v>2649</v>
      </c>
      <c r="G54" s="280" t="s">
        <v>2650</v>
      </c>
      <c r="H54" s="280"/>
      <c r="I54" s="280"/>
      <c r="J54" s="280"/>
    </row>
    <row r="55" spans="2:10" ht="32.25" x14ac:dyDescent="0.2">
      <c r="B55" s="279" t="s">
        <v>2651</v>
      </c>
      <c r="C55" s="280"/>
      <c r="D55" s="280"/>
      <c r="E55" s="280" t="s">
        <v>2541</v>
      </c>
      <c r="F55" s="280" t="s">
        <v>2471</v>
      </c>
      <c r="G55" s="280" t="s">
        <v>2652</v>
      </c>
      <c r="H55" s="280" t="s">
        <v>2471</v>
      </c>
      <c r="I55" s="280" t="s">
        <v>2471</v>
      </c>
      <c r="J55" s="280" t="s">
        <v>2471</v>
      </c>
    </row>
    <row r="56" spans="2:10" x14ac:dyDescent="0.2">
      <c r="B56" s="279" t="s">
        <v>2653</v>
      </c>
      <c r="C56" s="280"/>
      <c r="D56" s="280"/>
      <c r="E56" s="280" t="s">
        <v>2546</v>
      </c>
      <c r="F56" s="280" t="s">
        <v>2471</v>
      </c>
      <c r="G56" s="280" t="s">
        <v>2471</v>
      </c>
      <c r="H56" s="280" t="s">
        <v>2471</v>
      </c>
      <c r="I56" s="280" t="s">
        <v>2471</v>
      </c>
      <c r="J56" s="280" t="s">
        <v>2471</v>
      </c>
    </row>
    <row r="57" spans="2:10" ht="21.75" x14ac:dyDescent="0.2">
      <c r="B57" s="279" t="s">
        <v>2654</v>
      </c>
      <c r="C57" s="280"/>
      <c r="D57" s="280"/>
      <c r="E57" s="280" t="s">
        <v>2655</v>
      </c>
      <c r="F57" s="280" t="s">
        <v>2656</v>
      </c>
      <c r="G57" s="280" t="s">
        <v>2657</v>
      </c>
      <c r="H57" s="280" t="s">
        <v>2471</v>
      </c>
      <c r="I57" s="280" t="s">
        <v>2471</v>
      </c>
      <c r="J57" s="280" t="s">
        <v>2471</v>
      </c>
    </row>
    <row r="58" spans="2:10" ht="21.75" x14ac:dyDescent="0.2">
      <c r="B58" s="279" t="s">
        <v>2658</v>
      </c>
      <c r="C58" s="280"/>
      <c r="D58" s="280"/>
      <c r="E58" s="280" t="s">
        <v>2659</v>
      </c>
      <c r="F58" s="280" t="s">
        <v>2471</v>
      </c>
      <c r="G58" s="280" t="s">
        <v>2660</v>
      </c>
      <c r="H58" s="280" t="s">
        <v>2471</v>
      </c>
      <c r="I58" s="280" t="s">
        <v>2471</v>
      </c>
      <c r="J58" s="280" t="s">
        <v>2471</v>
      </c>
    </row>
    <row r="59" spans="2:10" ht="21.75" x14ac:dyDescent="0.2">
      <c r="B59" s="279" t="s">
        <v>2661</v>
      </c>
      <c r="C59" s="280"/>
      <c r="D59" s="280"/>
      <c r="E59" s="280" t="s">
        <v>2662</v>
      </c>
      <c r="F59" s="280" t="s">
        <v>2471</v>
      </c>
      <c r="G59" s="280" t="s">
        <v>2663</v>
      </c>
      <c r="H59" s="280" t="s">
        <v>2471</v>
      </c>
      <c r="I59" s="280" t="s">
        <v>2471</v>
      </c>
      <c r="J59" s="280" t="s">
        <v>2471</v>
      </c>
    </row>
    <row r="60" spans="2:10" ht="21.75" x14ac:dyDescent="0.2">
      <c r="B60" s="279" t="s">
        <v>2664</v>
      </c>
      <c r="C60" s="280"/>
      <c r="D60" s="280"/>
      <c r="E60" s="280" t="s">
        <v>2665</v>
      </c>
      <c r="F60" s="280" t="s">
        <v>2471</v>
      </c>
      <c r="G60" s="280" t="s">
        <v>2666</v>
      </c>
      <c r="H60" s="280" t="s">
        <v>2471</v>
      </c>
      <c r="I60" s="280" t="s">
        <v>2471</v>
      </c>
      <c r="J60" s="280" t="s">
        <v>2471</v>
      </c>
    </row>
    <row r="61" spans="2:10" ht="21.75" x14ac:dyDescent="0.2">
      <c r="B61" s="279" t="s">
        <v>2667</v>
      </c>
      <c r="C61" s="280"/>
      <c r="D61" s="280"/>
      <c r="E61" s="280" t="s">
        <v>2668</v>
      </c>
      <c r="F61" s="280" t="s">
        <v>2471</v>
      </c>
      <c r="G61" s="280" t="s">
        <v>2669</v>
      </c>
      <c r="H61" s="280" t="s">
        <v>2471</v>
      </c>
      <c r="I61" s="280" t="s">
        <v>2471</v>
      </c>
      <c r="J61" s="280" t="s">
        <v>2471</v>
      </c>
    </row>
    <row r="62" spans="2:10" x14ac:dyDescent="0.2">
      <c r="B62" s="279" t="s">
        <v>2670</v>
      </c>
      <c r="C62" s="280"/>
      <c r="D62" s="280"/>
      <c r="E62" s="280" t="s">
        <v>2515</v>
      </c>
      <c r="F62" s="280" t="s">
        <v>2671</v>
      </c>
      <c r="G62" s="280" t="s">
        <v>2672</v>
      </c>
      <c r="H62" s="280" t="s">
        <v>2471</v>
      </c>
      <c r="I62" s="280" t="s">
        <v>2471</v>
      </c>
      <c r="J62" s="280" t="s">
        <v>2471</v>
      </c>
    </row>
    <row r="63" spans="2:10" ht="21.75" x14ac:dyDescent="0.2">
      <c r="B63" s="279" t="s">
        <v>1435</v>
      </c>
      <c r="C63" s="280"/>
      <c r="D63" s="280"/>
      <c r="E63" s="280" t="s">
        <v>2673</v>
      </c>
      <c r="F63" s="280" t="s">
        <v>2471</v>
      </c>
      <c r="G63" s="280" t="s">
        <v>2674</v>
      </c>
      <c r="H63" s="280"/>
      <c r="I63" s="280" t="s">
        <v>2471</v>
      </c>
      <c r="J63" s="280" t="s">
        <v>2471</v>
      </c>
    </row>
    <row r="64" spans="2:10" ht="32.25" x14ac:dyDescent="0.2">
      <c r="B64" s="279" t="s">
        <v>2675</v>
      </c>
      <c r="C64" s="280"/>
      <c r="D64" s="280"/>
      <c r="E64" s="280" t="s">
        <v>2628</v>
      </c>
      <c r="F64" s="280" t="s">
        <v>2471</v>
      </c>
      <c r="G64" s="280" t="s">
        <v>2676</v>
      </c>
      <c r="H64" s="280" t="s">
        <v>2471</v>
      </c>
      <c r="I64" s="280" t="s">
        <v>2471</v>
      </c>
      <c r="J64" s="280" t="s">
        <v>2471</v>
      </c>
    </row>
    <row r="65" spans="2:10" x14ac:dyDescent="0.2">
      <c r="B65" s="279" t="s">
        <v>2397</v>
      </c>
      <c r="C65" s="280"/>
      <c r="D65" s="280"/>
      <c r="E65" s="280" t="s">
        <v>2573</v>
      </c>
      <c r="F65" s="280" t="s">
        <v>2471</v>
      </c>
      <c r="G65" s="280" t="s">
        <v>2471</v>
      </c>
      <c r="H65" s="280" t="s">
        <v>2471</v>
      </c>
      <c r="I65" s="280" t="s">
        <v>2471</v>
      </c>
      <c r="J65" s="280" t="s">
        <v>2471</v>
      </c>
    </row>
    <row r="66" spans="2:10" x14ac:dyDescent="0.2">
      <c r="B66" s="279" t="s">
        <v>2398</v>
      </c>
      <c r="C66" s="280"/>
      <c r="D66" s="280"/>
      <c r="E66" s="280" t="s">
        <v>2650</v>
      </c>
      <c r="F66" s="280" t="s">
        <v>2471</v>
      </c>
      <c r="G66" s="280" t="s">
        <v>2471</v>
      </c>
      <c r="H66" s="280" t="s">
        <v>2471</v>
      </c>
      <c r="I66" s="280" t="s">
        <v>2471</v>
      </c>
      <c r="J66" s="280" t="s">
        <v>2471</v>
      </c>
    </row>
    <row r="67" spans="2:10" x14ac:dyDescent="0.2">
      <c r="B67" s="279" t="s">
        <v>2677</v>
      </c>
      <c r="C67" s="280"/>
      <c r="D67" s="280"/>
      <c r="E67" s="280" t="s">
        <v>2471</v>
      </c>
      <c r="F67" s="280" t="s">
        <v>2471</v>
      </c>
      <c r="G67" s="280" t="s">
        <v>2471</v>
      </c>
      <c r="H67" s="280" t="s">
        <v>2471</v>
      </c>
      <c r="I67" s="280" t="s">
        <v>2471</v>
      </c>
      <c r="J67" s="280" t="s">
        <v>2471</v>
      </c>
    </row>
    <row r="68" spans="2:10" x14ac:dyDescent="0.2">
      <c r="B68" s="279" t="s">
        <v>17</v>
      </c>
      <c r="C68" s="280"/>
      <c r="D68" s="280"/>
      <c r="E68" s="280" t="s">
        <v>2496</v>
      </c>
      <c r="F68" s="280" t="s">
        <v>2471</v>
      </c>
      <c r="G68" s="280" t="s">
        <v>2678</v>
      </c>
      <c r="H68" s="280" t="s">
        <v>2471</v>
      </c>
      <c r="I68" s="280" t="s">
        <v>2471</v>
      </c>
      <c r="J68" s="280" t="s">
        <v>2471</v>
      </c>
    </row>
    <row r="69" spans="2:10" x14ac:dyDescent="0.2">
      <c r="B69" s="279" t="s">
        <v>2679</v>
      </c>
      <c r="C69" s="280"/>
      <c r="D69" s="280"/>
      <c r="E69" s="280" t="s">
        <v>2680</v>
      </c>
      <c r="F69" s="280" t="s">
        <v>2471</v>
      </c>
      <c r="G69" s="280" t="s">
        <v>2471</v>
      </c>
      <c r="H69" s="280" t="s">
        <v>2471</v>
      </c>
      <c r="I69" s="280" t="s">
        <v>2471</v>
      </c>
      <c r="J69" s="280" t="s">
        <v>2471</v>
      </c>
    </row>
    <row r="70" spans="2:10" x14ac:dyDescent="0.2">
      <c r="B70" s="279" t="s">
        <v>2681</v>
      </c>
      <c r="C70" s="280"/>
      <c r="D70" s="280"/>
      <c r="E70" s="280" t="s">
        <v>2682</v>
      </c>
      <c r="F70" s="280" t="s">
        <v>2471</v>
      </c>
      <c r="G70" s="280" t="s">
        <v>2471</v>
      </c>
      <c r="H70" s="280" t="s">
        <v>2471</v>
      </c>
      <c r="I70" s="280" t="s">
        <v>2471</v>
      </c>
      <c r="J70" s="280" t="s">
        <v>2471</v>
      </c>
    </row>
    <row r="71" spans="2:10" x14ac:dyDescent="0.2">
      <c r="B71" s="279" t="s">
        <v>2683</v>
      </c>
      <c r="C71" s="280"/>
      <c r="D71" s="280"/>
      <c r="E71" s="280" t="s">
        <v>2630</v>
      </c>
      <c r="F71" s="280" t="s">
        <v>2471</v>
      </c>
      <c r="G71" s="280" t="s">
        <v>2471</v>
      </c>
      <c r="H71" s="280" t="s">
        <v>2471</v>
      </c>
      <c r="I71" s="280" t="s">
        <v>2471</v>
      </c>
      <c r="J71" s="280" t="s">
        <v>2471</v>
      </c>
    </row>
    <row r="72" spans="2:10" x14ac:dyDescent="0.2">
      <c r="B72" s="279" t="s">
        <v>2684</v>
      </c>
      <c r="C72" s="280"/>
      <c r="D72" s="280"/>
      <c r="E72" s="280" t="s">
        <v>2471</v>
      </c>
      <c r="F72" s="280" t="s">
        <v>2471</v>
      </c>
      <c r="G72" s="280" t="s">
        <v>2471</v>
      </c>
      <c r="H72" s="280" t="s">
        <v>2471</v>
      </c>
      <c r="I72" s="280" t="s">
        <v>2471</v>
      </c>
      <c r="J72" s="280" t="s">
        <v>2471</v>
      </c>
    </row>
    <row r="73" spans="2:10" ht="32.25" x14ac:dyDescent="0.2">
      <c r="B73" s="279" t="s">
        <v>2685</v>
      </c>
      <c r="C73" s="280"/>
      <c r="D73" s="280"/>
      <c r="E73" s="280" t="s">
        <v>2686</v>
      </c>
      <c r="F73" s="280" t="s">
        <v>2687</v>
      </c>
      <c r="G73" s="280" t="s">
        <v>2471</v>
      </c>
      <c r="H73" s="280" t="s">
        <v>2471</v>
      </c>
      <c r="I73" s="280" t="s">
        <v>2471</v>
      </c>
      <c r="J73" s="280" t="s">
        <v>2471</v>
      </c>
    </row>
    <row r="74" spans="2:10" x14ac:dyDescent="0.2">
      <c r="B74" s="279" t="s">
        <v>2688</v>
      </c>
      <c r="C74" s="280"/>
      <c r="D74" s="280"/>
      <c r="E74" s="280" t="s">
        <v>2689</v>
      </c>
      <c r="F74" s="280" t="s">
        <v>2471</v>
      </c>
      <c r="G74" s="280" t="s">
        <v>2690</v>
      </c>
      <c r="H74" s="280" t="s">
        <v>2471</v>
      </c>
      <c r="I74" s="280" t="s">
        <v>2691</v>
      </c>
      <c r="J74" s="280" t="s">
        <v>2471</v>
      </c>
    </row>
    <row r="75" spans="2:10" x14ac:dyDescent="0.2">
      <c r="B75" s="279" t="s">
        <v>21</v>
      </c>
      <c r="C75" s="280"/>
      <c r="D75" s="280"/>
      <c r="E75" s="280" t="s">
        <v>2471</v>
      </c>
      <c r="F75" s="280" t="s">
        <v>2471</v>
      </c>
      <c r="G75" s="280" t="s">
        <v>2471</v>
      </c>
      <c r="H75" s="280" t="s">
        <v>2471</v>
      </c>
      <c r="I75" s="280" t="s">
        <v>2471</v>
      </c>
      <c r="J75" s="280" t="s">
        <v>2471</v>
      </c>
    </row>
    <row r="76" spans="2:10" x14ac:dyDescent="0.2">
      <c r="B76" s="279" t="s">
        <v>157</v>
      </c>
      <c r="C76" s="280"/>
      <c r="D76" s="280"/>
      <c r="E76" s="280" t="s">
        <v>2692</v>
      </c>
      <c r="F76" s="280" t="s">
        <v>2471</v>
      </c>
      <c r="G76" s="280" t="s">
        <v>2471</v>
      </c>
      <c r="H76" s="280" t="s">
        <v>2471</v>
      </c>
      <c r="I76" s="280" t="s">
        <v>2471</v>
      </c>
      <c r="J76" s="280" t="s">
        <v>2471</v>
      </c>
    </row>
    <row r="77" spans="2:10" x14ac:dyDescent="0.2">
      <c r="B77" s="279" t="s">
        <v>2693</v>
      </c>
      <c r="C77" s="280"/>
      <c r="D77" s="280"/>
      <c r="E77" s="280" t="s">
        <v>2694</v>
      </c>
      <c r="F77" s="280" t="s">
        <v>2471</v>
      </c>
      <c r="G77" s="280" t="s">
        <v>2695</v>
      </c>
      <c r="H77" s="280" t="s">
        <v>2471</v>
      </c>
      <c r="I77" s="280" t="s">
        <v>2471</v>
      </c>
      <c r="J77" s="280" t="s">
        <v>2471</v>
      </c>
    </row>
    <row r="78" spans="2:10" x14ac:dyDescent="0.2">
      <c r="B78" s="279" t="s">
        <v>2696</v>
      </c>
      <c r="C78" s="280"/>
      <c r="D78" s="280"/>
      <c r="E78" s="280" t="s">
        <v>2481</v>
      </c>
      <c r="F78" s="280" t="s">
        <v>2471</v>
      </c>
      <c r="G78" s="280" t="s">
        <v>2697</v>
      </c>
      <c r="H78" s="280" t="s">
        <v>2471</v>
      </c>
      <c r="I78" s="280" t="s">
        <v>2471</v>
      </c>
      <c r="J78" s="280" t="s">
        <v>2471</v>
      </c>
    </row>
    <row r="79" spans="2:10" x14ac:dyDescent="0.2">
      <c r="B79" s="279" t="s">
        <v>2698</v>
      </c>
      <c r="C79" s="280"/>
      <c r="D79" s="280"/>
      <c r="E79" s="280"/>
      <c r="F79" s="280"/>
      <c r="G79" s="280"/>
      <c r="H79" s="280"/>
      <c r="I79" s="280"/>
      <c r="J79" s="280"/>
    </row>
    <row r="80" spans="2:10" x14ac:dyDescent="0.2">
      <c r="B80" s="279" t="s">
        <v>2699</v>
      </c>
      <c r="C80" s="280"/>
      <c r="D80" s="280"/>
      <c r="E80" s="280" t="s">
        <v>2652</v>
      </c>
      <c r="F80" s="280" t="s">
        <v>2471</v>
      </c>
      <c r="G80" s="280" t="s">
        <v>2471</v>
      </c>
      <c r="H80" s="280" t="s">
        <v>2471</v>
      </c>
      <c r="I80" s="280" t="s">
        <v>2471</v>
      </c>
      <c r="J80" s="280" t="s">
        <v>2471</v>
      </c>
    </row>
    <row r="81" spans="2:10" ht="32.25" x14ac:dyDescent="0.2">
      <c r="B81" s="279" t="s">
        <v>2700</v>
      </c>
      <c r="C81" s="280"/>
      <c r="D81" s="280"/>
      <c r="E81" s="280" t="s">
        <v>2479</v>
      </c>
      <c r="F81" s="280" t="s">
        <v>2701</v>
      </c>
      <c r="G81" s="280" t="s">
        <v>2471</v>
      </c>
      <c r="H81" s="280"/>
      <c r="I81" s="280" t="s">
        <v>2471</v>
      </c>
      <c r="J81" s="280" t="s">
        <v>2471</v>
      </c>
    </row>
    <row r="82" spans="2:10" x14ac:dyDescent="0.2">
      <c r="B82" s="279" t="s">
        <v>2702</v>
      </c>
      <c r="C82" s="280"/>
      <c r="D82" s="280"/>
      <c r="E82" s="280" t="s">
        <v>2689</v>
      </c>
      <c r="F82" s="280" t="s">
        <v>2471</v>
      </c>
      <c r="G82" s="280" t="s">
        <v>2703</v>
      </c>
      <c r="H82" s="280" t="s">
        <v>2471</v>
      </c>
      <c r="I82" s="280" t="s">
        <v>2471</v>
      </c>
      <c r="J82" s="280" t="s">
        <v>2471</v>
      </c>
    </row>
    <row r="83" spans="2:10" x14ac:dyDescent="0.2">
      <c r="B83" s="279" t="s">
        <v>2704</v>
      </c>
      <c r="C83" s="280"/>
      <c r="D83" s="280"/>
      <c r="E83" s="280" t="s">
        <v>2632</v>
      </c>
      <c r="F83" s="280" t="s">
        <v>2471</v>
      </c>
      <c r="G83" s="280" t="s">
        <v>2471</v>
      </c>
      <c r="H83" s="280" t="s">
        <v>2471</v>
      </c>
      <c r="I83" s="280" t="s">
        <v>2471</v>
      </c>
      <c r="J83" s="280" t="s">
        <v>2471</v>
      </c>
    </row>
    <row r="84" spans="2:10" x14ac:dyDescent="0.2">
      <c r="B84" s="279" t="s">
        <v>2399</v>
      </c>
      <c r="C84" s="280"/>
      <c r="D84" s="280"/>
      <c r="E84" s="280" t="s">
        <v>2572</v>
      </c>
      <c r="F84" s="280" t="s">
        <v>2471</v>
      </c>
      <c r="G84" s="280" t="s">
        <v>2471</v>
      </c>
      <c r="H84" s="280" t="s">
        <v>2471</v>
      </c>
      <c r="I84" s="280" t="s">
        <v>2471</v>
      </c>
      <c r="J84" s="280" t="s">
        <v>2471</v>
      </c>
    </row>
    <row r="85" spans="2:10" x14ac:dyDescent="0.2">
      <c r="B85" s="279" t="s">
        <v>516</v>
      </c>
      <c r="C85" s="280"/>
      <c r="D85" s="280"/>
      <c r="E85" s="280" t="s">
        <v>2491</v>
      </c>
      <c r="F85" s="280" t="s">
        <v>2471</v>
      </c>
      <c r="G85" s="280" t="s">
        <v>2471</v>
      </c>
      <c r="H85" s="280" t="s">
        <v>2471</v>
      </c>
      <c r="I85" s="280" t="s">
        <v>2471</v>
      </c>
      <c r="J85" s="280" t="s">
        <v>2471</v>
      </c>
    </row>
    <row r="86" spans="2:10" x14ac:dyDescent="0.2">
      <c r="B86" s="279" t="s">
        <v>2705</v>
      </c>
      <c r="C86" s="280"/>
      <c r="D86" s="280"/>
      <c r="E86" s="280" t="s">
        <v>2544</v>
      </c>
      <c r="F86" s="280" t="s">
        <v>2471</v>
      </c>
      <c r="G86" s="280" t="s">
        <v>2471</v>
      </c>
      <c r="H86" s="280" t="s">
        <v>2471</v>
      </c>
      <c r="I86" s="280" t="s">
        <v>2471</v>
      </c>
      <c r="J86" s="280" t="s">
        <v>2471</v>
      </c>
    </row>
    <row r="87" spans="2:10" x14ac:dyDescent="0.2">
      <c r="B87" s="279" t="s">
        <v>2706</v>
      </c>
      <c r="C87" s="280"/>
      <c r="D87" s="280"/>
      <c r="E87" s="280" t="s">
        <v>2707</v>
      </c>
      <c r="F87" s="280" t="s">
        <v>2471</v>
      </c>
      <c r="G87" s="280" t="s">
        <v>2471</v>
      </c>
      <c r="H87" s="280" t="s">
        <v>2471</v>
      </c>
      <c r="I87" s="280" t="s">
        <v>2471</v>
      </c>
      <c r="J87" s="280" t="s">
        <v>2471</v>
      </c>
    </row>
    <row r="88" spans="2:10" x14ac:dyDescent="0.2">
      <c r="B88" s="279" t="s">
        <v>2708</v>
      </c>
      <c r="C88" s="280"/>
      <c r="D88" s="280"/>
      <c r="E88" s="280" t="s">
        <v>2539</v>
      </c>
      <c r="F88" s="280" t="s">
        <v>2471</v>
      </c>
      <c r="G88" s="280" t="s">
        <v>2471</v>
      </c>
      <c r="H88" s="280" t="s">
        <v>2471</v>
      </c>
      <c r="I88" s="280" t="s">
        <v>2471</v>
      </c>
      <c r="J88" s="280" t="s">
        <v>2471</v>
      </c>
    </row>
  </sheetData>
  <hyperlinks>
    <hyperlink ref="C2" r:id="rId1" xr:uid="{49C5595C-CBEA-46BC-857A-6FC997136DB7}"/>
  </hyperlinks>
  <printOptions horizontalCentered="1"/>
  <pageMargins left="0.25" right="0.25" top="0.5" bottom="0.5" header="0.25" footer="0.25"/>
  <pageSetup paperSize="5" scale="54" orientation="portrait" r:id="rId2"/>
  <headerFooter alignWithMargins="0"/>
  <drawing r:id="rId3"/>
  <tableParts count="1">
    <tablePart r:id="rId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pageSetUpPr fitToPage="1"/>
  </sheetPr>
  <dimension ref="B1:K60"/>
  <sheetViews>
    <sheetView showGridLines="0" zoomScaleNormal="100" workbookViewId="0"/>
  </sheetViews>
  <sheetFormatPr defaultColWidth="9" defaultRowHeight="12.75" x14ac:dyDescent="0.2"/>
  <cols>
    <col min="1" max="1" width="10.25" style="4" customWidth="1"/>
    <col min="2" max="2" width="22.25" style="4" customWidth="1"/>
    <col min="3" max="3" width="26.625" style="5" customWidth="1"/>
    <col min="4" max="4" width="14.375" style="5" customWidth="1"/>
    <col min="5" max="5" width="14.625" style="5" customWidth="1"/>
    <col min="6" max="6" width="12.375" style="4" customWidth="1"/>
    <col min="7" max="7" width="9.5" style="4" customWidth="1"/>
    <col min="8" max="8" width="10.375" style="4" customWidth="1"/>
    <col min="9" max="16384" width="9" style="4"/>
  </cols>
  <sheetData>
    <row r="1" spans="2:10" ht="32.25" customHeight="1" x14ac:dyDescent="0.2"/>
    <row r="2" spans="2:10" s="6" customFormat="1" ht="15.75" customHeight="1" x14ac:dyDescent="0.2"/>
    <row r="4" spans="2:10" ht="21" customHeight="1" x14ac:dyDescent="0.2">
      <c r="C4" s="267" t="s">
        <v>2452</v>
      </c>
      <c r="D4" s="268" t="s">
        <v>2453</v>
      </c>
      <c r="E4" s="268" t="s">
        <v>2454</v>
      </c>
      <c r="F4" s="268"/>
      <c r="G4" s="272" t="s">
        <v>8466</v>
      </c>
      <c r="H4" s="266"/>
      <c r="I4" s="266"/>
      <c r="J4" s="266"/>
    </row>
    <row r="5" spans="2:10" x14ac:dyDescent="0.2">
      <c r="C5" s="269" t="s">
        <v>2439</v>
      </c>
      <c r="D5" s="259" t="str">
        <f>SUBSTITUTE(C5,",","")</f>
        <v>Peer Xavier</v>
      </c>
      <c r="E5" s="259" t="str">
        <f>RIGHT(C5,LEN(C5)-FIND("*",SUBSTITUTE(C5," ","*",LEN(C5)-LEN(SUBSTITUTE(C5," ","")))))</f>
        <v>Xavier</v>
      </c>
      <c r="F5" s="259" t="str">
        <f>LEFT(D5,FIND("*",SUBSTITUTE(D5," ","*",LEN(D5)-LEN(SUBSTITUTE(D5," ",""))))-1)</f>
        <v>Peer</v>
      </c>
      <c r="G5" s="259">
        <f>LEN(C5)-LEN(SUBSTITUTE(SUBSTITUTE(C5,"O",""),"o",""))</f>
        <v>0</v>
      </c>
      <c r="H5" s="259" t="str">
        <f>LEFT(D5,FIND(" ",D5,1)-1)</f>
        <v>Peer</v>
      </c>
      <c r="I5" s="259" t="str">
        <f>RIGHT(D5,LEN(D5)-FIND(" ",D5,2))</f>
        <v>Xavier</v>
      </c>
      <c r="J5" s="259">
        <f>LEN(TRIM(C5)) - LEN(SUBSTITUTE(TRIM(C5)," ","")) + 1</f>
        <v>2</v>
      </c>
    </row>
    <row r="6" spans="2:10" x14ac:dyDescent="0.2">
      <c r="C6" s="269" t="s">
        <v>2440</v>
      </c>
      <c r="D6" s="259" t="str">
        <f t="shared" ref="D6:D12" si="0">SUBSTITUTE(C6,",","")</f>
        <v>Sonne Agnes</v>
      </c>
      <c r="E6" s="259" t="str">
        <f>RIGHT(C6,LEN(C6)-FIND("*",SUBSTITUTE(C6," ","*",LEN(C6)-LEN(SUBSTITUTE(C6," ","")))))</f>
        <v>Agnes</v>
      </c>
      <c r="F6" s="259" t="str">
        <f t="shared" ref="F6:F12" si="1">LEFT(D6,FIND("*",SUBSTITUTE(D6," ","*",LEN(D6)-LEN(SUBSTITUTE(D6," ",""))))-1)</f>
        <v>Sonne</v>
      </c>
      <c r="G6" s="259">
        <f t="shared" ref="G6:G12" si="2">LEN(C6)-LEN(SUBSTITUTE(SUBSTITUTE(C6,"O",""),"o",""))</f>
        <v>1</v>
      </c>
      <c r="H6" s="259" t="str">
        <f t="shared" ref="H6:H12" si="3">LEFT(D6,FIND(" ",D6,1)-1)</f>
        <v>Sonne</v>
      </c>
      <c r="I6" s="259" t="str">
        <f t="shared" ref="I6:I12" si="4">RIGHT(D6,LEN(D6)-FIND(" ",D6,2))</f>
        <v>Agnes</v>
      </c>
      <c r="J6" s="259">
        <f t="shared" ref="J6:J12" si="5">LEN(TRIM(C6)) - LEN(SUBSTITUTE(TRIM(C6)," ","")) + 1</f>
        <v>2</v>
      </c>
    </row>
    <row r="7" spans="2:10" x14ac:dyDescent="0.2">
      <c r="C7" s="269" t="s">
        <v>2441</v>
      </c>
      <c r="D7" s="259" t="str">
        <f t="shared" si="0"/>
        <v>Troost Benedicte</v>
      </c>
      <c r="E7" s="259" t="str">
        <f t="shared" ref="E7:E12" si="6">RIGHT(C7,LEN(C7)-FIND("*",SUBSTITUTE(C7," ","*",LEN(C7)-LEN(SUBSTITUTE(C7," ","")))))</f>
        <v>Benedicte</v>
      </c>
      <c r="F7" s="259" t="str">
        <f t="shared" si="1"/>
        <v>Troost</v>
      </c>
      <c r="G7" s="259">
        <f t="shared" si="2"/>
        <v>2</v>
      </c>
      <c r="H7" s="259" t="str">
        <f t="shared" si="3"/>
        <v>Troost</v>
      </c>
      <c r="I7" s="259" t="str">
        <f t="shared" si="4"/>
        <v>Benedicte</v>
      </c>
      <c r="J7" s="259">
        <f t="shared" si="5"/>
        <v>2</v>
      </c>
    </row>
    <row r="8" spans="2:10" x14ac:dyDescent="0.2">
      <c r="C8" s="269" t="s">
        <v>2442</v>
      </c>
      <c r="D8" s="259" t="str">
        <f t="shared" si="0"/>
        <v>Roodt Pieter</v>
      </c>
      <c r="E8" s="259" t="str">
        <f t="shared" si="6"/>
        <v>Pieter</v>
      </c>
      <c r="F8" s="259" t="str">
        <f t="shared" si="1"/>
        <v>Roodt</v>
      </c>
      <c r="G8" s="259">
        <f t="shared" si="2"/>
        <v>2</v>
      </c>
      <c r="H8" s="259" t="str">
        <f t="shared" si="3"/>
        <v>Roodt</v>
      </c>
      <c r="I8" s="259" t="str">
        <f t="shared" si="4"/>
        <v>Pieter</v>
      </c>
      <c r="J8" s="259">
        <f t="shared" si="5"/>
        <v>2</v>
      </c>
    </row>
    <row r="9" spans="2:10" x14ac:dyDescent="0.2">
      <c r="C9" s="269" t="s">
        <v>2443</v>
      </c>
      <c r="D9" s="259" t="str">
        <f t="shared" si="0"/>
        <v>Apers Dominique</v>
      </c>
      <c r="E9" s="259" t="str">
        <f t="shared" si="6"/>
        <v>Dominique</v>
      </c>
      <c r="F9" s="259" t="str">
        <f t="shared" si="1"/>
        <v>Apers</v>
      </c>
      <c r="G9" s="259">
        <f t="shared" si="2"/>
        <v>1</v>
      </c>
      <c r="H9" s="259" t="str">
        <f t="shared" si="3"/>
        <v>Apers</v>
      </c>
      <c r="I9" s="259" t="str">
        <f t="shared" si="4"/>
        <v>Dominique</v>
      </c>
      <c r="J9" s="259">
        <f t="shared" si="5"/>
        <v>2</v>
      </c>
    </row>
    <row r="10" spans="2:10" x14ac:dyDescent="0.2">
      <c r="C10" s="269" t="s">
        <v>2444</v>
      </c>
      <c r="D10" s="259" t="str">
        <f t="shared" si="0"/>
        <v>Van Bladel Paul</v>
      </c>
      <c r="E10" s="259" t="str">
        <f t="shared" si="6"/>
        <v>Paul</v>
      </c>
      <c r="F10" s="259" t="str">
        <f t="shared" si="1"/>
        <v>Van Bladel</v>
      </c>
      <c r="G10" s="259">
        <f t="shared" si="2"/>
        <v>0</v>
      </c>
      <c r="H10" s="259" t="str">
        <f t="shared" si="3"/>
        <v>Van</v>
      </c>
      <c r="I10" s="259" t="str">
        <f t="shared" si="4"/>
        <v>Bladel Paul</v>
      </c>
      <c r="J10" s="259">
        <f t="shared" si="5"/>
        <v>3</v>
      </c>
    </row>
    <row r="11" spans="2:10" x14ac:dyDescent="0.2">
      <c r="C11" s="269" t="s">
        <v>2445</v>
      </c>
      <c r="D11" s="259" t="str">
        <f t="shared" si="0"/>
        <v>Beernaert Jozef</v>
      </c>
      <c r="E11" s="259" t="str">
        <f t="shared" si="6"/>
        <v>Jozef</v>
      </c>
      <c r="F11" s="259" t="str">
        <f t="shared" si="1"/>
        <v>Beernaert</v>
      </c>
      <c r="G11" s="259">
        <f t="shared" si="2"/>
        <v>1</v>
      </c>
      <c r="H11" s="259" t="str">
        <f t="shared" si="3"/>
        <v>Beernaert</v>
      </c>
      <c r="I11" s="259" t="str">
        <f t="shared" si="4"/>
        <v>Jozef</v>
      </c>
      <c r="J11" s="259">
        <f t="shared" si="5"/>
        <v>2</v>
      </c>
    </row>
    <row r="12" spans="2:10" x14ac:dyDescent="0.2">
      <c r="C12" s="269" t="s">
        <v>2446</v>
      </c>
      <c r="D12" s="259" t="str">
        <f t="shared" si="0"/>
        <v>Obelisk Julie</v>
      </c>
      <c r="E12" s="259" t="str">
        <f t="shared" si="6"/>
        <v>Julie</v>
      </c>
      <c r="F12" s="259" t="str">
        <f t="shared" si="1"/>
        <v>Obelisk</v>
      </c>
      <c r="G12" s="259">
        <f t="shared" si="2"/>
        <v>1</v>
      </c>
      <c r="H12" s="259" t="str">
        <f t="shared" si="3"/>
        <v>Obelisk</v>
      </c>
      <c r="I12" s="259" t="str">
        <f t="shared" si="4"/>
        <v>Julie</v>
      </c>
      <c r="J12" s="259">
        <f t="shared" si="5"/>
        <v>2</v>
      </c>
    </row>
    <row r="13" spans="2:10" ht="14.25" x14ac:dyDescent="0.2">
      <c r="B13" s="265"/>
      <c r="C13" s="4"/>
      <c r="D13" s="4"/>
      <c r="E13" s="4"/>
    </row>
    <row r="16" spans="2:10" x14ac:dyDescent="0.2">
      <c r="C16" s="428" t="s">
        <v>2447</v>
      </c>
      <c r="D16" s="428"/>
      <c r="E16" s="428"/>
      <c r="F16" s="428"/>
    </row>
    <row r="17" spans="2:8" s="5" customFormat="1" x14ac:dyDescent="0.2">
      <c r="B17" s="4"/>
      <c r="C17" s="270" t="s">
        <v>8460</v>
      </c>
      <c r="F17" s="4"/>
      <c r="G17" s="4"/>
      <c r="H17" s="4"/>
    </row>
    <row r="18" spans="2:8" s="5" customFormat="1" x14ac:dyDescent="0.2">
      <c r="B18" s="4"/>
      <c r="C18" s="62" t="s">
        <v>8461</v>
      </c>
      <c r="F18" s="4"/>
      <c r="G18" s="4"/>
      <c r="H18" s="4"/>
    </row>
    <row r="19" spans="2:8" s="5" customFormat="1" x14ac:dyDescent="0.2">
      <c r="B19" s="4"/>
      <c r="C19" s="62" t="s">
        <v>8462</v>
      </c>
      <c r="F19" s="4"/>
      <c r="G19" s="4"/>
      <c r="H19" s="4"/>
    </row>
    <row r="20" spans="2:8" s="5" customFormat="1" x14ac:dyDescent="0.2">
      <c r="B20" s="4"/>
      <c r="C20" s="62"/>
      <c r="F20" s="4"/>
      <c r="G20" s="4"/>
      <c r="H20" s="4"/>
    </row>
    <row r="21" spans="2:8" s="5" customFormat="1" x14ac:dyDescent="0.2">
      <c r="B21" s="4"/>
      <c r="C21" s="428" t="s">
        <v>2448</v>
      </c>
      <c r="D21" s="428"/>
      <c r="E21" s="428"/>
      <c r="F21" s="428"/>
      <c r="G21" s="4"/>
      <c r="H21" s="4"/>
    </row>
    <row r="22" spans="2:8" s="5" customFormat="1" x14ac:dyDescent="0.2">
      <c r="B22" s="4"/>
      <c r="C22" s="270" t="s">
        <v>8460</v>
      </c>
      <c r="F22" s="4"/>
      <c r="G22" s="4"/>
      <c r="H22" s="4"/>
    </row>
    <row r="23" spans="2:8" s="5" customFormat="1" x14ac:dyDescent="0.2">
      <c r="B23" s="4"/>
      <c r="C23" s="62" t="s">
        <v>8463</v>
      </c>
      <c r="F23" s="4"/>
      <c r="G23" s="4"/>
      <c r="H23" s="4"/>
    </row>
    <row r="24" spans="2:8" s="5" customFormat="1" x14ac:dyDescent="0.2">
      <c r="B24" s="4"/>
      <c r="C24" s="62"/>
      <c r="F24" s="4"/>
      <c r="G24" s="4"/>
      <c r="H24" s="4"/>
    </row>
    <row r="25" spans="2:8" s="5" customFormat="1" x14ac:dyDescent="0.2">
      <c r="B25" s="4"/>
      <c r="C25" s="428" t="s">
        <v>2449</v>
      </c>
      <c r="D25" s="428"/>
      <c r="E25" s="428"/>
      <c r="F25" s="428"/>
      <c r="G25" s="4"/>
      <c r="H25" s="4"/>
    </row>
    <row r="26" spans="2:8" s="5" customFormat="1" x14ac:dyDescent="0.2">
      <c r="B26" s="4"/>
      <c r="C26" s="270" t="s">
        <v>8467</v>
      </c>
      <c r="F26" s="4"/>
      <c r="G26" s="4"/>
      <c r="H26" s="4"/>
    </row>
    <row r="27" spans="2:8" s="5" customFormat="1" x14ac:dyDescent="0.2">
      <c r="B27" s="4"/>
      <c r="C27" s="62" t="s">
        <v>2450</v>
      </c>
      <c r="F27" s="4"/>
      <c r="G27" s="4"/>
      <c r="H27" s="4"/>
    </row>
    <row r="28" spans="2:8" s="5" customFormat="1" x14ac:dyDescent="0.2">
      <c r="B28" s="4"/>
      <c r="C28" s="62" t="s">
        <v>8464</v>
      </c>
      <c r="F28" s="4"/>
      <c r="G28" s="4"/>
      <c r="H28" s="4"/>
    </row>
    <row r="29" spans="2:8" s="5" customFormat="1" x14ac:dyDescent="0.2">
      <c r="B29" s="4"/>
      <c r="C29" s="62"/>
      <c r="F29" s="4"/>
      <c r="G29" s="4"/>
      <c r="H29" s="4"/>
    </row>
    <row r="30" spans="2:8" s="5" customFormat="1" x14ac:dyDescent="0.2">
      <c r="B30" s="4"/>
      <c r="C30" s="428" t="s">
        <v>2451</v>
      </c>
      <c r="D30" s="428"/>
      <c r="E30" s="428"/>
      <c r="F30" s="428"/>
      <c r="G30" s="4"/>
      <c r="H30" s="4"/>
    </row>
    <row r="31" spans="2:8" s="5" customFormat="1" x14ac:dyDescent="0.2">
      <c r="B31" s="4"/>
      <c r="C31" s="270" t="s">
        <v>8468</v>
      </c>
      <c r="F31" s="4"/>
      <c r="G31" s="4"/>
      <c r="H31" s="4"/>
    </row>
    <row r="32" spans="2:8" s="5" customFormat="1" x14ac:dyDescent="0.2">
      <c r="B32" s="4"/>
      <c r="C32" s="62" t="s">
        <v>8465</v>
      </c>
      <c r="F32" s="4"/>
      <c r="G32" s="4"/>
      <c r="H32" s="4"/>
    </row>
    <row r="34" spans="3:11" x14ac:dyDescent="0.2">
      <c r="C34" s="428" t="s">
        <v>2721</v>
      </c>
      <c r="D34" s="428"/>
      <c r="E34" s="428"/>
      <c r="F34" s="428"/>
    </row>
    <row r="35" spans="3:11" x14ac:dyDescent="0.2">
      <c r="C35" s="429" t="s">
        <v>2722</v>
      </c>
      <c r="D35" s="429"/>
      <c r="E35" s="429"/>
      <c r="F35" s="429"/>
      <c r="G35" s="429"/>
    </row>
    <row r="37" spans="3:11" x14ac:dyDescent="0.2">
      <c r="C37" s="428" t="s">
        <v>8109</v>
      </c>
      <c r="D37" s="428"/>
      <c r="E37" s="428"/>
      <c r="F37" s="428"/>
    </row>
    <row r="38" spans="3:11" x14ac:dyDescent="0.2">
      <c r="C38" s="271" t="s">
        <v>8108</v>
      </c>
      <c r="D38" s="271" t="str">
        <f>MID(C38&amp;" "&amp;C38,FIND(", ",C38)+2,LEN(C38)-1)</f>
        <v>Mary Smith</v>
      </c>
    </row>
    <row r="39" spans="3:11" x14ac:dyDescent="0.2">
      <c r="C39" s="254" t="str">
        <f ca="1">_xlfn.FORMULATEXT(D38)</f>
        <v>=MID(C38&amp;" "&amp;C38;FIND(", ";C38)+2;LEN(C38)-1)</v>
      </c>
      <c r="D39" s="4"/>
    </row>
    <row r="41" spans="3:11" x14ac:dyDescent="0.2">
      <c r="C41" s="428" t="s">
        <v>8469</v>
      </c>
      <c r="D41" s="428"/>
      <c r="E41" s="428"/>
      <c r="F41" s="428"/>
    </row>
    <row r="42" spans="3:11" ht="14.25" x14ac:dyDescent="0.2">
      <c r="C42" s="62" t="s">
        <v>6784</v>
      </c>
      <c r="D42" s="62"/>
      <c r="E42" s="62"/>
      <c r="F42" s="62"/>
      <c r="G42" s="271"/>
      <c r="H42" s="6"/>
      <c r="I42" s="6"/>
      <c r="J42" s="6"/>
    </row>
    <row r="43" spans="3:11" ht="14.25" x14ac:dyDescent="0.2">
      <c r="C43" s="62"/>
      <c r="D43" s="62"/>
      <c r="E43" s="62"/>
      <c r="F43" s="62"/>
      <c r="G43" s="271"/>
      <c r="H43" s="6"/>
      <c r="I43" s="6"/>
      <c r="J43" s="6"/>
    </row>
    <row r="44" spans="3:11" ht="14.25" x14ac:dyDescent="0.2">
      <c r="C44" s="274" t="s">
        <v>6785</v>
      </c>
      <c r="D44" s="274" t="s">
        <v>6786</v>
      </c>
      <c r="E44" s="274" t="s">
        <v>6787</v>
      </c>
      <c r="G44" s="275"/>
      <c r="H44" s="273"/>
      <c r="I44" s="273"/>
      <c r="J44" s="273"/>
    </row>
    <row r="45" spans="3:11" ht="14.25" x14ac:dyDescent="0.2">
      <c r="C45" s="4" t="s">
        <v>6788</v>
      </c>
      <c r="D45" s="5">
        <f>FIND("\",C42,FIND("\",C42,FIND("\",C42,FIND("\",C42)+1)+1)+1)</f>
        <v>23</v>
      </c>
      <c r="E45" s="4" t="s">
        <v>6789</v>
      </c>
      <c r="G45" s="275"/>
      <c r="H45" s="273"/>
      <c r="I45" s="273"/>
      <c r="J45" s="273"/>
    </row>
    <row r="46" spans="3:11" ht="14.25" x14ac:dyDescent="0.2">
      <c r="C46" s="4" t="s">
        <v>6790</v>
      </c>
      <c r="D46" s="5">
        <f>SEARCH("\",C42,FIND("\",C42,FIND("\",C42,FIND("\",C42)+1)+1)+1)</f>
        <v>23</v>
      </c>
      <c r="E46" s="4" t="s">
        <v>6791</v>
      </c>
      <c r="G46" s="275"/>
      <c r="H46" s="273"/>
      <c r="I46" s="273"/>
      <c r="J46" s="273"/>
    </row>
    <row r="47" spans="3:11" ht="14.25" x14ac:dyDescent="0.2">
      <c r="C47" s="4" t="s">
        <v>6792</v>
      </c>
      <c r="D47" s="5">
        <f>FIND(CHAR(5),SUBSTITUTE(C42,"\",CHAR(5),4))</f>
        <v>23</v>
      </c>
      <c r="E47" s="4" t="s">
        <v>6793</v>
      </c>
      <c r="G47" s="275"/>
      <c r="H47" s="273"/>
      <c r="I47" s="273"/>
      <c r="J47" s="273"/>
    </row>
    <row r="48" spans="3:11" ht="14.25" x14ac:dyDescent="0.2">
      <c r="C48" s="6"/>
      <c r="D48" s="6"/>
      <c r="E48" s="6"/>
      <c r="F48" s="6"/>
      <c r="G48" s="6"/>
      <c r="H48" s="6"/>
      <c r="I48" s="6"/>
      <c r="J48" s="6"/>
      <c r="K48" s="6"/>
    </row>
    <row r="49" spans="3:7" x14ac:dyDescent="0.2">
      <c r="C49" s="428" t="s">
        <v>8482</v>
      </c>
      <c r="D49" s="428"/>
      <c r="E49" s="428"/>
      <c r="F49" s="428"/>
    </row>
    <row r="51" spans="3:7" x14ac:dyDescent="0.2">
      <c r="D51" s="276" t="s">
        <v>8470</v>
      </c>
      <c r="E51" s="276" t="s">
        <v>8471</v>
      </c>
      <c r="F51" s="277" t="s">
        <v>8472</v>
      </c>
    </row>
    <row r="52" spans="3:7" x14ac:dyDescent="0.2">
      <c r="C52" s="254" t="s">
        <v>8473</v>
      </c>
      <c r="D52" s="271" t="str">
        <f>_xlfn.TEXTBEFORE(C52,",")</f>
        <v>Andrew</v>
      </c>
      <c r="E52" s="271" t="str">
        <f>TRIM(_xlfn.TEXTAFTER(C52,",",1,1))</f>
        <v>Fuller</v>
      </c>
      <c r="F52" s="271" t="str" cm="1">
        <f t="array" ref="F52:G52">_xlfn.TEXTSPLIT(C52,",")</f>
        <v>Andrew</v>
      </c>
      <c r="G52" s="4" t="str">
        <v xml:space="preserve"> Fuller</v>
      </c>
    </row>
    <row r="53" spans="3:7" x14ac:dyDescent="0.2">
      <c r="C53" s="254" t="s">
        <v>8474</v>
      </c>
      <c r="D53" s="271" t="str">
        <f t="shared" ref="D53:D60" si="7">_xlfn.TEXTBEFORE(C53,",")</f>
        <v>Janet</v>
      </c>
      <c r="E53" s="271" t="str">
        <f t="shared" ref="E53:E60" si="8">TRIM(_xlfn.TEXTAFTER(C53,",",1,1))</f>
        <v>Leverling</v>
      </c>
      <c r="F53" s="271" t="str" cm="1">
        <f t="array" ref="F53:G53">_xlfn.TEXTSPLIT(C53,",")</f>
        <v>Janet</v>
      </c>
      <c r="G53" s="4" t="str">
        <v xml:space="preserve"> Leverling</v>
      </c>
    </row>
    <row r="54" spans="3:7" x14ac:dyDescent="0.2">
      <c r="C54" s="254" t="s">
        <v>8475</v>
      </c>
      <c r="D54" s="271" t="str">
        <f t="shared" si="7"/>
        <v>Margaret</v>
      </c>
      <c r="E54" s="271" t="str">
        <f t="shared" si="8"/>
        <v>Peacock</v>
      </c>
      <c r="F54" s="271" t="str" cm="1">
        <f t="array" ref="F54:G54">_xlfn.TEXTSPLIT(C54,",")</f>
        <v>Margaret</v>
      </c>
      <c r="G54" s="4" t="str">
        <v xml:space="preserve"> Peacock</v>
      </c>
    </row>
    <row r="55" spans="3:7" x14ac:dyDescent="0.2">
      <c r="C55" s="254" t="s">
        <v>8476</v>
      </c>
      <c r="D55" s="271" t="str">
        <f t="shared" si="7"/>
        <v>Anne</v>
      </c>
      <c r="E55" s="271" t="str">
        <f t="shared" si="8"/>
        <v>Dodsworth</v>
      </c>
      <c r="F55" s="271" t="str" cm="1">
        <f t="array" ref="F55:G55">_xlfn.TEXTSPLIT(C55,",")</f>
        <v>Anne</v>
      </c>
      <c r="G55" s="4" t="str">
        <v xml:space="preserve"> Dodsworth</v>
      </c>
    </row>
    <row r="56" spans="3:7" x14ac:dyDescent="0.2">
      <c r="C56" s="254" t="s">
        <v>8477</v>
      </c>
      <c r="D56" s="271" t="str">
        <f t="shared" si="7"/>
        <v>Steven</v>
      </c>
      <c r="E56" s="271" t="str">
        <f t="shared" si="8"/>
        <v>Buchanan</v>
      </c>
      <c r="F56" s="271" t="str" cm="1">
        <f t="array" ref="F56:G56">_xlfn.TEXTSPLIT(C56,",")</f>
        <v>Steven</v>
      </c>
      <c r="G56" s="4" t="str">
        <v xml:space="preserve"> Buchanan</v>
      </c>
    </row>
    <row r="57" spans="3:7" x14ac:dyDescent="0.2">
      <c r="C57" s="254" t="s">
        <v>8478</v>
      </c>
      <c r="D57" s="271" t="str">
        <f t="shared" si="7"/>
        <v>Nancy</v>
      </c>
      <c r="E57" s="271" t="str">
        <f t="shared" si="8"/>
        <v>Davolio</v>
      </c>
      <c r="F57" s="271" t="str" cm="1">
        <f t="array" ref="F57:G57">_xlfn.TEXTSPLIT(C57,",")</f>
        <v>Nancy</v>
      </c>
      <c r="G57" s="4" t="str">
        <v xml:space="preserve"> Davolio</v>
      </c>
    </row>
    <row r="58" spans="3:7" x14ac:dyDescent="0.2">
      <c r="C58" s="254" t="s">
        <v>8479</v>
      </c>
      <c r="D58" s="271" t="str">
        <f t="shared" si="7"/>
        <v>Laura</v>
      </c>
      <c r="E58" s="271" t="str">
        <f t="shared" si="8"/>
        <v>Callahan</v>
      </c>
      <c r="F58" s="271" t="str" cm="1">
        <f t="array" ref="F58:G58">_xlfn.TEXTSPLIT(C58,",")</f>
        <v>Laura</v>
      </c>
      <c r="G58" s="4" t="str">
        <v xml:space="preserve"> Callahan</v>
      </c>
    </row>
    <row r="59" spans="3:7" x14ac:dyDescent="0.2">
      <c r="C59" s="254" t="s">
        <v>8480</v>
      </c>
      <c r="D59" s="271" t="str">
        <f t="shared" si="7"/>
        <v>Michael</v>
      </c>
      <c r="E59" s="271" t="str">
        <f t="shared" si="8"/>
        <v>Suyama</v>
      </c>
      <c r="F59" s="271" t="str" cm="1">
        <f t="array" ref="F59:G59">_xlfn.TEXTSPLIT(C59,",")</f>
        <v>Michael</v>
      </c>
      <c r="G59" s="4" t="str">
        <v xml:space="preserve"> Suyama</v>
      </c>
    </row>
    <row r="60" spans="3:7" x14ac:dyDescent="0.2">
      <c r="C60" s="254" t="s">
        <v>8481</v>
      </c>
      <c r="D60" s="271" t="str">
        <f t="shared" si="7"/>
        <v>Robert</v>
      </c>
      <c r="E60" s="271" t="str">
        <f t="shared" si="8"/>
        <v>King</v>
      </c>
      <c r="F60" s="271" t="str" cm="1">
        <f t="array" ref="F60:G60">_xlfn.TEXTSPLIT(C60,",")</f>
        <v>Robert</v>
      </c>
      <c r="G60" s="4" t="str">
        <v xml:space="preserve"> King</v>
      </c>
    </row>
  </sheetData>
  <mergeCells count="9">
    <mergeCell ref="C49:F49"/>
    <mergeCell ref="C37:F37"/>
    <mergeCell ref="C35:G35"/>
    <mergeCell ref="C34:F34"/>
    <mergeCell ref="C16:F16"/>
    <mergeCell ref="C21:F21"/>
    <mergeCell ref="C25:F25"/>
    <mergeCell ref="C30:F30"/>
    <mergeCell ref="C41:F41"/>
  </mergeCells>
  <printOptions verticalCentered="1" gridLinesSet="0"/>
  <pageMargins left="0.39370078740157483" right="0.39370078740157483" top="0.39370078740157483" bottom="0.39370078740157483" header="0.19685039370078741" footer="0.19685039370078741"/>
  <pageSetup paperSize="9" orientation="landscape" horizontalDpi="300" verticalDpi="300" r:id="rId1"/>
  <headerFooter alignWithMargins="0">
    <oddHeader>&amp;F</oddHeader>
    <oddFooter>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3:H894"/>
  <sheetViews>
    <sheetView showGridLines="0" workbookViewId="0"/>
  </sheetViews>
  <sheetFormatPr defaultColWidth="9" defaultRowHeight="14.25" x14ac:dyDescent="0.2"/>
  <cols>
    <col min="1" max="1" width="6.75" customWidth="1"/>
    <col min="2" max="2" width="6.625" customWidth="1"/>
    <col min="3" max="3" width="27.25" customWidth="1"/>
    <col min="4" max="4" width="40.5" customWidth="1"/>
    <col min="5" max="5" width="37.25" customWidth="1"/>
    <col min="6" max="6" width="45.25" customWidth="1"/>
    <col min="7" max="7" width="41.75" customWidth="1"/>
    <col min="8" max="8" width="12.25" customWidth="1"/>
  </cols>
  <sheetData>
    <row r="3" spans="1:8" ht="17.25" thickBot="1" x14ac:dyDescent="0.3">
      <c r="C3" s="115" t="s">
        <v>8437</v>
      </c>
      <c r="D3" s="115"/>
    </row>
    <row r="4" spans="1:8" ht="15" thickTop="1" x14ac:dyDescent="0.2">
      <c r="C4" s="190" t="s">
        <v>8435</v>
      </c>
    </row>
    <row r="5" spans="1:8" x14ac:dyDescent="0.2">
      <c r="C5" s="190" t="s">
        <v>8436</v>
      </c>
    </row>
    <row r="7" spans="1:8" ht="17.25" thickBot="1" x14ac:dyDescent="0.3">
      <c r="C7" s="115" t="s">
        <v>8432</v>
      </c>
      <c r="D7" s="115"/>
    </row>
    <row r="8" spans="1:8" ht="15" thickTop="1" x14ac:dyDescent="0.2">
      <c r="C8" s="238" t="s">
        <v>8433</v>
      </c>
    </row>
    <row r="9" spans="1:8" x14ac:dyDescent="0.2">
      <c r="C9" t="s">
        <v>8434</v>
      </c>
    </row>
    <row r="13" spans="1:8" x14ac:dyDescent="0.2">
      <c r="B13" s="230" t="s">
        <v>2723</v>
      </c>
      <c r="C13" s="230" t="s">
        <v>2724</v>
      </c>
      <c r="D13" s="230" t="s">
        <v>2725</v>
      </c>
      <c r="E13" s="230" t="s">
        <v>2726</v>
      </c>
      <c r="F13" s="230" t="s">
        <v>2727</v>
      </c>
      <c r="G13" s="230" t="s">
        <v>2728</v>
      </c>
      <c r="H13" s="231" t="s">
        <v>2729</v>
      </c>
    </row>
    <row r="14" spans="1:8" hidden="1" x14ac:dyDescent="0.2">
      <c r="A14" s="63"/>
      <c r="B14" s="232" t="s">
        <v>2397</v>
      </c>
      <c r="C14" s="233" t="s">
        <v>4166</v>
      </c>
      <c r="D14" s="233" t="s">
        <v>4167</v>
      </c>
      <c r="E14" s="233" t="s">
        <v>4168</v>
      </c>
      <c r="F14" s="233" t="s">
        <v>4169</v>
      </c>
      <c r="G14" s="233" t="s">
        <v>4169</v>
      </c>
      <c r="H14" s="234" t="s">
        <v>4170</v>
      </c>
    </row>
    <row r="15" spans="1:8" hidden="1" x14ac:dyDescent="0.2">
      <c r="A15" s="63"/>
      <c r="B15" s="232" t="s">
        <v>2397</v>
      </c>
      <c r="C15" s="233" t="s">
        <v>4171</v>
      </c>
      <c r="D15" s="233" t="s">
        <v>4172</v>
      </c>
      <c r="E15" s="233" t="s">
        <v>4173</v>
      </c>
      <c r="F15" s="233" t="s">
        <v>4174</v>
      </c>
      <c r="G15" s="233" t="s">
        <v>4174</v>
      </c>
      <c r="H15" s="234" t="s">
        <v>4170</v>
      </c>
    </row>
    <row r="16" spans="1:8" hidden="1" x14ac:dyDescent="0.2">
      <c r="A16" s="63"/>
      <c r="B16" s="232" t="s">
        <v>2397</v>
      </c>
      <c r="C16" s="233" t="s">
        <v>4175</v>
      </c>
      <c r="D16" s="233" t="s">
        <v>4176</v>
      </c>
      <c r="E16" s="233" t="s">
        <v>4177</v>
      </c>
      <c r="F16" s="233" t="s">
        <v>4178</v>
      </c>
      <c r="G16" s="233" t="s">
        <v>4179</v>
      </c>
      <c r="H16" s="234" t="s">
        <v>4170</v>
      </c>
    </row>
    <row r="17" spans="1:8" hidden="1" x14ac:dyDescent="0.2">
      <c r="A17" s="63"/>
      <c r="B17" s="232" t="s">
        <v>2397</v>
      </c>
      <c r="C17" s="233" t="s">
        <v>4180</v>
      </c>
      <c r="D17" s="233" t="s">
        <v>4181</v>
      </c>
      <c r="E17" s="233" t="s">
        <v>4182</v>
      </c>
      <c r="F17" s="233" t="s">
        <v>4183</v>
      </c>
      <c r="G17" s="233" t="s">
        <v>4184</v>
      </c>
      <c r="H17" s="234" t="s">
        <v>4170</v>
      </c>
    </row>
    <row r="18" spans="1:8" hidden="1" x14ac:dyDescent="0.2">
      <c r="A18" s="63"/>
      <c r="B18" s="232" t="s">
        <v>2397</v>
      </c>
      <c r="C18" s="233" t="s">
        <v>4185</v>
      </c>
      <c r="D18" s="233" t="s">
        <v>4186</v>
      </c>
      <c r="E18" s="233" t="s">
        <v>4187</v>
      </c>
      <c r="F18" s="233" t="s">
        <v>4188</v>
      </c>
      <c r="G18" s="233" t="s">
        <v>4189</v>
      </c>
      <c r="H18" s="234" t="s">
        <v>4170</v>
      </c>
    </row>
    <row r="19" spans="1:8" hidden="1" x14ac:dyDescent="0.2">
      <c r="A19" s="63"/>
      <c r="B19" s="232" t="s">
        <v>2397</v>
      </c>
      <c r="C19" s="233" t="s">
        <v>4190</v>
      </c>
      <c r="D19" s="233" t="s">
        <v>4191</v>
      </c>
      <c r="E19" s="233" t="s">
        <v>4192</v>
      </c>
      <c r="F19" s="233" t="s">
        <v>4193</v>
      </c>
      <c r="G19" s="233" t="s">
        <v>4194</v>
      </c>
      <c r="H19" s="234" t="s">
        <v>4170</v>
      </c>
    </row>
    <row r="20" spans="1:8" hidden="1" x14ac:dyDescent="0.2">
      <c r="A20" s="63"/>
      <c r="B20" s="232" t="s">
        <v>2397</v>
      </c>
      <c r="C20" s="233" t="s">
        <v>4195</v>
      </c>
      <c r="D20" s="233" t="s">
        <v>4196</v>
      </c>
      <c r="E20" s="233" t="s">
        <v>4197</v>
      </c>
      <c r="F20" s="233" t="s">
        <v>4198</v>
      </c>
      <c r="G20" s="233" t="s">
        <v>4199</v>
      </c>
      <c r="H20" s="234" t="s">
        <v>4170</v>
      </c>
    </row>
    <row r="21" spans="1:8" hidden="1" x14ac:dyDescent="0.2">
      <c r="A21" s="63"/>
      <c r="B21" s="232" t="s">
        <v>2397</v>
      </c>
      <c r="C21" s="233" t="s">
        <v>4200</v>
      </c>
      <c r="D21" s="233" t="s">
        <v>4201</v>
      </c>
      <c r="E21" s="233" t="s">
        <v>4202</v>
      </c>
      <c r="F21" s="233" t="s">
        <v>4203</v>
      </c>
      <c r="G21" s="233" t="s">
        <v>4204</v>
      </c>
      <c r="H21" s="234" t="s">
        <v>4170</v>
      </c>
    </row>
    <row r="22" spans="1:8" hidden="1" x14ac:dyDescent="0.2">
      <c r="A22" s="63"/>
      <c r="B22" s="232" t="s">
        <v>2397</v>
      </c>
      <c r="C22" s="233" t="s">
        <v>4205</v>
      </c>
      <c r="D22" s="233" t="s">
        <v>4206</v>
      </c>
      <c r="E22" s="233" t="s">
        <v>4207</v>
      </c>
      <c r="F22" s="233" t="s">
        <v>4208</v>
      </c>
      <c r="G22" s="233" t="s">
        <v>4209</v>
      </c>
      <c r="H22" s="234" t="s">
        <v>4170</v>
      </c>
    </row>
    <row r="23" spans="1:8" hidden="1" x14ac:dyDescent="0.2">
      <c r="A23" s="63"/>
      <c r="B23" s="232" t="s">
        <v>2397</v>
      </c>
      <c r="C23" s="233" t="s">
        <v>4210</v>
      </c>
      <c r="D23" s="233" t="s">
        <v>4211</v>
      </c>
      <c r="E23" s="233" t="s">
        <v>4212</v>
      </c>
      <c r="F23" s="233" t="s">
        <v>4213</v>
      </c>
      <c r="G23" s="233" t="s">
        <v>4214</v>
      </c>
      <c r="H23" s="234" t="s">
        <v>4170</v>
      </c>
    </row>
    <row r="24" spans="1:8" hidden="1" x14ac:dyDescent="0.2">
      <c r="A24" s="63"/>
      <c r="B24" s="232" t="s">
        <v>2397</v>
      </c>
      <c r="C24" s="233" t="s">
        <v>4215</v>
      </c>
      <c r="D24" s="233" t="s">
        <v>4216</v>
      </c>
      <c r="E24" s="233" t="s">
        <v>4217</v>
      </c>
      <c r="F24" s="233" t="s">
        <v>4218</v>
      </c>
      <c r="G24" s="233" t="s">
        <v>4219</v>
      </c>
      <c r="H24" s="234" t="s">
        <v>4170</v>
      </c>
    </row>
    <row r="25" spans="1:8" hidden="1" x14ac:dyDescent="0.2">
      <c r="A25" s="63"/>
      <c r="B25" s="232" t="s">
        <v>2397</v>
      </c>
      <c r="C25" s="233" t="s">
        <v>4220</v>
      </c>
      <c r="D25" s="233" t="s">
        <v>4221</v>
      </c>
      <c r="E25" s="233" t="s">
        <v>4222</v>
      </c>
      <c r="F25" s="233" t="s">
        <v>4223</v>
      </c>
      <c r="G25" s="233" t="s">
        <v>4224</v>
      </c>
      <c r="H25" s="234" t="s">
        <v>4170</v>
      </c>
    </row>
    <row r="26" spans="1:8" hidden="1" x14ac:dyDescent="0.2">
      <c r="A26" s="63"/>
      <c r="B26" s="232" t="s">
        <v>2397</v>
      </c>
      <c r="C26" s="233" t="s">
        <v>4225</v>
      </c>
      <c r="D26" s="233" t="s">
        <v>4226</v>
      </c>
      <c r="E26" s="233" t="s">
        <v>4227</v>
      </c>
      <c r="F26" s="233" t="s">
        <v>4228</v>
      </c>
      <c r="G26" s="233" t="s">
        <v>4229</v>
      </c>
      <c r="H26" s="234" t="s">
        <v>4170</v>
      </c>
    </row>
    <row r="27" spans="1:8" hidden="1" x14ac:dyDescent="0.2">
      <c r="A27" s="63"/>
      <c r="B27" s="232" t="s">
        <v>2397</v>
      </c>
      <c r="C27" s="233" t="s">
        <v>4230</v>
      </c>
      <c r="D27" s="233" t="s">
        <v>4231</v>
      </c>
      <c r="E27" s="233" t="s">
        <v>4232</v>
      </c>
      <c r="F27" s="233" t="s">
        <v>4233</v>
      </c>
      <c r="G27" s="233" t="s">
        <v>4234</v>
      </c>
      <c r="H27" s="234" t="s">
        <v>4170</v>
      </c>
    </row>
    <row r="28" spans="1:8" hidden="1" x14ac:dyDescent="0.2">
      <c r="A28" s="63"/>
      <c r="B28" s="232" t="s">
        <v>2397</v>
      </c>
      <c r="C28" s="233" t="s">
        <v>4235</v>
      </c>
      <c r="D28" s="233" t="s">
        <v>4236</v>
      </c>
      <c r="E28" s="233" t="s">
        <v>4237</v>
      </c>
      <c r="F28" s="233" t="s">
        <v>4238</v>
      </c>
      <c r="G28" s="233" t="s">
        <v>4239</v>
      </c>
      <c r="H28" s="234" t="s">
        <v>4170</v>
      </c>
    </row>
    <row r="29" spans="1:8" hidden="1" x14ac:dyDescent="0.2">
      <c r="A29" s="63"/>
      <c r="B29" s="232" t="s">
        <v>2397</v>
      </c>
      <c r="C29" s="233" t="s">
        <v>4240</v>
      </c>
      <c r="D29" s="233" t="s">
        <v>4241</v>
      </c>
      <c r="E29" s="233" t="s">
        <v>4242</v>
      </c>
      <c r="F29" s="233" t="s">
        <v>4243</v>
      </c>
      <c r="G29" s="233" t="s">
        <v>4244</v>
      </c>
      <c r="H29" s="234" t="s">
        <v>4170</v>
      </c>
    </row>
    <row r="30" spans="1:8" hidden="1" x14ac:dyDescent="0.2">
      <c r="A30" s="63"/>
      <c r="B30" s="232" t="s">
        <v>2397</v>
      </c>
      <c r="C30" s="233" t="s">
        <v>4245</v>
      </c>
      <c r="D30" s="233" t="s">
        <v>4246</v>
      </c>
      <c r="E30" s="233" t="s">
        <v>4245</v>
      </c>
      <c r="F30" s="233" t="s">
        <v>4247</v>
      </c>
      <c r="G30" s="233" t="s">
        <v>4248</v>
      </c>
      <c r="H30" s="234" t="s">
        <v>4170</v>
      </c>
    </row>
    <row r="31" spans="1:8" hidden="1" x14ac:dyDescent="0.2">
      <c r="A31" s="63"/>
      <c r="B31" s="232" t="s">
        <v>2397</v>
      </c>
      <c r="C31" s="233" t="s">
        <v>4249</v>
      </c>
      <c r="D31" s="233" t="s">
        <v>4250</v>
      </c>
      <c r="E31" s="233" t="s">
        <v>4251</v>
      </c>
      <c r="F31" s="233" t="s">
        <v>4252</v>
      </c>
      <c r="G31" s="233" t="s">
        <v>4253</v>
      </c>
      <c r="H31" s="234" t="s">
        <v>4170</v>
      </c>
    </row>
    <row r="32" spans="1:8" hidden="1" x14ac:dyDescent="0.2">
      <c r="A32" s="63"/>
      <c r="B32" s="232" t="s">
        <v>2397</v>
      </c>
      <c r="C32" s="233" t="s">
        <v>4254</v>
      </c>
      <c r="D32" s="233" t="s">
        <v>4255</v>
      </c>
      <c r="E32" s="233" t="s">
        <v>4256</v>
      </c>
      <c r="F32" s="233" t="s">
        <v>4257</v>
      </c>
      <c r="G32" s="233" t="s">
        <v>4258</v>
      </c>
      <c r="H32" s="234" t="s">
        <v>4170</v>
      </c>
    </row>
    <row r="33" spans="1:8" hidden="1" x14ac:dyDescent="0.2">
      <c r="A33" s="63"/>
      <c r="B33" s="232" t="s">
        <v>2397</v>
      </c>
      <c r="C33" s="233" t="s">
        <v>4259</v>
      </c>
      <c r="D33" s="233" t="s">
        <v>4260</v>
      </c>
      <c r="E33" s="233" t="s">
        <v>4259</v>
      </c>
      <c r="F33" s="233" t="s">
        <v>4261</v>
      </c>
      <c r="G33" s="233" t="s">
        <v>4262</v>
      </c>
      <c r="H33" s="234" t="s">
        <v>4170</v>
      </c>
    </row>
    <row r="34" spans="1:8" hidden="1" x14ac:dyDescent="0.2">
      <c r="A34" s="63"/>
      <c r="B34" s="232" t="s">
        <v>2397</v>
      </c>
      <c r="C34" s="233" t="s">
        <v>4263</v>
      </c>
      <c r="D34" s="233" t="s">
        <v>4264</v>
      </c>
      <c r="E34" s="233" t="s">
        <v>4263</v>
      </c>
      <c r="F34" s="233" t="s">
        <v>4265</v>
      </c>
      <c r="G34" s="233" t="s">
        <v>4266</v>
      </c>
      <c r="H34" s="234" t="s">
        <v>4170</v>
      </c>
    </row>
    <row r="35" spans="1:8" hidden="1" x14ac:dyDescent="0.2">
      <c r="A35" s="63"/>
      <c r="B35" s="232" t="s">
        <v>2397</v>
      </c>
      <c r="C35" s="233" t="s">
        <v>4267</v>
      </c>
      <c r="D35" s="233" t="s">
        <v>4268</v>
      </c>
      <c r="E35" s="233" t="s">
        <v>4267</v>
      </c>
      <c r="F35" s="233" t="s">
        <v>4269</v>
      </c>
      <c r="G35" s="233" t="s">
        <v>4270</v>
      </c>
      <c r="H35" s="234" t="s">
        <v>4170</v>
      </c>
    </row>
    <row r="36" spans="1:8" hidden="1" x14ac:dyDescent="0.2">
      <c r="A36" s="63"/>
      <c r="B36" s="232" t="s">
        <v>2397</v>
      </c>
      <c r="C36" s="233" t="s">
        <v>4271</v>
      </c>
      <c r="D36" s="233" t="s">
        <v>4272</v>
      </c>
      <c r="E36" s="233" t="s">
        <v>4271</v>
      </c>
      <c r="F36" s="233" t="s">
        <v>4273</v>
      </c>
      <c r="G36" s="233" t="s">
        <v>4274</v>
      </c>
      <c r="H36" s="234" t="s">
        <v>4170</v>
      </c>
    </row>
    <row r="37" spans="1:8" hidden="1" x14ac:dyDescent="0.2">
      <c r="A37" s="63"/>
      <c r="B37" s="232" t="s">
        <v>2397</v>
      </c>
      <c r="C37" s="233" t="s">
        <v>4275</v>
      </c>
      <c r="D37" s="233" t="s">
        <v>4276</v>
      </c>
      <c r="E37" s="233" t="s">
        <v>4275</v>
      </c>
      <c r="F37" s="233" t="s">
        <v>4277</v>
      </c>
      <c r="G37" s="233" t="s">
        <v>4278</v>
      </c>
      <c r="H37" s="234" t="s">
        <v>4170</v>
      </c>
    </row>
    <row r="38" spans="1:8" hidden="1" x14ac:dyDescent="0.2">
      <c r="A38" s="63"/>
      <c r="B38" s="232" t="s">
        <v>2397</v>
      </c>
      <c r="C38" s="233" t="s">
        <v>4279</v>
      </c>
      <c r="D38" s="233" t="s">
        <v>4280</v>
      </c>
      <c r="E38" s="233" t="s">
        <v>4279</v>
      </c>
      <c r="F38" s="233" t="s">
        <v>4281</v>
      </c>
      <c r="G38" s="233" t="s">
        <v>4282</v>
      </c>
      <c r="H38" s="234" t="s">
        <v>4170</v>
      </c>
    </row>
    <row r="39" spans="1:8" hidden="1" x14ac:dyDescent="0.2">
      <c r="A39" s="63"/>
      <c r="B39" s="232" t="s">
        <v>2397</v>
      </c>
      <c r="C39" s="233" t="s">
        <v>4283</v>
      </c>
      <c r="D39" s="233" t="s">
        <v>4284</v>
      </c>
      <c r="E39" s="233" t="s">
        <v>4285</v>
      </c>
      <c r="F39" s="233" t="s">
        <v>4286</v>
      </c>
      <c r="G39" s="233" t="s">
        <v>4287</v>
      </c>
      <c r="H39" s="234" t="s">
        <v>4170</v>
      </c>
    </row>
    <row r="40" spans="1:8" hidden="1" x14ac:dyDescent="0.2">
      <c r="A40" s="63"/>
      <c r="B40" s="232" t="s">
        <v>2397</v>
      </c>
      <c r="C40" s="233" t="s">
        <v>4288</v>
      </c>
      <c r="D40" s="233" t="s">
        <v>4289</v>
      </c>
      <c r="E40" s="233" t="s">
        <v>4290</v>
      </c>
      <c r="F40" s="233" t="s">
        <v>4291</v>
      </c>
      <c r="G40" s="233" t="s">
        <v>4292</v>
      </c>
      <c r="H40" s="234" t="s">
        <v>4170</v>
      </c>
    </row>
    <row r="41" spans="1:8" hidden="1" x14ac:dyDescent="0.2">
      <c r="A41" s="63"/>
      <c r="B41" s="232" t="s">
        <v>2397</v>
      </c>
      <c r="C41" s="233" t="s">
        <v>4293</v>
      </c>
      <c r="D41" s="233" t="s">
        <v>4294</v>
      </c>
      <c r="E41" s="233" t="s">
        <v>4295</v>
      </c>
      <c r="F41" s="233" t="s">
        <v>4296</v>
      </c>
      <c r="G41" s="233" t="s">
        <v>4297</v>
      </c>
      <c r="H41" s="234" t="s">
        <v>4170</v>
      </c>
    </row>
    <row r="42" spans="1:8" hidden="1" x14ac:dyDescent="0.2">
      <c r="A42" s="63"/>
      <c r="B42" s="232" t="s">
        <v>2397</v>
      </c>
      <c r="C42" s="233" t="s">
        <v>4298</v>
      </c>
      <c r="D42" s="233" t="s">
        <v>4299</v>
      </c>
      <c r="E42" s="233" t="s">
        <v>4300</v>
      </c>
      <c r="F42" s="233" t="s">
        <v>4301</v>
      </c>
      <c r="G42" s="233" t="s">
        <v>4302</v>
      </c>
      <c r="H42" s="234" t="s">
        <v>4170</v>
      </c>
    </row>
    <row r="43" spans="1:8" hidden="1" x14ac:dyDescent="0.2">
      <c r="A43" s="63"/>
      <c r="B43" s="232" t="s">
        <v>2397</v>
      </c>
      <c r="C43" s="233" t="s">
        <v>4303</v>
      </c>
      <c r="D43" s="233" t="s">
        <v>4304</v>
      </c>
      <c r="E43" s="233" t="s">
        <v>4305</v>
      </c>
      <c r="F43" s="233" t="s">
        <v>4306</v>
      </c>
      <c r="G43" s="233" t="s">
        <v>4307</v>
      </c>
      <c r="H43" s="234" t="s">
        <v>4170</v>
      </c>
    </row>
    <row r="44" spans="1:8" hidden="1" x14ac:dyDescent="0.2">
      <c r="A44" s="63"/>
      <c r="B44" s="232" t="s">
        <v>2397</v>
      </c>
      <c r="C44" s="233" t="s">
        <v>4308</v>
      </c>
      <c r="D44" s="233" t="s">
        <v>4309</v>
      </c>
      <c r="E44" s="233" t="s">
        <v>4310</v>
      </c>
      <c r="F44" s="233" t="s">
        <v>4311</v>
      </c>
      <c r="G44" s="233" t="s">
        <v>4312</v>
      </c>
      <c r="H44" s="234" t="s">
        <v>4170</v>
      </c>
    </row>
    <row r="45" spans="1:8" hidden="1" x14ac:dyDescent="0.2">
      <c r="A45" s="63"/>
      <c r="B45" s="232" t="s">
        <v>2397</v>
      </c>
      <c r="C45" s="233" t="s">
        <v>4313</v>
      </c>
      <c r="D45" s="233" t="s">
        <v>4314</v>
      </c>
      <c r="E45" s="233" t="s">
        <v>4315</v>
      </c>
      <c r="F45" s="233" t="s">
        <v>4316</v>
      </c>
      <c r="G45" s="233" t="s">
        <v>4317</v>
      </c>
      <c r="H45" s="234" t="s">
        <v>4170</v>
      </c>
    </row>
    <row r="46" spans="1:8" hidden="1" x14ac:dyDescent="0.2">
      <c r="A46" s="63"/>
      <c r="B46" s="232" t="s">
        <v>2397</v>
      </c>
      <c r="C46" s="233" t="s">
        <v>4318</v>
      </c>
      <c r="D46" s="233" t="s">
        <v>4319</v>
      </c>
      <c r="E46" s="233" t="s">
        <v>4320</v>
      </c>
      <c r="F46" s="233" t="s">
        <v>4321</v>
      </c>
      <c r="G46" s="233" t="s">
        <v>4322</v>
      </c>
      <c r="H46" s="234" t="s">
        <v>4170</v>
      </c>
    </row>
    <row r="47" spans="1:8" hidden="1" x14ac:dyDescent="0.2">
      <c r="A47" s="63"/>
      <c r="B47" s="232" t="s">
        <v>2397</v>
      </c>
      <c r="C47" s="233" t="s">
        <v>4323</v>
      </c>
      <c r="D47" s="233" t="s">
        <v>4324</v>
      </c>
      <c r="E47" s="233" t="s">
        <v>4325</v>
      </c>
      <c r="F47" s="233" t="s">
        <v>4326</v>
      </c>
      <c r="G47" s="233" t="s">
        <v>4327</v>
      </c>
      <c r="H47" s="234" t="s">
        <v>4170</v>
      </c>
    </row>
    <row r="48" spans="1:8" hidden="1" x14ac:dyDescent="0.2">
      <c r="A48" s="63"/>
      <c r="B48" s="232" t="s">
        <v>2397</v>
      </c>
      <c r="C48" s="233" t="s">
        <v>4328</v>
      </c>
      <c r="D48" s="233" t="s">
        <v>4329</v>
      </c>
      <c r="E48" s="233" t="s">
        <v>4330</v>
      </c>
      <c r="F48" s="233" t="s">
        <v>4331</v>
      </c>
      <c r="G48" s="233" t="s">
        <v>4332</v>
      </c>
      <c r="H48" s="234" t="s">
        <v>4170</v>
      </c>
    </row>
    <row r="49" spans="1:8" hidden="1" x14ac:dyDescent="0.2">
      <c r="A49" s="63"/>
      <c r="B49" s="232" t="s">
        <v>2397</v>
      </c>
      <c r="C49" s="233" t="s">
        <v>4333</v>
      </c>
      <c r="D49" s="233" t="s">
        <v>4333</v>
      </c>
      <c r="E49" s="233" t="s">
        <v>4333</v>
      </c>
      <c r="F49" s="233" t="s">
        <v>4333</v>
      </c>
      <c r="G49" s="233" t="s">
        <v>4334</v>
      </c>
      <c r="H49" s="234" t="s">
        <v>4170</v>
      </c>
    </row>
    <row r="50" spans="1:8" hidden="1" x14ac:dyDescent="0.2">
      <c r="A50" s="63"/>
      <c r="B50" s="232" t="s">
        <v>2397</v>
      </c>
      <c r="C50" s="233" t="s">
        <v>4335</v>
      </c>
      <c r="D50" s="233" t="s">
        <v>4336</v>
      </c>
      <c r="E50" s="233" t="s">
        <v>4337</v>
      </c>
      <c r="F50" s="233" t="s">
        <v>4338</v>
      </c>
      <c r="G50" s="233" t="s">
        <v>4339</v>
      </c>
      <c r="H50" s="234" t="s">
        <v>4170</v>
      </c>
    </row>
    <row r="51" spans="1:8" hidden="1" x14ac:dyDescent="0.2">
      <c r="A51" s="63"/>
      <c r="B51" s="232" t="s">
        <v>2397</v>
      </c>
      <c r="C51" s="233" t="s">
        <v>4340</v>
      </c>
      <c r="D51" s="233" t="s">
        <v>4341</v>
      </c>
      <c r="E51" s="233" t="s">
        <v>4342</v>
      </c>
      <c r="F51" s="233" t="s">
        <v>4343</v>
      </c>
      <c r="G51" s="233" t="s">
        <v>4344</v>
      </c>
      <c r="H51" s="234" t="s">
        <v>4170</v>
      </c>
    </row>
    <row r="52" spans="1:8" hidden="1" x14ac:dyDescent="0.2">
      <c r="A52" s="63"/>
      <c r="B52" s="232" t="s">
        <v>2397</v>
      </c>
      <c r="C52" s="233" t="s">
        <v>4345</v>
      </c>
      <c r="D52" s="233" t="s">
        <v>4346</v>
      </c>
      <c r="E52" s="233" t="s">
        <v>4347</v>
      </c>
      <c r="F52" s="233" t="s">
        <v>4348</v>
      </c>
      <c r="G52" s="233" t="s">
        <v>4349</v>
      </c>
      <c r="H52" s="234" t="s">
        <v>4170</v>
      </c>
    </row>
    <row r="53" spans="1:8" hidden="1" x14ac:dyDescent="0.2">
      <c r="A53" s="63"/>
      <c r="B53" s="232" t="s">
        <v>2397</v>
      </c>
      <c r="C53" s="233" t="s">
        <v>4350</v>
      </c>
      <c r="D53" s="233" t="s">
        <v>4351</v>
      </c>
      <c r="E53" s="233" t="s">
        <v>4352</v>
      </c>
      <c r="F53" s="233" t="s">
        <v>4353</v>
      </c>
      <c r="G53" s="233" t="s">
        <v>4354</v>
      </c>
      <c r="H53" s="234" t="s">
        <v>4170</v>
      </c>
    </row>
    <row r="54" spans="1:8" hidden="1" x14ac:dyDescent="0.2">
      <c r="A54" s="63"/>
      <c r="B54" s="232" t="s">
        <v>2397</v>
      </c>
      <c r="C54" s="233" t="s">
        <v>4355</v>
      </c>
      <c r="D54" s="233" t="s">
        <v>4356</v>
      </c>
      <c r="E54" s="233" t="s">
        <v>4357</v>
      </c>
      <c r="F54" s="233" t="s">
        <v>4358</v>
      </c>
      <c r="G54" s="233" t="s">
        <v>4359</v>
      </c>
      <c r="H54" s="234" t="s">
        <v>4170</v>
      </c>
    </row>
    <row r="55" spans="1:8" hidden="1" x14ac:dyDescent="0.2">
      <c r="A55" s="63"/>
      <c r="B55" s="232" t="s">
        <v>2397</v>
      </c>
      <c r="C55" s="233" t="s">
        <v>4360</v>
      </c>
      <c r="D55" s="233" t="s">
        <v>4361</v>
      </c>
      <c r="E55" s="233" t="s">
        <v>4362</v>
      </c>
      <c r="F55" s="233" t="s">
        <v>4363</v>
      </c>
      <c r="G55" s="233" t="s">
        <v>4364</v>
      </c>
      <c r="H55" s="234" t="s">
        <v>4170</v>
      </c>
    </row>
    <row r="56" spans="1:8" hidden="1" x14ac:dyDescent="0.2">
      <c r="A56" s="63"/>
      <c r="B56" s="232" t="s">
        <v>2397</v>
      </c>
      <c r="C56" s="233" t="s">
        <v>4365</v>
      </c>
      <c r="D56" s="233" t="s">
        <v>4366</v>
      </c>
      <c r="E56" s="233" t="s">
        <v>4367</v>
      </c>
      <c r="F56" s="233" t="s">
        <v>4368</v>
      </c>
      <c r="G56" s="233" t="s">
        <v>4369</v>
      </c>
      <c r="H56" s="234" t="s">
        <v>4170</v>
      </c>
    </row>
    <row r="57" spans="1:8" hidden="1" x14ac:dyDescent="0.2">
      <c r="A57" s="63"/>
      <c r="B57" s="232" t="s">
        <v>2397</v>
      </c>
      <c r="C57" s="233" t="s">
        <v>4370</v>
      </c>
      <c r="D57" s="233" t="s">
        <v>4371</v>
      </c>
      <c r="E57" s="233" t="s">
        <v>4372</v>
      </c>
      <c r="F57" s="233" t="s">
        <v>4373</v>
      </c>
      <c r="G57" s="233" t="s">
        <v>4374</v>
      </c>
      <c r="H57" s="234" t="s">
        <v>4170</v>
      </c>
    </row>
    <row r="58" spans="1:8" hidden="1" x14ac:dyDescent="0.2">
      <c r="A58" s="63"/>
      <c r="B58" s="232" t="s">
        <v>2397</v>
      </c>
      <c r="C58" s="233" t="s">
        <v>4375</v>
      </c>
      <c r="D58" s="233" t="s">
        <v>4376</v>
      </c>
      <c r="E58" s="233" t="s">
        <v>4377</v>
      </c>
      <c r="F58" s="233" t="s">
        <v>4375</v>
      </c>
      <c r="G58" s="233" t="s">
        <v>4378</v>
      </c>
      <c r="H58" s="234" t="s">
        <v>4170</v>
      </c>
    </row>
    <row r="59" spans="1:8" hidden="1" x14ac:dyDescent="0.2">
      <c r="A59" s="63"/>
      <c r="B59" s="232" t="s">
        <v>2397</v>
      </c>
      <c r="C59" s="233" t="s">
        <v>4379</v>
      </c>
      <c r="D59" s="233" t="s">
        <v>4380</v>
      </c>
      <c r="E59" s="233" t="s">
        <v>4381</v>
      </c>
      <c r="F59" s="233" t="s">
        <v>4382</v>
      </c>
      <c r="G59" s="233" t="s">
        <v>4382</v>
      </c>
      <c r="H59" s="234" t="s">
        <v>4170</v>
      </c>
    </row>
    <row r="60" spans="1:8" hidden="1" x14ac:dyDescent="0.2">
      <c r="A60" s="63"/>
      <c r="B60" s="232" t="s">
        <v>2397</v>
      </c>
      <c r="C60" s="233" t="s">
        <v>4383</v>
      </c>
      <c r="D60" s="233" t="s">
        <v>3793</v>
      </c>
      <c r="E60" s="233" t="s">
        <v>4384</v>
      </c>
      <c r="F60" s="233" t="s">
        <v>4385</v>
      </c>
      <c r="G60" s="233" t="s">
        <v>4386</v>
      </c>
      <c r="H60" s="234" t="s">
        <v>4170</v>
      </c>
    </row>
    <row r="61" spans="1:8" hidden="1" x14ac:dyDescent="0.2">
      <c r="A61" s="63"/>
      <c r="B61" s="232" t="s">
        <v>2397</v>
      </c>
      <c r="C61" s="233" t="s">
        <v>4387</v>
      </c>
      <c r="D61" s="233" t="s">
        <v>4388</v>
      </c>
      <c r="E61" s="233" t="s">
        <v>4389</v>
      </c>
      <c r="F61" s="233" t="s">
        <v>4390</v>
      </c>
      <c r="G61" s="233" t="s">
        <v>4391</v>
      </c>
      <c r="H61" s="234" t="s">
        <v>4170</v>
      </c>
    </row>
    <row r="62" spans="1:8" hidden="1" x14ac:dyDescent="0.2">
      <c r="A62" s="63"/>
      <c r="B62" s="232" t="s">
        <v>2397</v>
      </c>
      <c r="C62" s="233" t="s">
        <v>4392</v>
      </c>
      <c r="D62" s="233" t="s">
        <v>4393</v>
      </c>
      <c r="E62" s="233" t="s">
        <v>4394</v>
      </c>
      <c r="F62" s="233" t="s">
        <v>4395</v>
      </c>
      <c r="G62" s="233" t="s">
        <v>4396</v>
      </c>
      <c r="H62" s="234" t="s">
        <v>4170</v>
      </c>
    </row>
    <row r="63" spans="1:8" hidden="1" x14ac:dyDescent="0.2">
      <c r="A63" s="63"/>
      <c r="B63" s="232" t="s">
        <v>2397</v>
      </c>
      <c r="C63" s="233" t="s">
        <v>4397</v>
      </c>
      <c r="D63" s="233" t="s">
        <v>4398</v>
      </c>
      <c r="E63" s="233" t="s">
        <v>4399</v>
      </c>
      <c r="F63" s="233" t="s">
        <v>4400</v>
      </c>
      <c r="G63" s="233" t="s">
        <v>4401</v>
      </c>
      <c r="H63" s="234" t="s">
        <v>4170</v>
      </c>
    </row>
    <row r="64" spans="1:8" hidden="1" x14ac:dyDescent="0.2">
      <c r="A64" s="63"/>
      <c r="B64" s="232" t="s">
        <v>2397</v>
      </c>
      <c r="C64" s="233" t="s">
        <v>4402</v>
      </c>
      <c r="D64" s="233" t="s">
        <v>4403</v>
      </c>
      <c r="E64" s="233" t="s">
        <v>4404</v>
      </c>
      <c r="F64" s="233" t="s">
        <v>4405</v>
      </c>
      <c r="G64" s="233" t="s">
        <v>4406</v>
      </c>
      <c r="H64" s="234" t="s">
        <v>4170</v>
      </c>
    </row>
    <row r="65" spans="1:8" hidden="1" x14ac:dyDescent="0.2">
      <c r="A65" s="63"/>
      <c r="B65" s="232" t="s">
        <v>2397</v>
      </c>
      <c r="C65" s="233" t="s">
        <v>4407</v>
      </c>
      <c r="D65" s="233" t="s">
        <v>4408</v>
      </c>
      <c r="E65" s="233" t="s">
        <v>4409</v>
      </c>
      <c r="F65" s="233" t="s">
        <v>4410</v>
      </c>
      <c r="G65" s="233" t="s">
        <v>4411</v>
      </c>
      <c r="H65" s="234" t="s">
        <v>4170</v>
      </c>
    </row>
    <row r="66" spans="1:8" hidden="1" x14ac:dyDescent="0.2">
      <c r="A66" s="63"/>
      <c r="B66" s="232" t="s">
        <v>2397</v>
      </c>
      <c r="C66" s="233" t="s">
        <v>4412</v>
      </c>
      <c r="D66" s="233" t="s">
        <v>4413</v>
      </c>
      <c r="E66" s="233" t="s">
        <v>4414</v>
      </c>
      <c r="F66" s="233" t="s">
        <v>4415</v>
      </c>
      <c r="G66" s="233" t="s">
        <v>4416</v>
      </c>
      <c r="H66" s="234" t="s">
        <v>4170</v>
      </c>
    </row>
    <row r="67" spans="1:8" hidden="1" x14ac:dyDescent="0.2">
      <c r="A67" s="63"/>
      <c r="B67" s="232" t="s">
        <v>2397</v>
      </c>
      <c r="C67" s="233" t="s">
        <v>4417</v>
      </c>
      <c r="D67" s="233" t="s">
        <v>4418</v>
      </c>
      <c r="E67" s="233" t="s">
        <v>4419</v>
      </c>
      <c r="F67" s="233" t="s">
        <v>4420</v>
      </c>
      <c r="G67" s="233" t="s">
        <v>4421</v>
      </c>
      <c r="H67" s="234" t="s">
        <v>4170</v>
      </c>
    </row>
    <row r="68" spans="1:8" hidden="1" x14ac:dyDescent="0.2">
      <c r="A68" s="63"/>
      <c r="B68" s="232" t="s">
        <v>2397</v>
      </c>
      <c r="C68" s="233" t="s">
        <v>4422</v>
      </c>
      <c r="D68" s="233" t="s">
        <v>4423</v>
      </c>
      <c r="E68" s="233" t="s">
        <v>4424</v>
      </c>
      <c r="F68" s="233" t="s">
        <v>4425</v>
      </c>
      <c r="G68" s="233" t="s">
        <v>4426</v>
      </c>
      <c r="H68" s="234" t="s">
        <v>4170</v>
      </c>
    </row>
    <row r="69" spans="1:8" hidden="1" x14ac:dyDescent="0.2">
      <c r="A69" s="63"/>
      <c r="B69" s="232" t="s">
        <v>2397</v>
      </c>
      <c r="C69" s="233" t="s">
        <v>4427</v>
      </c>
      <c r="D69" s="233" t="s">
        <v>4428</v>
      </c>
      <c r="E69" s="233" t="s">
        <v>4429</v>
      </c>
      <c r="F69" s="233" t="s">
        <v>4430</v>
      </c>
      <c r="G69" s="233" t="s">
        <v>4431</v>
      </c>
      <c r="H69" s="234" t="s">
        <v>4170</v>
      </c>
    </row>
    <row r="70" spans="1:8" hidden="1" x14ac:dyDescent="0.2">
      <c r="A70" s="63"/>
      <c r="B70" s="232" t="s">
        <v>2397</v>
      </c>
      <c r="C70" s="233" t="s">
        <v>4432</v>
      </c>
      <c r="D70" s="233" t="s">
        <v>4433</v>
      </c>
      <c r="E70" s="233" t="s">
        <v>4434</v>
      </c>
      <c r="F70" s="233" t="s">
        <v>4435</v>
      </c>
      <c r="G70" s="233" t="s">
        <v>4436</v>
      </c>
      <c r="H70" s="234" t="s">
        <v>4170</v>
      </c>
    </row>
    <row r="71" spans="1:8" hidden="1" x14ac:dyDescent="0.2">
      <c r="A71" s="63"/>
      <c r="B71" s="232" t="s">
        <v>2397</v>
      </c>
      <c r="C71" s="233" t="s">
        <v>4437</v>
      </c>
      <c r="D71" s="233" t="s">
        <v>4438</v>
      </c>
      <c r="E71" s="233" t="s">
        <v>4439</v>
      </c>
      <c r="F71" s="233" t="s">
        <v>4440</v>
      </c>
      <c r="G71" s="233" t="s">
        <v>4441</v>
      </c>
      <c r="H71" s="234" t="s">
        <v>4170</v>
      </c>
    </row>
    <row r="72" spans="1:8" hidden="1" x14ac:dyDescent="0.2">
      <c r="A72" s="63"/>
      <c r="B72" s="232" t="s">
        <v>2397</v>
      </c>
      <c r="C72" s="233" t="s">
        <v>4442</v>
      </c>
      <c r="D72" s="233" t="s">
        <v>4443</v>
      </c>
      <c r="E72" s="233" t="s">
        <v>4444</v>
      </c>
      <c r="F72" s="233" t="s">
        <v>4445</v>
      </c>
      <c r="G72" s="233" t="s">
        <v>4446</v>
      </c>
      <c r="H72" s="234" t="s">
        <v>4170</v>
      </c>
    </row>
    <row r="73" spans="1:8" hidden="1" x14ac:dyDescent="0.2">
      <c r="A73" s="63"/>
      <c r="B73" s="232" t="s">
        <v>2397</v>
      </c>
      <c r="C73" s="233" t="s">
        <v>4447</v>
      </c>
      <c r="D73" s="233" t="s">
        <v>4448</v>
      </c>
      <c r="E73" s="233" t="s">
        <v>4449</v>
      </c>
      <c r="F73" s="233" t="s">
        <v>4450</v>
      </c>
      <c r="G73" s="233" t="s">
        <v>4451</v>
      </c>
      <c r="H73" s="234" t="s">
        <v>4170</v>
      </c>
    </row>
    <row r="74" spans="1:8" hidden="1" x14ac:dyDescent="0.2">
      <c r="A74" s="63"/>
      <c r="B74" s="232" t="s">
        <v>2397</v>
      </c>
      <c r="C74" s="233" t="s">
        <v>4452</v>
      </c>
      <c r="D74" s="233" t="s">
        <v>4453</v>
      </c>
      <c r="E74" s="233" t="s">
        <v>4454</v>
      </c>
      <c r="F74" s="233" t="s">
        <v>4455</v>
      </c>
      <c r="G74" s="233" t="s">
        <v>4456</v>
      </c>
      <c r="H74" s="234" t="s">
        <v>4170</v>
      </c>
    </row>
    <row r="75" spans="1:8" hidden="1" x14ac:dyDescent="0.2">
      <c r="A75" s="63"/>
      <c r="B75" s="232" t="s">
        <v>2397</v>
      </c>
      <c r="C75" s="233" t="s">
        <v>4457</v>
      </c>
      <c r="D75" s="233" t="s">
        <v>4458</v>
      </c>
      <c r="E75" s="233" t="s">
        <v>4459</v>
      </c>
      <c r="F75" s="233" t="s">
        <v>4460</v>
      </c>
      <c r="G75" s="233" t="s">
        <v>4461</v>
      </c>
      <c r="H75" s="234" t="s">
        <v>4170</v>
      </c>
    </row>
    <row r="76" spans="1:8" hidden="1" x14ac:dyDescent="0.2">
      <c r="A76" s="63"/>
      <c r="B76" s="232" t="s">
        <v>2397</v>
      </c>
      <c r="C76" s="233" t="s">
        <v>4462</v>
      </c>
      <c r="D76" s="233" t="s">
        <v>4463</v>
      </c>
      <c r="E76" s="233" t="s">
        <v>4464</v>
      </c>
      <c r="F76" s="233" t="s">
        <v>4465</v>
      </c>
      <c r="G76" s="233" t="s">
        <v>4466</v>
      </c>
      <c r="H76" s="234" t="s">
        <v>4170</v>
      </c>
    </row>
    <row r="77" spans="1:8" hidden="1" x14ac:dyDescent="0.2">
      <c r="A77" s="63"/>
      <c r="B77" s="232" t="s">
        <v>2397</v>
      </c>
      <c r="C77" s="233" t="s">
        <v>4467</v>
      </c>
      <c r="D77" s="233" t="s">
        <v>4468</v>
      </c>
      <c r="E77" s="233" t="s">
        <v>4469</v>
      </c>
      <c r="F77" s="233" t="s">
        <v>4470</v>
      </c>
      <c r="G77" s="233" t="s">
        <v>4471</v>
      </c>
      <c r="H77" s="234" t="s">
        <v>4170</v>
      </c>
    </row>
    <row r="78" spans="1:8" hidden="1" x14ac:dyDescent="0.2">
      <c r="A78" s="63"/>
      <c r="B78" s="232" t="s">
        <v>2397</v>
      </c>
      <c r="C78" s="233" t="s">
        <v>4472</v>
      </c>
      <c r="D78" s="233" t="s">
        <v>4473</v>
      </c>
      <c r="E78" s="233" t="s">
        <v>4474</v>
      </c>
      <c r="F78" s="233" t="s">
        <v>4475</v>
      </c>
      <c r="G78" s="233" t="s">
        <v>4476</v>
      </c>
      <c r="H78" s="234" t="s">
        <v>4170</v>
      </c>
    </row>
    <row r="79" spans="1:8" hidden="1" x14ac:dyDescent="0.2">
      <c r="A79" s="63"/>
      <c r="B79" s="232" t="s">
        <v>2397</v>
      </c>
      <c r="C79" s="233" t="s">
        <v>4477</v>
      </c>
      <c r="D79" s="233" t="s">
        <v>4478</v>
      </c>
      <c r="E79" s="233" t="s">
        <v>4479</v>
      </c>
      <c r="F79" s="233" t="s">
        <v>4480</v>
      </c>
      <c r="G79" s="233" t="s">
        <v>4481</v>
      </c>
      <c r="H79" s="234" t="s">
        <v>4170</v>
      </c>
    </row>
    <row r="80" spans="1:8" hidden="1" x14ac:dyDescent="0.2">
      <c r="A80" s="63"/>
      <c r="B80" s="232" t="s">
        <v>2397</v>
      </c>
      <c r="C80" s="233" t="s">
        <v>4482</v>
      </c>
      <c r="D80" s="233" t="s">
        <v>4483</v>
      </c>
      <c r="E80" s="233" t="s">
        <v>4484</v>
      </c>
      <c r="F80" s="233" t="s">
        <v>4485</v>
      </c>
      <c r="G80" s="233" t="s">
        <v>4486</v>
      </c>
      <c r="H80" s="234" t="s">
        <v>4170</v>
      </c>
    </row>
    <row r="81" spans="1:8" hidden="1" x14ac:dyDescent="0.2">
      <c r="A81" s="63"/>
      <c r="B81" s="232" t="s">
        <v>2397</v>
      </c>
      <c r="C81" s="233" t="s">
        <v>4487</v>
      </c>
      <c r="D81" s="233" t="s">
        <v>4488</v>
      </c>
      <c r="E81" s="233" t="s">
        <v>4489</v>
      </c>
      <c r="F81" s="233" t="s">
        <v>4490</v>
      </c>
      <c r="G81" s="233" t="s">
        <v>4491</v>
      </c>
      <c r="H81" s="234" t="s">
        <v>4170</v>
      </c>
    </row>
    <row r="82" spans="1:8" hidden="1" x14ac:dyDescent="0.2">
      <c r="A82" s="63"/>
      <c r="B82" s="232" t="s">
        <v>2397</v>
      </c>
      <c r="C82" s="233" t="s">
        <v>4492</v>
      </c>
      <c r="D82" s="233" t="s">
        <v>4493</v>
      </c>
      <c r="E82" s="233" t="s">
        <v>4494</v>
      </c>
      <c r="F82" s="233" t="s">
        <v>4495</v>
      </c>
      <c r="G82" s="233" t="s">
        <v>4496</v>
      </c>
      <c r="H82" s="234" t="s">
        <v>4170</v>
      </c>
    </row>
    <row r="83" spans="1:8" hidden="1" x14ac:dyDescent="0.2">
      <c r="A83" s="63"/>
      <c r="B83" s="232" t="s">
        <v>2397</v>
      </c>
      <c r="C83" s="233" t="s">
        <v>4497</v>
      </c>
      <c r="D83" s="233" t="s">
        <v>4498</v>
      </c>
      <c r="E83" s="233" t="s">
        <v>4499</v>
      </c>
      <c r="F83" s="233" t="s">
        <v>4500</v>
      </c>
      <c r="G83" s="233" t="s">
        <v>4501</v>
      </c>
      <c r="H83" s="234" t="s">
        <v>4170</v>
      </c>
    </row>
    <row r="84" spans="1:8" hidden="1" x14ac:dyDescent="0.2">
      <c r="A84" s="63"/>
      <c r="B84" s="232" t="s">
        <v>2397</v>
      </c>
      <c r="C84" s="233" t="s">
        <v>4502</v>
      </c>
      <c r="D84" s="233" t="s">
        <v>4503</v>
      </c>
      <c r="E84" s="233" t="s">
        <v>4504</v>
      </c>
      <c r="F84" s="233" t="s">
        <v>4505</v>
      </c>
      <c r="G84" s="233" t="s">
        <v>4506</v>
      </c>
      <c r="H84" s="234" t="s">
        <v>4170</v>
      </c>
    </row>
    <row r="85" spans="1:8" hidden="1" x14ac:dyDescent="0.2">
      <c r="A85" s="63"/>
      <c r="B85" s="232" t="s">
        <v>2397</v>
      </c>
      <c r="C85" s="233" t="s">
        <v>4507</v>
      </c>
      <c r="D85" s="233" t="s">
        <v>4508</v>
      </c>
      <c r="E85" s="233" t="s">
        <v>4509</v>
      </c>
      <c r="F85" s="233" t="s">
        <v>4510</v>
      </c>
      <c r="G85" s="233" t="s">
        <v>4511</v>
      </c>
      <c r="H85" s="234" t="s">
        <v>4170</v>
      </c>
    </row>
    <row r="86" spans="1:8" hidden="1" x14ac:dyDescent="0.2">
      <c r="A86" s="63"/>
      <c r="B86" s="232" t="s">
        <v>2397</v>
      </c>
      <c r="C86" s="233" t="s">
        <v>4512</v>
      </c>
      <c r="D86" s="233" t="s">
        <v>4513</v>
      </c>
      <c r="E86" s="233" t="s">
        <v>4514</v>
      </c>
      <c r="F86" s="233" t="s">
        <v>4515</v>
      </c>
      <c r="G86" s="233" t="s">
        <v>4516</v>
      </c>
      <c r="H86" s="234" t="s">
        <v>4170</v>
      </c>
    </row>
    <row r="87" spans="1:8" hidden="1" x14ac:dyDescent="0.2">
      <c r="A87" s="63"/>
      <c r="B87" s="232" t="s">
        <v>2397</v>
      </c>
      <c r="C87" s="233" t="s">
        <v>4517</v>
      </c>
      <c r="D87" s="233" t="s">
        <v>4518</v>
      </c>
      <c r="E87" s="233" t="s">
        <v>4519</v>
      </c>
      <c r="F87" s="233" t="s">
        <v>4520</v>
      </c>
      <c r="G87" s="233" t="s">
        <v>4521</v>
      </c>
      <c r="H87" s="234" t="s">
        <v>4170</v>
      </c>
    </row>
    <row r="88" spans="1:8" hidden="1" x14ac:dyDescent="0.2">
      <c r="A88" s="63"/>
      <c r="B88" s="232" t="s">
        <v>2397</v>
      </c>
      <c r="C88" s="233" t="s">
        <v>4522</v>
      </c>
      <c r="D88" s="233" t="s">
        <v>4523</v>
      </c>
      <c r="E88" s="233" t="s">
        <v>4523</v>
      </c>
      <c r="F88" s="233" t="s">
        <v>4524</v>
      </c>
      <c r="G88" s="233" t="s">
        <v>4525</v>
      </c>
      <c r="H88" s="234" t="s">
        <v>4170</v>
      </c>
    </row>
    <row r="89" spans="1:8" hidden="1" x14ac:dyDescent="0.2">
      <c r="A89" s="63"/>
      <c r="B89" s="232" t="s">
        <v>2397</v>
      </c>
      <c r="C89" s="233" t="s">
        <v>4526</v>
      </c>
      <c r="D89" s="233" t="s">
        <v>4527</v>
      </c>
      <c r="E89" s="233" t="s">
        <v>4528</v>
      </c>
      <c r="F89" s="233" t="s">
        <v>4529</v>
      </c>
      <c r="G89" s="233" t="s">
        <v>4530</v>
      </c>
      <c r="H89" s="234" t="s">
        <v>4170</v>
      </c>
    </row>
    <row r="90" spans="1:8" hidden="1" x14ac:dyDescent="0.2">
      <c r="A90" s="63"/>
      <c r="B90" s="232" t="s">
        <v>2397</v>
      </c>
      <c r="C90" s="233" t="s">
        <v>4531</v>
      </c>
      <c r="D90" s="233" t="s">
        <v>4532</v>
      </c>
      <c r="E90" s="233" t="s">
        <v>4533</v>
      </c>
      <c r="F90" s="233" t="s">
        <v>4534</v>
      </c>
      <c r="G90" s="233" t="s">
        <v>4535</v>
      </c>
      <c r="H90" s="234" t="s">
        <v>4170</v>
      </c>
    </row>
    <row r="91" spans="1:8" hidden="1" x14ac:dyDescent="0.2">
      <c r="A91" s="63"/>
      <c r="B91" s="232" t="s">
        <v>2397</v>
      </c>
      <c r="C91" s="233" t="s">
        <v>4536</v>
      </c>
      <c r="D91" s="233" t="s">
        <v>4537</v>
      </c>
      <c r="E91" s="233" t="s">
        <v>4538</v>
      </c>
      <c r="F91" s="233" t="s">
        <v>4539</v>
      </c>
      <c r="G91" s="233" t="s">
        <v>4540</v>
      </c>
      <c r="H91" s="234" t="s">
        <v>4170</v>
      </c>
    </row>
    <row r="92" spans="1:8" hidden="1" x14ac:dyDescent="0.2">
      <c r="A92" s="63"/>
      <c r="B92" s="232" t="s">
        <v>2397</v>
      </c>
      <c r="C92" s="233" t="s">
        <v>4541</v>
      </c>
      <c r="D92" s="233" t="s">
        <v>4542</v>
      </c>
      <c r="E92" s="233" t="s">
        <v>4543</v>
      </c>
      <c r="F92" s="233" t="s">
        <v>4544</v>
      </c>
      <c r="G92" s="233" t="s">
        <v>4545</v>
      </c>
      <c r="H92" s="234" t="s">
        <v>4170</v>
      </c>
    </row>
    <row r="93" spans="1:8" hidden="1" x14ac:dyDescent="0.2">
      <c r="A93" s="63"/>
      <c r="B93" s="232" t="s">
        <v>2397</v>
      </c>
      <c r="C93" s="233" t="s">
        <v>4546</v>
      </c>
      <c r="D93" s="233" t="s">
        <v>4547</v>
      </c>
      <c r="E93" s="233" t="s">
        <v>4548</v>
      </c>
      <c r="F93" s="233" t="s">
        <v>4549</v>
      </c>
      <c r="G93" s="233" t="s">
        <v>4550</v>
      </c>
      <c r="H93" s="234" t="s">
        <v>4170</v>
      </c>
    </row>
    <row r="94" spans="1:8" hidden="1" x14ac:dyDescent="0.2">
      <c r="A94" s="63"/>
      <c r="B94" s="232" t="s">
        <v>2397</v>
      </c>
      <c r="C94" s="233" t="s">
        <v>4551</v>
      </c>
      <c r="D94" s="233" t="s">
        <v>4551</v>
      </c>
      <c r="E94" s="233" t="s">
        <v>4552</v>
      </c>
      <c r="F94" s="233" t="s">
        <v>4553</v>
      </c>
      <c r="G94" s="233" t="s">
        <v>4551</v>
      </c>
      <c r="H94" s="234" t="s">
        <v>4170</v>
      </c>
    </row>
    <row r="95" spans="1:8" hidden="1" x14ac:dyDescent="0.2">
      <c r="A95" s="63"/>
      <c r="B95" s="232" t="s">
        <v>2397</v>
      </c>
      <c r="C95" s="233" t="s">
        <v>4554</v>
      </c>
      <c r="D95" s="233" t="s">
        <v>4555</v>
      </c>
      <c r="E95" s="233" t="s">
        <v>4556</v>
      </c>
      <c r="F95" s="233" t="s">
        <v>4557</v>
      </c>
      <c r="G95" s="233" t="s">
        <v>4558</v>
      </c>
      <c r="H95" s="234" t="s">
        <v>4170</v>
      </c>
    </row>
    <row r="96" spans="1:8" hidden="1" x14ac:dyDescent="0.2">
      <c r="A96" s="63"/>
      <c r="B96" s="232" t="s">
        <v>2397</v>
      </c>
      <c r="C96" s="233" t="s">
        <v>4559</v>
      </c>
      <c r="D96" s="233" t="s">
        <v>4560</v>
      </c>
      <c r="E96" s="233" t="s">
        <v>4561</v>
      </c>
      <c r="F96" s="233" t="s">
        <v>4562</v>
      </c>
      <c r="G96" s="233" t="s">
        <v>4563</v>
      </c>
      <c r="H96" s="234" t="s">
        <v>4170</v>
      </c>
    </row>
    <row r="97" spans="1:8" hidden="1" x14ac:dyDescent="0.2">
      <c r="A97" s="63"/>
      <c r="B97" s="232" t="s">
        <v>2397</v>
      </c>
      <c r="C97" s="233" t="s">
        <v>4564</v>
      </c>
      <c r="D97" s="233" t="s">
        <v>4565</v>
      </c>
      <c r="E97" s="233" t="s">
        <v>4566</v>
      </c>
      <c r="F97" s="233" t="s">
        <v>4567</v>
      </c>
      <c r="G97" s="233" t="s">
        <v>4568</v>
      </c>
      <c r="H97" s="234" t="s">
        <v>4170</v>
      </c>
    </row>
    <row r="98" spans="1:8" hidden="1" x14ac:dyDescent="0.2">
      <c r="A98" s="63"/>
      <c r="B98" s="232" t="s">
        <v>2397</v>
      </c>
      <c r="C98" s="233" t="s">
        <v>4569</v>
      </c>
      <c r="D98" s="233" t="s">
        <v>4570</v>
      </c>
      <c r="E98" s="233" t="s">
        <v>4571</v>
      </c>
      <c r="F98" s="233" t="s">
        <v>4572</v>
      </c>
      <c r="G98" s="233" t="s">
        <v>4573</v>
      </c>
      <c r="H98" s="234" t="s">
        <v>4170</v>
      </c>
    </row>
    <row r="99" spans="1:8" hidden="1" x14ac:dyDescent="0.2">
      <c r="A99" s="63"/>
      <c r="B99" s="232" t="s">
        <v>2397</v>
      </c>
      <c r="C99" s="233" t="s">
        <v>4574</v>
      </c>
      <c r="D99" s="233" t="s">
        <v>4575</v>
      </c>
      <c r="E99" s="233" t="s">
        <v>4576</v>
      </c>
      <c r="F99" s="233" t="s">
        <v>4577</v>
      </c>
      <c r="G99" s="233" t="s">
        <v>4578</v>
      </c>
      <c r="H99" s="234" t="s">
        <v>4170</v>
      </c>
    </row>
    <row r="100" spans="1:8" hidden="1" x14ac:dyDescent="0.2">
      <c r="A100" s="63"/>
      <c r="B100" s="232" t="s">
        <v>2397</v>
      </c>
      <c r="C100" s="233" t="s">
        <v>4579</v>
      </c>
      <c r="D100" s="233" t="s">
        <v>4580</v>
      </c>
      <c r="E100" s="233" t="s">
        <v>4581</v>
      </c>
      <c r="F100" s="233" t="s">
        <v>4582</v>
      </c>
      <c r="G100" s="233" t="s">
        <v>4583</v>
      </c>
      <c r="H100" s="234" t="s">
        <v>4170</v>
      </c>
    </row>
    <row r="101" spans="1:8" hidden="1" x14ac:dyDescent="0.2">
      <c r="A101" s="63"/>
      <c r="B101" s="232" t="s">
        <v>2397</v>
      </c>
      <c r="C101" s="233" t="s">
        <v>4584</v>
      </c>
      <c r="D101" s="233" t="s">
        <v>4585</v>
      </c>
      <c r="E101" s="233" t="s">
        <v>4586</v>
      </c>
      <c r="F101" s="233" t="s">
        <v>4587</v>
      </c>
      <c r="G101" s="233" t="s">
        <v>4588</v>
      </c>
      <c r="H101" s="234" t="s">
        <v>4170</v>
      </c>
    </row>
    <row r="102" spans="1:8" hidden="1" x14ac:dyDescent="0.2">
      <c r="A102" s="63"/>
      <c r="B102" s="232" t="s">
        <v>2397</v>
      </c>
      <c r="C102" s="233" t="s">
        <v>4589</v>
      </c>
      <c r="D102" s="233" t="s">
        <v>4590</v>
      </c>
      <c r="E102" s="233" t="s">
        <v>4591</v>
      </c>
      <c r="F102" s="233" t="s">
        <v>4592</v>
      </c>
      <c r="G102" s="233" t="s">
        <v>4593</v>
      </c>
      <c r="H102" s="234" t="s">
        <v>4170</v>
      </c>
    </row>
    <row r="103" spans="1:8" hidden="1" x14ac:dyDescent="0.2">
      <c r="A103" s="63"/>
      <c r="B103" s="232" t="s">
        <v>2397</v>
      </c>
      <c r="C103" s="233" t="s">
        <v>4594</v>
      </c>
      <c r="D103" s="233" t="s">
        <v>4595</v>
      </c>
      <c r="E103" s="233" t="s">
        <v>4596</v>
      </c>
      <c r="F103" s="233" t="s">
        <v>4597</v>
      </c>
      <c r="G103" s="233" t="s">
        <v>4598</v>
      </c>
      <c r="H103" s="234" t="s">
        <v>4170</v>
      </c>
    </row>
    <row r="104" spans="1:8" hidden="1" x14ac:dyDescent="0.2">
      <c r="A104" s="63"/>
      <c r="B104" s="232" t="s">
        <v>2397</v>
      </c>
      <c r="C104" s="233" t="s">
        <v>4599</v>
      </c>
      <c r="D104" s="233" t="s">
        <v>4600</v>
      </c>
      <c r="E104" s="233" t="s">
        <v>4601</v>
      </c>
      <c r="F104" s="233" t="s">
        <v>4602</v>
      </c>
      <c r="G104" s="233" t="s">
        <v>4603</v>
      </c>
      <c r="H104" s="234" t="s">
        <v>4170</v>
      </c>
    </row>
    <row r="105" spans="1:8" hidden="1" x14ac:dyDescent="0.2">
      <c r="A105" s="63"/>
      <c r="B105" s="232" t="s">
        <v>2397</v>
      </c>
      <c r="C105" s="233" t="s">
        <v>4604</v>
      </c>
      <c r="D105" s="233" t="s">
        <v>4605</v>
      </c>
      <c r="E105" s="233" t="s">
        <v>4606</v>
      </c>
      <c r="F105" s="233" t="s">
        <v>4607</v>
      </c>
      <c r="G105" s="233" t="s">
        <v>4608</v>
      </c>
      <c r="H105" s="234" t="s">
        <v>4170</v>
      </c>
    </row>
    <row r="106" spans="1:8" hidden="1" x14ac:dyDescent="0.2">
      <c r="A106" s="63"/>
      <c r="B106" s="232" t="s">
        <v>2397</v>
      </c>
      <c r="C106" s="233" t="s">
        <v>4609</v>
      </c>
      <c r="D106" s="233" t="s">
        <v>4610</v>
      </c>
      <c r="E106" s="233" t="s">
        <v>4611</v>
      </c>
      <c r="F106" s="233" t="s">
        <v>4612</v>
      </c>
      <c r="G106" s="233" t="s">
        <v>4613</v>
      </c>
      <c r="H106" s="234" t="s">
        <v>4170</v>
      </c>
    </row>
    <row r="107" spans="1:8" hidden="1" x14ac:dyDescent="0.2">
      <c r="A107" s="63"/>
      <c r="B107" s="232" t="s">
        <v>2397</v>
      </c>
      <c r="C107" s="233" t="s">
        <v>4614</v>
      </c>
      <c r="D107" s="233" t="s">
        <v>4615</v>
      </c>
      <c r="E107" s="233" t="s">
        <v>4616</v>
      </c>
      <c r="F107" s="233" t="s">
        <v>4617</v>
      </c>
      <c r="G107" s="233" t="s">
        <v>4618</v>
      </c>
      <c r="H107" s="234" t="s">
        <v>4170</v>
      </c>
    </row>
    <row r="108" spans="1:8" hidden="1" x14ac:dyDescent="0.2">
      <c r="A108" s="63"/>
      <c r="B108" s="232" t="s">
        <v>2397</v>
      </c>
      <c r="C108" s="233" t="s">
        <v>4619</v>
      </c>
      <c r="D108" s="233" t="s">
        <v>4620</v>
      </c>
      <c r="E108" s="233" t="s">
        <v>4621</v>
      </c>
      <c r="F108" s="233" t="s">
        <v>4622</v>
      </c>
      <c r="G108" s="233" t="s">
        <v>4623</v>
      </c>
      <c r="H108" s="234" t="s">
        <v>4170</v>
      </c>
    </row>
    <row r="109" spans="1:8" hidden="1" x14ac:dyDescent="0.2">
      <c r="A109" s="63"/>
      <c r="B109" s="232" t="s">
        <v>2397</v>
      </c>
      <c r="C109" s="233" t="s">
        <v>4624</v>
      </c>
      <c r="D109" s="233" t="s">
        <v>4625</v>
      </c>
      <c r="E109" s="233" t="s">
        <v>4626</v>
      </c>
      <c r="F109" s="233" t="s">
        <v>4627</v>
      </c>
      <c r="G109" s="233" t="s">
        <v>4628</v>
      </c>
      <c r="H109" s="234" t="s">
        <v>4170</v>
      </c>
    </row>
    <row r="110" spans="1:8" hidden="1" x14ac:dyDescent="0.2">
      <c r="A110" s="63"/>
      <c r="B110" s="232" t="s">
        <v>2397</v>
      </c>
      <c r="C110" s="233" t="s">
        <v>4629</v>
      </c>
      <c r="D110" s="233" t="s">
        <v>4630</v>
      </c>
      <c r="E110" s="233" t="s">
        <v>4631</v>
      </c>
      <c r="F110" s="233" t="s">
        <v>4632</v>
      </c>
      <c r="G110" s="233" t="s">
        <v>4633</v>
      </c>
      <c r="H110" s="234" t="s">
        <v>4170</v>
      </c>
    </row>
    <row r="111" spans="1:8" hidden="1" x14ac:dyDescent="0.2">
      <c r="A111" s="63"/>
      <c r="B111" s="232" t="s">
        <v>2397</v>
      </c>
      <c r="C111" s="233" t="s">
        <v>4634</v>
      </c>
      <c r="D111" s="233" t="s">
        <v>4635</v>
      </c>
      <c r="E111" s="233" t="s">
        <v>4636</v>
      </c>
      <c r="F111" s="233" t="s">
        <v>4637</v>
      </c>
      <c r="G111" s="233" t="s">
        <v>4638</v>
      </c>
      <c r="H111" s="234" t="s">
        <v>4170</v>
      </c>
    </row>
    <row r="112" spans="1:8" hidden="1" x14ac:dyDescent="0.2">
      <c r="A112" s="63"/>
      <c r="B112" s="232" t="s">
        <v>2397</v>
      </c>
      <c r="C112" s="233" t="s">
        <v>4639</v>
      </c>
      <c r="D112" s="233" t="s">
        <v>4640</v>
      </c>
      <c r="E112" s="233" t="s">
        <v>4641</v>
      </c>
      <c r="F112" s="233" t="s">
        <v>4642</v>
      </c>
      <c r="G112" s="233" t="s">
        <v>4643</v>
      </c>
      <c r="H112" s="234" t="s">
        <v>4170</v>
      </c>
    </row>
    <row r="113" spans="1:8" hidden="1" x14ac:dyDescent="0.2">
      <c r="A113" s="63"/>
      <c r="B113" s="232" t="s">
        <v>2397</v>
      </c>
      <c r="C113" s="233" t="s">
        <v>4644</v>
      </c>
      <c r="D113" s="233" t="s">
        <v>4645</v>
      </c>
      <c r="E113" s="233" t="s">
        <v>4646</v>
      </c>
      <c r="F113" s="233" t="s">
        <v>4647</v>
      </c>
      <c r="G113" s="233" t="s">
        <v>4648</v>
      </c>
      <c r="H113" s="234" t="s">
        <v>4170</v>
      </c>
    </row>
    <row r="114" spans="1:8" hidden="1" x14ac:dyDescent="0.2">
      <c r="A114" s="63"/>
      <c r="B114" s="232" t="s">
        <v>2397</v>
      </c>
      <c r="C114" s="233" t="s">
        <v>4649</v>
      </c>
      <c r="D114" s="233" t="s">
        <v>4650</v>
      </c>
      <c r="E114" s="233" t="s">
        <v>4651</v>
      </c>
      <c r="F114" s="233" t="s">
        <v>4652</v>
      </c>
      <c r="G114" s="233" t="s">
        <v>4653</v>
      </c>
      <c r="H114" s="234" t="s">
        <v>4170</v>
      </c>
    </row>
    <row r="115" spans="1:8" hidden="1" x14ac:dyDescent="0.2">
      <c r="A115" s="63"/>
      <c r="B115" s="232" t="s">
        <v>2397</v>
      </c>
      <c r="C115" s="233" t="s">
        <v>4654</v>
      </c>
      <c r="D115" s="233" t="s">
        <v>4655</v>
      </c>
      <c r="E115" s="233" t="s">
        <v>4656</v>
      </c>
      <c r="F115" s="233" t="s">
        <v>4657</v>
      </c>
      <c r="G115" s="233" t="s">
        <v>4658</v>
      </c>
      <c r="H115" s="234" t="s">
        <v>4170</v>
      </c>
    </row>
    <row r="116" spans="1:8" hidden="1" x14ac:dyDescent="0.2">
      <c r="A116" s="63"/>
      <c r="B116" s="232" t="s">
        <v>2397</v>
      </c>
      <c r="C116" s="233" t="s">
        <v>4659</v>
      </c>
      <c r="D116" s="233" t="s">
        <v>4660</v>
      </c>
      <c r="E116" s="233" t="s">
        <v>4661</v>
      </c>
      <c r="F116" s="233" t="s">
        <v>4662</v>
      </c>
      <c r="G116" s="233" t="s">
        <v>4663</v>
      </c>
      <c r="H116" s="234" t="s">
        <v>4170</v>
      </c>
    </row>
    <row r="117" spans="1:8" hidden="1" x14ac:dyDescent="0.2">
      <c r="A117" s="63"/>
      <c r="B117" s="232" t="s">
        <v>2397</v>
      </c>
      <c r="C117" s="233" t="s">
        <v>4664</v>
      </c>
      <c r="D117" s="233" t="s">
        <v>4665</v>
      </c>
      <c r="E117" s="233" t="s">
        <v>4666</v>
      </c>
      <c r="F117" s="233" t="s">
        <v>4667</v>
      </c>
      <c r="G117" s="233" t="s">
        <v>4668</v>
      </c>
      <c r="H117" s="234" t="s">
        <v>4170</v>
      </c>
    </row>
    <row r="118" spans="1:8" hidden="1" x14ac:dyDescent="0.2">
      <c r="A118" s="63"/>
      <c r="B118" s="232" t="s">
        <v>2397</v>
      </c>
      <c r="C118" s="233" t="s">
        <v>4669</v>
      </c>
      <c r="D118" s="233" t="s">
        <v>4670</v>
      </c>
      <c r="E118" s="233" t="s">
        <v>4671</v>
      </c>
      <c r="F118" s="233" t="s">
        <v>4672</v>
      </c>
      <c r="G118" s="233" t="s">
        <v>4673</v>
      </c>
      <c r="H118" s="234" t="s">
        <v>4170</v>
      </c>
    </row>
    <row r="119" spans="1:8" hidden="1" x14ac:dyDescent="0.2">
      <c r="A119" s="63"/>
      <c r="B119" s="232" t="s">
        <v>2397</v>
      </c>
      <c r="C119" s="233" t="s">
        <v>4674</v>
      </c>
      <c r="D119" s="233" t="s">
        <v>4675</v>
      </c>
      <c r="E119" s="233" t="s">
        <v>4676</v>
      </c>
      <c r="F119" s="233" t="s">
        <v>4677</v>
      </c>
      <c r="G119" s="233" t="s">
        <v>4678</v>
      </c>
      <c r="H119" s="234" t="s">
        <v>4170</v>
      </c>
    </row>
    <row r="120" spans="1:8" hidden="1" x14ac:dyDescent="0.2">
      <c r="A120" s="63"/>
      <c r="B120" s="232" t="s">
        <v>2397</v>
      </c>
      <c r="C120" s="233" t="s">
        <v>4679</v>
      </c>
      <c r="D120" s="233" t="s">
        <v>4680</v>
      </c>
      <c r="E120" s="233" t="s">
        <v>4681</v>
      </c>
      <c r="F120" s="233" t="s">
        <v>4679</v>
      </c>
      <c r="G120" s="233" t="s">
        <v>4682</v>
      </c>
      <c r="H120" s="234" t="s">
        <v>4170</v>
      </c>
    </row>
    <row r="121" spans="1:8" hidden="1" x14ac:dyDescent="0.2">
      <c r="A121" s="63"/>
      <c r="B121" s="232" t="s">
        <v>2397</v>
      </c>
      <c r="C121" s="233" t="s">
        <v>4683</v>
      </c>
      <c r="D121" s="233" t="s">
        <v>4684</v>
      </c>
      <c r="E121" s="233" t="s">
        <v>4683</v>
      </c>
      <c r="F121" s="233" t="s">
        <v>4685</v>
      </c>
      <c r="G121" s="233" t="s">
        <v>4686</v>
      </c>
      <c r="H121" s="234" t="s">
        <v>4170</v>
      </c>
    </row>
    <row r="122" spans="1:8" hidden="1" x14ac:dyDescent="0.2">
      <c r="A122" s="63"/>
      <c r="B122" s="232" t="s">
        <v>2397</v>
      </c>
      <c r="C122" s="233" t="s">
        <v>4687</v>
      </c>
      <c r="D122" s="233" t="s">
        <v>4688</v>
      </c>
      <c r="E122" s="233" t="s">
        <v>4687</v>
      </c>
      <c r="F122" s="233" t="s">
        <v>4689</v>
      </c>
      <c r="G122" s="233" t="s">
        <v>4690</v>
      </c>
      <c r="H122" s="234" t="s">
        <v>4170</v>
      </c>
    </row>
    <row r="123" spans="1:8" hidden="1" x14ac:dyDescent="0.2">
      <c r="A123" s="63"/>
      <c r="B123" s="232" t="s">
        <v>2397</v>
      </c>
      <c r="C123" s="233" t="s">
        <v>4691</v>
      </c>
      <c r="D123" s="233" t="s">
        <v>4692</v>
      </c>
      <c r="E123" s="233" t="s">
        <v>4693</v>
      </c>
      <c r="F123" s="233" t="s">
        <v>4694</v>
      </c>
      <c r="G123" s="233" t="s">
        <v>4695</v>
      </c>
      <c r="H123" s="234" t="s">
        <v>4170</v>
      </c>
    </row>
    <row r="124" spans="1:8" hidden="1" x14ac:dyDescent="0.2">
      <c r="A124" s="63"/>
      <c r="B124" s="232" t="s">
        <v>2397</v>
      </c>
      <c r="C124" s="233" t="s">
        <v>4696</v>
      </c>
      <c r="D124" s="233" t="s">
        <v>4697</v>
      </c>
      <c r="E124" s="233" t="s">
        <v>4698</v>
      </c>
      <c r="F124" s="233" t="s">
        <v>4699</v>
      </c>
      <c r="G124" s="233" t="s">
        <v>4700</v>
      </c>
      <c r="H124" s="234" t="s">
        <v>4170</v>
      </c>
    </row>
    <row r="125" spans="1:8" hidden="1" x14ac:dyDescent="0.2">
      <c r="A125" s="63"/>
      <c r="B125" s="232" t="s">
        <v>2397</v>
      </c>
      <c r="C125" s="233" t="s">
        <v>4701</v>
      </c>
      <c r="D125" s="233" t="s">
        <v>4702</v>
      </c>
      <c r="E125" s="233" t="s">
        <v>4703</v>
      </c>
      <c r="F125" s="233" t="s">
        <v>4704</v>
      </c>
      <c r="G125" s="233" t="s">
        <v>4705</v>
      </c>
      <c r="H125" s="234" t="s">
        <v>4170</v>
      </c>
    </row>
    <row r="126" spans="1:8" hidden="1" x14ac:dyDescent="0.2">
      <c r="A126" s="63"/>
      <c r="B126" s="232" t="s">
        <v>2397</v>
      </c>
      <c r="C126" s="233" t="s">
        <v>4706</v>
      </c>
      <c r="D126" s="233" t="s">
        <v>4707</v>
      </c>
      <c r="E126" s="233" t="s">
        <v>4708</v>
      </c>
      <c r="F126" s="233" t="s">
        <v>4709</v>
      </c>
      <c r="G126" s="233" t="s">
        <v>4710</v>
      </c>
      <c r="H126" s="234" t="s">
        <v>4170</v>
      </c>
    </row>
    <row r="127" spans="1:8" hidden="1" x14ac:dyDescent="0.2">
      <c r="A127" s="63"/>
      <c r="B127" s="232" t="s">
        <v>2397</v>
      </c>
      <c r="C127" s="233" t="s">
        <v>4712</v>
      </c>
      <c r="D127" s="233" t="s">
        <v>4713</v>
      </c>
      <c r="E127" s="233" t="s">
        <v>4714</v>
      </c>
      <c r="F127" s="233" t="s">
        <v>4712</v>
      </c>
      <c r="G127" s="233" t="s">
        <v>4715</v>
      </c>
      <c r="H127" s="234" t="s">
        <v>4170</v>
      </c>
    </row>
    <row r="128" spans="1:8" hidden="1" x14ac:dyDescent="0.2">
      <c r="A128" s="63"/>
      <c r="B128" s="232" t="s">
        <v>2397</v>
      </c>
      <c r="C128" s="233" t="s">
        <v>4716</v>
      </c>
      <c r="D128" s="233" t="s">
        <v>4717</v>
      </c>
      <c r="E128" s="233" t="s">
        <v>4718</v>
      </c>
      <c r="F128" s="233" t="s">
        <v>4719</v>
      </c>
      <c r="G128" s="233" t="s">
        <v>4720</v>
      </c>
      <c r="H128" s="234" t="s">
        <v>4170</v>
      </c>
    </row>
    <row r="129" spans="1:8" hidden="1" x14ac:dyDescent="0.2">
      <c r="A129" s="63"/>
      <c r="B129" s="232" t="s">
        <v>2397</v>
      </c>
      <c r="C129" s="233" t="s">
        <v>4721</v>
      </c>
      <c r="D129" s="233" t="s">
        <v>4721</v>
      </c>
      <c r="E129" s="233" t="s">
        <v>4721</v>
      </c>
      <c r="F129" s="233" t="s">
        <v>4722</v>
      </c>
      <c r="G129" s="233" t="s">
        <v>4723</v>
      </c>
      <c r="H129" s="234" t="s">
        <v>4170</v>
      </c>
    </row>
    <row r="130" spans="1:8" hidden="1" x14ac:dyDescent="0.2">
      <c r="A130" s="63"/>
      <c r="B130" s="232" t="s">
        <v>2397</v>
      </c>
      <c r="C130" s="233" t="s">
        <v>4724</v>
      </c>
      <c r="D130" s="233" t="s">
        <v>4725</v>
      </c>
      <c r="E130" s="233" t="s">
        <v>4726</v>
      </c>
      <c r="F130" s="233" t="s">
        <v>4727</v>
      </c>
      <c r="G130" s="233" t="s">
        <v>4728</v>
      </c>
      <c r="H130" s="234" t="s">
        <v>4170</v>
      </c>
    </row>
    <row r="131" spans="1:8" hidden="1" x14ac:dyDescent="0.2">
      <c r="A131" s="63"/>
      <c r="B131" s="232" t="s">
        <v>2397</v>
      </c>
      <c r="C131" s="233" t="s">
        <v>4729</v>
      </c>
      <c r="D131" s="233" t="s">
        <v>4730</v>
      </c>
      <c r="E131" s="233" t="s">
        <v>4731</v>
      </c>
      <c r="F131" s="233" t="s">
        <v>4732</v>
      </c>
      <c r="G131" s="233" t="s">
        <v>4733</v>
      </c>
      <c r="H131" s="234" t="s">
        <v>4170</v>
      </c>
    </row>
    <row r="132" spans="1:8" hidden="1" x14ac:dyDescent="0.2">
      <c r="A132" s="63"/>
      <c r="B132" s="232" t="s">
        <v>2397</v>
      </c>
      <c r="C132" s="233" t="s">
        <v>4734</v>
      </c>
      <c r="D132" s="233" t="s">
        <v>4735</v>
      </c>
      <c r="E132" s="233" t="s">
        <v>4736</v>
      </c>
      <c r="F132" s="233" t="s">
        <v>4737</v>
      </c>
      <c r="G132" s="233" t="s">
        <v>4738</v>
      </c>
      <c r="H132" s="234" t="s">
        <v>4170</v>
      </c>
    </row>
    <row r="133" spans="1:8" hidden="1" x14ac:dyDescent="0.2">
      <c r="A133" s="63"/>
      <c r="B133" s="232" t="s">
        <v>2397</v>
      </c>
      <c r="C133" s="233" t="s">
        <v>4739</v>
      </c>
      <c r="D133" s="233" t="s">
        <v>4740</v>
      </c>
      <c r="E133" s="233" t="s">
        <v>4741</v>
      </c>
      <c r="F133" s="233" t="s">
        <v>4742</v>
      </c>
      <c r="G133" s="233" t="s">
        <v>4743</v>
      </c>
      <c r="H133" s="234" t="s">
        <v>4170</v>
      </c>
    </row>
    <row r="134" spans="1:8" hidden="1" x14ac:dyDescent="0.2">
      <c r="A134" s="63"/>
      <c r="B134" s="232" t="s">
        <v>2397</v>
      </c>
      <c r="C134" s="233" t="s">
        <v>4744</v>
      </c>
      <c r="D134" s="233" t="s">
        <v>4745</v>
      </c>
      <c r="E134" s="233" t="s">
        <v>4746</v>
      </c>
      <c r="F134" s="233" t="s">
        <v>4747</v>
      </c>
      <c r="G134" s="233" t="s">
        <v>4748</v>
      </c>
      <c r="H134" s="234" t="s">
        <v>4170</v>
      </c>
    </row>
    <row r="135" spans="1:8" hidden="1" x14ac:dyDescent="0.2">
      <c r="A135" s="63"/>
      <c r="B135" s="232" t="s">
        <v>2397</v>
      </c>
      <c r="C135" s="233" t="s">
        <v>4749</v>
      </c>
      <c r="D135" s="233" t="s">
        <v>4750</v>
      </c>
      <c r="E135" s="233" t="s">
        <v>4751</v>
      </c>
      <c r="F135" s="233" t="s">
        <v>4752</v>
      </c>
      <c r="G135" s="233" t="s">
        <v>4753</v>
      </c>
      <c r="H135" s="234" t="s">
        <v>4170</v>
      </c>
    </row>
    <row r="136" spans="1:8" hidden="1" x14ac:dyDescent="0.2">
      <c r="A136" s="63"/>
      <c r="B136" s="232" t="s">
        <v>2397</v>
      </c>
      <c r="C136" s="233" t="s">
        <v>4754</v>
      </c>
      <c r="D136" s="233" t="s">
        <v>4755</v>
      </c>
      <c r="E136" s="233" t="s">
        <v>4756</v>
      </c>
      <c r="F136" s="233" t="s">
        <v>4757</v>
      </c>
      <c r="G136" s="233" t="s">
        <v>4758</v>
      </c>
      <c r="H136" s="234" t="s">
        <v>4170</v>
      </c>
    </row>
    <row r="137" spans="1:8" hidden="1" x14ac:dyDescent="0.2">
      <c r="A137" s="63"/>
      <c r="B137" s="232" t="s">
        <v>2397</v>
      </c>
      <c r="C137" s="233" t="s">
        <v>4759</v>
      </c>
      <c r="D137" s="233" t="s">
        <v>4760</v>
      </c>
      <c r="E137" s="233" t="s">
        <v>4761</v>
      </c>
      <c r="F137" s="233" t="s">
        <v>4759</v>
      </c>
      <c r="G137" s="233" t="s">
        <v>4762</v>
      </c>
      <c r="H137" s="234" t="s">
        <v>4170</v>
      </c>
    </row>
    <row r="138" spans="1:8" hidden="1" x14ac:dyDescent="0.2">
      <c r="A138" s="63"/>
      <c r="B138" s="232" t="s">
        <v>2397</v>
      </c>
      <c r="C138" s="233" t="s">
        <v>4763</v>
      </c>
      <c r="D138" s="233" t="s">
        <v>4764</v>
      </c>
      <c r="E138" s="233" t="s">
        <v>4765</v>
      </c>
      <c r="F138" s="233" t="s">
        <v>4766</v>
      </c>
      <c r="G138" s="233" t="s">
        <v>4767</v>
      </c>
      <c r="H138" s="234" t="s">
        <v>4170</v>
      </c>
    </row>
    <row r="139" spans="1:8" hidden="1" x14ac:dyDescent="0.2">
      <c r="A139" s="63"/>
      <c r="B139" s="232" t="s">
        <v>2397</v>
      </c>
      <c r="C139" s="233" t="s">
        <v>4768</v>
      </c>
      <c r="D139" s="233" t="s">
        <v>4769</v>
      </c>
      <c r="E139" s="233" t="s">
        <v>4770</v>
      </c>
      <c r="F139" s="233" t="s">
        <v>4771</v>
      </c>
      <c r="G139" s="233" t="s">
        <v>4772</v>
      </c>
      <c r="H139" s="234" t="s">
        <v>4170</v>
      </c>
    </row>
    <row r="140" spans="1:8" hidden="1" x14ac:dyDescent="0.2">
      <c r="A140" s="63"/>
      <c r="B140" s="232" t="s">
        <v>2397</v>
      </c>
      <c r="C140" s="233" t="s">
        <v>4773</v>
      </c>
      <c r="D140" s="233" t="s">
        <v>4774</v>
      </c>
      <c r="E140" s="233" t="s">
        <v>4775</v>
      </c>
      <c r="F140" s="233" t="s">
        <v>4776</v>
      </c>
      <c r="G140" s="233" t="s">
        <v>4777</v>
      </c>
      <c r="H140" s="234" t="s">
        <v>4170</v>
      </c>
    </row>
    <row r="141" spans="1:8" hidden="1" x14ac:dyDescent="0.2">
      <c r="A141" s="63"/>
      <c r="B141" s="232" t="s">
        <v>2397</v>
      </c>
      <c r="C141" s="233" t="s">
        <v>4778</v>
      </c>
      <c r="D141" s="233" t="s">
        <v>4779</v>
      </c>
      <c r="E141" s="233" t="s">
        <v>4780</v>
      </c>
      <c r="F141" s="233" t="s">
        <v>4781</v>
      </c>
      <c r="G141" s="233" t="s">
        <v>4782</v>
      </c>
      <c r="H141" s="234" t="s">
        <v>4170</v>
      </c>
    </row>
    <row r="142" spans="1:8" hidden="1" x14ac:dyDescent="0.2">
      <c r="A142" s="63"/>
      <c r="B142" s="232" t="s">
        <v>2397</v>
      </c>
      <c r="C142" s="233" t="s">
        <v>4783</v>
      </c>
      <c r="D142" s="233" t="s">
        <v>4784</v>
      </c>
      <c r="E142" s="233" t="s">
        <v>4785</v>
      </c>
      <c r="F142" s="233" t="s">
        <v>4786</v>
      </c>
      <c r="G142" s="233" t="s">
        <v>4787</v>
      </c>
      <c r="H142" s="234" t="s">
        <v>4170</v>
      </c>
    </row>
    <row r="143" spans="1:8" hidden="1" x14ac:dyDescent="0.2">
      <c r="A143" s="63"/>
      <c r="B143" s="232" t="s">
        <v>2397</v>
      </c>
      <c r="C143" s="233" t="s">
        <v>4788</v>
      </c>
      <c r="D143" s="233" t="s">
        <v>4789</v>
      </c>
      <c r="E143" s="233" t="s">
        <v>4790</v>
      </c>
      <c r="F143" s="233" t="s">
        <v>4791</v>
      </c>
      <c r="G143" s="233" t="s">
        <v>4792</v>
      </c>
      <c r="H143" s="234" t="s">
        <v>4170</v>
      </c>
    </row>
    <row r="144" spans="1:8" hidden="1" x14ac:dyDescent="0.2">
      <c r="A144" s="63"/>
      <c r="B144" s="232" t="s">
        <v>2397</v>
      </c>
      <c r="C144" s="233" t="s">
        <v>4793</v>
      </c>
      <c r="D144" s="233" t="s">
        <v>4794</v>
      </c>
      <c r="E144" s="233" t="s">
        <v>4795</v>
      </c>
      <c r="F144" s="233" t="s">
        <v>4796</v>
      </c>
      <c r="G144" s="233" t="s">
        <v>4796</v>
      </c>
      <c r="H144" s="234" t="s">
        <v>4170</v>
      </c>
    </row>
    <row r="145" spans="1:8" hidden="1" x14ac:dyDescent="0.2">
      <c r="A145" s="63"/>
      <c r="B145" s="232" t="s">
        <v>2397</v>
      </c>
      <c r="C145" s="233" t="s">
        <v>4797</v>
      </c>
      <c r="D145" s="233" t="s">
        <v>4798</v>
      </c>
      <c r="E145" s="233" t="s">
        <v>4799</v>
      </c>
      <c r="F145" s="233" t="s">
        <v>4800</v>
      </c>
      <c r="G145" s="233" t="s">
        <v>4801</v>
      </c>
      <c r="H145" s="234" t="s">
        <v>4170</v>
      </c>
    </row>
    <row r="146" spans="1:8" hidden="1" x14ac:dyDescent="0.2">
      <c r="A146" s="63"/>
      <c r="B146" s="232" t="s">
        <v>2397</v>
      </c>
      <c r="C146" s="233" t="s">
        <v>4802</v>
      </c>
      <c r="D146" s="233" t="s">
        <v>4803</v>
      </c>
      <c r="E146" s="233" t="s">
        <v>4804</v>
      </c>
      <c r="F146" s="233" t="s">
        <v>4805</v>
      </c>
      <c r="G146" s="233" t="s">
        <v>4802</v>
      </c>
      <c r="H146" s="234" t="s">
        <v>4170</v>
      </c>
    </row>
    <row r="147" spans="1:8" hidden="1" x14ac:dyDescent="0.2">
      <c r="A147" s="63"/>
      <c r="B147" s="232" t="s">
        <v>2397</v>
      </c>
      <c r="C147" s="233" t="s">
        <v>4806</v>
      </c>
      <c r="D147" s="233" t="s">
        <v>4807</v>
      </c>
      <c r="E147" s="233" t="s">
        <v>4808</v>
      </c>
      <c r="F147" s="233" t="s">
        <v>4809</v>
      </c>
      <c r="G147" s="233" t="s">
        <v>4810</v>
      </c>
      <c r="H147" s="234" t="s">
        <v>4170</v>
      </c>
    </row>
    <row r="148" spans="1:8" hidden="1" x14ac:dyDescent="0.2">
      <c r="A148" s="63"/>
      <c r="B148" s="232" t="s">
        <v>2397</v>
      </c>
      <c r="C148" s="233" t="s">
        <v>4811</v>
      </c>
      <c r="D148" s="233" t="s">
        <v>4812</v>
      </c>
      <c r="E148" s="233" t="s">
        <v>4813</v>
      </c>
      <c r="F148" s="233" t="s">
        <v>4814</v>
      </c>
      <c r="G148" s="233" t="s">
        <v>4815</v>
      </c>
      <c r="H148" s="234" t="s">
        <v>4170</v>
      </c>
    </row>
    <row r="149" spans="1:8" hidden="1" x14ac:dyDescent="0.2">
      <c r="A149" s="63"/>
      <c r="B149" s="232" t="s">
        <v>2397</v>
      </c>
      <c r="C149" s="233" t="s">
        <v>4816</v>
      </c>
      <c r="D149" s="233" t="s">
        <v>4817</v>
      </c>
      <c r="E149" s="233" t="s">
        <v>4818</v>
      </c>
      <c r="F149" s="233" t="s">
        <v>4819</v>
      </c>
      <c r="G149" s="233" t="s">
        <v>4820</v>
      </c>
      <c r="H149" s="234" t="s">
        <v>4170</v>
      </c>
    </row>
    <row r="150" spans="1:8" hidden="1" x14ac:dyDescent="0.2">
      <c r="A150" s="63"/>
      <c r="B150" s="232" t="s">
        <v>2397</v>
      </c>
      <c r="C150" s="233" t="s">
        <v>4821</v>
      </c>
      <c r="D150" s="233" t="s">
        <v>4822</v>
      </c>
      <c r="E150" s="233" t="s">
        <v>4823</v>
      </c>
      <c r="F150" s="233" t="s">
        <v>4824</v>
      </c>
      <c r="G150" s="233" t="s">
        <v>4825</v>
      </c>
      <c r="H150" s="234" t="s">
        <v>4170</v>
      </c>
    </row>
    <row r="151" spans="1:8" hidden="1" x14ac:dyDescent="0.2">
      <c r="A151" s="63"/>
      <c r="B151" s="232" t="s">
        <v>2397</v>
      </c>
      <c r="C151" s="233" t="s">
        <v>4826</v>
      </c>
      <c r="D151" s="233" t="s">
        <v>4827</v>
      </c>
      <c r="E151" s="233" t="s">
        <v>4828</v>
      </c>
      <c r="F151" s="233" t="s">
        <v>4821</v>
      </c>
      <c r="G151" s="233" t="s">
        <v>4829</v>
      </c>
      <c r="H151" s="234" t="s">
        <v>4170</v>
      </c>
    </row>
    <row r="152" spans="1:8" hidden="1" x14ac:dyDescent="0.2">
      <c r="A152" s="63"/>
      <c r="B152" s="232" t="s">
        <v>2397</v>
      </c>
      <c r="C152" s="233" t="s">
        <v>4830</v>
      </c>
      <c r="D152" s="233" t="s">
        <v>4831</v>
      </c>
      <c r="E152" s="233" t="s">
        <v>4830</v>
      </c>
      <c r="F152" s="233" t="s">
        <v>4832</v>
      </c>
      <c r="G152" s="233" t="s">
        <v>4833</v>
      </c>
      <c r="H152" s="234" t="s">
        <v>4170</v>
      </c>
    </row>
    <row r="153" spans="1:8" hidden="1" x14ac:dyDescent="0.2">
      <c r="A153" s="63"/>
      <c r="B153" s="232" t="s">
        <v>2397</v>
      </c>
      <c r="C153" s="233" t="s">
        <v>4834</v>
      </c>
      <c r="D153" s="233" t="s">
        <v>4835</v>
      </c>
      <c r="E153" s="233" t="s">
        <v>4834</v>
      </c>
      <c r="F153" s="233" t="s">
        <v>4836</v>
      </c>
      <c r="G153" s="233" t="s">
        <v>4837</v>
      </c>
      <c r="H153" s="234" t="s">
        <v>4170</v>
      </c>
    </row>
    <row r="154" spans="1:8" hidden="1" x14ac:dyDescent="0.2">
      <c r="A154" s="63"/>
      <c r="B154" s="232" t="s">
        <v>2397</v>
      </c>
      <c r="C154" s="233" t="s">
        <v>4838</v>
      </c>
      <c r="D154" s="233" t="s">
        <v>4839</v>
      </c>
      <c r="E154" s="233" t="s">
        <v>4840</v>
      </c>
      <c r="F154" s="233" t="s">
        <v>4841</v>
      </c>
      <c r="G154" s="233" t="s">
        <v>4842</v>
      </c>
      <c r="H154" s="234" t="s">
        <v>4170</v>
      </c>
    </row>
    <row r="155" spans="1:8" hidden="1" x14ac:dyDescent="0.2">
      <c r="A155" s="63"/>
      <c r="B155" s="232" t="s">
        <v>2397</v>
      </c>
      <c r="C155" s="233" t="s">
        <v>4843</v>
      </c>
      <c r="D155" s="233" t="s">
        <v>4844</v>
      </c>
      <c r="E155" s="233" t="s">
        <v>4845</v>
      </c>
      <c r="F155" s="233" t="s">
        <v>4846</v>
      </c>
      <c r="G155" s="233" t="s">
        <v>4847</v>
      </c>
      <c r="H155" s="234" t="s">
        <v>4170</v>
      </c>
    </row>
    <row r="156" spans="1:8" hidden="1" x14ac:dyDescent="0.2">
      <c r="A156" s="63"/>
      <c r="B156" s="232" t="s">
        <v>2397</v>
      </c>
      <c r="C156" s="233" t="s">
        <v>4848</v>
      </c>
      <c r="D156" s="233" t="s">
        <v>4849</v>
      </c>
      <c r="E156" s="233" t="s">
        <v>4850</v>
      </c>
      <c r="F156" s="233" t="s">
        <v>4851</v>
      </c>
      <c r="G156" s="233" t="s">
        <v>4852</v>
      </c>
      <c r="H156" s="234" t="s">
        <v>4170</v>
      </c>
    </row>
    <row r="157" spans="1:8" hidden="1" x14ac:dyDescent="0.2">
      <c r="A157" s="63"/>
      <c r="B157" s="232" t="s">
        <v>2397</v>
      </c>
      <c r="C157" s="233" t="s">
        <v>4853</v>
      </c>
      <c r="D157" s="233" t="s">
        <v>4854</v>
      </c>
      <c r="E157" s="233" t="s">
        <v>4855</v>
      </c>
      <c r="F157" s="233" t="s">
        <v>4856</v>
      </c>
      <c r="G157" s="233" t="s">
        <v>4857</v>
      </c>
      <c r="H157" s="234" t="s">
        <v>4170</v>
      </c>
    </row>
    <row r="158" spans="1:8" hidden="1" x14ac:dyDescent="0.2">
      <c r="A158" s="63"/>
      <c r="B158" s="232" t="s">
        <v>2397</v>
      </c>
      <c r="C158" s="233" t="s">
        <v>4858</v>
      </c>
      <c r="D158" s="233" t="s">
        <v>4859</v>
      </c>
      <c r="E158" s="233" t="s">
        <v>4860</v>
      </c>
      <c r="F158" s="233" t="s">
        <v>4861</v>
      </c>
      <c r="G158" s="233" t="s">
        <v>4862</v>
      </c>
      <c r="H158" s="234" t="s">
        <v>4170</v>
      </c>
    </row>
    <row r="159" spans="1:8" hidden="1" x14ac:dyDescent="0.2">
      <c r="A159" s="63"/>
      <c r="B159" s="232" t="s">
        <v>2397</v>
      </c>
      <c r="C159" s="233" t="s">
        <v>4863</v>
      </c>
      <c r="D159" s="233" t="s">
        <v>4864</v>
      </c>
      <c r="E159" s="233" t="s">
        <v>4865</v>
      </c>
      <c r="F159" s="233" t="s">
        <v>4866</v>
      </c>
      <c r="G159" s="233" t="s">
        <v>4867</v>
      </c>
      <c r="H159" s="234" t="s">
        <v>4170</v>
      </c>
    </row>
    <row r="160" spans="1:8" hidden="1" x14ac:dyDescent="0.2">
      <c r="A160" s="63"/>
      <c r="B160" s="232" t="s">
        <v>2397</v>
      </c>
      <c r="C160" s="233" t="s">
        <v>4868</v>
      </c>
      <c r="D160" s="233" t="s">
        <v>4869</v>
      </c>
      <c r="E160" s="233" t="s">
        <v>4870</v>
      </c>
      <c r="F160" s="233" t="s">
        <v>4871</v>
      </c>
      <c r="G160" s="233" t="s">
        <v>4872</v>
      </c>
      <c r="H160" s="234" t="s">
        <v>4170</v>
      </c>
    </row>
    <row r="161" spans="1:8" hidden="1" x14ac:dyDescent="0.2">
      <c r="A161" s="63"/>
      <c r="B161" s="232" t="s">
        <v>2397</v>
      </c>
      <c r="C161" s="233" t="s">
        <v>4873</v>
      </c>
      <c r="D161" s="233" t="s">
        <v>4874</v>
      </c>
      <c r="E161" s="233" t="s">
        <v>4875</v>
      </c>
      <c r="F161" s="233" t="s">
        <v>4876</v>
      </c>
      <c r="G161" s="233" t="s">
        <v>4877</v>
      </c>
      <c r="H161" s="234" t="s">
        <v>4170</v>
      </c>
    </row>
    <row r="162" spans="1:8" hidden="1" x14ac:dyDescent="0.2">
      <c r="A162" s="63"/>
      <c r="B162" s="232" t="s">
        <v>2397</v>
      </c>
      <c r="C162" s="233" t="s">
        <v>4878</v>
      </c>
      <c r="D162" s="233" t="s">
        <v>4879</v>
      </c>
      <c r="E162" s="233" t="s">
        <v>4880</v>
      </c>
      <c r="F162" s="233" t="s">
        <v>4881</v>
      </c>
      <c r="G162" s="233" t="s">
        <v>4882</v>
      </c>
      <c r="H162" s="234" t="s">
        <v>4170</v>
      </c>
    </row>
    <row r="163" spans="1:8" hidden="1" x14ac:dyDescent="0.2">
      <c r="A163" s="63"/>
      <c r="B163" s="232" t="s">
        <v>2397</v>
      </c>
      <c r="C163" s="233" t="s">
        <v>4883</v>
      </c>
      <c r="D163" s="233" t="s">
        <v>4884</v>
      </c>
      <c r="E163" s="233" t="s">
        <v>4885</v>
      </c>
      <c r="F163" s="233" t="s">
        <v>4886</v>
      </c>
      <c r="G163" s="233" t="s">
        <v>4887</v>
      </c>
      <c r="H163" s="234" t="s">
        <v>4170</v>
      </c>
    </row>
    <row r="164" spans="1:8" hidden="1" x14ac:dyDescent="0.2">
      <c r="A164" s="63"/>
      <c r="B164" s="232" t="s">
        <v>2397</v>
      </c>
      <c r="C164" s="233" t="s">
        <v>4888</v>
      </c>
      <c r="D164" s="233" t="s">
        <v>4889</v>
      </c>
      <c r="E164" s="233" t="s">
        <v>4890</v>
      </c>
      <c r="F164" s="233" t="s">
        <v>4891</v>
      </c>
      <c r="G164" s="233" t="s">
        <v>4892</v>
      </c>
      <c r="H164" s="234" t="s">
        <v>4170</v>
      </c>
    </row>
    <row r="165" spans="1:8" hidden="1" x14ac:dyDescent="0.2">
      <c r="A165" s="63"/>
      <c r="B165" s="232" t="s">
        <v>2397</v>
      </c>
      <c r="C165" s="233" t="s">
        <v>4893</v>
      </c>
      <c r="D165" s="233" t="s">
        <v>4894</v>
      </c>
      <c r="E165" s="233" t="s">
        <v>4895</v>
      </c>
      <c r="F165" s="233" t="s">
        <v>4896</v>
      </c>
      <c r="G165" s="233" t="s">
        <v>4897</v>
      </c>
      <c r="H165" s="234" t="s">
        <v>4170</v>
      </c>
    </row>
    <row r="166" spans="1:8" hidden="1" x14ac:dyDescent="0.2">
      <c r="A166" s="63"/>
      <c r="B166" s="232" t="s">
        <v>2397</v>
      </c>
      <c r="C166" s="233" t="s">
        <v>4898</v>
      </c>
      <c r="D166" s="233" t="s">
        <v>4899</v>
      </c>
      <c r="E166" s="233" t="s">
        <v>4900</v>
      </c>
      <c r="F166" s="233" t="s">
        <v>4901</v>
      </c>
      <c r="G166" s="233" t="s">
        <v>4902</v>
      </c>
      <c r="H166" s="234" t="s">
        <v>4170</v>
      </c>
    </row>
    <row r="167" spans="1:8" hidden="1" x14ac:dyDescent="0.2">
      <c r="A167" s="63"/>
      <c r="B167" s="232" t="s">
        <v>2397</v>
      </c>
      <c r="C167" s="233" t="s">
        <v>4903</v>
      </c>
      <c r="D167" s="233" t="s">
        <v>4903</v>
      </c>
      <c r="E167" s="233" t="s">
        <v>4903</v>
      </c>
      <c r="F167" s="233" t="s">
        <v>4904</v>
      </c>
      <c r="G167" s="233" t="s">
        <v>4905</v>
      </c>
      <c r="H167" s="234" t="s">
        <v>4170</v>
      </c>
    </row>
    <row r="168" spans="1:8" hidden="1" x14ac:dyDescent="0.2">
      <c r="A168" s="63"/>
      <c r="B168" s="232" t="s">
        <v>2397</v>
      </c>
      <c r="C168" s="233" t="s">
        <v>4906</v>
      </c>
      <c r="D168" s="233" t="s">
        <v>4907</v>
      </c>
      <c r="E168" s="233" t="s">
        <v>4908</v>
      </c>
      <c r="F168" s="233" t="s">
        <v>4909</v>
      </c>
      <c r="G168" s="233" t="s">
        <v>4910</v>
      </c>
      <c r="H168" s="234" t="s">
        <v>4170</v>
      </c>
    </row>
    <row r="169" spans="1:8" hidden="1" x14ac:dyDescent="0.2">
      <c r="A169" s="63"/>
      <c r="B169" s="232" t="s">
        <v>2397</v>
      </c>
      <c r="C169" s="233" t="s">
        <v>4911</v>
      </c>
      <c r="D169" s="233" t="s">
        <v>4912</v>
      </c>
      <c r="E169" s="233" t="s">
        <v>4913</v>
      </c>
      <c r="F169" s="233" t="s">
        <v>4914</v>
      </c>
      <c r="G169" s="233" t="s">
        <v>4915</v>
      </c>
      <c r="H169" s="234" t="s">
        <v>4170</v>
      </c>
    </row>
    <row r="170" spans="1:8" hidden="1" x14ac:dyDescent="0.2">
      <c r="A170" s="63"/>
      <c r="B170" s="232" t="s">
        <v>2397</v>
      </c>
      <c r="C170" s="233" t="s">
        <v>4916</v>
      </c>
      <c r="D170" s="233" t="s">
        <v>4917</v>
      </c>
      <c r="E170" s="233" t="s">
        <v>4918</v>
      </c>
      <c r="F170" s="233" t="s">
        <v>4919</v>
      </c>
      <c r="G170" s="233" t="s">
        <v>4920</v>
      </c>
      <c r="H170" s="234" t="s">
        <v>4170</v>
      </c>
    </row>
    <row r="171" spans="1:8" hidden="1" x14ac:dyDescent="0.2">
      <c r="A171" s="63"/>
      <c r="B171" s="232" t="s">
        <v>2397</v>
      </c>
      <c r="C171" s="233" t="s">
        <v>4921</v>
      </c>
      <c r="D171" s="233" t="s">
        <v>4922</v>
      </c>
      <c r="E171" s="233" t="s">
        <v>4923</v>
      </c>
      <c r="F171" s="233" t="s">
        <v>4924</v>
      </c>
      <c r="G171" s="233" t="s">
        <v>4925</v>
      </c>
      <c r="H171" s="234" t="s">
        <v>4170</v>
      </c>
    </row>
    <row r="172" spans="1:8" hidden="1" x14ac:dyDescent="0.2">
      <c r="A172" s="63"/>
      <c r="B172" s="232" t="s">
        <v>2397</v>
      </c>
      <c r="C172" s="233" t="s">
        <v>4926</v>
      </c>
      <c r="D172" s="233" t="s">
        <v>4927</v>
      </c>
      <c r="E172" s="233" t="s">
        <v>4928</v>
      </c>
      <c r="F172" s="233" t="s">
        <v>4929</v>
      </c>
      <c r="G172" s="233" t="s">
        <v>4930</v>
      </c>
      <c r="H172" s="234" t="s">
        <v>4170</v>
      </c>
    </row>
    <row r="173" spans="1:8" hidden="1" x14ac:dyDescent="0.2">
      <c r="A173" s="63"/>
      <c r="B173" s="232" t="s">
        <v>2397</v>
      </c>
      <c r="C173" s="233" t="s">
        <v>4931</v>
      </c>
      <c r="D173" s="233" t="s">
        <v>4932</v>
      </c>
      <c r="E173" s="233" t="s">
        <v>4933</v>
      </c>
      <c r="F173" s="233" t="s">
        <v>4934</v>
      </c>
      <c r="G173" s="233" t="s">
        <v>4935</v>
      </c>
      <c r="H173" s="234" t="s">
        <v>4170</v>
      </c>
    </row>
    <row r="174" spans="1:8" hidden="1" x14ac:dyDescent="0.2">
      <c r="A174" s="63"/>
      <c r="B174" s="232" t="s">
        <v>2397</v>
      </c>
      <c r="C174" s="233" t="s">
        <v>4936</v>
      </c>
      <c r="D174" s="233" t="s">
        <v>3659</v>
      </c>
      <c r="E174" s="233" t="s">
        <v>4937</v>
      </c>
      <c r="F174" s="233" t="s">
        <v>4938</v>
      </c>
      <c r="G174" s="233" t="s">
        <v>4939</v>
      </c>
      <c r="H174" s="234" t="s">
        <v>4170</v>
      </c>
    </row>
    <row r="175" spans="1:8" hidden="1" x14ac:dyDescent="0.2">
      <c r="A175" s="63"/>
      <c r="B175" s="232" t="s">
        <v>2397</v>
      </c>
      <c r="C175" s="233" t="s">
        <v>4940</v>
      </c>
      <c r="D175" s="233" t="s">
        <v>4941</v>
      </c>
      <c r="E175" s="233" t="s">
        <v>4942</v>
      </c>
      <c r="F175" s="233" t="s">
        <v>4943</v>
      </c>
      <c r="G175" s="233" t="s">
        <v>4944</v>
      </c>
      <c r="H175" s="234" t="s">
        <v>4170</v>
      </c>
    </row>
    <row r="176" spans="1:8" hidden="1" x14ac:dyDescent="0.2">
      <c r="A176" s="63"/>
      <c r="B176" s="232" t="s">
        <v>2397</v>
      </c>
      <c r="C176" s="233" t="s">
        <v>4945</v>
      </c>
      <c r="D176" s="233" t="s">
        <v>4946</v>
      </c>
      <c r="E176" s="233" t="s">
        <v>4947</v>
      </c>
      <c r="F176" s="233" t="s">
        <v>4945</v>
      </c>
      <c r="G176" s="233" t="s">
        <v>4948</v>
      </c>
      <c r="H176" s="234" t="s">
        <v>4170</v>
      </c>
    </row>
    <row r="177" spans="1:8" hidden="1" x14ac:dyDescent="0.2">
      <c r="A177" s="63"/>
      <c r="B177" s="232" t="s">
        <v>2397</v>
      </c>
      <c r="C177" s="233" t="s">
        <v>4949</v>
      </c>
      <c r="D177" s="233" t="s">
        <v>4950</v>
      </c>
      <c r="E177" s="233" t="s">
        <v>4951</v>
      </c>
      <c r="F177" s="233" t="s">
        <v>4952</v>
      </c>
      <c r="G177" s="233" t="s">
        <v>4953</v>
      </c>
      <c r="H177" s="234" t="s">
        <v>4170</v>
      </c>
    </row>
    <row r="178" spans="1:8" hidden="1" x14ac:dyDescent="0.2">
      <c r="A178" s="63"/>
      <c r="B178" s="232" t="s">
        <v>2397</v>
      </c>
      <c r="C178" s="233" t="s">
        <v>4954</v>
      </c>
      <c r="D178" s="233" t="s">
        <v>4955</v>
      </c>
      <c r="E178" s="233" t="s">
        <v>4956</v>
      </c>
      <c r="F178" s="233" t="s">
        <v>4957</v>
      </c>
      <c r="G178" s="233" t="s">
        <v>4958</v>
      </c>
      <c r="H178" s="234" t="s">
        <v>4170</v>
      </c>
    </row>
    <row r="179" spans="1:8" hidden="1" x14ac:dyDescent="0.2">
      <c r="A179" s="63"/>
      <c r="B179" s="232" t="s">
        <v>2397</v>
      </c>
      <c r="C179" s="233" t="s">
        <v>4959</v>
      </c>
      <c r="D179" s="233" t="s">
        <v>4960</v>
      </c>
      <c r="E179" s="233" t="s">
        <v>4961</v>
      </c>
      <c r="F179" s="233" t="s">
        <v>4962</v>
      </c>
      <c r="G179" s="233" t="s">
        <v>4963</v>
      </c>
      <c r="H179" s="234" t="s">
        <v>4170</v>
      </c>
    </row>
    <row r="180" spans="1:8" hidden="1" x14ac:dyDescent="0.2">
      <c r="A180" s="63"/>
      <c r="B180" s="232" t="s">
        <v>2397</v>
      </c>
      <c r="C180" s="233" t="s">
        <v>4964</v>
      </c>
      <c r="D180" s="233" t="s">
        <v>4965</v>
      </c>
      <c r="E180" s="233" t="s">
        <v>4966</v>
      </c>
      <c r="F180" s="233" t="s">
        <v>4966</v>
      </c>
      <c r="G180" s="233" t="s">
        <v>4967</v>
      </c>
      <c r="H180" s="234" t="s">
        <v>4170</v>
      </c>
    </row>
    <row r="181" spans="1:8" hidden="1" x14ac:dyDescent="0.2">
      <c r="A181" s="63"/>
      <c r="B181" s="232" t="s">
        <v>2397</v>
      </c>
      <c r="C181" s="233" t="s">
        <v>4968</v>
      </c>
      <c r="D181" s="233" t="s">
        <v>4969</v>
      </c>
      <c r="E181" s="233" t="s">
        <v>4970</v>
      </c>
      <c r="F181" s="233" t="s">
        <v>4971</v>
      </c>
      <c r="G181" s="233" t="s">
        <v>4972</v>
      </c>
      <c r="H181" s="234" t="s">
        <v>4170</v>
      </c>
    </row>
    <row r="182" spans="1:8" hidden="1" x14ac:dyDescent="0.2">
      <c r="A182" s="63"/>
      <c r="B182" s="232" t="s">
        <v>2397</v>
      </c>
      <c r="C182" s="233" t="s">
        <v>4973</v>
      </c>
      <c r="D182" s="233" t="s">
        <v>4974</v>
      </c>
      <c r="E182" s="233" t="s">
        <v>4975</v>
      </c>
      <c r="F182" s="233" t="s">
        <v>4976</v>
      </c>
      <c r="G182" s="233" t="s">
        <v>4977</v>
      </c>
      <c r="H182" s="234" t="s">
        <v>4170</v>
      </c>
    </row>
    <row r="183" spans="1:8" hidden="1" x14ac:dyDescent="0.2">
      <c r="A183" s="63"/>
      <c r="B183" s="232" t="s">
        <v>2397</v>
      </c>
      <c r="C183" s="233" t="s">
        <v>4978</v>
      </c>
      <c r="D183" s="233" t="s">
        <v>4979</v>
      </c>
      <c r="E183" s="233" t="s">
        <v>4980</v>
      </c>
      <c r="F183" s="233" t="s">
        <v>4981</v>
      </c>
      <c r="G183" s="233" t="s">
        <v>4982</v>
      </c>
      <c r="H183" s="234" t="s">
        <v>4170</v>
      </c>
    </row>
    <row r="184" spans="1:8" hidden="1" x14ac:dyDescent="0.2">
      <c r="A184" s="63"/>
      <c r="B184" s="232" t="s">
        <v>2397</v>
      </c>
      <c r="C184" s="233" t="s">
        <v>4983</v>
      </c>
      <c r="D184" s="233" t="s">
        <v>4984</v>
      </c>
      <c r="E184" s="233" t="s">
        <v>4985</v>
      </c>
      <c r="F184" s="233" t="s">
        <v>4986</v>
      </c>
      <c r="G184" s="233" t="s">
        <v>4987</v>
      </c>
      <c r="H184" s="234" t="s">
        <v>4170</v>
      </c>
    </row>
    <row r="185" spans="1:8" hidden="1" x14ac:dyDescent="0.2">
      <c r="A185" s="63"/>
      <c r="B185" s="232" t="s">
        <v>2397</v>
      </c>
      <c r="C185" s="233" t="s">
        <v>4988</v>
      </c>
      <c r="D185" s="233" t="s">
        <v>4989</v>
      </c>
      <c r="E185" s="233" t="s">
        <v>4990</v>
      </c>
      <c r="F185" s="233" t="s">
        <v>4991</v>
      </c>
      <c r="G185" s="233" t="s">
        <v>4992</v>
      </c>
      <c r="H185" s="234" t="s">
        <v>4170</v>
      </c>
    </row>
    <row r="186" spans="1:8" hidden="1" x14ac:dyDescent="0.2">
      <c r="A186" s="63"/>
      <c r="B186" s="232" t="s">
        <v>2397</v>
      </c>
      <c r="C186" s="233" t="s">
        <v>4993</v>
      </c>
      <c r="D186" s="233" t="s">
        <v>4994</v>
      </c>
      <c r="E186" s="233" t="s">
        <v>4995</v>
      </c>
      <c r="F186" s="233" t="s">
        <v>4996</v>
      </c>
      <c r="G186" s="233" t="s">
        <v>4997</v>
      </c>
      <c r="H186" s="234" t="s">
        <v>4170</v>
      </c>
    </row>
    <row r="187" spans="1:8" hidden="1" x14ac:dyDescent="0.2">
      <c r="A187" s="63"/>
      <c r="B187" s="232" t="s">
        <v>2397</v>
      </c>
      <c r="C187" s="233" t="s">
        <v>4998</v>
      </c>
      <c r="D187" s="233" t="s">
        <v>4999</v>
      </c>
      <c r="E187" s="233" t="s">
        <v>4998</v>
      </c>
      <c r="F187" s="233" t="s">
        <v>5000</v>
      </c>
      <c r="G187" s="233" t="s">
        <v>5001</v>
      </c>
      <c r="H187" s="234" t="s">
        <v>4170</v>
      </c>
    </row>
    <row r="188" spans="1:8" hidden="1" x14ac:dyDescent="0.2">
      <c r="A188" s="63"/>
      <c r="B188" s="232" t="s">
        <v>2397</v>
      </c>
      <c r="C188" s="233" t="s">
        <v>5002</v>
      </c>
      <c r="D188" s="233" t="s">
        <v>5003</v>
      </c>
      <c r="E188" s="233" t="s">
        <v>5004</v>
      </c>
      <c r="F188" s="233" t="s">
        <v>5003</v>
      </c>
      <c r="G188" s="233" t="s">
        <v>5002</v>
      </c>
      <c r="H188" s="234" t="s">
        <v>4170</v>
      </c>
    </row>
    <row r="189" spans="1:8" hidden="1" x14ac:dyDescent="0.2">
      <c r="A189" s="63"/>
      <c r="B189" s="232" t="s">
        <v>2397</v>
      </c>
      <c r="C189" s="233" t="s">
        <v>5005</v>
      </c>
      <c r="D189" s="233" t="s">
        <v>5006</v>
      </c>
      <c r="E189" s="233" t="s">
        <v>5007</v>
      </c>
      <c r="F189" s="233" t="s">
        <v>5008</v>
      </c>
      <c r="G189" s="233" t="s">
        <v>5009</v>
      </c>
      <c r="H189" s="234" t="s">
        <v>4170</v>
      </c>
    </row>
    <row r="190" spans="1:8" hidden="1" x14ac:dyDescent="0.2">
      <c r="A190" s="63"/>
      <c r="B190" s="232" t="s">
        <v>2397</v>
      </c>
      <c r="C190" s="233" t="s">
        <v>5010</v>
      </c>
      <c r="D190" s="233" t="s">
        <v>5011</v>
      </c>
      <c r="E190" s="233" t="s">
        <v>5012</v>
      </c>
      <c r="F190" s="233" t="s">
        <v>5013</v>
      </c>
      <c r="G190" s="233" t="s">
        <v>5014</v>
      </c>
      <c r="H190" s="234" t="s">
        <v>4170</v>
      </c>
    </row>
    <row r="191" spans="1:8" hidden="1" x14ac:dyDescent="0.2">
      <c r="A191" s="63"/>
      <c r="B191" s="232" t="s">
        <v>2397</v>
      </c>
      <c r="C191" s="233" t="s">
        <v>5015</v>
      </c>
      <c r="D191" s="233" t="s">
        <v>5016</v>
      </c>
      <c r="E191" s="233" t="s">
        <v>5017</v>
      </c>
      <c r="F191" s="233" t="s">
        <v>5018</v>
      </c>
      <c r="G191" s="233" t="s">
        <v>5019</v>
      </c>
      <c r="H191" s="234" t="s">
        <v>4170</v>
      </c>
    </row>
    <row r="192" spans="1:8" hidden="1" x14ac:dyDescent="0.2">
      <c r="A192" s="63"/>
      <c r="B192" s="232" t="s">
        <v>2397</v>
      </c>
      <c r="C192" s="233" t="s">
        <v>5020</v>
      </c>
      <c r="D192" s="233" t="s">
        <v>5021</v>
      </c>
      <c r="E192" s="233" t="s">
        <v>5022</v>
      </c>
      <c r="F192" s="233" t="s">
        <v>5023</v>
      </c>
      <c r="G192" s="233" t="s">
        <v>5024</v>
      </c>
      <c r="H192" s="234" t="s">
        <v>4170</v>
      </c>
    </row>
    <row r="193" spans="1:8" hidden="1" x14ac:dyDescent="0.2">
      <c r="A193" s="63"/>
      <c r="B193" s="232" t="s">
        <v>2397</v>
      </c>
      <c r="C193" s="233" t="s">
        <v>5025</v>
      </c>
      <c r="D193" s="233" t="s">
        <v>5026</v>
      </c>
      <c r="E193" s="233" t="s">
        <v>5027</v>
      </c>
      <c r="F193" s="233" t="s">
        <v>5028</v>
      </c>
      <c r="G193" s="233" t="s">
        <v>5029</v>
      </c>
      <c r="H193" s="234" t="s">
        <v>4170</v>
      </c>
    </row>
    <row r="194" spans="1:8" hidden="1" x14ac:dyDescent="0.2">
      <c r="A194" s="63"/>
      <c r="B194" s="232" t="s">
        <v>2397</v>
      </c>
      <c r="C194" s="233" t="s">
        <v>5030</v>
      </c>
      <c r="D194" s="233" t="s">
        <v>5031</v>
      </c>
      <c r="E194" s="233" t="s">
        <v>5032</v>
      </c>
      <c r="F194" s="233" t="s">
        <v>5033</v>
      </c>
      <c r="G194" s="233" t="s">
        <v>5034</v>
      </c>
      <c r="H194" s="234" t="s">
        <v>4170</v>
      </c>
    </row>
    <row r="195" spans="1:8" hidden="1" x14ac:dyDescent="0.2">
      <c r="A195" s="63"/>
      <c r="B195" s="232" t="s">
        <v>2397</v>
      </c>
      <c r="C195" s="233" t="s">
        <v>5035</v>
      </c>
      <c r="D195" s="233" t="s">
        <v>5036</v>
      </c>
      <c r="E195" s="233" t="s">
        <v>5037</v>
      </c>
      <c r="F195" s="233" t="s">
        <v>5038</v>
      </c>
      <c r="G195" s="233" t="s">
        <v>5039</v>
      </c>
      <c r="H195" s="234" t="s">
        <v>4170</v>
      </c>
    </row>
    <row r="196" spans="1:8" hidden="1" x14ac:dyDescent="0.2">
      <c r="A196" s="63"/>
      <c r="B196" s="232" t="s">
        <v>2397</v>
      </c>
      <c r="C196" s="233" t="s">
        <v>5040</v>
      </c>
      <c r="D196" s="233" t="s">
        <v>5041</v>
      </c>
      <c r="E196" s="233" t="s">
        <v>5042</v>
      </c>
      <c r="F196" s="233" t="s">
        <v>5043</v>
      </c>
      <c r="G196" s="233" t="s">
        <v>5044</v>
      </c>
      <c r="H196" s="234" t="s">
        <v>4170</v>
      </c>
    </row>
    <row r="197" spans="1:8" hidden="1" x14ac:dyDescent="0.2">
      <c r="A197" s="63"/>
      <c r="B197" s="232" t="s">
        <v>2397</v>
      </c>
      <c r="C197" s="233" t="s">
        <v>5045</v>
      </c>
      <c r="D197" s="233" t="s">
        <v>5045</v>
      </c>
      <c r="E197" s="233" t="s">
        <v>5045</v>
      </c>
      <c r="F197" s="233" t="s">
        <v>5045</v>
      </c>
      <c r="G197" s="233" t="s">
        <v>5045</v>
      </c>
      <c r="H197" s="234" t="s">
        <v>4170</v>
      </c>
    </row>
    <row r="198" spans="1:8" hidden="1" x14ac:dyDescent="0.2">
      <c r="A198" s="63"/>
      <c r="B198" s="232" t="s">
        <v>2397</v>
      </c>
      <c r="C198" s="233" t="s">
        <v>5046</v>
      </c>
      <c r="D198" s="233" t="s">
        <v>5046</v>
      </c>
      <c r="E198" s="233" t="s">
        <v>5046</v>
      </c>
      <c r="F198" s="233" t="s">
        <v>5046</v>
      </c>
      <c r="G198" s="233" t="s">
        <v>5046</v>
      </c>
      <c r="H198" s="234" t="s">
        <v>4170</v>
      </c>
    </row>
    <row r="199" spans="1:8" hidden="1" x14ac:dyDescent="0.2">
      <c r="A199" s="63"/>
      <c r="B199" s="232" t="s">
        <v>2397</v>
      </c>
      <c r="C199" s="233" t="s">
        <v>5047</v>
      </c>
      <c r="D199" s="233" t="s">
        <v>5048</v>
      </c>
      <c r="E199" s="233" t="s">
        <v>5049</v>
      </c>
      <c r="F199" s="233" t="s">
        <v>5050</v>
      </c>
      <c r="G199" s="233" t="s">
        <v>5051</v>
      </c>
      <c r="H199" s="234" t="s">
        <v>4170</v>
      </c>
    </row>
    <row r="200" spans="1:8" hidden="1" x14ac:dyDescent="0.2">
      <c r="A200" s="63"/>
      <c r="B200" s="232" t="s">
        <v>2397</v>
      </c>
      <c r="C200" s="233" t="s">
        <v>5052</v>
      </c>
      <c r="D200" s="233" t="s">
        <v>5053</v>
      </c>
      <c r="E200" s="233" t="s">
        <v>5054</v>
      </c>
      <c r="F200" s="233" t="s">
        <v>5055</v>
      </c>
      <c r="G200" s="233" t="s">
        <v>5056</v>
      </c>
      <c r="H200" s="234" t="s">
        <v>4170</v>
      </c>
    </row>
    <row r="201" spans="1:8" hidden="1" x14ac:dyDescent="0.2">
      <c r="A201" s="63"/>
      <c r="B201" s="232" t="s">
        <v>2397</v>
      </c>
      <c r="C201" s="233" t="s">
        <v>5057</v>
      </c>
      <c r="D201" s="233" t="s">
        <v>5058</v>
      </c>
      <c r="E201" s="233" t="s">
        <v>5059</v>
      </c>
      <c r="F201" s="233" t="s">
        <v>5060</v>
      </c>
      <c r="G201" s="233" t="s">
        <v>5061</v>
      </c>
      <c r="H201" s="234" t="s">
        <v>4170</v>
      </c>
    </row>
    <row r="202" spans="1:8" hidden="1" x14ac:dyDescent="0.2">
      <c r="A202" s="63"/>
      <c r="B202" s="232" t="s">
        <v>2397</v>
      </c>
      <c r="C202" s="233" t="s">
        <v>5062</v>
      </c>
      <c r="D202" s="233" t="s">
        <v>5063</v>
      </c>
      <c r="E202" s="233" t="s">
        <v>5064</v>
      </c>
      <c r="F202" s="233" t="s">
        <v>5065</v>
      </c>
      <c r="G202" s="233" t="s">
        <v>5066</v>
      </c>
      <c r="H202" s="234" t="s">
        <v>4170</v>
      </c>
    </row>
    <row r="203" spans="1:8" hidden="1" x14ac:dyDescent="0.2">
      <c r="A203" s="63"/>
      <c r="B203" s="232" t="s">
        <v>2397</v>
      </c>
      <c r="C203" s="233" t="s">
        <v>5067</v>
      </c>
      <c r="D203" s="233" t="s">
        <v>5068</v>
      </c>
      <c r="E203" s="233" t="s">
        <v>5069</v>
      </c>
      <c r="F203" s="233" t="s">
        <v>5070</v>
      </c>
      <c r="G203" s="233" t="s">
        <v>5071</v>
      </c>
      <c r="H203" s="234" t="s">
        <v>4170</v>
      </c>
    </row>
    <row r="204" spans="1:8" hidden="1" x14ac:dyDescent="0.2">
      <c r="A204" s="63"/>
      <c r="B204" s="232" t="s">
        <v>2397</v>
      </c>
      <c r="C204" s="233" t="s">
        <v>5072</v>
      </c>
      <c r="D204" s="233" t="s">
        <v>5073</v>
      </c>
      <c r="E204" s="233" t="s">
        <v>5072</v>
      </c>
      <c r="F204" s="233" t="s">
        <v>5074</v>
      </c>
      <c r="G204" s="233" t="s">
        <v>5075</v>
      </c>
      <c r="H204" s="234" t="s">
        <v>4170</v>
      </c>
    </row>
    <row r="205" spans="1:8" hidden="1" x14ac:dyDescent="0.2">
      <c r="A205" s="63"/>
      <c r="B205" s="232" t="s">
        <v>2397</v>
      </c>
      <c r="C205" s="233" t="s">
        <v>5076</v>
      </c>
      <c r="D205" s="233" t="s">
        <v>5077</v>
      </c>
      <c r="E205" s="233" t="s">
        <v>5076</v>
      </c>
      <c r="F205" s="233" t="s">
        <v>5078</v>
      </c>
      <c r="G205" s="233" t="s">
        <v>5079</v>
      </c>
      <c r="H205" s="234" t="s">
        <v>4170</v>
      </c>
    </row>
    <row r="206" spans="1:8" hidden="1" x14ac:dyDescent="0.2">
      <c r="A206" s="63"/>
      <c r="B206" s="232" t="s">
        <v>2397</v>
      </c>
      <c r="C206" s="233" t="s">
        <v>5080</v>
      </c>
      <c r="D206" s="233" t="s">
        <v>5081</v>
      </c>
      <c r="E206" s="233" t="s">
        <v>5082</v>
      </c>
      <c r="F206" s="233" t="s">
        <v>5083</v>
      </c>
      <c r="G206" s="233" t="s">
        <v>5084</v>
      </c>
      <c r="H206" s="234" t="s">
        <v>4170</v>
      </c>
    </row>
    <row r="207" spans="1:8" hidden="1" x14ac:dyDescent="0.2">
      <c r="A207" s="63"/>
      <c r="B207" s="232" t="s">
        <v>2397</v>
      </c>
      <c r="C207" s="233" t="s">
        <v>5085</v>
      </c>
      <c r="D207" s="233" t="s">
        <v>5086</v>
      </c>
      <c r="E207" s="233" t="s">
        <v>5087</v>
      </c>
      <c r="F207" s="233" t="s">
        <v>5088</v>
      </c>
      <c r="G207" s="233" t="s">
        <v>5089</v>
      </c>
      <c r="H207" s="234" t="s">
        <v>4170</v>
      </c>
    </row>
    <row r="208" spans="1:8" hidden="1" x14ac:dyDescent="0.2">
      <c r="A208" s="63"/>
      <c r="B208" s="232" t="s">
        <v>2397</v>
      </c>
      <c r="C208" s="233" t="s">
        <v>5090</v>
      </c>
      <c r="D208" s="233" t="s">
        <v>5091</v>
      </c>
      <c r="E208" s="233" t="s">
        <v>5092</v>
      </c>
      <c r="F208" s="233" t="s">
        <v>5093</v>
      </c>
      <c r="G208" s="233" t="s">
        <v>5094</v>
      </c>
      <c r="H208" s="234" t="s">
        <v>4170</v>
      </c>
    </row>
    <row r="209" spans="1:8" hidden="1" x14ac:dyDescent="0.2">
      <c r="A209" s="63"/>
      <c r="B209" s="232" t="s">
        <v>2397</v>
      </c>
      <c r="C209" s="233" t="s">
        <v>5095</v>
      </c>
      <c r="D209" s="233" t="s">
        <v>5096</v>
      </c>
      <c r="E209" s="233" t="s">
        <v>5097</v>
      </c>
      <c r="F209" s="233" t="s">
        <v>5098</v>
      </c>
      <c r="G209" s="233" t="s">
        <v>5099</v>
      </c>
      <c r="H209" s="234" t="s">
        <v>4170</v>
      </c>
    </row>
    <row r="210" spans="1:8" hidden="1" x14ac:dyDescent="0.2">
      <c r="A210" s="63"/>
      <c r="B210" s="232" t="s">
        <v>2397</v>
      </c>
      <c r="C210" s="233" t="s">
        <v>5100</v>
      </c>
      <c r="D210" s="233" t="s">
        <v>5101</v>
      </c>
      <c r="E210" s="233" t="s">
        <v>5102</v>
      </c>
      <c r="F210" s="233" t="s">
        <v>5103</v>
      </c>
      <c r="G210" s="233" t="s">
        <v>5104</v>
      </c>
      <c r="H210" s="234" t="s">
        <v>4170</v>
      </c>
    </row>
    <row r="211" spans="1:8" hidden="1" x14ac:dyDescent="0.2">
      <c r="A211" s="63"/>
      <c r="B211" s="232" t="s">
        <v>2397</v>
      </c>
      <c r="C211" s="233" t="s">
        <v>5105</v>
      </c>
      <c r="D211" s="233" t="s">
        <v>5106</v>
      </c>
      <c r="E211" s="233" t="s">
        <v>5107</v>
      </c>
      <c r="F211" s="233" t="s">
        <v>5108</v>
      </c>
      <c r="G211" s="233" t="s">
        <v>5109</v>
      </c>
      <c r="H211" s="234" t="s">
        <v>4170</v>
      </c>
    </row>
    <row r="212" spans="1:8" hidden="1" x14ac:dyDescent="0.2">
      <c r="A212" s="63"/>
      <c r="B212" s="232" t="s">
        <v>2397</v>
      </c>
      <c r="C212" s="233" t="s">
        <v>5110</v>
      </c>
      <c r="D212" s="233" t="s">
        <v>5111</v>
      </c>
      <c r="E212" s="233" t="s">
        <v>5112</v>
      </c>
      <c r="F212" s="233" t="s">
        <v>5113</v>
      </c>
      <c r="G212" s="233" t="s">
        <v>5114</v>
      </c>
      <c r="H212" s="234" t="s">
        <v>4170</v>
      </c>
    </row>
    <row r="213" spans="1:8" hidden="1" x14ac:dyDescent="0.2">
      <c r="A213" s="63"/>
      <c r="B213" s="232" t="s">
        <v>2397</v>
      </c>
      <c r="C213" s="233" t="s">
        <v>5115</v>
      </c>
      <c r="D213" s="233" t="s">
        <v>5116</v>
      </c>
      <c r="E213" s="233" t="s">
        <v>5117</v>
      </c>
      <c r="F213" s="233" t="s">
        <v>5118</v>
      </c>
      <c r="G213" s="233" t="s">
        <v>5119</v>
      </c>
      <c r="H213" s="234" t="s">
        <v>4170</v>
      </c>
    </row>
    <row r="214" spans="1:8" hidden="1" x14ac:dyDescent="0.2">
      <c r="A214" s="63"/>
      <c r="B214" s="232" t="s">
        <v>2397</v>
      </c>
      <c r="C214" s="233" t="s">
        <v>5120</v>
      </c>
      <c r="D214" s="233" t="s">
        <v>5121</v>
      </c>
      <c r="E214" s="233" t="s">
        <v>5122</v>
      </c>
      <c r="F214" s="233" t="s">
        <v>5123</v>
      </c>
      <c r="G214" s="233" t="s">
        <v>5124</v>
      </c>
      <c r="H214" s="234" t="s">
        <v>4170</v>
      </c>
    </row>
    <row r="215" spans="1:8" hidden="1" x14ac:dyDescent="0.2">
      <c r="A215" s="63"/>
      <c r="B215" s="232" t="s">
        <v>2397</v>
      </c>
      <c r="C215" s="233" t="s">
        <v>5125</v>
      </c>
      <c r="D215" s="233" t="s">
        <v>5126</v>
      </c>
      <c r="E215" s="233" t="s">
        <v>5127</v>
      </c>
      <c r="F215" s="233" t="s">
        <v>5128</v>
      </c>
      <c r="G215" s="233" t="s">
        <v>5129</v>
      </c>
      <c r="H215" s="234" t="s">
        <v>4170</v>
      </c>
    </row>
    <row r="216" spans="1:8" hidden="1" x14ac:dyDescent="0.2">
      <c r="A216" s="63"/>
      <c r="B216" s="232" t="s">
        <v>2397</v>
      </c>
      <c r="C216" s="233" t="s">
        <v>5130</v>
      </c>
      <c r="D216" s="233" t="s">
        <v>5131</v>
      </c>
      <c r="E216" s="233" t="s">
        <v>5132</v>
      </c>
      <c r="F216" s="233" t="s">
        <v>5133</v>
      </c>
      <c r="G216" s="233" t="s">
        <v>5134</v>
      </c>
      <c r="H216" s="234" t="s">
        <v>4170</v>
      </c>
    </row>
    <row r="217" spans="1:8" hidden="1" x14ac:dyDescent="0.2">
      <c r="A217" s="63"/>
      <c r="B217" s="232" t="s">
        <v>2397</v>
      </c>
      <c r="C217" s="233" t="s">
        <v>5135</v>
      </c>
      <c r="D217" s="233" t="s">
        <v>5136</v>
      </c>
      <c r="E217" s="233" t="s">
        <v>5137</v>
      </c>
      <c r="F217" s="233" t="s">
        <v>5138</v>
      </c>
      <c r="G217" s="233" t="s">
        <v>5139</v>
      </c>
      <c r="H217" s="234" t="s">
        <v>4170</v>
      </c>
    </row>
    <row r="218" spans="1:8" hidden="1" x14ac:dyDescent="0.2">
      <c r="A218" s="63"/>
      <c r="B218" s="232" t="s">
        <v>2397</v>
      </c>
      <c r="C218" s="233" t="s">
        <v>5140</v>
      </c>
      <c r="D218" s="233" t="s">
        <v>5141</v>
      </c>
      <c r="E218" s="233" t="s">
        <v>5142</v>
      </c>
      <c r="F218" s="233" t="s">
        <v>5143</v>
      </c>
      <c r="G218" s="233" t="s">
        <v>5144</v>
      </c>
      <c r="H218" s="234" t="s">
        <v>4170</v>
      </c>
    </row>
    <row r="219" spans="1:8" hidden="1" x14ac:dyDescent="0.2">
      <c r="A219" s="63"/>
      <c r="B219" s="232" t="s">
        <v>2397</v>
      </c>
      <c r="C219" s="233" t="s">
        <v>5145</v>
      </c>
      <c r="D219" s="233" t="s">
        <v>5146</v>
      </c>
      <c r="E219" s="233" t="s">
        <v>5147</v>
      </c>
      <c r="F219" s="233" t="s">
        <v>5148</v>
      </c>
      <c r="G219" s="233" t="s">
        <v>5149</v>
      </c>
      <c r="H219" s="234" t="s">
        <v>4170</v>
      </c>
    </row>
    <row r="220" spans="1:8" hidden="1" x14ac:dyDescent="0.2">
      <c r="A220" s="63"/>
      <c r="B220" s="232" t="s">
        <v>2397</v>
      </c>
      <c r="C220" s="233" t="s">
        <v>5150</v>
      </c>
      <c r="D220" s="233" t="s">
        <v>5151</v>
      </c>
      <c r="E220" s="233" t="s">
        <v>5152</v>
      </c>
      <c r="F220" s="233" t="s">
        <v>5153</v>
      </c>
      <c r="G220" s="233" t="s">
        <v>5154</v>
      </c>
      <c r="H220" s="234" t="s">
        <v>4170</v>
      </c>
    </row>
    <row r="221" spans="1:8" hidden="1" x14ac:dyDescent="0.2">
      <c r="A221" s="63"/>
      <c r="B221" s="232" t="s">
        <v>2397</v>
      </c>
      <c r="C221" s="233" t="s">
        <v>5155</v>
      </c>
      <c r="D221" s="233" t="s">
        <v>5156</v>
      </c>
      <c r="E221" s="233" t="s">
        <v>5157</v>
      </c>
      <c r="F221" s="233" t="s">
        <v>5158</v>
      </c>
      <c r="G221" s="233" t="s">
        <v>5159</v>
      </c>
      <c r="H221" s="234" t="s">
        <v>4170</v>
      </c>
    </row>
    <row r="222" spans="1:8" hidden="1" x14ac:dyDescent="0.2">
      <c r="A222" s="63"/>
      <c r="B222" s="232" t="s">
        <v>2397</v>
      </c>
      <c r="C222" s="233" t="s">
        <v>5160</v>
      </c>
      <c r="D222" s="233" t="s">
        <v>5161</v>
      </c>
      <c r="E222" s="233" t="s">
        <v>5162</v>
      </c>
      <c r="F222" s="233" t="s">
        <v>5163</v>
      </c>
      <c r="G222" s="233" t="s">
        <v>5164</v>
      </c>
      <c r="H222" s="234" t="s">
        <v>4170</v>
      </c>
    </row>
    <row r="223" spans="1:8" hidden="1" x14ac:dyDescent="0.2">
      <c r="A223" s="63"/>
      <c r="B223" s="232" t="s">
        <v>2397</v>
      </c>
      <c r="C223" s="233" t="s">
        <v>5165</v>
      </c>
      <c r="D223" s="233" t="s">
        <v>5166</v>
      </c>
      <c r="E223" s="233" t="s">
        <v>5167</v>
      </c>
      <c r="F223" s="233" t="s">
        <v>5168</v>
      </c>
      <c r="G223" s="233" t="s">
        <v>5169</v>
      </c>
      <c r="H223" s="234" t="s">
        <v>4170</v>
      </c>
    </row>
    <row r="224" spans="1:8" hidden="1" x14ac:dyDescent="0.2">
      <c r="A224" s="63"/>
      <c r="B224" s="232" t="s">
        <v>2397</v>
      </c>
      <c r="C224" s="233" t="s">
        <v>5170</v>
      </c>
      <c r="D224" s="233" t="s">
        <v>5171</v>
      </c>
      <c r="E224" s="233" t="s">
        <v>5172</v>
      </c>
      <c r="F224" s="233" t="s">
        <v>5173</v>
      </c>
      <c r="G224" s="233" t="s">
        <v>5174</v>
      </c>
      <c r="H224" s="234" t="s">
        <v>4170</v>
      </c>
    </row>
    <row r="225" spans="1:8" hidden="1" x14ac:dyDescent="0.2">
      <c r="A225" s="63"/>
      <c r="B225" s="232" t="s">
        <v>2397</v>
      </c>
      <c r="C225" s="233" t="s">
        <v>5175</v>
      </c>
      <c r="D225" s="233" t="s">
        <v>5176</v>
      </c>
      <c r="E225" s="233" t="s">
        <v>5177</v>
      </c>
      <c r="F225" s="233" t="s">
        <v>5178</v>
      </c>
      <c r="G225" s="233" t="s">
        <v>5179</v>
      </c>
      <c r="H225" s="234" t="s">
        <v>4170</v>
      </c>
    </row>
    <row r="226" spans="1:8" hidden="1" x14ac:dyDescent="0.2">
      <c r="A226" s="63"/>
      <c r="B226" s="232" t="s">
        <v>2397</v>
      </c>
      <c r="C226" s="233" t="s">
        <v>5180</v>
      </c>
      <c r="D226" s="233" t="s">
        <v>5181</v>
      </c>
      <c r="E226" s="233" t="s">
        <v>5182</v>
      </c>
      <c r="F226" s="233" t="s">
        <v>5183</v>
      </c>
      <c r="G226" s="233" t="s">
        <v>5184</v>
      </c>
      <c r="H226" s="234" t="s">
        <v>4170</v>
      </c>
    </row>
    <row r="227" spans="1:8" hidden="1" x14ac:dyDescent="0.2">
      <c r="A227" s="63"/>
      <c r="B227" s="232" t="s">
        <v>2397</v>
      </c>
      <c r="C227" s="233" t="s">
        <v>5185</v>
      </c>
      <c r="D227" s="233" t="s">
        <v>5186</v>
      </c>
      <c r="E227" s="233" t="s">
        <v>5187</v>
      </c>
      <c r="F227" s="233" t="s">
        <v>5188</v>
      </c>
      <c r="G227" s="233" t="s">
        <v>5189</v>
      </c>
      <c r="H227" s="234" t="s">
        <v>4170</v>
      </c>
    </row>
    <row r="228" spans="1:8" hidden="1" x14ac:dyDescent="0.2">
      <c r="A228" s="63"/>
      <c r="B228" s="232" t="s">
        <v>2397</v>
      </c>
      <c r="C228" s="233" t="s">
        <v>5190</v>
      </c>
      <c r="D228" s="233" t="s">
        <v>5191</v>
      </c>
      <c r="E228" s="233" t="s">
        <v>5192</v>
      </c>
      <c r="F228" s="233" t="s">
        <v>5193</v>
      </c>
      <c r="G228" s="233" t="s">
        <v>5194</v>
      </c>
      <c r="H228" s="234" t="s">
        <v>4170</v>
      </c>
    </row>
    <row r="229" spans="1:8" hidden="1" x14ac:dyDescent="0.2">
      <c r="A229" s="63"/>
      <c r="B229" s="232" t="s">
        <v>2397</v>
      </c>
      <c r="C229" s="233" t="s">
        <v>5195</v>
      </c>
      <c r="D229" s="233" t="s">
        <v>5196</v>
      </c>
      <c r="E229" s="233" t="s">
        <v>5197</v>
      </c>
      <c r="F229" s="233" t="s">
        <v>5198</v>
      </c>
      <c r="G229" s="233" t="s">
        <v>5199</v>
      </c>
      <c r="H229" s="234" t="s">
        <v>4170</v>
      </c>
    </row>
    <row r="230" spans="1:8" hidden="1" x14ac:dyDescent="0.2">
      <c r="A230" s="63"/>
      <c r="B230" s="232" t="s">
        <v>2397</v>
      </c>
      <c r="C230" s="233" t="s">
        <v>5200</v>
      </c>
      <c r="D230" s="233" t="s">
        <v>5201</v>
      </c>
      <c r="E230" s="233" t="s">
        <v>5202</v>
      </c>
      <c r="F230" s="233" t="s">
        <v>5203</v>
      </c>
      <c r="G230" s="233" t="s">
        <v>5204</v>
      </c>
      <c r="H230" s="234" t="s">
        <v>4170</v>
      </c>
    </row>
    <row r="231" spans="1:8" hidden="1" x14ac:dyDescent="0.2">
      <c r="A231" s="63"/>
      <c r="B231" s="232" t="s">
        <v>2397</v>
      </c>
      <c r="C231" s="233" t="s">
        <v>5205</v>
      </c>
      <c r="D231" s="233" t="s">
        <v>5206</v>
      </c>
      <c r="E231" s="233" t="s">
        <v>5207</v>
      </c>
      <c r="F231" s="233" t="s">
        <v>5208</v>
      </c>
      <c r="G231" s="233" t="s">
        <v>5209</v>
      </c>
      <c r="H231" s="234" t="s">
        <v>4170</v>
      </c>
    </row>
    <row r="232" spans="1:8" hidden="1" x14ac:dyDescent="0.2">
      <c r="A232" s="63"/>
      <c r="B232" s="232" t="s">
        <v>2397</v>
      </c>
      <c r="C232" s="233" t="s">
        <v>5210</v>
      </c>
      <c r="D232" s="233" t="s">
        <v>5211</v>
      </c>
      <c r="E232" s="233" t="s">
        <v>5212</v>
      </c>
      <c r="F232" s="233" t="s">
        <v>5213</v>
      </c>
      <c r="G232" s="233" t="s">
        <v>5214</v>
      </c>
      <c r="H232" s="234" t="s">
        <v>4170</v>
      </c>
    </row>
    <row r="233" spans="1:8" hidden="1" x14ac:dyDescent="0.2">
      <c r="A233" s="63"/>
      <c r="B233" s="232" t="s">
        <v>2397</v>
      </c>
      <c r="C233" s="233" t="s">
        <v>5215</v>
      </c>
      <c r="D233" s="233" t="s">
        <v>5216</v>
      </c>
      <c r="E233" s="233" t="s">
        <v>5217</v>
      </c>
      <c r="F233" s="233" t="s">
        <v>5218</v>
      </c>
      <c r="G233" s="233" t="s">
        <v>5215</v>
      </c>
      <c r="H233" s="234" t="s">
        <v>4170</v>
      </c>
    </row>
    <row r="234" spans="1:8" hidden="1" x14ac:dyDescent="0.2">
      <c r="A234" s="63"/>
      <c r="B234" s="232" t="s">
        <v>2397</v>
      </c>
      <c r="C234" s="233" t="s">
        <v>5219</v>
      </c>
      <c r="D234" s="233" t="s">
        <v>5220</v>
      </c>
      <c r="E234" s="233" t="s">
        <v>5221</v>
      </c>
      <c r="F234" s="233" t="s">
        <v>5222</v>
      </c>
      <c r="G234" s="233" t="s">
        <v>5223</v>
      </c>
      <c r="H234" s="234" t="s">
        <v>4170</v>
      </c>
    </row>
    <row r="235" spans="1:8" hidden="1" x14ac:dyDescent="0.2">
      <c r="A235" s="63"/>
      <c r="B235" s="232" t="s">
        <v>2397</v>
      </c>
      <c r="C235" s="233" t="s">
        <v>5224</v>
      </c>
      <c r="D235" s="233" t="s">
        <v>5225</v>
      </c>
      <c r="E235" s="233" t="s">
        <v>5226</v>
      </c>
      <c r="F235" s="233" t="s">
        <v>5227</v>
      </c>
      <c r="G235" s="233" t="s">
        <v>5228</v>
      </c>
      <c r="H235" s="234" t="s">
        <v>4170</v>
      </c>
    </row>
    <row r="236" spans="1:8" hidden="1" x14ac:dyDescent="0.2">
      <c r="A236" s="63"/>
      <c r="B236" s="232" t="s">
        <v>2397</v>
      </c>
      <c r="C236" s="233" t="s">
        <v>5229</v>
      </c>
      <c r="D236" s="233" t="s">
        <v>5230</v>
      </c>
      <c r="E236" s="233" t="s">
        <v>5231</v>
      </c>
      <c r="F236" s="233" t="s">
        <v>5232</v>
      </c>
      <c r="G236" s="233" t="s">
        <v>5233</v>
      </c>
      <c r="H236" s="234" t="s">
        <v>4170</v>
      </c>
    </row>
    <row r="237" spans="1:8" hidden="1" x14ac:dyDescent="0.2">
      <c r="A237" s="63"/>
      <c r="B237" s="232" t="s">
        <v>2397</v>
      </c>
      <c r="C237" s="233" t="s">
        <v>5234</v>
      </c>
      <c r="D237" s="233" t="s">
        <v>5235</v>
      </c>
      <c r="E237" s="233" t="s">
        <v>5236</v>
      </c>
      <c r="F237" s="233" t="s">
        <v>5237</v>
      </c>
      <c r="G237" s="233" t="s">
        <v>5238</v>
      </c>
      <c r="H237" s="234" t="s">
        <v>4170</v>
      </c>
    </row>
    <row r="238" spans="1:8" hidden="1" x14ac:dyDescent="0.2">
      <c r="A238" s="63"/>
      <c r="B238" s="232" t="s">
        <v>2397</v>
      </c>
      <c r="C238" s="233" t="s">
        <v>5239</v>
      </c>
      <c r="D238" s="233" t="s">
        <v>5240</v>
      </c>
      <c r="E238" s="233" t="s">
        <v>5241</v>
      </c>
      <c r="F238" s="233" t="s">
        <v>5242</v>
      </c>
      <c r="G238" s="233" t="s">
        <v>5243</v>
      </c>
      <c r="H238" s="234" t="s">
        <v>4170</v>
      </c>
    </row>
    <row r="239" spans="1:8" hidden="1" x14ac:dyDescent="0.2">
      <c r="A239" s="63"/>
      <c r="B239" s="232" t="s">
        <v>2397</v>
      </c>
      <c r="C239" s="233" t="s">
        <v>5244</v>
      </c>
      <c r="D239" s="233" t="s">
        <v>5245</v>
      </c>
      <c r="E239" s="233" t="s">
        <v>5246</v>
      </c>
      <c r="F239" s="233" t="s">
        <v>5247</v>
      </c>
      <c r="G239" s="233" t="s">
        <v>5248</v>
      </c>
      <c r="H239" s="234" t="s">
        <v>4170</v>
      </c>
    </row>
    <row r="240" spans="1:8" hidden="1" x14ac:dyDescent="0.2">
      <c r="A240" s="63"/>
      <c r="B240" s="232" t="s">
        <v>2397</v>
      </c>
      <c r="C240" s="233" t="s">
        <v>5249</v>
      </c>
      <c r="D240" s="233" t="s">
        <v>5250</v>
      </c>
      <c r="E240" s="233" t="s">
        <v>5251</v>
      </c>
      <c r="F240" s="233" t="s">
        <v>5252</v>
      </c>
      <c r="G240" s="233" t="s">
        <v>5253</v>
      </c>
      <c r="H240" s="234" t="s">
        <v>4170</v>
      </c>
    </row>
    <row r="241" spans="1:8" hidden="1" x14ac:dyDescent="0.2">
      <c r="A241" s="63"/>
      <c r="B241" s="232" t="s">
        <v>2397</v>
      </c>
      <c r="C241" s="233" t="s">
        <v>5254</v>
      </c>
      <c r="D241" s="233" t="s">
        <v>5255</v>
      </c>
      <c r="E241" s="233" t="s">
        <v>5256</v>
      </c>
      <c r="F241" s="233" t="s">
        <v>5257</v>
      </c>
      <c r="G241" s="233" t="s">
        <v>5258</v>
      </c>
      <c r="H241" s="234" t="s">
        <v>4170</v>
      </c>
    </row>
    <row r="242" spans="1:8" hidden="1" x14ac:dyDescent="0.2">
      <c r="A242" s="63"/>
      <c r="B242" s="232" t="s">
        <v>2397</v>
      </c>
      <c r="C242" s="233" t="s">
        <v>5259</v>
      </c>
      <c r="D242" s="233" t="s">
        <v>5260</v>
      </c>
      <c r="E242" s="233" t="s">
        <v>5261</v>
      </c>
      <c r="F242" s="233" t="s">
        <v>5262</v>
      </c>
      <c r="G242" s="233" t="s">
        <v>5263</v>
      </c>
      <c r="H242" s="234" t="s">
        <v>4170</v>
      </c>
    </row>
    <row r="243" spans="1:8" hidden="1" x14ac:dyDescent="0.2">
      <c r="A243" s="63"/>
      <c r="B243" s="232" t="s">
        <v>2397</v>
      </c>
      <c r="C243" s="233" t="s">
        <v>5264</v>
      </c>
      <c r="D243" s="233" t="s">
        <v>5265</v>
      </c>
      <c r="E243" s="233" t="s">
        <v>5266</v>
      </c>
      <c r="F243" s="233" t="s">
        <v>5267</v>
      </c>
      <c r="G243" s="233" t="s">
        <v>5268</v>
      </c>
      <c r="H243" s="234" t="s">
        <v>4170</v>
      </c>
    </row>
    <row r="244" spans="1:8" hidden="1" x14ac:dyDescent="0.2">
      <c r="A244" s="63"/>
      <c r="B244" s="232" t="s">
        <v>2397</v>
      </c>
      <c r="C244" s="233" t="s">
        <v>5269</v>
      </c>
      <c r="D244" s="233" t="s">
        <v>5270</v>
      </c>
      <c r="E244" s="233" t="s">
        <v>5271</v>
      </c>
      <c r="F244" s="233" t="s">
        <v>5272</v>
      </c>
      <c r="G244" s="233" t="s">
        <v>5273</v>
      </c>
      <c r="H244" s="234" t="s">
        <v>4170</v>
      </c>
    </row>
    <row r="245" spans="1:8" hidden="1" x14ac:dyDescent="0.2">
      <c r="A245" s="63"/>
      <c r="B245" s="232" t="s">
        <v>2397</v>
      </c>
      <c r="C245" s="233" t="s">
        <v>5274</v>
      </c>
      <c r="D245" s="233" t="s">
        <v>5275</v>
      </c>
      <c r="E245" s="233" t="s">
        <v>5276</v>
      </c>
      <c r="F245" s="233" t="s">
        <v>5277</v>
      </c>
      <c r="G245" s="233" t="s">
        <v>5278</v>
      </c>
      <c r="H245" s="234" t="s">
        <v>4170</v>
      </c>
    </row>
    <row r="246" spans="1:8" hidden="1" x14ac:dyDescent="0.2">
      <c r="A246" s="63"/>
      <c r="B246" s="232" t="s">
        <v>2397</v>
      </c>
      <c r="C246" s="233" t="s">
        <v>5279</v>
      </c>
      <c r="D246" s="233" t="s">
        <v>5280</v>
      </c>
      <c r="E246" s="233" t="s">
        <v>5281</v>
      </c>
      <c r="F246" s="233" t="s">
        <v>5282</v>
      </c>
      <c r="G246" s="233" t="s">
        <v>5283</v>
      </c>
      <c r="H246" s="234" t="s">
        <v>4170</v>
      </c>
    </row>
    <row r="247" spans="1:8" hidden="1" x14ac:dyDescent="0.2">
      <c r="A247" s="63"/>
      <c r="B247" s="232" t="s">
        <v>2397</v>
      </c>
      <c r="C247" s="233" t="s">
        <v>5284</v>
      </c>
      <c r="D247" s="233" t="s">
        <v>5285</v>
      </c>
      <c r="E247" s="233" t="s">
        <v>5286</v>
      </c>
      <c r="F247" s="233" t="s">
        <v>5287</v>
      </c>
      <c r="G247" s="233" t="s">
        <v>5288</v>
      </c>
      <c r="H247" s="234" t="s">
        <v>4170</v>
      </c>
    </row>
    <row r="248" spans="1:8" hidden="1" x14ac:dyDescent="0.2">
      <c r="A248" s="63"/>
      <c r="B248" s="232" t="s">
        <v>2397</v>
      </c>
      <c r="C248" s="233" t="s">
        <v>5289</v>
      </c>
      <c r="D248" s="233" t="s">
        <v>5290</v>
      </c>
      <c r="E248" s="233" t="s">
        <v>5291</v>
      </c>
      <c r="F248" s="233" t="s">
        <v>5292</v>
      </c>
      <c r="G248" s="233" t="s">
        <v>5293</v>
      </c>
      <c r="H248" s="234" t="s">
        <v>4170</v>
      </c>
    </row>
    <row r="249" spans="1:8" hidden="1" x14ac:dyDescent="0.2">
      <c r="A249" s="63"/>
      <c r="B249" s="232" t="s">
        <v>2397</v>
      </c>
      <c r="C249" s="233" t="s">
        <v>5294</v>
      </c>
      <c r="D249" s="233" t="s">
        <v>5295</v>
      </c>
      <c r="E249" s="233" t="s">
        <v>5296</v>
      </c>
      <c r="F249" s="233" t="s">
        <v>5297</v>
      </c>
      <c r="G249" s="233" t="s">
        <v>5298</v>
      </c>
      <c r="H249" s="234" t="s">
        <v>4170</v>
      </c>
    </row>
    <row r="250" spans="1:8" hidden="1" x14ac:dyDescent="0.2">
      <c r="A250" s="63"/>
      <c r="B250" s="232" t="s">
        <v>2397</v>
      </c>
      <c r="C250" s="233" t="s">
        <v>5299</v>
      </c>
      <c r="D250" s="233" t="s">
        <v>5299</v>
      </c>
      <c r="E250" s="233" t="s">
        <v>5300</v>
      </c>
      <c r="F250" s="233" t="s">
        <v>5301</v>
      </c>
      <c r="G250" s="233" t="s">
        <v>5302</v>
      </c>
      <c r="H250" s="234" t="s">
        <v>4170</v>
      </c>
    </row>
    <row r="251" spans="1:8" hidden="1" x14ac:dyDescent="0.2">
      <c r="A251" s="63"/>
      <c r="B251" s="232" t="s">
        <v>2397</v>
      </c>
      <c r="C251" s="233" t="s">
        <v>5303</v>
      </c>
      <c r="D251" s="233" t="s">
        <v>5304</v>
      </c>
      <c r="E251" s="233" t="s">
        <v>5305</v>
      </c>
      <c r="F251" s="233" t="s">
        <v>5306</v>
      </c>
      <c r="G251" s="233" t="s">
        <v>5307</v>
      </c>
      <c r="H251" s="234" t="s">
        <v>4170</v>
      </c>
    </row>
    <row r="252" spans="1:8" hidden="1" x14ac:dyDescent="0.2">
      <c r="A252" s="63"/>
      <c r="B252" s="232" t="s">
        <v>2397</v>
      </c>
      <c r="C252" s="233" t="s">
        <v>5308</v>
      </c>
      <c r="D252" s="233" t="s">
        <v>5309</v>
      </c>
      <c r="E252" s="233" t="s">
        <v>5310</v>
      </c>
      <c r="F252" s="233" t="s">
        <v>5311</v>
      </c>
      <c r="G252" s="233" t="s">
        <v>5312</v>
      </c>
      <c r="H252" s="234" t="s">
        <v>4170</v>
      </c>
    </row>
    <row r="253" spans="1:8" hidden="1" x14ac:dyDescent="0.2">
      <c r="A253" s="63"/>
      <c r="B253" s="232" t="s">
        <v>2397</v>
      </c>
      <c r="C253" s="233" t="s">
        <v>5313</v>
      </c>
      <c r="D253" s="233" t="s">
        <v>5314</v>
      </c>
      <c r="E253" s="233" t="s">
        <v>5315</v>
      </c>
      <c r="F253" s="233" t="s">
        <v>5316</v>
      </c>
      <c r="G253" s="233" t="s">
        <v>5317</v>
      </c>
      <c r="H253" s="234" t="s">
        <v>4170</v>
      </c>
    </row>
    <row r="254" spans="1:8" hidden="1" x14ac:dyDescent="0.2">
      <c r="A254" s="63"/>
      <c r="B254" s="232" t="s">
        <v>2397</v>
      </c>
      <c r="C254" s="233" t="s">
        <v>5318</v>
      </c>
      <c r="D254" s="233" t="s">
        <v>5318</v>
      </c>
      <c r="E254" s="233" t="s">
        <v>5319</v>
      </c>
      <c r="F254" s="233" t="s">
        <v>5320</v>
      </c>
      <c r="G254" s="233" t="s">
        <v>5321</v>
      </c>
      <c r="H254" s="234" t="s">
        <v>4170</v>
      </c>
    </row>
    <row r="255" spans="1:8" hidden="1" x14ac:dyDescent="0.2">
      <c r="A255" s="63"/>
      <c r="B255" s="232" t="s">
        <v>2397</v>
      </c>
      <c r="C255" s="233" t="s">
        <v>5322</v>
      </c>
      <c r="D255" s="233" t="s">
        <v>5322</v>
      </c>
      <c r="E255" s="233" t="s">
        <v>5323</v>
      </c>
      <c r="F255" s="233" t="s">
        <v>5324</v>
      </c>
      <c r="G255" s="233" t="s">
        <v>5325</v>
      </c>
      <c r="H255" s="234" t="s">
        <v>4170</v>
      </c>
    </row>
    <row r="256" spans="1:8" hidden="1" x14ac:dyDescent="0.2">
      <c r="A256" s="63"/>
      <c r="B256" s="232" t="s">
        <v>2397</v>
      </c>
      <c r="C256" s="233" t="s">
        <v>5326</v>
      </c>
      <c r="D256" s="233" t="s">
        <v>5327</v>
      </c>
      <c r="E256" s="233" t="s">
        <v>5328</v>
      </c>
      <c r="F256" s="233" t="s">
        <v>5329</v>
      </c>
      <c r="G256" s="233" t="s">
        <v>5330</v>
      </c>
      <c r="H256" s="234" t="s">
        <v>4170</v>
      </c>
    </row>
    <row r="257" spans="1:8" hidden="1" x14ac:dyDescent="0.2">
      <c r="A257" s="63"/>
      <c r="B257" s="232" t="s">
        <v>2397</v>
      </c>
      <c r="C257" s="233" t="s">
        <v>5331</v>
      </c>
      <c r="D257" s="233" t="s">
        <v>5332</v>
      </c>
      <c r="E257" s="233" t="s">
        <v>5333</v>
      </c>
      <c r="F257" s="233" t="s">
        <v>5334</v>
      </c>
      <c r="G257" s="233" t="s">
        <v>5335</v>
      </c>
      <c r="H257" s="234" t="s">
        <v>4170</v>
      </c>
    </row>
    <row r="258" spans="1:8" hidden="1" x14ac:dyDescent="0.2">
      <c r="A258" s="63"/>
      <c r="B258" s="232" t="s">
        <v>2397</v>
      </c>
      <c r="C258" s="233" t="s">
        <v>5336</v>
      </c>
      <c r="D258" s="233" t="s">
        <v>5337</v>
      </c>
      <c r="E258" s="233" t="s">
        <v>5338</v>
      </c>
      <c r="F258" s="233" t="s">
        <v>5339</v>
      </c>
      <c r="G258" s="233" t="s">
        <v>5340</v>
      </c>
      <c r="H258" s="234" t="s">
        <v>4170</v>
      </c>
    </row>
    <row r="259" spans="1:8" hidden="1" x14ac:dyDescent="0.2">
      <c r="A259" s="63"/>
      <c r="B259" s="232" t="s">
        <v>2397</v>
      </c>
      <c r="C259" s="233" t="s">
        <v>5341</v>
      </c>
      <c r="D259" s="233" t="s">
        <v>5342</v>
      </c>
      <c r="E259" s="233" t="s">
        <v>5343</v>
      </c>
      <c r="F259" s="233" t="s">
        <v>5344</v>
      </c>
      <c r="G259" s="233" t="s">
        <v>5345</v>
      </c>
      <c r="H259" s="234" t="s">
        <v>4170</v>
      </c>
    </row>
    <row r="260" spans="1:8" hidden="1" x14ac:dyDescent="0.2">
      <c r="A260" s="63"/>
      <c r="B260" s="232" t="s">
        <v>2397</v>
      </c>
      <c r="C260" s="233" t="s">
        <v>5346</v>
      </c>
      <c r="D260" s="233" t="s">
        <v>5347</v>
      </c>
      <c r="E260" s="233" t="s">
        <v>5348</v>
      </c>
      <c r="F260" s="233" t="s">
        <v>5349</v>
      </c>
      <c r="G260" s="233" t="s">
        <v>5350</v>
      </c>
      <c r="H260" s="234" t="s">
        <v>4170</v>
      </c>
    </row>
    <row r="261" spans="1:8" hidden="1" x14ac:dyDescent="0.2">
      <c r="A261" s="63"/>
      <c r="B261" s="232" t="s">
        <v>2397</v>
      </c>
      <c r="C261" s="233" t="s">
        <v>5351</v>
      </c>
      <c r="D261" s="233" t="s">
        <v>5352</v>
      </c>
      <c r="E261" s="233" t="s">
        <v>5353</v>
      </c>
      <c r="F261" s="233" t="s">
        <v>5354</v>
      </c>
      <c r="G261" s="233" t="s">
        <v>5355</v>
      </c>
      <c r="H261" s="234" t="s">
        <v>4170</v>
      </c>
    </row>
    <row r="262" spans="1:8" hidden="1" x14ac:dyDescent="0.2">
      <c r="A262" s="63"/>
      <c r="B262" s="232" t="s">
        <v>2397</v>
      </c>
      <c r="C262" s="233" t="s">
        <v>5356</v>
      </c>
      <c r="D262" s="233" t="s">
        <v>5357</v>
      </c>
      <c r="E262" s="233" t="s">
        <v>5358</v>
      </c>
      <c r="F262" s="233" t="s">
        <v>5359</v>
      </c>
      <c r="G262" s="233" t="s">
        <v>5360</v>
      </c>
      <c r="H262" s="234" t="s">
        <v>4170</v>
      </c>
    </row>
    <row r="263" spans="1:8" hidden="1" x14ac:dyDescent="0.2">
      <c r="A263" s="63"/>
      <c r="B263" s="232" t="s">
        <v>2397</v>
      </c>
      <c r="C263" s="233" t="s">
        <v>5361</v>
      </c>
      <c r="D263" s="233" t="s">
        <v>5362</v>
      </c>
      <c r="E263" s="233" t="s">
        <v>5363</v>
      </c>
      <c r="F263" s="233" t="s">
        <v>5364</v>
      </c>
      <c r="G263" s="233" t="s">
        <v>5365</v>
      </c>
      <c r="H263" s="234" t="s">
        <v>4170</v>
      </c>
    </row>
    <row r="264" spans="1:8" hidden="1" x14ac:dyDescent="0.2">
      <c r="A264" s="63"/>
      <c r="B264" s="232" t="s">
        <v>2397</v>
      </c>
      <c r="C264" s="233" t="s">
        <v>5366</v>
      </c>
      <c r="D264" s="233" t="s">
        <v>5367</v>
      </c>
      <c r="E264" s="233" t="s">
        <v>5368</v>
      </c>
      <c r="F264" s="233" t="s">
        <v>5369</v>
      </c>
      <c r="G264" s="233" t="s">
        <v>5370</v>
      </c>
      <c r="H264" s="234" t="s">
        <v>4170</v>
      </c>
    </row>
    <row r="265" spans="1:8" hidden="1" x14ac:dyDescent="0.2">
      <c r="A265" s="63"/>
      <c r="B265" s="232" t="s">
        <v>2397</v>
      </c>
      <c r="C265" s="233" t="s">
        <v>5371</v>
      </c>
      <c r="D265" s="233" t="s">
        <v>5372</v>
      </c>
      <c r="E265" s="233" t="s">
        <v>5373</v>
      </c>
      <c r="F265" s="233" t="s">
        <v>5374</v>
      </c>
      <c r="G265" s="233" t="s">
        <v>5375</v>
      </c>
      <c r="H265" s="234" t="s">
        <v>4170</v>
      </c>
    </row>
    <row r="266" spans="1:8" hidden="1" x14ac:dyDescent="0.2">
      <c r="A266" s="63"/>
      <c r="B266" s="232" t="s">
        <v>2397</v>
      </c>
      <c r="C266" s="233" t="s">
        <v>5376</v>
      </c>
      <c r="D266" s="233" t="s">
        <v>5377</v>
      </c>
      <c r="E266" s="233" t="s">
        <v>5378</v>
      </c>
      <c r="F266" s="233" t="s">
        <v>5379</v>
      </c>
      <c r="G266" s="233" t="s">
        <v>5380</v>
      </c>
      <c r="H266" s="234" t="s">
        <v>4170</v>
      </c>
    </row>
    <row r="267" spans="1:8" hidden="1" x14ac:dyDescent="0.2">
      <c r="A267" s="63"/>
      <c r="B267" s="232" t="s">
        <v>2397</v>
      </c>
      <c r="C267" s="233" t="s">
        <v>5381</v>
      </c>
      <c r="D267" s="233" t="s">
        <v>5382</v>
      </c>
      <c r="E267" s="233" t="s">
        <v>5383</v>
      </c>
      <c r="F267" s="233" t="s">
        <v>5384</v>
      </c>
      <c r="G267" s="233" t="s">
        <v>5385</v>
      </c>
      <c r="H267" s="234" t="s">
        <v>4170</v>
      </c>
    </row>
    <row r="268" spans="1:8" hidden="1" x14ac:dyDescent="0.2">
      <c r="A268" s="63"/>
      <c r="B268" s="232" t="s">
        <v>2397</v>
      </c>
      <c r="C268" s="233" t="s">
        <v>5386</v>
      </c>
      <c r="D268" s="233" t="s">
        <v>5387</v>
      </c>
      <c r="E268" s="233" t="s">
        <v>5388</v>
      </c>
      <c r="F268" s="233" t="s">
        <v>5389</v>
      </c>
      <c r="G268" s="233" t="s">
        <v>5390</v>
      </c>
      <c r="H268" s="234" t="s">
        <v>4170</v>
      </c>
    </row>
    <row r="269" spans="1:8" hidden="1" x14ac:dyDescent="0.2">
      <c r="A269" s="63"/>
      <c r="B269" s="232" t="s">
        <v>2397</v>
      </c>
      <c r="C269" s="233" t="s">
        <v>5391</v>
      </c>
      <c r="D269" s="233" t="s">
        <v>5392</v>
      </c>
      <c r="E269" s="233" t="s">
        <v>5393</v>
      </c>
      <c r="F269" s="233" t="s">
        <v>5393</v>
      </c>
      <c r="G269" s="233" t="s">
        <v>5394</v>
      </c>
      <c r="H269" s="234" t="s">
        <v>4170</v>
      </c>
    </row>
    <row r="270" spans="1:8" hidden="1" x14ac:dyDescent="0.2">
      <c r="A270" s="63"/>
      <c r="B270" s="232" t="s">
        <v>2397</v>
      </c>
      <c r="C270" s="233" t="s">
        <v>5395</v>
      </c>
      <c r="D270" s="233" t="s">
        <v>5396</v>
      </c>
      <c r="E270" s="233" t="s">
        <v>5397</v>
      </c>
      <c r="F270" s="233" t="s">
        <v>5398</v>
      </c>
      <c r="G270" s="233" t="s">
        <v>5399</v>
      </c>
      <c r="H270" s="234" t="s">
        <v>4170</v>
      </c>
    </row>
    <row r="271" spans="1:8" hidden="1" x14ac:dyDescent="0.2">
      <c r="A271" s="63"/>
      <c r="B271" s="232" t="s">
        <v>2397</v>
      </c>
      <c r="C271" s="233" t="s">
        <v>5400</v>
      </c>
      <c r="D271" s="233" t="s">
        <v>5401</v>
      </c>
      <c r="E271" s="233" t="s">
        <v>5402</v>
      </c>
      <c r="F271" s="233" t="s">
        <v>5403</v>
      </c>
      <c r="G271" s="233" t="s">
        <v>5404</v>
      </c>
      <c r="H271" s="234" t="s">
        <v>4170</v>
      </c>
    </row>
    <row r="272" spans="1:8" hidden="1" x14ac:dyDescent="0.2">
      <c r="A272" s="63"/>
      <c r="B272" s="232" t="s">
        <v>2397</v>
      </c>
      <c r="C272" s="233" t="s">
        <v>5405</v>
      </c>
      <c r="D272" s="233" t="s">
        <v>5406</v>
      </c>
      <c r="E272" s="233" t="s">
        <v>5407</v>
      </c>
      <c r="F272" s="233" t="s">
        <v>5408</v>
      </c>
      <c r="G272" s="233" t="s">
        <v>5409</v>
      </c>
      <c r="H272" s="234" t="s">
        <v>4170</v>
      </c>
    </row>
    <row r="273" spans="1:8" hidden="1" x14ac:dyDescent="0.2">
      <c r="A273" s="63"/>
      <c r="B273" s="232" t="s">
        <v>2397</v>
      </c>
      <c r="C273" s="233" t="s">
        <v>3495</v>
      </c>
      <c r="D273" s="233" t="s">
        <v>5410</v>
      </c>
      <c r="E273" s="233" t="s">
        <v>5411</v>
      </c>
      <c r="F273" s="233" t="s">
        <v>5412</v>
      </c>
      <c r="G273" s="233" t="s">
        <v>5413</v>
      </c>
      <c r="H273" s="234" t="s">
        <v>4170</v>
      </c>
    </row>
    <row r="274" spans="1:8" hidden="1" x14ac:dyDescent="0.2">
      <c r="A274" s="63"/>
      <c r="B274" s="232" t="s">
        <v>2397</v>
      </c>
      <c r="C274" s="233" t="s">
        <v>5414</v>
      </c>
      <c r="D274" s="233" t="s">
        <v>5415</v>
      </c>
      <c r="E274" s="233" t="s">
        <v>5416</v>
      </c>
      <c r="F274" s="233" t="s">
        <v>5417</v>
      </c>
      <c r="G274" s="233" t="s">
        <v>5418</v>
      </c>
      <c r="H274" s="234" t="s">
        <v>4170</v>
      </c>
    </row>
    <row r="275" spans="1:8" hidden="1" x14ac:dyDescent="0.2">
      <c r="A275" s="63"/>
      <c r="B275" s="232" t="s">
        <v>2397</v>
      </c>
      <c r="C275" s="233" t="s">
        <v>5419</v>
      </c>
      <c r="D275" s="233" t="s">
        <v>5420</v>
      </c>
      <c r="E275" s="233" t="s">
        <v>5421</v>
      </c>
      <c r="F275" s="233" t="s">
        <v>5422</v>
      </c>
      <c r="G275" s="233" t="s">
        <v>5423</v>
      </c>
      <c r="H275" s="234" t="s">
        <v>4170</v>
      </c>
    </row>
    <row r="276" spans="1:8" hidden="1" x14ac:dyDescent="0.2">
      <c r="A276" s="63"/>
      <c r="B276" s="232" t="s">
        <v>2397</v>
      </c>
      <c r="C276" s="233" t="s">
        <v>5424</v>
      </c>
      <c r="D276" s="233" t="s">
        <v>5425</v>
      </c>
      <c r="E276" s="233" t="s">
        <v>5426</v>
      </c>
      <c r="F276" s="233" t="s">
        <v>5427</v>
      </c>
      <c r="G276" s="233" t="s">
        <v>5428</v>
      </c>
      <c r="H276" s="234" t="s">
        <v>4170</v>
      </c>
    </row>
    <row r="277" spans="1:8" hidden="1" x14ac:dyDescent="0.2">
      <c r="A277" s="63"/>
      <c r="B277" s="232" t="s">
        <v>2397</v>
      </c>
      <c r="C277" s="233" t="s">
        <v>5429</v>
      </c>
      <c r="D277" s="233" t="s">
        <v>5430</v>
      </c>
      <c r="E277" s="233" t="s">
        <v>5431</v>
      </c>
      <c r="F277" s="233" t="s">
        <v>5432</v>
      </c>
      <c r="G277" s="233" t="s">
        <v>5433</v>
      </c>
      <c r="H277" s="234" t="s">
        <v>4170</v>
      </c>
    </row>
    <row r="278" spans="1:8" hidden="1" x14ac:dyDescent="0.2">
      <c r="A278" s="63"/>
      <c r="B278" s="232" t="s">
        <v>2397</v>
      </c>
      <c r="C278" s="233" t="s">
        <v>5434</v>
      </c>
      <c r="D278" s="233" t="s">
        <v>5435</v>
      </c>
      <c r="E278" s="233" t="s">
        <v>5436</v>
      </c>
      <c r="F278" s="233" t="s">
        <v>5437</v>
      </c>
      <c r="G278" s="233" t="s">
        <v>5438</v>
      </c>
      <c r="H278" s="234" t="s">
        <v>4170</v>
      </c>
    </row>
    <row r="279" spans="1:8" hidden="1" x14ac:dyDescent="0.2">
      <c r="A279" s="63"/>
      <c r="B279" s="232" t="s">
        <v>2397</v>
      </c>
      <c r="C279" s="233" t="s">
        <v>5439</v>
      </c>
      <c r="D279" s="233" t="s">
        <v>5440</v>
      </c>
      <c r="E279" s="233" t="s">
        <v>5441</v>
      </c>
      <c r="F279" s="233" t="s">
        <v>5442</v>
      </c>
      <c r="G279" s="233" t="s">
        <v>5443</v>
      </c>
      <c r="H279" s="234" t="s">
        <v>4170</v>
      </c>
    </row>
    <row r="280" spans="1:8" hidden="1" x14ac:dyDescent="0.2">
      <c r="A280" s="63"/>
      <c r="B280" s="232" t="s">
        <v>2397</v>
      </c>
      <c r="C280" s="233" t="s">
        <v>5444</v>
      </c>
      <c r="D280" s="233" t="s">
        <v>5445</v>
      </c>
      <c r="E280" s="233" t="s">
        <v>5446</v>
      </c>
      <c r="F280" s="233" t="s">
        <v>5447</v>
      </c>
      <c r="G280" s="233" t="s">
        <v>5448</v>
      </c>
      <c r="H280" s="234" t="s">
        <v>4170</v>
      </c>
    </row>
    <row r="281" spans="1:8" hidden="1" x14ac:dyDescent="0.2">
      <c r="A281" s="63"/>
      <c r="B281" s="232" t="s">
        <v>2397</v>
      </c>
      <c r="C281" s="233" t="s">
        <v>5449</v>
      </c>
      <c r="D281" s="233" t="s">
        <v>5450</v>
      </c>
      <c r="E281" s="233" t="s">
        <v>5451</v>
      </c>
      <c r="F281" s="233" t="s">
        <v>5452</v>
      </c>
      <c r="G281" s="233" t="s">
        <v>5453</v>
      </c>
      <c r="H281" s="234" t="s">
        <v>4170</v>
      </c>
    </row>
    <row r="282" spans="1:8" hidden="1" x14ac:dyDescent="0.2">
      <c r="A282" s="63"/>
      <c r="B282" s="232" t="s">
        <v>2397</v>
      </c>
      <c r="C282" s="233" t="s">
        <v>5454</v>
      </c>
      <c r="D282" s="233" t="s">
        <v>5455</v>
      </c>
      <c r="E282" s="233" t="s">
        <v>5456</v>
      </c>
      <c r="F282" s="233" t="s">
        <v>5457</v>
      </c>
      <c r="G282" s="233" t="s">
        <v>5458</v>
      </c>
      <c r="H282" s="234" t="s">
        <v>4170</v>
      </c>
    </row>
    <row r="283" spans="1:8" hidden="1" x14ac:dyDescent="0.2">
      <c r="A283" s="63"/>
      <c r="B283" s="232" t="s">
        <v>2397</v>
      </c>
      <c r="C283" s="233" t="s">
        <v>5459</v>
      </c>
      <c r="D283" s="233" t="s">
        <v>5460</v>
      </c>
      <c r="E283" s="233" t="s">
        <v>5461</v>
      </c>
      <c r="F283" s="233" t="s">
        <v>5462</v>
      </c>
      <c r="G283" s="233" t="s">
        <v>5463</v>
      </c>
      <c r="H283" s="234" t="s">
        <v>4170</v>
      </c>
    </row>
    <row r="284" spans="1:8" hidden="1" x14ac:dyDescent="0.2">
      <c r="A284" s="63"/>
      <c r="B284" s="232" t="s">
        <v>2397</v>
      </c>
      <c r="C284" s="233" t="s">
        <v>5464</v>
      </c>
      <c r="D284" s="233" t="s">
        <v>5465</v>
      </c>
      <c r="E284" s="233" t="s">
        <v>5466</v>
      </c>
      <c r="F284" s="233" t="s">
        <v>5467</v>
      </c>
      <c r="G284" s="233" t="s">
        <v>5468</v>
      </c>
      <c r="H284" s="234" t="s">
        <v>4170</v>
      </c>
    </row>
    <row r="285" spans="1:8" hidden="1" x14ac:dyDescent="0.2">
      <c r="A285" s="63"/>
      <c r="B285" s="232" t="s">
        <v>2397</v>
      </c>
      <c r="C285" s="233" t="s">
        <v>5469</v>
      </c>
      <c r="D285" s="233" t="s">
        <v>5470</v>
      </c>
      <c r="E285" s="233" t="s">
        <v>5471</v>
      </c>
      <c r="F285" s="233" t="s">
        <v>5472</v>
      </c>
      <c r="G285" s="233" t="s">
        <v>5473</v>
      </c>
      <c r="H285" s="234" t="s">
        <v>4170</v>
      </c>
    </row>
    <row r="286" spans="1:8" hidden="1" x14ac:dyDescent="0.2">
      <c r="A286" s="63"/>
      <c r="B286" s="232" t="s">
        <v>2397</v>
      </c>
      <c r="C286" s="233" t="s">
        <v>5474</v>
      </c>
      <c r="D286" s="233" t="s">
        <v>5475</v>
      </c>
      <c r="E286" s="233" t="s">
        <v>5476</v>
      </c>
      <c r="F286" s="233" t="s">
        <v>5477</v>
      </c>
      <c r="G286" s="233" t="s">
        <v>5478</v>
      </c>
      <c r="H286" s="234" t="s">
        <v>4170</v>
      </c>
    </row>
    <row r="287" spans="1:8" hidden="1" x14ac:dyDescent="0.2">
      <c r="A287" s="63"/>
      <c r="B287" s="232" t="s">
        <v>2397</v>
      </c>
      <c r="C287" s="233" t="s">
        <v>5479</v>
      </c>
      <c r="D287" s="233" t="s">
        <v>5480</v>
      </c>
      <c r="E287" s="233" t="s">
        <v>5481</v>
      </c>
      <c r="F287" s="233" t="s">
        <v>5482</v>
      </c>
      <c r="G287" s="233" t="s">
        <v>5483</v>
      </c>
      <c r="H287" s="234" t="s">
        <v>4170</v>
      </c>
    </row>
    <row r="288" spans="1:8" hidden="1" x14ac:dyDescent="0.2">
      <c r="A288" s="63"/>
      <c r="B288" s="232" t="s">
        <v>2397</v>
      </c>
      <c r="C288" s="233" t="s">
        <v>5484</v>
      </c>
      <c r="D288" s="233" t="s">
        <v>5485</v>
      </c>
      <c r="E288" s="233" t="s">
        <v>5486</v>
      </c>
      <c r="F288" s="233" t="s">
        <v>5487</v>
      </c>
      <c r="G288" s="233" t="s">
        <v>5488</v>
      </c>
      <c r="H288" s="234" t="s">
        <v>4170</v>
      </c>
    </row>
    <row r="289" spans="1:8" hidden="1" x14ac:dyDescent="0.2">
      <c r="A289" s="63"/>
      <c r="B289" s="232" t="s">
        <v>2397</v>
      </c>
      <c r="C289" s="233" t="s">
        <v>5489</v>
      </c>
      <c r="D289" s="233" t="s">
        <v>5490</v>
      </c>
      <c r="E289" s="233" t="s">
        <v>5491</v>
      </c>
      <c r="F289" s="233" t="s">
        <v>5492</v>
      </c>
      <c r="G289" s="233" t="s">
        <v>5489</v>
      </c>
      <c r="H289" s="234" t="s">
        <v>4170</v>
      </c>
    </row>
    <row r="290" spans="1:8" hidden="1" x14ac:dyDescent="0.2">
      <c r="A290" s="63"/>
      <c r="B290" s="232" t="s">
        <v>2397</v>
      </c>
      <c r="C290" s="233" t="s">
        <v>5493</v>
      </c>
      <c r="D290" s="233" t="s">
        <v>5494</v>
      </c>
      <c r="E290" s="233" t="s">
        <v>5495</v>
      </c>
      <c r="F290" s="233" t="s">
        <v>5496</v>
      </c>
      <c r="G290" s="233" t="s">
        <v>5493</v>
      </c>
      <c r="H290" s="234" t="s">
        <v>4170</v>
      </c>
    </row>
    <row r="291" spans="1:8" hidden="1" x14ac:dyDescent="0.2">
      <c r="A291" s="63"/>
      <c r="B291" s="232" t="s">
        <v>2397</v>
      </c>
      <c r="C291" s="233" t="s">
        <v>5497</v>
      </c>
      <c r="D291" s="233" t="s">
        <v>5498</v>
      </c>
      <c r="E291" s="233" t="s">
        <v>5499</v>
      </c>
      <c r="F291" s="233" t="s">
        <v>5500</v>
      </c>
      <c r="G291" s="233" t="s">
        <v>5497</v>
      </c>
      <c r="H291" s="234" t="s">
        <v>4170</v>
      </c>
    </row>
    <row r="292" spans="1:8" hidden="1" x14ac:dyDescent="0.2">
      <c r="A292" s="63"/>
      <c r="B292" s="232" t="s">
        <v>2397</v>
      </c>
      <c r="C292" s="233" t="s">
        <v>5501</v>
      </c>
      <c r="D292" s="233" t="s">
        <v>5502</v>
      </c>
      <c r="E292" s="233" t="s">
        <v>5503</v>
      </c>
      <c r="F292" s="233" t="s">
        <v>5504</v>
      </c>
      <c r="G292" s="233" t="s">
        <v>5501</v>
      </c>
      <c r="H292" s="234" t="s">
        <v>4170</v>
      </c>
    </row>
    <row r="293" spans="1:8" hidden="1" x14ac:dyDescent="0.2">
      <c r="A293" s="63"/>
      <c r="B293" s="232" t="s">
        <v>2397</v>
      </c>
      <c r="C293" s="233" t="s">
        <v>5505</v>
      </c>
      <c r="D293" s="233" t="s">
        <v>5505</v>
      </c>
      <c r="E293" s="233" t="s">
        <v>5506</v>
      </c>
      <c r="F293" s="233" t="s">
        <v>5507</v>
      </c>
      <c r="G293" s="233" t="s">
        <v>5505</v>
      </c>
      <c r="H293" s="234" t="s">
        <v>4170</v>
      </c>
    </row>
    <row r="294" spans="1:8" hidden="1" x14ac:dyDescent="0.2">
      <c r="A294" s="63"/>
      <c r="B294" s="232" t="s">
        <v>2397</v>
      </c>
      <c r="C294" s="233" t="s">
        <v>5508</v>
      </c>
      <c r="D294" s="233" t="s">
        <v>5509</v>
      </c>
      <c r="E294" s="233" t="s">
        <v>5510</v>
      </c>
      <c r="F294" s="233" t="s">
        <v>5511</v>
      </c>
      <c r="G294" s="233" t="s">
        <v>5512</v>
      </c>
      <c r="H294" s="234" t="s">
        <v>4170</v>
      </c>
    </row>
    <row r="295" spans="1:8" hidden="1" x14ac:dyDescent="0.2">
      <c r="A295" s="63"/>
      <c r="B295" s="232" t="s">
        <v>2397</v>
      </c>
      <c r="C295" s="233" t="s">
        <v>5513</v>
      </c>
      <c r="D295" s="233" t="s">
        <v>5514</v>
      </c>
      <c r="E295" s="233" t="s">
        <v>5515</v>
      </c>
      <c r="F295" s="233" t="s">
        <v>5513</v>
      </c>
      <c r="G295" s="233" t="s">
        <v>5516</v>
      </c>
      <c r="H295" s="234" t="s">
        <v>4170</v>
      </c>
    </row>
    <row r="296" spans="1:8" hidden="1" x14ac:dyDescent="0.2">
      <c r="A296" s="63"/>
      <c r="B296" s="232" t="s">
        <v>2397</v>
      </c>
      <c r="C296" s="233" t="s">
        <v>5517</v>
      </c>
      <c r="D296" s="233" t="s">
        <v>5518</v>
      </c>
      <c r="E296" s="233" t="s">
        <v>5519</v>
      </c>
      <c r="F296" s="233" t="s">
        <v>5520</v>
      </c>
      <c r="G296" s="233" t="s">
        <v>5521</v>
      </c>
      <c r="H296" s="234" t="s">
        <v>4170</v>
      </c>
    </row>
    <row r="297" spans="1:8" hidden="1" x14ac:dyDescent="0.2">
      <c r="A297" s="63"/>
      <c r="B297" s="232" t="s">
        <v>2397</v>
      </c>
      <c r="C297" s="233" t="s">
        <v>5522</v>
      </c>
      <c r="D297" s="233" t="s">
        <v>5523</v>
      </c>
      <c r="E297" s="233" t="s">
        <v>5524</v>
      </c>
      <c r="F297" s="233" t="s">
        <v>5525</v>
      </c>
      <c r="G297" s="233" t="s">
        <v>5526</v>
      </c>
      <c r="H297" s="234" t="s">
        <v>4170</v>
      </c>
    </row>
    <row r="298" spans="1:8" hidden="1" x14ac:dyDescent="0.2">
      <c r="A298" s="63"/>
      <c r="B298" s="232" t="s">
        <v>2397</v>
      </c>
      <c r="C298" s="233" t="s">
        <v>5527</v>
      </c>
      <c r="D298" s="233" t="s">
        <v>5528</v>
      </c>
      <c r="E298" s="233" t="s">
        <v>5529</v>
      </c>
      <c r="F298" s="233" t="s">
        <v>5530</v>
      </c>
      <c r="G298" s="233" t="s">
        <v>5531</v>
      </c>
      <c r="H298" s="234" t="s">
        <v>4170</v>
      </c>
    </row>
    <row r="299" spans="1:8" hidden="1" x14ac:dyDescent="0.2">
      <c r="A299" s="63"/>
      <c r="B299" s="232" t="s">
        <v>2397</v>
      </c>
      <c r="C299" s="233" t="s">
        <v>5532</v>
      </c>
      <c r="D299" s="233" t="s">
        <v>5533</v>
      </c>
      <c r="E299" s="233" t="s">
        <v>5534</v>
      </c>
      <c r="F299" s="233" t="s">
        <v>5535</v>
      </c>
      <c r="G299" s="233" t="s">
        <v>5536</v>
      </c>
      <c r="H299" s="234" t="s">
        <v>4170</v>
      </c>
    </row>
    <row r="300" spans="1:8" hidden="1" x14ac:dyDescent="0.2">
      <c r="A300" s="63"/>
      <c r="B300" s="232" t="s">
        <v>2397</v>
      </c>
      <c r="C300" s="233" t="s">
        <v>5537</v>
      </c>
      <c r="D300" s="233" t="s">
        <v>5538</v>
      </c>
      <c r="E300" s="233" t="s">
        <v>5539</v>
      </c>
      <c r="F300" s="233" t="s">
        <v>5540</v>
      </c>
      <c r="G300" s="233" t="s">
        <v>5537</v>
      </c>
      <c r="H300" s="234" t="s">
        <v>4170</v>
      </c>
    </row>
    <row r="301" spans="1:8" hidden="1" x14ac:dyDescent="0.2">
      <c r="A301" s="63"/>
      <c r="B301" s="232" t="s">
        <v>2397</v>
      </c>
      <c r="C301" s="233" t="s">
        <v>5541</v>
      </c>
      <c r="D301" s="233" t="s">
        <v>5542</v>
      </c>
      <c r="E301" s="233" t="s">
        <v>5542</v>
      </c>
      <c r="F301" s="233" t="s">
        <v>5543</v>
      </c>
      <c r="G301" s="233" t="s">
        <v>5544</v>
      </c>
      <c r="H301" s="234" t="s">
        <v>4170</v>
      </c>
    </row>
    <row r="302" spans="1:8" hidden="1" x14ac:dyDescent="0.2">
      <c r="A302" s="63"/>
      <c r="B302" s="232" t="s">
        <v>2397</v>
      </c>
      <c r="C302" s="233" t="s">
        <v>5545</v>
      </c>
      <c r="D302" s="233" t="s">
        <v>5546</v>
      </c>
      <c r="E302" s="233" t="s">
        <v>5547</v>
      </c>
      <c r="F302" s="233" t="s">
        <v>5548</v>
      </c>
      <c r="G302" s="233" t="s">
        <v>5549</v>
      </c>
      <c r="H302" s="234" t="s">
        <v>4170</v>
      </c>
    </row>
    <row r="303" spans="1:8" hidden="1" x14ac:dyDescent="0.2">
      <c r="A303" s="63"/>
      <c r="B303" s="232" t="s">
        <v>2397</v>
      </c>
      <c r="C303" s="233" t="s">
        <v>5550</v>
      </c>
      <c r="D303" s="233" t="s">
        <v>5551</v>
      </c>
      <c r="E303" s="233" t="s">
        <v>5552</v>
      </c>
      <c r="F303" s="233" t="s">
        <v>5553</v>
      </c>
      <c r="G303" s="233" t="s">
        <v>5554</v>
      </c>
      <c r="H303" s="234" t="s">
        <v>4170</v>
      </c>
    </row>
    <row r="304" spans="1:8" hidden="1" x14ac:dyDescent="0.2">
      <c r="A304" s="63"/>
      <c r="B304" s="232" t="s">
        <v>2397</v>
      </c>
      <c r="C304" s="233" t="s">
        <v>5555</v>
      </c>
      <c r="D304" s="233" t="s">
        <v>5556</v>
      </c>
      <c r="E304" s="233" t="s">
        <v>5557</v>
      </c>
      <c r="F304" s="233" t="s">
        <v>5558</v>
      </c>
      <c r="G304" s="233" t="s">
        <v>5559</v>
      </c>
      <c r="H304" s="234" t="s">
        <v>4170</v>
      </c>
    </row>
    <row r="305" spans="1:8" hidden="1" x14ac:dyDescent="0.2">
      <c r="A305" s="63"/>
      <c r="B305" s="232" t="s">
        <v>2397</v>
      </c>
      <c r="C305" s="233" t="s">
        <v>5560</v>
      </c>
      <c r="D305" s="233" t="s">
        <v>5561</v>
      </c>
      <c r="E305" s="233" t="s">
        <v>5562</v>
      </c>
      <c r="F305" s="233" t="s">
        <v>5563</v>
      </c>
      <c r="G305" s="233" t="s">
        <v>5564</v>
      </c>
      <c r="H305" s="234" t="s">
        <v>4170</v>
      </c>
    </row>
    <row r="306" spans="1:8" hidden="1" x14ac:dyDescent="0.2">
      <c r="A306" s="63"/>
      <c r="B306" s="232" t="s">
        <v>2397</v>
      </c>
      <c r="C306" s="233" t="s">
        <v>5565</v>
      </c>
      <c r="D306" s="233" t="s">
        <v>5566</v>
      </c>
      <c r="E306" s="233" t="s">
        <v>5567</v>
      </c>
      <c r="F306" s="233" t="s">
        <v>5568</v>
      </c>
      <c r="G306" s="233" t="s">
        <v>5569</v>
      </c>
      <c r="H306" s="234" t="s">
        <v>4170</v>
      </c>
    </row>
    <row r="307" spans="1:8" hidden="1" x14ac:dyDescent="0.2">
      <c r="A307" s="63"/>
      <c r="B307" s="232" t="s">
        <v>2397</v>
      </c>
      <c r="C307" s="233" t="s">
        <v>5570</v>
      </c>
      <c r="D307" s="233" t="s">
        <v>5571</v>
      </c>
      <c r="E307" s="233" t="s">
        <v>5572</v>
      </c>
      <c r="F307" s="233" t="s">
        <v>5573</v>
      </c>
      <c r="G307" s="233" t="s">
        <v>5574</v>
      </c>
      <c r="H307" s="234" t="s">
        <v>4170</v>
      </c>
    </row>
    <row r="308" spans="1:8" hidden="1" x14ac:dyDescent="0.2">
      <c r="A308" s="63"/>
      <c r="B308" s="232" t="s">
        <v>2397</v>
      </c>
      <c r="C308" s="233" t="s">
        <v>5575</v>
      </c>
      <c r="D308" s="233" t="s">
        <v>5576</v>
      </c>
      <c r="E308" s="233" t="s">
        <v>5577</v>
      </c>
      <c r="F308" s="233" t="s">
        <v>5578</v>
      </c>
      <c r="G308" s="233" t="s">
        <v>5579</v>
      </c>
      <c r="H308" s="234" t="s">
        <v>4170</v>
      </c>
    </row>
    <row r="309" spans="1:8" hidden="1" x14ac:dyDescent="0.2">
      <c r="A309" s="63"/>
      <c r="B309" s="232" t="s">
        <v>2397</v>
      </c>
      <c r="C309" s="233" t="s">
        <v>5580</v>
      </c>
      <c r="D309" s="233" t="s">
        <v>5581</v>
      </c>
      <c r="E309" s="233" t="s">
        <v>5582</v>
      </c>
      <c r="F309" s="233" t="s">
        <v>5583</v>
      </c>
      <c r="G309" s="233" t="s">
        <v>5584</v>
      </c>
      <c r="H309" s="234" t="s">
        <v>4170</v>
      </c>
    </row>
    <row r="310" spans="1:8" hidden="1" x14ac:dyDescent="0.2">
      <c r="A310" s="63"/>
      <c r="B310" s="232" t="s">
        <v>2397</v>
      </c>
      <c r="C310" s="233" t="s">
        <v>5585</v>
      </c>
      <c r="D310" s="233" t="s">
        <v>5586</v>
      </c>
      <c r="E310" s="233" t="s">
        <v>5587</v>
      </c>
      <c r="F310" s="233" t="s">
        <v>5588</v>
      </c>
      <c r="G310" s="233" t="s">
        <v>5589</v>
      </c>
      <c r="H310" s="234" t="s">
        <v>4170</v>
      </c>
    </row>
    <row r="311" spans="1:8" hidden="1" x14ac:dyDescent="0.2">
      <c r="A311" s="63"/>
      <c r="B311" s="232" t="s">
        <v>2397</v>
      </c>
      <c r="C311" s="233" t="s">
        <v>5590</v>
      </c>
      <c r="D311" s="233" t="s">
        <v>5591</v>
      </c>
      <c r="E311" s="233" t="s">
        <v>5592</v>
      </c>
      <c r="F311" s="233" t="s">
        <v>5593</v>
      </c>
      <c r="G311" s="233" t="s">
        <v>5594</v>
      </c>
      <c r="H311" s="234" t="s">
        <v>4170</v>
      </c>
    </row>
    <row r="312" spans="1:8" hidden="1" x14ac:dyDescent="0.2">
      <c r="A312" s="63"/>
      <c r="B312" s="232" t="s">
        <v>2397</v>
      </c>
      <c r="C312" s="233" t="s">
        <v>5595</v>
      </c>
      <c r="D312" s="233" t="s">
        <v>5596</v>
      </c>
      <c r="E312" s="233" t="s">
        <v>5597</v>
      </c>
      <c r="F312" s="233" t="s">
        <v>5598</v>
      </c>
      <c r="G312" s="233" t="s">
        <v>5599</v>
      </c>
      <c r="H312" s="234" t="s">
        <v>4170</v>
      </c>
    </row>
    <row r="313" spans="1:8" hidden="1" x14ac:dyDescent="0.2">
      <c r="A313" s="63"/>
      <c r="B313" s="232" t="s">
        <v>2397</v>
      </c>
      <c r="C313" s="233" t="s">
        <v>5600</v>
      </c>
      <c r="D313" s="233" t="s">
        <v>5601</v>
      </c>
      <c r="E313" s="233" t="s">
        <v>5602</v>
      </c>
      <c r="F313" s="233" t="s">
        <v>5603</v>
      </c>
      <c r="G313" s="233" t="s">
        <v>5604</v>
      </c>
      <c r="H313" s="234" t="s">
        <v>4170</v>
      </c>
    </row>
    <row r="314" spans="1:8" hidden="1" x14ac:dyDescent="0.2">
      <c r="A314" s="63"/>
      <c r="B314" s="232" t="s">
        <v>2397</v>
      </c>
      <c r="C314" s="233" t="s">
        <v>5605</v>
      </c>
      <c r="D314" s="233" t="s">
        <v>5606</v>
      </c>
      <c r="E314" s="233" t="s">
        <v>5607</v>
      </c>
      <c r="F314" s="233" t="s">
        <v>5608</v>
      </c>
      <c r="G314" s="233" t="s">
        <v>5609</v>
      </c>
      <c r="H314" s="234" t="s">
        <v>4170</v>
      </c>
    </row>
    <row r="315" spans="1:8" hidden="1" x14ac:dyDescent="0.2">
      <c r="A315" s="63"/>
      <c r="B315" s="232" t="s">
        <v>2397</v>
      </c>
      <c r="C315" s="233" t="s">
        <v>5610</v>
      </c>
      <c r="D315" s="233" t="s">
        <v>5611</v>
      </c>
      <c r="E315" s="233" t="s">
        <v>5612</v>
      </c>
      <c r="F315" s="233" t="s">
        <v>5613</v>
      </c>
      <c r="G315" s="233" t="s">
        <v>5614</v>
      </c>
      <c r="H315" s="234" t="s">
        <v>4170</v>
      </c>
    </row>
    <row r="316" spans="1:8" hidden="1" x14ac:dyDescent="0.2">
      <c r="A316" s="63"/>
      <c r="B316" s="232" t="s">
        <v>2397</v>
      </c>
      <c r="C316" s="233" t="s">
        <v>5615</v>
      </c>
      <c r="D316" s="233" t="s">
        <v>5616</v>
      </c>
      <c r="E316" s="233" t="s">
        <v>5617</v>
      </c>
      <c r="F316" s="233" t="s">
        <v>5618</v>
      </c>
      <c r="G316" s="233" t="s">
        <v>5619</v>
      </c>
      <c r="H316" s="234" t="s">
        <v>4170</v>
      </c>
    </row>
    <row r="317" spans="1:8" hidden="1" x14ac:dyDescent="0.2">
      <c r="A317" s="63"/>
      <c r="B317" s="232" t="s">
        <v>2397</v>
      </c>
      <c r="C317" s="233" t="s">
        <v>5620</v>
      </c>
      <c r="D317" s="233" t="s">
        <v>5621</v>
      </c>
      <c r="E317" s="233" t="s">
        <v>5622</v>
      </c>
      <c r="F317" s="233" t="s">
        <v>5623</v>
      </c>
      <c r="G317" s="233" t="s">
        <v>5624</v>
      </c>
      <c r="H317" s="234" t="s">
        <v>4170</v>
      </c>
    </row>
    <row r="318" spans="1:8" hidden="1" x14ac:dyDescent="0.2">
      <c r="A318" s="63"/>
      <c r="B318" s="232" t="s">
        <v>2397</v>
      </c>
      <c r="C318" s="233" t="s">
        <v>5625</v>
      </c>
      <c r="D318" s="233" t="s">
        <v>5626</v>
      </c>
      <c r="E318" s="233" t="s">
        <v>5627</v>
      </c>
      <c r="F318" s="233" t="s">
        <v>5628</v>
      </c>
      <c r="G318" s="233" t="s">
        <v>5629</v>
      </c>
      <c r="H318" s="234" t="s">
        <v>4170</v>
      </c>
    </row>
    <row r="319" spans="1:8" hidden="1" x14ac:dyDescent="0.2">
      <c r="A319" s="63"/>
      <c r="B319" s="232" t="s">
        <v>2397</v>
      </c>
      <c r="C319" s="233" t="s">
        <v>5630</v>
      </c>
      <c r="D319" s="233" t="s">
        <v>5630</v>
      </c>
      <c r="E319" s="233" t="s">
        <v>5631</v>
      </c>
      <c r="F319" s="233" t="s">
        <v>5632</v>
      </c>
      <c r="G319" s="233" t="s">
        <v>5630</v>
      </c>
      <c r="H319" s="234" t="s">
        <v>4170</v>
      </c>
    </row>
    <row r="320" spans="1:8" hidden="1" x14ac:dyDescent="0.2">
      <c r="A320" s="63"/>
      <c r="B320" s="232" t="s">
        <v>2397</v>
      </c>
      <c r="C320" s="233" t="s">
        <v>5633</v>
      </c>
      <c r="D320" s="233" t="s">
        <v>5634</v>
      </c>
      <c r="E320" s="233" t="s">
        <v>5635</v>
      </c>
      <c r="F320" s="233" t="s">
        <v>5636</v>
      </c>
      <c r="G320" s="233" t="s">
        <v>5637</v>
      </c>
      <c r="H320" s="234" t="s">
        <v>4170</v>
      </c>
    </row>
    <row r="321" spans="1:8" hidden="1" x14ac:dyDescent="0.2">
      <c r="A321" s="63"/>
      <c r="B321" s="232" t="s">
        <v>2397</v>
      </c>
      <c r="C321" s="233" t="s">
        <v>5638</v>
      </c>
      <c r="D321" s="233" t="s">
        <v>5639</v>
      </c>
      <c r="E321" s="233" t="s">
        <v>5640</v>
      </c>
      <c r="F321" s="233" t="s">
        <v>5641</v>
      </c>
      <c r="G321" s="233" t="s">
        <v>5642</v>
      </c>
      <c r="H321" s="234" t="s">
        <v>4170</v>
      </c>
    </row>
    <row r="322" spans="1:8" hidden="1" x14ac:dyDescent="0.2">
      <c r="A322" s="63"/>
      <c r="B322" s="232" t="s">
        <v>2397</v>
      </c>
      <c r="C322" s="233" t="s">
        <v>5643</v>
      </c>
      <c r="D322" s="233" t="s">
        <v>5644</v>
      </c>
      <c r="E322" s="233" t="s">
        <v>5645</v>
      </c>
      <c r="F322" s="233" t="s">
        <v>5646</v>
      </c>
      <c r="G322" s="233" t="s">
        <v>5647</v>
      </c>
      <c r="H322" s="234" t="s">
        <v>4170</v>
      </c>
    </row>
    <row r="323" spans="1:8" hidden="1" x14ac:dyDescent="0.2">
      <c r="A323" s="63"/>
      <c r="B323" s="232" t="s">
        <v>2397</v>
      </c>
      <c r="C323" s="233" t="s">
        <v>5648</v>
      </c>
      <c r="D323" s="233" t="s">
        <v>5649</v>
      </c>
      <c r="E323" s="233" t="s">
        <v>5650</v>
      </c>
      <c r="F323" s="233" t="s">
        <v>5651</v>
      </c>
      <c r="G323" s="233" t="s">
        <v>5652</v>
      </c>
      <c r="H323" s="234" t="s">
        <v>4170</v>
      </c>
    </row>
    <row r="324" spans="1:8" hidden="1" x14ac:dyDescent="0.2">
      <c r="A324" s="63"/>
      <c r="B324" s="232" t="s">
        <v>2397</v>
      </c>
      <c r="C324" s="233" t="s">
        <v>5653</v>
      </c>
      <c r="D324" s="233" t="s">
        <v>5654</v>
      </c>
      <c r="E324" s="233" t="s">
        <v>5655</v>
      </c>
      <c r="F324" s="233" t="s">
        <v>5653</v>
      </c>
      <c r="G324" s="233" t="s">
        <v>5656</v>
      </c>
      <c r="H324" s="234" t="s">
        <v>4170</v>
      </c>
    </row>
    <row r="325" spans="1:8" hidden="1" x14ac:dyDescent="0.2">
      <c r="A325" s="63"/>
      <c r="B325" s="232" t="s">
        <v>2397</v>
      </c>
      <c r="C325" s="233" t="s">
        <v>5657</v>
      </c>
      <c r="D325" s="233" t="s">
        <v>5658</v>
      </c>
      <c r="E325" s="233" t="s">
        <v>5659</v>
      </c>
      <c r="F325" s="233" t="s">
        <v>5660</v>
      </c>
      <c r="G325" s="233" t="s">
        <v>5661</v>
      </c>
      <c r="H325" s="234" t="s">
        <v>4170</v>
      </c>
    </row>
    <row r="326" spans="1:8" hidden="1" x14ac:dyDescent="0.2">
      <c r="A326" s="63"/>
      <c r="B326" s="232" t="s">
        <v>2397</v>
      </c>
      <c r="C326" s="233" t="s">
        <v>5662</v>
      </c>
      <c r="D326" s="233" t="s">
        <v>5663</v>
      </c>
      <c r="E326" s="233" t="s">
        <v>5664</v>
      </c>
      <c r="F326" s="233" t="s">
        <v>5665</v>
      </c>
      <c r="G326" s="233" t="s">
        <v>5666</v>
      </c>
      <c r="H326" s="234" t="s">
        <v>4170</v>
      </c>
    </row>
    <row r="327" spans="1:8" hidden="1" x14ac:dyDescent="0.2">
      <c r="A327" s="63"/>
      <c r="B327" s="232" t="s">
        <v>2397</v>
      </c>
      <c r="C327" s="233" t="s">
        <v>5667</v>
      </c>
      <c r="D327" s="233" t="s">
        <v>5668</v>
      </c>
      <c r="E327" s="233" t="s">
        <v>5669</v>
      </c>
      <c r="F327" s="233" t="s">
        <v>5670</v>
      </c>
      <c r="G327" s="233" t="s">
        <v>5671</v>
      </c>
      <c r="H327" s="234" t="s">
        <v>4170</v>
      </c>
    </row>
    <row r="328" spans="1:8" hidden="1" x14ac:dyDescent="0.2">
      <c r="A328" s="63"/>
      <c r="B328" s="232" t="s">
        <v>2397</v>
      </c>
      <c r="C328" s="233" t="s">
        <v>5672</v>
      </c>
      <c r="D328" s="233" t="s">
        <v>5673</v>
      </c>
      <c r="E328" s="233" t="s">
        <v>5674</v>
      </c>
      <c r="F328" s="233" t="s">
        <v>5672</v>
      </c>
      <c r="G328" s="233" t="s">
        <v>5675</v>
      </c>
      <c r="H328" s="234" t="s">
        <v>4170</v>
      </c>
    </row>
    <row r="329" spans="1:8" hidden="1" x14ac:dyDescent="0.2">
      <c r="A329" s="63"/>
      <c r="B329" s="232" t="s">
        <v>2397</v>
      </c>
      <c r="C329" s="233" t="s">
        <v>5676</v>
      </c>
      <c r="D329" s="233" t="s">
        <v>5677</v>
      </c>
      <c r="E329" s="233" t="s">
        <v>5678</v>
      </c>
      <c r="F329" s="233" t="s">
        <v>5679</v>
      </c>
      <c r="G329" s="233" t="s">
        <v>5680</v>
      </c>
      <c r="H329" s="234" t="s">
        <v>4170</v>
      </c>
    </row>
    <row r="330" spans="1:8" hidden="1" x14ac:dyDescent="0.2">
      <c r="A330" s="63"/>
      <c r="B330" s="232" t="s">
        <v>2397</v>
      </c>
      <c r="C330" s="233" t="s">
        <v>5681</v>
      </c>
      <c r="D330" s="233" t="s">
        <v>5682</v>
      </c>
      <c r="E330" s="233" t="s">
        <v>5683</v>
      </c>
      <c r="F330" s="233" t="s">
        <v>5684</v>
      </c>
      <c r="G330" s="233" t="s">
        <v>5685</v>
      </c>
      <c r="H330" s="234" t="s">
        <v>4170</v>
      </c>
    </row>
    <row r="331" spans="1:8" hidden="1" x14ac:dyDescent="0.2">
      <c r="A331" s="63"/>
      <c r="B331" s="232" t="s">
        <v>2397</v>
      </c>
      <c r="C331" s="233" t="s">
        <v>5686</v>
      </c>
      <c r="D331" s="233" t="s">
        <v>5686</v>
      </c>
      <c r="E331" s="233" t="s">
        <v>5687</v>
      </c>
      <c r="F331" s="233" t="s">
        <v>5688</v>
      </c>
      <c r="G331" s="233" t="s">
        <v>5689</v>
      </c>
      <c r="H331" s="234" t="s">
        <v>4170</v>
      </c>
    </row>
    <row r="332" spans="1:8" hidden="1" x14ac:dyDescent="0.2">
      <c r="A332" s="63"/>
      <c r="B332" s="232" t="s">
        <v>2397</v>
      </c>
      <c r="C332" s="233" t="s">
        <v>5690</v>
      </c>
      <c r="D332" s="233" t="s">
        <v>5691</v>
      </c>
      <c r="E332" s="233" t="s">
        <v>5692</v>
      </c>
      <c r="F332" s="233" t="s">
        <v>5693</v>
      </c>
      <c r="G332" s="233" t="s">
        <v>5694</v>
      </c>
      <c r="H332" s="234" t="s">
        <v>4170</v>
      </c>
    </row>
    <row r="333" spans="1:8" hidden="1" x14ac:dyDescent="0.2">
      <c r="A333" s="63"/>
      <c r="B333" s="232" t="s">
        <v>2397</v>
      </c>
      <c r="C333" s="233" t="s">
        <v>5695</v>
      </c>
      <c r="D333" s="233" t="s">
        <v>5696</v>
      </c>
      <c r="E333" s="233" t="s">
        <v>5697</v>
      </c>
      <c r="F333" s="233" t="s">
        <v>5698</v>
      </c>
      <c r="G333" s="233" t="s">
        <v>5699</v>
      </c>
      <c r="H333" s="234" t="s">
        <v>4170</v>
      </c>
    </row>
    <row r="334" spans="1:8" hidden="1" x14ac:dyDescent="0.2">
      <c r="A334" s="63"/>
      <c r="B334" s="232" t="s">
        <v>2397</v>
      </c>
      <c r="C334" s="233" t="s">
        <v>5700</v>
      </c>
      <c r="D334" s="233" t="s">
        <v>5701</v>
      </c>
      <c r="E334" s="233" t="s">
        <v>5702</v>
      </c>
      <c r="F334" s="233" t="s">
        <v>5703</v>
      </c>
      <c r="G334" s="233" t="s">
        <v>5704</v>
      </c>
      <c r="H334" s="234" t="s">
        <v>4170</v>
      </c>
    </row>
    <row r="335" spans="1:8" hidden="1" x14ac:dyDescent="0.2">
      <c r="A335" s="63"/>
      <c r="B335" s="232" t="s">
        <v>2397</v>
      </c>
      <c r="C335" s="233" t="s">
        <v>5705</v>
      </c>
      <c r="D335" s="233" t="s">
        <v>5706</v>
      </c>
      <c r="E335" s="233" t="s">
        <v>5707</v>
      </c>
      <c r="F335" s="233" t="s">
        <v>5708</v>
      </c>
      <c r="G335" s="233" t="s">
        <v>5709</v>
      </c>
      <c r="H335" s="234" t="s">
        <v>4170</v>
      </c>
    </row>
    <row r="336" spans="1:8" hidden="1" x14ac:dyDescent="0.2">
      <c r="A336" s="63"/>
      <c r="B336" s="232" t="s">
        <v>2397</v>
      </c>
      <c r="C336" s="233" t="s">
        <v>5710</v>
      </c>
      <c r="D336" s="233" t="s">
        <v>5711</v>
      </c>
      <c r="E336" s="233" t="s">
        <v>5712</v>
      </c>
      <c r="F336" s="233" t="s">
        <v>5713</v>
      </c>
      <c r="G336" s="233" t="s">
        <v>5714</v>
      </c>
      <c r="H336" s="234" t="s">
        <v>4170</v>
      </c>
    </row>
    <row r="337" spans="1:8" hidden="1" x14ac:dyDescent="0.2">
      <c r="A337" s="63"/>
      <c r="B337" s="232" t="s">
        <v>2397</v>
      </c>
      <c r="C337" s="233" t="s">
        <v>5715</v>
      </c>
      <c r="D337" s="233" t="s">
        <v>5716</v>
      </c>
      <c r="E337" s="233" t="s">
        <v>5717</v>
      </c>
      <c r="F337" s="233" t="s">
        <v>5718</v>
      </c>
      <c r="G337" s="233" t="s">
        <v>5719</v>
      </c>
      <c r="H337" s="234" t="s">
        <v>4170</v>
      </c>
    </row>
    <row r="338" spans="1:8" hidden="1" x14ac:dyDescent="0.2">
      <c r="A338" s="63"/>
      <c r="B338" s="232" t="s">
        <v>2397</v>
      </c>
      <c r="C338" s="233" t="s">
        <v>5720</v>
      </c>
      <c r="D338" s="233" t="s">
        <v>5721</v>
      </c>
      <c r="E338" s="233" t="s">
        <v>5722</v>
      </c>
      <c r="F338" s="233" t="s">
        <v>5723</v>
      </c>
      <c r="G338" s="233" t="s">
        <v>5724</v>
      </c>
      <c r="H338" s="234" t="s">
        <v>4170</v>
      </c>
    </row>
    <row r="339" spans="1:8" hidden="1" x14ac:dyDescent="0.2">
      <c r="A339" s="63"/>
      <c r="B339" s="232" t="s">
        <v>2397</v>
      </c>
      <c r="C339" s="233" t="s">
        <v>5725</v>
      </c>
      <c r="D339" s="233" t="s">
        <v>5726</v>
      </c>
      <c r="E339" s="233" t="s">
        <v>5727</v>
      </c>
      <c r="F339" s="233" t="s">
        <v>5728</v>
      </c>
      <c r="G339" s="233" t="s">
        <v>5729</v>
      </c>
      <c r="H339" s="234" t="s">
        <v>4170</v>
      </c>
    </row>
    <row r="340" spans="1:8" hidden="1" x14ac:dyDescent="0.2">
      <c r="A340" s="63"/>
      <c r="B340" s="232" t="s">
        <v>2397</v>
      </c>
      <c r="C340" s="233" t="s">
        <v>5730</v>
      </c>
      <c r="D340" s="233" t="s">
        <v>5731</v>
      </c>
      <c r="E340" s="233" t="s">
        <v>5732</v>
      </c>
      <c r="F340" s="233" t="s">
        <v>5733</v>
      </c>
      <c r="G340" s="233" t="s">
        <v>5734</v>
      </c>
      <c r="H340" s="234" t="s">
        <v>4170</v>
      </c>
    </row>
    <row r="341" spans="1:8" hidden="1" x14ac:dyDescent="0.2">
      <c r="A341" s="63"/>
      <c r="B341" s="232" t="s">
        <v>2397</v>
      </c>
      <c r="C341" s="233" t="s">
        <v>5735</v>
      </c>
      <c r="D341" s="233" t="s">
        <v>5736</v>
      </c>
      <c r="E341" s="233" t="s">
        <v>5737</v>
      </c>
      <c r="F341" s="233" t="s">
        <v>5738</v>
      </c>
      <c r="G341" s="233" t="s">
        <v>5739</v>
      </c>
      <c r="H341" s="234" t="s">
        <v>4170</v>
      </c>
    </row>
    <row r="342" spans="1:8" hidden="1" x14ac:dyDescent="0.2">
      <c r="A342" s="63"/>
      <c r="B342" s="232" t="s">
        <v>2397</v>
      </c>
      <c r="C342" s="233" t="s">
        <v>5740</v>
      </c>
      <c r="D342" s="233" t="s">
        <v>5741</v>
      </c>
      <c r="E342" s="233" t="s">
        <v>5740</v>
      </c>
      <c r="F342" s="233" t="s">
        <v>5740</v>
      </c>
      <c r="G342" s="233" t="s">
        <v>5742</v>
      </c>
      <c r="H342" s="234" t="s">
        <v>4170</v>
      </c>
    </row>
    <row r="343" spans="1:8" hidden="1" x14ac:dyDescent="0.2">
      <c r="A343" s="63"/>
      <c r="B343" s="232" t="s">
        <v>2397</v>
      </c>
      <c r="C343" s="233" t="s">
        <v>5743</v>
      </c>
      <c r="D343" s="233" t="s">
        <v>5744</v>
      </c>
      <c r="E343" s="233" t="s">
        <v>5745</v>
      </c>
      <c r="F343" s="233" t="s">
        <v>5746</v>
      </c>
      <c r="G343" s="233" t="s">
        <v>5747</v>
      </c>
      <c r="H343" s="234" t="s">
        <v>4170</v>
      </c>
    </row>
    <row r="344" spans="1:8" hidden="1" x14ac:dyDescent="0.2">
      <c r="A344" s="63"/>
      <c r="B344" s="232" t="s">
        <v>2397</v>
      </c>
      <c r="C344" s="233" t="s">
        <v>5748</v>
      </c>
      <c r="D344" s="233" t="s">
        <v>5749</v>
      </c>
      <c r="E344" s="233" t="s">
        <v>5750</v>
      </c>
      <c r="F344" s="233" t="s">
        <v>5751</v>
      </c>
      <c r="G344" s="233" t="s">
        <v>5752</v>
      </c>
      <c r="H344" s="234" t="s">
        <v>4170</v>
      </c>
    </row>
    <row r="345" spans="1:8" hidden="1" x14ac:dyDescent="0.2">
      <c r="A345" s="63"/>
      <c r="B345" s="232" t="s">
        <v>2397</v>
      </c>
      <c r="C345" s="233" t="s">
        <v>5753</v>
      </c>
      <c r="D345" s="233" t="s">
        <v>5754</v>
      </c>
      <c r="E345" s="233" t="s">
        <v>5755</v>
      </c>
      <c r="F345" s="233" t="s">
        <v>5756</v>
      </c>
      <c r="G345" s="233" t="s">
        <v>5757</v>
      </c>
      <c r="H345" s="234" t="s">
        <v>4170</v>
      </c>
    </row>
    <row r="346" spans="1:8" hidden="1" x14ac:dyDescent="0.2">
      <c r="A346" s="63"/>
      <c r="B346" s="232" t="s">
        <v>2397</v>
      </c>
      <c r="C346" s="233" t="s">
        <v>5758</v>
      </c>
      <c r="D346" s="233" t="s">
        <v>5759</v>
      </c>
      <c r="E346" s="233" t="s">
        <v>5760</v>
      </c>
      <c r="F346" s="233" t="s">
        <v>5761</v>
      </c>
      <c r="G346" s="233" t="s">
        <v>5762</v>
      </c>
      <c r="H346" s="234" t="s">
        <v>4170</v>
      </c>
    </row>
    <row r="347" spans="1:8" hidden="1" x14ac:dyDescent="0.2">
      <c r="A347" s="63"/>
      <c r="B347" s="232" t="s">
        <v>2397</v>
      </c>
      <c r="C347" s="233" t="s">
        <v>5763</v>
      </c>
      <c r="D347" s="233" t="s">
        <v>5764</v>
      </c>
      <c r="E347" s="233" t="s">
        <v>5765</v>
      </c>
      <c r="F347" s="233" t="s">
        <v>5766</v>
      </c>
      <c r="G347" s="233" t="s">
        <v>5767</v>
      </c>
      <c r="H347" s="234" t="s">
        <v>4170</v>
      </c>
    </row>
    <row r="348" spans="1:8" hidden="1" x14ac:dyDescent="0.2">
      <c r="A348" s="63"/>
      <c r="B348" s="232" t="s">
        <v>2397</v>
      </c>
      <c r="C348" s="233" t="s">
        <v>5768</v>
      </c>
      <c r="D348" s="233" t="s">
        <v>5769</v>
      </c>
      <c r="E348" s="233" t="s">
        <v>5770</v>
      </c>
      <c r="F348" s="233" t="s">
        <v>5771</v>
      </c>
      <c r="G348" s="233" t="s">
        <v>5772</v>
      </c>
      <c r="H348" s="234" t="s">
        <v>4170</v>
      </c>
    </row>
    <row r="349" spans="1:8" hidden="1" x14ac:dyDescent="0.2">
      <c r="A349" s="63"/>
      <c r="B349" s="232" t="s">
        <v>2397</v>
      </c>
      <c r="C349" s="233" t="s">
        <v>5773</v>
      </c>
      <c r="D349" s="233" t="s">
        <v>5774</v>
      </c>
      <c r="E349" s="233" t="s">
        <v>5775</v>
      </c>
      <c r="F349" s="233" t="s">
        <v>5776</v>
      </c>
      <c r="G349" s="233" t="s">
        <v>5777</v>
      </c>
      <c r="H349" s="234" t="s">
        <v>4170</v>
      </c>
    </row>
    <row r="350" spans="1:8" hidden="1" x14ac:dyDescent="0.2">
      <c r="A350" s="63"/>
      <c r="B350" s="232" t="s">
        <v>2397</v>
      </c>
      <c r="C350" s="233" t="s">
        <v>5778</v>
      </c>
      <c r="D350" s="233" t="s">
        <v>5779</v>
      </c>
      <c r="E350" s="233" t="s">
        <v>5780</v>
      </c>
      <c r="F350" s="233" t="s">
        <v>5781</v>
      </c>
      <c r="G350" s="233" t="s">
        <v>5782</v>
      </c>
      <c r="H350" s="234" t="s">
        <v>4170</v>
      </c>
    </row>
    <row r="351" spans="1:8" hidden="1" x14ac:dyDescent="0.2">
      <c r="A351" s="63"/>
      <c r="B351" s="232" t="s">
        <v>2397</v>
      </c>
      <c r="C351" s="233" t="s">
        <v>5783</v>
      </c>
      <c r="D351" s="233" t="s">
        <v>5784</v>
      </c>
      <c r="E351" s="233" t="s">
        <v>5785</v>
      </c>
      <c r="F351" s="233" t="s">
        <v>5786</v>
      </c>
      <c r="G351" s="233" t="s">
        <v>5787</v>
      </c>
      <c r="H351" s="234" t="s">
        <v>4170</v>
      </c>
    </row>
    <row r="352" spans="1:8" hidden="1" x14ac:dyDescent="0.2">
      <c r="A352" s="63"/>
      <c r="B352" s="232" t="s">
        <v>2397</v>
      </c>
      <c r="C352" s="233" t="s">
        <v>5788</v>
      </c>
      <c r="D352" s="233" t="s">
        <v>5789</v>
      </c>
      <c r="E352" s="233" t="s">
        <v>5790</v>
      </c>
      <c r="F352" s="233" t="s">
        <v>5791</v>
      </c>
      <c r="G352" s="233" t="s">
        <v>5792</v>
      </c>
      <c r="H352" s="234" t="s">
        <v>4170</v>
      </c>
    </row>
    <row r="353" spans="1:8" hidden="1" x14ac:dyDescent="0.2">
      <c r="A353" s="63"/>
      <c r="B353" s="232" t="s">
        <v>2397</v>
      </c>
      <c r="C353" s="233" t="s">
        <v>5793</v>
      </c>
      <c r="D353" s="233" t="s">
        <v>5794</v>
      </c>
      <c r="E353" s="233" t="s">
        <v>5795</v>
      </c>
      <c r="F353" s="233" t="s">
        <v>5796</v>
      </c>
      <c r="G353" s="233" t="s">
        <v>5797</v>
      </c>
      <c r="H353" s="234" t="s">
        <v>4170</v>
      </c>
    </row>
    <row r="354" spans="1:8" hidden="1" x14ac:dyDescent="0.2">
      <c r="A354" s="63"/>
      <c r="B354" s="232" t="s">
        <v>2397</v>
      </c>
      <c r="C354" s="233" t="s">
        <v>5798</v>
      </c>
      <c r="D354" s="233" t="s">
        <v>5799</v>
      </c>
      <c r="E354" s="233" t="s">
        <v>5800</v>
      </c>
      <c r="F354" s="233" t="s">
        <v>5801</v>
      </c>
      <c r="G354" s="233" t="s">
        <v>5802</v>
      </c>
      <c r="H354" s="234" t="s">
        <v>4170</v>
      </c>
    </row>
    <row r="355" spans="1:8" hidden="1" x14ac:dyDescent="0.2">
      <c r="A355" s="63"/>
      <c r="B355" s="232" t="s">
        <v>2397</v>
      </c>
      <c r="C355" s="233" t="s">
        <v>5803</v>
      </c>
      <c r="D355" s="233" t="s">
        <v>5804</v>
      </c>
      <c r="E355" s="233" t="s">
        <v>5805</v>
      </c>
      <c r="F355" s="233" t="s">
        <v>5806</v>
      </c>
      <c r="G355" s="233" t="s">
        <v>5807</v>
      </c>
      <c r="H355" s="234" t="s">
        <v>4170</v>
      </c>
    </row>
    <row r="356" spans="1:8" hidden="1" x14ac:dyDescent="0.2">
      <c r="A356" s="63"/>
      <c r="B356" s="232" t="s">
        <v>2397</v>
      </c>
      <c r="C356" s="233" t="s">
        <v>5808</v>
      </c>
      <c r="D356" s="233" t="s">
        <v>5809</v>
      </c>
      <c r="E356" s="233" t="s">
        <v>5810</v>
      </c>
      <c r="F356" s="233" t="s">
        <v>5811</v>
      </c>
      <c r="G356" s="233" t="s">
        <v>5812</v>
      </c>
      <c r="H356" s="234" t="s">
        <v>4170</v>
      </c>
    </row>
    <row r="357" spans="1:8" hidden="1" x14ac:dyDescent="0.2">
      <c r="A357" s="63"/>
      <c r="B357" s="232" t="s">
        <v>2397</v>
      </c>
      <c r="C357" s="233" t="s">
        <v>5813</v>
      </c>
      <c r="D357" s="233" t="s">
        <v>5814</v>
      </c>
      <c r="E357" s="233" t="s">
        <v>5815</v>
      </c>
      <c r="F357" s="233" t="s">
        <v>5816</v>
      </c>
      <c r="G357" s="233" t="s">
        <v>5817</v>
      </c>
      <c r="H357" s="234" t="s">
        <v>4170</v>
      </c>
    </row>
    <row r="358" spans="1:8" hidden="1" x14ac:dyDescent="0.2">
      <c r="A358" s="63"/>
      <c r="B358" s="232" t="s">
        <v>2397</v>
      </c>
      <c r="C358" s="233" t="s">
        <v>5818</v>
      </c>
      <c r="D358" s="233" t="s">
        <v>5819</v>
      </c>
      <c r="E358" s="233" t="s">
        <v>5820</v>
      </c>
      <c r="F358" s="233" t="s">
        <v>5818</v>
      </c>
      <c r="G358" s="233" t="s">
        <v>5818</v>
      </c>
      <c r="H358" s="234" t="s">
        <v>4170</v>
      </c>
    </row>
    <row r="359" spans="1:8" hidden="1" x14ac:dyDescent="0.2">
      <c r="A359" s="63"/>
      <c r="B359" s="232" t="s">
        <v>2397</v>
      </c>
      <c r="C359" s="233" t="s">
        <v>5821</v>
      </c>
      <c r="D359" s="233" t="s">
        <v>5822</v>
      </c>
      <c r="E359" s="233" t="s">
        <v>5823</v>
      </c>
      <c r="F359" s="233" t="s">
        <v>5824</v>
      </c>
      <c r="G359" s="233" t="s">
        <v>5825</v>
      </c>
      <c r="H359" s="234" t="s">
        <v>4170</v>
      </c>
    </row>
    <row r="360" spans="1:8" hidden="1" x14ac:dyDescent="0.2">
      <c r="A360" s="63"/>
      <c r="B360" s="232" t="s">
        <v>2397</v>
      </c>
      <c r="C360" s="233" t="s">
        <v>5826</v>
      </c>
      <c r="D360" s="233" t="s">
        <v>5827</v>
      </c>
      <c r="E360" s="233" t="s">
        <v>5828</v>
      </c>
      <c r="F360" s="233" t="s">
        <v>5829</v>
      </c>
      <c r="G360" s="233" t="s">
        <v>5830</v>
      </c>
      <c r="H360" s="234" t="s">
        <v>4170</v>
      </c>
    </row>
    <row r="361" spans="1:8" hidden="1" x14ac:dyDescent="0.2">
      <c r="A361" s="63"/>
      <c r="B361" s="232" t="s">
        <v>2397</v>
      </c>
      <c r="C361" s="233" t="s">
        <v>5831</v>
      </c>
      <c r="D361" s="233" t="s">
        <v>5832</v>
      </c>
      <c r="E361" s="233" t="s">
        <v>5833</v>
      </c>
      <c r="F361" s="233" t="s">
        <v>5834</v>
      </c>
      <c r="G361" s="233" t="s">
        <v>5835</v>
      </c>
      <c r="H361" s="234" t="s">
        <v>4170</v>
      </c>
    </row>
    <row r="362" spans="1:8" hidden="1" x14ac:dyDescent="0.2">
      <c r="A362" s="63"/>
      <c r="B362" s="232" t="s">
        <v>2397</v>
      </c>
      <c r="C362" s="233" t="s">
        <v>5836</v>
      </c>
      <c r="D362" s="233" t="s">
        <v>5837</v>
      </c>
      <c r="E362" s="233" t="s">
        <v>5838</v>
      </c>
      <c r="F362" s="233" t="s">
        <v>5839</v>
      </c>
      <c r="G362" s="233" t="s">
        <v>5840</v>
      </c>
      <c r="H362" s="234" t="s">
        <v>4170</v>
      </c>
    </row>
    <row r="363" spans="1:8" hidden="1" x14ac:dyDescent="0.2">
      <c r="A363" s="63"/>
      <c r="B363" s="232" t="s">
        <v>2397</v>
      </c>
      <c r="C363" s="233" t="s">
        <v>5841</v>
      </c>
      <c r="D363" s="233" t="s">
        <v>5842</v>
      </c>
      <c r="E363" s="233" t="s">
        <v>5843</v>
      </c>
      <c r="F363" s="233" t="s">
        <v>5844</v>
      </c>
      <c r="G363" s="233" t="s">
        <v>5845</v>
      </c>
      <c r="H363" s="234" t="s">
        <v>4170</v>
      </c>
    </row>
    <row r="364" spans="1:8" hidden="1" x14ac:dyDescent="0.2">
      <c r="A364" s="63"/>
      <c r="B364" s="232" t="s">
        <v>2397</v>
      </c>
      <c r="C364" s="233" t="s">
        <v>5846</v>
      </c>
      <c r="D364" s="233" t="s">
        <v>5847</v>
      </c>
      <c r="E364" s="233" t="s">
        <v>5848</v>
      </c>
      <c r="F364" s="233" t="s">
        <v>5849</v>
      </c>
      <c r="G364" s="233" t="s">
        <v>5850</v>
      </c>
      <c r="H364" s="234" t="s">
        <v>4170</v>
      </c>
    </row>
    <row r="365" spans="1:8" hidden="1" x14ac:dyDescent="0.2">
      <c r="A365" s="63"/>
      <c r="B365" s="232" t="s">
        <v>2397</v>
      </c>
      <c r="C365" s="233" t="s">
        <v>5851</v>
      </c>
      <c r="D365" s="233" t="s">
        <v>5852</v>
      </c>
      <c r="E365" s="233" t="s">
        <v>5853</v>
      </c>
      <c r="F365" s="233" t="s">
        <v>5854</v>
      </c>
      <c r="G365" s="233" t="s">
        <v>5855</v>
      </c>
      <c r="H365" s="234" t="s">
        <v>4170</v>
      </c>
    </row>
    <row r="366" spans="1:8" hidden="1" x14ac:dyDescent="0.2">
      <c r="A366" s="63"/>
      <c r="B366" s="232" t="s">
        <v>2397</v>
      </c>
      <c r="C366" s="233" t="s">
        <v>5856</v>
      </c>
      <c r="D366" s="233" t="s">
        <v>5857</v>
      </c>
      <c r="E366" s="233" t="s">
        <v>5856</v>
      </c>
      <c r="F366" s="233" t="s">
        <v>5858</v>
      </c>
      <c r="G366" s="233" t="s">
        <v>5859</v>
      </c>
      <c r="H366" s="234" t="s">
        <v>4170</v>
      </c>
    </row>
    <row r="367" spans="1:8" hidden="1" x14ac:dyDescent="0.2">
      <c r="A367" s="63"/>
      <c r="B367" s="232" t="s">
        <v>2397</v>
      </c>
      <c r="C367" s="233" t="s">
        <v>5860</v>
      </c>
      <c r="D367" s="233" t="s">
        <v>5861</v>
      </c>
      <c r="E367" s="233" t="s">
        <v>5860</v>
      </c>
      <c r="F367" s="233" t="s">
        <v>5862</v>
      </c>
      <c r="G367" s="233" t="s">
        <v>5863</v>
      </c>
      <c r="H367" s="234" t="s">
        <v>4170</v>
      </c>
    </row>
    <row r="368" spans="1:8" hidden="1" x14ac:dyDescent="0.2">
      <c r="A368" s="63"/>
      <c r="B368" s="232" t="s">
        <v>2397</v>
      </c>
      <c r="C368" s="233" t="s">
        <v>5864</v>
      </c>
      <c r="D368" s="233" t="s">
        <v>5865</v>
      </c>
      <c r="E368" s="233" t="s">
        <v>5864</v>
      </c>
      <c r="F368" s="233" t="s">
        <v>5866</v>
      </c>
      <c r="G368" s="233" t="s">
        <v>5867</v>
      </c>
      <c r="H368" s="234" t="s">
        <v>4170</v>
      </c>
    </row>
    <row r="369" spans="1:8" hidden="1" x14ac:dyDescent="0.2">
      <c r="A369" s="63"/>
      <c r="B369" s="232" t="s">
        <v>2397</v>
      </c>
      <c r="C369" s="233" t="s">
        <v>5868</v>
      </c>
      <c r="D369" s="233" t="s">
        <v>5869</v>
      </c>
      <c r="E369" s="233" t="s">
        <v>5868</v>
      </c>
      <c r="F369" s="233" t="s">
        <v>5870</v>
      </c>
      <c r="G369" s="233" t="s">
        <v>5871</v>
      </c>
      <c r="H369" s="234" t="s">
        <v>4170</v>
      </c>
    </row>
    <row r="370" spans="1:8" hidden="1" x14ac:dyDescent="0.2">
      <c r="A370" s="63"/>
      <c r="B370" s="232" t="s">
        <v>2397</v>
      </c>
      <c r="C370" s="233" t="s">
        <v>5872</v>
      </c>
      <c r="D370" s="233" t="s">
        <v>5873</v>
      </c>
      <c r="E370" s="233" t="s">
        <v>5874</v>
      </c>
      <c r="F370" s="233" t="s">
        <v>5875</v>
      </c>
      <c r="G370" s="233" t="s">
        <v>5876</v>
      </c>
      <c r="H370" s="234" t="s">
        <v>4170</v>
      </c>
    </row>
    <row r="371" spans="1:8" hidden="1" x14ac:dyDescent="0.2">
      <c r="A371" s="63"/>
      <c r="B371" s="232" t="s">
        <v>2397</v>
      </c>
      <c r="C371" s="233" t="s">
        <v>5877</v>
      </c>
      <c r="D371" s="233" t="s">
        <v>5878</v>
      </c>
      <c r="E371" s="233" t="s">
        <v>5879</v>
      </c>
      <c r="F371" s="233" t="s">
        <v>5880</v>
      </c>
      <c r="G371" s="233" t="s">
        <v>5881</v>
      </c>
      <c r="H371" s="234" t="s">
        <v>4170</v>
      </c>
    </row>
    <row r="372" spans="1:8" hidden="1" x14ac:dyDescent="0.2">
      <c r="A372" s="63"/>
      <c r="B372" s="232" t="s">
        <v>2397</v>
      </c>
      <c r="C372" s="233" t="s">
        <v>5882</v>
      </c>
      <c r="D372" s="233" t="s">
        <v>5883</v>
      </c>
      <c r="E372" s="233" t="s">
        <v>5884</v>
      </c>
      <c r="F372" s="233" t="s">
        <v>5885</v>
      </c>
      <c r="G372" s="233" t="s">
        <v>5886</v>
      </c>
      <c r="H372" s="234" t="s">
        <v>4170</v>
      </c>
    </row>
    <row r="373" spans="1:8" hidden="1" x14ac:dyDescent="0.2">
      <c r="A373" s="63"/>
      <c r="B373" s="232" t="s">
        <v>2397</v>
      </c>
      <c r="C373" s="233" t="s">
        <v>5887</v>
      </c>
      <c r="D373" s="233" t="s">
        <v>5888</v>
      </c>
      <c r="E373" s="233" t="s">
        <v>5889</v>
      </c>
      <c r="F373" s="233" t="s">
        <v>5890</v>
      </c>
      <c r="G373" s="233" t="s">
        <v>5891</v>
      </c>
      <c r="H373" s="234" t="s">
        <v>4170</v>
      </c>
    </row>
    <row r="374" spans="1:8" hidden="1" x14ac:dyDescent="0.2">
      <c r="A374" s="63"/>
      <c r="B374" s="232" t="s">
        <v>2397</v>
      </c>
      <c r="C374" s="233" t="s">
        <v>5892</v>
      </c>
      <c r="D374" s="233" t="s">
        <v>5893</v>
      </c>
      <c r="E374" s="233" t="s">
        <v>5894</v>
      </c>
      <c r="F374" s="233" t="s">
        <v>5895</v>
      </c>
      <c r="G374" s="233" t="s">
        <v>5896</v>
      </c>
      <c r="H374" s="234" t="s">
        <v>4170</v>
      </c>
    </row>
    <row r="375" spans="1:8" hidden="1" x14ac:dyDescent="0.2">
      <c r="A375" s="63"/>
      <c r="B375" s="232" t="s">
        <v>2397</v>
      </c>
      <c r="C375" s="233" t="s">
        <v>5897</v>
      </c>
      <c r="D375" s="233" t="s">
        <v>5898</v>
      </c>
      <c r="E375" s="233" t="s">
        <v>5899</v>
      </c>
      <c r="F375" s="233" t="s">
        <v>5900</v>
      </c>
      <c r="G375" s="233" t="s">
        <v>5901</v>
      </c>
      <c r="H375" s="234" t="s">
        <v>4170</v>
      </c>
    </row>
    <row r="376" spans="1:8" hidden="1" x14ac:dyDescent="0.2">
      <c r="A376" s="63"/>
      <c r="B376" s="232" t="s">
        <v>2397</v>
      </c>
      <c r="C376" s="233" t="s">
        <v>5902</v>
      </c>
      <c r="D376" s="233" t="s">
        <v>5903</v>
      </c>
      <c r="E376" s="233" t="s">
        <v>5904</v>
      </c>
      <c r="F376" s="233" t="s">
        <v>5905</v>
      </c>
      <c r="G376" s="233" t="s">
        <v>5906</v>
      </c>
      <c r="H376" s="234" t="s">
        <v>4170</v>
      </c>
    </row>
    <row r="377" spans="1:8" hidden="1" x14ac:dyDescent="0.2">
      <c r="A377" s="63"/>
      <c r="B377" s="232" t="s">
        <v>2397</v>
      </c>
      <c r="C377" s="233" t="s">
        <v>5907</v>
      </c>
      <c r="D377" s="233" t="s">
        <v>5907</v>
      </c>
      <c r="E377" s="233" t="s">
        <v>5907</v>
      </c>
      <c r="F377" s="233" t="s">
        <v>5908</v>
      </c>
      <c r="G377" s="233" t="s">
        <v>5909</v>
      </c>
      <c r="H377" s="234" t="s">
        <v>4170</v>
      </c>
    </row>
    <row r="378" spans="1:8" hidden="1" x14ac:dyDescent="0.2">
      <c r="A378" s="63"/>
      <c r="B378" s="232" t="s">
        <v>2397</v>
      </c>
      <c r="C378" s="233" t="s">
        <v>5910</v>
      </c>
      <c r="D378" s="233" t="s">
        <v>5911</v>
      </c>
      <c r="E378" s="233" t="s">
        <v>5912</v>
      </c>
      <c r="F378" s="233" t="s">
        <v>5913</v>
      </c>
      <c r="G378" s="233" t="s">
        <v>5914</v>
      </c>
      <c r="H378" s="234" t="s">
        <v>4170</v>
      </c>
    </row>
    <row r="379" spans="1:8" hidden="1" x14ac:dyDescent="0.2">
      <c r="A379" s="63"/>
      <c r="B379" s="232" t="s">
        <v>2397</v>
      </c>
      <c r="C379" s="233" t="s">
        <v>5915</v>
      </c>
      <c r="D379" s="233" t="s">
        <v>5916</v>
      </c>
      <c r="E379" s="233" t="s">
        <v>5915</v>
      </c>
      <c r="F379" s="233" t="s">
        <v>5917</v>
      </c>
      <c r="G379" s="233" t="s">
        <v>5918</v>
      </c>
      <c r="H379" s="234" t="s">
        <v>4170</v>
      </c>
    </row>
    <row r="380" spans="1:8" hidden="1" x14ac:dyDescent="0.2">
      <c r="A380" s="63"/>
      <c r="B380" s="232" t="s">
        <v>2397</v>
      </c>
      <c r="C380" s="233" t="s">
        <v>5919</v>
      </c>
      <c r="D380" s="233" t="s">
        <v>5920</v>
      </c>
      <c r="E380" s="233" t="s">
        <v>5919</v>
      </c>
      <c r="F380" s="233" t="s">
        <v>5921</v>
      </c>
      <c r="G380" s="233" t="s">
        <v>5922</v>
      </c>
      <c r="H380" s="234" t="s">
        <v>4170</v>
      </c>
    </row>
    <row r="381" spans="1:8" hidden="1" x14ac:dyDescent="0.2">
      <c r="A381" s="63"/>
      <c r="B381" s="232" t="s">
        <v>2397</v>
      </c>
      <c r="C381" s="233" t="s">
        <v>5923</v>
      </c>
      <c r="D381" s="233" t="s">
        <v>5924</v>
      </c>
      <c r="E381" s="233" t="s">
        <v>5925</v>
      </c>
      <c r="F381" s="233" t="s">
        <v>5926</v>
      </c>
      <c r="G381" s="233" t="s">
        <v>5926</v>
      </c>
      <c r="H381" s="234" t="s">
        <v>4170</v>
      </c>
    </row>
    <row r="382" spans="1:8" hidden="1" x14ac:dyDescent="0.2">
      <c r="A382" s="63"/>
      <c r="B382" s="232" t="s">
        <v>2397</v>
      </c>
      <c r="C382" s="233" t="s">
        <v>5927</v>
      </c>
      <c r="D382" s="233" t="s">
        <v>5928</v>
      </c>
      <c r="E382" s="233" t="s">
        <v>5929</v>
      </c>
      <c r="F382" s="233" t="s">
        <v>5930</v>
      </c>
      <c r="G382" s="233" t="s">
        <v>5931</v>
      </c>
      <c r="H382" s="234" t="s">
        <v>4170</v>
      </c>
    </row>
    <row r="383" spans="1:8" hidden="1" x14ac:dyDescent="0.2">
      <c r="A383" s="63"/>
      <c r="B383" s="232" t="s">
        <v>2397</v>
      </c>
      <c r="C383" s="233" t="s">
        <v>5932</v>
      </c>
      <c r="D383" s="233" t="s">
        <v>5933</v>
      </c>
      <c r="E383" s="233" t="s">
        <v>5934</v>
      </c>
      <c r="F383" s="233" t="s">
        <v>5935</v>
      </c>
      <c r="G383" s="233" t="s">
        <v>5936</v>
      </c>
      <c r="H383" s="234" t="s">
        <v>4170</v>
      </c>
    </row>
    <row r="384" spans="1:8" hidden="1" x14ac:dyDescent="0.2">
      <c r="A384" s="63"/>
      <c r="B384" s="232" t="s">
        <v>2397</v>
      </c>
      <c r="C384" s="233" t="s">
        <v>5937</v>
      </c>
      <c r="D384" s="233" t="s">
        <v>5938</v>
      </c>
      <c r="E384" s="233" t="s">
        <v>5939</v>
      </c>
      <c r="F384" s="233" t="s">
        <v>5940</v>
      </c>
      <c r="G384" s="233" t="s">
        <v>5941</v>
      </c>
      <c r="H384" s="234" t="s">
        <v>4170</v>
      </c>
    </row>
    <row r="385" spans="1:8" hidden="1" x14ac:dyDescent="0.2">
      <c r="A385" s="63"/>
      <c r="B385" s="232" t="s">
        <v>2397</v>
      </c>
      <c r="C385" s="233" t="s">
        <v>5942</v>
      </c>
      <c r="D385" s="233" t="s">
        <v>5943</v>
      </c>
      <c r="E385" s="233" t="s">
        <v>5944</v>
      </c>
      <c r="F385" s="233" t="s">
        <v>5945</v>
      </c>
      <c r="G385" s="233" t="s">
        <v>5946</v>
      </c>
      <c r="H385" s="234" t="s">
        <v>4170</v>
      </c>
    </row>
    <row r="386" spans="1:8" hidden="1" x14ac:dyDescent="0.2">
      <c r="A386" s="63"/>
      <c r="B386" s="232" t="s">
        <v>2397</v>
      </c>
      <c r="C386" s="233" t="s">
        <v>5947</v>
      </c>
      <c r="D386" s="233" t="s">
        <v>5948</v>
      </c>
      <c r="E386" s="233" t="s">
        <v>5949</v>
      </c>
      <c r="F386" s="233" t="s">
        <v>5950</v>
      </c>
      <c r="G386" s="233" t="s">
        <v>5951</v>
      </c>
      <c r="H386" s="234" t="s">
        <v>4170</v>
      </c>
    </row>
    <row r="387" spans="1:8" hidden="1" x14ac:dyDescent="0.2">
      <c r="A387" s="63"/>
      <c r="B387" s="232" t="s">
        <v>2397</v>
      </c>
      <c r="C387" s="233" t="s">
        <v>5952</v>
      </c>
      <c r="D387" s="233" t="s">
        <v>5953</v>
      </c>
      <c r="E387" s="233" t="s">
        <v>5954</v>
      </c>
      <c r="F387" s="233" t="s">
        <v>5955</v>
      </c>
      <c r="G387" s="233" t="s">
        <v>5956</v>
      </c>
      <c r="H387" s="234" t="s">
        <v>4170</v>
      </c>
    </row>
    <row r="388" spans="1:8" hidden="1" x14ac:dyDescent="0.2">
      <c r="A388" s="63"/>
      <c r="B388" s="232" t="s">
        <v>2397</v>
      </c>
      <c r="C388" s="233" t="s">
        <v>5957</v>
      </c>
      <c r="D388" s="233" t="s">
        <v>5958</v>
      </c>
      <c r="E388" s="233" t="s">
        <v>5959</v>
      </c>
      <c r="F388" s="233" t="s">
        <v>5960</v>
      </c>
      <c r="G388" s="233" t="s">
        <v>5961</v>
      </c>
      <c r="H388" s="234" t="s">
        <v>4170</v>
      </c>
    </row>
    <row r="389" spans="1:8" hidden="1" x14ac:dyDescent="0.2">
      <c r="A389" s="63"/>
      <c r="B389" s="232" t="s">
        <v>2397</v>
      </c>
      <c r="C389" s="233" t="s">
        <v>5962</v>
      </c>
      <c r="D389" s="233" t="s">
        <v>5963</v>
      </c>
      <c r="E389" s="233" t="s">
        <v>5964</v>
      </c>
      <c r="F389" s="233" t="s">
        <v>5965</v>
      </c>
      <c r="G389" s="233" t="s">
        <v>5966</v>
      </c>
      <c r="H389" s="234" t="s">
        <v>4170</v>
      </c>
    </row>
    <row r="390" spans="1:8" hidden="1" x14ac:dyDescent="0.2">
      <c r="A390" s="63"/>
      <c r="B390" s="232" t="s">
        <v>2397</v>
      </c>
      <c r="C390" s="233" t="s">
        <v>5967</v>
      </c>
      <c r="D390" s="233" t="s">
        <v>5968</v>
      </c>
      <c r="E390" s="233" t="s">
        <v>5969</v>
      </c>
      <c r="F390" s="233" t="s">
        <v>5970</v>
      </c>
      <c r="G390" s="233" t="s">
        <v>5971</v>
      </c>
      <c r="H390" s="234" t="s">
        <v>4170</v>
      </c>
    </row>
    <row r="391" spans="1:8" hidden="1" x14ac:dyDescent="0.2">
      <c r="A391" s="63"/>
      <c r="B391" s="232" t="s">
        <v>2397</v>
      </c>
      <c r="C391" s="233" t="s">
        <v>5972</v>
      </c>
      <c r="D391" s="233" t="s">
        <v>5973</v>
      </c>
      <c r="E391" s="233" t="s">
        <v>5974</v>
      </c>
      <c r="F391" s="233" t="s">
        <v>5975</v>
      </c>
      <c r="G391" s="233" t="s">
        <v>5976</v>
      </c>
      <c r="H391" s="234" t="s">
        <v>4170</v>
      </c>
    </row>
    <row r="392" spans="1:8" hidden="1" x14ac:dyDescent="0.2">
      <c r="A392" s="63"/>
      <c r="B392" s="232" t="s">
        <v>2397</v>
      </c>
      <c r="C392" s="233" t="s">
        <v>5977</v>
      </c>
      <c r="D392" s="233" t="s">
        <v>5978</v>
      </c>
      <c r="E392" s="233" t="s">
        <v>5979</v>
      </c>
      <c r="F392" s="233" t="s">
        <v>5980</v>
      </c>
      <c r="G392" s="233" t="s">
        <v>5981</v>
      </c>
      <c r="H392" s="234" t="s">
        <v>4170</v>
      </c>
    </row>
    <row r="393" spans="1:8" hidden="1" x14ac:dyDescent="0.2">
      <c r="A393" s="63"/>
      <c r="B393" s="232" t="s">
        <v>2397</v>
      </c>
      <c r="C393" s="233" t="s">
        <v>5982</v>
      </c>
      <c r="D393" s="233" t="s">
        <v>5983</v>
      </c>
      <c r="E393" s="233" t="s">
        <v>5984</v>
      </c>
      <c r="F393" s="233" t="s">
        <v>5985</v>
      </c>
      <c r="G393" s="233" t="s">
        <v>5986</v>
      </c>
      <c r="H393" s="234" t="s">
        <v>4170</v>
      </c>
    </row>
    <row r="394" spans="1:8" hidden="1" x14ac:dyDescent="0.2">
      <c r="A394" s="63"/>
      <c r="B394" s="232" t="s">
        <v>2397</v>
      </c>
      <c r="C394" s="233" t="s">
        <v>5987</v>
      </c>
      <c r="D394" s="233" t="s">
        <v>5988</v>
      </c>
      <c r="E394" s="233" t="s">
        <v>5989</v>
      </c>
      <c r="F394" s="233" t="s">
        <v>5990</v>
      </c>
      <c r="G394" s="233" t="s">
        <v>5991</v>
      </c>
      <c r="H394" s="234" t="s">
        <v>4170</v>
      </c>
    </row>
    <row r="395" spans="1:8" hidden="1" x14ac:dyDescent="0.2">
      <c r="A395" s="63"/>
      <c r="B395" s="232" t="s">
        <v>2397</v>
      </c>
      <c r="C395" s="233" t="s">
        <v>5992</v>
      </c>
      <c r="D395" s="233" t="s">
        <v>5993</v>
      </c>
      <c r="E395" s="233" t="s">
        <v>5994</v>
      </c>
      <c r="F395" s="233" t="s">
        <v>5995</v>
      </c>
      <c r="G395" s="233" t="s">
        <v>5996</v>
      </c>
      <c r="H395" s="234" t="s">
        <v>4170</v>
      </c>
    </row>
    <row r="396" spans="1:8" hidden="1" x14ac:dyDescent="0.2">
      <c r="A396" s="63"/>
      <c r="B396" s="232" t="s">
        <v>2397</v>
      </c>
      <c r="C396" s="233" t="s">
        <v>5997</v>
      </c>
      <c r="D396" s="233" t="s">
        <v>5998</v>
      </c>
      <c r="E396" s="233" t="s">
        <v>5999</v>
      </c>
      <c r="F396" s="233" t="s">
        <v>6000</v>
      </c>
      <c r="G396" s="233" t="s">
        <v>6001</v>
      </c>
      <c r="H396" s="234" t="s">
        <v>4170</v>
      </c>
    </row>
    <row r="397" spans="1:8" hidden="1" x14ac:dyDescent="0.2">
      <c r="A397" s="63"/>
      <c r="B397" s="232" t="s">
        <v>2397</v>
      </c>
      <c r="C397" s="233" t="s">
        <v>6002</v>
      </c>
      <c r="D397" s="233" t="s">
        <v>6003</v>
      </c>
      <c r="E397" s="233" t="s">
        <v>6004</v>
      </c>
      <c r="F397" s="233" t="s">
        <v>6005</v>
      </c>
      <c r="G397" s="233" t="s">
        <v>6006</v>
      </c>
      <c r="H397" s="234" t="s">
        <v>4170</v>
      </c>
    </row>
    <row r="398" spans="1:8" hidden="1" x14ac:dyDescent="0.2">
      <c r="A398" s="63"/>
      <c r="B398" s="232" t="s">
        <v>2397</v>
      </c>
      <c r="C398" s="233" t="s">
        <v>6007</v>
      </c>
      <c r="D398" s="233" t="s">
        <v>6008</v>
      </c>
      <c r="E398" s="233" t="s">
        <v>6009</v>
      </c>
      <c r="F398" s="233" t="s">
        <v>6010</v>
      </c>
      <c r="G398" s="233" t="s">
        <v>6011</v>
      </c>
      <c r="H398" s="234" t="s">
        <v>4170</v>
      </c>
    </row>
    <row r="399" spans="1:8" hidden="1" x14ac:dyDescent="0.2">
      <c r="A399" s="63"/>
      <c r="B399" s="232" t="s">
        <v>2397</v>
      </c>
      <c r="C399" s="233" t="s">
        <v>6012</v>
      </c>
      <c r="D399" s="233" t="s">
        <v>6013</v>
      </c>
      <c r="E399" s="233" t="s">
        <v>6014</v>
      </c>
      <c r="F399" s="233" t="s">
        <v>6015</v>
      </c>
      <c r="G399" s="233" t="s">
        <v>6016</v>
      </c>
      <c r="H399" s="234" t="s">
        <v>4170</v>
      </c>
    </row>
    <row r="400" spans="1:8" hidden="1" x14ac:dyDescent="0.2">
      <c r="A400" s="63"/>
      <c r="B400" s="232" t="s">
        <v>2397</v>
      </c>
      <c r="C400" s="233" t="s">
        <v>6017</v>
      </c>
      <c r="D400" s="233" t="s">
        <v>6018</v>
      </c>
      <c r="E400" s="233" t="s">
        <v>6019</v>
      </c>
      <c r="F400" s="233" t="s">
        <v>6020</v>
      </c>
      <c r="G400" s="233" t="s">
        <v>6021</v>
      </c>
      <c r="H400" s="234" t="s">
        <v>4170</v>
      </c>
    </row>
    <row r="401" spans="1:8" hidden="1" x14ac:dyDescent="0.2">
      <c r="A401" s="63"/>
      <c r="B401" s="232" t="s">
        <v>2397</v>
      </c>
      <c r="C401" s="233" t="s">
        <v>6022</v>
      </c>
      <c r="D401" s="233" t="s">
        <v>6023</v>
      </c>
      <c r="E401" s="233" t="s">
        <v>6024</v>
      </c>
      <c r="F401" s="233" t="s">
        <v>6025</v>
      </c>
      <c r="G401" s="233" t="s">
        <v>6026</v>
      </c>
      <c r="H401" s="234" t="s">
        <v>4170</v>
      </c>
    </row>
    <row r="402" spans="1:8" hidden="1" x14ac:dyDescent="0.2">
      <c r="A402" s="63"/>
      <c r="B402" s="232" t="s">
        <v>2397</v>
      </c>
      <c r="C402" s="233" t="s">
        <v>6027</v>
      </c>
      <c r="D402" s="233" t="s">
        <v>6028</v>
      </c>
      <c r="E402" s="233" t="s">
        <v>6029</v>
      </c>
      <c r="F402" s="233" t="s">
        <v>6030</v>
      </c>
      <c r="G402" s="233" t="s">
        <v>6031</v>
      </c>
      <c r="H402" s="234" t="s">
        <v>4170</v>
      </c>
    </row>
    <row r="403" spans="1:8" hidden="1" x14ac:dyDescent="0.2">
      <c r="A403" s="63"/>
      <c r="B403" s="232" t="s">
        <v>2397</v>
      </c>
      <c r="C403" s="233" t="s">
        <v>6032</v>
      </c>
      <c r="D403" s="233" t="s">
        <v>6033</v>
      </c>
      <c r="E403" s="233" t="s">
        <v>6034</v>
      </c>
      <c r="F403" s="233" t="s">
        <v>6035</v>
      </c>
      <c r="G403" s="233" t="s">
        <v>6036</v>
      </c>
      <c r="H403" s="234" t="s">
        <v>4170</v>
      </c>
    </row>
    <row r="404" spans="1:8" hidden="1" x14ac:dyDescent="0.2">
      <c r="A404" s="63"/>
      <c r="B404" s="232" t="s">
        <v>2397</v>
      </c>
      <c r="C404" s="233" t="s">
        <v>6037</v>
      </c>
      <c r="D404" s="233" t="s">
        <v>6038</v>
      </c>
      <c r="E404" s="233" t="s">
        <v>6039</v>
      </c>
      <c r="F404" s="233" t="s">
        <v>6040</v>
      </c>
      <c r="G404" s="233" t="s">
        <v>6041</v>
      </c>
      <c r="H404" s="234" t="s">
        <v>4170</v>
      </c>
    </row>
    <row r="405" spans="1:8" hidden="1" x14ac:dyDescent="0.2">
      <c r="A405" s="63"/>
      <c r="B405" s="232" t="s">
        <v>2397</v>
      </c>
      <c r="C405" s="233" t="s">
        <v>6042</v>
      </c>
      <c r="D405" s="233" t="s">
        <v>6043</v>
      </c>
      <c r="E405" s="233" t="s">
        <v>6044</v>
      </c>
      <c r="F405" s="233" t="s">
        <v>6045</v>
      </c>
      <c r="G405" s="233" t="s">
        <v>6046</v>
      </c>
      <c r="H405" s="234" t="s">
        <v>4170</v>
      </c>
    </row>
    <row r="406" spans="1:8" hidden="1" x14ac:dyDescent="0.2">
      <c r="A406" s="63"/>
      <c r="B406" s="232" t="s">
        <v>2397</v>
      </c>
      <c r="C406" s="233" t="s">
        <v>6047</v>
      </c>
      <c r="D406" s="233" t="s">
        <v>6048</v>
      </c>
      <c r="E406" s="233" t="s">
        <v>6049</v>
      </c>
      <c r="F406" s="233" t="s">
        <v>6050</v>
      </c>
      <c r="G406" s="233" t="s">
        <v>6051</v>
      </c>
      <c r="H406" s="234" t="s">
        <v>4170</v>
      </c>
    </row>
    <row r="407" spans="1:8" hidden="1" x14ac:dyDescent="0.2">
      <c r="A407" s="63"/>
      <c r="B407" s="232" t="s">
        <v>2397</v>
      </c>
      <c r="C407" s="233" t="s">
        <v>6052</v>
      </c>
      <c r="D407" s="233" t="s">
        <v>6053</v>
      </c>
      <c r="E407" s="233" t="s">
        <v>6054</v>
      </c>
      <c r="F407" s="233" t="s">
        <v>6055</v>
      </c>
      <c r="G407" s="233" t="s">
        <v>6056</v>
      </c>
      <c r="H407" s="234" t="s">
        <v>4170</v>
      </c>
    </row>
    <row r="408" spans="1:8" hidden="1" x14ac:dyDescent="0.2">
      <c r="A408" s="63"/>
      <c r="B408" s="232" t="s">
        <v>2397</v>
      </c>
      <c r="C408" s="233" t="s">
        <v>6057</v>
      </c>
      <c r="D408" s="233" t="s">
        <v>6058</v>
      </c>
      <c r="E408" s="233" t="s">
        <v>6059</v>
      </c>
      <c r="F408" s="233" t="s">
        <v>6060</v>
      </c>
      <c r="G408" s="233" t="s">
        <v>6061</v>
      </c>
      <c r="H408" s="234" t="s">
        <v>4170</v>
      </c>
    </row>
    <row r="409" spans="1:8" hidden="1" x14ac:dyDescent="0.2">
      <c r="A409" s="63"/>
      <c r="B409" s="232" t="s">
        <v>2397</v>
      </c>
      <c r="C409" s="233" t="s">
        <v>6062</v>
      </c>
      <c r="D409" s="233" t="s">
        <v>6063</v>
      </c>
      <c r="E409" s="233" t="s">
        <v>6064</v>
      </c>
      <c r="F409" s="233" t="s">
        <v>6065</v>
      </c>
      <c r="G409" s="233" t="s">
        <v>6066</v>
      </c>
      <c r="H409" s="234" t="s">
        <v>4170</v>
      </c>
    </row>
    <row r="410" spans="1:8" hidden="1" x14ac:dyDescent="0.2">
      <c r="A410" s="63"/>
      <c r="B410" s="232" t="s">
        <v>2397</v>
      </c>
      <c r="C410" s="233" t="s">
        <v>6067</v>
      </c>
      <c r="D410" s="233" t="s">
        <v>6068</v>
      </c>
      <c r="E410" s="233" t="s">
        <v>6069</v>
      </c>
      <c r="F410" s="233" t="s">
        <v>6070</v>
      </c>
      <c r="G410" s="233" t="s">
        <v>6071</v>
      </c>
      <c r="H410" s="234" t="s">
        <v>4170</v>
      </c>
    </row>
    <row r="411" spans="1:8" hidden="1" x14ac:dyDescent="0.2">
      <c r="A411" s="63"/>
      <c r="B411" s="232" t="s">
        <v>2397</v>
      </c>
      <c r="C411" s="233" t="s">
        <v>6072</v>
      </c>
      <c r="D411" s="233" t="s">
        <v>6073</v>
      </c>
      <c r="E411" s="233" t="s">
        <v>6074</v>
      </c>
      <c r="F411" s="233" t="s">
        <v>6075</v>
      </c>
      <c r="G411" s="233" t="s">
        <v>6076</v>
      </c>
      <c r="H411" s="234" t="s">
        <v>4170</v>
      </c>
    </row>
    <row r="412" spans="1:8" hidden="1" x14ac:dyDescent="0.2">
      <c r="A412" s="63"/>
      <c r="B412" s="232" t="s">
        <v>2397</v>
      </c>
      <c r="C412" s="233" t="s">
        <v>6077</v>
      </c>
      <c r="D412" s="233" t="s">
        <v>6078</v>
      </c>
      <c r="E412" s="233" t="s">
        <v>6079</v>
      </c>
      <c r="F412" s="233" t="s">
        <v>6080</v>
      </c>
      <c r="G412" s="233" t="s">
        <v>6081</v>
      </c>
      <c r="H412" s="234" t="s">
        <v>4170</v>
      </c>
    </row>
    <row r="413" spans="1:8" hidden="1" x14ac:dyDescent="0.2">
      <c r="A413" s="63"/>
      <c r="B413" s="232" t="s">
        <v>2397</v>
      </c>
      <c r="C413" s="233" t="s">
        <v>6082</v>
      </c>
      <c r="D413" s="233" t="s">
        <v>6083</v>
      </c>
      <c r="E413" s="233" t="s">
        <v>6084</v>
      </c>
      <c r="F413" s="233" t="s">
        <v>6085</v>
      </c>
      <c r="G413" s="233" t="s">
        <v>6086</v>
      </c>
      <c r="H413" s="234" t="s">
        <v>4170</v>
      </c>
    </row>
    <row r="414" spans="1:8" hidden="1" x14ac:dyDescent="0.2">
      <c r="A414" s="63"/>
      <c r="B414" s="232" t="s">
        <v>2397</v>
      </c>
      <c r="C414" s="233" t="s">
        <v>6087</v>
      </c>
      <c r="D414" s="233" t="s">
        <v>6088</v>
      </c>
      <c r="E414" s="233" t="s">
        <v>6089</v>
      </c>
      <c r="F414" s="233" t="s">
        <v>6090</v>
      </c>
      <c r="G414" s="233" t="s">
        <v>6091</v>
      </c>
      <c r="H414" s="234" t="s">
        <v>4170</v>
      </c>
    </row>
    <row r="415" spans="1:8" hidden="1" x14ac:dyDescent="0.2">
      <c r="A415" s="63"/>
      <c r="B415" s="232" t="s">
        <v>2397</v>
      </c>
      <c r="C415" s="233" t="s">
        <v>6092</v>
      </c>
      <c r="D415" s="233" t="s">
        <v>6093</v>
      </c>
      <c r="E415" s="233" t="s">
        <v>6094</v>
      </c>
      <c r="F415" s="233" t="s">
        <v>6095</v>
      </c>
      <c r="G415" s="233" t="s">
        <v>6096</v>
      </c>
      <c r="H415" s="234" t="s">
        <v>4170</v>
      </c>
    </row>
    <row r="416" spans="1:8" hidden="1" x14ac:dyDescent="0.2">
      <c r="A416" s="63"/>
      <c r="B416" s="232" t="s">
        <v>2397</v>
      </c>
      <c r="C416" s="233" t="s">
        <v>6097</v>
      </c>
      <c r="D416" s="233" t="s">
        <v>6098</v>
      </c>
      <c r="E416" s="233" t="s">
        <v>6099</v>
      </c>
      <c r="F416" s="233" t="s">
        <v>6100</v>
      </c>
      <c r="G416" s="233" t="s">
        <v>6101</v>
      </c>
      <c r="H416" s="234" t="s">
        <v>4170</v>
      </c>
    </row>
    <row r="417" spans="1:8" hidden="1" x14ac:dyDescent="0.2">
      <c r="A417" s="63"/>
      <c r="B417" s="232" t="s">
        <v>2397</v>
      </c>
      <c r="C417" s="233" t="s">
        <v>6102</v>
      </c>
      <c r="D417" s="233" t="s">
        <v>6103</v>
      </c>
      <c r="E417" s="233" t="s">
        <v>6104</v>
      </c>
      <c r="F417" s="233" t="s">
        <v>6105</v>
      </c>
      <c r="G417" s="233" t="s">
        <v>6106</v>
      </c>
      <c r="H417" s="234" t="s">
        <v>4170</v>
      </c>
    </row>
    <row r="418" spans="1:8" hidden="1" x14ac:dyDescent="0.2">
      <c r="A418" s="63"/>
      <c r="B418" s="232" t="s">
        <v>2397</v>
      </c>
      <c r="C418" s="233" t="s">
        <v>6107</v>
      </c>
      <c r="D418" s="233" t="s">
        <v>6108</v>
      </c>
      <c r="E418" s="233" t="s">
        <v>6109</v>
      </c>
      <c r="F418" s="233" t="s">
        <v>6110</v>
      </c>
      <c r="G418" s="233" t="s">
        <v>6111</v>
      </c>
      <c r="H418" s="234" t="s">
        <v>4170</v>
      </c>
    </row>
    <row r="419" spans="1:8" hidden="1" x14ac:dyDescent="0.2">
      <c r="A419" s="63"/>
      <c r="B419" s="232" t="s">
        <v>2397</v>
      </c>
      <c r="C419" s="233" t="s">
        <v>6112</v>
      </c>
      <c r="D419" s="233" t="s">
        <v>6113</v>
      </c>
      <c r="E419" s="233" t="s">
        <v>6114</v>
      </c>
      <c r="F419" s="233" t="s">
        <v>6115</v>
      </c>
      <c r="G419" s="233" t="s">
        <v>2871</v>
      </c>
      <c r="H419" s="234" t="s">
        <v>4170</v>
      </c>
    </row>
    <row r="420" spans="1:8" hidden="1" x14ac:dyDescent="0.2">
      <c r="A420" s="63"/>
      <c r="B420" s="232" t="s">
        <v>2397</v>
      </c>
      <c r="C420" s="233" t="s">
        <v>6116</v>
      </c>
      <c r="D420" s="233" t="s">
        <v>6117</v>
      </c>
      <c r="E420" s="233" t="s">
        <v>6118</v>
      </c>
      <c r="F420" s="233" t="s">
        <v>6119</v>
      </c>
      <c r="G420" s="233" t="s">
        <v>6120</v>
      </c>
      <c r="H420" s="234" t="s">
        <v>4170</v>
      </c>
    </row>
    <row r="421" spans="1:8" hidden="1" x14ac:dyDescent="0.2">
      <c r="A421" s="63"/>
      <c r="B421" s="232" t="s">
        <v>2397</v>
      </c>
      <c r="C421" s="233" t="s">
        <v>6121</v>
      </c>
      <c r="D421" s="233" t="s">
        <v>6122</v>
      </c>
      <c r="E421" s="233" t="s">
        <v>6123</v>
      </c>
      <c r="F421" s="233" t="s">
        <v>6124</v>
      </c>
      <c r="G421" s="233" t="s">
        <v>6125</v>
      </c>
      <c r="H421" s="234" t="s">
        <v>4170</v>
      </c>
    </row>
    <row r="422" spans="1:8" hidden="1" x14ac:dyDescent="0.2">
      <c r="A422" s="63"/>
      <c r="B422" s="232" t="s">
        <v>2397</v>
      </c>
      <c r="C422" s="233" t="s">
        <v>6126</v>
      </c>
      <c r="D422" s="233" t="s">
        <v>6127</v>
      </c>
      <c r="E422" s="233" t="s">
        <v>6128</v>
      </c>
      <c r="F422" s="233" t="s">
        <v>6129</v>
      </c>
      <c r="G422" s="233" t="s">
        <v>6130</v>
      </c>
      <c r="H422" s="234" t="s">
        <v>4170</v>
      </c>
    </row>
    <row r="423" spans="1:8" hidden="1" x14ac:dyDescent="0.2">
      <c r="A423" s="63"/>
      <c r="B423" s="232" t="s">
        <v>2397</v>
      </c>
      <c r="C423" s="233" t="s">
        <v>6131</v>
      </c>
      <c r="D423" s="233" t="s">
        <v>6132</v>
      </c>
      <c r="E423" s="233" t="s">
        <v>6133</v>
      </c>
      <c r="F423" s="233" t="s">
        <v>6134</v>
      </c>
      <c r="G423" s="233" t="s">
        <v>6135</v>
      </c>
      <c r="H423" s="234" t="s">
        <v>4170</v>
      </c>
    </row>
    <row r="424" spans="1:8" hidden="1" x14ac:dyDescent="0.2">
      <c r="A424" s="63"/>
      <c r="B424" s="232" t="s">
        <v>2397</v>
      </c>
      <c r="C424" s="233" t="s">
        <v>6136</v>
      </c>
      <c r="D424" s="233" t="s">
        <v>6137</v>
      </c>
      <c r="E424" s="233" t="s">
        <v>6138</v>
      </c>
      <c r="F424" s="233" t="s">
        <v>6139</v>
      </c>
      <c r="G424" s="233" t="s">
        <v>6140</v>
      </c>
      <c r="H424" s="234" t="s">
        <v>4170</v>
      </c>
    </row>
    <row r="425" spans="1:8" hidden="1" x14ac:dyDescent="0.2">
      <c r="A425" s="63"/>
      <c r="B425" s="232" t="s">
        <v>2397</v>
      </c>
      <c r="C425" s="233" t="s">
        <v>6141</v>
      </c>
      <c r="D425" s="233" t="s">
        <v>6142</v>
      </c>
      <c r="E425" s="233" t="s">
        <v>6143</v>
      </c>
      <c r="F425" s="233" t="s">
        <v>6144</v>
      </c>
      <c r="G425" s="233" t="s">
        <v>6145</v>
      </c>
      <c r="H425" s="234" t="s">
        <v>4170</v>
      </c>
    </row>
    <row r="426" spans="1:8" hidden="1" x14ac:dyDescent="0.2">
      <c r="A426" s="63"/>
      <c r="B426" s="232" t="s">
        <v>2397</v>
      </c>
      <c r="C426" s="233" t="s">
        <v>6146</v>
      </c>
      <c r="D426" s="233" t="s">
        <v>6147</v>
      </c>
      <c r="E426" s="233" t="s">
        <v>6148</v>
      </c>
      <c r="F426" s="233" t="s">
        <v>6149</v>
      </c>
      <c r="G426" s="233" t="s">
        <v>6150</v>
      </c>
      <c r="H426" s="234" t="s">
        <v>4170</v>
      </c>
    </row>
    <row r="427" spans="1:8" hidden="1" x14ac:dyDescent="0.2">
      <c r="A427" s="63"/>
      <c r="B427" s="232" t="s">
        <v>2397</v>
      </c>
      <c r="C427" s="233" t="s">
        <v>6151</v>
      </c>
      <c r="D427" s="233" t="s">
        <v>6152</v>
      </c>
      <c r="E427" s="233" t="s">
        <v>6153</v>
      </c>
      <c r="F427" s="233" t="s">
        <v>6151</v>
      </c>
      <c r="G427" s="233" t="s">
        <v>6154</v>
      </c>
      <c r="H427" s="234" t="s">
        <v>4170</v>
      </c>
    </row>
    <row r="428" spans="1:8" hidden="1" x14ac:dyDescent="0.2">
      <c r="A428" s="63"/>
      <c r="B428" s="232" t="s">
        <v>2397</v>
      </c>
      <c r="C428" s="233" t="s">
        <v>6155</v>
      </c>
      <c r="D428" s="233" t="s">
        <v>6156</v>
      </c>
      <c r="E428" s="233" t="s">
        <v>6157</v>
      </c>
      <c r="F428" s="233" t="s">
        <v>6158</v>
      </c>
      <c r="G428" s="233" t="s">
        <v>6159</v>
      </c>
      <c r="H428" s="234" t="s">
        <v>4170</v>
      </c>
    </row>
    <row r="429" spans="1:8" hidden="1" x14ac:dyDescent="0.2">
      <c r="A429" s="63"/>
      <c r="B429" s="232" t="s">
        <v>2397</v>
      </c>
      <c r="C429" s="233" t="s">
        <v>6160</v>
      </c>
      <c r="D429" s="233" t="s">
        <v>6161</v>
      </c>
      <c r="E429" s="233" t="s">
        <v>6162</v>
      </c>
      <c r="F429" s="233" t="s">
        <v>6163</v>
      </c>
      <c r="G429" s="233" t="s">
        <v>6164</v>
      </c>
      <c r="H429" s="234" t="s">
        <v>4170</v>
      </c>
    </row>
    <row r="430" spans="1:8" hidden="1" x14ac:dyDescent="0.2">
      <c r="A430" s="63"/>
      <c r="B430" s="232" t="s">
        <v>2397</v>
      </c>
      <c r="C430" s="233" t="s">
        <v>6165</v>
      </c>
      <c r="D430" s="233" t="s">
        <v>6166</v>
      </c>
      <c r="E430" s="233" t="s">
        <v>6167</v>
      </c>
      <c r="F430" s="233" t="s">
        <v>6168</v>
      </c>
      <c r="G430" s="233" t="s">
        <v>6169</v>
      </c>
      <c r="H430" s="234" t="s">
        <v>4170</v>
      </c>
    </row>
    <row r="431" spans="1:8" hidden="1" x14ac:dyDescent="0.2">
      <c r="A431" s="63"/>
      <c r="B431" s="232" t="s">
        <v>2397</v>
      </c>
      <c r="C431" s="233" t="s">
        <v>6170</v>
      </c>
      <c r="D431" s="233" t="s">
        <v>6171</v>
      </c>
      <c r="E431" s="233" t="s">
        <v>6172</v>
      </c>
      <c r="F431" s="233" t="s">
        <v>6173</v>
      </c>
      <c r="G431" s="233" t="s">
        <v>6170</v>
      </c>
      <c r="H431" s="234" t="s">
        <v>4170</v>
      </c>
    </row>
    <row r="432" spans="1:8" hidden="1" x14ac:dyDescent="0.2">
      <c r="A432" s="63"/>
      <c r="B432" s="232" t="s">
        <v>2397</v>
      </c>
      <c r="C432" s="233" t="s">
        <v>6174</v>
      </c>
      <c r="D432" s="233" t="s">
        <v>6175</v>
      </c>
      <c r="E432" s="233" t="s">
        <v>6176</v>
      </c>
      <c r="F432" s="233" t="s">
        <v>6177</v>
      </c>
      <c r="G432" s="233" t="s">
        <v>6178</v>
      </c>
      <c r="H432" s="234" t="s">
        <v>4170</v>
      </c>
    </row>
    <row r="433" spans="1:8" hidden="1" x14ac:dyDescent="0.2">
      <c r="A433" s="63"/>
      <c r="B433" s="232" t="s">
        <v>2397</v>
      </c>
      <c r="C433" s="233" t="s">
        <v>6179</v>
      </c>
      <c r="D433" s="233" t="s">
        <v>6180</v>
      </c>
      <c r="E433" s="233" t="s">
        <v>6181</v>
      </c>
      <c r="F433" s="233" t="s">
        <v>6182</v>
      </c>
      <c r="G433" s="233" t="s">
        <v>6183</v>
      </c>
      <c r="H433" s="234" t="s">
        <v>4170</v>
      </c>
    </row>
    <row r="434" spans="1:8" hidden="1" x14ac:dyDescent="0.2">
      <c r="A434" s="63"/>
      <c r="B434" s="232" t="s">
        <v>2397</v>
      </c>
      <c r="C434" s="233" t="s">
        <v>6184</v>
      </c>
      <c r="D434" s="233" t="s">
        <v>6185</v>
      </c>
      <c r="E434" s="233" t="s">
        <v>6186</v>
      </c>
      <c r="F434" s="233" t="s">
        <v>6187</v>
      </c>
      <c r="G434" s="233" t="s">
        <v>6184</v>
      </c>
      <c r="H434" s="234" t="s">
        <v>4170</v>
      </c>
    </row>
    <row r="435" spans="1:8" hidden="1" x14ac:dyDescent="0.2">
      <c r="A435" s="63"/>
      <c r="B435" s="232" t="s">
        <v>2397</v>
      </c>
      <c r="C435" s="233" t="s">
        <v>6188</v>
      </c>
      <c r="D435" s="233" t="s">
        <v>6189</v>
      </c>
      <c r="E435" s="233" t="s">
        <v>6190</v>
      </c>
      <c r="F435" s="233" t="s">
        <v>6191</v>
      </c>
      <c r="G435" s="233" t="s">
        <v>6188</v>
      </c>
      <c r="H435" s="234" t="s">
        <v>4170</v>
      </c>
    </row>
    <row r="436" spans="1:8" hidden="1" x14ac:dyDescent="0.2">
      <c r="A436" s="63"/>
      <c r="B436" s="232" t="s">
        <v>2397</v>
      </c>
      <c r="C436" s="233" t="s">
        <v>6192</v>
      </c>
      <c r="D436" s="233" t="s">
        <v>6193</v>
      </c>
      <c r="E436" s="233" t="s">
        <v>6194</v>
      </c>
      <c r="F436" s="233" t="s">
        <v>6195</v>
      </c>
      <c r="G436" s="233" t="s">
        <v>6196</v>
      </c>
      <c r="H436" s="234" t="s">
        <v>4170</v>
      </c>
    </row>
    <row r="437" spans="1:8" hidden="1" x14ac:dyDescent="0.2">
      <c r="A437" s="63"/>
      <c r="B437" s="232" t="s">
        <v>2397</v>
      </c>
      <c r="C437" s="233" t="s">
        <v>6197</v>
      </c>
      <c r="D437" s="233" t="s">
        <v>6198</v>
      </c>
      <c r="E437" s="233" t="s">
        <v>6199</v>
      </c>
      <c r="F437" s="233" t="s">
        <v>6200</v>
      </c>
      <c r="G437" s="233" t="s">
        <v>6201</v>
      </c>
      <c r="H437" s="234" t="s">
        <v>4170</v>
      </c>
    </row>
    <row r="438" spans="1:8" hidden="1" x14ac:dyDescent="0.2">
      <c r="A438" s="63"/>
      <c r="B438" s="232" t="s">
        <v>2397</v>
      </c>
      <c r="C438" s="233" t="s">
        <v>6202</v>
      </c>
      <c r="D438" s="233" t="s">
        <v>6203</v>
      </c>
      <c r="E438" s="233" t="s">
        <v>6204</v>
      </c>
      <c r="F438" s="233" t="s">
        <v>6205</v>
      </c>
      <c r="G438" s="233" t="s">
        <v>6206</v>
      </c>
      <c r="H438" s="234" t="s">
        <v>4170</v>
      </c>
    </row>
    <row r="439" spans="1:8" hidden="1" x14ac:dyDescent="0.2">
      <c r="A439" s="63"/>
      <c r="B439" s="232" t="s">
        <v>2397</v>
      </c>
      <c r="C439" s="233" t="s">
        <v>6207</v>
      </c>
      <c r="D439" s="233" t="s">
        <v>6208</v>
      </c>
      <c r="E439" s="233" t="s">
        <v>6209</v>
      </c>
      <c r="F439" s="233" t="s">
        <v>6210</v>
      </c>
      <c r="G439" s="233" t="s">
        <v>6211</v>
      </c>
      <c r="H439" s="234" t="s">
        <v>4170</v>
      </c>
    </row>
    <row r="440" spans="1:8" hidden="1" x14ac:dyDescent="0.2">
      <c r="A440" s="63"/>
      <c r="B440" s="232" t="s">
        <v>2397</v>
      </c>
      <c r="C440" s="233" t="s">
        <v>6212</v>
      </c>
      <c r="D440" s="233" t="s">
        <v>6213</v>
      </c>
      <c r="E440" s="233" t="s">
        <v>6214</v>
      </c>
      <c r="F440" s="233" t="s">
        <v>6215</v>
      </c>
      <c r="G440" s="233" t="s">
        <v>6216</v>
      </c>
      <c r="H440" s="234" t="s">
        <v>4170</v>
      </c>
    </row>
    <row r="441" spans="1:8" hidden="1" x14ac:dyDescent="0.2">
      <c r="A441" s="63"/>
      <c r="B441" s="232" t="s">
        <v>2397</v>
      </c>
      <c r="C441" s="233" t="s">
        <v>6217</v>
      </c>
      <c r="D441" s="233" t="s">
        <v>6218</v>
      </c>
      <c r="E441" s="233" t="s">
        <v>6219</v>
      </c>
      <c r="F441" s="233" t="s">
        <v>6220</v>
      </c>
      <c r="G441" s="233" t="s">
        <v>6221</v>
      </c>
      <c r="H441" s="234" t="s">
        <v>4170</v>
      </c>
    </row>
    <row r="442" spans="1:8" hidden="1" x14ac:dyDescent="0.2">
      <c r="A442" s="63"/>
      <c r="B442" s="232" t="s">
        <v>2397</v>
      </c>
      <c r="C442" s="233" t="s">
        <v>6222</v>
      </c>
      <c r="D442" s="233" t="s">
        <v>6223</v>
      </c>
      <c r="E442" s="233" t="s">
        <v>6224</v>
      </c>
      <c r="F442" s="233" t="s">
        <v>6225</v>
      </c>
      <c r="G442" s="233" t="s">
        <v>6226</v>
      </c>
      <c r="H442" s="234" t="s">
        <v>4170</v>
      </c>
    </row>
    <row r="443" spans="1:8" hidden="1" x14ac:dyDescent="0.2">
      <c r="A443" s="63"/>
      <c r="B443" s="232" t="s">
        <v>2397</v>
      </c>
      <c r="C443" s="233" t="s">
        <v>6227</v>
      </c>
      <c r="D443" s="233" t="s">
        <v>6228</v>
      </c>
      <c r="E443" s="233" t="s">
        <v>6229</v>
      </c>
      <c r="F443" s="233" t="s">
        <v>6230</v>
      </c>
      <c r="G443" s="233" t="s">
        <v>6231</v>
      </c>
      <c r="H443" s="234" t="s">
        <v>4170</v>
      </c>
    </row>
    <row r="444" spans="1:8" hidden="1" x14ac:dyDescent="0.2">
      <c r="A444" s="63"/>
      <c r="B444" s="232" t="s">
        <v>2397</v>
      </c>
      <c r="C444" s="233" t="s">
        <v>6232</v>
      </c>
      <c r="D444" s="233" t="s">
        <v>6233</v>
      </c>
      <c r="E444" s="233" t="s">
        <v>6234</v>
      </c>
      <c r="F444" s="233" t="s">
        <v>6235</v>
      </c>
      <c r="G444" s="233" t="s">
        <v>6236</v>
      </c>
      <c r="H444" s="234" t="s">
        <v>4170</v>
      </c>
    </row>
    <row r="445" spans="1:8" hidden="1" x14ac:dyDescent="0.2">
      <c r="A445" s="63"/>
      <c r="B445" s="232" t="s">
        <v>2397</v>
      </c>
      <c r="C445" s="233" t="s">
        <v>6237</v>
      </c>
      <c r="D445" s="233" t="s">
        <v>6238</v>
      </c>
      <c r="E445" s="233" t="s">
        <v>6239</v>
      </c>
      <c r="F445" s="233" t="s">
        <v>6240</v>
      </c>
      <c r="G445" s="233" t="s">
        <v>6241</v>
      </c>
      <c r="H445" s="234" t="s">
        <v>4170</v>
      </c>
    </row>
    <row r="446" spans="1:8" hidden="1" x14ac:dyDescent="0.2">
      <c r="A446" s="63"/>
      <c r="B446" s="232" t="s">
        <v>2397</v>
      </c>
      <c r="C446" s="233" t="s">
        <v>6242</v>
      </c>
      <c r="D446" s="233" t="s">
        <v>6243</v>
      </c>
      <c r="E446" s="233" t="s">
        <v>6244</v>
      </c>
      <c r="F446" s="233" t="s">
        <v>6245</v>
      </c>
      <c r="G446" s="233" t="s">
        <v>6246</v>
      </c>
      <c r="H446" s="234" t="s">
        <v>4170</v>
      </c>
    </row>
    <row r="447" spans="1:8" hidden="1" x14ac:dyDescent="0.2">
      <c r="A447" s="63"/>
      <c r="B447" s="232" t="s">
        <v>2397</v>
      </c>
      <c r="C447" s="233" t="s">
        <v>6247</v>
      </c>
      <c r="D447" s="233" t="s">
        <v>6248</v>
      </c>
      <c r="E447" s="233" t="s">
        <v>6249</v>
      </c>
      <c r="F447" s="233" t="s">
        <v>6250</v>
      </c>
      <c r="G447" s="233" t="s">
        <v>6251</v>
      </c>
      <c r="H447" s="234" t="s">
        <v>4170</v>
      </c>
    </row>
    <row r="448" spans="1:8" hidden="1" x14ac:dyDescent="0.2">
      <c r="A448" s="63"/>
      <c r="B448" s="232" t="s">
        <v>2397</v>
      </c>
      <c r="C448" s="233" t="s">
        <v>6252</v>
      </c>
      <c r="D448" s="233" t="s">
        <v>6253</v>
      </c>
      <c r="E448" s="233" t="s">
        <v>6254</v>
      </c>
      <c r="F448" s="233" t="s">
        <v>6255</v>
      </c>
      <c r="G448" s="233" t="s">
        <v>6256</v>
      </c>
      <c r="H448" s="234" t="s">
        <v>4170</v>
      </c>
    </row>
    <row r="449" spans="1:8" hidden="1" x14ac:dyDescent="0.2">
      <c r="A449" s="63"/>
      <c r="B449" s="232" t="s">
        <v>2397</v>
      </c>
      <c r="C449" s="233" t="s">
        <v>6257</v>
      </c>
      <c r="D449" s="233" t="s">
        <v>6258</v>
      </c>
      <c r="E449" s="233" t="s">
        <v>6259</v>
      </c>
      <c r="F449" s="233" t="s">
        <v>6260</v>
      </c>
      <c r="G449" s="233" t="s">
        <v>6261</v>
      </c>
      <c r="H449" s="234" t="s">
        <v>4170</v>
      </c>
    </row>
    <row r="450" spans="1:8" hidden="1" x14ac:dyDescent="0.2">
      <c r="A450" s="63"/>
      <c r="B450" s="232" t="s">
        <v>2397</v>
      </c>
      <c r="C450" s="233" t="s">
        <v>6262</v>
      </c>
      <c r="D450" s="233" t="s">
        <v>6263</v>
      </c>
      <c r="E450" s="233" t="s">
        <v>6264</v>
      </c>
      <c r="F450" s="233" t="s">
        <v>6265</v>
      </c>
      <c r="G450" s="233" t="s">
        <v>6266</v>
      </c>
      <c r="H450" s="234" t="s">
        <v>4170</v>
      </c>
    </row>
    <row r="451" spans="1:8" hidden="1" x14ac:dyDescent="0.2">
      <c r="A451" s="63"/>
      <c r="B451" s="232" t="s">
        <v>2397</v>
      </c>
      <c r="C451" s="233" t="s">
        <v>6267</v>
      </c>
      <c r="D451" s="233" t="s">
        <v>6268</v>
      </c>
      <c r="E451" s="233" t="s">
        <v>6269</v>
      </c>
      <c r="F451" s="233" t="s">
        <v>6270</v>
      </c>
      <c r="G451" s="233" t="s">
        <v>6271</v>
      </c>
      <c r="H451" s="234" t="s">
        <v>4170</v>
      </c>
    </row>
    <row r="452" spans="1:8" hidden="1" x14ac:dyDescent="0.2">
      <c r="A452" s="63"/>
      <c r="B452" s="232" t="s">
        <v>2397</v>
      </c>
      <c r="C452" s="233" t="s">
        <v>6272</v>
      </c>
      <c r="D452" s="233" t="s">
        <v>6273</v>
      </c>
      <c r="E452" s="233" t="s">
        <v>6274</v>
      </c>
      <c r="F452" s="233" t="s">
        <v>6275</v>
      </c>
      <c r="G452" s="233" t="s">
        <v>6276</v>
      </c>
      <c r="H452" s="234" t="s">
        <v>4170</v>
      </c>
    </row>
    <row r="453" spans="1:8" hidden="1" x14ac:dyDescent="0.2">
      <c r="A453" s="63"/>
      <c r="B453" s="232" t="s">
        <v>2397</v>
      </c>
      <c r="C453" s="233" t="s">
        <v>6277</v>
      </c>
      <c r="D453" s="233" t="s">
        <v>6278</v>
      </c>
      <c r="E453" s="233" t="s">
        <v>6279</v>
      </c>
      <c r="F453" s="233" t="s">
        <v>6280</v>
      </c>
      <c r="G453" s="233" t="s">
        <v>6281</v>
      </c>
      <c r="H453" s="234" t="s">
        <v>4170</v>
      </c>
    </row>
    <row r="454" spans="1:8" hidden="1" x14ac:dyDescent="0.2">
      <c r="A454" s="63"/>
      <c r="B454" s="232" t="s">
        <v>2397</v>
      </c>
      <c r="C454" s="233" t="s">
        <v>6282</v>
      </c>
      <c r="D454" s="233" t="s">
        <v>6283</v>
      </c>
      <c r="E454" s="233" t="s">
        <v>6284</v>
      </c>
      <c r="F454" s="233" t="s">
        <v>6285</v>
      </c>
      <c r="G454" s="233" t="s">
        <v>6286</v>
      </c>
      <c r="H454" s="234" t="s">
        <v>4170</v>
      </c>
    </row>
    <row r="455" spans="1:8" hidden="1" x14ac:dyDescent="0.2">
      <c r="A455" s="63"/>
      <c r="B455" s="232" t="s">
        <v>2397</v>
      </c>
      <c r="C455" s="233" t="s">
        <v>6287</v>
      </c>
      <c r="D455" s="233" t="s">
        <v>6288</v>
      </c>
      <c r="E455" s="233" t="s">
        <v>6289</v>
      </c>
      <c r="F455" s="233" t="s">
        <v>6290</v>
      </c>
      <c r="G455" s="233" t="s">
        <v>6291</v>
      </c>
      <c r="H455" s="234" t="s">
        <v>4170</v>
      </c>
    </row>
    <row r="456" spans="1:8" hidden="1" x14ac:dyDescent="0.2">
      <c r="A456" s="63"/>
      <c r="B456" s="232" t="s">
        <v>2397</v>
      </c>
      <c r="C456" s="233" t="s">
        <v>6292</v>
      </c>
      <c r="D456" s="233" t="s">
        <v>6293</v>
      </c>
      <c r="E456" s="233" t="s">
        <v>6294</v>
      </c>
      <c r="F456" s="233" t="s">
        <v>6295</v>
      </c>
      <c r="G456" s="233" t="s">
        <v>6296</v>
      </c>
      <c r="H456" s="234" t="s">
        <v>4170</v>
      </c>
    </row>
    <row r="457" spans="1:8" hidden="1" x14ac:dyDescent="0.2">
      <c r="A457" s="63"/>
      <c r="B457" s="232" t="s">
        <v>2397</v>
      </c>
      <c r="C457" s="233" t="s">
        <v>6297</v>
      </c>
      <c r="D457" s="233" t="s">
        <v>6298</v>
      </c>
      <c r="E457" s="233" t="s">
        <v>6299</v>
      </c>
      <c r="F457" s="233" t="s">
        <v>6300</v>
      </c>
      <c r="G457" s="233" t="s">
        <v>6301</v>
      </c>
      <c r="H457" s="234" t="s">
        <v>4170</v>
      </c>
    </row>
    <row r="458" spans="1:8" hidden="1" x14ac:dyDescent="0.2">
      <c r="A458" s="63"/>
      <c r="B458" s="232" t="s">
        <v>2397</v>
      </c>
      <c r="C458" s="233" t="s">
        <v>6302</v>
      </c>
      <c r="D458" s="233" t="s">
        <v>6303</v>
      </c>
      <c r="E458" s="233" t="s">
        <v>6304</v>
      </c>
      <c r="F458" s="233" t="s">
        <v>6305</v>
      </c>
      <c r="G458" s="233" t="s">
        <v>6306</v>
      </c>
      <c r="H458" s="234" t="s">
        <v>4170</v>
      </c>
    </row>
    <row r="459" spans="1:8" hidden="1" x14ac:dyDescent="0.2">
      <c r="A459" s="63"/>
      <c r="B459" s="232" t="s">
        <v>2397</v>
      </c>
      <c r="C459" s="233" t="s">
        <v>6307</v>
      </c>
      <c r="D459" s="233" t="s">
        <v>6308</v>
      </c>
      <c r="E459" s="233" t="s">
        <v>6309</v>
      </c>
      <c r="F459" s="233" t="s">
        <v>6310</v>
      </c>
      <c r="G459" s="233" t="s">
        <v>6311</v>
      </c>
      <c r="H459" s="234" t="s">
        <v>4170</v>
      </c>
    </row>
    <row r="460" spans="1:8" hidden="1" x14ac:dyDescent="0.2">
      <c r="A460" s="63"/>
      <c r="B460" s="232" t="s">
        <v>2397</v>
      </c>
      <c r="C460" s="233" t="s">
        <v>6312</v>
      </c>
      <c r="D460" s="233" t="s">
        <v>6313</v>
      </c>
      <c r="E460" s="233" t="s">
        <v>6314</v>
      </c>
      <c r="F460" s="233" t="s">
        <v>6315</v>
      </c>
      <c r="G460" s="233" t="s">
        <v>6316</v>
      </c>
      <c r="H460" s="234" t="s">
        <v>4170</v>
      </c>
    </row>
    <row r="461" spans="1:8" hidden="1" x14ac:dyDescent="0.2">
      <c r="A461" s="63"/>
      <c r="B461" s="232" t="s">
        <v>2397</v>
      </c>
      <c r="C461" s="233" t="s">
        <v>6317</v>
      </c>
      <c r="D461" s="233" t="s">
        <v>6318</v>
      </c>
      <c r="E461" s="233" t="s">
        <v>6319</v>
      </c>
      <c r="F461" s="233" t="s">
        <v>6320</v>
      </c>
      <c r="G461" s="233" t="s">
        <v>6321</v>
      </c>
      <c r="H461" s="234" t="s">
        <v>4170</v>
      </c>
    </row>
    <row r="462" spans="1:8" hidden="1" x14ac:dyDescent="0.2">
      <c r="A462" s="63"/>
      <c r="B462" s="232" t="s">
        <v>2397</v>
      </c>
      <c r="C462" s="233" t="s">
        <v>6322</v>
      </c>
      <c r="D462" s="233" t="s">
        <v>6323</v>
      </c>
      <c r="E462" s="233" t="s">
        <v>6324</v>
      </c>
      <c r="F462" s="233" t="s">
        <v>6325</v>
      </c>
      <c r="G462" s="233" t="s">
        <v>6326</v>
      </c>
      <c r="H462" s="234" t="s">
        <v>4170</v>
      </c>
    </row>
    <row r="463" spans="1:8" hidden="1" x14ac:dyDescent="0.2">
      <c r="A463" s="63"/>
      <c r="B463" s="232" t="s">
        <v>2397</v>
      </c>
      <c r="C463" s="233" t="s">
        <v>6327</v>
      </c>
      <c r="D463" s="233" t="s">
        <v>6328</v>
      </c>
      <c r="E463" s="233" t="s">
        <v>6329</v>
      </c>
      <c r="F463" s="233" t="s">
        <v>6330</v>
      </c>
      <c r="G463" s="233" t="s">
        <v>6331</v>
      </c>
      <c r="H463" s="234" t="s">
        <v>4170</v>
      </c>
    </row>
    <row r="464" spans="1:8" hidden="1" x14ac:dyDescent="0.2">
      <c r="A464" s="63"/>
      <c r="B464" s="232" t="s">
        <v>2397</v>
      </c>
      <c r="C464" s="233" t="s">
        <v>6332</v>
      </c>
      <c r="D464" s="233" t="s">
        <v>6333</v>
      </c>
      <c r="E464" s="233" t="s">
        <v>6332</v>
      </c>
      <c r="F464" s="233" t="s">
        <v>6334</v>
      </c>
      <c r="G464" s="233" t="s">
        <v>6332</v>
      </c>
      <c r="H464" s="234" t="s">
        <v>4170</v>
      </c>
    </row>
    <row r="465" spans="1:8" hidden="1" x14ac:dyDescent="0.2">
      <c r="A465" s="63"/>
      <c r="B465" s="232" t="s">
        <v>2397</v>
      </c>
      <c r="C465" s="233" t="s">
        <v>6335</v>
      </c>
      <c r="D465" s="233" t="s">
        <v>6336</v>
      </c>
      <c r="E465" s="233" t="s">
        <v>6337</v>
      </c>
      <c r="F465" s="233" t="s">
        <v>6338</v>
      </c>
      <c r="G465" s="233" t="s">
        <v>6339</v>
      </c>
      <c r="H465" s="234" t="s">
        <v>4170</v>
      </c>
    </row>
    <row r="466" spans="1:8" hidden="1" x14ac:dyDescent="0.2">
      <c r="A466" s="63"/>
      <c r="B466" s="232" t="s">
        <v>2397</v>
      </c>
      <c r="C466" s="233" t="s">
        <v>6340</v>
      </c>
      <c r="D466" s="233" t="s">
        <v>6341</v>
      </c>
      <c r="E466" s="233" t="s">
        <v>6342</v>
      </c>
      <c r="F466" s="233" t="s">
        <v>6343</v>
      </c>
      <c r="G466" s="233" t="s">
        <v>6344</v>
      </c>
      <c r="H466" s="234" t="s">
        <v>4170</v>
      </c>
    </row>
    <row r="467" spans="1:8" hidden="1" x14ac:dyDescent="0.2">
      <c r="A467" s="63"/>
      <c r="B467" s="232" t="s">
        <v>2397</v>
      </c>
      <c r="C467" s="233" t="s">
        <v>6345</v>
      </c>
      <c r="D467" s="233" t="s">
        <v>6345</v>
      </c>
      <c r="E467" s="233" t="s">
        <v>6346</v>
      </c>
      <c r="F467" s="233" t="s">
        <v>6347</v>
      </c>
      <c r="G467" s="233" t="s">
        <v>6348</v>
      </c>
      <c r="H467" s="234" t="s">
        <v>4170</v>
      </c>
    </row>
    <row r="468" spans="1:8" hidden="1" x14ac:dyDescent="0.2">
      <c r="A468" s="63"/>
      <c r="B468" s="232" t="s">
        <v>2397</v>
      </c>
      <c r="C468" s="233" t="s">
        <v>6349</v>
      </c>
      <c r="D468" s="233" t="s">
        <v>6350</v>
      </c>
      <c r="E468" s="233" t="s">
        <v>6351</v>
      </c>
      <c r="F468" s="233" t="s">
        <v>6352</v>
      </c>
      <c r="G468" s="233" t="s">
        <v>6353</v>
      </c>
      <c r="H468" s="234" t="s">
        <v>4170</v>
      </c>
    </row>
    <row r="469" spans="1:8" hidden="1" x14ac:dyDescent="0.2">
      <c r="A469" s="63"/>
      <c r="B469" s="232" t="s">
        <v>2397</v>
      </c>
      <c r="C469" s="233" t="s">
        <v>6354</v>
      </c>
      <c r="D469" s="233" t="s">
        <v>6355</v>
      </c>
      <c r="E469" s="233" t="s">
        <v>6356</v>
      </c>
      <c r="F469" s="233" t="s">
        <v>6357</v>
      </c>
      <c r="G469" s="233" t="s">
        <v>6358</v>
      </c>
      <c r="H469" s="234" t="s">
        <v>4170</v>
      </c>
    </row>
    <row r="470" spans="1:8" hidden="1" x14ac:dyDescent="0.2">
      <c r="A470" s="63"/>
      <c r="B470" s="232" t="s">
        <v>2397</v>
      </c>
      <c r="C470" s="233" t="s">
        <v>6359</v>
      </c>
      <c r="D470" s="233" t="s">
        <v>6360</v>
      </c>
      <c r="E470" s="233" t="s">
        <v>6361</v>
      </c>
      <c r="F470" s="233" t="s">
        <v>6362</v>
      </c>
      <c r="G470" s="233" t="s">
        <v>6363</v>
      </c>
      <c r="H470" s="234" t="s">
        <v>4170</v>
      </c>
    </row>
    <row r="471" spans="1:8" hidden="1" x14ac:dyDescent="0.2">
      <c r="A471" s="63"/>
      <c r="B471" s="232" t="s">
        <v>2397</v>
      </c>
      <c r="C471" s="233" t="s">
        <v>6364</v>
      </c>
      <c r="D471" s="233" t="s">
        <v>6365</v>
      </c>
      <c r="E471" s="233" t="s">
        <v>6366</v>
      </c>
      <c r="F471" s="233" t="s">
        <v>6367</v>
      </c>
      <c r="G471" s="233" t="s">
        <v>6368</v>
      </c>
      <c r="H471" s="234" t="s">
        <v>4170</v>
      </c>
    </row>
    <row r="472" spans="1:8" hidden="1" x14ac:dyDescent="0.2">
      <c r="A472" s="63"/>
      <c r="B472" s="232" t="s">
        <v>2397</v>
      </c>
      <c r="C472" s="233" t="s">
        <v>6369</v>
      </c>
      <c r="D472" s="233" t="s">
        <v>6370</v>
      </c>
      <c r="E472" s="233" t="s">
        <v>6003</v>
      </c>
      <c r="F472" s="233" t="s">
        <v>6371</v>
      </c>
      <c r="G472" s="233" t="s">
        <v>6372</v>
      </c>
      <c r="H472" s="234" t="s">
        <v>4170</v>
      </c>
    </row>
    <row r="473" spans="1:8" hidden="1" x14ac:dyDescent="0.2">
      <c r="A473" s="63"/>
      <c r="B473" s="232" t="s">
        <v>2397</v>
      </c>
      <c r="C473" s="233" t="s">
        <v>6373</v>
      </c>
      <c r="D473" s="233" t="s">
        <v>6374</v>
      </c>
      <c r="E473" s="233" t="s">
        <v>6375</v>
      </c>
      <c r="F473" s="233" t="s">
        <v>6376</v>
      </c>
      <c r="G473" s="233" t="s">
        <v>6377</v>
      </c>
      <c r="H473" s="234" t="s">
        <v>4170</v>
      </c>
    </row>
    <row r="474" spans="1:8" hidden="1" x14ac:dyDescent="0.2">
      <c r="A474" s="63"/>
      <c r="B474" s="232" t="s">
        <v>2397</v>
      </c>
      <c r="C474" s="233" t="s">
        <v>6378</v>
      </c>
      <c r="D474" s="233" t="s">
        <v>6379</v>
      </c>
      <c r="E474" s="233" t="s">
        <v>6380</v>
      </c>
      <c r="F474" s="233" t="s">
        <v>6378</v>
      </c>
      <c r="G474" s="233" t="s">
        <v>6381</v>
      </c>
      <c r="H474" s="234" t="s">
        <v>4170</v>
      </c>
    </row>
    <row r="475" spans="1:8" hidden="1" x14ac:dyDescent="0.2">
      <c r="A475" s="63"/>
      <c r="B475" s="232" t="s">
        <v>2397</v>
      </c>
      <c r="C475" s="233" t="s">
        <v>6382</v>
      </c>
      <c r="D475" s="233" t="s">
        <v>6382</v>
      </c>
      <c r="E475" s="233" t="s">
        <v>6383</v>
      </c>
      <c r="F475" s="233" t="s">
        <v>6384</v>
      </c>
      <c r="G475" s="233" t="s">
        <v>6382</v>
      </c>
      <c r="H475" s="234" t="s">
        <v>4170</v>
      </c>
    </row>
    <row r="476" spans="1:8" hidden="1" x14ac:dyDescent="0.2">
      <c r="A476" s="63"/>
      <c r="B476" s="232" t="s">
        <v>2397</v>
      </c>
      <c r="C476" s="233" t="s">
        <v>6385</v>
      </c>
      <c r="D476" s="233" t="s">
        <v>6386</v>
      </c>
      <c r="E476" s="233" t="s">
        <v>6387</v>
      </c>
      <c r="F476" s="233" t="s">
        <v>6388</v>
      </c>
      <c r="G476" s="233" t="s">
        <v>6389</v>
      </c>
      <c r="H476" s="234" t="s">
        <v>4170</v>
      </c>
    </row>
    <row r="477" spans="1:8" hidden="1" x14ac:dyDescent="0.2">
      <c r="A477" s="63"/>
      <c r="B477" s="232" t="s">
        <v>2397</v>
      </c>
      <c r="C477" s="233" t="s">
        <v>6390</v>
      </c>
      <c r="D477" s="233" t="s">
        <v>6391</v>
      </c>
      <c r="E477" s="233" t="s">
        <v>6392</v>
      </c>
      <c r="F477" s="233" t="s">
        <v>6393</v>
      </c>
      <c r="G477" s="233" t="s">
        <v>6394</v>
      </c>
      <c r="H477" s="234" t="s">
        <v>4170</v>
      </c>
    </row>
    <row r="478" spans="1:8" hidden="1" x14ac:dyDescent="0.2">
      <c r="A478" s="63"/>
      <c r="B478" s="232" t="s">
        <v>2397</v>
      </c>
      <c r="C478" s="233" t="s">
        <v>6395</v>
      </c>
      <c r="D478" s="233" t="s">
        <v>6396</v>
      </c>
      <c r="E478" s="233" t="s">
        <v>6397</v>
      </c>
      <c r="F478" s="233" t="s">
        <v>5977</v>
      </c>
      <c r="G478" s="233" t="s">
        <v>6398</v>
      </c>
      <c r="H478" s="234" t="s">
        <v>4170</v>
      </c>
    </row>
    <row r="479" spans="1:8" hidden="1" x14ac:dyDescent="0.2">
      <c r="A479" s="63"/>
      <c r="B479" s="232" t="s">
        <v>2397</v>
      </c>
      <c r="C479" s="233" t="s">
        <v>6399</v>
      </c>
      <c r="D479" s="233" t="s">
        <v>6400</v>
      </c>
      <c r="E479" s="233" t="s">
        <v>6401</v>
      </c>
      <c r="F479" s="233" t="s">
        <v>6402</v>
      </c>
      <c r="G479" s="233" t="s">
        <v>6403</v>
      </c>
      <c r="H479" s="234" t="s">
        <v>4170</v>
      </c>
    </row>
    <row r="480" spans="1:8" hidden="1" x14ac:dyDescent="0.2">
      <c r="A480" s="63"/>
      <c r="B480" s="232" t="s">
        <v>2397</v>
      </c>
      <c r="C480" s="233" t="s">
        <v>6404</v>
      </c>
      <c r="D480" s="233" t="s">
        <v>6405</v>
      </c>
      <c r="E480" s="233" t="s">
        <v>6406</v>
      </c>
      <c r="F480" s="233" t="s">
        <v>6404</v>
      </c>
      <c r="G480" s="233" t="s">
        <v>6407</v>
      </c>
      <c r="H480" s="234" t="s">
        <v>4170</v>
      </c>
    </row>
    <row r="481" spans="1:8" hidden="1" x14ac:dyDescent="0.2">
      <c r="A481" s="63"/>
      <c r="B481" s="232" t="s">
        <v>2397</v>
      </c>
      <c r="C481" s="233" t="s">
        <v>6408</v>
      </c>
      <c r="D481" s="233" t="s">
        <v>6409</v>
      </c>
      <c r="E481" s="233" t="s">
        <v>6410</v>
      </c>
      <c r="F481" s="233" t="s">
        <v>6411</v>
      </c>
      <c r="G481" s="233" t="s">
        <v>6412</v>
      </c>
      <c r="H481" s="234" t="s">
        <v>4170</v>
      </c>
    </row>
    <row r="482" spans="1:8" hidden="1" x14ac:dyDescent="0.2">
      <c r="A482" s="63"/>
      <c r="B482" s="232" t="s">
        <v>2397</v>
      </c>
      <c r="C482" s="233" t="s">
        <v>6413</v>
      </c>
      <c r="D482" s="233" t="s">
        <v>6414</v>
      </c>
      <c r="E482" s="233" t="s">
        <v>6415</v>
      </c>
      <c r="F482" s="233" t="s">
        <v>6416</v>
      </c>
      <c r="G482" s="233" t="s">
        <v>6417</v>
      </c>
      <c r="H482" s="234" t="s">
        <v>4170</v>
      </c>
    </row>
    <row r="483" spans="1:8" hidden="1" x14ac:dyDescent="0.2">
      <c r="A483" s="63"/>
      <c r="B483" s="232" t="s">
        <v>2397</v>
      </c>
      <c r="C483" s="233" t="s">
        <v>6418</v>
      </c>
      <c r="D483" s="233" t="s">
        <v>6419</v>
      </c>
      <c r="E483" s="233" t="s">
        <v>6420</v>
      </c>
      <c r="F483" s="233" t="s">
        <v>6421</v>
      </c>
      <c r="G483" s="233" t="s">
        <v>6422</v>
      </c>
      <c r="H483" s="234" t="s">
        <v>4170</v>
      </c>
    </row>
    <row r="484" spans="1:8" hidden="1" x14ac:dyDescent="0.2">
      <c r="A484" s="63"/>
      <c r="B484" s="232" t="s">
        <v>2397</v>
      </c>
      <c r="C484" s="233" t="s">
        <v>6423</v>
      </c>
      <c r="D484" s="233" t="s">
        <v>6424</v>
      </c>
      <c r="E484" s="233" t="s">
        <v>6425</v>
      </c>
      <c r="F484" s="233" t="s">
        <v>6426</v>
      </c>
      <c r="G484" s="233" t="s">
        <v>6427</v>
      </c>
      <c r="H484" s="234" t="s">
        <v>4170</v>
      </c>
    </row>
    <row r="485" spans="1:8" hidden="1" x14ac:dyDescent="0.2">
      <c r="A485" s="63"/>
      <c r="B485" s="232" t="s">
        <v>2397</v>
      </c>
      <c r="C485" s="233" t="s">
        <v>6428</v>
      </c>
      <c r="D485" s="233" t="s">
        <v>6429</v>
      </c>
      <c r="E485" s="233" t="s">
        <v>6430</v>
      </c>
      <c r="F485" s="233" t="s">
        <v>6431</v>
      </c>
      <c r="G485" s="233" t="s">
        <v>6432</v>
      </c>
      <c r="H485" s="234" t="s">
        <v>4170</v>
      </c>
    </row>
    <row r="486" spans="1:8" hidden="1" x14ac:dyDescent="0.2">
      <c r="A486" s="63"/>
      <c r="B486" s="232" t="s">
        <v>2397</v>
      </c>
      <c r="C486" s="233" t="s">
        <v>6433</v>
      </c>
      <c r="D486" s="233" t="s">
        <v>6434</v>
      </c>
      <c r="E486" s="233" t="s">
        <v>6435</v>
      </c>
      <c r="F486" s="233" t="s">
        <v>6436</v>
      </c>
      <c r="G486" s="233" t="s">
        <v>6437</v>
      </c>
      <c r="H486" s="234" t="s">
        <v>4170</v>
      </c>
    </row>
    <row r="487" spans="1:8" hidden="1" x14ac:dyDescent="0.2">
      <c r="A487" s="63"/>
      <c r="B487" s="232" t="s">
        <v>2397</v>
      </c>
      <c r="C487" s="233" t="s">
        <v>6438</v>
      </c>
      <c r="D487" s="233" t="s">
        <v>6439</v>
      </c>
      <c r="E487" s="233" t="s">
        <v>6440</v>
      </c>
      <c r="F487" s="233" t="s">
        <v>6441</v>
      </c>
      <c r="G487" s="233" t="s">
        <v>6442</v>
      </c>
      <c r="H487" s="234" t="s">
        <v>4170</v>
      </c>
    </row>
    <row r="488" spans="1:8" hidden="1" x14ac:dyDescent="0.2">
      <c r="A488" s="63"/>
      <c r="B488" s="232" t="s">
        <v>2397</v>
      </c>
      <c r="C488" s="233" t="s">
        <v>6443</v>
      </c>
      <c r="D488" s="233" t="s">
        <v>6444</v>
      </c>
      <c r="E488" s="233" t="s">
        <v>6445</v>
      </c>
      <c r="F488" s="233" t="s">
        <v>6446</v>
      </c>
      <c r="G488" s="233" t="s">
        <v>6447</v>
      </c>
      <c r="H488" s="234" t="s">
        <v>4170</v>
      </c>
    </row>
    <row r="489" spans="1:8" hidden="1" x14ac:dyDescent="0.2">
      <c r="A489" s="63"/>
      <c r="B489" s="232" t="s">
        <v>2397</v>
      </c>
      <c r="C489" s="233" t="s">
        <v>6448</v>
      </c>
      <c r="D489" s="233" t="s">
        <v>6449</v>
      </c>
      <c r="E489" s="233" t="s">
        <v>6448</v>
      </c>
      <c r="F489" s="233" t="s">
        <v>6450</v>
      </c>
      <c r="G489" s="233" t="s">
        <v>6451</v>
      </c>
      <c r="H489" s="234" t="s">
        <v>4170</v>
      </c>
    </row>
    <row r="490" spans="1:8" hidden="1" x14ac:dyDescent="0.2">
      <c r="A490" s="63"/>
      <c r="B490" s="232" t="s">
        <v>2397</v>
      </c>
      <c r="C490" s="233" t="s">
        <v>6452</v>
      </c>
      <c r="D490" s="233" t="s">
        <v>6453</v>
      </c>
      <c r="E490" s="233" t="s">
        <v>6452</v>
      </c>
      <c r="F490" s="233" t="s">
        <v>6454</v>
      </c>
      <c r="G490" s="233" t="s">
        <v>6455</v>
      </c>
      <c r="H490" s="234" t="s">
        <v>4170</v>
      </c>
    </row>
    <row r="491" spans="1:8" hidden="1" x14ac:dyDescent="0.2">
      <c r="A491" s="63"/>
      <c r="B491" s="232" t="s">
        <v>2397</v>
      </c>
      <c r="C491" s="233" t="s">
        <v>6456</v>
      </c>
      <c r="D491" s="233" t="s">
        <v>6457</v>
      </c>
      <c r="E491" s="233" t="s">
        <v>6458</v>
      </c>
      <c r="F491" s="233" t="s">
        <v>6459</v>
      </c>
      <c r="G491" s="233" t="s">
        <v>6460</v>
      </c>
      <c r="H491" s="234" t="s">
        <v>4170</v>
      </c>
    </row>
    <row r="492" spans="1:8" hidden="1" x14ac:dyDescent="0.2">
      <c r="A492" s="63"/>
      <c r="B492" s="232" t="s">
        <v>2397</v>
      </c>
      <c r="C492" s="233" t="s">
        <v>6461</v>
      </c>
      <c r="D492" s="233" t="s">
        <v>6462</v>
      </c>
      <c r="E492" s="233" t="s">
        <v>6463</v>
      </c>
      <c r="F492" s="233" t="s">
        <v>6464</v>
      </c>
      <c r="G492" s="233" t="s">
        <v>6465</v>
      </c>
      <c r="H492" s="234" t="s">
        <v>4170</v>
      </c>
    </row>
    <row r="493" spans="1:8" hidden="1" x14ac:dyDescent="0.2">
      <c r="A493" s="63"/>
      <c r="B493" s="232" t="s">
        <v>2397</v>
      </c>
      <c r="C493" s="233" t="s">
        <v>6466</v>
      </c>
      <c r="D493" s="233" t="s">
        <v>6467</v>
      </c>
      <c r="E493" s="233" t="s">
        <v>6468</v>
      </c>
      <c r="F493" s="233" t="s">
        <v>6469</v>
      </c>
      <c r="G493" s="233" t="s">
        <v>6470</v>
      </c>
      <c r="H493" s="234" t="s">
        <v>4170</v>
      </c>
    </row>
    <row r="494" spans="1:8" hidden="1" x14ac:dyDescent="0.2">
      <c r="A494" s="63"/>
      <c r="B494" s="232" t="s">
        <v>2397</v>
      </c>
      <c r="C494" s="233" t="s">
        <v>6471</v>
      </c>
      <c r="D494" s="233" t="s">
        <v>6472</v>
      </c>
      <c r="E494" s="233" t="s">
        <v>6473</v>
      </c>
      <c r="F494" s="233" t="s">
        <v>6474</v>
      </c>
      <c r="G494" s="233" t="s">
        <v>4711</v>
      </c>
      <c r="H494" s="234" t="s">
        <v>4170</v>
      </c>
    </row>
    <row r="495" spans="1:8" hidden="1" x14ac:dyDescent="0.2">
      <c r="A495" s="63"/>
      <c r="B495" s="232" t="s">
        <v>2397</v>
      </c>
      <c r="C495" s="233" t="s">
        <v>6475</v>
      </c>
      <c r="D495" s="233" t="s">
        <v>6476</v>
      </c>
      <c r="E495" s="233" t="s">
        <v>6477</v>
      </c>
      <c r="F495" s="233" t="s">
        <v>6478</v>
      </c>
      <c r="G495" s="233" t="s">
        <v>6479</v>
      </c>
      <c r="H495" s="234" t="s">
        <v>4170</v>
      </c>
    </row>
    <row r="496" spans="1:8" hidden="1" x14ac:dyDescent="0.2">
      <c r="A496" s="63"/>
      <c r="B496" s="232" t="s">
        <v>2397</v>
      </c>
      <c r="C496" s="233" t="s">
        <v>6480</v>
      </c>
      <c r="D496" s="233" t="s">
        <v>6481</v>
      </c>
      <c r="E496" s="233" t="s">
        <v>6482</v>
      </c>
      <c r="F496" s="233" t="s">
        <v>6483</v>
      </c>
      <c r="G496" s="233" t="s">
        <v>6484</v>
      </c>
      <c r="H496" s="234" t="s">
        <v>4170</v>
      </c>
    </row>
    <row r="497" spans="1:8" hidden="1" x14ac:dyDescent="0.2">
      <c r="A497" s="63"/>
      <c r="B497" s="232" t="s">
        <v>2397</v>
      </c>
      <c r="C497" s="233" t="s">
        <v>6485</v>
      </c>
      <c r="D497" s="233" t="s">
        <v>6486</v>
      </c>
      <c r="E497" s="233" t="s">
        <v>6487</v>
      </c>
      <c r="F497" s="233" t="s">
        <v>6488</v>
      </c>
      <c r="G497" s="233" t="s">
        <v>6489</v>
      </c>
      <c r="H497" s="234" t="s">
        <v>4170</v>
      </c>
    </row>
    <row r="498" spans="1:8" hidden="1" x14ac:dyDescent="0.2">
      <c r="A498" s="63"/>
      <c r="B498" s="232" t="s">
        <v>2397</v>
      </c>
      <c r="C498" s="233" t="s">
        <v>6490</v>
      </c>
      <c r="D498" s="233" t="s">
        <v>6491</v>
      </c>
      <c r="E498" s="233" t="s">
        <v>6492</v>
      </c>
      <c r="F498" s="233" t="s">
        <v>6493</v>
      </c>
      <c r="G498" s="233" t="s">
        <v>6494</v>
      </c>
      <c r="H498" s="234" t="s">
        <v>4170</v>
      </c>
    </row>
    <row r="499" spans="1:8" hidden="1" x14ac:dyDescent="0.2">
      <c r="A499" s="63"/>
      <c r="B499" s="232" t="s">
        <v>2397</v>
      </c>
      <c r="C499" s="233" t="s">
        <v>6495</v>
      </c>
      <c r="D499" s="233" t="s">
        <v>6496</v>
      </c>
      <c r="E499" s="233" t="s">
        <v>6497</v>
      </c>
      <c r="F499" s="233" t="s">
        <v>6498</v>
      </c>
      <c r="G499" s="233" t="s">
        <v>6499</v>
      </c>
      <c r="H499" s="234" t="s">
        <v>4170</v>
      </c>
    </row>
    <row r="500" spans="1:8" hidden="1" x14ac:dyDescent="0.2">
      <c r="A500" s="63"/>
      <c r="B500" s="232" t="s">
        <v>2397</v>
      </c>
      <c r="C500" s="233" t="s">
        <v>6500</v>
      </c>
      <c r="D500" s="233" t="s">
        <v>6501</v>
      </c>
      <c r="E500" s="233" t="s">
        <v>6502</v>
      </c>
      <c r="F500" s="233" t="s">
        <v>6503</v>
      </c>
      <c r="G500" s="233" t="s">
        <v>6504</v>
      </c>
      <c r="H500" s="234" t="s">
        <v>4170</v>
      </c>
    </row>
    <row r="501" spans="1:8" hidden="1" x14ac:dyDescent="0.2">
      <c r="A501" s="63"/>
      <c r="B501" s="232" t="s">
        <v>2397</v>
      </c>
      <c r="C501" s="233" t="s">
        <v>6505</v>
      </c>
      <c r="D501" s="233" t="s">
        <v>6506</v>
      </c>
      <c r="E501" s="233" t="s">
        <v>6507</v>
      </c>
      <c r="F501" s="233" t="s">
        <v>6508</v>
      </c>
      <c r="G501" s="233" t="s">
        <v>6509</v>
      </c>
      <c r="H501" s="234" t="s">
        <v>4170</v>
      </c>
    </row>
    <row r="502" spans="1:8" hidden="1" x14ac:dyDescent="0.2">
      <c r="A502" s="63"/>
      <c r="B502" s="232" t="s">
        <v>2397</v>
      </c>
      <c r="C502" s="233" t="s">
        <v>6510</v>
      </c>
      <c r="D502" s="233" t="s">
        <v>6511</v>
      </c>
      <c r="E502" s="233" t="s">
        <v>6512</v>
      </c>
      <c r="F502" s="233" t="s">
        <v>6513</v>
      </c>
      <c r="G502" s="233" t="s">
        <v>6514</v>
      </c>
      <c r="H502" s="234" t="s">
        <v>4170</v>
      </c>
    </row>
    <row r="503" spans="1:8" hidden="1" x14ac:dyDescent="0.2">
      <c r="A503" s="63"/>
      <c r="B503" s="232" t="s">
        <v>2397</v>
      </c>
      <c r="C503" s="233" t="s">
        <v>6515</v>
      </c>
      <c r="D503" s="233" t="s">
        <v>6516</v>
      </c>
      <c r="E503" s="233" t="s">
        <v>6517</v>
      </c>
      <c r="F503" s="233" t="s">
        <v>6518</v>
      </c>
      <c r="G503" s="233" t="s">
        <v>6519</v>
      </c>
      <c r="H503" s="234" t="s">
        <v>4170</v>
      </c>
    </row>
    <row r="504" spans="1:8" hidden="1" x14ac:dyDescent="0.2">
      <c r="A504" s="63"/>
      <c r="B504" s="232" t="s">
        <v>2397</v>
      </c>
      <c r="C504" s="233" t="s">
        <v>6520</v>
      </c>
      <c r="D504" s="233" t="s">
        <v>6521</v>
      </c>
      <c r="E504" s="233" t="s">
        <v>6522</v>
      </c>
      <c r="F504" s="233" t="s">
        <v>6523</v>
      </c>
      <c r="G504" s="233" t="s">
        <v>6524</v>
      </c>
      <c r="H504" s="234" t="s">
        <v>4170</v>
      </c>
    </row>
    <row r="505" spans="1:8" hidden="1" x14ac:dyDescent="0.2">
      <c r="A505" s="63"/>
      <c r="B505" s="232" t="s">
        <v>2397</v>
      </c>
      <c r="C505" s="233" t="s">
        <v>6525</v>
      </c>
      <c r="D505" s="233" t="s">
        <v>6526</v>
      </c>
      <c r="E505" s="233" t="s">
        <v>6527</v>
      </c>
      <c r="F505" s="233" t="s">
        <v>6528</v>
      </c>
      <c r="G505" s="233" t="s">
        <v>6529</v>
      </c>
      <c r="H505" s="234" t="s">
        <v>4170</v>
      </c>
    </row>
    <row r="506" spans="1:8" hidden="1" x14ac:dyDescent="0.2">
      <c r="A506" s="63"/>
      <c r="B506" s="232" t="s">
        <v>2397</v>
      </c>
      <c r="C506" s="233" t="s">
        <v>6530</v>
      </c>
      <c r="D506" s="233" t="s">
        <v>6531</v>
      </c>
      <c r="E506" s="233" t="s">
        <v>6532</v>
      </c>
      <c r="F506" s="233" t="s">
        <v>6533</v>
      </c>
      <c r="G506" s="233" t="s">
        <v>6534</v>
      </c>
      <c r="H506" s="234" t="s">
        <v>4170</v>
      </c>
    </row>
    <row r="507" spans="1:8" hidden="1" x14ac:dyDescent="0.2">
      <c r="A507" s="63"/>
      <c r="B507" s="232" t="s">
        <v>2397</v>
      </c>
      <c r="C507" s="233" t="s">
        <v>6535</v>
      </c>
      <c r="D507" s="233" t="s">
        <v>6536</v>
      </c>
      <c r="E507" s="233" t="s">
        <v>6537</v>
      </c>
      <c r="F507" s="233" t="s">
        <v>6538</v>
      </c>
      <c r="G507" s="233" t="s">
        <v>6539</v>
      </c>
      <c r="H507" s="234" t="s">
        <v>4170</v>
      </c>
    </row>
    <row r="508" spans="1:8" hidden="1" x14ac:dyDescent="0.2">
      <c r="A508" s="63"/>
      <c r="B508" s="232" t="s">
        <v>2397</v>
      </c>
      <c r="C508" s="233" t="s">
        <v>6540</v>
      </c>
      <c r="D508" s="233" t="s">
        <v>6541</v>
      </c>
      <c r="E508" s="233" t="s">
        <v>6542</v>
      </c>
      <c r="F508" s="233" t="s">
        <v>6543</v>
      </c>
      <c r="G508" s="233" t="s">
        <v>6544</v>
      </c>
      <c r="H508" s="234" t="s">
        <v>4170</v>
      </c>
    </row>
    <row r="509" spans="1:8" hidden="1" x14ac:dyDescent="0.2">
      <c r="A509" s="63"/>
      <c r="B509" s="232" t="s">
        <v>2397</v>
      </c>
      <c r="C509" s="233" t="s">
        <v>6545</v>
      </c>
      <c r="D509" s="233" t="s">
        <v>6546</v>
      </c>
      <c r="E509" s="233" t="s">
        <v>6547</v>
      </c>
      <c r="F509" s="233" t="s">
        <v>6545</v>
      </c>
      <c r="G509" s="233" t="s">
        <v>6548</v>
      </c>
      <c r="H509" s="234" t="s">
        <v>4170</v>
      </c>
    </row>
    <row r="510" spans="1:8" hidden="1" x14ac:dyDescent="0.2">
      <c r="A510" s="63"/>
      <c r="B510" s="232" t="s">
        <v>2397</v>
      </c>
      <c r="C510" s="233" t="s">
        <v>6549</v>
      </c>
      <c r="D510" s="233" t="s">
        <v>6550</v>
      </c>
      <c r="E510" s="233" t="s">
        <v>6551</v>
      </c>
      <c r="F510" s="233" t="s">
        <v>6552</v>
      </c>
      <c r="G510" s="233" t="s">
        <v>6553</v>
      </c>
      <c r="H510" s="234" t="s">
        <v>4170</v>
      </c>
    </row>
    <row r="511" spans="1:8" hidden="1" x14ac:dyDescent="0.2">
      <c r="A511" s="63"/>
      <c r="B511" s="232" t="s">
        <v>2397</v>
      </c>
      <c r="C511" s="233" t="s">
        <v>6554</v>
      </c>
      <c r="D511" s="233" t="s">
        <v>6555</v>
      </c>
      <c r="E511" s="233" t="s">
        <v>6556</v>
      </c>
      <c r="F511" s="233" t="s">
        <v>6557</v>
      </c>
      <c r="G511" s="233" t="s">
        <v>6558</v>
      </c>
      <c r="H511" s="234" t="s">
        <v>4170</v>
      </c>
    </row>
    <row r="512" spans="1:8" hidden="1" x14ac:dyDescent="0.2">
      <c r="A512" s="63"/>
      <c r="B512" s="232" t="s">
        <v>2397</v>
      </c>
      <c r="C512" s="233" t="s">
        <v>6559</v>
      </c>
      <c r="D512" s="233" t="s">
        <v>6560</v>
      </c>
      <c r="E512" s="233" t="s">
        <v>6561</v>
      </c>
      <c r="F512" s="233" t="s">
        <v>6562</v>
      </c>
      <c r="G512" s="233" t="s">
        <v>6563</v>
      </c>
      <c r="H512" s="234" t="s">
        <v>4170</v>
      </c>
    </row>
    <row r="513" spans="1:8" hidden="1" x14ac:dyDescent="0.2">
      <c r="A513" s="63"/>
      <c r="B513" s="232" t="s">
        <v>2397</v>
      </c>
      <c r="C513" s="233" t="s">
        <v>6564</v>
      </c>
      <c r="D513" s="233" t="s">
        <v>6565</v>
      </c>
      <c r="E513" s="233" t="s">
        <v>6566</v>
      </c>
      <c r="F513" s="233" t="s">
        <v>6567</v>
      </c>
      <c r="G513" s="233" t="s">
        <v>6568</v>
      </c>
      <c r="H513" s="234" t="s">
        <v>4170</v>
      </c>
    </row>
    <row r="514" spans="1:8" hidden="1" x14ac:dyDescent="0.2">
      <c r="A514" s="63"/>
      <c r="B514" s="232" t="s">
        <v>2397</v>
      </c>
      <c r="C514" s="233" t="s">
        <v>6569</v>
      </c>
      <c r="D514" s="233" t="s">
        <v>6570</v>
      </c>
      <c r="E514" s="233" t="s">
        <v>6571</v>
      </c>
      <c r="F514" s="233" t="s">
        <v>6572</v>
      </c>
      <c r="G514" s="233" t="s">
        <v>6573</v>
      </c>
      <c r="H514" s="234" t="s">
        <v>4170</v>
      </c>
    </row>
    <row r="515" spans="1:8" hidden="1" x14ac:dyDescent="0.2">
      <c r="A515" s="63"/>
      <c r="B515" s="232" t="s">
        <v>2397</v>
      </c>
      <c r="C515" s="233" t="s">
        <v>6574</v>
      </c>
      <c r="D515" s="233" t="s">
        <v>6575</v>
      </c>
      <c r="E515" s="233" t="s">
        <v>6576</v>
      </c>
      <c r="F515" s="233" t="s">
        <v>6577</v>
      </c>
      <c r="G515" s="233" t="s">
        <v>6578</v>
      </c>
      <c r="H515" s="234" t="s">
        <v>4170</v>
      </c>
    </row>
    <row r="516" spans="1:8" hidden="1" x14ac:dyDescent="0.2">
      <c r="A516" s="63"/>
      <c r="B516" s="232" t="s">
        <v>2397</v>
      </c>
      <c r="C516" s="233" t="s">
        <v>6579</v>
      </c>
      <c r="D516" s="233" t="s">
        <v>6580</v>
      </c>
      <c r="E516" s="233" t="s">
        <v>6581</v>
      </c>
      <c r="F516" s="233" t="s">
        <v>6579</v>
      </c>
      <c r="G516" s="233" t="s">
        <v>6582</v>
      </c>
      <c r="H516" s="234" t="s">
        <v>4170</v>
      </c>
    </row>
    <row r="517" spans="1:8" hidden="1" x14ac:dyDescent="0.2">
      <c r="A517" s="63"/>
      <c r="B517" s="232" t="s">
        <v>2397</v>
      </c>
      <c r="C517" s="233" t="s">
        <v>6583</v>
      </c>
      <c r="D517" s="233" t="s">
        <v>6584</v>
      </c>
      <c r="E517" s="233" t="s">
        <v>6585</v>
      </c>
      <c r="F517" s="233" t="s">
        <v>6586</v>
      </c>
      <c r="G517" s="233" t="s">
        <v>6587</v>
      </c>
      <c r="H517" s="234" t="s">
        <v>4170</v>
      </c>
    </row>
    <row r="518" spans="1:8" hidden="1" x14ac:dyDescent="0.2">
      <c r="A518" s="63"/>
      <c r="B518" s="232" t="s">
        <v>2397</v>
      </c>
      <c r="C518" s="233" t="s">
        <v>6588</v>
      </c>
      <c r="D518" s="233" t="s">
        <v>6589</v>
      </c>
      <c r="E518" s="233" t="s">
        <v>6590</v>
      </c>
      <c r="F518" s="233" t="s">
        <v>6591</v>
      </c>
      <c r="G518" s="233" t="s">
        <v>6592</v>
      </c>
      <c r="H518" s="234" t="s">
        <v>4170</v>
      </c>
    </row>
    <row r="519" spans="1:8" hidden="1" x14ac:dyDescent="0.2">
      <c r="A519" s="63"/>
      <c r="B519" s="232" t="s">
        <v>2397</v>
      </c>
      <c r="C519" s="233" t="s">
        <v>6593</v>
      </c>
      <c r="D519" s="233" t="s">
        <v>6594</v>
      </c>
      <c r="E519" s="233" t="s">
        <v>6595</v>
      </c>
      <c r="F519" s="233" t="s">
        <v>6596</v>
      </c>
      <c r="G519" s="233" t="s">
        <v>6597</v>
      </c>
      <c r="H519" s="234" t="s">
        <v>4170</v>
      </c>
    </row>
    <row r="520" spans="1:8" hidden="1" x14ac:dyDescent="0.2">
      <c r="A520" s="63"/>
      <c r="B520" s="232" t="s">
        <v>2397</v>
      </c>
      <c r="C520" s="233" t="s">
        <v>6598</v>
      </c>
      <c r="D520" s="233" t="s">
        <v>6599</v>
      </c>
      <c r="E520" s="233" t="s">
        <v>6600</v>
      </c>
      <c r="F520" s="233" t="s">
        <v>6601</v>
      </c>
      <c r="G520" s="233" t="s">
        <v>6602</v>
      </c>
      <c r="H520" s="234" t="s">
        <v>4170</v>
      </c>
    </row>
    <row r="521" spans="1:8" hidden="1" x14ac:dyDescent="0.2">
      <c r="A521" s="63"/>
      <c r="B521" s="232" t="s">
        <v>2397</v>
      </c>
      <c r="C521" s="233" t="s">
        <v>6603</v>
      </c>
      <c r="D521" s="233" t="s">
        <v>6604</v>
      </c>
      <c r="E521" s="233" t="s">
        <v>6605</v>
      </c>
      <c r="F521" s="233" t="s">
        <v>6606</v>
      </c>
      <c r="G521" s="233" t="s">
        <v>6607</v>
      </c>
      <c r="H521" s="234" t="s">
        <v>4170</v>
      </c>
    </row>
    <row r="522" spans="1:8" hidden="1" x14ac:dyDescent="0.2">
      <c r="A522" s="63"/>
      <c r="B522" s="232" t="s">
        <v>2397</v>
      </c>
      <c r="C522" s="233" t="s">
        <v>6608</v>
      </c>
      <c r="D522" s="233" t="s">
        <v>6609</v>
      </c>
      <c r="E522" s="233" t="s">
        <v>6610</v>
      </c>
      <c r="F522" s="233" t="s">
        <v>6611</v>
      </c>
      <c r="G522" s="233" t="s">
        <v>6612</v>
      </c>
      <c r="H522" s="234" t="s">
        <v>4170</v>
      </c>
    </row>
    <row r="523" spans="1:8" hidden="1" x14ac:dyDescent="0.2">
      <c r="A523" s="63"/>
      <c r="B523" s="232" t="s">
        <v>2397</v>
      </c>
      <c r="C523" s="233" t="s">
        <v>6613</v>
      </c>
      <c r="D523" s="233" t="s">
        <v>6614</v>
      </c>
      <c r="E523" s="233" t="s">
        <v>6615</v>
      </c>
      <c r="F523" s="233" t="s">
        <v>6616</v>
      </c>
      <c r="G523" s="233" t="s">
        <v>6617</v>
      </c>
      <c r="H523" s="234" t="s">
        <v>4170</v>
      </c>
    </row>
    <row r="524" spans="1:8" hidden="1" x14ac:dyDescent="0.2">
      <c r="A524" s="63"/>
      <c r="B524" s="232" t="s">
        <v>2397</v>
      </c>
      <c r="C524" s="233" t="s">
        <v>6618</v>
      </c>
      <c r="D524" s="233" t="s">
        <v>6619</v>
      </c>
      <c r="E524" s="233" t="s">
        <v>6620</v>
      </c>
      <c r="F524" s="233" t="s">
        <v>6621</v>
      </c>
      <c r="G524" s="233" t="s">
        <v>6622</v>
      </c>
      <c r="H524" s="234" t="s">
        <v>4170</v>
      </c>
    </row>
    <row r="525" spans="1:8" hidden="1" x14ac:dyDescent="0.2">
      <c r="A525" s="63"/>
      <c r="B525" s="232" t="s">
        <v>2397</v>
      </c>
      <c r="C525" s="233" t="s">
        <v>6623</v>
      </c>
      <c r="D525" s="233" t="s">
        <v>6624</v>
      </c>
      <c r="E525" s="233" t="s">
        <v>6625</v>
      </c>
      <c r="F525" s="233" t="s">
        <v>6626</v>
      </c>
      <c r="G525" s="233" t="s">
        <v>6627</v>
      </c>
      <c r="H525" s="234" t="s">
        <v>4170</v>
      </c>
    </row>
    <row r="526" spans="1:8" hidden="1" x14ac:dyDescent="0.2">
      <c r="A526" s="63"/>
      <c r="B526" s="232" t="s">
        <v>2397</v>
      </c>
      <c r="C526" s="233" t="s">
        <v>6628</v>
      </c>
      <c r="D526" s="233" t="s">
        <v>6629</v>
      </c>
      <c r="E526" s="233" t="s">
        <v>6630</v>
      </c>
      <c r="F526" s="233" t="s">
        <v>6631</v>
      </c>
      <c r="G526" s="233" t="s">
        <v>6632</v>
      </c>
      <c r="H526" s="234" t="s">
        <v>4170</v>
      </c>
    </row>
    <row r="527" spans="1:8" hidden="1" x14ac:dyDescent="0.2">
      <c r="A527" s="63"/>
      <c r="B527" s="232" t="s">
        <v>2397</v>
      </c>
      <c r="C527" s="233" t="s">
        <v>6633</v>
      </c>
      <c r="D527" s="233" t="s">
        <v>6634</v>
      </c>
      <c r="E527" s="233" t="s">
        <v>6635</v>
      </c>
      <c r="F527" s="233" t="s">
        <v>6636</v>
      </c>
      <c r="G527" s="233" t="s">
        <v>6637</v>
      </c>
      <c r="H527" s="234" t="s">
        <v>4170</v>
      </c>
    </row>
    <row r="528" spans="1:8" hidden="1" x14ac:dyDescent="0.2">
      <c r="A528" s="63"/>
      <c r="B528" s="232" t="s">
        <v>2397</v>
      </c>
      <c r="C528" s="233" t="s">
        <v>6638</v>
      </c>
      <c r="D528" s="233" t="s">
        <v>6639</v>
      </c>
      <c r="E528" s="233" t="s">
        <v>6640</v>
      </c>
      <c r="F528" s="233" t="s">
        <v>6641</v>
      </c>
      <c r="G528" s="233" t="s">
        <v>6642</v>
      </c>
      <c r="H528" s="234" t="s">
        <v>4170</v>
      </c>
    </row>
    <row r="529" spans="1:8" hidden="1" x14ac:dyDescent="0.2">
      <c r="A529" s="63"/>
      <c r="B529" s="232" t="s">
        <v>2397</v>
      </c>
      <c r="C529" s="233" t="s">
        <v>6643</v>
      </c>
      <c r="D529" s="233" t="s">
        <v>6644</v>
      </c>
      <c r="E529" s="233" t="s">
        <v>6645</v>
      </c>
      <c r="F529" s="233" t="s">
        <v>6646</v>
      </c>
      <c r="G529" s="233" t="s">
        <v>6647</v>
      </c>
      <c r="H529" s="234" t="s">
        <v>4170</v>
      </c>
    </row>
    <row r="530" spans="1:8" hidden="1" x14ac:dyDescent="0.2">
      <c r="A530" s="63"/>
      <c r="B530" s="232" t="s">
        <v>2397</v>
      </c>
      <c r="C530" s="233" t="s">
        <v>6648</v>
      </c>
      <c r="D530" s="233" t="s">
        <v>6649</v>
      </c>
      <c r="E530" s="233" t="s">
        <v>6650</v>
      </c>
      <c r="F530" s="233" t="s">
        <v>6651</v>
      </c>
      <c r="G530" s="233" t="s">
        <v>6652</v>
      </c>
      <c r="H530" s="234" t="s">
        <v>4170</v>
      </c>
    </row>
    <row r="531" spans="1:8" hidden="1" x14ac:dyDescent="0.2">
      <c r="A531" s="63"/>
      <c r="B531" s="232" t="s">
        <v>2397</v>
      </c>
      <c r="C531" s="233" t="s">
        <v>6653</v>
      </c>
      <c r="D531" s="233" t="s">
        <v>6654</v>
      </c>
      <c r="E531" s="233" t="s">
        <v>6655</v>
      </c>
      <c r="F531" s="233" t="s">
        <v>6656</v>
      </c>
      <c r="G531" s="233" t="s">
        <v>6657</v>
      </c>
      <c r="H531" s="234" t="s">
        <v>4170</v>
      </c>
    </row>
    <row r="532" spans="1:8" hidden="1" x14ac:dyDescent="0.2">
      <c r="A532" s="63"/>
      <c r="B532" s="232" t="s">
        <v>2397</v>
      </c>
      <c r="C532" s="233" t="s">
        <v>6658</v>
      </c>
      <c r="D532" s="233" t="s">
        <v>6659</v>
      </c>
      <c r="E532" s="233" t="s">
        <v>6660</v>
      </c>
      <c r="F532" s="233" t="s">
        <v>6661</v>
      </c>
      <c r="G532" s="233" t="s">
        <v>6662</v>
      </c>
      <c r="H532" s="234" t="s">
        <v>4170</v>
      </c>
    </row>
    <row r="533" spans="1:8" hidden="1" x14ac:dyDescent="0.2">
      <c r="A533" s="63"/>
      <c r="B533" s="232" t="s">
        <v>2397</v>
      </c>
      <c r="C533" s="233" t="s">
        <v>6663</v>
      </c>
      <c r="D533" s="233" t="s">
        <v>6664</v>
      </c>
      <c r="E533" s="233" t="s">
        <v>6665</v>
      </c>
      <c r="F533" s="233" t="s">
        <v>6666</v>
      </c>
      <c r="G533" s="233" t="s">
        <v>6667</v>
      </c>
      <c r="H533" s="234" t="s">
        <v>4170</v>
      </c>
    </row>
    <row r="534" spans="1:8" hidden="1" x14ac:dyDescent="0.2">
      <c r="A534" s="63"/>
      <c r="B534" s="232" t="s">
        <v>2397</v>
      </c>
      <c r="C534" s="233" t="s">
        <v>6668</v>
      </c>
      <c r="D534" s="233" t="s">
        <v>6669</v>
      </c>
      <c r="E534" s="233" t="s">
        <v>6670</v>
      </c>
      <c r="F534" s="233" t="s">
        <v>6671</v>
      </c>
      <c r="G534" s="233" t="s">
        <v>6672</v>
      </c>
      <c r="H534" s="234" t="s">
        <v>4170</v>
      </c>
    </row>
    <row r="535" spans="1:8" hidden="1" x14ac:dyDescent="0.2">
      <c r="A535" s="63"/>
      <c r="B535" s="232" t="s">
        <v>2397</v>
      </c>
      <c r="C535" s="233" t="s">
        <v>6673</v>
      </c>
      <c r="D535" s="233" t="s">
        <v>6674</v>
      </c>
      <c r="E535" s="233" t="s">
        <v>6675</v>
      </c>
      <c r="F535" s="233" t="s">
        <v>6676</v>
      </c>
      <c r="G535" s="233" t="s">
        <v>6677</v>
      </c>
      <c r="H535" s="234" t="s">
        <v>4170</v>
      </c>
    </row>
    <row r="536" spans="1:8" hidden="1" x14ac:dyDescent="0.2">
      <c r="A536" s="63"/>
      <c r="B536" s="232" t="s">
        <v>2397</v>
      </c>
      <c r="C536" s="233" t="s">
        <v>6678</v>
      </c>
      <c r="D536" s="233" t="s">
        <v>6679</v>
      </c>
      <c r="E536" s="233" t="s">
        <v>6680</v>
      </c>
      <c r="F536" s="233" t="s">
        <v>6681</v>
      </c>
      <c r="G536" s="233" t="s">
        <v>6682</v>
      </c>
      <c r="H536" s="234" t="s">
        <v>4170</v>
      </c>
    </row>
    <row r="537" spans="1:8" hidden="1" x14ac:dyDescent="0.2">
      <c r="A537" s="63"/>
      <c r="B537" s="232" t="s">
        <v>2397</v>
      </c>
      <c r="C537" s="233" t="s">
        <v>6683</v>
      </c>
      <c r="D537" s="233" t="s">
        <v>6684</v>
      </c>
      <c r="E537" s="233" t="s">
        <v>6685</v>
      </c>
      <c r="F537" s="233" t="s">
        <v>6686</v>
      </c>
      <c r="G537" s="233" t="s">
        <v>6687</v>
      </c>
      <c r="H537" s="234" t="s">
        <v>4170</v>
      </c>
    </row>
    <row r="538" spans="1:8" hidden="1" x14ac:dyDescent="0.2">
      <c r="A538" s="63"/>
      <c r="B538" s="232" t="s">
        <v>2397</v>
      </c>
      <c r="C538" s="233" t="s">
        <v>6688</v>
      </c>
      <c r="D538" s="233" t="s">
        <v>6689</v>
      </c>
      <c r="E538" s="233" t="s">
        <v>6690</v>
      </c>
      <c r="F538" s="233" t="s">
        <v>6691</v>
      </c>
      <c r="G538" s="233" t="s">
        <v>6692</v>
      </c>
      <c r="H538" s="234" t="s">
        <v>4170</v>
      </c>
    </row>
    <row r="539" spans="1:8" hidden="1" x14ac:dyDescent="0.2">
      <c r="A539" s="63"/>
      <c r="B539" s="232" t="s">
        <v>2397</v>
      </c>
      <c r="C539" s="233" t="s">
        <v>6693</v>
      </c>
      <c r="D539" s="233" t="s">
        <v>6694</v>
      </c>
      <c r="E539" s="233" t="s">
        <v>6695</v>
      </c>
      <c r="F539" s="233" t="s">
        <v>6696</v>
      </c>
      <c r="G539" s="233" t="s">
        <v>6697</v>
      </c>
      <c r="H539" s="234" t="s">
        <v>4170</v>
      </c>
    </row>
    <row r="540" spans="1:8" hidden="1" x14ac:dyDescent="0.2">
      <c r="A540" s="63"/>
      <c r="B540" s="232" t="s">
        <v>2397</v>
      </c>
      <c r="C540" s="233" t="s">
        <v>6698</v>
      </c>
      <c r="D540" s="233" t="s">
        <v>6699</v>
      </c>
      <c r="E540" s="233" t="s">
        <v>6700</v>
      </c>
      <c r="F540" s="233" t="s">
        <v>6701</v>
      </c>
      <c r="G540" s="233" t="s">
        <v>6702</v>
      </c>
      <c r="H540" s="234" t="s">
        <v>4170</v>
      </c>
    </row>
    <row r="541" spans="1:8" hidden="1" x14ac:dyDescent="0.2">
      <c r="A541" s="63"/>
      <c r="B541" s="232" t="s">
        <v>2397</v>
      </c>
      <c r="C541" s="233" t="s">
        <v>6703</v>
      </c>
      <c r="D541" s="233" t="s">
        <v>6704</v>
      </c>
      <c r="E541" s="233" t="s">
        <v>6705</v>
      </c>
      <c r="F541" s="233" t="s">
        <v>6706</v>
      </c>
      <c r="G541" s="233" t="s">
        <v>6707</v>
      </c>
      <c r="H541" s="234" t="s">
        <v>4170</v>
      </c>
    </row>
    <row r="542" spans="1:8" hidden="1" x14ac:dyDescent="0.2">
      <c r="A542" s="63"/>
      <c r="B542" s="232" t="s">
        <v>2397</v>
      </c>
      <c r="C542" s="233" t="s">
        <v>6708</v>
      </c>
      <c r="D542" s="233" t="s">
        <v>6709</v>
      </c>
      <c r="E542" s="233" t="s">
        <v>6710</v>
      </c>
      <c r="F542" s="233" t="s">
        <v>6711</v>
      </c>
      <c r="G542" s="233" t="s">
        <v>6712</v>
      </c>
      <c r="H542" s="234" t="s">
        <v>4170</v>
      </c>
    </row>
    <row r="543" spans="1:8" hidden="1" x14ac:dyDescent="0.2">
      <c r="A543" s="63"/>
      <c r="B543" s="232" t="s">
        <v>2397</v>
      </c>
      <c r="C543" s="233" t="s">
        <v>6713</v>
      </c>
      <c r="D543" s="233" t="s">
        <v>6714</v>
      </c>
      <c r="E543" s="233" t="s">
        <v>6715</v>
      </c>
      <c r="F543" s="233" t="s">
        <v>6716</v>
      </c>
      <c r="G543" s="233" t="s">
        <v>6717</v>
      </c>
      <c r="H543" s="234" t="s">
        <v>4170</v>
      </c>
    </row>
    <row r="544" spans="1:8" hidden="1" x14ac:dyDescent="0.2">
      <c r="A544" s="63"/>
      <c r="B544" s="232" t="s">
        <v>2397</v>
      </c>
      <c r="C544" s="233" t="s">
        <v>6718</v>
      </c>
      <c r="D544" s="233" t="s">
        <v>6719</v>
      </c>
      <c r="E544" s="233" t="s">
        <v>6720</v>
      </c>
      <c r="F544" s="233" t="s">
        <v>6721</v>
      </c>
      <c r="G544" s="233" t="s">
        <v>6722</v>
      </c>
      <c r="H544" s="234" t="s">
        <v>4170</v>
      </c>
    </row>
    <row r="545" spans="1:8" hidden="1" x14ac:dyDescent="0.2">
      <c r="A545" s="63"/>
      <c r="B545" s="232" t="s">
        <v>2397</v>
      </c>
      <c r="C545" s="233" t="s">
        <v>6723</v>
      </c>
      <c r="D545" s="233" t="s">
        <v>6724</v>
      </c>
      <c r="E545" s="233" t="s">
        <v>6725</v>
      </c>
      <c r="F545" s="233" t="s">
        <v>6726</v>
      </c>
      <c r="G545" s="233" t="s">
        <v>6727</v>
      </c>
      <c r="H545" s="234" t="s">
        <v>4170</v>
      </c>
    </row>
    <row r="546" spans="1:8" hidden="1" x14ac:dyDescent="0.2">
      <c r="A546" s="63"/>
      <c r="B546" s="232" t="s">
        <v>2397</v>
      </c>
      <c r="C546" s="233" t="s">
        <v>6728</v>
      </c>
      <c r="D546" s="233" t="s">
        <v>6729</v>
      </c>
      <c r="E546" s="233" t="s">
        <v>6730</v>
      </c>
      <c r="F546" s="233" t="s">
        <v>6731</v>
      </c>
      <c r="G546" s="233" t="s">
        <v>6732</v>
      </c>
      <c r="H546" s="234" t="s">
        <v>4170</v>
      </c>
    </row>
    <row r="547" spans="1:8" hidden="1" x14ac:dyDescent="0.2">
      <c r="A547" s="63"/>
      <c r="B547" s="232" t="s">
        <v>2397</v>
      </c>
      <c r="C547" s="233" t="s">
        <v>6733</v>
      </c>
      <c r="D547" s="233" t="s">
        <v>6734</v>
      </c>
      <c r="E547" s="233" t="s">
        <v>6735</v>
      </c>
      <c r="F547" s="233" t="s">
        <v>6736</v>
      </c>
      <c r="G547" s="233" t="s">
        <v>6737</v>
      </c>
      <c r="H547" s="234" t="s">
        <v>4170</v>
      </c>
    </row>
    <row r="548" spans="1:8" hidden="1" x14ac:dyDescent="0.2">
      <c r="A548" s="63"/>
      <c r="B548" s="232" t="s">
        <v>2397</v>
      </c>
      <c r="C548" s="233" t="s">
        <v>6738</v>
      </c>
      <c r="D548" s="233" t="s">
        <v>6739</v>
      </c>
      <c r="E548" s="233" t="s">
        <v>6738</v>
      </c>
      <c r="F548" s="233" t="s">
        <v>6738</v>
      </c>
      <c r="G548" s="233" t="s">
        <v>6738</v>
      </c>
      <c r="H548" s="234" t="s">
        <v>4170</v>
      </c>
    </row>
    <row r="549" spans="1:8" hidden="1" x14ac:dyDescent="0.2">
      <c r="A549" s="63"/>
      <c r="B549" s="232" t="s">
        <v>2397</v>
      </c>
      <c r="C549" s="233" t="s">
        <v>6740</v>
      </c>
      <c r="D549" s="233" t="s">
        <v>6741</v>
      </c>
      <c r="E549" s="233" t="s">
        <v>6742</v>
      </c>
      <c r="F549" s="233" t="s">
        <v>6743</v>
      </c>
      <c r="G549" s="233" t="s">
        <v>6744</v>
      </c>
      <c r="H549" s="234" t="s">
        <v>4170</v>
      </c>
    </row>
    <row r="550" spans="1:8" hidden="1" x14ac:dyDescent="0.2">
      <c r="A550" s="63"/>
      <c r="B550" s="232" t="s">
        <v>2397</v>
      </c>
      <c r="C550" s="233" t="s">
        <v>6745</v>
      </c>
      <c r="D550" s="233" t="s">
        <v>6746</v>
      </c>
      <c r="E550" s="233" t="s">
        <v>6747</v>
      </c>
      <c r="F550" s="233" t="s">
        <v>6748</v>
      </c>
      <c r="G550" s="233" t="s">
        <v>6749</v>
      </c>
      <c r="H550" s="234" t="s">
        <v>4170</v>
      </c>
    </row>
    <row r="551" spans="1:8" x14ac:dyDescent="0.2">
      <c r="A551" s="63"/>
      <c r="B551" s="232" t="s">
        <v>17</v>
      </c>
      <c r="C551" s="233" t="s">
        <v>2730</v>
      </c>
      <c r="D551" s="233" t="s">
        <v>2730</v>
      </c>
      <c r="E551" s="233" t="s">
        <v>2730</v>
      </c>
      <c r="F551" s="233" t="s">
        <v>2730</v>
      </c>
      <c r="G551" s="233" t="s">
        <v>2730</v>
      </c>
      <c r="H551" s="234" t="s">
        <v>2731</v>
      </c>
    </row>
    <row r="552" spans="1:8" x14ac:dyDescent="0.2">
      <c r="A552" s="63"/>
      <c r="B552" s="232" t="s">
        <v>17</v>
      </c>
      <c r="C552" s="233" t="s">
        <v>2732</v>
      </c>
      <c r="D552" s="233" t="s">
        <v>2733</v>
      </c>
      <c r="E552" s="233" t="s">
        <v>2734</v>
      </c>
      <c r="F552" s="233" t="s">
        <v>2735</v>
      </c>
      <c r="G552" s="233" t="s">
        <v>2736</v>
      </c>
      <c r="H552" s="234" t="s">
        <v>2421</v>
      </c>
    </row>
    <row r="553" spans="1:8" x14ac:dyDescent="0.2">
      <c r="A553" s="63"/>
      <c r="B553" s="232" t="s">
        <v>17</v>
      </c>
      <c r="C553" s="233" t="s">
        <v>2737</v>
      </c>
      <c r="D553" s="233" t="s">
        <v>2738</v>
      </c>
      <c r="E553" s="233" t="s">
        <v>2739</v>
      </c>
      <c r="F553" s="233" t="s">
        <v>2740</v>
      </c>
      <c r="G553" s="233" t="s">
        <v>2741</v>
      </c>
      <c r="H553" s="234" t="s">
        <v>2421</v>
      </c>
    </row>
    <row r="554" spans="1:8" x14ac:dyDescent="0.2">
      <c r="A554" s="63"/>
      <c r="B554" s="232" t="s">
        <v>17</v>
      </c>
      <c r="C554" s="233" t="s">
        <v>2742</v>
      </c>
      <c r="D554" s="233" t="s">
        <v>2743</v>
      </c>
      <c r="E554" s="233" t="s">
        <v>2744</v>
      </c>
      <c r="F554" s="233" t="s">
        <v>2742</v>
      </c>
      <c r="G554" s="233" t="s">
        <v>2742</v>
      </c>
      <c r="H554" s="234" t="s">
        <v>2731</v>
      </c>
    </row>
    <row r="555" spans="1:8" x14ac:dyDescent="0.2">
      <c r="A555" s="63"/>
      <c r="B555" s="232" t="s">
        <v>17</v>
      </c>
      <c r="C555" s="233" t="s">
        <v>2745</v>
      </c>
      <c r="D555" s="233" t="s">
        <v>2746</v>
      </c>
      <c r="E555" s="233" t="s">
        <v>2747</v>
      </c>
      <c r="F555" s="233" t="s">
        <v>2745</v>
      </c>
      <c r="G555" s="233" t="s">
        <v>2745</v>
      </c>
      <c r="H555" s="234" t="s">
        <v>2731</v>
      </c>
    </row>
    <row r="556" spans="1:8" x14ac:dyDescent="0.2">
      <c r="A556" s="63"/>
      <c r="B556" s="232" t="s">
        <v>17</v>
      </c>
      <c r="C556" s="233" t="s">
        <v>2748</v>
      </c>
      <c r="D556" s="233" t="s">
        <v>2749</v>
      </c>
      <c r="E556" s="233" t="s">
        <v>2750</v>
      </c>
      <c r="F556" s="233" t="s">
        <v>2750</v>
      </c>
      <c r="G556" s="233" t="s">
        <v>2751</v>
      </c>
      <c r="H556" s="234" t="s">
        <v>2419</v>
      </c>
    </row>
    <row r="557" spans="1:8" x14ac:dyDescent="0.2">
      <c r="A557" s="63"/>
      <c r="B557" s="232" t="s">
        <v>17</v>
      </c>
      <c r="C557" s="233" t="s">
        <v>2752</v>
      </c>
      <c r="D557" s="233" t="s">
        <v>2752</v>
      </c>
      <c r="E557" s="233" t="s">
        <v>2753</v>
      </c>
      <c r="F557" s="233" t="s">
        <v>2752</v>
      </c>
      <c r="G557" s="233" t="s">
        <v>2754</v>
      </c>
      <c r="H557" s="234" t="s">
        <v>2421</v>
      </c>
    </row>
    <row r="558" spans="1:8" x14ac:dyDescent="0.2">
      <c r="A558" s="63"/>
      <c r="B558" s="232" t="s">
        <v>17</v>
      </c>
      <c r="C558" s="233" t="s">
        <v>2755</v>
      </c>
      <c r="D558" s="233" t="s">
        <v>2755</v>
      </c>
      <c r="E558" s="233" t="s">
        <v>2756</v>
      </c>
      <c r="F558" s="233" t="s">
        <v>2755</v>
      </c>
      <c r="G558" s="233" t="s">
        <v>2757</v>
      </c>
      <c r="H558" s="234" t="s">
        <v>2421</v>
      </c>
    </row>
    <row r="559" spans="1:8" x14ac:dyDescent="0.2">
      <c r="A559" s="63"/>
      <c r="B559" s="232" t="s">
        <v>17</v>
      </c>
      <c r="C559" s="233" t="s">
        <v>2758</v>
      </c>
      <c r="D559" s="233" t="s">
        <v>7</v>
      </c>
      <c r="E559" s="233" t="s">
        <v>2759</v>
      </c>
      <c r="F559" s="233" t="s">
        <v>2760</v>
      </c>
      <c r="G559" s="233" t="s">
        <v>2706</v>
      </c>
      <c r="H559" s="234" t="s">
        <v>2416</v>
      </c>
    </row>
    <row r="560" spans="1:8" x14ac:dyDescent="0.2">
      <c r="A560" s="63"/>
      <c r="B560" s="232" t="s">
        <v>17</v>
      </c>
      <c r="C560" s="233" t="s">
        <v>2761</v>
      </c>
      <c r="D560" s="233" t="s">
        <v>2762</v>
      </c>
      <c r="E560" s="233" t="s">
        <v>2763</v>
      </c>
      <c r="F560" s="233" t="s">
        <v>2764</v>
      </c>
      <c r="G560" s="233" t="s">
        <v>2761</v>
      </c>
      <c r="H560" s="234" t="s">
        <v>2419</v>
      </c>
    </row>
    <row r="561" spans="1:8" x14ac:dyDescent="0.2">
      <c r="A561" s="63"/>
      <c r="B561" s="232" t="s">
        <v>17</v>
      </c>
      <c r="C561" s="233" t="s">
        <v>2765</v>
      </c>
      <c r="D561" s="233" t="s">
        <v>2765</v>
      </c>
      <c r="E561" s="233" t="s">
        <v>2765</v>
      </c>
      <c r="F561" s="233" t="s">
        <v>2765</v>
      </c>
      <c r="G561" s="233" t="s">
        <v>2765</v>
      </c>
      <c r="H561" s="234" t="s">
        <v>2417</v>
      </c>
    </row>
    <row r="562" spans="1:8" x14ac:dyDescent="0.2">
      <c r="A562" s="63"/>
      <c r="B562" s="232" t="s">
        <v>17</v>
      </c>
      <c r="C562" s="233" t="s">
        <v>2766</v>
      </c>
      <c r="D562" s="233" t="s">
        <v>2767</v>
      </c>
      <c r="E562" s="233" t="s">
        <v>2768</v>
      </c>
      <c r="F562" s="233" t="s">
        <v>2766</v>
      </c>
      <c r="G562" s="233" t="s">
        <v>2769</v>
      </c>
      <c r="H562" s="234" t="s">
        <v>2731</v>
      </c>
    </row>
    <row r="563" spans="1:8" x14ac:dyDescent="0.2">
      <c r="A563" s="63"/>
      <c r="B563" s="232" t="s">
        <v>17</v>
      </c>
      <c r="C563" s="233" t="s">
        <v>2770</v>
      </c>
      <c r="D563" s="233" t="s">
        <v>2771</v>
      </c>
      <c r="E563" s="233" t="s">
        <v>2772</v>
      </c>
      <c r="F563" s="233" t="s">
        <v>2770</v>
      </c>
      <c r="G563" s="233" t="s">
        <v>2773</v>
      </c>
      <c r="H563" s="234" t="s">
        <v>2731</v>
      </c>
    </row>
    <row r="564" spans="1:8" x14ac:dyDescent="0.2">
      <c r="A564" s="63"/>
      <c r="B564" s="232" t="s">
        <v>17</v>
      </c>
      <c r="C564" s="233" t="s">
        <v>2774</v>
      </c>
      <c r="D564" s="233" t="s">
        <v>2775</v>
      </c>
      <c r="E564" s="233" t="s">
        <v>2776</v>
      </c>
      <c r="F564" s="233" t="s">
        <v>2774</v>
      </c>
      <c r="G564" s="233" t="s">
        <v>2774</v>
      </c>
      <c r="H564" s="234" t="s">
        <v>2731</v>
      </c>
    </row>
    <row r="565" spans="1:8" x14ac:dyDescent="0.2">
      <c r="A565" s="63"/>
      <c r="B565" s="232" t="s">
        <v>17</v>
      </c>
      <c r="C565" s="233" t="s">
        <v>2777</v>
      </c>
      <c r="D565" s="233" t="s">
        <v>2778</v>
      </c>
      <c r="E565" s="233" t="s">
        <v>2779</v>
      </c>
      <c r="F565" s="233" t="s">
        <v>2777</v>
      </c>
      <c r="G565" s="233" t="s">
        <v>2777</v>
      </c>
      <c r="H565" s="234" t="s">
        <v>2731</v>
      </c>
    </row>
    <row r="566" spans="1:8" x14ac:dyDescent="0.2">
      <c r="A566" s="63"/>
      <c r="B566" s="232" t="s">
        <v>17</v>
      </c>
      <c r="C566" s="233" t="s">
        <v>2780</v>
      </c>
      <c r="D566" s="233" t="s">
        <v>2781</v>
      </c>
      <c r="E566" s="233" t="s">
        <v>2782</v>
      </c>
      <c r="F566" s="233" t="s">
        <v>2780</v>
      </c>
      <c r="G566" s="233" t="s">
        <v>2780</v>
      </c>
      <c r="H566" s="234" t="s">
        <v>2731</v>
      </c>
    </row>
    <row r="567" spans="1:8" x14ac:dyDescent="0.2">
      <c r="A567" s="63"/>
      <c r="B567" s="232" t="s">
        <v>17</v>
      </c>
      <c r="C567" s="233" t="s">
        <v>2783</v>
      </c>
      <c r="D567" s="233" t="s">
        <v>2784</v>
      </c>
      <c r="E567" s="233" t="s">
        <v>2785</v>
      </c>
      <c r="F567" s="233" t="s">
        <v>2786</v>
      </c>
      <c r="G567" s="233" t="s">
        <v>2787</v>
      </c>
      <c r="H567" s="234" t="s">
        <v>2420</v>
      </c>
    </row>
    <row r="568" spans="1:8" x14ac:dyDescent="0.2">
      <c r="A568" s="63"/>
      <c r="B568" s="232" t="s">
        <v>17</v>
      </c>
      <c r="C568" s="233" t="s">
        <v>2788</v>
      </c>
      <c r="D568" s="233" t="s">
        <v>2789</v>
      </c>
      <c r="E568" s="233" t="s">
        <v>2790</v>
      </c>
      <c r="F568" s="233" t="s">
        <v>2791</v>
      </c>
      <c r="G568" s="233" t="s">
        <v>2792</v>
      </c>
      <c r="H568" s="234" t="s">
        <v>2420</v>
      </c>
    </row>
    <row r="569" spans="1:8" x14ac:dyDescent="0.2">
      <c r="A569" s="63"/>
      <c r="B569" s="232" t="s">
        <v>17</v>
      </c>
      <c r="C569" s="233" t="s">
        <v>2793</v>
      </c>
      <c r="D569" s="233" t="s">
        <v>2794</v>
      </c>
      <c r="E569" s="233" t="s">
        <v>2795</v>
      </c>
      <c r="F569" s="233" t="s">
        <v>2793</v>
      </c>
      <c r="G569" s="233" t="s">
        <v>2796</v>
      </c>
      <c r="H569" s="234" t="s">
        <v>2420</v>
      </c>
    </row>
    <row r="570" spans="1:8" x14ac:dyDescent="0.2">
      <c r="A570" s="63"/>
      <c r="B570" s="232" t="s">
        <v>17</v>
      </c>
      <c r="C570" s="233" t="s">
        <v>2797</v>
      </c>
      <c r="D570" s="233" t="s">
        <v>2798</v>
      </c>
      <c r="E570" s="233" t="s">
        <v>2797</v>
      </c>
      <c r="F570" s="233" t="s">
        <v>2797</v>
      </c>
      <c r="G570" s="233" t="s">
        <v>2799</v>
      </c>
      <c r="H570" s="234" t="s">
        <v>2417</v>
      </c>
    </row>
    <row r="571" spans="1:8" x14ac:dyDescent="0.2">
      <c r="A571" s="63"/>
      <c r="B571" s="232" t="s">
        <v>17</v>
      </c>
      <c r="C571" s="233" t="s">
        <v>2800</v>
      </c>
      <c r="D571" s="233" t="s">
        <v>2801</v>
      </c>
      <c r="E571" s="233" t="s">
        <v>2800</v>
      </c>
      <c r="F571" s="233" t="s">
        <v>2800</v>
      </c>
      <c r="G571" s="233" t="s">
        <v>2800</v>
      </c>
      <c r="H571" s="234" t="s">
        <v>63</v>
      </c>
    </row>
    <row r="572" spans="1:8" x14ac:dyDescent="0.2">
      <c r="A572" s="63"/>
      <c r="B572" s="232" t="s">
        <v>17</v>
      </c>
      <c r="C572" s="233" t="s">
        <v>2802</v>
      </c>
      <c r="D572" s="233" t="s">
        <v>2803</v>
      </c>
      <c r="E572" s="233" t="s">
        <v>2802</v>
      </c>
      <c r="F572" s="233" t="s">
        <v>2802</v>
      </c>
      <c r="G572" s="233" t="s">
        <v>2802</v>
      </c>
      <c r="H572" s="234" t="s">
        <v>63</v>
      </c>
    </row>
    <row r="573" spans="1:8" x14ac:dyDescent="0.2">
      <c r="A573" s="63"/>
      <c r="B573" s="232" t="s">
        <v>17</v>
      </c>
      <c r="C573" s="233" t="s">
        <v>2804</v>
      </c>
      <c r="D573" s="233" t="s">
        <v>2805</v>
      </c>
      <c r="E573" s="233" t="s">
        <v>2804</v>
      </c>
      <c r="F573" s="233" t="s">
        <v>2804</v>
      </c>
      <c r="G573" s="233" t="s">
        <v>2804</v>
      </c>
      <c r="H573" s="234" t="s">
        <v>63</v>
      </c>
    </row>
    <row r="574" spans="1:8" x14ac:dyDescent="0.2">
      <c r="A574" s="63"/>
      <c r="B574" s="232" t="s">
        <v>17</v>
      </c>
      <c r="C574" s="233" t="s">
        <v>2806</v>
      </c>
      <c r="D574" s="233" t="s">
        <v>2807</v>
      </c>
      <c r="E574" s="233" t="s">
        <v>2806</v>
      </c>
      <c r="F574" s="233" t="s">
        <v>2806</v>
      </c>
      <c r="G574" s="233" t="s">
        <v>2806</v>
      </c>
      <c r="H574" s="234" t="s">
        <v>63</v>
      </c>
    </row>
    <row r="575" spans="1:8" x14ac:dyDescent="0.2">
      <c r="A575" s="63"/>
      <c r="B575" s="232" t="s">
        <v>17</v>
      </c>
      <c r="C575" s="233" t="s">
        <v>2808</v>
      </c>
      <c r="D575" s="233" t="s">
        <v>2809</v>
      </c>
      <c r="E575" s="233" t="s">
        <v>2810</v>
      </c>
      <c r="F575" s="233" t="s">
        <v>2811</v>
      </c>
      <c r="G575" s="233" t="s">
        <v>2812</v>
      </c>
      <c r="H575" s="234" t="s">
        <v>2420</v>
      </c>
    </row>
    <row r="576" spans="1:8" x14ac:dyDescent="0.2">
      <c r="A576" s="63"/>
      <c r="B576" s="232" t="s">
        <v>17</v>
      </c>
      <c r="C576" s="233" t="s">
        <v>2813</v>
      </c>
      <c r="D576" s="233" t="s">
        <v>2814</v>
      </c>
      <c r="E576" s="233" t="s">
        <v>2813</v>
      </c>
      <c r="F576" s="233" t="s">
        <v>2815</v>
      </c>
      <c r="G576" s="233" t="s">
        <v>2816</v>
      </c>
      <c r="H576" s="234" t="s">
        <v>2420</v>
      </c>
    </row>
    <row r="577" spans="1:8" x14ac:dyDescent="0.2">
      <c r="A577" s="63"/>
      <c r="B577" s="232" t="s">
        <v>17</v>
      </c>
      <c r="C577" s="233" t="s">
        <v>2817</v>
      </c>
      <c r="D577" s="233" t="s">
        <v>2818</v>
      </c>
      <c r="E577" s="233" t="s">
        <v>2819</v>
      </c>
      <c r="F577" s="233" t="s">
        <v>2820</v>
      </c>
      <c r="G577" s="233" t="s">
        <v>2821</v>
      </c>
      <c r="H577" s="234" t="s">
        <v>63</v>
      </c>
    </row>
    <row r="578" spans="1:8" x14ac:dyDescent="0.2">
      <c r="A578" s="63"/>
      <c r="B578" s="232" t="s">
        <v>17</v>
      </c>
      <c r="C578" s="233" t="s">
        <v>2822</v>
      </c>
      <c r="D578" s="233" t="s">
        <v>2823</v>
      </c>
      <c r="E578" s="233" t="s">
        <v>2824</v>
      </c>
      <c r="F578" s="233" t="s">
        <v>2825</v>
      </c>
      <c r="G578" s="233" t="s">
        <v>2826</v>
      </c>
      <c r="H578" s="234" t="s">
        <v>63</v>
      </c>
    </row>
    <row r="579" spans="1:8" x14ac:dyDescent="0.2">
      <c r="A579" s="63"/>
      <c r="B579" s="232" t="s">
        <v>17</v>
      </c>
      <c r="C579" s="233" t="s">
        <v>2827</v>
      </c>
      <c r="D579" s="233" t="s">
        <v>2828</v>
      </c>
      <c r="E579" s="233" t="s">
        <v>2829</v>
      </c>
      <c r="F579" s="233" t="s">
        <v>2830</v>
      </c>
      <c r="G579" s="233" t="s">
        <v>2831</v>
      </c>
      <c r="H579" s="234" t="s">
        <v>63</v>
      </c>
    </row>
    <row r="580" spans="1:8" x14ac:dyDescent="0.2">
      <c r="A580" s="63"/>
      <c r="B580" s="232" t="s">
        <v>17</v>
      </c>
      <c r="C580" s="233" t="s">
        <v>2832</v>
      </c>
      <c r="D580" s="233" t="s">
        <v>2833</v>
      </c>
      <c r="E580" s="233" t="s">
        <v>2834</v>
      </c>
      <c r="F580" s="233" t="s">
        <v>2835</v>
      </c>
      <c r="G580" s="233" t="s">
        <v>2836</v>
      </c>
      <c r="H580" s="234" t="s">
        <v>2420</v>
      </c>
    </row>
    <row r="581" spans="1:8" x14ac:dyDescent="0.2">
      <c r="A581" s="63"/>
      <c r="B581" s="232" t="s">
        <v>17</v>
      </c>
      <c r="C581" s="233" t="s">
        <v>2837</v>
      </c>
      <c r="D581" s="233" t="s">
        <v>2838</v>
      </c>
      <c r="E581" s="233" t="s">
        <v>2839</v>
      </c>
      <c r="F581" s="233" t="s">
        <v>2840</v>
      </c>
      <c r="G581" s="233" t="s">
        <v>2841</v>
      </c>
      <c r="H581" s="234" t="s">
        <v>2731</v>
      </c>
    </row>
    <row r="582" spans="1:8" x14ac:dyDescent="0.2">
      <c r="A582" s="63"/>
      <c r="B582" s="232" t="s">
        <v>17</v>
      </c>
      <c r="C582" s="233" t="s">
        <v>2842</v>
      </c>
      <c r="D582" s="233" t="s">
        <v>2843</v>
      </c>
      <c r="E582" s="233" t="s">
        <v>2844</v>
      </c>
      <c r="F582" s="233" t="s">
        <v>2845</v>
      </c>
      <c r="G582" s="233" t="s">
        <v>2846</v>
      </c>
      <c r="H582" s="234" t="s">
        <v>2847</v>
      </c>
    </row>
    <row r="583" spans="1:8" x14ac:dyDescent="0.2">
      <c r="A583" s="63"/>
      <c r="B583" s="232" t="s">
        <v>17</v>
      </c>
      <c r="C583" s="233" t="s">
        <v>2848</v>
      </c>
      <c r="D583" s="233" t="s">
        <v>2849</v>
      </c>
      <c r="E583" s="233" t="s">
        <v>2850</v>
      </c>
      <c r="F583" s="233" t="s">
        <v>2851</v>
      </c>
      <c r="G583" s="233" t="s">
        <v>2852</v>
      </c>
      <c r="H583" s="234" t="s">
        <v>2417</v>
      </c>
    </row>
    <row r="584" spans="1:8" x14ac:dyDescent="0.2">
      <c r="A584" s="63"/>
      <c r="B584" s="232" t="s">
        <v>17</v>
      </c>
      <c r="C584" s="233" t="s">
        <v>2853</v>
      </c>
      <c r="D584" s="233" t="s">
        <v>2854</v>
      </c>
      <c r="E584" s="233" t="s">
        <v>2855</v>
      </c>
      <c r="F584" s="233" t="s">
        <v>2856</v>
      </c>
      <c r="G584" s="233" t="s">
        <v>2857</v>
      </c>
      <c r="H584" s="234" t="s">
        <v>2420</v>
      </c>
    </row>
    <row r="585" spans="1:8" x14ac:dyDescent="0.2">
      <c r="A585" s="63"/>
      <c r="B585" s="232" t="s">
        <v>17</v>
      </c>
      <c r="C585" s="233" t="s">
        <v>2858</v>
      </c>
      <c r="D585" s="233" t="s">
        <v>2859</v>
      </c>
      <c r="E585" s="233" t="s">
        <v>2858</v>
      </c>
      <c r="F585" s="233" t="s">
        <v>2860</v>
      </c>
      <c r="G585" s="233" t="s">
        <v>2861</v>
      </c>
      <c r="H585" s="234" t="s">
        <v>2420</v>
      </c>
    </row>
    <row r="586" spans="1:8" x14ac:dyDescent="0.2">
      <c r="A586" s="63"/>
      <c r="B586" s="232" t="s">
        <v>17</v>
      </c>
      <c r="C586" s="233" t="s">
        <v>2862</v>
      </c>
      <c r="D586" s="233" t="s">
        <v>2863</v>
      </c>
      <c r="E586" s="233" t="s">
        <v>2862</v>
      </c>
      <c r="F586" s="233" t="s">
        <v>2864</v>
      </c>
      <c r="G586" s="233" t="s">
        <v>2865</v>
      </c>
      <c r="H586" s="234" t="s">
        <v>2420</v>
      </c>
    </row>
    <row r="587" spans="1:8" x14ac:dyDescent="0.2">
      <c r="A587" s="63"/>
      <c r="B587" s="232" t="s">
        <v>17</v>
      </c>
      <c r="C587" s="233" t="s">
        <v>2866</v>
      </c>
      <c r="D587" s="233" t="s">
        <v>2867</v>
      </c>
      <c r="E587" s="233" t="s">
        <v>2868</v>
      </c>
      <c r="F587" s="233" t="s">
        <v>2869</v>
      </c>
      <c r="G587" s="233" t="s">
        <v>2870</v>
      </c>
      <c r="H587" s="234" t="s">
        <v>2419</v>
      </c>
    </row>
    <row r="588" spans="1:8" x14ac:dyDescent="0.2">
      <c r="A588" s="63"/>
      <c r="B588" s="232" t="s">
        <v>17</v>
      </c>
      <c r="C588" s="233" t="s">
        <v>2872</v>
      </c>
      <c r="D588" s="233" t="s">
        <v>2873</v>
      </c>
      <c r="E588" s="233" t="s">
        <v>2874</v>
      </c>
      <c r="F588" s="233" t="s">
        <v>2875</v>
      </c>
      <c r="G588" s="233" t="s">
        <v>2876</v>
      </c>
      <c r="H588" s="234" t="s">
        <v>2417</v>
      </c>
    </row>
    <row r="589" spans="1:8" x14ac:dyDescent="0.2">
      <c r="A589" s="63"/>
      <c r="B589" s="232" t="s">
        <v>17</v>
      </c>
      <c r="C589" s="233" t="s">
        <v>2877</v>
      </c>
      <c r="D589" s="233" t="s">
        <v>2877</v>
      </c>
      <c r="E589" s="233" t="s">
        <v>2877</v>
      </c>
      <c r="F589" s="233" t="s">
        <v>2877</v>
      </c>
      <c r="G589" s="233" t="s">
        <v>2878</v>
      </c>
      <c r="H589" s="234" t="s">
        <v>2417</v>
      </c>
    </row>
    <row r="590" spans="1:8" x14ac:dyDescent="0.2">
      <c r="A590" s="63"/>
      <c r="B590" s="232" t="s">
        <v>17</v>
      </c>
      <c r="C590" s="233" t="s">
        <v>2879</v>
      </c>
      <c r="D590" s="233" t="s">
        <v>2880</v>
      </c>
      <c r="E590" s="233" t="s">
        <v>2881</v>
      </c>
      <c r="F590" s="233" t="s">
        <v>2882</v>
      </c>
      <c r="G590" s="233" t="s">
        <v>2883</v>
      </c>
      <c r="H590" s="234" t="s">
        <v>2419</v>
      </c>
    </row>
    <row r="591" spans="1:8" x14ac:dyDescent="0.2">
      <c r="A591" s="63"/>
      <c r="B591" s="232" t="s">
        <v>17</v>
      </c>
      <c r="C591" s="233" t="s">
        <v>2884</v>
      </c>
      <c r="D591" s="233" t="s">
        <v>2885</v>
      </c>
      <c r="E591" s="233" t="s">
        <v>2886</v>
      </c>
      <c r="F591" s="233" t="s">
        <v>2887</v>
      </c>
      <c r="G591" s="233" t="s">
        <v>2888</v>
      </c>
      <c r="H591" s="234" t="s">
        <v>2419</v>
      </c>
    </row>
    <row r="592" spans="1:8" x14ac:dyDescent="0.2">
      <c r="A592" s="63"/>
      <c r="B592" s="232" t="s">
        <v>17</v>
      </c>
      <c r="C592" s="233" t="s">
        <v>2889</v>
      </c>
      <c r="D592" s="233" t="s">
        <v>2890</v>
      </c>
      <c r="E592" s="233" t="s">
        <v>2891</v>
      </c>
      <c r="F592" s="233" t="s">
        <v>2889</v>
      </c>
      <c r="G592" s="233" t="s">
        <v>2892</v>
      </c>
      <c r="H592" s="234" t="s">
        <v>2731</v>
      </c>
    </row>
    <row r="593" spans="1:8" x14ac:dyDescent="0.2">
      <c r="A593" s="63"/>
      <c r="B593" s="232" t="s">
        <v>17</v>
      </c>
      <c r="C593" s="233" t="s">
        <v>2893</v>
      </c>
      <c r="D593" s="233" t="s">
        <v>2893</v>
      </c>
      <c r="E593" s="233" t="s">
        <v>2894</v>
      </c>
      <c r="F593" s="233" t="s">
        <v>2895</v>
      </c>
      <c r="G593" s="233" t="s">
        <v>2896</v>
      </c>
      <c r="H593" s="234" t="s">
        <v>63</v>
      </c>
    </row>
    <row r="594" spans="1:8" x14ac:dyDescent="0.2">
      <c r="A594" s="63"/>
      <c r="B594" s="232" t="s">
        <v>17</v>
      </c>
      <c r="C594" s="233" t="s">
        <v>2897</v>
      </c>
      <c r="D594" s="233" t="s">
        <v>2898</v>
      </c>
      <c r="E594" s="233" t="s">
        <v>2899</v>
      </c>
      <c r="F594" s="233" t="s">
        <v>2900</v>
      </c>
      <c r="G594" s="233" t="s">
        <v>2901</v>
      </c>
      <c r="H594" s="234" t="s">
        <v>2417</v>
      </c>
    </row>
    <row r="595" spans="1:8" x14ac:dyDescent="0.2">
      <c r="A595" s="63"/>
      <c r="B595" s="232" t="s">
        <v>17</v>
      </c>
      <c r="C595" s="233" t="s">
        <v>2902</v>
      </c>
      <c r="D595" s="233" t="s">
        <v>2903</v>
      </c>
      <c r="E595" s="233" t="s">
        <v>2904</v>
      </c>
      <c r="F595" s="233" t="s">
        <v>2905</v>
      </c>
      <c r="G595" s="233" t="s">
        <v>2906</v>
      </c>
      <c r="H595" s="234" t="s">
        <v>2420</v>
      </c>
    </row>
    <row r="596" spans="1:8" x14ac:dyDescent="0.2">
      <c r="A596" s="63"/>
      <c r="B596" s="232" t="s">
        <v>17</v>
      </c>
      <c r="C596" s="233" t="s">
        <v>2907</v>
      </c>
      <c r="D596" s="233" t="s">
        <v>2908</v>
      </c>
      <c r="E596" s="233" t="s">
        <v>2909</v>
      </c>
      <c r="F596" s="233" t="s">
        <v>2907</v>
      </c>
      <c r="G596" s="233" t="s">
        <v>2910</v>
      </c>
      <c r="H596" s="234" t="s">
        <v>63</v>
      </c>
    </row>
    <row r="597" spans="1:8" x14ac:dyDescent="0.2">
      <c r="A597" s="63"/>
      <c r="B597" s="232" t="s">
        <v>17</v>
      </c>
      <c r="C597" s="233" t="s">
        <v>2911</v>
      </c>
      <c r="D597" s="233" t="s">
        <v>2912</v>
      </c>
      <c r="E597" s="233" t="s">
        <v>2913</v>
      </c>
      <c r="F597" s="233" t="s">
        <v>2914</v>
      </c>
      <c r="G597" s="233" t="s">
        <v>2915</v>
      </c>
      <c r="H597" s="234" t="s">
        <v>2420</v>
      </c>
    </row>
    <row r="598" spans="1:8" x14ac:dyDescent="0.2">
      <c r="A598" s="63"/>
      <c r="B598" s="232" t="s">
        <v>17</v>
      </c>
      <c r="C598" s="233" t="s">
        <v>2916</v>
      </c>
      <c r="D598" s="233" t="s">
        <v>2916</v>
      </c>
      <c r="E598" s="233" t="s">
        <v>2916</v>
      </c>
      <c r="F598" s="233" t="s">
        <v>2916</v>
      </c>
      <c r="G598" s="233" t="s">
        <v>2916</v>
      </c>
      <c r="H598" s="234" t="s">
        <v>2731</v>
      </c>
    </row>
    <row r="599" spans="1:8" x14ac:dyDescent="0.2">
      <c r="A599" s="63"/>
      <c r="B599" s="232" t="s">
        <v>17</v>
      </c>
      <c r="C599" s="233" t="s">
        <v>2917</v>
      </c>
      <c r="D599" s="233" t="s">
        <v>2917</v>
      </c>
      <c r="E599" s="233" t="s">
        <v>2918</v>
      </c>
      <c r="F599" s="233" t="s">
        <v>2917</v>
      </c>
      <c r="G599" s="233" t="s">
        <v>2917</v>
      </c>
      <c r="H599" s="234" t="s">
        <v>2731</v>
      </c>
    </row>
    <row r="600" spans="1:8" x14ac:dyDescent="0.2">
      <c r="A600" s="63"/>
      <c r="B600" s="232" t="s">
        <v>17</v>
      </c>
      <c r="C600" s="233" t="s">
        <v>2919</v>
      </c>
      <c r="D600" s="233" t="s">
        <v>2920</v>
      </c>
      <c r="E600" s="233" t="s">
        <v>2921</v>
      </c>
      <c r="F600" s="233" t="s">
        <v>2922</v>
      </c>
      <c r="G600" s="233" t="s">
        <v>2923</v>
      </c>
      <c r="H600" s="234" t="s">
        <v>2420</v>
      </c>
    </row>
    <row r="601" spans="1:8" x14ac:dyDescent="0.2">
      <c r="A601" s="63"/>
      <c r="B601" s="232" t="s">
        <v>17</v>
      </c>
      <c r="C601" s="233" t="s">
        <v>2924</v>
      </c>
      <c r="D601" s="233" t="s">
        <v>2925</v>
      </c>
      <c r="E601" s="233" t="s">
        <v>2926</v>
      </c>
      <c r="F601" s="233" t="s">
        <v>2927</v>
      </c>
      <c r="G601" s="233" t="s">
        <v>2928</v>
      </c>
      <c r="H601" s="234" t="s">
        <v>2420</v>
      </c>
    </row>
    <row r="602" spans="1:8" x14ac:dyDescent="0.2">
      <c r="A602" s="63"/>
      <c r="B602" s="232" t="s">
        <v>17</v>
      </c>
      <c r="C602" s="233" t="s">
        <v>2929</v>
      </c>
      <c r="D602" s="233" t="s">
        <v>2930</v>
      </c>
      <c r="E602" s="233" t="s">
        <v>2931</v>
      </c>
      <c r="F602" s="233" t="s">
        <v>2932</v>
      </c>
      <c r="G602" s="233" t="s">
        <v>2933</v>
      </c>
      <c r="H602" s="234" t="s">
        <v>2847</v>
      </c>
    </row>
    <row r="603" spans="1:8" x14ac:dyDescent="0.2">
      <c r="A603" s="63"/>
      <c r="B603" s="232" t="s">
        <v>17</v>
      </c>
      <c r="C603" s="233" t="s">
        <v>2934</v>
      </c>
      <c r="D603" s="233" t="s">
        <v>2935</v>
      </c>
      <c r="E603" s="233" t="s">
        <v>2936</v>
      </c>
      <c r="F603" s="233" t="s">
        <v>2937</v>
      </c>
      <c r="G603" s="233" t="s">
        <v>2938</v>
      </c>
      <c r="H603" s="234" t="s">
        <v>2731</v>
      </c>
    </row>
    <row r="604" spans="1:8" x14ac:dyDescent="0.2">
      <c r="A604" s="63"/>
      <c r="B604" s="232" t="s">
        <v>17</v>
      </c>
      <c r="C604" s="233" t="s">
        <v>2939</v>
      </c>
      <c r="D604" s="233" t="s">
        <v>2940</v>
      </c>
      <c r="E604" s="233" t="s">
        <v>2941</v>
      </c>
      <c r="F604" s="233" t="s">
        <v>2942</v>
      </c>
      <c r="G604" s="233" t="s">
        <v>2943</v>
      </c>
      <c r="H604" s="234" t="s">
        <v>2421</v>
      </c>
    </row>
    <row r="605" spans="1:8" x14ac:dyDescent="0.2">
      <c r="A605" s="63"/>
      <c r="B605" s="232" t="s">
        <v>17</v>
      </c>
      <c r="C605" s="233" t="s">
        <v>2944</v>
      </c>
      <c r="D605" s="233" t="s">
        <v>2945</v>
      </c>
      <c r="E605" s="233" t="s">
        <v>2946</v>
      </c>
      <c r="F605" s="233" t="s">
        <v>2947</v>
      </c>
      <c r="G605" s="233" t="s">
        <v>2948</v>
      </c>
      <c r="H605" s="234" t="s">
        <v>2421</v>
      </c>
    </row>
    <row r="606" spans="1:8" x14ac:dyDescent="0.2">
      <c r="A606" s="63"/>
      <c r="B606" s="232" t="s">
        <v>17</v>
      </c>
      <c r="C606" s="233" t="s">
        <v>2949</v>
      </c>
      <c r="D606" s="233" t="s">
        <v>2950</v>
      </c>
      <c r="E606" s="233" t="s">
        <v>2951</v>
      </c>
      <c r="F606" s="233" t="s">
        <v>2952</v>
      </c>
      <c r="G606" s="233" t="s">
        <v>2953</v>
      </c>
      <c r="H606" s="234" t="s">
        <v>2421</v>
      </c>
    </row>
    <row r="607" spans="1:8" x14ac:dyDescent="0.2">
      <c r="A607" s="63"/>
      <c r="B607" s="232" t="s">
        <v>17</v>
      </c>
      <c r="C607" s="233" t="s">
        <v>2954</v>
      </c>
      <c r="D607" s="233" t="s">
        <v>2955</v>
      </c>
      <c r="E607" s="233" t="s">
        <v>2956</v>
      </c>
      <c r="F607" s="233" t="s">
        <v>2957</v>
      </c>
      <c r="G607" s="233" t="s">
        <v>2958</v>
      </c>
      <c r="H607" s="234" t="s">
        <v>2421</v>
      </c>
    </row>
    <row r="608" spans="1:8" x14ac:dyDescent="0.2">
      <c r="A608" s="63"/>
      <c r="B608" s="232" t="s">
        <v>17</v>
      </c>
      <c r="C608" s="233" t="s">
        <v>2959</v>
      </c>
      <c r="D608" s="233" t="s">
        <v>2960</v>
      </c>
      <c r="E608" s="233" t="s">
        <v>2961</v>
      </c>
      <c r="F608" s="233" t="s">
        <v>2962</v>
      </c>
      <c r="G608" s="233" t="s">
        <v>2963</v>
      </c>
      <c r="H608" s="234" t="s">
        <v>2421</v>
      </c>
    </row>
    <row r="609" spans="1:8" x14ac:dyDescent="0.2">
      <c r="A609" s="63"/>
      <c r="B609" s="232" t="s">
        <v>17</v>
      </c>
      <c r="C609" s="233" t="s">
        <v>2964</v>
      </c>
      <c r="D609" s="233" t="s">
        <v>2965</v>
      </c>
      <c r="E609" s="233" t="s">
        <v>2966</v>
      </c>
      <c r="F609" s="233" t="s">
        <v>2967</v>
      </c>
      <c r="G609" s="233" t="s">
        <v>2968</v>
      </c>
      <c r="H609" s="234" t="s">
        <v>2421</v>
      </c>
    </row>
    <row r="610" spans="1:8" x14ac:dyDescent="0.2">
      <c r="A610" s="63"/>
      <c r="B610" s="232" t="s">
        <v>17</v>
      </c>
      <c r="C610" s="233" t="s">
        <v>2969</v>
      </c>
      <c r="D610" s="233" t="s">
        <v>2970</v>
      </c>
      <c r="E610" s="233" t="s">
        <v>2971</v>
      </c>
      <c r="F610" s="233" t="s">
        <v>2972</v>
      </c>
      <c r="G610" s="233" t="s">
        <v>2969</v>
      </c>
      <c r="H610" s="234" t="s">
        <v>2420</v>
      </c>
    </row>
    <row r="611" spans="1:8" x14ac:dyDescent="0.2">
      <c r="A611" s="63"/>
      <c r="B611" s="232" t="s">
        <v>17</v>
      </c>
      <c r="C611" s="233" t="s">
        <v>2973</v>
      </c>
      <c r="D611" s="233" t="s">
        <v>2974</v>
      </c>
      <c r="E611" s="233" t="s">
        <v>2975</v>
      </c>
      <c r="F611" s="233" t="s">
        <v>2976</v>
      </c>
      <c r="G611" s="233" t="s">
        <v>2977</v>
      </c>
      <c r="H611" s="234" t="s">
        <v>2420</v>
      </c>
    </row>
    <row r="612" spans="1:8" x14ac:dyDescent="0.2">
      <c r="A612" s="63"/>
      <c r="B612" s="232" t="s">
        <v>17</v>
      </c>
      <c r="C612" s="233" t="s">
        <v>2978</v>
      </c>
      <c r="D612" s="233" t="s">
        <v>2979</v>
      </c>
      <c r="E612" s="233" t="s">
        <v>2980</v>
      </c>
      <c r="F612" s="233" t="s">
        <v>2981</v>
      </c>
      <c r="G612" s="233" t="s">
        <v>2982</v>
      </c>
      <c r="H612" s="234" t="s">
        <v>2421</v>
      </c>
    </row>
    <row r="613" spans="1:8" x14ac:dyDescent="0.2">
      <c r="A613" s="63"/>
      <c r="B613" s="232" t="s">
        <v>17</v>
      </c>
      <c r="C613" s="233" t="s">
        <v>2983</v>
      </c>
      <c r="D613" s="233" t="s">
        <v>2984</v>
      </c>
      <c r="E613" s="233" t="s">
        <v>2985</v>
      </c>
      <c r="F613" s="233" t="s">
        <v>2986</v>
      </c>
      <c r="G613" s="233" t="s">
        <v>2987</v>
      </c>
      <c r="H613" s="234" t="s">
        <v>2421</v>
      </c>
    </row>
    <row r="614" spans="1:8" x14ac:dyDescent="0.2">
      <c r="A614" s="63"/>
      <c r="B614" s="232" t="s">
        <v>17</v>
      </c>
      <c r="C614" s="233" t="s">
        <v>2988</v>
      </c>
      <c r="D614" s="233" t="s">
        <v>2989</v>
      </c>
      <c r="E614" s="233" t="s">
        <v>2989</v>
      </c>
      <c r="F614" s="233" t="s">
        <v>2988</v>
      </c>
      <c r="G614" s="233" t="s">
        <v>2990</v>
      </c>
      <c r="H614" s="234" t="s">
        <v>2396</v>
      </c>
    </row>
    <row r="615" spans="1:8" x14ac:dyDescent="0.2">
      <c r="A615" s="63"/>
      <c r="B615" s="232" t="s">
        <v>17</v>
      </c>
      <c r="C615" s="233" t="s">
        <v>2991</v>
      </c>
      <c r="D615" s="233" t="s">
        <v>2992</v>
      </c>
      <c r="E615" s="233" t="s">
        <v>2991</v>
      </c>
      <c r="F615" s="233" t="s">
        <v>2991</v>
      </c>
      <c r="G615" s="233" t="s">
        <v>2993</v>
      </c>
      <c r="H615" s="234" t="s">
        <v>2994</v>
      </c>
    </row>
    <row r="616" spans="1:8" x14ac:dyDescent="0.2">
      <c r="A616" s="63"/>
      <c r="B616" s="232" t="s">
        <v>17</v>
      </c>
      <c r="C616" s="233" t="s">
        <v>2995</v>
      </c>
      <c r="D616" s="233" t="s">
        <v>2996</v>
      </c>
      <c r="E616" s="233" t="s">
        <v>2995</v>
      </c>
      <c r="F616" s="233" t="s">
        <v>2995</v>
      </c>
      <c r="G616" s="233" t="s">
        <v>2997</v>
      </c>
      <c r="H616" s="234" t="s">
        <v>2994</v>
      </c>
    </row>
    <row r="617" spans="1:8" x14ac:dyDescent="0.2">
      <c r="A617" s="63"/>
      <c r="B617" s="232" t="s">
        <v>17</v>
      </c>
      <c r="C617" s="233" t="s">
        <v>2998</v>
      </c>
      <c r="D617" s="233" t="s">
        <v>2999</v>
      </c>
      <c r="E617" s="233" t="s">
        <v>3000</v>
      </c>
      <c r="F617" s="233" t="s">
        <v>3001</v>
      </c>
      <c r="G617" s="233" t="s">
        <v>3002</v>
      </c>
      <c r="H617" s="234" t="s">
        <v>2396</v>
      </c>
    </row>
    <row r="618" spans="1:8" x14ac:dyDescent="0.2">
      <c r="A618" s="63"/>
      <c r="B618" s="232" t="s">
        <v>17</v>
      </c>
      <c r="C618" s="233" t="s">
        <v>3003</v>
      </c>
      <c r="D618" s="233" t="s">
        <v>3004</v>
      </c>
      <c r="E618" s="233" t="s">
        <v>3005</v>
      </c>
      <c r="F618" s="233" t="s">
        <v>3006</v>
      </c>
      <c r="G618" s="233" t="s">
        <v>3007</v>
      </c>
      <c r="H618" s="234" t="s">
        <v>2418</v>
      </c>
    </row>
    <row r="619" spans="1:8" x14ac:dyDescent="0.2">
      <c r="A619" s="63"/>
      <c r="B619" s="232" t="s">
        <v>17</v>
      </c>
      <c r="C619" s="233" t="s">
        <v>3008</v>
      </c>
      <c r="D619" s="233" t="s">
        <v>3009</v>
      </c>
      <c r="E619" s="233" t="s">
        <v>3010</v>
      </c>
      <c r="F619" s="233" t="s">
        <v>3011</v>
      </c>
      <c r="G619" s="233" t="s">
        <v>3012</v>
      </c>
      <c r="H619" s="234" t="s">
        <v>2396</v>
      </c>
    </row>
    <row r="620" spans="1:8" x14ac:dyDescent="0.2">
      <c r="A620" s="63"/>
      <c r="B620" s="232" t="s">
        <v>17</v>
      </c>
      <c r="C620" s="233" t="s">
        <v>3013</v>
      </c>
      <c r="D620" s="233" t="s">
        <v>3014</v>
      </c>
      <c r="E620" s="233" t="s">
        <v>3015</v>
      </c>
      <c r="F620" s="233" t="s">
        <v>3016</v>
      </c>
      <c r="G620" s="233" t="s">
        <v>3017</v>
      </c>
      <c r="H620" s="234" t="s">
        <v>2396</v>
      </c>
    </row>
    <row r="621" spans="1:8" x14ac:dyDescent="0.2">
      <c r="A621" s="63"/>
      <c r="B621" s="232" t="s">
        <v>17</v>
      </c>
      <c r="C621" s="233" t="s">
        <v>3018</v>
      </c>
      <c r="D621" s="233" t="s">
        <v>3018</v>
      </c>
      <c r="E621" s="233" t="s">
        <v>3019</v>
      </c>
      <c r="F621" s="233" t="s">
        <v>3018</v>
      </c>
      <c r="G621" s="233" t="s">
        <v>3018</v>
      </c>
      <c r="H621" s="234" t="s">
        <v>2421</v>
      </c>
    </row>
    <row r="622" spans="1:8" x14ac:dyDescent="0.2">
      <c r="A622" s="63"/>
      <c r="B622" s="232" t="s">
        <v>17</v>
      </c>
      <c r="C622" s="233" t="s">
        <v>3020</v>
      </c>
      <c r="D622" s="233" t="s">
        <v>3020</v>
      </c>
      <c r="E622" s="233" t="s">
        <v>3020</v>
      </c>
      <c r="F622" s="233" t="s">
        <v>3020</v>
      </c>
      <c r="G622" s="233" t="s">
        <v>3020</v>
      </c>
      <c r="H622" s="234" t="s">
        <v>3021</v>
      </c>
    </row>
    <row r="623" spans="1:8" x14ac:dyDescent="0.2">
      <c r="A623" s="63"/>
      <c r="B623" s="232" t="s">
        <v>17</v>
      </c>
      <c r="C623" s="233" t="s">
        <v>3022</v>
      </c>
      <c r="D623" s="233" t="s">
        <v>3023</v>
      </c>
      <c r="E623" s="233" t="s">
        <v>3024</v>
      </c>
      <c r="F623" s="233" t="s">
        <v>3025</v>
      </c>
      <c r="G623" s="233" t="s">
        <v>3026</v>
      </c>
      <c r="H623" s="234" t="s">
        <v>2418</v>
      </c>
    </row>
    <row r="624" spans="1:8" x14ac:dyDescent="0.2">
      <c r="A624" s="63"/>
      <c r="B624" s="232" t="s">
        <v>17</v>
      </c>
      <c r="C624" s="233" t="s">
        <v>3027</v>
      </c>
      <c r="D624" s="233" t="s">
        <v>3028</v>
      </c>
      <c r="E624" s="233" t="s">
        <v>3029</v>
      </c>
      <c r="F624" s="233" t="s">
        <v>3030</v>
      </c>
      <c r="G624" s="233" t="s">
        <v>3031</v>
      </c>
      <c r="H624" s="234" t="s">
        <v>2418</v>
      </c>
    </row>
    <row r="625" spans="1:8" x14ac:dyDescent="0.2">
      <c r="A625" s="63"/>
      <c r="B625" s="232" t="s">
        <v>17</v>
      </c>
      <c r="C625" s="233" t="s">
        <v>3032</v>
      </c>
      <c r="D625" s="233" t="s">
        <v>3032</v>
      </c>
      <c r="E625" s="233" t="s">
        <v>3033</v>
      </c>
      <c r="F625" s="233" t="s">
        <v>3032</v>
      </c>
      <c r="G625" s="233" t="s">
        <v>3032</v>
      </c>
      <c r="H625" s="234" t="s">
        <v>2421</v>
      </c>
    </row>
    <row r="626" spans="1:8" x14ac:dyDescent="0.2">
      <c r="A626" s="63"/>
      <c r="B626" s="232" t="s">
        <v>17</v>
      </c>
      <c r="C626" s="233" t="s">
        <v>3034</v>
      </c>
      <c r="D626" s="233" t="s">
        <v>3035</v>
      </c>
      <c r="E626" s="233" t="s">
        <v>3036</v>
      </c>
      <c r="F626" s="233" t="s">
        <v>3037</v>
      </c>
      <c r="G626" s="233" t="s">
        <v>3038</v>
      </c>
      <c r="H626" s="234" t="s">
        <v>63</v>
      </c>
    </row>
    <row r="627" spans="1:8" x14ac:dyDescent="0.2">
      <c r="A627" s="63"/>
      <c r="B627" s="232" t="s">
        <v>17</v>
      </c>
      <c r="C627" s="233" t="s">
        <v>3039</v>
      </c>
      <c r="D627" s="233" t="s">
        <v>3040</v>
      </c>
      <c r="E627" s="233" t="s">
        <v>3041</v>
      </c>
      <c r="F627" s="233" t="s">
        <v>3042</v>
      </c>
      <c r="G627" s="233" t="s">
        <v>3043</v>
      </c>
      <c r="H627" s="234" t="s">
        <v>63</v>
      </c>
    </row>
    <row r="628" spans="1:8" x14ac:dyDescent="0.2">
      <c r="A628" s="63"/>
      <c r="B628" s="232" t="s">
        <v>17</v>
      </c>
      <c r="C628" s="233" t="s">
        <v>3044</v>
      </c>
      <c r="D628" s="233" t="s">
        <v>3045</v>
      </c>
      <c r="E628" s="233" t="s">
        <v>3046</v>
      </c>
      <c r="F628" s="233" t="s">
        <v>3047</v>
      </c>
      <c r="G628" s="233" t="s">
        <v>3048</v>
      </c>
      <c r="H628" s="234" t="s">
        <v>63</v>
      </c>
    </row>
    <row r="629" spans="1:8" x14ac:dyDescent="0.2">
      <c r="A629" s="63"/>
      <c r="B629" s="232" t="s">
        <v>17</v>
      </c>
      <c r="C629" s="233" t="s">
        <v>3049</v>
      </c>
      <c r="D629" s="233" t="s">
        <v>3050</v>
      </c>
      <c r="E629" s="233" t="s">
        <v>3051</v>
      </c>
      <c r="F629" s="233" t="s">
        <v>3052</v>
      </c>
      <c r="G629" s="233" t="s">
        <v>3053</v>
      </c>
      <c r="H629" s="234" t="s">
        <v>2731</v>
      </c>
    </row>
    <row r="630" spans="1:8" x14ac:dyDescent="0.2">
      <c r="A630" s="63"/>
      <c r="B630" s="232" t="s">
        <v>17</v>
      </c>
      <c r="C630" s="233" t="s">
        <v>3054</v>
      </c>
      <c r="D630" s="233" t="s">
        <v>3054</v>
      </c>
      <c r="E630" s="233" t="s">
        <v>3054</v>
      </c>
      <c r="F630" s="233" t="s">
        <v>3054</v>
      </c>
      <c r="G630" s="233" t="s">
        <v>3054</v>
      </c>
      <c r="H630" s="234" t="s">
        <v>63</v>
      </c>
    </row>
    <row r="631" spans="1:8" x14ac:dyDescent="0.2">
      <c r="A631" s="63"/>
      <c r="B631" s="232" t="s">
        <v>17</v>
      </c>
      <c r="C631" s="233" t="s">
        <v>3055</v>
      </c>
      <c r="D631" s="233" t="s">
        <v>3056</v>
      </c>
      <c r="E631" s="233" t="s">
        <v>3057</v>
      </c>
      <c r="F631" s="233" t="s">
        <v>3058</v>
      </c>
      <c r="G631" s="233" t="s">
        <v>3059</v>
      </c>
      <c r="H631" s="234" t="s">
        <v>2420</v>
      </c>
    </row>
    <row r="632" spans="1:8" x14ac:dyDescent="0.2">
      <c r="A632" s="63"/>
      <c r="B632" s="232" t="s">
        <v>17</v>
      </c>
      <c r="C632" s="233" t="s">
        <v>3060</v>
      </c>
      <c r="D632" s="233" t="s">
        <v>3061</v>
      </c>
      <c r="E632" s="233" t="s">
        <v>3062</v>
      </c>
      <c r="F632" s="233" t="s">
        <v>3063</v>
      </c>
      <c r="G632" s="233" t="s">
        <v>3064</v>
      </c>
      <c r="H632" s="234" t="s">
        <v>2418</v>
      </c>
    </row>
    <row r="633" spans="1:8" x14ac:dyDescent="0.2">
      <c r="A633" s="63"/>
      <c r="B633" s="232" t="s">
        <v>17</v>
      </c>
      <c r="C633" s="233" t="s">
        <v>3065</v>
      </c>
      <c r="D633" s="233" t="s">
        <v>3066</v>
      </c>
      <c r="E633" s="233" t="s">
        <v>3067</v>
      </c>
      <c r="F633" s="233" t="s">
        <v>3068</v>
      </c>
      <c r="G633" s="233" t="s">
        <v>3069</v>
      </c>
      <c r="H633" s="234" t="s">
        <v>2421</v>
      </c>
    </row>
    <row r="634" spans="1:8" x14ac:dyDescent="0.2">
      <c r="A634" s="63"/>
      <c r="B634" s="232" t="s">
        <v>17</v>
      </c>
      <c r="C634" s="233" t="s">
        <v>3070</v>
      </c>
      <c r="D634" s="233" t="s">
        <v>3071</v>
      </c>
      <c r="E634" s="233" t="s">
        <v>3071</v>
      </c>
      <c r="F634" s="233" t="s">
        <v>3072</v>
      </c>
      <c r="G634" s="233" t="s">
        <v>3072</v>
      </c>
      <c r="H634" s="234" t="s">
        <v>2418</v>
      </c>
    </row>
    <row r="635" spans="1:8" x14ac:dyDescent="0.2">
      <c r="A635" s="63"/>
      <c r="B635" s="232" t="s">
        <v>17</v>
      </c>
      <c r="C635" s="233" t="s">
        <v>3073</v>
      </c>
      <c r="D635" s="233" t="s">
        <v>3074</v>
      </c>
      <c r="E635" s="233" t="s">
        <v>3074</v>
      </c>
      <c r="F635" s="233" t="s">
        <v>3075</v>
      </c>
      <c r="G635" s="233" t="s">
        <v>3075</v>
      </c>
      <c r="H635" s="234" t="s">
        <v>2418</v>
      </c>
    </row>
    <row r="636" spans="1:8" x14ac:dyDescent="0.2">
      <c r="A636" s="63"/>
      <c r="B636" s="232" t="s">
        <v>17</v>
      </c>
      <c r="C636" s="233" t="s">
        <v>3076</v>
      </c>
      <c r="D636" s="233" t="s">
        <v>3077</v>
      </c>
      <c r="E636" s="233" t="s">
        <v>3078</v>
      </c>
      <c r="F636" s="233" t="s">
        <v>3079</v>
      </c>
      <c r="G636" s="233" t="s">
        <v>3080</v>
      </c>
      <c r="H636" s="234" t="s">
        <v>2417</v>
      </c>
    </row>
    <row r="637" spans="1:8" x14ac:dyDescent="0.2">
      <c r="A637" s="63"/>
      <c r="B637" s="232" t="s">
        <v>17</v>
      </c>
      <c r="C637" s="233" t="s">
        <v>3081</v>
      </c>
      <c r="D637" s="233" t="s">
        <v>3082</v>
      </c>
      <c r="E637" s="233" t="s">
        <v>3083</v>
      </c>
      <c r="F637" s="233" t="s">
        <v>3084</v>
      </c>
      <c r="G637" s="233" t="s">
        <v>3085</v>
      </c>
      <c r="H637" s="234" t="s">
        <v>2421</v>
      </c>
    </row>
    <row r="638" spans="1:8" x14ac:dyDescent="0.2">
      <c r="A638" s="63"/>
      <c r="B638" s="232" t="s">
        <v>17</v>
      </c>
      <c r="C638" s="233" t="s">
        <v>3086</v>
      </c>
      <c r="D638" s="233" t="s">
        <v>3087</v>
      </c>
      <c r="E638" s="233" t="s">
        <v>3088</v>
      </c>
      <c r="F638" s="233" t="s">
        <v>3089</v>
      </c>
      <c r="G638" s="233" t="s">
        <v>3090</v>
      </c>
      <c r="H638" s="234" t="s">
        <v>2421</v>
      </c>
    </row>
    <row r="639" spans="1:8" x14ac:dyDescent="0.2">
      <c r="A639" s="63"/>
      <c r="B639" s="232" t="s">
        <v>17</v>
      </c>
      <c r="C639" s="233" t="s">
        <v>3091</v>
      </c>
      <c r="D639" s="233" t="s">
        <v>3092</v>
      </c>
      <c r="E639" s="233" t="s">
        <v>3093</v>
      </c>
      <c r="F639" s="233" t="s">
        <v>3094</v>
      </c>
      <c r="G639" s="233" t="s">
        <v>3095</v>
      </c>
      <c r="H639" s="234" t="s">
        <v>2418</v>
      </c>
    </row>
    <row r="640" spans="1:8" x14ac:dyDescent="0.2">
      <c r="A640" s="63"/>
      <c r="B640" s="232" t="s">
        <v>17</v>
      </c>
      <c r="C640" s="233" t="s">
        <v>3096</v>
      </c>
      <c r="D640" s="233" t="s">
        <v>3097</v>
      </c>
      <c r="E640" s="233" t="s">
        <v>3098</v>
      </c>
      <c r="F640" s="233" t="s">
        <v>3099</v>
      </c>
      <c r="G640" s="233" t="s">
        <v>3100</v>
      </c>
      <c r="H640" s="234" t="s">
        <v>2418</v>
      </c>
    </row>
    <row r="641" spans="1:8" x14ac:dyDescent="0.2">
      <c r="A641" s="63"/>
      <c r="B641" s="232" t="s">
        <v>17</v>
      </c>
      <c r="C641" s="233" t="s">
        <v>3101</v>
      </c>
      <c r="D641" s="233" t="s">
        <v>3102</v>
      </c>
      <c r="E641" s="233" t="s">
        <v>3103</v>
      </c>
      <c r="F641" s="233" t="s">
        <v>3104</v>
      </c>
      <c r="G641" s="233" t="s">
        <v>3105</v>
      </c>
      <c r="H641" s="234" t="s">
        <v>2418</v>
      </c>
    </row>
    <row r="642" spans="1:8" x14ac:dyDescent="0.2">
      <c r="A642" s="63"/>
      <c r="B642" s="232" t="s">
        <v>17</v>
      </c>
      <c r="C642" s="233" t="s">
        <v>3106</v>
      </c>
      <c r="D642" s="233" t="s">
        <v>3107</v>
      </c>
      <c r="E642" s="233" t="s">
        <v>3108</v>
      </c>
      <c r="F642" s="233" t="s">
        <v>3109</v>
      </c>
      <c r="G642" s="233" t="s">
        <v>3110</v>
      </c>
      <c r="H642" s="234" t="s">
        <v>2418</v>
      </c>
    </row>
    <row r="643" spans="1:8" x14ac:dyDescent="0.2">
      <c r="A643" s="63"/>
      <c r="B643" s="232" t="s">
        <v>17</v>
      </c>
      <c r="C643" s="233" t="s">
        <v>3111</v>
      </c>
      <c r="D643" s="233" t="s">
        <v>3112</v>
      </c>
      <c r="E643" s="233" t="s">
        <v>3111</v>
      </c>
      <c r="F643" s="233" t="s">
        <v>3113</v>
      </c>
      <c r="G643" s="233" t="s">
        <v>3114</v>
      </c>
      <c r="H643" s="234" t="s">
        <v>2421</v>
      </c>
    </row>
    <row r="644" spans="1:8" x14ac:dyDescent="0.2">
      <c r="A644" s="63"/>
      <c r="B644" s="232" t="s">
        <v>17</v>
      </c>
      <c r="C644" s="233" t="s">
        <v>3115</v>
      </c>
      <c r="D644" s="233" t="s">
        <v>3116</v>
      </c>
      <c r="E644" s="233" t="s">
        <v>3117</v>
      </c>
      <c r="F644" s="233" t="s">
        <v>3118</v>
      </c>
      <c r="G644" s="233" t="s">
        <v>3118</v>
      </c>
      <c r="H644" s="234" t="s">
        <v>2418</v>
      </c>
    </row>
    <row r="645" spans="1:8" x14ac:dyDescent="0.2">
      <c r="A645" s="63"/>
      <c r="B645" s="232" t="s">
        <v>17</v>
      </c>
      <c r="C645" s="233" t="s">
        <v>3119</v>
      </c>
      <c r="D645" s="233" t="s">
        <v>3120</v>
      </c>
      <c r="E645" s="233" t="s">
        <v>3121</v>
      </c>
      <c r="F645" s="233" t="s">
        <v>3122</v>
      </c>
      <c r="G645" s="233" t="s">
        <v>3122</v>
      </c>
      <c r="H645" s="234" t="s">
        <v>2418</v>
      </c>
    </row>
    <row r="646" spans="1:8" x14ac:dyDescent="0.2">
      <c r="A646" s="63"/>
      <c r="B646" s="232" t="s">
        <v>17</v>
      </c>
      <c r="C646" s="233" t="s">
        <v>3123</v>
      </c>
      <c r="D646" s="233" t="s">
        <v>3124</v>
      </c>
      <c r="E646" s="233" t="s">
        <v>3125</v>
      </c>
      <c r="F646" s="233" t="s">
        <v>3126</v>
      </c>
      <c r="G646" s="233" t="s">
        <v>3127</v>
      </c>
      <c r="H646" s="234" t="s">
        <v>2396</v>
      </c>
    </row>
    <row r="647" spans="1:8" x14ac:dyDescent="0.2">
      <c r="A647" s="63"/>
      <c r="B647" s="232" t="s">
        <v>17</v>
      </c>
      <c r="C647" s="233" t="s">
        <v>3128</v>
      </c>
      <c r="D647" s="233" t="s">
        <v>3129</v>
      </c>
      <c r="E647" s="233" t="s">
        <v>3130</v>
      </c>
      <c r="F647" s="233" t="s">
        <v>3131</v>
      </c>
      <c r="G647" s="233" t="s">
        <v>3132</v>
      </c>
      <c r="H647" s="234" t="s">
        <v>2421</v>
      </c>
    </row>
    <row r="648" spans="1:8" x14ac:dyDescent="0.2">
      <c r="A648" s="63"/>
      <c r="B648" s="232" t="s">
        <v>17</v>
      </c>
      <c r="C648" s="233" t="s">
        <v>3133</v>
      </c>
      <c r="D648" s="233" t="s">
        <v>3134</v>
      </c>
      <c r="E648" s="233" t="s">
        <v>3135</v>
      </c>
      <c r="F648" s="233" t="s">
        <v>3136</v>
      </c>
      <c r="G648" s="233" t="s">
        <v>3137</v>
      </c>
      <c r="H648" s="234" t="s">
        <v>2396</v>
      </c>
    </row>
    <row r="649" spans="1:8" x14ac:dyDescent="0.2">
      <c r="A649" s="63"/>
      <c r="B649" s="232" t="s">
        <v>17</v>
      </c>
      <c r="C649" s="233" t="s">
        <v>3138</v>
      </c>
      <c r="D649" s="233" t="s">
        <v>3139</v>
      </c>
      <c r="E649" s="233" t="s">
        <v>3140</v>
      </c>
      <c r="F649" s="233" t="s">
        <v>3138</v>
      </c>
      <c r="G649" s="233" t="s">
        <v>3141</v>
      </c>
      <c r="H649" s="234" t="s">
        <v>63</v>
      </c>
    </row>
    <row r="650" spans="1:8" x14ac:dyDescent="0.2">
      <c r="A650" s="63"/>
      <c r="B650" s="232" t="s">
        <v>17</v>
      </c>
      <c r="C650" s="233" t="s">
        <v>3142</v>
      </c>
      <c r="D650" s="233" t="s">
        <v>3143</v>
      </c>
      <c r="E650" s="233" t="s">
        <v>3144</v>
      </c>
      <c r="F650" s="233" t="s">
        <v>3142</v>
      </c>
      <c r="G650" s="233" t="s">
        <v>3145</v>
      </c>
      <c r="H650" s="234" t="s">
        <v>63</v>
      </c>
    </row>
    <row r="651" spans="1:8" x14ac:dyDescent="0.2">
      <c r="A651" s="63"/>
      <c r="B651" s="232" t="s">
        <v>17</v>
      </c>
      <c r="C651" s="233" t="s">
        <v>3146</v>
      </c>
      <c r="D651" s="233" t="s">
        <v>3147</v>
      </c>
      <c r="E651" s="233" t="s">
        <v>3148</v>
      </c>
      <c r="F651" s="233" t="s">
        <v>3149</v>
      </c>
      <c r="G651" s="233" t="s">
        <v>3150</v>
      </c>
      <c r="H651" s="234" t="s">
        <v>2847</v>
      </c>
    </row>
    <row r="652" spans="1:8" x14ac:dyDescent="0.2">
      <c r="A652" s="63"/>
      <c r="B652" s="232" t="s">
        <v>17</v>
      </c>
      <c r="C652" s="233" t="s">
        <v>3151</v>
      </c>
      <c r="D652" s="233" t="s">
        <v>3151</v>
      </c>
      <c r="E652" s="233" t="s">
        <v>3151</v>
      </c>
      <c r="F652" s="233" t="s">
        <v>3151</v>
      </c>
      <c r="G652" s="233" t="s">
        <v>3151</v>
      </c>
      <c r="H652" s="234" t="s">
        <v>3152</v>
      </c>
    </row>
    <row r="653" spans="1:8" x14ac:dyDescent="0.2">
      <c r="A653" s="63"/>
      <c r="B653" s="232" t="s">
        <v>17</v>
      </c>
      <c r="C653" s="233" t="s">
        <v>3153</v>
      </c>
      <c r="D653" s="233" t="s">
        <v>3153</v>
      </c>
      <c r="E653" s="233" t="s">
        <v>3154</v>
      </c>
      <c r="F653" s="233" t="s">
        <v>3155</v>
      </c>
      <c r="G653" s="233" t="s">
        <v>3156</v>
      </c>
      <c r="H653" s="234" t="s">
        <v>2731</v>
      </c>
    </row>
    <row r="654" spans="1:8" x14ac:dyDescent="0.2">
      <c r="A654" s="63"/>
      <c r="B654" s="232" t="s">
        <v>17</v>
      </c>
      <c r="C654" s="233" t="s">
        <v>3157</v>
      </c>
      <c r="D654" s="233" t="s">
        <v>3158</v>
      </c>
      <c r="E654" s="233" t="s">
        <v>3159</v>
      </c>
      <c r="F654" s="233" t="s">
        <v>3157</v>
      </c>
      <c r="G654" s="233" t="s">
        <v>3160</v>
      </c>
      <c r="H654" s="234" t="s">
        <v>2417</v>
      </c>
    </row>
    <row r="655" spans="1:8" x14ac:dyDescent="0.2">
      <c r="A655" s="63"/>
      <c r="B655" s="232" t="s">
        <v>17</v>
      </c>
      <c r="C655" s="233" t="s">
        <v>3161</v>
      </c>
      <c r="D655" s="233" t="s">
        <v>3161</v>
      </c>
      <c r="E655" s="233" t="s">
        <v>3161</v>
      </c>
      <c r="F655" s="233" t="s">
        <v>3161</v>
      </c>
      <c r="G655" s="233" t="s">
        <v>3161</v>
      </c>
      <c r="H655" s="234" t="s">
        <v>2731</v>
      </c>
    </row>
    <row r="656" spans="1:8" x14ac:dyDescent="0.2">
      <c r="A656" s="63"/>
      <c r="B656" s="232" t="s">
        <v>17</v>
      </c>
      <c r="C656" s="233" t="s">
        <v>3162</v>
      </c>
      <c r="D656" s="233" t="s">
        <v>3163</v>
      </c>
      <c r="E656" s="233" t="s">
        <v>3164</v>
      </c>
      <c r="F656" s="233" t="s">
        <v>3165</v>
      </c>
      <c r="G656" s="233" t="s">
        <v>3166</v>
      </c>
      <c r="H656" s="234" t="s">
        <v>2420</v>
      </c>
    </row>
    <row r="657" spans="1:8" x14ac:dyDescent="0.2">
      <c r="A657" s="63"/>
      <c r="B657" s="232" t="s">
        <v>17</v>
      </c>
      <c r="C657" s="233" t="s">
        <v>3167</v>
      </c>
      <c r="D657" s="233" t="s">
        <v>3168</v>
      </c>
      <c r="E657" s="233" t="s">
        <v>3169</v>
      </c>
      <c r="F657" s="233" t="s">
        <v>3167</v>
      </c>
      <c r="G657" s="233" t="s">
        <v>3167</v>
      </c>
      <c r="H657" s="234" t="s">
        <v>2731</v>
      </c>
    </row>
    <row r="658" spans="1:8" x14ac:dyDescent="0.2">
      <c r="A658" s="63"/>
      <c r="B658" s="232" t="s">
        <v>17</v>
      </c>
      <c r="C658" s="233" t="s">
        <v>3170</v>
      </c>
      <c r="D658" s="233" t="s">
        <v>3171</v>
      </c>
      <c r="E658" s="233" t="s">
        <v>3172</v>
      </c>
      <c r="F658" s="233" t="s">
        <v>3170</v>
      </c>
      <c r="G658" s="233" t="s">
        <v>3173</v>
      </c>
      <c r="H658" s="234" t="s">
        <v>2731</v>
      </c>
    </row>
    <row r="659" spans="1:8" x14ac:dyDescent="0.2">
      <c r="A659" s="63"/>
      <c r="B659" s="232" t="s">
        <v>17</v>
      </c>
      <c r="C659" s="235" t="s">
        <v>3174</v>
      </c>
      <c r="D659" s="233" t="s">
        <v>3175</v>
      </c>
      <c r="E659" s="233" t="s">
        <v>3176</v>
      </c>
      <c r="F659" s="233" t="s">
        <v>3177</v>
      </c>
      <c r="G659" s="233" t="s">
        <v>3178</v>
      </c>
      <c r="H659" s="234" t="s">
        <v>2416</v>
      </c>
    </row>
    <row r="660" spans="1:8" x14ac:dyDescent="0.2">
      <c r="A660" s="63"/>
      <c r="B660" s="232" t="s">
        <v>17</v>
      </c>
      <c r="C660" s="233" t="s">
        <v>3179</v>
      </c>
      <c r="D660" s="233" t="s">
        <v>3180</v>
      </c>
      <c r="E660" s="233" t="s">
        <v>3181</v>
      </c>
      <c r="F660" s="233" t="s">
        <v>3182</v>
      </c>
      <c r="G660" s="233" t="s">
        <v>3183</v>
      </c>
      <c r="H660" s="234" t="s">
        <v>2420</v>
      </c>
    </row>
    <row r="661" spans="1:8" x14ac:dyDescent="0.2">
      <c r="A661" s="63"/>
      <c r="B661" s="232" t="s">
        <v>17</v>
      </c>
      <c r="C661" s="233" t="s">
        <v>3184</v>
      </c>
      <c r="D661" s="233" t="s">
        <v>3185</v>
      </c>
      <c r="E661" s="233" t="s">
        <v>3186</v>
      </c>
      <c r="F661" s="233" t="s">
        <v>3187</v>
      </c>
      <c r="G661" s="233" t="s">
        <v>3188</v>
      </c>
      <c r="H661" s="234" t="s">
        <v>2417</v>
      </c>
    </row>
    <row r="662" spans="1:8" x14ac:dyDescent="0.2">
      <c r="A662" s="63"/>
      <c r="B662" s="232" t="s">
        <v>17</v>
      </c>
      <c r="C662" s="233" t="s">
        <v>3189</v>
      </c>
      <c r="D662" s="233" t="s">
        <v>3190</v>
      </c>
      <c r="E662" s="233" t="s">
        <v>3191</v>
      </c>
      <c r="F662" s="233" t="s">
        <v>3189</v>
      </c>
      <c r="G662" s="233" t="s">
        <v>3192</v>
      </c>
      <c r="H662" s="234" t="s">
        <v>2417</v>
      </c>
    </row>
    <row r="663" spans="1:8" x14ac:dyDescent="0.2">
      <c r="A663" s="63"/>
      <c r="B663" s="232" t="s">
        <v>17</v>
      </c>
      <c r="C663" s="233" t="s">
        <v>3193</v>
      </c>
      <c r="D663" s="233" t="s">
        <v>3194</v>
      </c>
      <c r="E663" s="233" t="s">
        <v>3193</v>
      </c>
      <c r="F663" s="233" t="s">
        <v>3195</v>
      </c>
      <c r="G663" s="233" t="s">
        <v>3196</v>
      </c>
      <c r="H663" s="234" t="s">
        <v>2420</v>
      </c>
    </row>
    <row r="664" spans="1:8" x14ac:dyDescent="0.2">
      <c r="A664" s="63"/>
      <c r="B664" s="232" t="s">
        <v>17</v>
      </c>
      <c r="C664" s="233" t="s">
        <v>3197</v>
      </c>
      <c r="D664" s="233" t="s">
        <v>3197</v>
      </c>
      <c r="E664" s="233" t="s">
        <v>3197</v>
      </c>
      <c r="F664" s="233" t="s">
        <v>3197</v>
      </c>
      <c r="G664" s="233" t="s">
        <v>3197</v>
      </c>
      <c r="H664" s="234" t="s">
        <v>2420</v>
      </c>
    </row>
    <row r="665" spans="1:8" x14ac:dyDescent="0.2">
      <c r="A665" s="63"/>
      <c r="B665" s="232" t="s">
        <v>17</v>
      </c>
      <c r="C665" s="233" t="s">
        <v>3198</v>
      </c>
      <c r="D665" s="233" t="s">
        <v>3199</v>
      </c>
      <c r="E665" s="233" t="s">
        <v>3198</v>
      </c>
      <c r="F665" s="233" t="s">
        <v>3200</v>
      </c>
      <c r="G665" s="233" t="s">
        <v>3201</v>
      </c>
      <c r="H665" s="234" t="s">
        <v>2420</v>
      </c>
    </row>
    <row r="666" spans="1:8" x14ac:dyDescent="0.2">
      <c r="A666" s="63"/>
      <c r="B666" s="232" t="s">
        <v>17</v>
      </c>
      <c r="C666" s="233" t="s">
        <v>3202</v>
      </c>
      <c r="D666" s="233" t="s">
        <v>3203</v>
      </c>
      <c r="E666" s="233" t="s">
        <v>3204</v>
      </c>
      <c r="F666" s="233" t="s">
        <v>3205</v>
      </c>
      <c r="G666" s="233" t="s">
        <v>3206</v>
      </c>
      <c r="H666" s="234" t="s">
        <v>2417</v>
      </c>
    </row>
    <row r="667" spans="1:8" x14ac:dyDescent="0.2">
      <c r="A667" s="63"/>
      <c r="B667" s="232" t="s">
        <v>17</v>
      </c>
      <c r="C667" s="233" t="s">
        <v>3207</v>
      </c>
      <c r="D667" s="233" t="s">
        <v>3208</v>
      </c>
      <c r="E667" s="233" t="s">
        <v>3209</v>
      </c>
      <c r="F667" s="233" t="s">
        <v>3210</v>
      </c>
      <c r="G667" s="233" t="s">
        <v>3211</v>
      </c>
      <c r="H667" s="234" t="s">
        <v>2731</v>
      </c>
    </row>
    <row r="668" spans="1:8" x14ac:dyDescent="0.2">
      <c r="A668" s="63"/>
      <c r="B668" s="232" t="s">
        <v>17</v>
      </c>
      <c r="C668" s="233" t="s">
        <v>3212</v>
      </c>
      <c r="D668" s="233" t="s">
        <v>3213</v>
      </c>
      <c r="E668" s="233" t="s">
        <v>3214</v>
      </c>
      <c r="F668" s="233" t="s">
        <v>3215</v>
      </c>
      <c r="G668" s="233" t="s">
        <v>3216</v>
      </c>
      <c r="H668" s="234" t="s">
        <v>2420</v>
      </c>
    </row>
    <row r="669" spans="1:8" x14ac:dyDescent="0.2">
      <c r="A669" s="63"/>
      <c r="B669" s="232" t="s">
        <v>17</v>
      </c>
      <c r="C669" s="233" t="s">
        <v>3217</v>
      </c>
      <c r="D669" s="233" t="s">
        <v>3218</v>
      </c>
      <c r="E669" s="233" t="s">
        <v>3219</v>
      </c>
      <c r="F669" s="233" t="s">
        <v>3220</v>
      </c>
      <c r="G669" s="233" t="s">
        <v>3221</v>
      </c>
      <c r="H669" s="234" t="s">
        <v>2420</v>
      </c>
    </row>
    <row r="670" spans="1:8" x14ac:dyDescent="0.2">
      <c r="A670" s="63"/>
      <c r="B670" s="232" t="s">
        <v>17</v>
      </c>
      <c r="C670" s="233" t="s">
        <v>3222</v>
      </c>
      <c r="D670" s="233" t="s">
        <v>3223</v>
      </c>
      <c r="E670" s="233" t="s">
        <v>3222</v>
      </c>
      <c r="F670" s="233" t="s">
        <v>3224</v>
      </c>
      <c r="G670" s="233" t="s">
        <v>3225</v>
      </c>
      <c r="H670" s="234" t="s">
        <v>2420</v>
      </c>
    </row>
    <row r="671" spans="1:8" x14ac:dyDescent="0.2">
      <c r="A671" s="63"/>
      <c r="B671" s="232" t="s">
        <v>17</v>
      </c>
      <c r="C671" s="233" t="s">
        <v>3226</v>
      </c>
      <c r="D671" s="233" t="s">
        <v>3227</v>
      </c>
      <c r="E671" s="233" t="s">
        <v>3228</v>
      </c>
      <c r="F671" s="233" t="s">
        <v>3229</v>
      </c>
      <c r="G671" s="233" t="s">
        <v>3230</v>
      </c>
      <c r="H671" s="234" t="s">
        <v>2421</v>
      </c>
    </row>
    <row r="672" spans="1:8" x14ac:dyDescent="0.2">
      <c r="A672" s="63"/>
      <c r="B672" s="232" t="s">
        <v>17</v>
      </c>
      <c r="C672" s="233" t="s">
        <v>3231</v>
      </c>
      <c r="D672" s="233" t="s">
        <v>3232</v>
      </c>
      <c r="E672" s="233" t="s">
        <v>3233</v>
      </c>
      <c r="F672" s="233" t="s">
        <v>3234</v>
      </c>
      <c r="G672" s="233" t="s">
        <v>3235</v>
      </c>
      <c r="H672" s="234" t="s">
        <v>2421</v>
      </c>
    </row>
    <row r="673" spans="1:8" x14ac:dyDescent="0.2">
      <c r="A673" s="63"/>
      <c r="B673" s="232" t="s">
        <v>17</v>
      </c>
      <c r="C673" s="233" t="s">
        <v>3236</v>
      </c>
      <c r="D673" s="233" t="s">
        <v>3237</v>
      </c>
      <c r="E673" s="233" t="s">
        <v>3238</v>
      </c>
      <c r="F673" s="233" t="s">
        <v>3239</v>
      </c>
      <c r="G673" s="233" t="s">
        <v>3240</v>
      </c>
      <c r="H673" s="234" t="s">
        <v>2420</v>
      </c>
    </row>
    <row r="674" spans="1:8" x14ac:dyDescent="0.2">
      <c r="A674" s="63"/>
      <c r="B674" s="232" t="s">
        <v>17</v>
      </c>
      <c r="C674" s="233" t="s">
        <v>3241</v>
      </c>
      <c r="D674" s="233" t="s">
        <v>3242</v>
      </c>
      <c r="E674" s="233" t="s">
        <v>3241</v>
      </c>
      <c r="F674" s="233" t="s">
        <v>3243</v>
      </c>
      <c r="G674" s="233" t="s">
        <v>3244</v>
      </c>
      <c r="H674" s="234" t="s">
        <v>2420</v>
      </c>
    </row>
    <row r="675" spans="1:8" x14ac:dyDescent="0.2">
      <c r="A675" s="63"/>
      <c r="B675" s="232" t="s">
        <v>17</v>
      </c>
      <c r="C675" s="233" t="s">
        <v>3245</v>
      </c>
      <c r="D675" s="233" t="s">
        <v>3246</v>
      </c>
      <c r="E675" s="233" t="s">
        <v>3245</v>
      </c>
      <c r="F675" s="233" t="s">
        <v>3247</v>
      </c>
      <c r="G675" s="233" t="s">
        <v>3246</v>
      </c>
      <c r="H675" s="234" t="s">
        <v>2420</v>
      </c>
    </row>
    <row r="676" spans="1:8" x14ac:dyDescent="0.2">
      <c r="A676" s="63"/>
      <c r="B676" s="232" t="s">
        <v>17</v>
      </c>
      <c r="C676" s="233" t="s">
        <v>3248</v>
      </c>
      <c r="D676" s="233" t="s">
        <v>3249</v>
      </c>
      <c r="E676" s="233" t="s">
        <v>3250</v>
      </c>
      <c r="F676" s="233" t="s">
        <v>3251</v>
      </c>
      <c r="G676" s="233" t="s">
        <v>3252</v>
      </c>
      <c r="H676" s="234" t="s">
        <v>2731</v>
      </c>
    </row>
    <row r="677" spans="1:8" x14ac:dyDescent="0.2">
      <c r="A677" s="63"/>
      <c r="B677" s="232" t="s">
        <v>17</v>
      </c>
      <c r="C677" s="233" t="s">
        <v>3253</v>
      </c>
      <c r="D677" s="233" t="s">
        <v>3254</v>
      </c>
      <c r="E677" s="233" t="s">
        <v>3255</v>
      </c>
      <c r="F677" s="233" t="s">
        <v>3256</v>
      </c>
      <c r="G677" s="233" t="s">
        <v>3257</v>
      </c>
      <c r="H677" s="234" t="s">
        <v>2420</v>
      </c>
    </row>
    <row r="678" spans="1:8" x14ac:dyDescent="0.2">
      <c r="A678" s="63"/>
      <c r="B678" s="232" t="s">
        <v>17</v>
      </c>
      <c r="C678" s="233" t="s">
        <v>3258</v>
      </c>
      <c r="D678" s="233" t="s">
        <v>3259</v>
      </c>
      <c r="E678" s="233" t="s">
        <v>3260</v>
      </c>
      <c r="F678" s="233" t="s">
        <v>3261</v>
      </c>
      <c r="G678" s="233" t="s">
        <v>3262</v>
      </c>
      <c r="H678" s="234" t="s">
        <v>63</v>
      </c>
    </row>
    <row r="679" spans="1:8" x14ac:dyDescent="0.2">
      <c r="A679" s="63"/>
      <c r="B679" s="232" t="s">
        <v>17</v>
      </c>
      <c r="C679" s="233" t="s">
        <v>3263</v>
      </c>
      <c r="D679" s="233" t="s">
        <v>3264</v>
      </c>
      <c r="E679" s="233" t="s">
        <v>3265</v>
      </c>
      <c r="F679" s="236" t="s">
        <v>3266</v>
      </c>
      <c r="G679" s="233" t="s">
        <v>3267</v>
      </c>
      <c r="H679" s="234" t="s">
        <v>2418</v>
      </c>
    </row>
    <row r="680" spans="1:8" x14ac:dyDescent="0.2">
      <c r="A680" s="63"/>
      <c r="B680" s="232" t="s">
        <v>17</v>
      </c>
      <c r="C680" s="233" t="s">
        <v>3268</v>
      </c>
      <c r="D680" s="233" t="s">
        <v>3269</v>
      </c>
      <c r="E680" s="233" t="s">
        <v>3270</v>
      </c>
      <c r="F680" s="233" t="s">
        <v>3271</v>
      </c>
      <c r="G680" s="233" t="s">
        <v>3272</v>
      </c>
      <c r="H680" s="234" t="s">
        <v>2420</v>
      </c>
    </row>
    <row r="681" spans="1:8" x14ac:dyDescent="0.2">
      <c r="A681" s="63"/>
      <c r="B681" s="232" t="s">
        <v>17</v>
      </c>
      <c r="C681" s="233" t="s">
        <v>3273</v>
      </c>
      <c r="D681" s="233" t="s">
        <v>3274</v>
      </c>
      <c r="E681" s="233" t="s">
        <v>3275</v>
      </c>
      <c r="F681" s="233" t="s">
        <v>3276</v>
      </c>
      <c r="G681" s="233" t="s">
        <v>3277</v>
      </c>
      <c r="H681" s="234" t="s">
        <v>2420</v>
      </c>
    </row>
    <row r="682" spans="1:8" x14ac:dyDescent="0.2">
      <c r="A682" s="63"/>
      <c r="B682" s="232" t="s">
        <v>17</v>
      </c>
      <c r="C682" s="233" t="s">
        <v>3278</v>
      </c>
      <c r="D682" s="233" t="s">
        <v>3279</v>
      </c>
      <c r="E682" s="233" t="s">
        <v>3280</v>
      </c>
      <c r="F682" s="233" t="s">
        <v>3281</v>
      </c>
      <c r="G682" s="233" t="s">
        <v>3282</v>
      </c>
      <c r="H682" s="234" t="s">
        <v>63</v>
      </c>
    </row>
    <row r="683" spans="1:8" x14ac:dyDescent="0.2">
      <c r="A683" s="63"/>
      <c r="B683" s="232" t="s">
        <v>17</v>
      </c>
      <c r="C683" s="233" t="s">
        <v>3283</v>
      </c>
      <c r="D683" s="233" t="s">
        <v>3284</v>
      </c>
      <c r="E683" s="233" t="s">
        <v>3285</v>
      </c>
      <c r="F683" s="233" t="s">
        <v>3286</v>
      </c>
      <c r="G683" s="233" t="s">
        <v>3287</v>
      </c>
      <c r="H683" s="234" t="s">
        <v>63</v>
      </c>
    </row>
    <row r="684" spans="1:8" x14ac:dyDescent="0.2">
      <c r="A684" s="63"/>
      <c r="B684" s="232" t="s">
        <v>17</v>
      </c>
      <c r="C684" s="233" t="s">
        <v>3288</v>
      </c>
      <c r="D684" s="233" t="s">
        <v>3289</v>
      </c>
      <c r="E684" s="233" t="s">
        <v>3290</v>
      </c>
      <c r="F684" s="233" t="s">
        <v>3291</v>
      </c>
      <c r="G684" s="233" t="s">
        <v>3292</v>
      </c>
      <c r="H684" s="234" t="s">
        <v>63</v>
      </c>
    </row>
    <row r="685" spans="1:8" x14ac:dyDescent="0.2">
      <c r="A685" s="63"/>
      <c r="B685" s="232" t="s">
        <v>17</v>
      </c>
      <c r="C685" s="233" t="s">
        <v>3293</v>
      </c>
      <c r="D685" s="233" t="s">
        <v>3294</v>
      </c>
      <c r="E685" s="233" t="s">
        <v>3295</v>
      </c>
      <c r="F685" s="233" t="s">
        <v>3296</v>
      </c>
      <c r="G685" s="233" t="s">
        <v>3297</v>
      </c>
      <c r="H685" s="234" t="s">
        <v>2419</v>
      </c>
    </row>
    <row r="686" spans="1:8" x14ac:dyDescent="0.2">
      <c r="A686" s="63"/>
      <c r="B686" s="232" t="s">
        <v>17</v>
      </c>
      <c r="C686" s="233" t="s">
        <v>3298</v>
      </c>
      <c r="D686" s="233" t="s">
        <v>3299</v>
      </c>
      <c r="E686" s="233" t="s">
        <v>3300</v>
      </c>
      <c r="F686" s="233" t="s">
        <v>3301</v>
      </c>
      <c r="G686" s="233" t="s">
        <v>3302</v>
      </c>
      <c r="H686" s="234" t="s">
        <v>2396</v>
      </c>
    </row>
    <row r="687" spans="1:8" x14ac:dyDescent="0.2">
      <c r="A687" s="63"/>
      <c r="B687" s="232" t="s">
        <v>17</v>
      </c>
      <c r="C687" s="233" t="s">
        <v>3304</v>
      </c>
      <c r="D687" s="233" t="s">
        <v>3304</v>
      </c>
      <c r="E687" s="233" t="s">
        <v>3304</v>
      </c>
      <c r="F687" s="233" t="s">
        <v>3305</v>
      </c>
      <c r="G687" s="233" t="s">
        <v>3306</v>
      </c>
      <c r="H687" s="234" t="s">
        <v>2419</v>
      </c>
    </row>
    <row r="688" spans="1:8" x14ac:dyDescent="0.2">
      <c r="A688" s="63"/>
      <c r="B688" s="232" t="s">
        <v>17</v>
      </c>
      <c r="C688" s="233" t="s">
        <v>3307</v>
      </c>
      <c r="D688" s="233" t="s">
        <v>3308</v>
      </c>
      <c r="E688" s="233" t="s">
        <v>3309</v>
      </c>
      <c r="F688" s="233" t="s">
        <v>3310</v>
      </c>
      <c r="G688" s="233" t="s">
        <v>3311</v>
      </c>
      <c r="H688" s="234" t="s">
        <v>2420</v>
      </c>
    </row>
    <row r="689" spans="1:8" x14ac:dyDescent="0.2">
      <c r="A689" s="63"/>
      <c r="B689" s="232" t="s">
        <v>17</v>
      </c>
      <c r="C689" s="233" t="s">
        <v>3312</v>
      </c>
      <c r="D689" s="233" t="s">
        <v>3313</v>
      </c>
      <c r="E689" s="233" t="s">
        <v>3314</v>
      </c>
      <c r="F689" s="233" t="s">
        <v>3315</v>
      </c>
      <c r="G689" s="233" t="s">
        <v>3315</v>
      </c>
      <c r="H689" s="234" t="s">
        <v>2416</v>
      </c>
    </row>
    <row r="690" spans="1:8" x14ac:dyDescent="0.2">
      <c r="A690" s="63"/>
      <c r="B690" s="232" t="s">
        <v>17</v>
      </c>
      <c r="C690" s="233" t="s">
        <v>3316</v>
      </c>
      <c r="D690" s="233" t="s">
        <v>3317</v>
      </c>
      <c r="E690" s="233" t="s">
        <v>3316</v>
      </c>
      <c r="F690" s="233" t="s">
        <v>3318</v>
      </c>
      <c r="G690" s="233" t="s">
        <v>3319</v>
      </c>
      <c r="H690" s="234" t="s">
        <v>63</v>
      </c>
    </row>
    <row r="691" spans="1:8" x14ac:dyDescent="0.2">
      <c r="A691" s="63"/>
      <c r="B691" s="232" t="s">
        <v>17</v>
      </c>
      <c r="C691" s="233" t="s">
        <v>3320</v>
      </c>
      <c r="D691" s="233" t="s">
        <v>3321</v>
      </c>
      <c r="E691" s="233" t="s">
        <v>3322</v>
      </c>
      <c r="F691" s="233" t="s">
        <v>3323</v>
      </c>
      <c r="G691" s="233" t="s">
        <v>3324</v>
      </c>
      <c r="H691" s="234" t="s">
        <v>63</v>
      </c>
    </row>
    <row r="692" spans="1:8" x14ac:dyDescent="0.2">
      <c r="A692" s="63"/>
      <c r="B692" s="232" t="s">
        <v>17</v>
      </c>
      <c r="C692" s="233" t="s">
        <v>3325</v>
      </c>
      <c r="D692" s="233" t="s">
        <v>3326</v>
      </c>
      <c r="E692" s="233" t="s">
        <v>3325</v>
      </c>
      <c r="F692" s="233" t="s">
        <v>3327</v>
      </c>
      <c r="G692" s="233" t="s">
        <v>3328</v>
      </c>
      <c r="H692" s="234" t="s">
        <v>63</v>
      </c>
    </row>
    <row r="693" spans="1:8" x14ac:dyDescent="0.2">
      <c r="A693" s="63"/>
      <c r="B693" s="232" t="s">
        <v>17</v>
      </c>
      <c r="C693" s="233" t="s">
        <v>3329</v>
      </c>
      <c r="D693" s="233" t="s">
        <v>3330</v>
      </c>
      <c r="E693" s="233" t="s">
        <v>3331</v>
      </c>
      <c r="F693" s="233" t="s">
        <v>3332</v>
      </c>
      <c r="G693" s="233" t="s">
        <v>3333</v>
      </c>
      <c r="H693" s="234" t="s">
        <v>63</v>
      </c>
    </row>
    <row r="694" spans="1:8" x14ac:dyDescent="0.2">
      <c r="A694" s="63"/>
      <c r="B694" s="232" t="s">
        <v>17</v>
      </c>
      <c r="C694" s="233" t="s">
        <v>3334</v>
      </c>
      <c r="D694" s="233" t="s">
        <v>3335</v>
      </c>
      <c r="E694" s="233" t="s">
        <v>3334</v>
      </c>
      <c r="F694" s="233" t="s">
        <v>3336</v>
      </c>
      <c r="G694" s="233" t="s">
        <v>3337</v>
      </c>
      <c r="H694" s="234" t="s">
        <v>63</v>
      </c>
    </row>
    <row r="695" spans="1:8" x14ac:dyDescent="0.2">
      <c r="A695" s="63"/>
      <c r="B695" s="232" t="s">
        <v>17</v>
      </c>
      <c r="C695" s="233" t="s">
        <v>3338</v>
      </c>
      <c r="D695" s="233" t="s">
        <v>3339</v>
      </c>
      <c r="E695" s="233" t="s">
        <v>3338</v>
      </c>
      <c r="F695" s="233" t="s">
        <v>3340</v>
      </c>
      <c r="G695" s="233" t="s">
        <v>3341</v>
      </c>
      <c r="H695" s="234" t="s">
        <v>63</v>
      </c>
    </row>
    <row r="696" spans="1:8" x14ac:dyDescent="0.2">
      <c r="A696" s="63"/>
      <c r="B696" s="232" t="s">
        <v>17</v>
      </c>
      <c r="C696" s="233" t="s">
        <v>3342</v>
      </c>
      <c r="D696" s="233" t="s">
        <v>3343</v>
      </c>
      <c r="E696" s="233" t="s">
        <v>3342</v>
      </c>
      <c r="F696" s="233" t="s">
        <v>3344</v>
      </c>
      <c r="G696" s="233" t="s">
        <v>3345</v>
      </c>
      <c r="H696" s="234" t="s">
        <v>63</v>
      </c>
    </row>
    <row r="697" spans="1:8" x14ac:dyDescent="0.2">
      <c r="A697" s="63"/>
      <c r="B697" s="232" t="s">
        <v>17</v>
      </c>
      <c r="C697" s="233" t="s">
        <v>3346</v>
      </c>
      <c r="D697" s="233" t="s">
        <v>3347</v>
      </c>
      <c r="E697" s="233" t="s">
        <v>3346</v>
      </c>
      <c r="F697" s="233" t="s">
        <v>3348</v>
      </c>
      <c r="G697" s="233" t="s">
        <v>3349</v>
      </c>
      <c r="H697" s="234" t="s">
        <v>63</v>
      </c>
    </row>
    <row r="698" spans="1:8" x14ac:dyDescent="0.2">
      <c r="A698" s="63"/>
      <c r="B698" s="232" t="s">
        <v>17</v>
      </c>
      <c r="C698" s="233" t="s">
        <v>3350</v>
      </c>
      <c r="D698" s="233" t="s">
        <v>3351</v>
      </c>
      <c r="E698" s="233" t="s">
        <v>3350</v>
      </c>
      <c r="F698" s="233" t="s">
        <v>3352</v>
      </c>
      <c r="G698" s="233" t="s">
        <v>3353</v>
      </c>
      <c r="H698" s="234" t="s">
        <v>63</v>
      </c>
    </row>
    <row r="699" spans="1:8" x14ac:dyDescent="0.2">
      <c r="A699" s="63"/>
      <c r="B699" s="232" t="s">
        <v>17</v>
      </c>
      <c r="C699" s="233" t="s">
        <v>3354</v>
      </c>
      <c r="D699" s="233" t="s">
        <v>3355</v>
      </c>
      <c r="E699" s="233" t="s">
        <v>3354</v>
      </c>
      <c r="F699" s="233" t="s">
        <v>3356</v>
      </c>
      <c r="G699" s="233" t="s">
        <v>3357</v>
      </c>
      <c r="H699" s="234" t="s">
        <v>63</v>
      </c>
    </row>
    <row r="700" spans="1:8" x14ac:dyDescent="0.2">
      <c r="A700" s="63"/>
      <c r="B700" s="232" t="s">
        <v>17</v>
      </c>
      <c r="C700" s="233" t="s">
        <v>3358</v>
      </c>
      <c r="D700" s="233" t="s">
        <v>3359</v>
      </c>
      <c r="E700" s="233" t="s">
        <v>3360</v>
      </c>
      <c r="F700" s="233" t="s">
        <v>3361</v>
      </c>
      <c r="G700" s="233" t="s">
        <v>3362</v>
      </c>
      <c r="H700" s="234" t="s">
        <v>63</v>
      </c>
    </row>
    <row r="701" spans="1:8" x14ac:dyDescent="0.2">
      <c r="A701" s="63"/>
      <c r="B701" s="232" t="s">
        <v>17</v>
      </c>
      <c r="C701" s="233" t="s">
        <v>3363</v>
      </c>
      <c r="D701" s="233" t="s">
        <v>3364</v>
      </c>
      <c r="E701" s="233" t="s">
        <v>3365</v>
      </c>
      <c r="F701" s="233" t="s">
        <v>3366</v>
      </c>
      <c r="G701" s="233" t="s">
        <v>3367</v>
      </c>
      <c r="H701" s="234" t="s">
        <v>63</v>
      </c>
    </row>
    <row r="702" spans="1:8" x14ac:dyDescent="0.2">
      <c r="A702" s="63"/>
      <c r="B702" s="232" t="s">
        <v>17</v>
      </c>
      <c r="C702" s="233" t="s">
        <v>3368</v>
      </c>
      <c r="D702" s="233" t="s">
        <v>3369</v>
      </c>
      <c r="E702" s="233" t="s">
        <v>3370</v>
      </c>
      <c r="F702" s="233" t="s">
        <v>3371</v>
      </c>
      <c r="G702" s="233" t="s">
        <v>3372</v>
      </c>
      <c r="H702" s="234" t="s">
        <v>63</v>
      </c>
    </row>
    <row r="703" spans="1:8" x14ac:dyDescent="0.2">
      <c r="A703" s="63"/>
      <c r="B703" s="232" t="s">
        <v>17</v>
      </c>
      <c r="C703" s="233" t="s">
        <v>3373</v>
      </c>
      <c r="D703" s="233" t="s">
        <v>3374</v>
      </c>
      <c r="E703" s="233" t="s">
        <v>3373</v>
      </c>
      <c r="F703" s="233" t="s">
        <v>3375</v>
      </c>
      <c r="G703" s="233" t="s">
        <v>3376</v>
      </c>
      <c r="H703" s="234" t="s">
        <v>63</v>
      </c>
    </row>
    <row r="704" spans="1:8" x14ac:dyDescent="0.2">
      <c r="A704" s="63"/>
      <c r="B704" s="232" t="s">
        <v>17</v>
      </c>
      <c r="C704" s="233" t="s">
        <v>3377</v>
      </c>
      <c r="D704" s="233" t="s">
        <v>3378</v>
      </c>
      <c r="E704" s="233" t="s">
        <v>3379</v>
      </c>
      <c r="F704" s="233" t="s">
        <v>3380</v>
      </c>
      <c r="G704" s="233" t="s">
        <v>3381</v>
      </c>
      <c r="H704" s="234" t="s">
        <v>63</v>
      </c>
    </row>
    <row r="705" spans="1:8" x14ac:dyDescent="0.2">
      <c r="A705" s="63"/>
      <c r="B705" s="232" t="s">
        <v>17</v>
      </c>
      <c r="C705" s="233" t="s">
        <v>3382</v>
      </c>
      <c r="D705" s="233" t="s">
        <v>3383</v>
      </c>
      <c r="E705" s="233" t="s">
        <v>3382</v>
      </c>
      <c r="F705" s="233" t="s">
        <v>3384</v>
      </c>
      <c r="G705" s="233" t="s">
        <v>3385</v>
      </c>
      <c r="H705" s="234" t="s">
        <v>63</v>
      </c>
    </row>
    <row r="706" spans="1:8" x14ac:dyDescent="0.2">
      <c r="A706" s="63"/>
      <c r="B706" s="232" t="s">
        <v>17</v>
      </c>
      <c r="C706" s="233" t="s">
        <v>3386</v>
      </c>
      <c r="D706" s="233" t="s">
        <v>3387</v>
      </c>
      <c r="E706" s="233" t="s">
        <v>3388</v>
      </c>
      <c r="F706" s="233" t="s">
        <v>3389</v>
      </c>
      <c r="G706" s="233" t="s">
        <v>3390</v>
      </c>
      <c r="H706" s="234" t="s">
        <v>63</v>
      </c>
    </row>
    <row r="707" spans="1:8" x14ac:dyDescent="0.2">
      <c r="A707" s="63"/>
      <c r="B707" s="232" t="s">
        <v>17</v>
      </c>
      <c r="C707" s="233" t="s">
        <v>3391</v>
      </c>
      <c r="D707" s="233" t="s">
        <v>3391</v>
      </c>
      <c r="E707" s="233" t="s">
        <v>3391</v>
      </c>
      <c r="F707" s="233" t="s">
        <v>3391</v>
      </c>
      <c r="G707" s="233" t="s">
        <v>3392</v>
      </c>
      <c r="H707" s="234" t="s">
        <v>2419</v>
      </c>
    </row>
    <row r="708" spans="1:8" x14ac:dyDescent="0.2">
      <c r="A708" s="63"/>
      <c r="B708" s="232" t="s">
        <v>17</v>
      </c>
      <c r="C708" s="233" t="s">
        <v>3393</v>
      </c>
      <c r="D708" s="233" t="s">
        <v>3393</v>
      </c>
      <c r="E708" s="233" t="s">
        <v>3394</v>
      </c>
      <c r="F708" s="233" t="s">
        <v>3393</v>
      </c>
      <c r="G708" s="233" t="s">
        <v>3395</v>
      </c>
      <c r="H708" s="234" t="s">
        <v>2419</v>
      </c>
    </row>
    <row r="709" spans="1:8" x14ac:dyDescent="0.2">
      <c r="A709" s="63"/>
      <c r="B709" s="232" t="s">
        <v>17</v>
      </c>
      <c r="C709" s="233" t="s">
        <v>3396</v>
      </c>
      <c r="D709" s="233" t="s">
        <v>3396</v>
      </c>
      <c r="E709" s="233" t="s">
        <v>3396</v>
      </c>
      <c r="F709" s="233" t="s">
        <v>3396</v>
      </c>
      <c r="G709" s="233" t="s">
        <v>3396</v>
      </c>
      <c r="H709" s="234" t="s">
        <v>2847</v>
      </c>
    </row>
    <row r="710" spans="1:8" x14ac:dyDescent="0.2">
      <c r="A710" s="63"/>
      <c r="B710" s="232" t="s">
        <v>17</v>
      </c>
      <c r="C710" s="233" t="s">
        <v>3397</v>
      </c>
      <c r="D710" s="233" t="s">
        <v>3398</v>
      </c>
      <c r="E710" s="233" t="s">
        <v>3399</v>
      </c>
      <c r="F710" s="233" t="s">
        <v>3400</v>
      </c>
      <c r="G710" s="233" t="s">
        <v>3401</v>
      </c>
      <c r="H710" s="234" t="s">
        <v>2731</v>
      </c>
    </row>
    <row r="711" spans="1:8" x14ac:dyDescent="0.2">
      <c r="A711" s="63"/>
      <c r="B711" s="232" t="s">
        <v>17</v>
      </c>
      <c r="C711" s="233" t="s">
        <v>3402</v>
      </c>
      <c r="D711" s="233" t="s">
        <v>3403</v>
      </c>
      <c r="E711" s="233" t="s">
        <v>3404</v>
      </c>
      <c r="F711" s="233" t="s">
        <v>3405</v>
      </c>
      <c r="G711" s="233" t="s">
        <v>3406</v>
      </c>
      <c r="H711" s="234" t="s">
        <v>2420</v>
      </c>
    </row>
    <row r="712" spans="1:8" x14ac:dyDescent="0.2">
      <c r="A712" s="63"/>
      <c r="B712" s="232" t="s">
        <v>17</v>
      </c>
      <c r="C712" s="233" t="s">
        <v>3407</v>
      </c>
      <c r="D712" s="233" t="s">
        <v>3408</v>
      </c>
      <c r="E712" s="233" t="s">
        <v>3409</v>
      </c>
      <c r="F712" s="233" t="s">
        <v>3410</v>
      </c>
      <c r="G712" s="233" t="s">
        <v>3411</v>
      </c>
      <c r="H712" s="234" t="s">
        <v>2421</v>
      </c>
    </row>
    <row r="713" spans="1:8" x14ac:dyDescent="0.2">
      <c r="A713" s="63"/>
      <c r="B713" s="232" t="s">
        <v>17</v>
      </c>
      <c r="C713" s="233" t="s">
        <v>3412</v>
      </c>
      <c r="D713" s="233" t="s">
        <v>3413</v>
      </c>
      <c r="E713" s="233" t="s">
        <v>3414</v>
      </c>
      <c r="F713" s="233" t="s">
        <v>3415</v>
      </c>
      <c r="G713" s="233" t="s">
        <v>3416</v>
      </c>
      <c r="H713" s="234" t="s">
        <v>2421</v>
      </c>
    </row>
    <row r="714" spans="1:8" x14ac:dyDescent="0.2">
      <c r="A714" s="63"/>
      <c r="B714" s="232" t="s">
        <v>17</v>
      </c>
      <c r="C714" s="233" t="s">
        <v>3417</v>
      </c>
      <c r="D714" s="233" t="s">
        <v>3418</v>
      </c>
      <c r="E714" s="233" t="s">
        <v>3419</v>
      </c>
      <c r="F714" s="233" t="s">
        <v>3420</v>
      </c>
      <c r="G714" s="233" t="s">
        <v>3421</v>
      </c>
      <c r="H714" s="234" t="s">
        <v>2421</v>
      </c>
    </row>
    <row r="715" spans="1:8" x14ac:dyDescent="0.2">
      <c r="A715" s="63"/>
      <c r="B715" s="232" t="s">
        <v>17</v>
      </c>
      <c r="C715" s="233" t="s">
        <v>3422</v>
      </c>
      <c r="D715" s="233" t="s">
        <v>3423</v>
      </c>
      <c r="E715" s="233" t="s">
        <v>3424</v>
      </c>
      <c r="F715" s="233" t="s">
        <v>3425</v>
      </c>
      <c r="G715" s="233" t="s">
        <v>3426</v>
      </c>
      <c r="H715" s="234" t="s">
        <v>2847</v>
      </c>
    </row>
    <row r="716" spans="1:8" x14ac:dyDescent="0.2">
      <c r="A716" s="63"/>
      <c r="B716" s="232" t="s">
        <v>17</v>
      </c>
      <c r="C716" s="233" t="s">
        <v>3427</v>
      </c>
      <c r="D716" s="233" t="s">
        <v>3428</v>
      </c>
      <c r="E716" s="233" t="s">
        <v>3429</v>
      </c>
      <c r="F716" s="233" t="s">
        <v>3430</v>
      </c>
      <c r="G716" s="233" t="s">
        <v>3431</v>
      </c>
      <c r="H716" s="234" t="s">
        <v>2847</v>
      </c>
    </row>
    <row r="717" spans="1:8" x14ac:dyDescent="0.2">
      <c r="A717" s="63"/>
      <c r="B717" s="232" t="s">
        <v>17</v>
      </c>
      <c r="C717" s="233" t="s">
        <v>3432</v>
      </c>
      <c r="D717" s="233" t="s">
        <v>3433</v>
      </c>
      <c r="E717" s="233" t="s">
        <v>3434</v>
      </c>
      <c r="F717" s="233" t="s">
        <v>3435</v>
      </c>
      <c r="G717" s="233" t="s">
        <v>3436</v>
      </c>
      <c r="H717" s="234" t="s">
        <v>2847</v>
      </c>
    </row>
    <row r="718" spans="1:8" x14ac:dyDescent="0.2">
      <c r="A718" s="63"/>
      <c r="B718" s="232" t="s">
        <v>17</v>
      </c>
      <c r="C718" s="233" t="s">
        <v>3437</v>
      </c>
      <c r="D718" s="233" t="s">
        <v>3438</v>
      </c>
      <c r="E718" s="233" t="s">
        <v>3439</v>
      </c>
      <c r="F718" s="233" t="s">
        <v>3440</v>
      </c>
      <c r="G718" s="233" t="s">
        <v>3441</v>
      </c>
      <c r="H718" s="234" t="s">
        <v>2847</v>
      </c>
    </row>
    <row r="719" spans="1:8" x14ac:dyDescent="0.2">
      <c r="A719" s="63"/>
      <c r="B719" s="232" t="s">
        <v>17</v>
      </c>
      <c r="C719" s="233" t="s">
        <v>3442</v>
      </c>
      <c r="D719" s="233" t="s">
        <v>3443</v>
      </c>
      <c r="E719" s="233" t="s">
        <v>3444</v>
      </c>
      <c r="F719" s="233" t="s">
        <v>3445</v>
      </c>
      <c r="G719" s="233" t="s">
        <v>3446</v>
      </c>
      <c r="H719" s="234" t="s">
        <v>2847</v>
      </c>
    </row>
    <row r="720" spans="1:8" x14ac:dyDescent="0.2">
      <c r="A720" s="63"/>
      <c r="B720" s="232" t="s">
        <v>17</v>
      </c>
      <c r="C720" s="233" t="s">
        <v>3447</v>
      </c>
      <c r="D720" s="233" t="s">
        <v>3448</v>
      </c>
      <c r="E720" s="233" t="s">
        <v>3449</v>
      </c>
      <c r="F720" s="233" t="s">
        <v>3450</v>
      </c>
      <c r="G720" s="233" t="s">
        <v>3451</v>
      </c>
      <c r="H720" s="234" t="s">
        <v>2847</v>
      </c>
    </row>
    <row r="721" spans="1:8" x14ac:dyDescent="0.2">
      <c r="A721" s="63"/>
      <c r="B721" s="232" t="s">
        <v>17</v>
      </c>
      <c r="C721" s="233" t="s">
        <v>3452</v>
      </c>
      <c r="D721" s="233" t="s">
        <v>3453</v>
      </c>
      <c r="E721" s="233" t="s">
        <v>3454</v>
      </c>
      <c r="F721" s="233" t="s">
        <v>3455</v>
      </c>
      <c r="G721" s="233" t="s">
        <v>3456</v>
      </c>
      <c r="H721" s="234" t="s">
        <v>2847</v>
      </c>
    </row>
    <row r="722" spans="1:8" x14ac:dyDescent="0.2">
      <c r="A722" s="63"/>
      <c r="B722" s="232" t="s">
        <v>17</v>
      </c>
      <c r="C722" s="233" t="s">
        <v>3457</v>
      </c>
      <c r="D722" s="233" t="s">
        <v>3458</v>
      </c>
      <c r="E722" s="233" t="s">
        <v>3459</v>
      </c>
      <c r="F722" s="233" t="s">
        <v>3460</v>
      </c>
      <c r="G722" s="233" t="s">
        <v>3461</v>
      </c>
      <c r="H722" s="234" t="s">
        <v>2847</v>
      </c>
    </row>
    <row r="723" spans="1:8" x14ac:dyDescent="0.2">
      <c r="A723" s="63"/>
      <c r="B723" s="232" t="s">
        <v>17</v>
      </c>
      <c r="C723" s="233" t="s">
        <v>3462</v>
      </c>
      <c r="D723" s="233" t="s">
        <v>3463</v>
      </c>
      <c r="E723" s="233" t="s">
        <v>3464</v>
      </c>
      <c r="F723" s="233" t="s">
        <v>3465</v>
      </c>
      <c r="G723" s="233" t="s">
        <v>3466</v>
      </c>
      <c r="H723" s="234" t="s">
        <v>2847</v>
      </c>
    </row>
    <row r="724" spans="1:8" x14ac:dyDescent="0.2">
      <c r="A724" s="63"/>
      <c r="B724" s="232" t="s">
        <v>17</v>
      </c>
      <c r="C724" s="233" t="s">
        <v>3467</v>
      </c>
      <c r="D724" s="233" t="s">
        <v>3468</v>
      </c>
      <c r="E724" s="233" t="s">
        <v>3467</v>
      </c>
      <c r="F724" s="233" t="s">
        <v>3467</v>
      </c>
      <c r="G724" s="233" t="s">
        <v>3469</v>
      </c>
      <c r="H724" s="234" t="s">
        <v>2421</v>
      </c>
    </row>
    <row r="725" spans="1:8" x14ac:dyDescent="0.2">
      <c r="A725" s="63"/>
      <c r="B725" s="232" t="s">
        <v>17</v>
      </c>
      <c r="C725" s="233" t="s">
        <v>3470</v>
      </c>
      <c r="D725" s="233" t="s">
        <v>3471</v>
      </c>
      <c r="E725" s="233" t="s">
        <v>3472</v>
      </c>
      <c r="F725" s="233" t="s">
        <v>3473</v>
      </c>
      <c r="G725" s="233" t="s">
        <v>3474</v>
      </c>
      <c r="H725" s="234" t="s">
        <v>2847</v>
      </c>
    </row>
    <row r="726" spans="1:8" x14ac:dyDescent="0.2">
      <c r="A726" s="63"/>
      <c r="B726" s="232" t="s">
        <v>17</v>
      </c>
      <c r="C726" s="233" t="s">
        <v>3475</v>
      </c>
      <c r="D726" s="233" t="s">
        <v>3476</v>
      </c>
      <c r="E726" s="233" t="s">
        <v>3477</v>
      </c>
      <c r="F726" s="237" t="s">
        <v>3478</v>
      </c>
      <c r="G726" s="233" t="s">
        <v>3479</v>
      </c>
      <c r="H726" s="234" t="s">
        <v>2847</v>
      </c>
    </row>
    <row r="727" spans="1:8" x14ac:dyDescent="0.2">
      <c r="A727" s="63"/>
      <c r="B727" s="232" t="s">
        <v>17</v>
      </c>
      <c r="C727" s="233" t="s">
        <v>3480</v>
      </c>
      <c r="D727" s="233" t="s">
        <v>3480</v>
      </c>
      <c r="E727" s="233" t="s">
        <v>3480</v>
      </c>
      <c r="F727" s="237" t="s">
        <v>3480</v>
      </c>
      <c r="G727" s="233" t="s">
        <v>3481</v>
      </c>
      <c r="H727" s="234" t="s">
        <v>3021</v>
      </c>
    </row>
    <row r="728" spans="1:8" x14ac:dyDescent="0.2">
      <c r="A728" s="63"/>
      <c r="B728" s="232" t="s">
        <v>17</v>
      </c>
      <c r="C728" s="233" t="s">
        <v>3482</v>
      </c>
      <c r="D728" s="233" t="s">
        <v>3483</v>
      </c>
      <c r="E728" s="233" t="s">
        <v>3482</v>
      </c>
      <c r="F728" s="237" t="s">
        <v>3483</v>
      </c>
      <c r="G728" s="233" t="s">
        <v>3484</v>
      </c>
      <c r="H728" s="234" t="s">
        <v>2420</v>
      </c>
    </row>
    <row r="729" spans="1:8" x14ac:dyDescent="0.2">
      <c r="A729" s="63"/>
      <c r="B729" s="232" t="s">
        <v>17</v>
      </c>
      <c r="C729" s="233" t="s">
        <v>3485</v>
      </c>
      <c r="D729" s="233" t="s">
        <v>3486</v>
      </c>
      <c r="E729" s="233" t="s">
        <v>3487</v>
      </c>
      <c r="F729" s="237" t="s">
        <v>3488</v>
      </c>
      <c r="G729" s="233" t="s">
        <v>3489</v>
      </c>
      <c r="H729" s="234" t="s">
        <v>2420</v>
      </c>
    </row>
    <row r="730" spans="1:8" x14ac:dyDescent="0.2">
      <c r="A730" s="63"/>
      <c r="B730" s="232" t="s">
        <v>17</v>
      </c>
      <c r="C730" s="233" t="s">
        <v>3490</v>
      </c>
      <c r="D730" s="233" t="s">
        <v>3491</v>
      </c>
      <c r="E730" s="233" t="s">
        <v>3491</v>
      </c>
      <c r="F730" s="237" t="s">
        <v>3492</v>
      </c>
      <c r="G730" s="233" t="s">
        <v>3493</v>
      </c>
      <c r="H730" s="234" t="s">
        <v>2731</v>
      </c>
    </row>
    <row r="731" spans="1:8" x14ac:dyDescent="0.2">
      <c r="A731" s="63"/>
      <c r="B731" s="232" t="s">
        <v>17</v>
      </c>
      <c r="C731" s="233" t="s">
        <v>3494</v>
      </c>
      <c r="D731" s="233" t="s">
        <v>3495</v>
      </c>
      <c r="E731" s="233" t="s">
        <v>3495</v>
      </c>
      <c r="F731" s="237" t="s">
        <v>3496</v>
      </c>
      <c r="G731" s="233" t="s">
        <v>3497</v>
      </c>
      <c r="H731" s="234" t="s">
        <v>2417</v>
      </c>
    </row>
    <row r="732" spans="1:8" x14ac:dyDescent="0.2">
      <c r="A732" s="63"/>
      <c r="B732" s="232" t="s">
        <v>17</v>
      </c>
      <c r="C732" s="233" t="s">
        <v>3498</v>
      </c>
      <c r="D732" s="233" t="s">
        <v>3499</v>
      </c>
      <c r="E732" s="233" t="s">
        <v>3499</v>
      </c>
      <c r="F732" s="237" t="s">
        <v>3498</v>
      </c>
      <c r="G732" s="233" t="s">
        <v>3500</v>
      </c>
      <c r="H732" s="234" t="s">
        <v>2417</v>
      </c>
    </row>
    <row r="733" spans="1:8" x14ac:dyDescent="0.2">
      <c r="A733" s="63"/>
      <c r="B733" s="232" t="s">
        <v>17</v>
      </c>
      <c r="C733" s="233" t="s">
        <v>3501</v>
      </c>
      <c r="D733" s="233" t="s">
        <v>3502</v>
      </c>
      <c r="E733" s="233" t="s">
        <v>3503</v>
      </c>
      <c r="F733" s="237" t="s">
        <v>3504</v>
      </c>
      <c r="G733" s="233" t="s">
        <v>3505</v>
      </c>
      <c r="H733" s="234" t="s">
        <v>2417</v>
      </c>
    </row>
    <row r="734" spans="1:8" x14ac:dyDescent="0.2">
      <c r="A734" s="63"/>
      <c r="B734" s="232" t="s">
        <v>17</v>
      </c>
      <c r="C734" s="233" t="s">
        <v>3506</v>
      </c>
      <c r="D734" s="233" t="s">
        <v>3507</v>
      </c>
      <c r="E734" s="233" t="s">
        <v>3506</v>
      </c>
      <c r="F734" s="237" t="s">
        <v>3506</v>
      </c>
      <c r="G734" s="233" t="s">
        <v>3508</v>
      </c>
      <c r="H734" s="234" t="s">
        <v>2417</v>
      </c>
    </row>
    <row r="735" spans="1:8" x14ac:dyDescent="0.2">
      <c r="A735" s="63"/>
      <c r="B735" s="232" t="s">
        <v>17</v>
      </c>
      <c r="C735" s="233" t="s">
        <v>3509</v>
      </c>
      <c r="D735" s="233" t="s">
        <v>3510</v>
      </c>
      <c r="E735" s="233" t="s">
        <v>3511</v>
      </c>
      <c r="F735" s="237" t="s">
        <v>3512</v>
      </c>
      <c r="G735" s="233" t="s">
        <v>3513</v>
      </c>
      <c r="H735" s="234" t="s">
        <v>2420</v>
      </c>
    </row>
    <row r="736" spans="1:8" x14ac:dyDescent="0.2">
      <c r="A736" s="63"/>
      <c r="B736" s="232" t="s">
        <v>17</v>
      </c>
      <c r="C736" s="233" t="s">
        <v>3514</v>
      </c>
      <c r="D736" s="233" t="s">
        <v>3514</v>
      </c>
      <c r="E736" s="233" t="s">
        <v>3514</v>
      </c>
      <c r="F736" s="237" t="s">
        <v>3514</v>
      </c>
      <c r="G736" s="233" t="s">
        <v>3514</v>
      </c>
      <c r="H736" s="234" t="s">
        <v>2731</v>
      </c>
    </row>
    <row r="737" spans="1:8" x14ac:dyDescent="0.2">
      <c r="A737" s="63"/>
      <c r="B737" s="232" t="s">
        <v>17</v>
      </c>
      <c r="C737" s="233" t="s">
        <v>3515</v>
      </c>
      <c r="D737" s="233" t="s">
        <v>3515</v>
      </c>
      <c r="E737" s="233" t="s">
        <v>3515</v>
      </c>
      <c r="F737" s="237" t="s">
        <v>3515</v>
      </c>
      <c r="G737" s="233" t="s">
        <v>3515</v>
      </c>
      <c r="H737" s="234" t="s">
        <v>2731</v>
      </c>
    </row>
    <row r="738" spans="1:8" x14ac:dyDescent="0.2">
      <c r="A738" s="63"/>
      <c r="B738" s="232" t="s">
        <v>17</v>
      </c>
      <c r="C738" s="233" t="s">
        <v>3516</v>
      </c>
      <c r="D738" s="233" t="s">
        <v>3516</v>
      </c>
      <c r="E738" s="233" t="s">
        <v>3516</v>
      </c>
      <c r="F738" s="237" t="s">
        <v>3516</v>
      </c>
      <c r="G738" s="233" t="s">
        <v>3516</v>
      </c>
      <c r="H738" s="234" t="s">
        <v>2731</v>
      </c>
    </row>
    <row r="739" spans="1:8" x14ac:dyDescent="0.2">
      <c r="A739" s="63"/>
      <c r="B739" s="232" t="s">
        <v>17</v>
      </c>
      <c r="C739" s="233" t="s">
        <v>3517</v>
      </c>
      <c r="D739" s="233" t="s">
        <v>3518</v>
      </c>
      <c r="E739" s="233" t="s">
        <v>3519</v>
      </c>
      <c r="F739" s="237" t="s">
        <v>3520</v>
      </c>
      <c r="G739" s="233" t="s">
        <v>3521</v>
      </c>
      <c r="H739" s="234" t="s">
        <v>2420</v>
      </c>
    </row>
    <row r="740" spans="1:8" x14ac:dyDescent="0.2">
      <c r="A740" s="63"/>
      <c r="B740" s="232" t="s">
        <v>17</v>
      </c>
      <c r="C740" s="233" t="s">
        <v>3522</v>
      </c>
      <c r="D740" s="233" t="s">
        <v>3523</v>
      </c>
      <c r="E740" s="233" t="s">
        <v>3522</v>
      </c>
      <c r="F740" s="237" t="s">
        <v>3524</v>
      </c>
      <c r="G740" s="233" t="s">
        <v>3525</v>
      </c>
      <c r="H740" s="234" t="s">
        <v>2420</v>
      </c>
    </row>
    <row r="741" spans="1:8" x14ac:dyDescent="0.2">
      <c r="A741" s="63"/>
      <c r="B741" s="232" t="s">
        <v>17</v>
      </c>
      <c r="C741" s="233" t="s">
        <v>3526</v>
      </c>
      <c r="D741" s="233" t="s">
        <v>3527</v>
      </c>
      <c r="E741" s="233" t="s">
        <v>3528</v>
      </c>
      <c r="F741" s="237" t="s">
        <v>3529</v>
      </c>
      <c r="G741" s="233" t="s">
        <v>3530</v>
      </c>
      <c r="H741" s="234" t="s">
        <v>2420</v>
      </c>
    </row>
    <row r="742" spans="1:8" x14ac:dyDescent="0.2">
      <c r="A742" s="63"/>
      <c r="B742" s="232" t="s">
        <v>17</v>
      </c>
      <c r="C742" s="233" t="s">
        <v>3531</v>
      </c>
      <c r="D742" s="233" t="s">
        <v>3532</v>
      </c>
      <c r="E742" s="233" t="s">
        <v>3533</v>
      </c>
      <c r="F742" s="237" t="s">
        <v>3534</v>
      </c>
      <c r="G742" s="233" t="s">
        <v>3535</v>
      </c>
      <c r="H742" s="234" t="s">
        <v>2419</v>
      </c>
    </row>
    <row r="743" spans="1:8" x14ac:dyDescent="0.2">
      <c r="A743" s="63"/>
      <c r="B743" s="232" t="s">
        <v>17</v>
      </c>
      <c r="C743" s="233" t="s">
        <v>3536</v>
      </c>
      <c r="D743" s="233" t="s">
        <v>3537</v>
      </c>
      <c r="E743" s="233" t="s">
        <v>3538</v>
      </c>
      <c r="F743" s="237" t="s">
        <v>3539</v>
      </c>
      <c r="G743" s="233" t="s">
        <v>3540</v>
      </c>
      <c r="H743" s="234" t="s">
        <v>2417</v>
      </c>
    </row>
    <row r="744" spans="1:8" x14ac:dyDescent="0.2">
      <c r="A744" s="63"/>
      <c r="B744" s="232" t="s">
        <v>17</v>
      </c>
      <c r="C744" s="233" t="s">
        <v>3541</v>
      </c>
      <c r="D744" s="233" t="s">
        <v>3542</v>
      </c>
      <c r="E744" s="233" t="s">
        <v>3543</v>
      </c>
      <c r="F744" s="237" t="s">
        <v>3544</v>
      </c>
      <c r="G744" s="233" t="s">
        <v>3545</v>
      </c>
      <c r="H744" s="234" t="s">
        <v>2419</v>
      </c>
    </row>
    <row r="745" spans="1:8" x14ac:dyDescent="0.2">
      <c r="A745" s="63"/>
      <c r="B745" s="232" t="s">
        <v>17</v>
      </c>
      <c r="C745" s="233" t="s">
        <v>3546</v>
      </c>
      <c r="D745" s="233" t="s">
        <v>3546</v>
      </c>
      <c r="E745" s="233" t="s">
        <v>3546</v>
      </c>
      <c r="F745" s="237" t="s">
        <v>3546</v>
      </c>
      <c r="G745" s="233" t="s">
        <v>3546</v>
      </c>
      <c r="H745" s="234" t="s">
        <v>2420</v>
      </c>
    </row>
    <row r="746" spans="1:8" x14ac:dyDescent="0.2">
      <c r="A746" s="63"/>
      <c r="B746" s="232" t="s">
        <v>17</v>
      </c>
      <c r="C746" s="233" t="s">
        <v>3547</v>
      </c>
      <c r="D746" s="233" t="s">
        <v>3547</v>
      </c>
      <c r="E746" s="233" t="s">
        <v>3547</v>
      </c>
      <c r="F746" s="237" t="s">
        <v>3547</v>
      </c>
      <c r="G746" s="233" t="s">
        <v>3548</v>
      </c>
      <c r="H746" s="234" t="s">
        <v>2420</v>
      </c>
    </row>
    <row r="747" spans="1:8" x14ac:dyDescent="0.2">
      <c r="A747" s="63"/>
      <c r="B747" s="232" t="s">
        <v>17</v>
      </c>
      <c r="C747" s="233" t="s">
        <v>3549</v>
      </c>
      <c r="D747" s="233" t="s">
        <v>3550</v>
      </c>
      <c r="E747" s="233" t="s">
        <v>3551</v>
      </c>
      <c r="F747" s="237" t="s">
        <v>3552</v>
      </c>
      <c r="G747" s="233" t="s">
        <v>3549</v>
      </c>
      <c r="H747" s="234" t="s">
        <v>2731</v>
      </c>
    </row>
    <row r="748" spans="1:8" x14ac:dyDescent="0.2">
      <c r="A748" s="63"/>
      <c r="B748" s="232" t="s">
        <v>17</v>
      </c>
      <c r="C748" s="233" t="s">
        <v>3553</v>
      </c>
      <c r="D748" s="233" t="s">
        <v>3554</v>
      </c>
      <c r="E748" s="233" t="s">
        <v>3553</v>
      </c>
      <c r="F748" s="237" t="s">
        <v>3555</v>
      </c>
      <c r="G748" s="233" t="s">
        <v>3556</v>
      </c>
      <c r="H748" s="234" t="s">
        <v>2421</v>
      </c>
    </row>
    <row r="749" spans="1:8" x14ac:dyDescent="0.2">
      <c r="A749" s="63"/>
      <c r="B749" s="232" t="s">
        <v>17</v>
      </c>
      <c r="C749" s="233" t="s">
        <v>3557</v>
      </c>
      <c r="D749" s="233" t="s">
        <v>3558</v>
      </c>
      <c r="E749" s="233" t="s">
        <v>3557</v>
      </c>
      <c r="F749" s="237" t="s">
        <v>3559</v>
      </c>
      <c r="G749" s="233" t="s">
        <v>3560</v>
      </c>
      <c r="H749" s="234" t="s">
        <v>2420</v>
      </c>
    </row>
    <row r="750" spans="1:8" x14ac:dyDescent="0.2">
      <c r="A750" s="63"/>
      <c r="B750" s="232" t="s">
        <v>17</v>
      </c>
      <c r="C750" s="233" t="s">
        <v>3561</v>
      </c>
      <c r="D750" s="233" t="s">
        <v>3562</v>
      </c>
      <c r="E750" s="233" t="s">
        <v>3563</v>
      </c>
      <c r="F750" s="237" t="s">
        <v>3564</v>
      </c>
      <c r="G750" s="233" t="s">
        <v>3565</v>
      </c>
      <c r="H750" s="234" t="s">
        <v>2417</v>
      </c>
    </row>
    <row r="751" spans="1:8" x14ac:dyDescent="0.2">
      <c r="A751" s="63"/>
      <c r="B751" s="232" t="s">
        <v>17</v>
      </c>
      <c r="C751" s="233" t="s">
        <v>3566</v>
      </c>
      <c r="D751" s="233" t="s">
        <v>3567</v>
      </c>
      <c r="E751" s="233" t="s">
        <v>3568</v>
      </c>
      <c r="F751" s="237" t="s">
        <v>3566</v>
      </c>
      <c r="G751" s="233" t="s">
        <v>3565</v>
      </c>
      <c r="H751" s="234" t="s">
        <v>2417</v>
      </c>
    </row>
    <row r="752" spans="1:8" x14ac:dyDescent="0.2">
      <c r="A752" s="63"/>
      <c r="B752" s="232" t="s">
        <v>17</v>
      </c>
      <c r="C752" s="233" t="s">
        <v>3569</v>
      </c>
      <c r="D752" s="233" t="s">
        <v>3569</v>
      </c>
      <c r="E752" s="233" t="s">
        <v>3569</v>
      </c>
      <c r="F752" s="237" t="s">
        <v>3569</v>
      </c>
      <c r="G752" s="233" t="s">
        <v>3569</v>
      </c>
      <c r="H752" s="234" t="s">
        <v>2420</v>
      </c>
    </row>
    <row r="753" spans="1:8" x14ac:dyDescent="0.2">
      <c r="A753" s="63"/>
      <c r="B753" s="232" t="s">
        <v>17</v>
      </c>
      <c r="C753" s="233" t="s">
        <v>3570</v>
      </c>
      <c r="D753" s="233" t="s">
        <v>3570</v>
      </c>
      <c r="E753" s="233" t="s">
        <v>3570</v>
      </c>
      <c r="F753" s="237" t="s">
        <v>3570</v>
      </c>
      <c r="G753" s="233" t="s">
        <v>3571</v>
      </c>
      <c r="H753" s="234" t="s">
        <v>2420</v>
      </c>
    </row>
    <row r="754" spans="1:8" x14ac:dyDescent="0.2">
      <c r="A754" s="63"/>
      <c r="B754" s="232" t="s">
        <v>17</v>
      </c>
      <c r="C754" s="233" t="s">
        <v>3573</v>
      </c>
      <c r="D754" s="233" t="s">
        <v>3574</v>
      </c>
      <c r="E754" s="233" t="s">
        <v>3573</v>
      </c>
      <c r="F754" s="237" t="s">
        <v>3573</v>
      </c>
      <c r="G754" s="233" t="s">
        <v>3575</v>
      </c>
      <c r="H754" s="234" t="s">
        <v>2396</v>
      </c>
    </row>
    <row r="755" spans="1:8" x14ac:dyDescent="0.2">
      <c r="A755" s="63"/>
      <c r="B755" s="232" t="s">
        <v>17</v>
      </c>
      <c r="C755" s="233" t="s">
        <v>3576</v>
      </c>
      <c r="D755" s="233" t="s">
        <v>3577</v>
      </c>
      <c r="E755" s="233" t="s">
        <v>3572</v>
      </c>
      <c r="F755" s="237" t="s">
        <v>3577</v>
      </c>
      <c r="G755" s="233" t="s">
        <v>3578</v>
      </c>
      <c r="H755" s="234" t="s">
        <v>2731</v>
      </c>
    </row>
    <row r="756" spans="1:8" x14ac:dyDescent="0.2">
      <c r="A756" s="63"/>
      <c r="B756" s="232" t="s">
        <v>17</v>
      </c>
      <c r="C756" s="233" t="s">
        <v>3579</v>
      </c>
      <c r="D756" s="233" t="s">
        <v>3580</v>
      </c>
      <c r="E756" s="233" t="s">
        <v>3581</v>
      </c>
      <c r="F756" s="237" t="s">
        <v>3582</v>
      </c>
      <c r="G756" s="233" t="s">
        <v>3583</v>
      </c>
      <c r="H756" s="234" t="s">
        <v>2421</v>
      </c>
    </row>
    <row r="757" spans="1:8" x14ac:dyDescent="0.2">
      <c r="A757" s="63"/>
      <c r="B757" s="232" t="s">
        <v>17</v>
      </c>
      <c r="C757" s="233" t="s">
        <v>3584</v>
      </c>
      <c r="D757" s="233" t="s">
        <v>3585</v>
      </c>
      <c r="E757" s="233" t="s">
        <v>3584</v>
      </c>
      <c r="F757" s="237" t="s">
        <v>3586</v>
      </c>
      <c r="G757" s="233" t="s">
        <v>3584</v>
      </c>
      <c r="H757" s="234" t="s">
        <v>2731</v>
      </c>
    </row>
    <row r="758" spans="1:8" x14ac:dyDescent="0.2">
      <c r="A758" s="63"/>
      <c r="B758" s="232" t="s">
        <v>17</v>
      </c>
      <c r="C758" s="233" t="s">
        <v>3587</v>
      </c>
      <c r="D758" s="233" t="s">
        <v>3588</v>
      </c>
      <c r="E758" s="233" t="s">
        <v>3588</v>
      </c>
      <c r="F758" s="237" t="s">
        <v>3587</v>
      </c>
      <c r="G758" s="233" t="s">
        <v>3589</v>
      </c>
      <c r="H758" s="234" t="s">
        <v>2731</v>
      </c>
    </row>
    <row r="759" spans="1:8" x14ac:dyDescent="0.2">
      <c r="A759" s="63"/>
      <c r="B759" s="232" t="s">
        <v>17</v>
      </c>
      <c r="C759" s="233" t="s">
        <v>3590</v>
      </c>
      <c r="D759" s="233" t="s">
        <v>3591</v>
      </c>
      <c r="E759" s="233" t="s">
        <v>3592</v>
      </c>
      <c r="F759" s="237" t="s">
        <v>3590</v>
      </c>
      <c r="G759" s="233" t="s">
        <v>3593</v>
      </c>
      <c r="H759" s="234" t="s">
        <v>2420</v>
      </c>
    </row>
    <row r="760" spans="1:8" x14ac:dyDescent="0.2">
      <c r="A760" s="63"/>
      <c r="B760" s="232" t="s">
        <v>17</v>
      </c>
      <c r="C760" s="233" t="s">
        <v>3594</v>
      </c>
      <c r="D760" s="233" t="s">
        <v>3595</v>
      </c>
      <c r="E760" s="233" t="s">
        <v>3596</v>
      </c>
      <c r="F760" s="237" t="s">
        <v>3597</v>
      </c>
      <c r="G760" s="233" t="s">
        <v>3598</v>
      </c>
      <c r="H760" s="234" t="s">
        <v>2396</v>
      </c>
    </row>
    <row r="761" spans="1:8" x14ac:dyDescent="0.2">
      <c r="A761" s="63"/>
      <c r="B761" s="232" t="s">
        <v>17</v>
      </c>
      <c r="C761" s="233" t="s">
        <v>3599</v>
      </c>
      <c r="D761" s="233" t="s">
        <v>3600</v>
      </c>
      <c r="E761" s="233" t="s">
        <v>3601</v>
      </c>
      <c r="F761" s="237" t="s">
        <v>3602</v>
      </c>
      <c r="G761" s="233" t="s">
        <v>3603</v>
      </c>
      <c r="H761" s="234" t="s">
        <v>2731</v>
      </c>
    </row>
    <row r="762" spans="1:8" x14ac:dyDescent="0.2">
      <c r="A762" s="63"/>
      <c r="B762" s="232" t="s">
        <v>17</v>
      </c>
      <c r="C762" s="233" t="s">
        <v>3604</v>
      </c>
      <c r="D762" s="233" t="s">
        <v>3605</v>
      </c>
      <c r="E762" s="233" t="s">
        <v>3606</v>
      </c>
      <c r="F762" s="237" t="s">
        <v>3607</v>
      </c>
      <c r="G762" s="233" t="s">
        <v>3604</v>
      </c>
      <c r="H762" s="234" t="s">
        <v>2731</v>
      </c>
    </row>
    <row r="763" spans="1:8" x14ac:dyDescent="0.2">
      <c r="A763" s="63"/>
      <c r="B763" s="232" t="s">
        <v>17</v>
      </c>
      <c r="C763" s="233" t="s">
        <v>157</v>
      </c>
      <c r="D763" s="233" t="s">
        <v>157</v>
      </c>
      <c r="E763" s="233" t="s">
        <v>157</v>
      </c>
      <c r="F763" s="237" t="s">
        <v>157</v>
      </c>
      <c r="G763" s="233" t="s">
        <v>157</v>
      </c>
      <c r="H763" s="234" t="s">
        <v>2847</v>
      </c>
    </row>
    <row r="764" spans="1:8" x14ac:dyDescent="0.2">
      <c r="A764" s="63"/>
      <c r="B764" s="232" t="s">
        <v>17</v>
      </c>
      <c r="C764" s="233" t="s">
        <v>3608</v>
      </c>
      <c r="D764" s="233" t="s">
        <v>2922</v>
      </c>
      <c r="E764" s="233" t="s">
        <v>3609</v>
      </c>
      <c r="F764" s="237" t="s">
        <v>3608</v>
      </c>
      <c r="G764" s="233" t="s">
        <v>3610</v>
      </c>
      <c r="H764" s="234" t="s">
        <v>2847</v>
      </c>
    </row>
    <row r="765" spans="1:8" x14ac:dyDescent="0.2">
      <c r="A765" s="63"/>
      <c r="B765" s="232" t="s">
        <v>17</v>
      </c>
      <c r="C765" s="233" t="s">
        <v>3611</v>
      </c>
      <c r="D765" s="233" t="s">
        <v>3612</v>
      </c>
      <c r="E765" s="233" t="s">
        <v>3613</v>
      </c>
      <c r="F765" s="237" t="s">
        <v>3614</v>
      </c>
      <c r="G765" s="233" t="s">
        <v>3611</v>
      </c>
      <c r="H765" s="234" t="s">
        <v>2420</v>
      </c>
    </row>
    <row r="766" spans="1:8" x14ac:dyDescent="0.2">
      <c r="A766" s="63"/>
      <c r="B766" s="232" t="s">
        <v>17</v>
      </c>
      <c r="C766" s="233" t="s">
        <v>3615</v>
      </c>
      <c r="D766" s="233" t="s">
        <v>3616</v>
      </c>
      <c r="E766" s="233" t="s">
        <v>3617</v>
      </c>
      <c r="F766" s="237" t="s">
        <v>3618</v>
      </c>
      <c r="G766" s="233" t="s">
        <v>3619</v>
      </c>
      <c r="H766" s="234" t="s">
        <v>2396</v>
      </c>
    </row>
    <row r="767" spans="1:8" x14ac:dyDescent="0.2">
      <c r="A767" s="63"/>
      <c r="B767" s="232" t="s">
        <v>17</v>
      </c>
      <c r="C767" s="233" t="s">
        <v>3620</v>
      </c>
      <c r="D767" s="233" t="s">
        <v>3621</v>
      </c>
      <c r="E767" s="233" t="s">
        <v>3620</v>
      </c>
      <c r="F767" s="237" t="s">
        <v>3622</v>
      </c>
      <c r="G767" s="233" t="s">
        <v>3623</v>
      </c>
      <c r="H767" s="234" t="s">
        <v>2421</v>
      </c>
    </row>
    <row r="768" spans="1:8" x14ac:dyDescent="0.2">
      <c r="A768" s="63"/>
      <c r="B768" s="232" t="s">
        <v>17</v>
      </c>
      <c r="C768" s="233" t="s">
        <v>3624</v>
      </c>
      <c r="D768" s="233" t="s">
        <v>3625</v>
      </c>
      <c r="E768" s="233" t="s">
        <v>3626</v>
      </c>
      <c r="F768" s="237" t="s">
        <v>3627</v>
      </c>
      <c r="G768" s="233" t="s">
        <v>3628</v>
      </c>
      <c r="H768" s="234" t="s">
        <v>2420</v>
      </c>
    </row>
    <row r="769" spans="1:8" x14ac:dyDescent="0.2">
      <c r="A769" s="63"/>
      <c r="B769" s="232" t="s">
        <v>17</v>
      </c>
      <c r="C769" s="233" t="s">
        <v>3629</v>
      </c>
      <c r="D769" s="233" t="s">
        <v>3630</v>
      </c>
      <c r="E769" s="233" t="s">
        <v>3629</v>
      </c>
      <c r="F769" s="237" t="s">
        <v>3631</v>
      </c>
      <c r="G769" s="233" t="s">
        <v>3632</v>
      </c>
      <c r="H769" s="234" t="s">
        <v>2420</v>
      </c>
    </row>
    <row r="770" spans="1:8" x14ac:dyDescent="0.2">
      <c r="A770" s="63"/>
      <c r="B770" s="232" t="s">
        <v>17</v>
      </c>
      <c r="C770" s="233" t="s">
        <v>3633</v>
      </c>
      <c r="D770" s="233" t="s">
        <v>3634</v>
      </c>
      <c r="E770" s="233" t="s">
        <v>3635</v>
      </c>
      <c r="F770" s="237" t="s">
        <v>3636</v>
      </c>
      <c r="G770" s="233" t="s">
        <v>3637</v>
      </c>
      <c r="H770" s="234" t="s">
        <v>2420</v>
      </c>
    </row>
    <row r="771" spans="1:8" x14ac:dyDescent="0.2">
      <c r="A771" s="63"/>
      <c r="B771" s="232" t="s">
        <v>17</v>
      </c>
      <c r="C771" s="233" t="s">
        <v>3638</v>
      </c>
      <c r="D771" s="233" t="s">
        <v>3639</v>
      </c>
      <c r="E771" s="233" t="s">
        <v>3640</v>
      </c>
      <c r="F771" s="237" t="s">
        <v>3641</v>
      </c>
      <c r="G771" s="233" t="s">
        <v>3642</v>
      </c>
      <c r="H771" s="234" t="s">
        <v>2420</v>
      </c>
    </row>
    <row r="772" spans="1:8" x14ac:dyDescent="0.2">
      <c r="A772" s="63"/>
      <c r="B772" s="232" t="s">
        <v>17</v>
      </c>
      <c r="C772" s="233" t="s">
        <v>3643</v>
      </c>
      <c r="D772" s="233" t="s">
        <v>3644</v>
      </c>
      <c r="E772" s="233" t="s">
        <v>3645</v>
      </c>
      <c r="F772" s="237" t="s">
        <v>3646</v>
      </c>
      <c r="G772" s="233" t="s">
        <v>3647</v>
      </c>
      <c r="H772" s="234" t="s">
        <v>2416</v>
      </c>
    </row>
    <row r="773" spans="1:8" x14ac:dyDescent="0.2">
      <c r="A773" s="63"/>
      <c r="B773" s="232" t="s">
        <v>17</v>
      </c>
      <c r="C773" s="233" t="s">
        <v>3648</v>
      </c>
      <c r="D773" s="233" t="s">
        <v>3649</v>
      </c>
      <c r="E773" s="233" t="s">
        <v>3650</v>
      </c>
      <c r="F773" s="237" t="s">
        <v>3651</v>
      </c>
      <c r="G773" s="233" t="s">
        <v>3652</v>
      </c>
      <c r="H773" s="234" t="s">
        <v>2396</v>
      </c>
    </row>
    <row r="774" spans="1:8" x14ac:dyDescent="0.2">
      <c r="A774" s="63"/>
      <c r="B774" s="232" t="s">
        <v>17</v>
      </c>
      <c r="C774" s="233" t="s">
        <v>3653</v>
      </c>
      <c r="D774" s="233" t="s">
        <v>3653</v>
      </c>
      <c r="E774" s="233" t="s">
        <v>3654</v>
      </c>
      <c r="F774" s="237" t="s">
        <v>3655</v>
      </c>
      <c r="G774" s="233" t="s">
        <v>3653</v>
      </c>
      <c r="H774" s="234" t="s">
        <v>2421</v>
      </c>
    </row>
    <row r="775" spans="1:8" x14ac:dyDescent="0.2">
      <c r="A775" s="63"/>
      <c r="B775" s="232" t="s">
        <v>17</v>
      </c>
      <c r="C775" s="233" t="s">
        <v>3656</v>
      </c>
      <c r="D775" s="233" t="s">
        <v>3657</v>
      </c>
      <c r="E775" s="233" t="s">
        <v>3658</v>
      </c>
      <c r="F775" s="237" t="s">
        <v>3659</v>
      </c>
      <c r="G775" s="233" t="s">
        <v>3660</v>
      </c>
      <c r="H775" s="234" t="s">
        <v>2421</v>
      </c>
    </row>
    <row r="776" spans="1:8" x14ac:dyDescent="0.2">
      <c r="A776" s="63"/>
      <c r="B776" s="232" t="s">
        <v>17</v>
      </c>
      <c r="C776" s="233" t="s">
        <v>3661</v>
      </c>
      <c r="D776" s="233" t="s">
        <v>3662</v>
      </c>
      <c r="E776" s="233" t="s">
        <v>3661</v>
      </c>
      <c r="F776" s="237" t="s">
        <v>3661</v>
      </c>
      <c r="G776" s="233" t="s">
        <v>3663</v>
      </c>
      <c r="H776" s="234" t="s">
        <v>2994</v>
      </c>
    </row>
    <row r="777" spans="1:8" x14ac:dyDescent="0.2">
      <c r="A777" s="63"/>
      <c r="B777" s="232" t="s">
        <v>17</v>
      </c>
      <c r="C777" s="233" t="s">
        <v>3664</v>
      </c>
      <c r="D777" s="233" t="s">
        <v>3665</v>
      </c>
      <c r="E777" s="233" t="s">
        <v>3666</v>
      </c>
      <c r="F777" s="237" t="s">
        <v>3667</v>
      </c>
      <c r="G777" s="233" t="s">
        <v>3668</v>
      </c>
      <c r="H777" s="234" t="s">
        <v>63</v>
      </c>
    </row>
    <row r="778" spans="1:8" x14ac:dyDescent="0.2">
      <c r="A778" s="63"/>
      <c r="B778" s="232" t="s">
        <v>17</v>
      </c>
      <c r="C778" s="233" t="s">
        <v>3669</v>
      </c>
      <c r="D778" s="233" t="s">
        <v>3670</v>
      </c>
      <c r="E778" s="233" t="s">
        <v>3671</v>
      </c>
      <c r="F778" s="237" t="s">
        <v>3672</v>
      </c>
      <c r="G778" s="233" t="s">
        <v>3673</v>
      </c>
      <c r="H778" s="234" t="s">
        <v>63</v>
      </c>
    </row>
    <row r="779" spans="1:8" x14ac:dyDescent="0.2">
      <c r="A779" s="63"/>
      <c r="B779" s="232" t="s">
        <v>17</v>
      </c>
      <c r="C779" s="233" t="s">
        <v>3674</v>
      </c>
      <c r="D779" s="233" t="s">
        <v>3675</v>
      </c>
      <c r="E779" s="233" t="s">
        <v>3676</v>
      </c>
      <c r="F779" s="237" t="s">
        <v>3677</v>
      </c>
      <c r="G779" s="233" t="s">
        <v>3678</v>
      </c>
      <c r="H779" s="234" t="s">
        <v>63</v>
      </c>
    </row>
    <row r="780" spans="1:8" x14ac:dyDescent="0.2">
      <c r="A780" s="63"/>
      <c r="B780" s="232" t="s">
        <v>17</v>
      </c>
      <c r="C780" s="233" t="s">
        <v>3679</v>
      </c>
      <c r="D780" s="233" t="s">
        <v>3680</v>
      </c>
      <c r="E780" s="233" t="s">
        <v>3681</v>
      </c>
      <c r="F780" s="237" t="s">
        <v>3682</v>
      </c>
      <c r="G780" s="233" t="s">
        <v>3683</v>
      </c>
      <c r="H780" s="234" t="s">
        <v>2731</v>
      </c>
    </row>
    <row r="781" spans="1:8" x14ac:dyDescent="0.2">
      <c r="A781" s="63"/>
      <c r="B781" s="232" t="s">
        <v>17</v>
      </c>
      <c r="C781" s="233" t="s">
        <v>3684</v>
      </c>
      <c r="D781" s="233" t="s">
        <v>3685</v>
      </c>
      <c r="E781" s="233" t="s">
        <v>3686</v>
      </c>
      <c r="F781" s="237" t="s">
        <v>3687</v>
      </c>
      <c r="G781" s="233" t="s">
        <v>3688</v>
      </c>
      <c r="H781" s="234" t="s">
        <v>2421</v>
      </c>
    </row>
    <row r="782" spans="1:8" x14ac:dyDescent="0.2">
      <c r="A782" s="63"/>
      <c r="B782" s="232" t="s">
        <v>17</v>
      </c>
      <c r="C782" s="233" t="s">
        <v>3689</v>
      </c>
      <c r="D782" s="233" t="s">
        <v>3690</v>
      </c>
      <c r="E782" s="233" t="s">
        <v>3691</v>
      </c>
      <c r="F782" s="237" t="s">
        <v>3692</v>
      </c>
      <c r="G782" s="233" t="s">
        <v>3693</v>
      </c>
      <c r="H782" s="234" t="s">
        <v>2421</v>
      </c>
    </row>
    <row r="783" spans="1:8" x14ac:dyDescent="0.2">
      <c r="A783" s="63"/>
      <c r="B783" s="232" t="s">
        <v>17</v>
      </c>
      <c r="C783" s="233" t="s">
        <v>3694</v>
      </c>
      <c r="D783" s="233" t="s">
        <v>3695</v>
      </c>
      <c r="E783" s="233" t="s">
        <v>3696</v>
      </c>
      <c r="F783" s="237" t="s">
        <v>3697</v>
      </c>
      <c r="G783" s="233" t="s">
        <v>3698</v>
      </c>
      <c r="H783" s="234" t="s">
        <v>2421</v>
      </c>
    </row>
    <row r="784" spans="1:8" x14ac:dyDescent="0.2">
      <c r="A784" s="63"/>
      <c r="B784" s="232" t="s">
        <v>17</v>
      </c>
      <c r="C784" s="233" t="s">
        <v>3699</v>
      </c>
      <c r="D784" s="233" t="s">
        <v>3700</v>
      </c>
      <c r="E784" s="233" t="s">
        <v>3701</v>
      </c>
      <c r="F784" s="237" t="s">
        <v>3702</v>
      </c>
      <c r="G784" s="233" t="s">
        <v>3703</v>
      </c>
      <c r="H784" s="234" t="s">
        <v>2421</v>
      </c>
    </row>
    <row r="785" spans="1:8" x14ac:dyDescent="0.2">
      <c r="A785" s="63"/>
      <c r="B785" s="232" t="s">
        <v>17</v>
      </c>
      <c r="C785" s="233" t="s">
        <v>3704</v>
      </c>
      <c r="D785" s="233" t="s">
        <v>3705</v>
      </c>
      <c r="E785" s="233" t="s">
        <v>3706</v>
      </c>
      <c r="F785" s="237" t="s">
        <v>3707</v>
      </c>
      <c r="G785" s="233" t="s">
        <v>3708</v>
      </c>
      <c r="H785" s="234" t="s">
        <v>2419</v>
      </c>
    </row>
    <row r="786" spans="1:8" x14ac:dyDescent="0.2">
      <c r="A786" s="63"/>
      <c r="B786" s="232" t="s">
        <v>17</v>
      </c>
      <c r="C786" s="233" t="s">
        <v>3709</v>
      </c>
      <c r="D786" s="233" t="s">
        <v>3710</v>
      </c>
      <c r="E786" s="233" t="s">
        <v>3711</v>
      </c>
      <c r="F786" s="237" t="s">
        <v>3712</v>
      </c>
      <c r="G786" s="233" t="s">
        <v>2693</v>
      </c>
      <c r="H786" s="234" t="s">
        <v>2416</v>
      </c>
    </row>
    <row r="787" spans="1:8" x14ac:dyDescent="0.2">
      <c r="A787" s="63"/>
      <c r="B787" s="232" t="s">
        <v>17</v>
      </c>
      <c r="C787" s="233" t="s">
        <v>3713</v>
      </c>
      <c r="D787" s="233" t="s">
        <v>3713</v>
      </c>
      <c r="E787" s="233" t="s">
        <v>3713</v>
      </c>
      <c r="F787" s="237" t="s">
        <v>3713</v>
      </c>
      <c r="G787" s="233" t="s">
        <v>3713</v>
      </c>
      <c r="H787" s="234" t="s">
        <v>2420</v>
      </c>
    </row>
    <row r="788" spans="1:8" x14ac:dyDescent="0.2">
      <c r="A788" s="63"/>
      <c r="B788" s="232" t="s">
        <v>17</v>
      </c>
      <c r="C788" s="233" t="s">
        <v>3714</v>
      </c>
      <c r="D788" s="233" t="s">
        <v>3715</v>
      </c>
      <c r="E788" s="233" t="s">
        <v>3716</v>
      </c>
      <c r="F788" s="237" t="s">
        <v>3717</v>
      </c>
      <c r="G788" s="233" t="s">
        <v>3718</v>
      </c>
      <c r="H788" s="234" t="s">
        <v>2420</v>
      </c>
    </row>
    <row r="789" spans="1:8" x14ac:dyDescent="0.2">
      <c r="A789" s="63"/>
      <c r="B789" s="232" t="s">
        <v>17</v>
      </c>
      <c r="C789" s="233" t="s">
        <v>3719</v>
      </c>
      <c r="D789" s="233" t="s">
        <v>3720</v>
      </c>
      <c r="E789" s="233" t="s">
        <v>3721</v>
      </c>
      <c r="F789" s="237" t="s">
        <v>3722</v>
      </c>
      <c r="G789" s="233" t="s">
        <v>3723</v>
      </c>
      <c r="H789" s="234" t="s">
        <v>2420</v>
      </c>
    </row>
    <row r="790" spans="1:8" x14ac:dyDescent="0.2">
      <c r="A790" s="63"/>
      <c r="B790" s="232" t="s">
        <v>17</v>
      </c>
      <c r="C790" s="233" t="s">
        <v>3724</v>
      </c>
      <c r="D790" s="233" t="s">
        <v>3725</v>
      </c>
      <c r="E790" s="233" t="s">
        <v>3726</v>
      </c>
      <c r="F790" s="237" t="s">
        <v>3727</v>
      </c>
      <c r="G790" s="233" t="s">
        <v>3728</v>
      </c>
      <c r="H790" s="234" t="s">
        <v>2420</v>
      </c>
    </row>
    <row r="791" spans="1:8" x14ac:dyDescent="0.2">
      <c r="A791" s="63"/>
      <c r="B791" s="232" t="s">
        <v>17</v>
      </c>
      <c r="C791" s="233" t="s">
        <v>3729</v>
      </c>
      <c r="D791" s="233" t="s">
        <v>3730</v>
      </c>
      <c r="E791" s="233" t="s">
        <v>3729</v>
      </c>
      <c r="F791" s="237" t="s">
        <v>3731</v>
      </c>
      <c r="G791" s="233" t="s">
        <v>3732</v>
      </c>
      <c r="H791" s="234" t="s">
        <v>2417</v>
      </c>
    </row>
    <row r="792" spans="1:8" x14ac:dyDescent="0.2">
      <c r="A792" s="63"/>
      <c r="B792" s="232" t="s">
        <v>17</v>
      </c>
      <c r="C792" s="233" t="s">
        <v>3733</v>
      </c>
      <c r="D792" s="233" t="s">
        <v>3733</v>
      </c>
      <c r="E792" s="233" t="s">
        <v>3733</v>
      </c>
      <c r="F792" s="237" t="s">
        <v>3733</v>
      </c>
      <c r="G792" s="233" t="s">
        <v>3733</v>
      </c>
      <c r="H792" s="234" t="s">
        <v>2731</v>
      </c>
    </row>
    <row r="793" spans="1:8" x14ac:dyDescent="0.2">
      <c r="A793" s="63"/>
      <c r="B793" s="232" t="s">
        <v>17</v>
      </c>
      <c r="C793" s="233" t="s">
        <v>3734</v>
      </c>
      <c r="D793" s="233" t="s">
        <v>3735</v>
      </c>
      <c r="E793" s="233" t="s">
        <v>3736</v>
      </c>
      <c r="F793" s="237" t="s">
        <v>3737</v>
      </c>
      <c r="G793" s="233" t="s">
        <v>3738</v>
      </c>
      <c r="H793" s="234" t="s">
        <v>2421</v>
      </c>
    </row>
    <row r="794" spans="1:8" x14ac:dyDescent="0.2">
      <c r="A794" s="63"/>
      <c r="B794" s="232" t="s">
        <v>17</v>
      </c>
      <c r="C794" s="233" t="s">
        <v>3739</v>
      </c>
      <c r="D794" s="233" t="s">
        <v>3739</v>
      </c>
      <c r="E794" s="233" t="s">
        <v>3739</v>
      </c>
      <c r="F794" s="237" t="s">
        <v>3740</v>
      </c>
      <c r="G794" s="233" t="s">
        <v>3739</v>
      </c>
      <c r="H794" s="234" t="s">
        <v>2420</v>
      </c>
    </row>
    <row r="795" spans="1:8" x14ac:dyDescent="0.2">
      <c r="A795" s="63"/>
      <c r="B795" s="232" t="s">
        <v>17</v>
      </c>
      <c r="C795" s="233" t="s">
        <v>3741</v>
      </c>
      <c r="D795" s="233" t="s">
        <v>3742</v>
      </c>
      <c r="E795" s="233" t="s">
        <v>3743</v>
      </c>
      <c r="F795" s="237" t="s">
        <v>3744</v>
      </c>
      <c r="G795" s="233" t="s">
        <v>3745</v>
      </c>
      <c r="H795" s="234" t="s">
        <v>2731</v>
      </c>
    </row>
    <row r="796" spans="1:8" x14ac:dyDescent="0.2">
      <c r="A796" s="63"/>
      <c r="B796" s="232" t="s">
        <v>17</v>
      </c>
      <c r="C796" s="233" t="s">
        <v>3746</v>
      </c>
      <c r="D796" s="233" t="s">
        <v>3747</v>
      </c>
      <c r="E796" s="233" t="s">
        <v>3748</v>
      </c>
      <c r="F796" s="237" t="s">
        <v>3749</v>
      </c>
      <c r="G796" s="233" t="s">
        <v>3750</v>
      </c>
      <c r="H796" s="234" t="s">
        <v>2421</v>
      </c>
    </row>
    <row r="797" spans="1:8" x14ac:dyDescent="0.2">
      <c r="A797" s="63"/>
      <c r="B797" s="232" t="s">
        <v>17</v>
      </c>
      <c r="C797" s="233" t="s">
        <v>3751</v>
      </c>
      <c r="D797" s="233" t="s">
        <v>3752</v>
      </c>
      <c r="E797" s="233" t="s">
        <v>3753</v>
      </c>
      <c r="F797" s="237" t="s">
        <v>3754</v>
      </c>
      <c r="G797" s="233" t="s">
        <v>3755</v>
      </c>
      <c r="H797" s="234" t="s">
        <v>2421</v>
      </c>
    </row>
    <row r="798" spans="1:8" x14ac:dyDescent="0.2">
      <c r="A798" s="63"/>
      <c r="B798" s="232" t="s">
        <v>17</v>
      </c>
      <c r="C798" s="233" t="s">
        <v>3756</v>
      </c>
      <c r="D798" s="233" t="s">
        <v>3757</v>
      </c>
      <c r="E798" s="233" t="s">
        <v>3758</v>
      </c>
      <c r="F798" s="237" t="s">
        <v>3759</v>
      </c>
      <c r="G798" s="233" t="s">
        <v>3760</v>
      </c>
      <c r="H798" s="234" t="s">
        <v>2421</v>
      </c>
    </row>
    <row r="799" spans="1:8" x14ac:dyDescent="0.2">
      <c r="A799" s="63"/>
      <c r="B799" s="232" t="s">
        <v>17</v>
      </c>
      <c r="C799" s="233" t="s">
        <v>3761</v>
      </c>
      <c r="D799" s="233" t="s">
        <v>3762</v>
      </c>
      <c r="E799" s="233" t="s">
        <v>3763</v>
      </c>
      <c r="F799" s="237" t="s">
        <v>3764</v>
      </c>
      <c r="G799" s="233" t="s">
        <v>3765</v>
      </c>
      <c r="H799" s="234" t="s">
        <v>2421</v>
      </c>
    </row>
    <row r="800" spans="1:8" x14ac:dyDescent="0.2">
      <c r="A800" s="63"/>
      <c r="B800" s="232" t="s">
        <v>17</v>
      </c>
      <c r="C800" s="233" t="s">
        <v>3766</v>
      </c>
      <c r="D800" s="233" t="s">
        <v>3767</v>
      </c>
      <c r="E800" s="233" t="s">
        <v>3768</v>
      </c>
      <c r="F800" s="237" t="s">
        <v>3769</v>
      </c>
      <c r="G800" s="233" t="s">
        <v>3770</v>
      </c>
      <c r="H800" s="234" t="s">
        <v>2420</v>
      </c>
    </row>
    <row r="801" spans="1:8" x14ac:dyDescent="0.2">
      <c r="A801" s="63"/>
      <c r="B801" s="232" t="s">
        <v>17</v>
      </c>
      <c r="C801" s="233" t="s">
        <v>3771</v>
      </c>
      <c r="D801" s="233" t="s">
        <v>3771</v>
      </c>
      <c r="E801" s="233" t="s">
        <v>3772</v>
      </c>
      <c r="F801" s="237" t="s">
        <v>3773</v>
      </c>
      <c r="G801" s="233" t="s">
        <v>3774</v>
      </c>
      <c r="H801" s="234" t="s">
        <v>2731</v>
      </c>
    </row>
    <row r="802" spans="1:8" x14ac:dyDescent="0.2">
      <c r="A802" s="63"/>
      <c r="B802" s="232" t="s">
        <v>17</v>
      </c>
      <c r="C802" s="233" t="s">
        <v>3775</v>
      </c>
      <c r="D802" s="233" t="s">
        <v>3776</v>
      </c>
      <c r="E802" s="233" t="s">
        <v>3777</v>
      </c>
      <c r="F802" s="237" t="s">
        <v>3778</v>
      </c>
      <c r="G802" s="233" t="s">
        <v>3779</v>
      </c>
      <c r="H802" s="234" t="s">
        <v>2417</v>
      </c>
    </row>
    <row r="803" spans="1:8" x14ac:dyDescent="0.2">
      <c r="A803" s="63"/>
      <c r="B803" s="232" t="s">
        <v>17</v>
      </c>
      <c r="C803" s="233" t="s">
        <v>3780</v>
      </c>
      <c r="D803" s="233" t="s">
        <v>3781</v>
      </c>
      <c r="E803" s="233" t="s">
        <v>3782</v>
      </c>
      <c r="F803" s="237" t="s">
        <v>3783</v>
      </c>
      <c r="G803" s="233" t="s">
        <v>3783</v>
      </c>
      <c r="H803" s="234" t="s">
        <v>2421</v>
      </c>
    </row>
    <row r="804" spans="1:8" x14ac:dyDescent="0.2">
      <c r="A804" s="63"/>
      <c r="B804" s="232" t="s">
        <v>17</v>
      </c>
      <c r="C804" s="233" t="s">
        <v>3784</v>
      </c>
      <c r="D804" s="233" t="s">
        <v>3785</v>
      </c>
      <c r="E804" s="233" t="s">
        <v>3784</v>
      </c>
      <c r="F804" s="237" t="s">
        <v>3784</v>
      </c>
      <c r="G804" s="233" t="s">
        <v>3786</v>
      </c>
      <c r="H804" s="234" t="s">
        <v>2420</v>
      </c>
    </row>
    <row r="805" spans="1:8" x14ac:dyDescent="0.2">
      <c r="A805" s="63"/>
      <c r="B805" s="232" t="s">
        <v>17</v>
      </c>
      <c r="C805" s="233" t="s">
        <v>3787</v>
      </c>
      <c r="D805" s="233" t="s">
        <v>3787</v>
      </c>
      <c r="E805" s="233" t="s">
        <v>3787</v>
      </c>
      <c r="F805" s="237" t="s">
        <v>3787</v>
      </c>
      <c r="G805" s="233" t="s">
        <v>3788</v>
      </c>
      <c r="H805" s="234" t="s">
        <v>2731</v>
      </c>
    </row>
    <row r="806" spans="1:8" x14ac:dyDescent="0.2">
      <c r="A806" s="63"/>
      <c r="B806" s="232" t="s">
        <v>17</v>
      </c>
      <c r="C806" s="233" t="s">
        <v>3789</v>
      </c>
      <c r="D806" s="233" t="s">
        <v>3790</v>
      </c>
      <c r="E806" s="233" t="s">
        <v>3791</v>
      </c>
      <c r="F806" s="237" t="s">
        <v>3789</v>
      </c>
      <c r="G806" s="233" t="s">
        <v>3792</v>
      </c>
      <c r="H806" s="234" t="s">
        <v>2731</v>
      </c>
    </row>
    <row r="807" spans="1:8" x14ac:dyDescent="0.2">
      <c r="A807" s="63"/>
      <c r="B807" s="232" t="s">
        <v>17</v>
      </c>
      <c r="C807" s="233" t="s">
        <v>3793</v>
      </c>
      <c r="D807" s="233" t="s">
        <v>3794</v>
      </c>
      <c r="E807" s="233" t="s">
        <v>3795</v>
      </c>
      <c r="F807" s="237" t="s">
        <v>3796</v>
      </c>
      <c r="G807" s="233" t="s">
        <v>3797</v>
      </c>
      <c r="H807" s="234" t="s">
        <v>2731</v>
      </c>
    </row>
    <row r="808" spans="1:8" x14ac:dyDescent="0.2">
      <c r="A808" s="63"/>
      <c r="B808" s="232" t="s">
        <v>17</v>
      </c>
      <c r="C808" s="233" t="s">
        <v>3798</v>
      </c>
      <c r="D808" s="233" t="s">
        <v>3799</v>
      </c>
      <c r="E808" s="233" t="s">
        <v>3800</v>
      </c>
      <c r="F808" s="237" t="s">
        <v>3801</v>
      </c>
      <c r="G808" s="233" t="s">
        <v>3802</v>
      </c>
      <c r="H808" s="234" t="s">
        <v>2731</v>
      </c>
    </row>
    <row r="809" spans="1:8" x14ac:dyDescent="0.2">
      <c r="A809" s="63"/>
      <c r="B809" s="232" t="s">
        <v>17</v>
      </c>
      <c r="C809" s="233" t="s">
        <v>3803</v>
      </c>
      <c r="D809" s="233" t="s">
        <v>3804</v>
      </c>
      <c r="E809" s="233" t="s">
        <v>3804</v>
      </c>
      <c r="F809" s="237" t="s">
        <v>3804</v>
      </c>
      <c r="G809" s="233" t="s">
        <v>3805</v>
      </c>
      <c r="H809" s="234" t="s">
        <v>2420</v>
      </c>
    </row>
    <row r="810" spans="1:8" x14ac:dyDescent="0.2">
      <c r="A810" s="63"/>
      <c r="B810" s="232" t="s">
        <v>17</v>
      </c>
      <c r="C810" s="233" t="s">
        <v>3806</v>
      </c>
      <c r="D810" s="233" t="s">
        <v>3807</v>
      </c>
      <c r="E810" s="233" t="s">
        <v>3808</v>
      </c>
      <c r="F810" s="237" t="s">
        <v>3809</v>
      </c>
      <c r="G810" s="233" t="s">
        <v>3810</v>
      </c>
      <c r="H810" s="234" t="s">
        <v>2421</v>
      </c>
    </row>
    <row r="811" spans="1:8" x14ac:dyDescent="0.2">
      <c r="A811" s="63"/>
      <c r="B811" s="232" t="s">
        <v>17</v>
      </c>
      <c r="C811" s="233" t="s">
        <v>3811</v>
      </c>
      <c r="D811" s="233" t="s">
        <v>3812</v>
      </c>
      <c r="E811" s="233" t="s">
        <v>3813</v>
      </c>
      <c r="F811" s="237" t="s">
        <v>3814</v>
      </c>
      <c r="G811" s="233" t="s">
        <v>3815</v>
      </c>
      <c r="H811" s="234" t="s">
        <v>2421</v>
      </c>
    </row>
    <row r="812" spans="1:8" x14ac:dyDescent="0.2">
      <c r="A812" s="63"/>
      <c r="B812" s="232" t="s">
        <v>17</v>
      </c>
      <c r="C812" s="233" t="s">
        <v>3816</v>
      </c>
      <c r="D812" s="233" t="s">
        <v>3817</v>
      </c>
      <c r="E812" s="233" t="s">
        <v>3818</v>
      </c>
      <c r="F812" s="237" t="s">
        <v>3819</v>
      </c>
      <c r="G812" s="233" t="s">
        <v>3820</v>
      </c>
      <c r="H812" s="234" t="s">
        <v>2417</v>
      </c>
    </row>
    <row r="813" spans="1:8" x14ac:dyDescent="0.2">
      <c r="A813" s="63"/>
      <c r="B813" s="232" t="s">
        <v>17</v>
      </c>
      <c r="C813" s="233" t="s">
        <v>3821</v>
      </c>
      <c r="D813" s="233" t="s">
        <v>3822</v>
      </c>
      <c r="E813" s="233" t="s">
        <v>3823</v>
      </c>
      <c r="F813" s="237" t="s">
        <v>3821</v>
      </c>
      <c r="G813" s="233" t="s">
        <v>3824</v>
      </c>
      <c r="H813" s="234" t="s">
        <v>2417</v>
      </c>
    </row>
    <row r="814" spans="1:8" x14ac:dyDescent="0.2">
      <c r="A814" s="63"/>
      <c r="B814" s="232" t="s">
        <v>17</v>
      </c>
      <c r="C814" s="233" t="s">
        <v>3825</v>
      </c>
      <c r="D814" s="233" t="s">
        <v>3826</v>
      </c>
      <c r="E814" s="233" t="s">
        <v>3827</v>
      </c>
      <c r="F814" s="237" t="s">
        <v>3825</v>
      </c>
      <c r="G814" s="233" t="s">
        <v>3828</v>
      </c>
      <c r="H814" s="234" t="s">
        <v>2417</v>
      </c>
    </row>
    <row r="815" spans="1:8" x14ac:dyDescent="0.2">
      <c r="A815" s="63"/>
      <c r="B815" s="232" t="s">
        <v>17</v>
      </c>
      <c r="C815" s="233" t="s">
        <v>3829</v>
      </c>
      <c r="D815" s="233" t="s">
        <v>3830</v>
      </c>
      <c r="E815" s="233" t="s">
        <v>3830</v>
      </c>
      <c r="F815" s="237" t="s">
        <v>3831</v>
      </c>
      <c r="G815" s="233" t="s">
        <v>3832</v>
      </c>
      <c r="H815" s="234" t="s">
        <v>2417</v>
      </c>
    </row>
    <row r="816" spans="1:8" x14ac:dyDescent="0.2">
      <c r="A816" s="63"/>
      <c r="B816" s="232" t="s">
        <v>17</v>
      </c>
      <c r="C816" s="233" t="s">
        <v>3833</v>
      </c>
      <c r="D816" s="233" t="s">
        <v>3834</v>
      </c>
      <c r="E816" s="233" t="s">
        <v>3834</v>
      </c>
      <c r="F816" s="237" t="s">
        <v>3833</v>
      </c>
      <c r="G816" s="233" t="s">
        <v>3835</v>
      </c>
      <c r="H816" s="234" t="s">
        <v>2417</v>
      </c>
    </row>
    <row r="817" spans="1:8" x14ac:dyDescent="0.2">
      <c r="A817" s="63"/>
      <c r="B817" s="232" t="s">
        <v>17</v>
      </c>
      <c r="C817" s="233" t="s">
        <v>3836</v>
      </c>
      <c r="D817" s="233" t="s">
        <v>3837</v>
      </c>
      <c r="E817" s="233" t="s">
        <v>3838</v>
      </c>
      <c r="F817" s="237" t="s">
        <v>3839</v>
      </c>
      <c r="G817" s="233" t="s">
        <v>3840</v>
      </c>
      <c r="H817" s="234" t="s">
        <v>2731</v>
      </c>
    </row>
    <row r="818" spans="1:8" x14ac:dyDescent="0.2">
      <c r="A818" s="63"/>
      <c r="B818" s="232" t="s">
        <v>17</v>
      </c>
      <c r="C818" s="233" t="s">
        <v>3841</v>
      </c>
      <c r="D818" s="233" t="s">
        <v>3842</v>
      </c>
      <c r="E818" s="233" t="s">
        <v>3843</v>
      </c>
      <c r="F818" s="237" t="s">
        <v>3844</v>
      </c>
      <c r="G818" s="233" t="s">
        <v>3845</v>
      </c>
      <c r="H818" s="234" t="s">
        <v>2731</v>
      </c>
    </row>
    <row r="819" spans="1:8" x14ac:dyDescent="0.2">
      <c r="A819" s="63"/>
      <c r="B819" s="232" t="s">
        <v>17</v>
      </c>
      <c r="C819" s="233" t="s">
        <v>3846</v>
      </c>
      <c r="D819" s="233" t="s">
        <v>3847</v>
      </c>
      <c r="E819" s="233" t="s">
        <v>3848</v>
      </c>
      <c r="F819" s="237" t="s">
        <v>3849</v>
      </c>
      <c r="G819" s="233" t="s">
        <v>3850</v>
      </c>
      <c r="H819" s="234" t="s">
        <v>2731</v>
      </c>
    </row>
    <row r="820" spans="1:8" x14ac:dyDescent="0.2">
      <c r="A820" s="63"/>
      <c r="B820" s="232" t="s">
        <v>17</v>
      </c>
      <c r="C820" s="233" t="s">
        <v>3851</v>
      </c>
      <c r="D820" s="233" t="s">
        <v>3852</v>
      </c>
      <c r="E820" s="233" t="s">
        <v>3853</v>
      </c>
      <c r="F820" s="237" t="s">
        <v>3854</v>
      </c>
      <c r="G820" s="233" t="s">
        <v>3855</v>
      </c>
      <c r="H820" s="234" t="s">
        <v>2731</v>
      </c>
    </row>
    <row r="821" spans="1:8" x14ac:dyDescent="0.2">
      <c r="A821" s="63"/>
      <c r="B821" s="232" t="s">
        <v>17</v>
      </c>
      <c r="C821" s="233" t="s">
        <v>3856</v>
      </c>
      <c r="D821" s="233" t="s">
        <v>3857</v>
      </c>
      <c r="E821" s="233" t="s">
        <v>3858</v>
      </c>
      <c r="F821" s="237" t="s">
        <v>3859</v>
      </c>
      <c r="G821" s="233" t="s">
        <v>3860</v>
      </c>
      <c r="H821" s="234" t="s">
        <v>2419</v>
      </c>
    </row>
    <row r="822" spans="1:8" x14ac:dyDescent="0.2">
      <c r="A822" s="63"/>
      <c r="B822" s="232" t="s">
        <v>17</v>
      </c>
      <c r="C822" s="233" t="s">
        <v>3861</v>
      </c>
      <c r="D822" s="233" t="s">
        <v>3862</v>
      </c>
      <c r="E822" s="233" t="s">
        <v>3863</v>
      </c>
      <c r="F822" s="237" t="s">
        <v>3864</v>
      </c>
      <c r="G822" s="233" t="s">
        <v>3865</v>
      </c>
      <c r="H822" s="234" t="s">
        <v>2419</v>
      </c>
    </row>
    <row r="823" spans="1:8" x14ac:dyDescent="0.2">
      <c r="A823" s="63"/>
      <c r="B823" s="232" t="s">
        <v>17</v>
      </c>
      <c r="C823" s="233" t="s">
        <v>3866</v>
      </c>
      <c r="D823" s="233" t="s">
        <v>3867</v>
      </c>
      <c r="E823" s="233" t="s">
        <v>3868</v>
      </c>
      <c r="F823" s="237" t="s">
        <v>3869</v>
      </c>
      <c r="G823" s="233" t="s">
        <v>3870</v>
      </c>
      <c r="H823" s="234" t="s">
        <v>2420</v>
      </c>
    </row>
    <row r="824" spans="1:8" x14ac:dyDescent="0.2">
      <c r="A824" s="63"/>
      <c r="B824" s="232" t="s">
        <v>17</v>
      </c>
      <c r="C824" s="233" t="s">
        <v>3871</v>
      </c>
      <c r="D824" s="233" t="s">
        <v>3872</v>
      </c>
      <c r="E824" s="233" t="s">
        <v>3871</v>
      </c>
      <c r="F824" s="237" t="s">
        <v>3871</v>
      </c>
      <c r="G824" s="233" t="s">
        <v>3873</v>
      </c>
      <c r="H824" s="234" t="s">
        <v>2419</v>
      </c>
    </row>
    <row r="825" spans="1:8" x14ac:dyDescent="0.2">
      <c r="A825" s="63"/>
      <c r="B825" s="232" t="s">
        <v>17</v>
      </c>
      <c r="C825" s="233" t="s">
        <v>3874</v>
      </c>
      <c r="D825" s="233" t="s">
        <v>3875</v>
      </c>
      <c r="E825" s="233" t="s">
        <v>3876</v>
      </c>
      <c r="F825" s="237" t="s">
        <v>3877</v>
      </c>
      <c r="G825" s="233" t="s">
        <v>3878</v>
      </c>
      <c r="H825" s="234" t="s">
        <v>2417</v>
      </c>
    </row>
    <row r="826" spans="1:8" x14ac:dyDescent="0.2">
      <c r="A826" s="63"/>
      <c r="B826" s="232" t="s">
        <v>17</v>
      </c>
      <c r="C826" s="233" t="s">
        <v>3879</v>
      </c>
      <c r="D826" s="233" t="s">
        <v>3880</v>
      </c>
      <c r="E826" s="233" t="s">
        <v>3881</v>
      </c>
      <c r="F826" s="237" t="s">
        <v>3879</v>
      </c>
      <c r="G826" s="233" t="s">
        <v>3882</v>
      </c>
      <c r="H826" s="234" t="s">
        <v>2417</v>
      </c>
    </row>
    <row r="827" spans="1:8" x14ac:dyDescent="0.2">
      <c r="A827" s="63"/>
      <c r="B827" s="232" t="s">
        <v>17</v>
      </c>
      <c r="C827" s="233" t="s">
        <v>3883</v>
      </c>
      <c r="D827" s="233" t="s">
        <v>3884</v>
      </c>
      <c r="E827" s="233" t="s">
        <v>3885</v>
      </c>
      <c r="F827" s="237" t="s">
        <v>3884</v>
      </c>
      <c r="G827" s="233" t="s">
        <v>3886</v>
      </c>
      <c r="H827" s="234" t="s">
        <v>2396</v>
      </c>
    </row>
    <row r="828" spans="1:8" x14ac:dyDescent="0.2">
      <c r="A828" s="63"/>
      <c r="B828" s="232" t="s">
        <v>17</v>
      </c>
      <c r="C828" s="233" t="s">
        <v>3887</v>
      </c>
      <c r="D828" s="233" t="s">
        <v>3888</v>
      </c>
      <c r="E828" s="233" t="s">
        <v>3889</v>
      </c>
      <c r="F828" s="237" t="s">
        <v>3890</v>
      </c>
      <c r="G828" s="233" t="s">
        <v>3891</v>
      </c>
      <c r="H828" s="234" t="s">
        <v>2731</v>
      </c>
    </row>
    <row r="829" spans="1:8" x14ac:dyDescent="0.2">
      <c r="A829" s="63"/>
      <c r="B829" s="232" t="s">
        <v>17</v>
      </c>
      <c r="C829" s="233" t="s">
        <v>3892</v>
      </c>
      <c r="D829" s="233" t="s">
        <v>3893</v>
      </c>
      <c r="E829" s="233" t="s">
        <v>3894</v>
      </c>
      <c r="F829" s="237" t="s">
        <v>3895</v>
      </c>
      <c r="G829" s="233" t="s">
        <v>3896</v>
      </c>
      <c r="H829" s="234" t="s">
        <v>2731</v>
      </c>
    </row>
    <row r="830" spans="1:8" x14ac:dyDescent="0.2">
      <c r="A830" s="63"/>
      <c r="B830" s="232" t="s">
        <v>17</v>
      </c>
      <c r="C830" s="233" t="s">
        <v>3897</v>
      </c>
      <c r="D830" s="233" t="s">
        <v>3897</v>
      </c>
      <c r="E830" s="233" t="s">
        <v>3897</v>
      </c>
      <c r="F830" s="237" t="s">
        <v>3897</v>
      </c>
      <c r="G830" s="233" t="s">
        <v>3898</v>
      </c>
      <c r="H830" s="234" t="s">
        <v>2731</v>
      </c>
    </row>
    <row r="831" spans="1:8" x14ac:dyDescent="0.2">
      <c r="A831" s="63"/>
      <c r="B831" s="232" t="s">
        <v>17</v>
      </c>
      <c r="C831" s="233" t="s">
        <v>3899</v>
      </c>
      <c r="D831" s="233" t="s">
        <v>3899</v>
      </c>
      <c r="E831" s="233" t="s">
        <v>3900</v>
      </c>
      <c r="F831" s="237" t="s">
        <v>3899</v>
      </c>
      <c r="G831" s="233" t="s">
        <v>3901</v>
      </c>
      <c r="H831" s="234" t="s">
        <v>2731</v>
      </c>
    </row>
    <row r="832" spans="1:8" x14ac:dyDescent="0.2">
      <c r="A832" s="63"/>
      <c r="B832" s="232" t="s">
        <v>17</v>
      </c>
      <c r="C832" s="233" t="s">
        <v>3902</v>
      </c>
      <c r="D832" s="233" t="s">
        <v>3903</v>
      </c>
      <c r="E832" s="233" t="s">
        <v>3904</v>
      </c>
      <c r="F832" s="237" t="s">
        <v>3905</v>
      </c>
      <c r="G832" s="233" t="s">
        <v>3906</v>
      </c>
      <c r="H832" s="234" t="s">
        <v>2420</v>
      </c>
    </row>
    <row r="833" spans="1:8" x14ac:dyDescent="0.2">
      <c r="A833" s="63"/>
      <c r="B833" s="232" t="s">
        <v>17</v>
      </c>
      <c r="C833" s="233" t="s">
        <v>3907</v>
      </c>
      <c r="D833" s="233" t="s">
        <v>3908</v>
      </c>
      <c r="E833" s="233" t="s">
        <v>3909</v>
      </c>
      <c r="F833" s="237" t="s">
        <v>3910</v>
      </c>
      <c r="G833" s="233" t="s">
        <v>3907</v>
      </c>
      <c r="H833" s="234" t="s">
        <v>2421</v>
      </c>
    </row>
    <row r="834" spans="1:8" x14ac:dyDescent="0.2">
      <c r="A834" s="63"/>
      <c r="B834" s="232" t="s">
        <v>17</v>
      </c>
      <c r="C834" s="233" t="s">
        <v>3911</v>
      </c>
      <c r="D834" s="233" t="s">
        <v>3912</v>
      </c>
      <c r="E834" s="233" t="s">
        <v>3913</v>
      </c>
      <c r="F834" s="237" t="s">
        <v>3914</v>
      </c>
      <c r="G834" s="233" t="s">
        <v>3915</v>
      </c>
      <c r="H834" s="234" t="s">
        <v>2420</v>
      </c>
    </row>
    <row r="835" spans="1:8" x14ac:dyDescent="0.2">
      <c r="A835" s="63"/>
      <c r="B835" s="232" t="s">
        <v>17</v>
      </c>
      <c r="C835" s="233" t="s">
        <v>3916</v>
      </c>
      <c r="D835" s="233" t="s">
        <v>3917</v>
      </c>
      <c r="E835" s="233" t="s">
        <v>3918</v>
      </c>
      <c r="F835" s="237" t="s">
        <v>3919</v>
      </c>
      <c r="G835" s="233" t="s">
        <v>3920</v>
      </c>
      <c r="H835" s="234" t="s">
        <v>2420</v>
      </c>
    </row>
    <row r="836" spans="1:8" x14ac:dyDescent="0.2">
      <c r="A836" s="63"/>
      <c r="B836" s="232" t="s">
        <v>17</v>
      </c>
      <c r="C836" s="233" t="s">
        <v>3921</v>
      </c>
      <c r="D836" s="233" t="s">
        <v>3922</v>
      </c>
      <c r="E836" s="233" t="s">
        <v>3923</v>
      </c>
      <c r="F836" s="237" t="s">
        <v>3924</v>
      </c>
      <c r="G836" s="233" t="s">
        <v>3925</v>
      </c>
      <c r="H836" s="234" t="s">
        <v>2731</v>
      </c>
    </row>
    <row r="837" spans="1:8" x14ac:dyDescent="0.2">
      <c r="A837" s="63"/>
      <c r="B837" s="232" t="s">
        <v>17</v>
      </c>
      <c r="C837" s="233" t="s">
        <v>3926</v>
      </c>
      <c r="D837" s="233" t="s">
        <v>3927</v>
      </c>
      <c r="E837" s="233" t="s">
        <v>3928</v>
      </c>
      <c r="F837" s="237" t="s">
        <v>3929</v>
      </c>
      <c r="G837" s="233" t="s">
        <v>3930</v>
      </c>
      <c r="H837" s="234" t="s">
        <v>2731</v>
      </c>
    </row>
    <row r="838" spans="1:8" x14ac:dyDescent="0.2">
      <c r="A838" s="63"/>
      <c r="B838" s="232" t="s">
        <v>17</v>
      </c>
      <c r="C838" s="233" t="s">
        <v>3931</v>
      </c>
      <c r="D838" s="233" t="s">
        <v>3932</v>
      </c>
      <c r="E838" s="233" t="s">
        <v>3933</v>
      </c>
      <c r="F838" s="237" t="s">
        <v>3934</v>
      </c>
      <c r="G838" s="233" t="s">
        <v>3935</v>
      </c>
      <c r="H838" s="234" t="s">
        <v>2420</v>
      </c>
    </row>
    <row r="839" spans="1:8" x14ac:dyDescent="0.2">
      <c r="A839" s="63"/>
      <c r="B839" s="232" t="s">
        <v>17</v>
      </c>
      <c r="C839" s="233" t="s">
        <v>3936</v>
      </c>
      <c r="D839" s="233" t="s">
        <v>3936</v>
      </c>
      <c r="E839" s="233" t="s">
        <v>3937</v>
      </c>
      <c r="F839" s="237" t="s">
        <v>3938</v>
      </c>
      <c r="G839" s="233" t="s">
        <v>3939</v>
      </c>
      <c r="H839" s="234" t="s">
        <v>2420</v>
      </c>
    </row>
    <row r="840" spans="1:8" x14ac:dyDescent="0.2">
      <c r="A840" s="63"/>
      <c r="B840" s="232" t="s">
        <v>17</v>
      </c>
      <c r="C840" s="233" t="s">
        <v>3940</v>
      </c>
      <c r="D840" s="233" t="s">
        <v>3940</v>
      </c>
      <c r="E840" s="233" t="s">
        <v>3941</v>
      </c>
      <c r="F840" s="237" t="s">
        <v>3940</v>
      </c>
      <c r="G840" s="233" t="s">
        <v>3942</v>
      </c>
      <c r="H840" s="234" t="s">
        <v>2420</v>
      </c>
    </row>
    <row r="841" spans="1:8" x14ac:dyDescent="0.2">
      <c r="A841" s="63"/>
      <c r="B841" s="232" t="s">
        <v>17</v>
      </c>
      <c r="C841" s="233" t="s">
        <v>3943</v>
      </c>
      <c r="D841" s="233" t="s">
        <v>3943</v>
      </c>
      <c r="E841" s="233" t="s">
        <v>3944</v>
      </c>
      <c r="F841" s="237" t="s">
        <v>3945</v>
      </c>
      <c r="G841" s="233" t="s">
        <v>3946</v>
      </c>
      <c r="H841" s="234" t="s">
        <v>2420</v>
      </c>
    </row>
    <row r="842" spans="1:8" x14ac:dyDescent="0.2">
      <c r="A842" s="63"/>
      <c r="B842" s="232" t="s">
        <v>17</v>
      </c>
      <c r="C842" s="233" t="s">
        <v>3947</v>
      </c>
      <c r="D842" s="233" t="s">
        <v>3947</v>
      </c>
      <c r="E842" s="233" t="s">
        <v>3948</v>
      </c>
      <c r="F842" s="237" t="s">
        <v>3947</v>
      </c>
      <c r="G842" s="233" t="s">
        <v>3949</v>
      </c>
      <c r="H842" s="234" t="s">
        <v>2420</v>
      </c>
    </row>
    <row r="843" spans="1:8" x14ac:dyDescent="0.2">
      <c r="A843" s="63"/>
      <c r="B843" s="232" t="s">
        <v>17</v>
      </c>
      <c r="C843" s="233" t="s">
        <v>3950</v>
      </c>
      <c r="D843" s="233" t="s">
        <v>3951</v>
      </c>
      <c r="E843" s="233" t="s">
        <v>3952</v>
      </c>
      <c r="F843" s="237" t="s">
        <v>3953</v>
      </c>
      <c r="G843" s="233" t="s">
        <v>3954</v>
      </c>
      <c r="H843" s="234" t="s">
        <v>2420</v>
      </c>
    </row>
    <row r="844" spans="1:8" x14ac:dyDescent="0.2">
      <c r="A844" s="63"/>
      <c r="B844" s="232" t="s">
        <v>17</v>
      </c>
      <c r="C844" s="233" t="s">
        <v>3955</v>
      </c>
      <c r="D844" s="233" t="s">
        <v>3956</v>
      </c>
      <c r="E844" s="233" t="s">
        <v>3957</v>
      </c>
      <c r="F844" s="237" t="s">
        <v>3958</v>
      </c>
      <c r="G844" s="233" t="s">
        <v>3959</v>
      </c>
      <c r="H844" s="234" t="s">
        <v>2417</v>
      </c>
    </row>
    <row r="845" spans="1:8" x14ac:dyDescent="0.2">
      <c r="A845" s="63"/>
      <c r="B845" s="232" t="s">
        <v>17</v>
      </c>
      <c r="C845" s="233" t="s">
        <v>3960</v>
      </c>
      <c r="D845" s="233" t="s">
        <v>3961</v>
      </c>
      <c r="E845" s="233" t="s">
        <v>3962</v>
      </c>
      <c r="F845" s="237" t="s">
        <v>3963</v>
      </c>
      <c r="G845" s="233" t="s">
        <v>3964</v>
      </c>
      <c r="H845" s="234" t="s">
        <v>2731</v>
      </c>
    </row>
    <row r="846" spans="1:8" x14ac:dyDescent="0.2">
      <c r="A846" s="63"/>
      <c r="B846" s="232" t="s">
        <v>17</v>
      </c>
      <c r="C846" s="233" t="s">
        <v>3965</v>
      </c>
      <c r="D846" s="233" t="s">
        <v>3966</v>
      </c>
      <c r="E846" s="233" t="s">
        <v>3967</v>
      </c>
      <c r="F846" s="237" t="s">
        <v>3968</v>
      </c>
      <c r="G846" s="233" t="s">
        <v>3969</v>
      </c>
      <c r="H846" s="234" t="s">
        <v>2731</v>
      </c>
    </row>
    <row r="847" spans="1:8" x14ac:dyDescent="0.2">
      <c r="A847" s="63"/>
      <c r="B847" s="232" t="s">
        <v>17</v>
      </c>
      <c r="C847" s="233" t="s">
        <v>3970</v>
      </c>
      <c r="D847" s="233" t="s">
        <v>3971</v>
      </c>
      <c r="E847" s="233" t="s">
        <v>3972</v>
      </c>
      <c r="F847" s="237" t="s">
        <v>3973</v>
      </c>
      <c r="G847" s="233" t="s">
        <v>3974</v>
      </c>
      <c r="H847" s="234" t="s">
        <v>2731</v>
      </c>
    </row>
    <row r="848" spans="1:8" x14ac:dyDescent="0.2">
      <c r="A848" s="63"/>
      <c r="B848" s="232" t="s">
        <v>17</v>
      </c>
      <c r="C848" s="233" t="s">
        <v>3975</v>
      </c>
      <c r="D848" s="233" t="s">
        <v>3976</v>
      </c>
      <c r="E848" s="233" t="s">
        <v>3977</v>
      </c>
      <c r="F848" s="237" t="s">
        <v>3978</v>
      </c>
      <c r="G848" s="233" t="s">
        <v>3979</v>
      </c>
      <c r="H848" s="234" t="s">
        <v>2731</v>
      </c>
    </row>
    <row r="849" spans="1:8" x14ac:dyDescent="0.2">
      <c r="A849" s="63"/>
      <c r="B849" s="232" t="s">
        <v>17</v>
      </c>
      <c r="C849" s="233" t="s">
        <v>3980</v>
      </c>
      <c r="D849" s="233" t="s">
        <v>3981</v>
      </c>
      <c r="E849" s="233" t="s">
        <v>3982</v>
      </c>
      <c r="F849" s="237" t="s">
        <v>3983</v>
      </c>
      <c r="G849" s="233" t="s">
        <v>3984</v>
      </c>
      <c r="H849" s="234" t="s">
        <v>2731</v>
      </c>
    </row>
    <row r="850" spans="1:8" x14ac:dyDescent="0.2">
      <c r="A850" s="63"/>
      <c r="B850" s="232" t="s">
        <v>17</v>
      </c>
      <c r="C850" s="233" t="s">
        <v>3985</v>
      </c>
      <c r="D850" s="233" t="s">
        <v>3986</v>
      </c>
      <c r="E850" s="233" t="s">
        <v>3987</v>
      </c>
      <c r="F850" s="237" t="s">
        <v>3988</v>
      </c>
      <c r="G850" s="233" t="s">
        <v>3989</v>
      </c>
      <c r="H850" s="234" t="s">
        <v>2731</v>
      </c>
    </row>
    <row r="851" spans="1:8" x14ac:dyDescent="0.2">
      <c r="A851" s="63"/>
      <c r="B851" s="232" t="s">
        <v>17</v>
      </c>
      <c r="C851" s="233" t="s">
        <v>3990</v>
      </c>
      <c r="D851" s="233" t="s">
        <v>3991</v>
      </c>
      <c r="E851" s="233" t="s">
        <v>3992</v>
      </c>
      <c r="F851" s="237" t="s">
        <v>3993</v>
      </c>
      <c r="G851" s="233" t="s">
        <v>3994</v>
      </c>
      <c r="H851" s="234" t="s">
        <v>2731</v>
      </c>
    </row>
    <row r="852" spans="1:8" x14ac:dyDescent="0.2">
      <c r="A852" s="63"/>
      <c r="B852" s="232" t="s">
        <v>17</v>
      </c>
      <c r="C852" s="233" t="s">
        <v>3995</v>
      </c>
      <c r="D852" s="233" t="s">
        <v>3996</v>
      </c>
      <c r="E852" s="233" t="s">
        <v>3997</v>
      </c>
      <c r="F852" s="237" t="s">
        <v>3998</v>
      </c>
      <c r="G852" s="233" t="s">
        <v>3999</v>
      </c>
      <c r="H852" s="234" t="s">
        <v>2731</v>
      </c>
    </row>
    <row r="853" spans="1:8" x14ac:dyDescent="0.2">
      <c r="A853" s="63"/>
      <c r="B853" s="232" t="s">
        <v>17</v>
      </c>
      <c r="C853" s="233" t="s">
        <v>4000</v>
      </c>
      <c r="D853" s="233" t="s">
        <v>4000</v>
      </c>
      <c r="E853" s="233" t="s">
        <v>3012</v>
      </c>
      <c r="F853" s="237" t="s">
        <v>4000</v>
      </c>
      <c r="G853" s="233" t="s">
        <v>4000</v>
      </c>
      <c r="H853" s="234" t="s">
        <v>2421</v>
      </c>
    </row>
    <row r="854" spans="1:8" x14ac:dyDescent="0.2">
      <c r="A854" s="63"/>
      <c r="B854" s="232" t="s">
        <v>17</v>
      </c>
      <c r="C854" s="233" t="s">
        <v>2702</v>
      </c>
      <c r="D854" s="233" t="s">
        <v>2702</v>
      </c>
      <c r="E854" s="233" t="s">
        <v>2702</v>
      </c>
      <c r="F854" s="237" t="s">
        <v>2702</v>
      </c>
      <c r="G854" s="233" t="s">
        <v>2702</v>
      </c>
      <c r="H854" s="234" t="s">
        <v>2417</v>
      </c>
    </row>
    <row r="855" spans="1:8" x14ac:dyDescent="0.2">
      <c r="A855" s="63"/>
      <c r="B855" s="232" t="s">
        <v>17</v>
      </c>
      <c r="C855" s="233" t="s">
        <v>4001</v>
      </c>
      <c r="D855" s="233" t="s">
        <v>4001</v>
      </c>
      <c r="E855" s="233" t="s">
        <v>4001</v>
      </c>
      <c r="F855" s="237" t="s">
        <v>4001</v>
      </c>
      <c r="G855" s="233" t="s">
        <v>4001</v>
      </c>
      <c r="H855" s="234" t="s">
        <v>2731</v>
      </c>
    </row>
    <row r="856" spans="1:8" x14ac:dyDescent="0.2">
      <c r="A856" s="63"/>
      <c r="B856" s="232" t="s">
        <v>17</v>
      </c>
      <c r="C856" s="233" t="s">
        <v>4002</v>
      </c>
      <c r="D856" s="233" t="s">
        <v>4002</v>
      </c>
      <c r="E856" s="233" t="s">
        <v>4003</v>
      </c>
      <c r="F856" s="237" t="s">
        <v>4002</v>
      </c>
      <c r="G856" s="233" t="s">
        <v>4002</v>
      </c>
      <c r="H856" s="234" t="s">
        <v>2731</v>
      </c>
    </row>
    <row r="857" spans="1:8" x14ac:dyDescent="0.2">
      <c r="A857" s="63"/>
      <c r="B857" s="232" t="s">
        <v>17</v>
      </c>
      <c r="C857" s="233" t="s">
        <v>4004</v>
      </c>
      <c r="D857" s="233" t="s">
        <v>4005</v>
      </c>
      <c r="E857" s="233" t="s">
        <v>4006</v>
      </c>
      <c r="F857" s="237" t="s">
        <v>4007</v>
      </c>
      <c r="G857" s="233" t="s">
        <v>4008</v>
      </c>
      <c r="H857" s="234" t="s">
        <v>2421</v>
      </c>
    </row>
    <row r="858" spans="1:8" x14ac:dyDescent="0.2">
      <c r="A858" s="63"/>
      <c r="B858" s="232" t="s">
        <v>17</v>
      </c>
      <c r="C858" s="233" t="s">
        <v>4009</v>
      </c>
      <c r="D858" s="233" t="s">
        <v>4010</v>
      </c>
      <c r="E858" s="233" t="s">
        <v>4011</v>
      </c>
      <c r="F858" s="237" t="s">
        <v>4012</v>
      </c>
      <c r="G858" s="233" t="s">
        <v>4013</v>
      </c>
      <c r="H858" s="234" t="s">
        <v>2421</v>
      </c>
    </row>
    <row r="859" spans="1:8" x14ac:dyDescent="0.2">
      <c r="A859" s="63"/>
      <c r="B859" s="232" t="s">
        <v>17</v>
      </c>
      <c r="C859" s="233" t="s">
        <v>4014</v>
      </c>
      <c r="D859" s="233" t="s">
        <v>4015</v>
      </c>
      <c r="E859" s="233" t="s">
        <v>4016</v>
      </c>
      <c r="F859" s="237" t="s">
        <v>4017</v>
      </c>
      <c r="G859" s="233" t="s">
        <v>4018</v>
      </c>
      <c r="H859" s="234" t="s">
        <v>2421</v>
      </c>
    </row>
    <row r="860" spans="1:8" x14ac:dyDescent="0.2">
      <c r="A860" s="63"/>
      <c r="B860" s="232" t="s">
        <v>17</v>
      </c>
      <c r="C860" s="233" t="s">
        <v>4019</v>
      </c>
      <c r="D860" s="233" t="s">
        <v>4020</v>
      </c>
      <c r="E860" s="233" t="s">
        <v>4021</v>
      </c>
      <c r="F860" s="237" t="s">
        <v>4022</v>
      </c>
      <c r="G860" s="233" t="s">
        <v>4023</v>
      </c>
      <c r="H860" s="234" t="s">
        <v>2420</v>
      </c>
    </row>
    <row r="861" spans="1:8" x14ac:dyDescent="0.2">
      <c r="A861" s="63"/>
      <c r="B861" s="232" t="s">
        <v>17</v>
      </c>
      <c r="C861" s="233" t="s">
        <v>4024</v>
      </c>
      <c r="D861" s="233" t="s">
        <v>4025</v>
      </c>
      <c r="E861" s="233" t="s">
        <v>4024</v>
      </c>
      <c r="F861" s="237" t="s">
        <v>4026</v>
      </c>
      <c r="G861" s="233" t="s">
        <v>4027</v>
      </c>
      <c r="H861" s="234" t="s">
        <v>2417</v>
      </c>
    </row>
    <row r="862" spans="1:8" x14ac:dyDescent="0.2">
      <c r="A862" s="63"/>
      <c r="B862" s="232" t="s">
        <v>17</v>
      </c>
      <c r="C862" s="233" t="s">
        <v>3303</v>
      </c>
      <c r="D862" s="233" t="s">
        <v>4028</v>
      </c>
      <c r="E862" s="233" t="s">
        <v>4029</v>
      </c>
      <c r="F862" s="237" t="s">
        <v>4030</v>
      </c>
      <c r="G862" s="233" t="s">
        <v>4031</v>
      </c>
      <c r="H862" s="234" t="s">
        <v>2396</v>
      </c>
    </row>
    <row r="863" spans="1:8" x14ac:dyDescent="0.2">
      <c r="A863" s="63"/>
      <c r="B863" s="232" t="s">
        <v>17</v>
      </c>
      <c r="C863" s="233" t="s">
        <v>4032</v>
      </c>
      <c r="D863" s="233" t="s">
        <v>4033</v>
      </c>
      <c r="E863" s="233" t="s">
        <v>4034</v>
      </c>
      <c r="F863" s="237" t="s">
        <v>4035</v>
      </c>
      <c r="G863" s="233" t="s">
        <v>4036</v>
      </c>
      <c r="H863" s="234" t="s">
        <v>2396</v>
      </c>
    </row>
    <row r="864" spans="1:8" x14ac:dyDescent="0.2">
      <c r="A864" s="63"/>
      <c r="B864" s="232" t="s">
        <v>17</v>
      </c>
      <c r="C864" s="233" t="s">
        <v>4037</v>
      </c>
      <c r="D864" s="233" t="s">
        <v>4038</v>
      </c>
      <c r="E864" s="233" t="s">
        <v>4037</v>
      </c>
      <c r="F864" s="237" t="s">
        <v>4039</v>
      </c>
      <c r="G864" s="233" t="s">
        <v>4040</v>
      </c>
      <c r="H864" s="234" t="s">
        <v>2420</v>
      </c>
    </row>
    <row r="865" spans="1:8" x14ac:dyDescent="0.2">
      <c r="A865" s="63"/>
      <c r="B865" s="232" t="s">
        <v>17</v>
      </c>
      <c r="C865" s="233" t="s">
        <v>4041</v>
      </c>
      <c r="D865" s="233" t="s">
        <v>4042</v>
      </c>
      <c r="E865" s="233" t="s">
        <v>4043</v>
      </c>
      <c r="F865" s="237" t="s">
        <v>4044</v>
      </c>
      <c r="G865" s="233" t="s">
        <v>4045</v>
      </c>
      <c r="H865" s="234" t="s">
        <v>2396</v>
      </c>
    </row>
    <row r="866" spans="1:8" x14ac:dyDescent="0.2">
      <c r="A866" s="63"/>
      <c r="B866" s="232" t="s">
        <v>17</v>
      </c>
      <c r="C866" s="233" t="s">
        <v>4046</v>
      </c>
      <c r="D866" s="233" t="s">
        <v>4047</v>
      </c>
      <c r="E866" s="233" t="s">
        <v>4048</v>
      </c>
      <c r="F866" s="237" t="s">
        <v>4046</v>
      </c>
      <c r="G866" s="233" t="s">
        <v>4049</v>
      </c>
      <c r="H866" s="234" t="s">
        <v>2419</v>
      </c>
    </row>
    <row r="867" spans="1:8" x14ac:dyDescent="0.2">
      <c r="A867" s="63"/>
      <c r="B867" s="232" t="s">
        <v>17</v>
      </c>
      <c r="C867" s="233" t="s">
        <v>4050</v>
      </c>
      <c r="D867" s="233" t="s">
        <v>4050</v>
      </c>
      <c r="E867" s="233" t="s">
        <v>4050</v>
      </c>
      <c r="F867" s="237" t="s">
        <v>4051</v>
      </c>
      <c r="G867" s="233" t="s">
        <v>4052</v>
      </c>
      <c r="H867" s="234" t="s">
        <v>2420</v>
      </c>
    </row>
    <row r="868" spans="1:8" x14ac:dyDescent="0.2">
      <c r="A868" s="63"/>
      <c r="B868" s="232" t="s">
        <v>17</v>
      </c>
      <c r="C868" s="233" t="s">
        <v>3582</v>
      </c>
      <c r="D868" s="233" t="s">
        <v>4053</v>
      </c>
      <c r="E868" s="233" t="s">
        <v>4054</v>
      </c>
      <c r="F868" s="237" t="s">
        <v>4055</v>
      </c>
      <c r="G868" s="233" t="s">
        <v>4056</v>
      </c>
      <c r="H868" s="234" t="s">
        <v>2417</v>
      </c>
    </row>
    <row r="869" spans="1:8" x14ac:dyDescent="0.2">
      <c r="A869" s="63"/>
      <c r="B869" s="232" t="s">
        <v>17</v>
      </c>
      <c r="C869" s="233" t="s">
        <v>4057</v>
      </c>
      <c r="D869" s="233" t="s">
        <v>4058</v>
      </c>
      <c r="E869" s="233" t="s">
        <v>4059</v>
      </c>
      <c r="F869" s="237" t="s">
        <v>4060</v>
      </c>
      <c r="G869" s="233" t="s">
        <v>4061</v>
      </c>
      <c r="H869" s="234" t="s">
        <v>2420</v>
      </c>
    </row>
    <row r="870" spans="1:8" x14ac:dyDescent="0.2">
      <c r="A870" s="63"/>
      <c r="B870" s="232" t="s">
        <v>17</v>
      </c>
      <c r="C870" s="235" t="s">
        <v>4062</v>
      </c>
      <c r="D870" s="233" t="s">
        <v>4063</v>
      </c>
      <c r="E870" s="233" t="s">
        <v>4064</v>
      </c>
      <c r="F870" s="237" t="s">
        <v>4065</v>
      </c>
      <c r="G870" s="233" t="s">
        <v>4066</v>
      </c>
      <c r="H870" s="234" t="s">
        <v>2416</v>
      </c>
    </row>
    <row r="871" spans="1:8" x14ac:dyDescent="0.2">
      <c r="A871" s="63"/>
      <c r="B871" s="232" t="s">
        <v>17</v>
      </c>
      <c r="C871" s="233" t="s">
        <v>4067</v>
      </c>
      <c r="D871" s="233" t="s">
        <v>4068</v>
      </c>
      <c r="E871" s="233" t="s">
        <v>4069</v>
      </c>
      <c r="F871" s="237" t="s">
        <v>4070</v>
      </c>
      <c r="G871" s="233" t="s">
        <v>4071</v>
      </c>
      <c r="H871" s="234" t="s">
        <v>2731</v>
      </c>
    </row>
    <row r="872" spans="1:8" x14ac:dyDescent="0.2">
      <c r="A872" s="63"/>
      <c r="B872" s="232" t="s">
        <v>17</v>
      </c>
      <c r="C872" s="233" t="s">
        <v>4072</v>
      </c>
      <c r="D872" s="233" t="s">
        <v>4073</v>
      </c>
      <c r="E872" s="233" t="s">
        <v>4072</v>
      </c>
      <c r="F872" s="237" t="s">
        <v>4074</v>
      </c>
      <c r="G872" s="233" t="s">
        <v>4075</v>
      </c>
      <c r="H872" s="234" t="s">
        <v>2420</v>
      </c>
    </row>
    <row r="873" spans="1:8" x14ac:dyDescent="0.2">
      <c r="A873" s="63"/>
      <c r="B873" s="232" t="s">
        <v>17</v>
      </c>
      <c r="C873" s="233" t="s">
        <v>4076</v>
      </c>
      <c r="D873" s="233" t="s">
        <v>4076</v>
      </c>
      <c r="E873" s="233" t="s">
        <v>4077</v>
      </c>
      <c r="F873" s="237" t="s">
        <v>4076</v>
      </c>
      <c r="G873" s="233" t="s">
        <v>4078</v>
      </c>
      <c r="H873" s="234" t="s">
        <v>2847</v>
      </c>
    </row>
    <row r="874" spans="1:8" x14ac:dyDescent="0.2">
      <c r="A874" s="63"/>
      <c r="B874" s="232" t="s">
        <v>17</v>
      </c>
      <c r="C874" s="233" t="s">
        <v>4079</v>
      </c>
      <c r="D874" s="233" t="s">
        <v>4080</v>
      </c>
      <c r="E874" s="233" t="s">
        <v>4081</v>
      </c>
      <c r="F874" s="237" t="s">
        <v>4082</v>
      </c>
      <c r="G874" s="233" t="s">
        <v>4083</v>
      </c>
      <c r="H874" s="234" t="s">
        <v>2417</v>
      </c>
    </row>
    <row r="875" spans="1:8" x14ac:dyDescent="0.2">
      <c r="A875" s="63"/>
      <c r="B875" s="232" t="s">
        <v>17</v>
      </c>
      <c r="C875" s="233" t="s">
        <v>4084</v>
      </c>
      <c r="D875" s="233" t="s">
        <v>4084</v>
      </c>
      <c r="E875" s="233" t="s">
        <v>4084</v>
      </c>
      <c r="F875" s="237" t="s">
        <v>4084</v>
      </c>
      <c r="G875" s="233" t="s">
        <v>4084</v>
      </c>
      <c r="H875" s="234" t="s">
        <v>2994</v>
      </c>
    </row>
    <row r="876" spans="1:8" x14ac:dyDescent="0.2">
      <c r="A876" s="63"/>
      <c r="B876" s="232" t="s">
        <v>17</v>
      </c>
      <c r="C876" s="233" t="s">
        <v>4085</v>
      </c>
      <c r="D876" s="233" t="s">
        <v>4086</v>
      </c>
      <c r="E876" s="233" t="s">
        <v>4087</v>
      </c>
      <c r="F876" s="237" t="s">
        <v>4088</v>
      </c>
      <c r="G876" s="233" t="s">
        <v>4089</v>
      </c>
      <c r="H876" s="234" t="s">
        <v>2417</v>
      </c>
    </row>
    <row r="877" spans="1:8" x14ac:dyDescent="0.2">
      <c r="A877" s="63"/>
      <c r="B877" s="232" t="s">
        <v>17</v>
      </c>
      <c r="C877" s="233" t="s">
        <v>4090</v>
      </c>
      <c r="D877" s="233" t="s">
        <v>4090</v>
      </c>
      <c r="E877" s="233" t="s">
        <v>4091</v>
      </c>
      <c r="F877" s="237" t="s">
        <v>4090</v>
      </c>
      <c r="G877" s="233" t="s">
        <v>4090</v>
      </c>
      <c r="H877" s="234" t="s">
        <v>2420</v>
      </c>
    </row>
    <row r="878" spans="1:8" x14ac:dyDescent="0.2">
      <c r="A878" s="63"/>
      <c r="B878" s="232" t="s">
        <v>17</v>
      </c>
      <c r="C878" s="233" t="s">
        <v>4092</v>
      </c>
      <c r="D878" s="233" t="s">
        <v>4092</v>
      </c>
      <c r="E878" s="233" t="s">
        <v>4093</v>
      </c>
      <c r="F878" s="237" t="s">
        <v>4092</v>
      </c>
      <c r="G878" s="233" t="s">
        <v>4094</v>
      </c>
      <c r="H878" s="234" t="s">
        <v>2420</v>
      </c>
    </row>
    <row r="879" spans="1:8" x14ac:dyDescent="0.2">
      <c r="A879" s="63"/>
      <c r="B879" s="232" t="s">
        <v>17</v>
      </c>
      <c r="C879" s="233" t="s">
        <v>4095</v>
      </c>
      <c r="D879" s="233" t="s">
        <v>4095</v>
      </c>
      <c r="E879" s="233" t="s">
        <v>4096</v>
      </c>
      <c r="F879" s="237" t="s">
        <v>4097</v>
      </c>
      <c r="G879" s="233" t="s">
        <v>4095</v>
      </c>
      <c r="H879" s="234" t="s">
        <v>2420</v>
      </c>
    </row>
    <row r="880" spans="1:8" x14ac:dyDescent="0.2">
      <c r="A880" s="63"/>
      <c r="B880" s="232" t="s">
        <v>17</v>
      </c>
      <c r="C880" s="233" t="s">
        <v>4098</v>
      </c>
      <c r="D880" s="233" t="s">
        <v>4098</v>
      </c>
      <c r="E880" s="233" t="s">
        <v>4099</v>
      </c>
      <c r="F880" s="237" t="s">
        <v>4098</v>
      </c>
      <c r="G880" s="233" t="s">
        <v>4100</v>
      </c>
      <c r="H880" s="234" t="s">
        <v>2420</v>
      </c>
    </row>
    <row r="881" spans="1:8" x14ac:dyDescent="0.2">
      <c r="A881" s="63"/>
      <c r="B881" s="232" t="s">
        <v>17</v>
      </c>
      <c r="C881" s="233" t="s">
        <v>4101</v>
      </c>
      <c r="D881" s="233" t="s">
        <v>4101</v>
      </c>
      <c r="E881" s="233" t="s">
        <v>4101</v>
      </c>
      <c r="F881" s="237" t="s">
        <v>4101</v>
      </c>
      <c r="G881" s="233" t="s">
        <v>4102</v>
      </c>
      <c r="H881" s="234" t="s">
        <v>2421</v>
      </c>
    </row>
    <row r="882" spans="1:8" x14ac:dyDescent="0.2">
      <c r="A882" s="63"/>
      <c r="B882" s="232" t="s">
        <v>17</v>
      </c>
      <c r="C882" s="233" t="s">
        <v>4103</v>
      </c>
      <c r="D882" s="233" t="s">
        <v>4104</v>
      </c>
      <c r="E882" s="233" t="s">
        <v>4105</v>
      </c>
      <c r="F882" s="237" t="s">
        <v>4106</v>
      </c>
      <c r="G882" s="233" t="s">
        <v>4107</v>
      </c>
      <c r="H882" s="234" t="s">
        <v>2419</v>
      </c>
    </row>
    <row r="883" spans="1:8" x14ac:dyDescent="0.2">
      <c r="A883" s="63"/>
      <c r="B883" s="232" t="s">
        <v>17</v>
      </c>
      <c r="C883" s="233" t="s">
        <v>4108</v>
      </c>
      <c r="D883" s="233" t="s">
        <v>4109</v>
      </c>
      <c r="E883" s="233" t="s">
        <v>4110</v>
      </c>
      <c r="F883" s="237" t="s">
        <v>4111</v>
      </c>
      <c r="G883" s="233" t="s">
        <v>4112</v>
      </c>
      <c r="H883" s="234" t="s">
        <v>2396</v>
      </c>
    </row>
    <row r="884" spans="1:8" x14ac:dyDescent="0.2">
      <c r="A884" s="63"/>
      <c r="B884" s="232" t="s">
        <v>17</v>
      </c>
      <c r="C884" s="233" t="s">
        <v>4113</v>
      </c>
      <c r="D884" s="233" t="s">
        <v>4114</v>
      </c>
      <c r="E884" s="233" t="s">
        <v>4115</v>
      </c>
      <c r="F884" s="237" t="s">
        <v>4116</v>
      </c>
      <c r="G884" s="233" t="s">
        <v>4117</v>
      </c>
      <c r="H884" s="234" t="s">
        <v>2396</v>
      </c>
    </row>
    <row r="885" spans="1:8" x14ac:dyDescent="0.2">
      <c r="A885" s="63"/>
      <c r="B885" s="232" t="s">
        <v>17</v>
      </c>
      <c r="C885" s="233" t="s">
        <v>4118</v>
      </c>
      <c r="D885" s="233" t="s">
        <v>4118</v>
      </c>
      <c r="E885" s="233" t="s">
        <v>4118</v>
      </c>
      <c r="F885" s="237" t="s">
        <v>4119</v>
      </c>
      <c r="G885" s="233" t="s">
        <v>4120</v>
      </c>
      <c r="H885" s="234" t="s">
        <v>2420</v>
      </c>
    </row>
    <row r="886" spans="1:8" x14ac:dyDescent="0.2">
      <c r="A886" s="63"/>
      <c r="B886" s="232" t="s">
        <v>17</v>
      </c>
      <c r="C886" s="233" t="s">
        <v>4121</v>
      </c>
      <c r="D886" s="233" t="s">
        <v>4122</v>
      </c>
      <c r="E886" s="233" t="s">
        <v>4123</v>
      </c>
      <c r="F886" s="237" t="s">
        <v>4124</v>
      </c>
      <c r="G886" s="233" t="s">
        <v>4125</v>
      </c>
      <c r="H886" s="234" t="s">
        <v>2396</v>
      </c>
    </row>
    <row r="887" spans="1:8" x14ac:dyDescent="0.2">
      <c r="A887" s="63"/>
      <c r="B887" s="232" t="s">
        <v>17</v>
      </c>
      <c r="C887" s="233" t="s">
        <v>4126</v>
      </c>
      <c r="D887" s="233" t="s">
        <v>4127</v>
      </c>
      <c r="E887" s="233" t="s">
        <v>4128</v>
      </c>
      <c r="F887" s="237" t="s">
        <v>4129</v>
      </c>
      <c r="G887" s="233" t="s">
        <v>4130</v>
      </c>
      <c r="H887" s="234" t="s">
        <v>2421</v>
      </c>
    </row>
    <row r="888" spans="1:8" x14ac:dyDescent="0.2">
      <c r="A888" s="63"/>
      <c r="B888" s="232" t="s">
        <v>17</v>
      </c>
      <c r="C888" s="233" t="s">
        <v>4131</v>
      </c>
      <c r="D888" s="233" t="s">
        <v>4132</v>
      </c>
      <c r="E888" s="233" t="s">
        <v>4133</v>
      </c>
      <c r="F888" s="237" t="s">
        <v>4134</v>
      </c>
      <c r="G888" s="233" t="s">
        <v>4135</v>
      </c>
      <c r="H888" s="234" t="s">
        <v>2421</v>
      </c>
    </row>
    <row r="889" spans="1:8" x14ac:dyDescent="0.2">
      <c r="A889" s="63"/>
      <c r="B889" s="232" t="s">
        <v>17</v>
      </c>
      <c r="C889" s="233" t="s">
        <v>4136</v>
      </c>
      <c r="D889" s="233" t="s">
        <v>4137</v>
      </c>
      <c r="E889" s="233" t="s">
        <v>4138</v>
      </c>
      <c r="F889" s="237" t="s">
        <v>4139</v>
      </c>
      <c r="G889" s="233" t="s">
        <v>4140</v>
      </c>
      <c r="H889" s="234" t="s">
        <v>2396</v>
      </c>
    </row>
    <row r="890" spans="1:8" x14ac:dyDescent="0.2">
      <c r="A890" s="63"/>
      <c r="B890" s="232" t="s">
        <v>17</v>
      </c>
      <c r="C890" s="233" t="s">
        <v>4141</v>
      </c>
      <c r="D890" s="233" t="s">
        <v>4142</v>
      </c>
      <c r="E890" s="233" t="s">
        <v>4143</v>
      </c>
      <c r="F890" s="237" t="s">
        <v>4144</v>
      </c>
      <c r="G890" s="233" t="s">
        <v>4145</v>
      </c>
      <c r="H890" s="234" t="s">
        <v>2396</v>
      </c>
    </row>
    <row r="891" spans="1:8" x14ac:dyDescent="0.2">
      <c r="A891" s="63"/>
      <c r="B891" s="232" t="s">
        <v>17</v>
      </c>
      <c r="C891" s="233" t="s">
        <v>4146</v>
      </c>
      <c r="D891" s="233" t="s">
        <v>4147</v>
      </c>
      <c r="E891" s="233" t="s">
        <v>4148</v>
      </c>
      <c r="F891" s="237" t="s">
        <v>4149</v>
      </c>
      <c r="G891" s="233" t="s">
        <v>4150</v>
      </c>
      <c r="H891" s="234" t="s">
        <v>2421</v>
      </c>
    </row>
    <row r="892" spans="1:8" x14ac:dyDescent="0.2">
      <c r="A892" s="63"/>
      <c r="B892" s="232" t="s">
        <v>17</v>
      </c>
      <c r="C892" s="233" t="s">
        <v>4151</v>
      </c>
      <c r="D892" s="233" t="s">
        <v>4152</v>
      </c>
      <c r="E892" s="233" t="s">
        <v>4153</v>
      </c>
      <c r="F892" s="237" t="s">
        <v>4154</v>
      </c>
      <c r="G892" s="233" t="s">
        <v>4155</v>
      </c>
      <c r="H892" s="234" t="s">
        <v>2421</v>
      </c>
    </row>
    <row r="893" spans="1:8" x14ac:dyDescent="0.2">
      <c r="A893" s="63"/>
      <c r="B893" s="232" t="s">
        <v>17</v>
      </c>
      <c r="C893" s="233" t="s">
        <v>4156</v>
      </c>
      <c r="D893" s="233" t="s">
        <v>4157</v>
      </c>
      <c r="E893" s="233" t="s">
        <v>4158</v>
      </c>
      <c r="F893" s="237" t="s">
        <v>4159</v>
      </c>
      <c r="G893" s="233" t="s">
        <v>4160</v>
      </c>
      <c r="H893" s="234" t="s">
        <v>2421</v>
      </c>
    </row>
    <row r="894" spans="1:8" x14ac:dyDescent="0.2">
      <c r="A894" s="63"/>
      <c r="B894" s="232" t="s">
        <v>17</v>
      </c>
      <c r="C894" s="233" t="s">
        <v>4161</v>
      </c>
      <c r="D894" s="233" t="s">
        <v>4162</v>
      </c>
      <c r="E894" s="233" t="s">
        <v>4163</v>
      </c>
      <c r="F894" s="237" t="s">
        <v>4164</v>
      </c>
      <c r="G894" s="233" t="s">
        <v>4165</v>
      </c>
      <c r="H894" s="234" t="s">
        <v>2420</v>
      </c>
    </row>
  </sheetData>
  <sortState xmlns:xlrd2="http://schemas.microsoft.com/office/spreadsheetml/2017/richdata2" ref="A14:H894">
    <sortCondition ref="B43:B894"/>
  </sortState>
  <hyperlinks>
    <hyperlink ref="C8" r:id="rId1" xr:uid="{08ED7416-FA73-4BBB-B124-D7A92302D52C}"/>
    <hyperlink ref="C4" r:id="rId2" xr:uid="{B0A7E07D-EE4B-4AC7-9A7C-4D3162D53C60}"/>
    <hyperlink ref="C5" r:id="rId3" xr:uid="{5FB0A90C-D87D-4840-89C8-2A851C7A8ECE}"/>
  </hyperlinks>
  <pageMargins left="0.7" right="0.7" top="0.75" bottom="0.75" header="0.3" footer="0.3"/>
  <drawing r:id="rId4"/>
  <tableParts count="1">
    <tablePart r:id="rId5"/>
  </tableParts>
  <extLst>
    <ext xmlns:x15="http://schemas.microsoft.com/office/spreadsheetml/2010/11/main" uri="{3A4CF648-6AED-40f4-86FF-DC5316D8AED3}">
      <x14:slicerList xmlns:x14="http://schemas.microsoft.com/office/spreadsheetml/2009/9/main">
        <x14:slicer r:id="rId6"/>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C02B-F113-448E-B4AB-A60AB3D5F5E2}">
  <dimension ref="C3:E15"/>
  <sheetViews>
    <sheetView showGridLines="0" workbookViewId="0"/>
  </sheetViews>
  <sheetFormatPr defaultRowHeight="14.25" x14ac:dyDescent="0.2"/>
  <cols>
    <col min="1" max="1" width="12.375" customWidth="1"/>
    <col min="3" max="3" width="22.75" bestFit="1" customWidth="1"/>
    <col min="4" max="4" width="36.375" bestFit="1" customWidth="1"/>
    <col min="5" max="5" width="31.625" customWidth="1"/>
    <col min="6" max="6" width="12" customWidth="1"/>
  </cols>
  <sheetData>
    <row r="3" spans="3:5" ht="20.25" thickBot="1" x14ac:dyDescent="0.35">
      <c r="C3" s="359" t="s">
        <v>8611</v>
      </c>
      <c r="D3" s="358"/>
      <c r="E3" s="358"/>
    </row>
    <row r="4" spans="3:5" ht="15" thickTop="1" x14ac:dyDescent="0.2"/>
    <row r="6" spans="3:5" x14ac:dyDescent="0.2">
      <c r="C6" t="s">
        <v>8614</v>
      </c>
      <c r="D6" t="s">
        <v>8682</v>
      </c>
      <c r="E6" s="238" t="str">
        <f t="shared" ref="E6:E15" si="0">HYPERLINK(D6,C6)</f>
        <v>Chandoo</v>
      </c>
    </row>
    <row r="7" spans="3:5" x14ac:dyDescent="0.2">
      <c r="C7" t="s">
        <v>8612</v>
      </c>
      <c r="D7" t="s">
        <v>8680</v>
      </c>
      <c r="E7" s="238" t="str">
        <f t="shared" si="0"/>
        <v>Computer Gaga</v>
      </c>
    </row>
    <row r="8" spans="3:5" x14ac:dyDescent="0.2">
      <c r="C8" t="s">
        <v>8613</v>
      </c>
      <c r="D8" t="s">
        <v>8681</v>
      </c>
      <c r="E8" s="238" t="str">
        <f t="shared" si="0"/>
        <v>Contextures</v>
      </c>
    </row>
    <row r="9" spans="3:5" x14ac:dyDescent="0.2">
      <c r="C9" t="s">
        <v>8616</v>
      </c>
      <c r="D9" t="s">
        <v>8684</v>
      </c>
      <c r="E9" s="238" t="str">
        <f t="shared" si="0"/>
        <v>Excel Hero</v>
      </c>
    </row>
    <row r="10" spans="3:5" x14ac:dyDescent="0.2">
      <c r="C10" t="s">
        <v>8617</v>
      </c>
      <c r="D10" t="s">
        <v>8685</v>
      </c>
      <c r="E10" s="238" t="str">
        <f t="shared" si="0"/>
        <v>Excel Is Fun</v>
      </c>
    </row>
    <row r="11" spans="3:5" x14ac:dyDescent="0.2">
      <c r="C11" t="s">
        <v>8615</v>
      </c>
      <c r="D11" t="s">
        <v>8683</v>
      </c>
      <c r="E11" s="238" t="str">
        <f t="shared" si="0"/>
        <v>Excel off the Grid</v>
      </c>
    </row>
    <row r="12" spans="3:5" x14ac:dyDescent="0.2">
      <c r="C12" t="s">
        <v>8618</v>
      </c>
      <c r="D12" t="s">
        <v>8686</v>
      </c>
      <c r="E12" s="238" t="str">
        <f t="shared" si="0"/>
        <v>Excel User</v>
      </c>
    </row>
    <row r="13" spans="3:5" x14ac:dyDescent="0.2">
      <c r="C13" t="s">
        <v>8619</v>
      </c>
      <c r="D13" t="s">
        <v>8687</v>
      </c>
      <c r="E13" s="238" t="str">
        <f t="shared" si="0"/>
        <v>Mr Excel</v>
      </c>
    </row>
    <row r="14" spans="3:5" x14ac:dyDescent="0.2">
      <c r="C14" t="s">
        <v>8620</v>
      </c>
      <c r="D14" t="s">
        <v>8679</v>
      </c>
      <c r="E14" s="238" t="str">
        <f t="shared" si="0"/>
        <v>My Excel Online</v>
      </c>
    </row>
    <row r="15" spans="3:5" x14ac:dyDescent="0.2">
      <c r="C15" t="s">
        <v>8621</v>
      </c>
      <c r="D15" t="s">
        <v>8678</v>
      </c>
      <c r="E15" s="238" t="str">
        <f t="shared" si="0"/>
        <v>My Online Training Hub</v>
      </c>
    </row>
  </sheetData>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M73"/>
  <sheetViews>
    <sheetView topLeftCell="B1" zoomScale="80" workbookViewId="0">
      <selection activeCell="B1" sqref="B1"/>
    </sheetView>
  </sheetViews>
  <sheetFormatPr defaultColWidth="9" defaultRowHeight="15" x14ac:dyDescent="0.3"/>
  <cols>
    <col min="1" max="1" width="9.5" style="27" customWidth="1"/>
    <col min="2" max="2" width="17" style="27" customWidth="1"/>
    <col min="3" max="3" width="13.875" style="27" customWidth="1"/>
    <col min="4" max="13" width="13.75" style="27" customWidth="1"/>
    <col min="14" max="14" width="11.375" style="27" customWidth="1"/>
    <col min="15" max="21" width="10" style="27" customWidth="1"/>
    <col min="22" max="16384" width="9" style="27"/>
  </cols>
  <sheetData>
    <row r="1" spans="1:6" ht="43.5" customHeight="1" x14ac:dyDescent="0.3"/>
    <row r="2" spans="1:6" ht="22.5" customHeight="1" x14ac:dyDescent="0.3">
      <c r="A2" s="26" t="s">
        <v>9</v>
      </c>
    </row>
    <row r="3" spans="1:6" ht="15.75" x14ac:dyDescent="0.3">
      <c r="A3" s="28"/>
    </row>
    <row r="4" spans="1:6" x14ac:dyDescent="0.3">
      <c r="B4" s="29" t="s">
        <v>2713</v>
      </c>
      <c r="C4" s="30">
        <v>4.7500000000000001E-2</v>
      </c>
      <c r="D4" s="31" t="s">
        <v>2714</v>
      </c>
    </row>
    <row r="5" spans="1:6" customFormat="1" ht="15.75" x14ac:dyDescent="0.3">
      <c r="B5" s="32" t="s">
        <v>2715</v>
      </c>
      <c r="C5" s="32">
        <v>15</v>
      </c>
      <c r="D5" s="33">
        <f>PMT($C$4/12,C5*12,C6)</f>
        <v>-749.99999999998613</v>
      </c>
      <c r="E5" s="27"/>
    </row>
    <row r="6" spans="1:6" customFormat="1" ht="14.25" x14ac:dyDescent="0.2">
      <c r="B6" s="32" t="s">
        <v>2716</v>
      </c>
      <c r="C6" s="34">
        <f>-PV($C$4/12,$C$5*12,$C$7)</f>
        <v>96421.859649028935</v>
      </c>
    </row>
    <row r="7" spans="1:6" customFormat="1" ht="14.25" x14ac:dyDescent="0.2">
      <c r="B7" s="35" t="s">
        <v>2717</v>
      </c>
      <c r="C7" s="36">
        <v>750</v>
      </c>
      <c r="D7" s="37"/>
    </row>
    <row r="8" spans="1:6" customFormat="1" ht="14.25" x14ac:dyDescent="0.2"/>
    <row r="9" spans="1:6" customFormat="1" ht="14.25" x14ac:dyDescent="0.2"/>
    <row r="10" spans="1:6" customFormat="1" ht="15.75" x14ac:dyDescent="0.3">
      <c r="B10" s="38"/>
      <c r="C10" s="39">
        <f>-PV($C$4/12,$C$5*12,$C$7)</f>
        <v>96421.859649028935</v>
      </c>
      <c r="E10" s="40"/>
      <c r="F10" s="39">
        <f>-PV($C$4/12,$C$5*12,$C$7)</f>
        <v>96421.859649028935</v>
      </c>
    </row>
    <row r="11" spans="1:6" customFormat="1" ht="14.25" x14ac:dyDescent="0.2">
      <c r="B11" s="41">
        <v>500</v>
      </c>
      <c r="C11" s="42">
        <f t="dataTable" ref="C11:C21" dt2D="0" dtr="0" r1="C7"/>
        <v>64281.23976601928</v>
      </c>
      <c r="E11" s="43">
        <v>10</v>
      </c>
      <c r="F11" s="42">
        <f t="dataTable" ref="F11:F21" dt2D="0" dtr="0" r1="C5"/>
        <v>96421.859649028935</v>
      </c>
    </row>
    <row r="12" spans="1:6" customFormat="1" ht="14.25" x14ac:dyDescent="0.2">
      <c r="B12" s="41">
        <v>550</v>
      </c>
      <c r="C12" s="42">
        <v>70709.363742621208</v>
      </c>
      <c r="E12" s="43">
        <v>11</v>
      </c>
      <c r="F12" s="42">
        <v>96421.859649028935</v>
      </c>
    </row>
    <row r="13" spans="1:6" customFormat="1" ht="14.25" x14ac:dyDescent="0.2">
      <c r="B13" s="41">
        <v>600</v>
      </c>
      <c r="C13" s="42">
        <v>77137.487719223136</v>
      </c>
      <c r="E13" s="43">
        <v>12</v>
      </c>
      <c r="F13" s="42">
        <v>96421.859649028935</v>
      </c>
    </row>
    <row r="14" spans="1:6" customFormat="1" ht="14.25" x14ac:dyDescent="0.2">
      <c r="B14" s="41">
        <v>650</v>
      </c>
      <c r="C14" s="42">
        <v>83565.611695825064</v>
      </c>
      <c r="E14" s="43">
        <v>13</v>
      </c>
      <c r="F14" s="42">
        <v>96421.859649028935</v>
      </c>
    </row>
    <row r="15" spans="1:6" customFormat="1" ht="14.25" x14ac:dyDescent="0.2">
      <c r="B15" s="41">
        <v>700</v>
      </c>
      <c r="C15" s="42">
        <v>89993.735672426992</v>
      </c>
      <c r="E15" s="43">
        <v>14</v>
      </c>
      <c r="F15" s="42">
        <v>96421.859649028935</v>
      </c>
    </row>
    <row r="16" spans="1:6" customFormat="1" ht="14.25" x14ac:dyDescent="0.2">
      <c r="B16" s="41">
        <v>750</v>
      </c>
      <c r="C16" s="42">
        <v>96421.859649028935</v>
      </c>
      <c r="E16" s="43">
        <v>15</v>
      </c>
      <c r="F16" s="42">
        <v>96421.859649028935</v>
      </c>
    </row>
    <row r="17" spans="2:13" customFormat="1" ht="14.25" x14ac:dyDescent="0.2">
      <c r="B17" s="41">
        <v>800</v>
      </c>
      <c r="C17" s="42">
        <v>102849.98362563086</v>
      </c>
      <c r="E17" s="43">
        <v>16</v>
      </c>
      <c r="F17" s="42">
        <v>96421.859649028935</v>
      </c>
    </row>
    <row r="18" spans="2:13" customFormat="1" ht="14.25" x14ac:dyDescent="0.2">
      <c r="B18" s="41">
        <v>850</v>
      </c>
      <c r="C18" s="42">
        <v>109278.10760223278</v>
      </c>
      <c r="E18" s="43">
        <v>17</v>
      </c>
      <c r="F18" s="42">
        <v>96421.859649028935</v>
      </c>
    </row>
    <row r="19" spans="2:13" customFormat="1" ht="14.25" x14ac:dyDescent="0.2">
      <c r="B19" s="41">
        <v>900</v>
      </c>
      <c r="C19" s="42">
        <v>115706.2315788347</v>
      </c>
      <c r="E19" s="43">
        <v>18</v>
      </c>
      <c r="F19" s="42">
        <v>96421.859649028935</v>
      </c>
    </row>
    <row r="20" spans="2:13" customFormat="1" ht="14.25" x14ac:dyDescent="0.2">
      <c r="B20" s="41">
        <v>950</v>
      </c>
      <c r="C20" s="42">
        <v>122134.35555543663</v>
      </c>
      <c r="E20" s="43">
        <v>19</v>
      </c>
      <c r="F20" s="42">
        <v>96421.859649028935</v>
      </c>
    </row>
    <row r="21" spans="2:13" customFormat="1" ht="14.25" x14ac:dyDescent="0.2">
      <c r="B21" s="44">
        <v>1000</v>
      </c>
      <c r="C21" s="45">
        <v>128562.47953203856</v>
      </c>
      <c r="E21" s="46">
        <v>20</v>
      </c>
      <c r="F21" s="45">
        <v>96421.859649028935</v>
      </c>
    </row>
    <row r="22" spans="2:13" customFormat="1" ht="14.25" x14ac:dyDescent="0.2">
      <c r="B22" s="37"/>
    </row>
    <row r="23" spans="2:13" customFormat="1" ht="14.25" x14ac:dyDescent="0.2">
      <c r="B23" s="37"/>
    </row>
    <row r="24" spans="2:13" customFormat="1" ht="14.25" x14ac:dyDescent="0.2"/>
    <row r="25" spans="2:13" customFormat="1" ht="14.25" x14ac:dyDescent="0.2">
      <c r="B25" s="47">
        <f>-PV($C$4/12,$C$5*12,$C$7)</f>
        <v>96421.859649028935</v>
      </c>
      <c r="C25" s="48">
        <v>10</v>
      </c>
      <c r="D25" s="49">
        <v>11</v>
      </c>
      <c r="E25" s="49">
        <v>12</v>
      </c>
      <c r="F25" s="49">
        <v>13</v>
      </c>
      <c r="G25" s="49">
        <v>14</v>
      </c>
      <c r="H25" s="49">
        <v>15</v>
      </c>
      <c r="I25" s="49">
        <v>16</v>
      </c>
      <c r="J25" s="49">
        <v>17</v>
      </c>
      <c r="K25" s="49">
        <v>18</v>
      </c>
      <c r="L25" s="49">
        <v>19</v>
      </c>
      <c r="M25" s="50">
        <v>20</v>
      </c>
    </row>
    <row r="26" spans="2:13" customFormat="1" ht="14.25" x14ac:dyDescent="0.2">
      <c r="B26" s="51">
        <v>500</v>
      </c>
      <c r="C26" s="37">
        <f t="dataTable" ref="C26:M36" dt2D="1" dtr="0" r1="C5" r2="C7"/>
        <v>96421.859649028935</v>
      </c>
      <c r="D26" s="37">
        <v>96421.859649028935</v>
      </c>
      <c r="E26" s="37">
        <v>96421.859649028935</v>
      </c>
      <c r="F26" s="37">
        <v>96421.859649028935</v>
      </c>
      <c r="G26" s="37">
        <v>96421.859649028935</v>
      </c>
      <c r="H26" s="37">
        <v>96421.859649028935</v>
      </c>
      <c r="I26" s="37">
        <v>96421.859649028935</v>
      </c>
      <c r="J26" s="37">
        <v>96421.859649028935</v>
      </c>
      <c r="K26" s="37">
        <v>96421.859649028935</v>
      </c>
      <c r="L26" s="37">
        <v>96421.859649028935</v>
      </c>
      <c r="M26" s="52">
        <v>96421.859649028935</v>
      </c>
    </row>
    <row r="27" spans="2:13" customFormat="1" ht="14.25" x14ac:dyDescent="0.2">
      <c r="B27" s="41">
        <v>550</v>
      </c>
      <c r="C27" s="37">
        <v>96421.859649028935</v>
      </c>
      <c r="D27" s="37">
        <v>96421.859649028935</v>
      </c>
      <c r="E27" s="37">
        <v>96421.859649028935</v>
      </c>
      <c r="F27" s="37">
        <v>96421.859649028935</v>
      </c>
      <c r="G27" s="37">
        <v>96421.859649028935</v>
      </c>
      <c r="H27" s="37">
        <v>96421.859649028935</v>
      </c>
      <c r="I27" s="37">
        <v>96421.859649028935</v>
      </c>
      <c r="J27" s="37">
        <v>96421.859649028935</v>
      </c>
      <c r="K27" s="37">
        <v>96421.859649028935</v>
      </c>
      <c r="L27" s="37">
        <v>96421.859649028935</v>
      </c>
      <c r="M27" s="52">
        <v>96421.859649028935</v>
      </c>
    </row>
    <row r="28" spans="2:13" customFormat="1" ht="14.25" x14ac:dyDescent="0.2">
      <c r="B28" s="41">
        <v>600</v>
      </c>
      <c r="C28" s="37">
        <v>96421.859649028935</v>
      </c>
      <c r="D28" s="37">
        <v>96421.859649028935</v>
      </c>
      <c r="E28" s="37">
        <v>96421.859649028935</v>
      </c>
      <c r="F28" s="37">
        <v>96421.859649028935</v>
      </c>
      <c r="G28" s="37">
        <v>96421.859649028935</v>
      </c>
      <c r="H28" s="37">
        <v>96421.859649028935</v>
      </c>
      <c r="I28" s="37">
        <v>96421.859649028935</v>
      </c>
      <c r="J28" s="37">
        <v>96421.859649028935</v>
      </c>
      <c r="K28" s="37">
        <v>96421.859649028935</v>
      </c>
      <c r="L28" s="37">
        <v>96421.859649028935</v>
      </c>
      <c r="M28" s="52">
        <v>96421.859649028935</v>
      </c>
    </row>
    <row r="29" spans="2:13" customFormat="1" ht="14.25" x14ac:dyDescent="0.2">
      <c r="B29" s="41">
        <v>650</v>
      </c>
      <c r="C29" s="37">
        <v>96421.859649028935</v>
      </c>
      <c r="D29" s="37">
        <v>96421.859649028935</v>
      </c>
      <c r="E29" s="37">
        <v>96421.859649028935</v>
      </c>
      <c r="F29" s="37">
        <v>96421.859649028935</v>
      </c>
      <c r="G29" s="37">
        <v>96421.859649028935</v>
      </c>
      <c r="H29" s="37">
        <v>96421.859649028935</v>
      </c>
      <c r="I29" s="37">
        <v>96421.859649028935</v>
      </c>
      <c r="J29" s="37">
        <v>96421.859649028935</v>
      </c>
      <c r="K29" s="37">
        <v>96421.859649028935</v>
      </c>
      <c r="L29" s="37">
        <v>96421.859649028935</v>
      </c>
      <c r="M29" s="52">
        <v>96421.859649028935</v>
      </c>
    </row>
    <row r="30" spans="2:13" customFormat="1" ht="14.25" x14ac:dyDescent="0.2">
      <c r="B30" s="41">
        <v>700</v>
      </c>
      <c r="C30" s="37">
        <v>96421.859649028935</v>
      </c>
      <c r="D30" s="37">
        <v>96421.859649028935</v>
      </c>
      <c r="E30" s="37">
        <v>96421.859649028935</v>
      </c>
      <c r="F30" s="37">
        <v>96421.859649028935</v>
      </c>
      <c r="G30" s="37">
        <v>96421.859649028935</v>
      </c>
      <c r="H30" s="37">
        <v>96421.859649028935</v>
      </c>
      <c r="I30" s="37">
        <v>96421.859649028935</v>
      </c>
      <c r="J30" s="37">
        <v>96421.859649028935</v>
      </c>
      <c r="K30" s="37">
        <v>96421.859649028935</v>
      </c>
      <c r="L30" s="37">
        <v>96421.859649028935</v>
      </c>
      <c r="M30" s="52">
        <v>96421.859649028935</v>
      </c>
    </row>
    <row r="31" spans="2:13" customFormat="1" ht="14.25" x14ac:dyDescent="0.2">
      <c r="B31" s="41">
        <v>750</v>
      </c>
      <c r="C31" s="37">
        <v>96421.859649028935</v>
      </c>
      <c r="D31" s="37">
        <v>96421.859649028935</v>
      </c>
      <c r="E31" s="37">
        <v>96421.859649028935</v>
      </c>
      <c r="F31" s="37">
        <v>96421.859649028935</v>
      </c>
      <c r="G31" s="37">
        <v>96421.859649028935</v>
      </c>
      <c r="H31" s="37">
        <v>96421.859649028935</v>
      </c>
      <c r="I31" s="37">
        <v>96421.859649028935</v>
      </c>
      <c r="J31" s="37">
        <v>96421.859649028935</v>
      </c>
      <c r="K31" s="37">
        <v>96421.859649028935</v>
      </c>
      <c r="L31" s="37">
        <v>96421.859649028935</v>
      </c>
      <c r="M31" s="52">
        <v>96421.859649028935</v>
      </c>
    </row>
    <row r="32" spans="2:13" customFormat="1" ht="14.25" x14ac:dyDescent="0.2">
      <c r="B32" s="41">
        <v>800</v>
      </c>
      <c r="C32" s="37">
        <v>96421.859649028935</v>
      </c>
      <c r="D32" s="37">
        <v>96421.859649028935</v>
      </c>
      <c r="E32" s="37">
        <v>96421.859649028935</v>
      </c>
      <c r="F32" s="37">
        <v>96421.859649028935</v>
      </c>
      <c r="G32" s="37">
        <v>96421.859649028935</v>
      </c>
      <c r="H32" s="37">
        <v>96421.859649028935</v>
      </c>
      <c r="I32" s="37">
        <v>96421.859649028935</v>
      </c>
      <c r="J32" s="37">
        <v>96421.859649028935</v>
      </c>
      <c r="K32" s="37">
        <v>96421.859649028935</v>
      </c>
      <c r="L32" s="37">
        <v>96421.859649028935</v>
      </c>
      <c r="M32" s="52">
        <v>96421.859649028935</v>
      </c>
    </row>
    <row r="33" spans="2:13" customFormat="1" ht="14.25" x14ac:dyDescent="0.2">
      <c r="B33" s="41">
        <v>850</v>
      </c>
      <c r="C33" s="37">
        <v>96421.859649028935</v>
      </c>
      <c r="D33" s="37">
        <v>96421.859649028935</v>
      </c>
      <c r="E33" s="37">
        <v>96421.859649028935</v>
      </c>
      <c r="F33" s="37">
        <v>96421.859649028935</v>
      </c>
      <c r="G33" s="37">
        <v>96421.859649028935</v>
      </c>
      <c r="H33" s="37">
        <v>96421.859649028935</v>
      </c>
      <c r="I33" s="37">
        <v>96421.859649028935</v>
      </c>
      <c r="J33" s="37">
        <v>96421.859649028935</v>
      </c>
      <c r="K33" s="37">
        <v>96421.859649028935</v>
      </c>
      <c r="L33" s="37">
        <v>96421.859649028935</v>
      </c>
      <c r="M33" s="52">
        <v>96421.859649028935</v>
      </c>
    </row>
    <row r="34" spans="2:13" customFormat="1" ht="14.25" x14ac:dyDescent="0.2">
      <c r="B34" s="41">
        <v>900</v>
      </c>
      <c r="C34" s="37">
        <v>96421.859649028935</v>
      </c>
      <c r="D34" s="37">
        <v>96421.859649028935</v>
      </c>
      <c r="E34" s="37">
        <v>96421.859649028935</v>
      </c>
      <c r="F34" s="37">
        <v>96421.859649028935</v>
      </c>
      <c r="G34" s="37">
        <v>96421.859649028935</v>
      </c>
      <c r="H34" s="37">
        <v>96421.859649028935</v>
      </c>
      <c r="I34" s="37">
        <v>96421.859649028935</v>
      </c>
      <c r="J34" s="37">
        <v>96421.859649028935</v>
      </c>
      <c r="K34" s="37">
        <v>96421.859649028935</v>
      </c>
      <c r="L34" s="37">
        <v>96421.859649028935</v>
      </c>
      <c r="M34" s="52">
        <v>96421.859649028935</v>
      </c>
    </row>
    <row r="35" spans="2:13" customFormat="1" ht="14.25" x14ac:dyDescent="0.2">
      <c r="B35" s="41">
        <v>950</v>
      </c>
      <c r="C35" s="37">
        <v>96421.859649028935</v>
      </c>
      <c r="D35" s="37">
        <v>96421.859649028935</v>
      </c>
      <c r="E35" s="37">
        <v>96421.859649028935</v>
      </c>
      <c r="F35" s="37">
        <v>96421.859649028935</v>
      </c>
      <c r="G35" s="37">
        <v>96421.859649028935</v>
      </c>
      <c r="H35" s="37">
        <v>96421.859649028935</v>
      </c>
      <c r="I35" s="37">
        <v>96421.859649028935</v>
      </c>
      <c r="J35" s="37">
        <v>96421.859649028935</v>
      </c>
      <c r="K35" s="37">
        <v>96421.859649028935</v>
      </c>
      <c r="L35" s="37">
        <v>96421.859649028935</v>
      </c>
      <c r="M35" s="52">
        <v>96421.859649028935</v>
      </c>
    </row>
    <row r="36" spans="2:13" customFormat="1" ht="14.25" x14ac:dyDescent="0.2">
      <c r="B36" s="44">
        <v>1000</v>
      </c>
      <c r="C36" s="53">
        <v>96421.859649028935</v>
      </c>
      <c r="D36" s="53">
        <v>96421.859649028935</v>
      </c>
      <c r="E36" s="53">
        <v>96421.859649028935</v>
      </c>
      <c r="F36" s="53">
        <v>96421.859649028935</v>
      </c>
      <c r="G36" s="53">
        <v>96421.859649028935</v>
      </c>
      <c r="H36" s="53">
        <v>96421.859649028935</v>
      </c>
      <c r="I36" s="53">
        <v>96421.859649028935</v>
      </c>
      <c r="J36" s="53">
        <v>96421.859649028935</v>
      </c>
      <c r="K36" s="53">
        <v>96421.859649028935</v>
      </c>
      <c r="L36" s="53">
        <v>96421.859649028935</v>
      </c>
      <c r="M36" s="54">
        <v>96421.859649028935</v>
      </c>
    </row>
    <row r="37" spans="2:13" customFormat="1" ht="14.25" x14ac:dyDescent="0.2"/>
    <row r="38" spans="2:13" customFormat="1" ht="14.25" x14ac:dyDescent="0.2"/>
    <row r="39" spans="2:13" customFormat="1" ht="14.25" x14ac:dyDescent="0.2"/>
    <row r="40" spans="2:13" customFormat="1" ht="14.25" x14ac:dyDescent="0.2"/>
    <row r="41" spans="2:13" customFormat="1" ht="14.25" x14ac:dyDescent="0.2"/>
    <row r="42" spans="2:13" customFormat="1" ht="14.25" x14ac:dyDescent="0.2"/>
    <row r="43" spans="2:13" customFormat="1" ht="14.25" x14ac:dyDescent="0.2"/>
    <row r="44" spans="2:13" customFormat="1" ht="14.25" x14ac:dyDescent="0.2"/>
    <row r="45" spans="2:13" customFormat="1" ht="14.25" x14ac:dyDescent="0.2"/>
    <row r="46" spans="2:13" customFormat="1" ht="14.25" x14ac:dyDescent="0.2"/>
    <row r="47" spans="2:13" customFormat="1" ht="14.25" x14ac:dyDescent="0.2"/>
    <row r="48" spans="2:13" customFormat="1" ht="14.25" x14ac:dyDescent="0.2"/>
    <row r="49" customFormat="1" ht="14.25" x14ac:dyDescent="0.2"/>
    <row r="50" customFormat="1" ht="14.25" x14ac:dyDescent="0.2"/>
    <row r="51" customFormat="1" ht="14.25" x14ac:dyDescent="0.2"/>
    <row r="52" customFormat="1" ht="14.25" x14ac:dyDescent="0.2"/>
    <row r="53" customFormat="1" ht="14.25" x14ac:dyDescent="0.2"/>
    <row r="54" customFormat="1" ht="14.25" x14ac:dyDescent="0.2"/>
    <row r="55" customFormat="1" ht="14.25" x14ac:dyDescent="0.2"/>
    <row r="56" customFormat="1" ht="14.25" x14ac:dyDescent="0.2"/>
    <row r="57" customFormat="1" ht="14.25" x14ac:dyDescent="0.2"/>
    <row r="58" customFormat="1" ht="14.25" x14ac:dyDescent="0.2"/>
    <row r="59" customFormat="1" ht="14.25" x14ac:dyDescent="0.2"/>
    <row r="60" customFormat="1" ht="14.25" x14ac:dyDescent="0.2"/>
    <row r="61" customFormat="1" ht="14.25" x14ac:dyDescent="0.2"/>
    <row r="62" customFormat="1" ht="14.25" x14ac:dyDescent="0.2"/>
    <row r="63" customFormat="1" ht="14.25" x14ac:dyDescent="0.2"/>
    <row r="64" customFormat="1" ht="14.25" x14ac:dyDescent="0.2"/>
    <row r="65" customFormat="1" ht="14.25" x14ac:dyDescent="0.2"/>
    <row r="66" customFormat="1" ht="14.25" x14ac:dyDescent="0.2"/>
    <row r="67" customFormat="1" ht="14.25" x14ac:dyDescent="0.2"/>
    <row r="68" customFormat="1" ht="14.25" x14ac:dyDescent="0.2"/>
    <row r="69" customFormat="1" ht="14.25" x14ac:dyDescent="0.2"/>
    <row r="70" customFormat="1" ht="14.25" x14ac:dyDescent="0.2"/>
    <row r="71" customFormat="1" ht="14.25" x14ac:dyDescent="0.2"/>
    <row r="72" customFormat="1" ht="14.25" x14ac:dyDescent="0.2"/>
    <row r="73" customFormat="1" ht="14.25" x14ac:dyDescent="0.2"/>
  </sheetData>
  <hyperlinks>
    <hyperlink ref="A2" location="Opdrachten!A1" display="Menu" xr:uid="{00000000-0004-0000-2A00-000000000000}"/>
  </hyperlinks>
  <printOptions verticalCentered="1"/>
  <pageMargins left="0.39370078740157483" right="0.39370078740157483" top="0.39370078740157483" bottom="0.39370078740157483" header="0.39370078740157483" footer="0.39370078740157483"/>
  <pageSetup paperSize="9" scale="79" orientation="landscape" horizontalDpi="300" verticalDpi="300" r:id="rId1"/>
  <headerFooter alignWithMargins="0">
    <oddHeader>&amp;F</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autoPageBreaks="0"/>
  </sheetPr>
  <dimension ref="B1:J278"/>
  <sheetViews>
    <sheetView showGridLines="0" zoomScaleNormal="100" workbookViewId="0"/>
  </sheetViews>
  <sheetFormatPr defaultColWidth="9" defaultRowHeight="14.25" x14ac:dyDescent="0.2"/>
  <cols>
    <col min="1" max="1" width="10" style="6" customWidth="1"/>
    <col min="2" max="2" width="11.875" style="6" customWidth="1"/>
    <col min="3" max="3" width="17.75" style="6" bestFit="1" customWidth="1"/>
    <col min="4" max="4" width="16.625" style="6" customWidth="1"/>
    <col min="5" max="5" width="14.375" style="6" customWidth="1"/>
    <col min="6" max="6" width="12.25" style="6" customWidth="1"/>
    <col min="7" max="7" width="14.875" style="6" customWidth="1"/>
    <col min="8" max="8" width="11.25" style="6" customWidth="1"/>
    <col min="9" max="10" width="11.375" style="6" customWidth="1"/>
    <col min="11" max="16384" width="9" style="6"/>
  </cols>
  <sheetData>
    <row r="1" spans="2:10" ht="34.5" customHeight="1" x14ac:dyDescent="0.2"/>
    <row r="2" spans="2:10" ht="15" thickBot="1" x14ac:dyDescent="0.25"/>
    <row r="3" spans="2:10" ht="15" thickBot="1" x14ac:dyDescent="0.25">
      <c r="B3" s="330" t="s">
        <v>2396</v>
      </c>
      <c r="C3" s="331">
        <v>43555</v>
      </c>
    </row>
    <row r="4" spans="2:10" ht="15" thickBot="1" x14ac:dyDescent="0.25">
      <c r="E4"/>
    </row>
    <row r="5" spans="2:10" ht="26.25" thickBot="1" x14ac:dyDescent="0.25">
      <c r="B5" s="214" t="s">
        <v>2395</v>
      </c>
      <c r="C5" s="214" t="s">
        <v>2394</v>
      </c>
      <c r="D5" s="214" t="s">
        <v>2393</v>
      </c>
      <c r="E5" s="214" t="s">
        <v>8203</v>
      </c>
      <c r="F5" s="214" t="s">
        <v>8204</v>
      </c>
      <c r="G5" s="214" t="s">
        <v>2392</v>
      </c>
      <c r="H5" s="215" t="s">
        <v>2391</v>
      </c>
      <c r="I5" s="216" t="s">
        <v>2390</v>
      </c>
      <c r="J5" s="216" t="s">
        <v>2389</v>
      </c>
    </row>
    <row r="6" spans="2:10" x14ac:dyDescent="0.2">
      <c r="B6" s="6" t="s">
        <v>2388</v>
      </c>
      <c r="C6" s="6">
        <v>1000</v>
      </c>
      <c r="D6" s="210">
        <v>43417</v>
      </c>
      <c r="E6" s="211"/>
      <c r="F6" s="212"/>
      <c r="G6" s="213">
        <v>20523</v>
      </c>
      <c r="H6" s="212"/>
      <c r="I6" s="212"/>
      <c r="J6" s="212"/>
    </row>
    <row r="7" spans="2:10" x14ac:dyDescent="0.2">
      <c r="B7" s="6" t="s">
        <v>2387</v>
      </c>
      <c r="C7" s="6">
        <v>1025</v>
      </c>
      <c r="D7" s="210">
        <v>43415</v>
      </c>
      <c r="E7" s="211"/>
      <c r="F7" s="212"/>
      <c r="G7" s="213">
        <v>35488</v>
      </c>
      <c r="H7" s="212"/>
      <c r="I7" s="212"/>
      <c r="J7" s="212"/>
    </row>
    <row r="8" spans="2:10" x14ac:dyDescent="0.2">
      <c r="B8" s="6" t="s">
        <v>2388</v>
      </c>
      <c r="C8" s="6">
        <v>1031</v>
      </c>
      <c r="D8" s="210">
        <v>43373</v>
      </c>
      <c r="E8" s="211"/>
      <c r="F8" s="212"/>
      <c r="G8" s="213">
        <v>2151</v>
      </c>
      <c r="H8" s="212"/>
      <c r="I8" s="212"/>
      <c r="J8" s="212"/>
    </row>
    <row r="9" spans="2:10" x14ac:dyDescent="0.2">
      <c r="B9" s="6" t="s">
        <v>2387</v>
      </c>
      <c r="C9" s="6">
        <v>1006</v>
      </c>
      <c r="D9" s="210">
        <v>43364</v>
      </c>
      <c r="E9" s="211"/>
      <c r="F9" s="212"/>
      <c r="G9" s="213">
        <v>898</v>
      </c>
      <c r="H9" s="212"/>
      <c r="I9" s="212"/>
      <c r="J9" s="212"/>
    </row>
    <row r="10" spans="2:10" x14ac:dyDescent="0.2">
      <c r="B10" s="6" t="s">
        <v>2387</v>
      </c>
      <c r="C10" s="6">
        <v>1035</v>
      </c>
      <c r="D10" s="210">
        <v>43487</v>
      </c>
      <c r="E10" s="211"/>
      <c r="F10" s="212"/>
      <c r="G10" s="213">
        <v>1021</v>
      </c>
      <c r="H10" s="212"/>
      <c r="I10" s="212"/>
      <c r="J10" s="212"/>
    </row>
    <row r="11" spans="2:10" x14ac:dyDescent="0.2">
      <c r="B11" s="6" t="s">
        <v>2386</v>
      </c>
      <c r="C11" s="6">
        <v>1002</v>
      </c>
      <c r="D11" s="210">
        <v>43543</v>
      </c>
      <c r="E11" s="211"/>
      <c r="F11" s="212"/>
      <c r="G11" s="213">
        <v>3558</v>
      </c>
      <c r="H11" s="212"/>
      <c r="I11" s="212"/>
      <c r="J11" s="212"/>
    </row>
    <row r="12" spans="2:10" x14ac:dyDescent="0.2">
      <c r="B12" s="6" t="s">
        <v>2385</v>
      </c>
      <c r="C12" s="6">
        <v>1008</v>
      </c>
      <c r="D12" s="210">
        <v>43441</v>
      </c>
      <c r="E12" s="211"/>
      <c r="F12" s="212"/>
      <c r="G12" s="213">
        <v>1177</v>
      </c>
      <c r="H12" s="212"/>
      <c r="I12" s="212"/>
      <c r="J12" s="212"/>
    </row>
    <row r="13" spans="2:10" x14ac:dyDescent="0.2">
      <c r="B13" s="6" t="s">
        <v>2384</v>
      </c>
      <c r="C13" s="6">
        <v>1045</v>
      </c>
      <c r="D13" s="210">
        <v>43548</v>
      </c>
      <c r="E13" s="211"/>
      <c r="F13" s="212"/>
      <c r="G13" s="213">
        <v>2500</v>
      </c>
      <c r="H13" s="212"/>
      <c r="I13" s="212"/>
      <c r="J13" s="212"/>
    </row>
    <row r="18" spans="2:9" ht="25.5" x14ac:dyDescent="0.2">
      <c r="B18" s="133" t="s">
        <v>7166</v>
      </c>
      <c r="C18" s="134"/>
      <c r="D18" s="135"/>
      <c r="E18" s="134"/>
      <c r="F18" s="134"/>
      <c r="G18" s="134"/>
      <c r="H18" s="134"/>
      <c r="I18" s="134"/>
    </row>
    <row r="19" spans="2:9" x14ac:dyDescent="0.2">
      <c r="B19"/>
      <c r="C19"/>
      <c r="D19" s="137"/>
      <c r="E19"/>
      <c r="F19"/>
      <c r="G19"/>
      <c r="H19"/>
      <c r="I19"/>
    </row>
    <row r="20" spans="2:9" ht="15" x14ac:dyDescent="0.25">
      <c r="B20" t="s">
        <v>2396</v>
      </c>
      <c r="C20" t="s">
        <v>7167</v>
      </c>
      <c r="D20" s="136" t="s">
        <v>2392</v>
      </c>
      <c r="E20" t="s">
        <v>7275</v>
      </c>
      <c r="F20"/>
      <c r="G20"/>
      <c r="H20" s="412" t="s">
        <v>7276</v>
      </c>
      <c r="I20" s="412"/>
    </row>
    <row r="21" spans="2:9" x14ac:dyDescent="0.2">
      <c r="B21" s="209">
        <v>41771</v>
      </c>
      <c r="C21" t="s">
        <v>7168</v>
      </c>
      <c r="D21" s="137">
        <v>36.79</v>
      </c>
      <c r="E21" t="b">
        <f t="shared" ref="E21:E84" si="0">ROUND(SUMIF($C$21:$C$260,C21,$D$21:$D$260),2) = 0</f>
        <v>0</v>
      </c>
      <c r="F21"/>
      <c r="G21"/>
      <c r="H21"/>
      <c r="I21"/>
    </row>
    <row r="22" spans="2:9" x14ac:dyDescent="0.2">
      <c r="B22" s="209">
        <v>41771</v>
      </c>
      <c r="C22" t="s">
        <v>7168</v>
      </c>
      <c r="D22" s="137">
        <v>5.66</v>
      </c>
      <c r="E22" t="b">
        <f t="shared" si="0"/>
        <v>0</v>
      </c>
      <c r="F22"/>
      <c r="G22"/>
      <c r="H22"/>
      <c r="I22"/>
    </row>
    <row r="23" spans="2:9" x14ac:dyDescent="0.2">
      <c r="B23" s="209">
        <v>41772</v>
      </c>
      <c r="C23" t="s">
        <v>7168</v>
      </c>
      <c r="D23" s="137">
        <v>-5.66</v>
      </c>
      <c r="E23" t="b">
        <f t="shared" si="0"/>
        <v>0</v>
      </c>
      <c r="F23"/>
      <c r="G23"/>
      <c r="H23"/>
      <c r="I23"/>
    </row>
    <row r="24" spans="2:9" x14ac:dyDescent="0.2">
      <c r="B24" s="209">
        <v>41771</v>
      </c>
      <c r="C24" t="s">
        <v>7169</v>
      </c>
      <c r="D24" s="137">
        <v>170.1</v>
      </c>
      <c r="E24" t="b">
        <f t="shared" si="0"/>
        <v>0</v>
      </c>
      <c r="F24"/>
      <c r="G24"/>
      <c r="H24"/>
      <c r="I24"/>
    </row>
    <row r="25" spans="2:9" x14ac:dyDescent="0.2">
      <c r="B25" s="209">
        <v>41771</v>
      </c>
      <c r="C25" t="s">
        <v>7170</v>
      </c>
      <c r="D25" s="137">
        <v>45.02</v>
      </c>
      <c r="E25" t="b">
        <f t="shared" si="0"/>
        <v>0</v>
      </c>
      <c r="F25"/>
      <c r="G25"/>
      <c r="H25"/>
      <c r="I25"/>
    </row>
    <row r="26" spans="2:9" x14ac:dyDescent="0.2">
      <c r="B26" s="209">
        <v>41771</v>
      </c>
      <c r="C26" t="s">
        <v>7171</v>
      </c>
      <c r="D26" s="137">
        <v>152.38</v>
      </c>
      <c r="E26" t="b">
        <f t="shared" si="0"/>
        <v>0</v>
      </c>
      <c r="F26"/>
      <c r="G26"/>
      <c r="H26"/>
      <c r="I26"/>
    </row>
    <row r="27" spans="2:9" x14ac:dyDescent="0.2">
      <c r="B27" s="209">
        <v>41771</v>
      </c>
      <c r="C27" t="s">
        <v>7172</v>
      </c>
      <c r="D27" s="137">
        <v>6723.51</v>
      </c>
      <c r="E27" t="b">
        <f t="shared" si="0"/>
        <v>0</v>
      </c>
      <c r="F27"/>
      <c r="G27"/>
      <c r="H27"/>
      <c r="I27"/>
    </row>
    <row r="28" spans="2:9" x14ac:dyDescent="0.2">
      <c r="B28" s="209">
        <v>41770</v>
      </c>
      <c r="C28" t="s">
        <v>7173</v>
      </c>
      <c r="D28" s="137">
        <v>61.44</v>
      </c>
      <c r="E28" t="b">
        <f t="shared" si="0"/>
        <v>0</v>
      </c>
      <c r="F28"/>
      <c r="G28"/>
      <c r="H28"/>
      <c r="I28"/>
    </row>
    <row r="29" spans="2:9" x14ac:dyDescent="0.2">
      <c r="B29" s="209">
        <v>41771</v>
      </c>
      <c r="C29" t="s">
        <v>7173</v>
      </c>
      <c r="D29" s="137">
        <v>66.3</v>
      </c>
      <c r="E29" t="b">
        <f t="shared" si="0"/>
        <v>0</v>
      </c>
      <c r="F29"/>
      <c r="G29"/>
      <c r="H29"/>
      <c r="I29"/>
    </row>
    <row r="30" spans="2:9" x14ac:dyDescent="0.2">
      <c r="B30" s="209">
        <v>41771</v>
      </c>
      <c r="C30" t="s">
        <v>7173</v>
      </c>
      <c r="D30" s="137">
        <v>545.36</v>
      </c>
      <c r="E30" t="b">
        <f t="shared" si="0"/>
        <v>0</v>
      </c>
      <c r="F30"/>
      <c r="G30"/>
      <c r="H30"/>
      <c r="I30"/>
    </row>
    <row r="31" spans="2:9" x14ac:dyDescent="0.2">
      <c r="B31" s="209">
        <v>41771</v>
      </c>
      <c r="C31" t="s">
        <v>7173</v>
      </c>
      <c r="D31" s="137">
        <v>-61.44</v>
      </c>
      <c r="E31" t="b">
        <f t="shared" si="0"/>
        <v>0</v>
      </c>
      <c r="F31"/>
      <c r="G31"/>
      <c r="H31"/>
      <c r="I31"/>
    </row>
    <row r="32" spans="2:9" x14ac:dyDescent="0.2">
      <c r="B32" s="209">
        <v>41770</v>
      </c>
      <c r="C32" t="s">
        <v>7174</v>
      </c>
      <c r="D32" s="137">
        <v>3289.83</v>
      </c>
      <c r="E32" t="b">
        <f t="shared" si="0"/>
        <v>0</v>
      </c>
      <c r="F32"/>
      <c r="G32"/>
      <c r="H32"/>
      <c r="I32"/>
    </row>
    <row r="33" spans="2:9" x14ac:dyDescent="0.2">
      <c r="B33" s="209">
        <v>41770</v>
      </c>
      <c r="C33" t="s">
        <v>7174</v>
      </c>
      <c r="D33" s="137">
        <v>2421.86</v>
      </c>
      <c r="E33" t="b">
        <f t="shared" si="0"/>
        <v>0</v>
      </c>
      <c r="F33"/>
      <c r="G33"/>
      <c r="H33"/>
      <c r="I33"/>
    </row>
    <row r="34" spans="2:9" x14ac:dyDescent="0.2">
      <c r="B34" s="209">
        <v>41770</v>
      </c>
      <c r="C34" t="s">
        <v>7175</v>
      </c>
      <c r="D34" s="137">
        <v>199.8</v>
      </c>
      <c r="E34" t="b">
        <f t="shared" si="0"/>
        <v>1</v>
      </c>
      <c r="F34"/>
      <c r="G34"/>
      <c r="H34"/>
      <c r="I34"/>
    </row>
    <row r="35" spans="2:9" x14ac:dyDescent="0.2">
      <c r="B35" s="209">
        <v>41770</v>
      </c>
      <c r="C35" t="s">
        <v>7175</v>
      </c>
      <c r="D35" s="137">
        <v>-199.8</v>
      </c>
      <c r="E35" t="b">
        <f t="shared" si="0"/>
        <v>1</v>
      </c>
      <c r="F35"/>
      <c r="G35"/>
      <c r="H35"/>
      <c r="I35"/>
    </row>
    <row r="36" spans="2:9" x14ac:dyDescent="0.2">
      <c r="B36" s="209">
        <v>41770</v>
      </c>
      <c r="C36" t="s">
        <v>7176</v>
      </c>
      <c r="D36" s="137">
        <v>63.34</v>
      </c>
      <c r="E36" t="b">
        <f t="shared" si="0"/>
        <v>0</v>
      </c>
      <c r="F36"/>
      <c r="G36"/>
      <c r="H36"/>
      <c r="I36"/>
    </row>
    <row r="37" spans="2:9" x14ac:dyDescent="0.2">
      <c r="B37" s="209">
        <v>41770</v>
      </c>
      <c r="C37" t="s">
        <v>7177</v>
      </c>
      <c r="D37" s="137">
        <v>4.8899999999999997</v>
      </c>
      <c r="E37" t="b">
        <f t="shared" si="0"/>
        <v>0</v>
      </c>
      <c r="F37"/>
      <c r="G37"/>
      <c r="H37"/>
      <c r="I37"/>
    </row>
    <row r="38" spans="2:9" x14ac:dyDescent="0.2">
      <c r="B38" s="209">
        <v>41770</v>
      </c>
      <c r="C38" t="s">
        <v>7177</v>
      </c>
      <c r="D38" s="137">
        <v>4.8899999999999997</v>
      </c>
      <c r="E38" t="b">
        <f t="shared" si="0"/>
        <v>0</v>
      </c>
      <c r="F38"/>
      <c r="G38"/>
      <c r="H38"/>
      <c r="I38"/>
    </row>
    <row r="39" spans="2:9" x14ac:dyDescent="0.2">
      <c r="B39" s="209">
        <v>41770</v>
      </c>
      <c r="C39" t="s">
        <v>7177</v>
      </c>
      <c r="D39" s="137">
        <v>-4.8899999999999997</v>
      </c>
      <c r="E39" t="b">
        <f t="shared" si="0"/>
        <v>0</v>
      </c>
      <c r="F39"/>
      <c r="G39"/>
      <c r="H39"/>
      <c r="I39"/>
    </row>
    <row r="40" spans="2:9" x14ac:dyDescent="0.2">
      <c r="B40" s="209">
        <v>41770</v>
      </c>
      <c r="C40" t="s">
        <v>7178</v>
      </c>
      <c r="D40" s="137">
        <v>72.12</v>
      </c>
      <c r="E40" t="b">
        <f t="shared" si="0"/>
        <v>1</v>
      </c>
      <c r="F40"/>
      <c r="G40"/>
      <c r="H40"/>
      <c r="I40"/>
    </row>
    <row r="41" spans="2:9" x14ac:dyDescent="0.2">
      <c r="B41" s="209">
        <v>41770</v>
      </c>
      <c r="C41" t="s">
        <v>7178</v>
      </c>
      <c r="D41" s="137">
        <v>-23.04</v>
      </c>
      <c r="E41" t="b">
        <f t="shared" si="0"/>
        <v>1</v>
      </c>
      <c r="F41"/>
      <c r="G41"/>
      <c r="H41"/>
      <c r="I41"/>
    </row>
    <row r="42" spans="2:9" x14ac:dyDescent="0.2">
      <c r="B42" s="209">
        <v>41770</v>
      </c>
      <c r="C42" t="s">
        <v>7178</v>
      </c>
      <c r="D42" s="137">
        <v>-16.36</v>
      </c>
      <c r="E42" t="b">
        <f t="shared" si="0"/>
        <v>1</v>
      </c>
      <c r="F42"/>
      <c r="G42"/>
      <c r="H42"/>
      <c r="I42"/>
    </row>
    <row r="43" spans="2:9" x14ac:dyDescent="0.2">
      <c r="B43" s="209">
        <v>41770</v>
      </c>
      <c r="C43" t="s">
        <v>7178</v>
      </c>
      <c r="D43" s="137">
        <v>-16.36</v>
      </c>
      <c r="E43" t="b">
        <f t="shared" si="0"/>
        <v>1</v>
      </c>
      <c r="F43"/>
      <c r="G43"/>
      <c r="H43"/>
      <c r="I43"/>
    </row>
    <row r="44" spans="2:9" x14ac:dyDescent="0.2">
      <c r="B44" s="209">
        <v>41770</v>
      </c>
      <c r="C44" t="s">
        <v>7178</v>
      </c>
      <c r="D44" s="137">
        <v>-16.36</v>
      </c>
      <c r="E44" t="b">
        <f t="shared" si="0"/>
        <v>1</v>
      </c>
      <c r="F44"/>
      <c r="G44"/>
      <c r="H44"/>
      <c r="I44"/>
    </row>
    <row r="45" spans="2:9" x14ac:dyDescent="0.2">
      <c r="B45" s="209">
        <v>41770</v>
      </c>
      <c r="C45" t="s">
        <v>7179</v>
      </c>
      <c r="D45" s="137">
        <v>13.54</v>
      </c>
      <c r="E45" t="b">
        <f t="shared" si="0"/>
        <v>0</v>
      </c>
      <c r="F45"/>
      <c r="G45"/>
      <c r="H45"/>
      <c r="I45"/>
    </row>
    <row r="46" spans="2:9" x14ac:dyDescent="0.2">
      <c r="B46" s="209">
        <v>41769</v>
      </c>
      <c r="C46" t="s">
        <v>7180</v>
      </c>
      <c r="D46" s="137">
        <v>22.13</v>
      </c>
      <c r="E46" t="b">
        <f t="shared" si="0"/>
        <v>0</v>
      </c>
      <c r="F46"/>
      <c r="G46"/>
      <c r="H46"/>
      <c r="I46"/>
    </row>
    <row r="47" spans="2:9" x14ac:dyDescent="0.2">
      <c r="B47" s="209">
        <v>41770</v>
      </c>
      <c r="C47" t="s">
        <v>7180</v>
      </c>
      <c r="D47" s="137">
        <v>-12.63</v>
      </c>
      <c r="E47" t="b">
        <f t="shared" si="0"/>
        <v>0</v>
      </c>
      <c r="F47"/>
      <c r="G47"/>
      <c r="H47"/>
      <c r="I47"/>
    </row>
    <row r="48" spans="2:9" x14ac:dyDescent="0.2">
      <c r="B48" s="209">
        <v>41769</v>
      </c>
      <c r="C48" t="s">
        <v>7181</v>
      </c>
      <c r="D48" s="137">
        <v>1116.3</v>
      </c>
      <c r="E48" t="b">
        <f t="shared" si="0"/>
        <v>0</v>
      </c>
      <c r="F48"/>
      <c r="G48"/>
      <c r="H48"/>
      <c r="I48"/>
    </row>
    <row r="49" spans="2:9" x14ac:dyDescent="0.2">
      <c r="B49" s="209">
        <v>41769</v>
      </c>
      <c r="C49" t="s">
        <v>7182</v>
      </c>
      <c r="D49" s="137">
        <v>118.27</v>
      </c>
      <c r="E49" t="b">
        <f t="shared" si="0"/>
        <v>0</v>
      </c>
      <c r="F49"/>
      <c r="G49"/>
      <c r="H49"/>
      <c r="I49"/>
    </row>
    <row r="50" spans="2:9" x14ac:dyDescent="0.2">
      <c r="B50" s="209">
        <v>41768</v>
      </c>
      <c r="C50" t="s">
        <v>7183</v>
      </c>
      <c r="D50" s="137">
        <v>69</v>
      </c>
      <c r="E50" t="b">
        <f t="shared" si="0"/>
        <v>0</v>
      </c>
      <c r="F50"/>
      <c r="G50"/>
      <c r="H50"/>
      <c r="I50"/>
    </row>
    <row r="51" spans="2:9" x14ac:dyDescent="0.2">
      <c r="B51" s="209">
        <v>41769</v>
      </c>
      <c r="C51" t="s">
        <v>7183</v>
      </c>
      <c r="D51" s="137">
        <v>-64</v>
      </c>
      <c r="E51" t="b">
        <f t="shared" si="0"/>
        <v>0</v>
      </c>
      <c r="F51"/>
      <c r="G51"/>
      <c r="H51"/>
      <c r="I51"/>
    </row>
    <row r="52" spans="2:9" x14ac:dyDescent="0.2">
      <c r="B52" s="209">
        <v>41768</v>
      </c>
      <c r="C52" t="s">
        <v>7184</v>
      </c>
      <c r="D52" s="137">
        <v>280</v>
      </c>
      <c r="E52" t="b">
        <f t="shared" si="0"/>
        <v>0</v>
      </c>
      <c r="F52"/>
      <c r="G52"/>
      <c r="H52"/>
      <c r="I52"/>
    </row>
    <row r="53" spans="2:9" x14ac:dyDescent="0.2">
      <c r="B53" s="209">
        <v>41768</v>
      </c>
      <c r="C53" t="s">
        <v>7185</v>
      </c>
      <c r="D53" s="137">
        <v>1637</v>
      </c>
      <c r="E53" t="b">
        <f t="shared" si="0"/>
        <v>0</v>
      </c>
      <c r="F53"/>
      <c r="G53"/>
      <c r="H53"/>
      <c r="I53"/>
    </row>
    <row r="54" spans="2:9" x14ac:dyDescent="0.2">
      <c r="B54" s="209">
        <v>41768</v>
      </c>
      <c r="C54" t="s">
        <v>7186</v>
      </c>
      <c r="D54" s="137">
        <v>32.5</v>
      </c>
      <c r="E54" t="b">
        <f t="shared" si="0"/>
        <v>0</v>
      </c>
      <c r="F54"/>
      <c r="G54"/>
      <c r="H54"/>
      <c r="I54"/>
    </row>
    <row r="55" spans="2:9" x14ac:dyDescent="0.2">
      <c r="B55" s="209">
        <v>41768</v>
      </c>
      <c r="C55" t="s">
        <v>7187</v>
      </c>
      <c r="D55" s="137">
        <v>226.56</v>
      </c>
      <c r="E55" t="b">
        <f t="shared" si="0"/>
        <v>0</v>
      </c>
      <c r="F55"/>
      <c r="G55"/>
      <c r="H55"/>
      <c r="I55"/>
    </row>
    <row r="56" spans="2:9" x14ac:dyDescent="0.2">
      <c r="B56" s="209">
        <v>41768</v>
      </c>
      <c r="C56" t="s">
        <v>7188</v>
      </c>
      <c r="D56" s="137">
        <v>2.77</v>
      </c>
      <c r="E56" t="b">
        <f t="shared" si="0"/>
        <v>0</v>
      </c>
      <c r="F56"/>
      <c r="G56"/>
      <c r="H56"/>
      <c r="I56"/>
    </row>
    <row r="57" spans="2:9" x14ac:dyDescent="0.2">
      <c r="B57" s="209">
        <v>41768</v>
      </c>
      <c r="C57" t="s">
        <v>7188</v>
      </c>
      <c r="D57" s="137">
        <v>2.77</v>
      </c>
      <c r="E57" t="b">
        <f t="shared" si="0"/>
        <v>0</v>
      </c>
      <c r="F57"/>
      <c r="G57"/>
      <c r="H57"/>
      <c r="I57"/>
    </row>
    <row r="58" spans="2:9" x14ac:dyDescent="0.2">
      <c r="B58" s="209">
        <v>41768</v>
      </c>
      <c r="C58" t="s">
        <v>7189</v>
      </c>
      <c r="D58" s="137">
        <v>89.95</v>
      </c>
      <c r="E58" t="b">
        <f t="shared" si="0"/>
        <v>0</v>
      </c>
      <c r="F58"/>
      <c r="G58"/>
      <c r="H58"/>
      <c r="I58"/>
    </row>
    <row r="59" spans="2:9" x14ac:dyDescent="0.2">
      <c r="B59" s="209">
        <v>41766</v>
      </c>
      <c r="C59" t="s">
        <v>7190</v>
      </c>
      <c r="D59" s="137">
        <v>14959.02</v>
      </c>
      <c r="E59" t="b">
        <f t="shared" si="0"/>
        <v>0</v>
      </c>
      <c r="F59"/>
      <c r="G59"/>
      <c r="H59"/>
      <c r="I59"/>
    </row>
    <row r="60" spans="2:9" x14ac:dyDescent="0.2">
      <c r="B60" s="209">
        <v>41767</v>
      </c>
      <c r="C60" t="s">
        <v>7190</v>
      </c>
      <c r="D60" s="137">
        <v>-66.239999999999995</v>
      </c>
      <c r="E60" t="b">
        <f t="shared" si="0"/>
        <v>0</v>
      </c>
      <c r="F60"/>
      <c r="G60"/>
      <c r="H60"/>
      <c r="I60"/>
    </row>
    <row r="61" spans="2:9" x14ac:dyDescent="0.2">
      <c r="B61" s="209">
        <v>41767</v>
      </c>
      <c r="C61" t="s">
        <v>7190</v>
      </c>
      <c r="D61" s="137">
        <v>-66.239999999999995</v>
      </c>
      <c r="E61" t="b">
        <f t="shared" si="0"/>
        <v>0</v>
      </c>
      <c r="F61"/>
      <c r="G61"/>
      <c r="H61"/>
      <c r="I61"/>
    </row>
    <row r="62" spans="2:9" x14ac:dyDescent="0.2">
      <c r="B62" s="209">
        <v>41767</v>
      </c>
      <c r="C62" t="s">
        <v>7190</v>
      </c>
      <c r="D62" s="137">
        <v>-66.239999999999995</v>
      </c>
      <c r="E62" t="b">
        <f t="shared" si="0"/>
        <v>0</v>
      </c>
      <c r="F62"/>
      <c r="G62"/>
      <c r="H62"/>
      <c r="I62"/>
    </row>
    <row r="63" spans="2:9" x14ac:dyDescent="0.2">
      <c r="B63" s="209">
        <v>41767</v>
      </c>
      <c r="C63" t="s">
        <v>7190</v>
      </c>
      <c r="D63" s="137">
        <v>-66.239999999999995</v>
      </c>
      <c r="E63" t="b">
        <f t="shared" si="0"/>
        <v>0</v>
      </c>
      <c r="F63"/>
      <c r="G63"/>
      <c r="H63"/>
      <c r="I63"/>
    </row>
    <row r="64" spans="2:9" x14ac:dyDescent="0.2">
      <c r="B64" s="209">
        <v>41767</v>
      </c>
      <c r="C64" t="s">
        <v>7190</v>
      </c>
      <c r="D64" s="137">
        <v>-66.239999999999995</v>
      </c>
      <c r="E64" t="b">
        <f t="shared" si="0"/>
        <v>0</v>
      </c>
      <c r="F64"/>
      <c r="G64"/>
      <c r="H64"/>
      <c r="I64"/>
    </row>
    <row r="65" spans="2:9" x14ac:dyDescent="0.2">
      <c r="B65" s="209">
        <v>41767</v>
      </c>
      <c r="C65" t="s">
        <v>7190</v>
      </c>
      <c r="D65" s="137">
        <v>-116.76</v>
      </c>
      <c r="E65" t="b">
        <f t="shared" si="0"/>
        <v>0</v>
      </c>
      <c r="F65"/>
      <c r="G65"/>
      <c r="H65"/>
      <c r="I65"/>
    </row>
    <row r="66" spans="2:9" x14ac:dyDescent="0.2">
      <c r="B66" s="209">
        <v>41768</v>
      </c>
      <c r="C66" t="s">
        <v>7190</v>
      </c>
      <c r="D66" s="137">
        <v>-116.76</v>
      </c>
      <c r="E66" t="b">
        <f t="shared" si="0"/>
        <v>0</v>
      </c>
      <c r="F66"/>
      <c r="G66"/>
      <c r="H66"/>
      <c r="I66"/>
    </row>
    <row r="67" spans="2:9" x14ac:dyDescent="0.2">
      <c r="B67" s="209">
        <v>41768</v>
      </c>
      <c r="C67" t="s">
        <v>7190</v>
      </c>
      <c r="D67" s="137">
        <v>-116.76</v>
      </c>
      <c r="E67" t="b">
        <f t="shared" si="0"/>
        <v>0</v>
      </c>
      <c r="F67"/>
      <c r="G67"/>
      <c r="H67"/>
      <c r="I67"/>
    </row>
    <row r="68" spans="2:9" x14ac:dyDescent="0.2">
      <c r="B68" s="209">
        <v>41768</v>
      </c>
      <c r="C68" t="s">
        <v>7190</v>
      </c>
      <c r="D68" s="137">
        <v>-120.13</v>
      </c>
      <c r="E68" t="b">
        <f t="shared" si="0"/>
        <v>0</v>
      </c>
      <c r="F68"/>
      <c r="G68"/>
      <c r="H68"/>
      <c r="I68"/>
    </row>
    <row r="69" spans="2:9" x14ac:dyDescent="0.2">
      <c r="B69" s="209">
        <v>41766</v>
      </c>
      <c r="C69" t="s">
        <v>7191</v>
      </c>
      <c r="D69" s="137">
        <v>48.38</v>
      </c>
      <c r="E69" t="b">
        <f t="shared" si="0"/>
        <v>0</v>
      </c>
      <c r="F69"/>
      <c r="G69"/>
      <c r="H69"/>
      <c r="I69"/>
    </row>
    <row r="70" spans="2:9" x14ac:dyDescent="0.2">
      <c r="B70" s="209">
        <v>41766</v>
      </c>
      <c r="C70" t="s">
        <v>7192</v>
      </c>
      <c r="D70" s="137">
        <v>26.5</v>
      </c>
      <c r="E70" t="b">
        <f t="shared" si="0"/>
        <v>0</v>
      </c>
      <c r="F70"/>
      <c r="G70"/>
      <c r="H70"/>
      <c r="I70"/>
    </row>
    <row r="71" spans="2:9" x14ac:dyDescent="0.2">
      <c r="B71" s="209">
        <v>41766</v>
      </c>
      <c r="C71" t="s">
        <v>7193</v>
      </c>
      <c r="D71" s="137">
        <v>19.2</v>
      </c>
      <c r="E71" t="b">
        <f t="shared" si="0"/>
        <v>0</v>
      </c>
      <c r="F71"/>
      <c r="G71"/>
      <c r="H71"/>
      <c r="I71"/>
    </row>
    <row r="72" spans="2:9" x14ac:dyDescent="0.2">
      <c r="B72" s="209">
        <v>41765</v>
      </c>
      <c r="C72" t="s">
        <v>7194</v>
      </c>
      <c r="D72" s="137">
        <v>38.619999999999997</v>
      </c>
      <c r="E72" t="b">
        <f t="shared" si="0"/>
        <v>0</v>
      </c>
      <c r="F72"/>
      <c r="G72"/>
      <c r="H72"/>
      <c r="I72"/>
    </row>
    <row r="73" spans="2:9" x14ac:dyDescent="0.2">
      <c r="B73" s="209">
        <v>41765</v>
      </c>
      <c r="C73" t="s">
        <v>7194</v>
      </c>
      <c r="D73" s="137">
        <v>2.2999999999999998</v>
      </c>
      <c r="E73" t="b">
        <f t="shared" si="0"/>
        <v>0</v>
      </c>
      <c r="F73"/>
      <c r="G73"/>
      <c r="H73"/>
      <c r="I73"/>
    </row>
    <row r="74" spans="2:9" x14ac:dyDescent="0.2">
      <c r="B74" s="209">
        <v>41765</v>
      </c>
      <c r="C74" t="s">
        <v>7195</v>
      </c>
      <c r="D74" s="137">
        <v>48.38</v>
      </c>
      <c r="E74" t="b">
        <f t="shared" si="0"/>
        <v>0</v>
      </c>
      <c r="F74"/>
      <c r="G74"/>
      <c r="H74"/>
      <c r="I74"/>
    </row>
    <row r="75" spans="2:9" x14ac:dyDescent="0.2">
      <c r="B75" s="209">
        <v>41765</v>
      </c>
      <c r="C75" t="s">
        <v>7196</v>
      </c>
      <c r="D75" s="137">
        <v>51.4</v>
      </c>
      <c r="E75" t="b">
        <f t="shared" si="0"/>
        <v>0</v>
      </c>
      <c r="F75"/>
      <c r="G75"/>
      <c r="H75"/>
      <c r="I75"/>
    </row>
    <row r="76" spans="2:9" x14ac:dyDescent="0.2">
      <c r="B76" s="209">
        <v>41765</v>
      </c>
      <c r="C76" t="s">
        <v>7197</v>
      </c>
      <c r="D76" s="137">
        <v>14.4</v>
      </c>
      <c r="E76" t="b">
        <f t="shared" si="0"/>
        <v>0</v>
      </c>
      <c r="F76"/>
      <c r="G76"/>
      <c r="H76"/>
      <c r="I76"/>
    </row>
    <row r="77" spans="2:9" x14ac:dyDescent="0.2">
      <c r="B77" s="209">
        <v>41764</v>
      </c>
      <c r="C77" t="s">
        <v>7198</v>
      </c>
      <c r="D77" s="137">
        <v>100.9</v>
      </c>
      <c r="E77" t="b">
        <f t="shared" si="0"/>
        <v>1</v>
      </c>
      <c r="F77"/>
      <c r="G77"/>
      <c r="H77"/>
      <c r="I77"/>
    </row>
    <row r="78" spans="2:9" x14ac:dyDescent="0.2">
      <c r="B78" s="209">
        <v>41764</v>
      </c>
      <c r="C78" t="s">
        <v>7198</v>
      </c>
      <c r="D78" s="137">
        <v>-23.5</v>
      </c>
      <c r="E78" t="b">
        <f t="shared" si="0"/>
        <v>1</v>
      </c>
      <c r="F78"/>
      <c r="G78"/>
      <c r="H78"/>
      <c r="I78"/>
    </row>
    <row r="79" spans="2:9" x14ac:dyDescent="0.2">
      <c r="B79" s="209">
        <v>41765</v>
      </c>
      <c r="C79" t="s">
        <v>7198</v>
      </c>
      <c r="D79" s="137">
        <v>-24.5</v>
      </c>
      <c r="E79" t="b">
        <f t="shared" si="0"/>
        <v>1</v>
      </c>
      <c r="F79"/>
      <c r="G79"/>
      <c r="H79"/>
      <c r="I79"/>
    </row>
    <row r="80" spans="2:9" x14ac:dyDescent="0.2">
      <c r="B80" s="209">
        <v>41765</v>
      </c>
      <c r="C80" t="s">
        <v>7198</v>
      </c>
      <c r="D80" s="137">
        <v>-52.9</v>
      </c>
      <c r="E80" t="b">
        <f t="shared" si="0"/>
        <v>1</v>
      </c>
      <c r="F80"/>
      <c r="G80"/>
      <c r="H80"/>
      <c r="I80"/>
    </row>
    <row r="81" spans="2:9" x14ac:dyDescent="0.2">
      <c r="B81" s="209">
        <v>41763</v>
      </c>
      <c r="C81" t="s">
        <v>7199</v>
      </c>
      <c r="D81" s="137">
        <v>388.8</v>
      </c>
      <c r="E81" t="b">
        <f t="shared" si="0"/>
        <v>0</v>
      </c>
      <c r="F81"/>
      <c r="G81"/>
      <c r="H81"/>
      <c r="I81"/>
    </row>
    <row r="82" spans="2:9" x14ac:dyDescent="0.2">
      <c r="B82" s="209">
        <v>41763</v>
      </c>
      <c r="C82" t="s">
        <v>7200</v>
      </c>
      <c r="D82" s="137">
        <v>389.48</v>
      </c>
      <c r="E82" t="b">
        <f t="shared" si="0"/>
        <v>0</v>
      </c>
      <c r="F82"/>
      <c r="G82"/>
      <c r="H82"/>
      <c r="I82"/>
    </row>
    <row r="83" spans="2:9" x14ac:dyDescent="0.2">
      <c r="B83" s="209">
        <v>41763</v>
      </c>
      <c r="C83" t="s">
        <v>7201</v>
      </c>
      <c r="D83" s="137">
        <v>22.32</v>
      </c>
      <c r="E83" t="b">
        <f t="shared" si="0"/>
        <v>0</v>
      </c>
      <c r="F83"/>
      <c r="G83"/>
      <c r="H83"/>
      <c r="I83"/>
    </row>
    <row r="84" spans="2:9" x14ac:dyDescent="0.2">
      <c r="B84" s="209">
        <v>41762</v>
      </c>
      <c r="C84" t="s">
        <v>7202</v>
      </c>
      <c r="D84" s="137">
        <v>60.25</v>
      </c>
      <c r="E84" t="b">
        <f t="shared" si="0"/>
        <v>0</v>
      </c>
      <c r="F84"/>
      <c r="G84"/>
      <c r="H84"/>
      <c r="I84"/>
    </row>
    <row r="85" spans="2:9" x14ac:dyDescent="0.2">
      <c r="B85" s="209">
        <v>41762</v>
      </c>
      <c r="C85" t="s">
        <v>7203</v>
      </c>
      <c r="D85" s="137">
        <v>115</v>
      </c>
      <c r="E85" t="b">
        <f t="shared" ref="E85:E148" si="1">ROUND(SUMIF($C$21:$C$260,C85,$D$21:$D$260),2) = 0</f>
        <v>1</v>
      </c>
      <c r="F85"/>
      <c r="G85"/>
      <c r="H85"/>
      <c r="I85"/>
    </row>
    <row r="86" spans="2:9" x14ac:dyDescent="0.2">
      <c r="B86" s="209">
        <v>41762</v>
      </c>
      <c r="C86" t="s">
        <v>7203</v>
      </c>
      <c r="D86" s="137">
        <v>-115</v>
      </c>
      <c r="E86" t="b">
        <f t="shared" si="1"/>
        <v>1</v>
      </c>
      <c r="F86"/>
      <c r="G86"/>
      <c r="H86"/>
      <c r="I86"/>
    </row>
    <row r="87" spans="2:9" x14ac:dyDescent="0.2">
      <c r="B87" s="209">
        <v>41762</v>
      </c>
      <c r="C87" t="s">
        <v>7204</v>
      </c>
      <c r="D87" s="137">
        <v>220.47</v>
      </c>
      <c r="E87" t="b">
        <f t="shared" si="1"/>
        <v>0</v>
      </c>
      <c r="F87"/>
      <c r="G87"/>
      <c r="H87"/>
      <c r="I87"/>
    </row>
    <row r="88" spans="2:9" x14ac:dyDescent="0.2">
      <c r="B88" s="209">
        <v>41761</v>
      </c>
      <c r="C88" t="s">
        <v>7205</v>
      </c>
      <c r="D88" s="137">
        <v>3.83</v>
      </c>
      <c r="E88" t="b">
        <f t="shared" si="1"/>
        <v>0</v>
      </c>
      <c r="F88"/>
      <c r="G88"/>
      <c r="H88"/>
      <c r="I88"/>
    </row>
    <row r="89" spans="2:9" x14ac:dyDescent="0.2">
      <c r="B89" s="209">
        <v>41760</v>
      </c>
      <c r="C89" t="s">
        <v>7206</v>
      </c>
      <c r="D89" s="137">
        <v>88.66</v>
      </c>
      <c r="E89" t="b">
        <f t="shared" si="1"/>
        <v>0</v>
      </c>
      <c r="F89"/>
      <c r="G89"/>
      <c r="H89"/>
      <c r="I89"/>
    </row>
    <row r="90" spans="2:9" x14ac:dyDescent="0.2">
      <c r="B90" s="209">
        <v>41761</v>
      </c>
      <c r="C90" t="s">
        <v>7206</v>
      </c>
      <c r="D90" s="137">
        <v>14.29</v>
      </c>
      <c r="E90" t="b">
        <f t="shared" si="1"/>
        <v>0</v>
      </c>
      <c r="F90"/>
      <c r="G90"/>
      <c r="H90"/>
      <c r="I90"/>
    </row>
    <row r="91" spans="2:9" x14ac:dyDescent="0.2">
      <c r="B91" s="209">
        <v>41760</v>
      </c>
      <c r="C91" t="s">
        <v>7207</v>
      </c>
      <c r="D91" s="137">
        <v>12.37</v>
      </c>
      <c r="E91" t="b">
        <f t="shared" si="1"/>
        <v>0</v>
      </c>
      <c r="F91"/>
      <c r="G91"/>
      <c r="H91"/>
      <c r="I91"/>
    </row>
    <row r="92" spans="2:9" x14ac:dyDescent="0.2">
      <c r="B92" s="209">
        <v>41759</v>
      </c>
      <c r="C92" t="s">
        <v>7208</v>
      </c>
      <c r="D92" s="137">
        <v>38013</v>
      </c>
      <c r="E92" t="b">
        <f t="shared" si="1"/>
        <v>1</v>
      </c>
      <c r="F92"/>
      <c r="G92"/>
      <c r="H92"/>
      <c r="I92"/>
    </row>
    <row r="93" spans="2:9" x14ac:dyDescent="0.2">
      <c r="B93" s="209">
        <v>41759</v>
      </c>
      <c r="C93" t="s">
        <v>7208</v>
      </c>
      <c r="D93" s="137">
        <v>-38013</v>
      </c>
      <c r="E93" t="b">
        <f t="shared" si="1"/>
        <v>1</v>
      </c>
      <c r="F93"/>
      <c r="G93"/>
      <c r="H93"/>
      <c r="I93"/>
    </row>
    <row r="94" spans="2:9" x14ac:dyDescent="0.2">
      <c r="B94" s="209">
        <v>41759</v>
      </c>
      <c r="C94" t="s">
        <v>7209</v>
      </c>
      <c r="D94" s="137">
        <v>5210.28</v>
      </c>
      <c r="E94" t="b">
        <f t="shared" si="1"/>
        <v>0</v>
      </c>
      <c r="F94"/>
      <c r="G94"/>
      <c r="H94"/>
      <c r="I94"/>
    </row>
    <row r="95" spans="2:9" x14ac:dyDescent="0.2">
      <c r="B95" s="209">
        <v>41758</v>
      </c>
      <c r="C95" t="s">
        <v>7210</v>
      </c>
      <c r="D95" s="137">
        <v>1100.68</v>
      </c>
      <c r="E95" t="b">
        <f t="shared" si="1"/>
        <v>0</v>
      </c>
      <c r="F95"/>
      <c r="G95"/>
      <c r="H95"/>
      <c r="I95"/>
    </row>
    <row r="96" spans="2:9" x14ac:dyDescent="0.2">
      <c r="B96" s="209">
        <v>41759</v>
      </c>
      <c r="C96" t="s">
        <v>7210</v>
      </c>
      <c r="D96" s="137">
        <v>712.8</v>
      </c>
      <c r="E96" t="b">
        <f t="shared" si="1"/>
        <v>0</v>
      </c>
      <c r="F96"/>
      <c r="G96"/>
      <c r="H96"/>
      <c r="I96"/>
    </row>
    <row r="97" spans="2:9" x14ac:dyDescent="0.2">
      <c r="B97" s="209">
        <v>41758</v>
      </c>
      <c r="C97" t="s">
        <v>7211</v>
      </c>
      <c r="D97" s="137">
        <v>1560.66</v>
      </c>
      <c r="E97" t="b">
        <f t="shared" si="1"/>
        <v>0</v>
      </c>
      <c r="F97"/>
      <c r="G97"/>
      <c r="H97"/>
      <c r="I97"/>
    </row>
    <row r="98" spans="2:9" x14ac:dyDescent="0.2">
      <c r="B98" s="209">
        <v>41758</v>
      </c>
      <c r="C98" t="s">
        <v>7212</v>
      </c>
      <c r="D98" s="137">
        <v>2022.44</v>
      </c>
      <c r="E98" t="b">
        <f t="shared" si="1"/>
        <v>0</v>
      </c>
      <c r="F98"/>
      <c r="G98"/>
      <c r="H98"/>
      <c r="I98"/>
    </row>
    <row r="99" spans="2:9" x14ac:dyDescent="0.2">
      <c r="B99" s="209">
        <v>41757</v>
      </c>
      <c r="C99" t="s">
        <v>7213</v>
      </c>
      <c r="D99" s="137">
        <v>72.52</v>
      </c>
      <c r="E99" t="b">
        <f t="shared" si="1"/>
        <v>0</v>
      </c>
      <c r="F99"/>
      <c r="G99"/>
      <c r="H99"/>
      <c r="I99"/>
    </row>
    <row r="100" spans="2:9" x14ac:dyDescent="0.2">
      <c r="B100" s="209">
        <v>41757</v>
      </c>
      <c r="C100" t="s">
        <v>7214</v>
      </c>
      <c r="D100" s="137">
        <v>408.24</v>
      </c>
      <c r="E100" t="b">
        <f t="shared" si="1"/>
        <v>0</v>
      </c>
      <c r="F100"/>
      <c r="G100"/>
      <c r="H100"/>
      <c r="I100"/>
    </row>
    <row r="101" spans="2:9" x14ac:dyDescent="0.2">
      <c r="B101" s="209">
        <v>41757</v>
      </c>
      <c r="C101" t="s">
        <v>7215</v>
      </c>
      <c r="D101" s="137">
        <v>85.56</v>
      </c>
      <c r="E101" t="b">
        <f t="shared" si="1"/>
        <v>0</v>
      </c>
      <c r="F101"/>
      <c r="G101"/>
      <c r="H101"/>
      <c r="I101"/>
    </row>
    <row r="102" spans="2:9" x14ac:dyDescent="0.2">
      <c r="B102" s="209">
        <v>41757</v>
      </c>
      <c r="C102" t="s">
        <v>7215</v>
      </c>
      <c r="D102" s="137">
        <v>2.4</v>
      </c>
      <c r="E102" t="b">
        <f t="shared" si="1"/>
        <v>0</v>
      </c>
      <c r="F102"/>
      <c r="G102"/>
      <c r="H102"/>
      <c r="I102"/>
    </row>
    <row r="103" spans="2:9" x14ac:dyDescent="0.2">
      <c r="B103" s="209">
        <v>41757</v>
      </c>
      <c r="C103" t="s">
        <v>7216</v>
      </c>
      <c r="D103" s="137">
        <v>40.020000000000003</v>
      </c>
      <c r="E103" t="b">
        <f t="shared" si="1"/>
        <v>0</v>
      </c>
      <c r="F103"/>
      <c r="G103"/>
      <c r="H103"/>
      <c r="I103"/>
    </row>
    <row r="104" spans="2:9" x14ac:dyDescent="0.2">
      <c r="B104" s="209">
        <v>41757</v>
      </c>
      <c r="C104" t="s">
        <v>7216</v>
      </c>
      <c r="D104" s="137">
        <v>216.5</v>
      </c>
      <c r="E104" t="b">
        <f t="shared" si="1"/>
        <v>0</v>
      </c>
      <c r="F104"/>
      <c r="G104"/>
      <c r="H104"/>
      <c r="I104"/>
    </row>
    <row r="105" spans="2:9" x14ac:dyDescent="0.2">
      <c r="B105" s="209">
        <v>41757</v>
      </c>
      <c r="C105" t="s">
        <v>7216</v>
      </c>
      <c r="D105" s="137">
        <v>-216.5</v>
      </c>
      <c r="E105" t="b">
        <f t="shared" si="1"/>
        <v>0</v>
      </c>
      <c r="F105"/>
      <c r="G105"/>
      <c r="H105"/>
      <c r="I105"/>
    </row>
    <row r="106" spans="2:9" x14ac:dyDescent="0.2">
      <c r="B106" s="209">
        <v>41757</v>
      </c>
      <c r="C106" t="s">
        <v>7217</v>
      </c>
      <c r="D106" s="137">
        <v>59</v>
      </c>
      <c r="E106" t="b">
        <f t="shared" si="1"/>
        <v>0</v>
      </c>
      <c r="F106"/>
      <c r="G106"/>
      <c r="H106"/>
      <c r="I106"/>
    </row>
    <row r="107" spans="2:9" x14ac:dyDescent="0.2">
      <c r="B107" s="209">
        <v>41756</v>
      </c>
      <c r="C107" t="s">
        <v>7218</v>
      </c>
      <c r="D107" s="137">
        <v>183</v>
      </c>
      <c r="E107" t="b">
        <f t="shared" si="1"/>
        <v>1</v>
      </c>
      <c r="F107"/>
      <c r="G107"/>
      <c r="H107"/>
      <c r="I107"/>
    </row>
    <row r="108" spans="2:9" x14ac:dyDescent="0.2">
      <c r="B108" s="209">
        <v>41756</v>
      </c>
      <c r="C108" t="s">
        <v>7218</v>
      </c>
      <c r="D108" s="137">
        <v>-84</v>
      </c>
      <c r="E108" t="b">
        <f t="shared" si="1"/>
        <v>1</v>
      </c>
      <c r="F108"/>
      <c r="G108"/>
      <c r="H108"/>
      <c r="I108"/>
    </row>
    <row r="109" spans="2:9" x14ac:dyDescent="0.2">
      <c r="B109" s="209">
        <v>41757</v>
      </c>
      <c r="C109" t="s">
        <v>7218</v>
      </c>
      <c r="D109" s="137">
        <v>-99</v>
      </c>
      <c r="E109" t="b">
        <f t="shared" si="1"/>
        <v>1</v>
      </c>
      <c r="F109"/>
      <c r="G109"/>
      <c r="H109"/>
      <c r="I109"/>
    </row>
    <row r="110" spans="2:9" x14ac:dyDescent="0.2">
      <c r="B110" s="209">
        <v>41756</v>
      </c>
      <c r="C110" t="s">
        <v>7219</v>
      </c>
      <c r="D110" s="137">
        <v>124.3</v>
      </c>
      <c r="E110" t="b">
        <f t="shared" si="1"/>
        <v>0</v>
      </c>
      <c r="F110"/>
      <c r="G110"/>
      <c r="H110"/>
      <c r="I110"/>
    </row>
    <row r="111" spans="2:9" x14ac:dyDescent="0.2">
      <c r="B111" s="209">
        <v>41756</v>
      </c>
      <c r="C111" t="s">
        <v>7220</v>
      </c>
      <c r="D111" s="137">
        <v>729.1</v>
      </c>
      <c r="E111" t="b">
        <f t="shared" si="1"/>
        <v>0</v>
      </c>
      <c r="F111"/>
      <c r="G111"/>
      <c r="H111"/>
      <c r="I111"/>
    </row>
    <row r="112" spans="2:9" x14ac:dyDescent="0.2">
      <c r="B112" s="209">
        <v>41755</v>
      </c>
      <c r="C112" t="s">
        <v>7221</v>
      </c>
      <c r="D112" s="137">
        <v>15.48</v>
      </c>
      <c r="E112" t="b">
        <f t="shared" si="1"/>
        <v>0</v>
      </c>
      <c r="F112"/>
      <c r="G112"/>
      <c r="H112"/>
      <c r="I112"/>
    </row>
    <row r="113" spans="2:9" x14ac:dyDescent="0.2">
      <c r="B113" s="209">
        <v>41756</v>
      </c>
      <c r="C113" t="s">
        <v>7221</v>
      </c>
      <c r="D113" s="137">
        <v>78</v>
      </c>
      <c r="E113" t="b">
        <f t="shared" si="1"/>
        <v>0</v>
      </c>
      <c r="F113"/>
      <c r="G113"/>
      <c r="H113"/>
      <c r="I113"/>
    </row>
    <row r="114" spans="2:9" x14ac:dyDescent="0.2">
      <c r="B114" s="209">
        <v>41756</v>
      </c>
      <c r="C114" t="s">
        <v>7221</v>
      </c>
      <c r="D114" s="137">
        <v>-78</v>
      </c>
      <c r="E114" t="b">
        <f t="shared" si="1"/>
        <v>0</v>
      </c>
      <c r="F114"/>
      <c r="G114"/>
      <c r="H114"/>
      <c r="I114"/>
    </row>
    <row r="115" spans="2:9" x14ac:dyDescent="0.2">
      <c r="B115" s="209">
        <v>41755</v>
      </c>
      <c r="C115" t="s">
        <v>7222</v>
      </c>
      <c r="D115" s="137">
        <v>83.16</v>
      </c>
      <c r="E115" t="b">
        <f t="shared" si="1"/>
        <v>0</v>
      </c>
      <c r="F115"/>
      <c r="G115"/>
      <c r="H115"/>
      <c r="I115"/>
    </row>
    <row r="116" spans="2:9" x14ac:dyDescent="0.2">
      <c r="B116" s="209">
        <v>41754</v>
      </c>
      <c r="C116" t="s">
        <v>7223</v>
      </c>
      <c r="D116" s="137">
        <v>359.25</v>
      </c>
      <c r="E116" t="b">
        <f t="shared" si="1"/>
        <v>0</v>
      </c>
      <c r="F116"/>
      <c r="G116"/>
      <c r="H116"/>
      <c r="I116"/>
    </row>
    <row r="117" spans="2:9" x14ac:dyDescent="0.2">
      <c r="B117" s="209">
        <v>41754</v>
      </c>
      <c r="C117" t="s">
        <v>7224</v>
      </c>
      <c r="D117" s="137">
        <v>248.4</v>
      </c>
      <c r="E117" t="b">
        <f t="shared" si="1"/>
        <v>0</v>
      </c>
      <c r="F117"/>
      <c r="G117"/>
      <c r="H117"/>
      <c r="I117"/>
    </row>
    <row r="118" spans="2:9" x14ac:dyDescent="0.2">
      <c r="B118" s="209">
        <v>41754</v>
      </c>
      <c r="C118" t="s">
        <v>7225</v>
      </c>
      <c r="D118" s="137">
        <v>50.11</v>
      </c>
      <c r="E118" t="b">
        <f t="shared" si="1"/>
        <v>0</v>
      </c>
      <c r="F118"/>
      <c r="G118"/>
      <c r="H118"/>
      <c r="I118"/>
    </row>
    <row r="119" spans="2:9" x14ac:dyDescent="0.2">
      <c r="B119" s="209">
        <v>41754</v>
      </c>
      <c r="C119" t="s">
        <v>7226</v>
      </c>
      <c r="D119" s="137">
        <v>162.80000000000001</v>
      </c>
      <c r="E119" t="b">
        <f t="shared" si="1"/>
        <v>0</v>
      </c>
      <c r="F119"/>
      <c r="G119"/>
      <c r="H119"/>
      <c r="I119"/>
    </row>
    <row r="120" spans="2:9" x14ac:dyDescent="0.2">
      <c r="B120" s="209">
        <v>41753</v>
      </c>
      <c r="C120" t="s">
        <v>7227</v>
      </c>
      <c r="D120" s="137">
        <v>116.5</v>
      </c>
      <c r="E120" t="b">
        <f t="shared" si="1"/>
        <v>0</v>
      </c>
      <c r="F120"/>
      <c r="G120"/>
      <c r="H120"/>
      <c r="I120"/>
    </row>
    <row r="121" spans="2:9" x14ac:dyDescent="0.2">
      <c r="B121" s="209">
        <v>41754</v>
      </c>
      <c r="C121" t="s">
        <v>7227</v>
      </c>
      <c r="D121" s="137">
        <v>5.59</v>
      </c>
      <c r="E121" t="b">
        <f t="shared" si="1"/>
        <v>0</v>
      </c>
      <c r="F121"/>
      <c r="G121"/>
      <c r="H121"/>
      <c r="I121"/>
    </row>
    <row r="122" spans="2:9" x14ac:dyDescent="0.2">
      <c r="B122" s="209">
        <v>41753</v>
      </c>
      <c r="C122" t="s">
        <v>7228</v>
      </c>
      <c r="D122" s="137">
        <v>13.22</v>
      </c>
      <c r="E122" t="b">
        <f t="shared" si="1"/>
        <v>0</v>
      </c>
      <c r="F122"/>
      <c r="G122"/>
      <c r="H122"/>
      <c r="I122"/>
    </row>
    <row r="123" spans="2:9" x14ac:dyDescent="0.2">
      <c r="B123" s="209">
        <v>41753</v>
      </c>
      <c r="C123" t="s">
        <v>7229</v>
      </c>
      <c r="D123" s="137">
        <v>851.88</v>
      </c>
      <c r="E123" t="b">
        <f t="shared" si="1"/>
        <v>0</v>
      </c>
      <c r="F123"/>
      <c r="G123"/>
      <c r="H123"/>
      <c r="I123"/>
    </row>
    <row r="124" spans="2:9" x14ac:dyDescent="0.2">
      <c r="B124" s="209">
        <v>41753</v>
      </c>
      <c r="C124" t="s">
        <v>7230</v>
      </c>
      <c r="D124" s="137">
        <v>4117.0200000000004</v>
      </c>
      <c r="E124" t="b">
        <f t="shared" si="1"/>
        <v>0</v>
      </c>
      <c r="F124"/>
      <c r="G124"/>
      <c r="H124"/>
      <c r="I124"/>
    </row>
    <row r="125" spans="2:9" x14ac:dyDescent="0.2">
      <c r="B125" s="209">
        <v>41753</v>
      </c>
      <c r="C125" t="s">
        <v>7231</v>
      </c>
      <c r="D125" s="137">
        <v>39.11</v>
      </c>
      <c r="E125" t="b">
        <f t="shared" si="1"/>
        <v>0</v>
      </c>
      <c r="F125"/>
      <c r="G125"/>
      <c r="H125"/>
      <c r="I125"/>
    </row>
    <row r="126" spans="2:9" x14ac:dyDescent="0.2">
      <c r="B126" s="209">
        <v>41753</v>
      </c>
      <c r="C126" t="s">
        <v>7231</v>
      </c>
      <c r="D126" s="137">
        <v>2.5499999999999998</v>
      </c>
      <c r="E126" t="b">
        <f t="shared" si="1"/>
        <v>0</v>
      </c>
      <c r="F126"/>
      <c r="G126"/>
      <c r="H126"/>
      <c r="I126"/>
    </row>
    <row r="127" spans="2:9" x14ac:dyDescent="0.2">
      <c r="B127" s="209">
        <v>41753</v>
      </c>
      <c r="C127" t="s">
        <v>7232</v>
      </c>
      <c r="D127" s="137">
        <v>1055.81</v>
      </c>
      <c r="E127" t="b">
        <f t="shared" si="1"/>
        <v>0</v>
      </c>
      <c r="F127"/>
      <c r="G127"/>
      <c r="H127"/>
      <c r="I127"/>
    </row>
    <row r="128" spans="2:9" x14ac:dyDescent="0.2">
      <c r="B128" s="209">
        <v>41752</v>
      </c>
      <c r="C128" t="s">
        <v>7233</v>
      </c>
      <c r="D128" s="137">
        <v>1728.84</v>
      </c>
      <c r="E128" t="b">
        <f t="shared" si="1"/>
        <v>1</v>
      </c>
      <c r="F128"/>
      <c r="G128"/>
      <c r="H128"/>
      <c r="I128"/>
    </row>
    <row r="129" spans="2:9" x14ac:dyDescent="0.2">
      <c r="B129" s="209">
        <v>41752</v>
      </c>
      <c r="C129" t="s">
        <v>7233</v>
      </c>
      <c r="D129" s="137">
        <v>-664</v>
      </c>
      <c r="E129" t="b">
        <f t="shared" si="1"/>
        <v>1</v>
      </c>
      <c r="F129"/>
      <c r="G129"/>
      <c r="H129"/>
      <c r="I129"/>
    </row>
    <row r="130" spans="2:9" x14ac:dyDescent="0.2">
      <c r="B130" s="209">
        <v>41752</v>
      </c>
      <c r="C130" t="s">
        <v>7233</v>
      </c>
      <c r="D130" s="137">
        <v>-431.04</v>
      </c>
      <c r="E130" t="b">
        <f t="shared" si="1"/>
        <v>1</v>
      </c>
      <c r="F130"/>
      <c r="G130"/>
      <c r="H130"/>
      <c r="I130"/>
    </row>
    <row r="131" spans="2:9" x14ac:dyDescent="0.2">
      <c r="B131" s="209">
        <v>41752</v>
      </c>
      <c r="C131" t="s">
        <v>7233</v>
      </c>
      <c r="D131" s="137">
        <v>-212.48</v>
      </c>
      <c r="E131" t="b">
        <f t="shared" si="1"/>
        <v>1</v>
      </c>
      <c r="F131"/>
      <c r="G131"/>
      <c r="H131"/>
      <c r="I131"/>
    </row>
    <row r="132" spans="2:9" x14ac:dyDescent="0.2">
      <c r="B132" s="209">
        <v>41753</v>
      </c>
      <c r="C132" t="s">
        <v>7233</v>
      </c>
      <c r="D132" s="137">
        <v>-286.72000000000003</v>
      </c>
      <c r="E132" t="b">
        <f t="shared" si="1"/>
        <v>1</v>
      </c>
      <c r="F132"/>
      <c r="G132"/>
      <c r="H132"/>
      <c r="I132"/>
    </row>
    <row r="133" spans="2:9" x14ac:dyDescent="0.2">
      <c r="B133" s="209">
        <v>41753</v>
      </c>
      <c r="C133" t="s">
        <v>7233</v>
      </c>
      <c r="D133" s="137">
        <v>-59.16</v>
      </c>
      <c r="E133" t="b">
        <f t="shared" si="1"/>
        <v>1</v>
      </c>
      <c r="F133"/>
      <c r="G133"/>
      <c r="H133"/>
      <c r="I133"/>
    </row>
    <row r="134" spans="2:9" x14ac:dyDescent="0.2">
      <c r="B134" s="209">
        <v>41753</v>
      </c>
      <c r="C134" t="s">
        <v>7233</v>
      </c>
      <c r="D134" s="137">
        <v>-75.44</v>
      </c>
      <c r="E134" t="b">
        <f t="shared" si="1"/>
        <v>1</v>
      </c>
      <c r="F134"/>
      <c r="G134"/>
      <c r="H134"/>
      <c r="I134"/>
    </row>
    <row r="135" spans="2:9" x14ac:dyDescent="0.2">
      <c r="B135" s="209">
        <v>41752</v>
      </c>
      <c r="C135" t="s">
        <v>7234</v>
      </c>
      <c r="D135" s="137">
        <v>77.760000000000005</v>
      </c>
      <c r="E135" t="b">
        <f t="shared" si="1"/>
        <v>1</v>
      </c>
      <c r="F135"/>
      <c r="G135"/>
      <c r="H135"/>
      <c r="I135"/>
    </row>
    <row r="136" spans="2:9" x14ac:dyDescent="0.2">
      <c r="B136" s="209">
        <v>41752</v>
      </c>
      <c r="C136" t="s">
        <v>7234</v>
      </c>
      <c r="D136" s="137">
        <v>-77.760000000000005</v>
      </c>
      <c r="E136" t="b">
        <f t="shared" si="1"/>
        <v>1</v>
      </c>
      <c r="F136"/>
      <c r="G136"/>
      <c r="H136"/>
      <c r="I136"/>
    </row>
    <row r="137" spans="2:9" x14ac:dyDescent="0.2">
      <c r="B137" s="209">
        <v>41752</v>
      </c>
      <c r="C137" t="s">
        <v>7235</v>
      </c>
      <c r="D137" s="137">
        <v>406.08</v>
      </c>
      <c r="E137" t="b">
        <f t="shared" si="1"/>
        <v>0</v>
      </c>
      <c r="F137"/>
      <c r="G137"/>
      <c r="H137"/>
      <c r="I137"/>
    </row>
    <row r="138" spans="2:9" x14ac:dyDescent="0.2">
      <c r="B138" s="209">
        <v>41752</v>
      </c>
      <c r="C138" t="s">
        <v>7236</v>
      </c>
      <c r="D138" s="137">
        <v>305.36</v>
      </c>
      <c r="E138" t="b">
        <f t="shared" si="1"/>
        <v>1</v>
      </c>
      <c r="F138"/>
      <c r="G138"/>
      <c r="H138"/>
      <c r="I138"/>
    </row>
    <row r="139" spans="2:9" x14ac:dyDescent="0.2">
      <c r="B139" s="209">
        <v>41752</v>
      </c>
      <c r="C139" t="s">
        <v>7236</v>
      </c>
      <c r="D139" s="137">
        <v>-201.92</v>
      </c>
      <c r="E139" t="b">
        <f t="shared" si="1"/>
        <v>1</v>
      </c>
      <c r="F139"/>
      <c r="G139"/>
      <c r="H139"/>
      <c r="I139"/>
    </row>
    <row r="140" spans="2:9" x14ac:dyDescent="0.2">
      <c r="B140" s="209">
        <v>41752</v>
      </c>
      <c r="C140" t="s">
        <v>7236</v>
      </c>
      <c r="D140" s="137">
        <v>-27.2</v>
      </c>
      <c r="E140" t="b">
        <f t="shared" si="1"/>
        <v>1</v>
      </c>
      <c r="F140"/>
      <c r="G140"/>
      <c r="H140"/>
      <c r="I140"/>
    </row>
    <row r="141" spans="2:9" x14ac:dyDescent="0.2">
      <c r="B141" s="209">
        <v>41752</v>
      </c>
      <c r="C141" t="s">
        <v>7236</v>
      </c>
      <c r="D141" s="137">
        <v>-36.4</v>
      </c>
      <c r="E141" t="b">
        <f t="shared" si="1"/>
        <v>1</v>
      </c>
      <c r="F141"/>
      <c r="G141"/>
      <c r="H141"/>
      <c r="I141"/>
    </row>
    <row r="142" spans="2:9" x14ac:dyDescent="0.2">
      <c r="B142" s="209">
        <v>41752</v>
      </c>
      <c r="C142" t="s">
        <v>7236</v>
      </c>
      <c r="D142" s="137">
        <v>-39.840000000000003</v>
      </c>
      <c r="E142" t="b">
        <f t="shared" si="1"/>
        <v>1</v>
      </c>
      <c r="F142"/>
      <c r="G142"/>
      <c r="H142"/>
      <c r="I142"/>
    </row>
    <row r="143" spans="2:9" x14ac:dyDescent="0.2">
      <c r="B143" s="209">
        <v>41752</v>
      </c>
      <c r="C143" t="s">
        <v>7237</v>
      </c>
      <c r="D143" s="137">
        <v>37.5</v>
      </c>
      <c r="E143" t="b">
        <f t="shared" si="1"/>
        <v>0</v>
      </c>
      <c r="F143"/>
      <c r="G143"/>
      <c r="H143"/>
      <c r="I143"/>
    </row>
    <row r="144" spans="2:9" x14ac:dyDescent="0.2">
      <c r="B144" s="209">
        <v>41751</v>
      </c>
      <c r="C144" t="s">
        <v>7238</v>
      </c>
      <c r="D144" s="137">
        <v>112</v>
      </c>
      <c r="E144" t="b">
        <f t="shared" si="1"/>
        <v>0</v>
      </c>
      <c r="F144"/>
      <c r="G144"/>
      <c r="H144"/>
      <c r="I144"/>
    </row>
    <row r="145" spans="2:9" x14ac:dyDescent="0.2">
      <c r="B145" s="209">
        <v>41749</v>
      </c>
      <c r="C145" t="s">
        <v>7239</v>
      </c>
      <c r="D145" s="137">
        <v>55.79</v>
      </c>
      <c r="E145" t="b">
        <f t="shared" si="1"/>
        <v>0</v>
      </c>
      <c r="F145"/>
      <c r="G145"/>
      <c r="H145"/>
      <c r="I145"/>
    </row>
    <row r="146" spans="2:9" x14ac:dyDescent="0.2">
      <c r="B146" s="209">
        <v>41750</v>
      </c>
      <c r="C146" t="s">
        <v>7239</v>
      </c>
      <c r="D146" s="137">
        <v>21.43</v>
      </c>
      <c r="E146" t="b">
        <f t="shared" si="1"/>
        <v>0</v>
      </c>
      <c r="F146"/>
      <c r="G146"/>
      <c r="H146"/>
      <c r="I146"/>
    </row>
    <row r="147" spans="2:9" x14ac:dyDescent="0.2">
      <c r="B147" s="209">
        <v>41750</v>
      </c>
      <c r="C147" t="s">
        <v>7239</v>
      </c>
      <c r="D147" s="137">
        <v>-17.18</v>
      </c>
      <c r="E147" t="b">
        <f t="shared" si="1"/>
        <v>0</v>
      </c>
      <c r="F147"/>
      <c r="G147"/>
      <c r="H147"/>
      <c r="I147"/>
    </row>
    <row r="148" spans="2:9" x14ac:dyDescent="0.2">
      <c r="B148" s="209">
        <v>41751</v>
      </c>
      <c r="C148" t="s">
        <v>7239</v>
      </c>
      <c r="D148" s="137">
        <v>-17.18</v>
      </c>
      <c r="E148" t="b">
        <f t="shared" si="1"/>
        <v>0</v>
      </c>
      <c r="F148"/>
      <c r="G148"/>
      <c r="H148"/>
      <c r="I148"/>
    </row>
    <row r="149" spans="2:9" x14ac:dyDescent="0.2">
      <c r="B149" s="209">
        <v>41751</v>
      </c>
      <c r="C149" t="s">
        <v>7239</v>
      </c>
      <c r="D149" s="137">
        <v>-34.36</v>
      </c>
      <c r="E149" t="b">
        <f t="shared" ref="E149:E212" si="2">ROUND(SUMIF($C$21:$C$260,C149,$D$21:$D$260),2) = 0</f>
        <v>0</v>
      </c>
      <c r="F149"/>
      <c r="G149"/>
      <c r="H149"/>
      <c r="I149"/>
    </row>
    <row r="150" spans="2:9" x14ac:dyDescent="0.2">
      <c r="B150" s="209">
        <v>41749</v>
      </c>
      <c r="C150" t="s">
        <v>7240</v>
      </c>
      <c r="D150" s="137">
        <v>189.65</v>
      </c>
      <c r="E150" t="b">
        <f t="shared" si="2"/>
        <v>0</v>
      </c>
      <c r="F150"/>
      <c r="G150"/>
      <c r="H150"/>
      <c r="I150"/>
    </row>
    <row r="151" spans="2:9" x14ac:dyDescent="0.2">
      <c r="B151" s="209">
        <v>41749</v>
      </c>
      <c r="C151" t="s">
        <v>7241</v>
      </c>
      <c r="D151" s="137">
        <v>34.979999999999997</v>
      </c>
      <c r="E151" t="b">
        <f t="shared" si="2"/>
        <v>0</v>
      </c>
      <c r="F151"/>
      <c r="G151"/>
      <c r="H151"/>
      <c r="I151"/>
    </row>
    <row r="152" spans="2:9" x14ac:dyDescent="0.2">
      <c r="B152" s="209">
        <v>41749</v>
      </c>
      <c r="C152" t="s">
        <v>7242</v>
      </c>
      <c r="D152" s="137">
        <v>533.52</v>
      </c>
      <c r="E152" t="b">
        <f t="shared" si="2"/>
        <v>0</v>
      </c>
      <c r="F152"/>
      <c r="G152"/>
      <c r="H152"/>
      <c r="I152"/>
    </row>
    <row r="153" spans="2:9" x14ac:dyDescent="0.2">
      <c r="B153" s="209">
        <v>41749</v>
      </c>
      <c r="C153" t="s">
        <v>7243</v>
      </c>
      <c r="D153" s="137">
        <v>99.96</v>
      </c>
      <c r="E153" t="b">
        <f t="shared" si="2"/>
        <v>0</v>
      </c>
      <c r="F153"/>
      <c r="G153"/>
      <c r="H153"/>
      <c r="I153"/>
    </row>
    <row r="154" spans="2:9" x14ac:dyDescent="0.2">
      <c r="B154" s="209">
        <v>41748</v>
      </c>
      <c r="C154" t="s">
        <v>7244</v>
      </c>
      <c r="D154" s="137">
        <v>103.73</v>
      </c>
      <c r="E154" t="b">
        <f t="shared" si="2"/>
        <v>0</v>
      </c>
      <c r="F154"/>
      <c r="G154"/>
      <c r="H154"/>
      <c r="I154"/>
    </row>
    <row r="155" spans="2:9" x14ac:dyDescent="0.2">
      <c r="B155" s="209">
        <v>41748</v>
      </c>
      <c r="C155" t="s">
        <v>7244</v>
      </c>
      <c r="D155" s="137">
        <v>-16.25</v>
      </c>
      <c r="E155" t="b">
        <f t="shared" si="2"/>
        <v>0</v>
      </c>
      <c r="F155"/>
      <c r="G155"/>
      <c r="H155"/>
      <c r="I155"/>
    </row>
    <row r="156" spans="2:9" x14ac:dyDescent="0.2">
      <c r="B156" s="209">
        <v>41749</v>
      </c>
      <c r="C156" t="s">
        <v>7244</v>
      </c>
      <c r="D156" s="137">
        <v>-32.5</v>
      </c>
      <c r="E156" t="b">
        <f t="shared" si="2"/>
        <v>0</v>
      </c>
      <c r="F156"/>
      <c r="G156"/>
      <c r="H156"/>
      <c r="I156"/>
    </row>
    <row r="157" spans="2:9" x14ac:dyDescent="0.2">
      <c r="B157" s="209">
        <v>41749</v>
      </c>
      <c r="C157" t="s">
        <v>7244</v>
      </c>
      <c r="D157" s="137">
        <v>-12.9</v>
      </c>
      <c r="E157" t="b">
        <f t="shared" si="2"/>
        <v>0</v>
      </c>
      <c r="F157"/>
      <c r="G157"/>
      <c r="H157"/>
      <c r="I157"/>
    </row>
    <row r="158" spans="2:9" x14ac:dyDescent="0.2">
      <c r="B158" s="209">
        <v>41749</v>
      </c>
      <c r="C158" t="s">
        <v>7244</v>
      </c>
      <c r="D158" s="137">
        <v>-49</v>
      </c>
      <c r="E158" t="b">
        <f t="shared" si="2"/>
        <v>0</v>
      </c>
      <c r="F158"/>
      <c r="G158"/>
      <c r="H158"/>
      <c r="I158"/>
    </row>
    <row r="159" spans="2:9" x14ac:dyDescent="0.2">
      <c r="B159" s="209">
        <v>41748</v>
      </c>
      <c r="C159" t="s">
        <v>7245</v>
      </c>
      <c r="D159" s="137">
        <v>103.2</v>
      </c>
      <c r="E159" t="b">
        <f t="shared" si="2"/>
        <v>1</v>
      </c>
      <c r="F159"/>
      <c r="G159"/>
      <c r="H159"/>
      <c r="I159"/>
    </row>
    <row r="160" spans="2:9" x14ac:dyDescent="0.2">
      <c r="B160" s="209">
        <v>41748</v>
      </c>
      <c r="C160" t="s">
        <v>7245</v>
      </c>
      <c r="D160" s="137">
        <v>-51.6</v>
      </c>
      <c r="E160" t="b">
        <f t="shared" si="2"/>
        <v>1</v>
      </c>
      <c r="F160"/>
      <c r="G160"/>
      <c r="H160"/>
      <c r="I160"/>
    </row>
    <row r="161" spans="2:9" x14ac:dyDescent="0.2">
      <c r="B161" s="209">
        <v>41748</v>
      </c>
      <c r="C161" t="s">
        <v>7245</v>
      </c>
      <c r="D161" s="137">
        <v>-38.700000000000003</v>
      </c>
      <c r="E161" t="b">
        <f t="shared" si="2"/>
        <v>1</v>
      </c>
      <c r="F161"/>
      <c r="G161"/>
      <c r="H161"/>
      <c r="I161"/>
    </row>
    <row r="162" spans="2:9" x14ac:dyDescent="0.2">
      <c r="B162" s="209">
        <v>41748</v>
      </c>
      <c r="C162" t="s">
        <v>7245</v>
      </c>
      <c r="D162" s="137">
        <v>-12.9</v>
      </c>
      <c r="E162" t="b">
        <f t="shared" si="2"/>
        <v>1</v>
      </c>
      <c r="F162"/>
      <c r="G162"/>
      <c r="H162"/>
      <c r="I162"/>
    </row>
    <row r="163" spans="2:9" x14ac:dyDescent="0.2">
      <c r="B163" s="209">
        <v>41747</v>
      </c>
      <c r="C163" t="s">
        <v>7246</v>
      </c>
      <c r="D163" s="137">
        <v>1925.93</v>
      </c>
      <c r="E163" t="b">
        <f t="shared" si="2"/>
        <v>1</v>
      </c>
      <c r="F163"/>
      <c r="G163"/>
      <c r="H163"/>
      <c r="I163"/>
    </row>
    <row r="164" spans="2:9" x14ac:dyDescent="0.2">
      <c r="B164" s="209">
        <v>41747</v>
      </c>
      <c r="C164" t="s">
        <v>7246</v>
      </c>
      <c r="D164" s="137">
        <v>-220</v>
      </c>
      <c r="E164" t="b">
        <f t="shared" si="2"/>
        <v>1</v>
      </c>
      <c r="F164"/>
      <c r="G164"/>
      <c r="H164"/>
      <c r="I164"/>
    </row>
    <row r="165" spans="2:9" x14ac:dyDescent="0.2">
      <c r="B165" s="209">
        <v>41747</v>
      </c>
      <c r="C165" t="s">
        <v>7246</v>
      </c>
      <c r="D165" s="137">
        <v>-64.5</v>
      </c>
      <c r="E165" t="b">
        <f t="shared" si="2"/>
        <v>1</v>
      </c>
      <c r="F165"/>
      <c r="G165"/>
      <c r="H165"/>
      <c r="I165"/>
    </row>
    <row r="166" spans="2:9" x14ac:dyDescent="0.2">
      <c r="B166" s="209">
        <v>41747</v>
      </c>
      <c r="C166" t="s">
        <v>7246</v>
      </c>
      <c r="D166" s="137">
        <v>-162.5</v>
      </c>
      <c r="E166" t="b">
        <f t="shared" si="2"/>
        <v>1</v>
      </c>
      <c r="F166"/>
      <c r="G166"/>
      <c r="H166"/>
      <c r="I166"/>
    </row>
    <row r="167" spans="2:9" x14ac:dyDescent="0.2">
      <c r="B167" s="209">
        <v>41747</v>
      </c>
      <c r="C167" t="s">
        <v>7246</v>
      </c>
      <c r="D167" s="137">
        <v>-64.5</v>
      </c>
      <c r="E167" t="b">
        <f t="shared" si="2"/>
        <v>1</v>
      </c>
      <c r="F167"/>
      <c r="G167"/>
      <c r="H167"/>
      <c r="I167"/>
    </row>
    <row r="168" spans="2:9" x14ac:dyDescent="0.2">
      <c r="B168" s="209">
        <v>41747</v>
      </c>
      <c r="C168" t="s">
        <v>7246</v>
      </c>
      <c r="D168" s="137">
        <v>-252.48</v>
      </c>
      <c r="E168" t="b">
        <f t="shared" si="2"/>
        <v>1</v>
      </c>
      <c r="F168"/>
      <c r="G168"/>
      <c r="H168"/>
      <c r="I168"/>
    </row>
    <row r="169" spans="2:9" x14ac:dyDescent="0.2">
      <c r="B169" s="209">
        <v>41747</v>
      </c>
      <c r="C169" t="s">
        <v>7246</v>
      </c>
      <c r="D169" s="137">
        <v>-21</v>
      </c>
      <c r="E169" t="b">
        <f t="shared" si="2"/>
        <v>1</v>
      </c>
      <c r="F169"/>
      <c r="G169"/>
      <c r="H169"/>
      <c r="I169"/>
    </row>
    <row r="170" spans="2:9" x14ac:dyDescent="0.2">
      <c r="B170" s="209">
        <v>41747</v>
      </c>
      <c r="C170" t="s">
        <v>7246</v>
      </c>
      <c r="D170" s="137">
        <v>-64.5</v>
      </c>
      <c r="E170" t="b">
        <f t="shared" si="2"/>
        <v>1</v>
      </c>
      <c r="F170"/>
      <c r="G170"/>
      <c r="H170"/>
      <c r="I170"/>
    </row>
    <row r="171" spans="2:9" x14ac:dyDescent="0.2">
      <c r="B171" s="209">
        <v>41747</v>
      </c>
      <c r="C171" t="s">
        <v>7246</v>
      </c>
      <c r="D171" s="137">
        <v>-130</v>
      </c>
      <c r="E171" t="b">
        <f t="shared" si="2"/>
        <v>1</v>
      </c>
      <c r="F171"/>
      <c r="G171"/>
      <c r="H171"/>
      <c r="I171"/>
    </row>
    <row r="172" spans="2:9" x14ac:dyDescent="0.2">
      <c r="B172" s="209">
        <v>41747</v>
      </c>
      <c r="C172" t="s">
        <v>7246</v>
      </c>
      <c r="D172" s="137">
        <v>-51.6</v>
      </c>
      <c r="E172" t="b">
        <f t="shared" si="2"/>
        <v>1</v>
      </c>
      <c r="F172"/>
      <c r="G172"/>
      <c r="H172"/>
      <c r="I172"/>
    </row>
    <row r="173" spans="2:9" x14ac:dyDescent="0.2">
      <c r="B173" s="209">
        <v>41747</v>
      </c>
      <c r="C173" t="s">
        <v>7246</v>
      </c>
      <c r="D173" s="137">
        <v>-32.5</v>
      </c>
      <c r="E173" t="b">
        <f t="shared" si="2"/>
        <v>1</v>
      </c>
      <c r="F173"/>
      <c r="G173"/>
      <c r="H173"/>
      <c r="I173"/>
    </row>
    <row r="174" spans="2:9" x14ac:dyDescent="0.2">
      <c r="B174" s="209">
        <v>41747</v>
      </c>
      <c r="C174" t="s">
        <v>7246</v>
      </c>
      <c r="D174" s="137">
        <v>-205.05</v>
      </c>
      <c r="E174" t="b">
        <f t="shared" si="2"/>
        <v>1</v>
      </c>
      <c r="F174"/>
      <c r="G174"/>
      <c r="H174"/>
      <c r="I174"/>
    </row>
    <row r="175" spans="2:9" x14ac:dyDescent="0.2">
      <c r="B175" s="209">
        <v>41747</v>
      </c>
      <c r="C175" t="s">
        <v>7246</v>
      </c>
      <c r="D175" s="137">
        <v>-362.5</v>
      </c>
      <c r="E175" t="b">
        <f t="shared" si="2"/>
        <v>1</v>
      </c>
      <c r="F175"/>
      <c r="G175"/>
      <c r="H175"/>
      <c r="I175"/>
    </row>
    <row r="176" spans="2:9" x14ac:dyDescent="0.2">
      <c r="B176" s="209">
        <v>41747</v>
      </c>
      <c r="C176" t="s">
        <v>7246</v>
      </c>
      <c r="D176" s="137">
        <v>-22</v>
      </c>
      <c r="E176" t="b">
        <f t="shared" si="2"/>
        <v>1</v>
      </c>
      <c r="F176"/>
      <c r="G176"/>
      <c r="H176"/>
      <c r="I176"/>
    </row>
    <row r="177" spans="2:9" x14ac:dyDescent="0.2">
      <c r="B177" s="209">
        <v>41747</v>
      </c>
      <c r="C177" t="s">
        <v>7246</v>
      </c>
      <c r="D177" s="137">
        <v>-137.04</v>
      </c>
      <c r="E177" t="b">
        <f t="shared" si="2"/>
        <v>1</v>
      </c>
      <c r="F177"/>
      <c r="G177"/>
      <c r="H177"/>
      <c r="I177"/>
    </row>
    <row r="178" spans="2:9" x14ac:dyDescent="0.2">
      <c r="B178" s="209">
        <v>41748</v>
      </c>
      <c r="C178" t="s">
        <v>7246</v>
      </c>
      <c r="D178" s="137">
        <v>-51.6</v>
      </c>
      <c r="E178" t="b">
        <f t="shared" si="2"/>
        <v>1</v>
      </c>
      <c r="F178"/>
      <c r="G178"/>
      <c r="H178"/>
      <c r="I178"/>
    </row>
    <row r="179" spans="2:9" x14ac:dyDescent="0.2">
      <c r="B179" s="209">
        <v>41748</v>
      </c>
      <c r="C179" t="s">
        <v>7246</v>
      </c>
      <c r="D179" s="137">
        <v>-84.16</v>
      </c>
      <c r="E179" t="b">
        <f t="shared" si="2"/>
        <v>1</v>
      </c>
      <c r="F179"/>
      <c r="G179"/>
      <c r="H179"/>
      <c r="I179"/>
    </row>
    <row r="180" spans="2:9" x14ac:dyDescent="0.2">
      <c r="B180" s="209">
        <v>41747</v>
      </c>
      <c r="C180" t="s">
        <v>7247</v>
      </c>
      <c r="D180" s="137">
        <v>46.95</v>
      </c>
      <c r="E180" t="b">
        <f t="shared" si="2"/>
        <v>0</v>
      </c>
      <c r="F180"/>
      <c r="G180"/>
      <c r="H180"/>
      <c r="I180"/>
    </row>
    <row r="181" spans="2:9" x14ac:dyDescent="0.2">
      <c r="B181" s="209">
        <v>41747</v>
      </c>
      <c r="C181" t="s">
        <v>7248</v>
      </c>
      <c r="D181" s="137">
        <v>73.44</v>
      </c>
      <c r="E181" t="b">
        <f t="shared" si="2"/>
        <v>0</v>
      </c>
      <c r="F181"/>
      <c r="G181"/>
      <c r="H181"/>
      <c r="I181"/>
    </row>
    <row r="182" spans="2:9" x14ac:dyDescent="0.2">
      <c r="B182" s="209">
        <v>41747</v>
      </c>
      <c r="C182" t="s">
        <v>7249</v>
      </c>
      <c r="D182" s="137">
        <v>797.47</v>
      </c>
      <c r="E182" t="b">
        <f t="shared" si="2"/>
        <v>0</v>
      </c>
      <c r="F182"/>
      <c r="G182"/>
      <c r="H182"/>
      <c r="I182"/>
    </row>
    <row r="183" spans="2:9" x14ac:dyDescent="0.2">
      <c r="B183" s="209">
        <v>41747</v>
      </c>
      <c r="C183" t="s">
        <v>7249</v>
      </c>
      <c r="D183" s="137">
        <v>369.12</v>
      </c>
      <c r="E183" t="b">
        <f t="shared" si="2"/>
        <v>0</v>
      </c>
      <c r="F183"/>
      <c r="G183"/>
      <c r="H183"/>
      <c r="I183"/>
    </row>
    <row r="184" spans="2:9" x14ac:dyDescent="0.2">
      <c r="B184" s="209">
        <v>41746</v>
      </c>
      <c r="C184" t="s">
        <v>7250</v>
      </c>
      <c r="D184" s="137">
        <v>63.86</v>
      </c>
      <c r="E184" t="b">
        <f t="shared" si="2"/>
        <v>0</v>
      </c>
      <c r="F184"/>
      <c r="G184"/>
      <c r="H184"/>
      <c r="I184"/>
    </row>
    <row r="185" spans="2:9" x14ac:dyDescent="0.2">
      <c r="B185" s="209">
        <v>41747</v>
      </c>
      <c r="C185" t="s">
        <v>7250</v>
      </c>
      <c r="D185" s="137">
        <v>10.47</v>
      </c>
      <c r="E185" t="b">
        <f t="shared" si="2"/>
        <v>0</v>
      </c>
      <c r="F185"/>
      <c r="G185"/>
      <c r="H185"/>
      <c r="I185"/>
    </row>
    <row r="186" spans="2:9" x14ac:dyDescent="0.2">
      <c r="B186" s="209">
        <v>41746</v>
      </c>
      <c r="C186" t="s">
        <v>7251</v>
      </c>
      <c r="D186" s="137">
        <v>284</v>
      </c>
      <c r="E186" t="b">
        <f t="shared" si="2"/>
        <v>0</v>
      </c>
      <c r="F186"/>
      <c r="G186"/>
      <c r="H186"/>
      <c r="I186"/>
    </row>
    <row r="187" spans="2:9" x14ac:dyDescent="0.2">
      <c r="B187" s="209">
        <v>41746</v>
      </c>
      <c r="C187" t="s">
        <v>7252</v>
      </c>
      <c r="D187" s="137">
        <v>138.30000000000001</v>
      </c>
      <c r="E187" t="b">
        <f t="shared" si="2"/>
        <v>1</v>
      </c>
      <c r="F187"/>
      <c r="G187"/>
      <c r="H187"/>
      <c r="I187"/>
    </row>
    <row r="188" spans="2:9" x14ac:dyDescent="0.2">
      <c r="B188" s="209">
        <v>41746</v>
      </c>
      <c r="C188" t="s">
        <v>7252</v>
      </c>
      <c r="D188" s="137">
        <v>-101.1</v>
      </c>
      <c r="E188" t="b">
        <f t="shared" si="2"/>
        <v>1</v>
      </c>
      <c r="F188"/>
      <c r="G188"/>
      <c r="H188"/>
      <c r="I188"/>
    </row>
    <row r="189" spans="2:9" x14ac:dyDescent="0.2">
      <c r="B189" s="209">
        <v>41746</v>
      </c>
      <c r="C189" t="s">
        <v>7252</v>
      </c>
      <c r="D189" s="137">
        <v>-37.200000000000003</v>
      </c>
      <c r="E189" t="b">
        <f t="shared" si="2"/>
        <v>1</v>
      </c>
      <c r="F189"/>
      <c r="G189"/>
      <c r="H189"/>
      <c r="I189"/>
    </row>
    <row r="190" spans="2:9" x14ac:dyDescent="0.2">
      <c r="B190" s="209">
        <v>41746</v>
      </c>
      <c r="C190" t="s">
        <v>7253</v>
      </c>
      <c r="D190" s="137">
        <v>608.04999999999995</v>
      </c>
      <c r="E190" t="b">
        <f t="shared" si="2"/>
        <v>0</v>
      </c>
      <c r="F190"/>
      <c r="G190"/>
      <c r="H190"/>
      <c r="I190"/>
    </row>
    <row r="191" spans="2:9" x14ac:dyDescent="0.2">
      <c r="B191" s="209">
        <v>41746</v>
      </c>
      <c r="C191" t="s">
        <v>7253</v>
      </c>
      <c r="D191" s="137">
        <v>-360</v>
      </c>
      <c r="E191" t="b">
        <f t="shared" si="2"/>
        <v>0</v>
      </c>
      <c r="F191"/>
      <c r="G191"/>
      <c r="H191"/>
      <c r="I191"/>
    </row>
    <row r="192" spans="2:9" x14ac:dyDescent="0.2">
      <c r="B192" s="209">
        <v>41746</v>
      </c>
      <c r="C192" t="s">
        <v>7253</v>
      </c>
      <c r="D192" s="137">
        <v>-151.65</v>
      </c>
      <c r="E192" t="b">
        <f t="shared" si="2"/>
        <v>0</v>
      </c>
      <c r="F192"/>
      <c r="G192"/>
      <c r="H192"/>
      <c r="I192"/>
    </row>
    <row r="193" spans="2:9" x14ac:dyDescent="0.2">
      <c r="B193" s="209">
        <v>41746</v>
      </c>
      <c r="C193" t="s">
        <v>7253</v>
      </c>
      <c r="D193" s="137">
        <v>-96.4</v>
      </c>
      <c r="E193" t="b">
        <f t="shared" si="2"/>
        <v>0</v>
      </c>
      <c r="F193"/>
      <c r="G193"/>
      <c r="H193"/>
      <c r="I193"/>
    </row>
    <row r="194" spans="2:9" x14ac:dyDescent="0.2">
      <c r="B194" s="209">
        <v>41746</v>
      </c>
      <c r="C194" t="s">
        <v>7253</v>
      </c>
      <c r="D194" s="137">
        <v>35</v>
      </c>
      <c r="E194" t="b">
        <f t="shared" si="2"/>
        <v>0</v>
      </c>
      <c r="F194"/>
      <c r="G194"/>
      <c r="H194"/>
      <c r="I194"/>
    </row>
    <row r="195" spans="2:9" x14ac:dyDescent="0.2">
      <c r="B195" s="209">
        <v>41746</v>
      </c>
      <c r="C195" t="s">
        <v>7254</v>
      </c>
      <c r="D195" s="137">
        <v>180.74</v>
      </c>
      <c r="E195" t="b">
        <f t="shared" si="2"/>
        <v>1</v>
      </c>
      <c r="F195"/>
      <c r="G195"/>
      <c r="H195"/>
      <c r="I195"/>
    </row>
    <row r="196" spans="2:9" x14ac:dyDescent="0.2">
      <c r="B196" s="209">
        <v>41746</v>
      </c>
      <c r="C196" t="s">
        <v>7254</v>
      </c>
      <c r="D196" s="137">
        <v>-54.4</v>
      </c>
      <c r="E196" t="b">
        <f t="shared" si="2"/>
        <v>1</v>
      </c>
      <c r="F196"/>
      <c r="G196"/>
      <c r="H196"/>
      <c r="I196"/>
    </row>
    <row r="197" spans="2:9" x14ac:dyDescent="0.2">
      <c r="B197" s="209">
        <v>41746</v>
      </c>
      <c r="C197" t="s">
        <v>7254</v>
      </c>
      <c r="D197" s="137">
        <v>-93.04</v>
      </c>
      <c r="E197" t="b">
        <f t="shared" si="2"/>
        <v>1</v>
      </c>
      <c r="F197"/>
      <c r="G197"/>
      <c r="H197"/>
      <c r="I197"/>
    </row>
    <row r="198" spans="2:9" x14ac:dyDescent="0.2">
      <c r="B198" s="209">
        <v>41746</v>
      </c>
      <c r="C198" t="s">
        <v>7254</v>
      </c>
      <c r="D198" s="137">
        <v>-33.299999999999997</v>
      </c>
      <c r="E198" t="b">
        <f t="shared" si="2"/>
        <v>1</v>
      </c>
      <c r="F198"/>
      <c r="G198"/>
      <c r="H198"/>
      <c r="I198"/>
    </row>
    <row r="199" spans="2:9" x14ac:dyDescent="0.2">
      <c r="B199" s="209">
        <v>41745</v>
      </c>
      <c r="C199" t="s">
        <v>7255</v>
      </c>
      <c r="D199" s="137">
        <v>61.12</v>
      </c>
      <c r="E199" t="b">
        <f t="shared" si="2"/>
        <v>0</v>
      </c>
      <c r="F199"/>
      <c r="G199"/>
      <c r="H199"/>
      <c r="I199"/>
    </row>
    <row r="200" spans="2:9" x14ac:dyDescent="0.2">
      <c r="B200" s="209">
        <v>41745</v>
      </c>
      <c r="C200" t="s">
        <v>7255</v>
      </c>
      <c r="D200" s="137">
        <v>-47.52</v>
      </c>
      <c r="E200" t="b">
        <f t="shared" si="2"/>
        <v>0</v>
      </c>
      <c r="F200"/>
      <c r="G200"/>
      <c r="H200"/>
      <c r="I200"/>
    </row>
    <row r="201" spans="2:9" x14ac:dyDescent="0.2">
      <c r="B201" s="209">
        <v>41746</v>
      </c>
      <c r="C201" t="s">
        <v>7255</v>
      </c>
      <c r="D201" s="137">
        <v>-10</v>
      </c>
      <c r="E201" t="b">
        <f t="shared" si="2"/>
        <v>0</v>
      </c>
      <c r="F201"/>
      <c r="G201"/>
      <c r="H201"/>
      <c r="I201"/>
    </row>
    <row r="202" spans="2:9" x14ac:dyDescent="0.2">
      <c r="B202" s="209">
        <v>41745</v>
      </c>
      <c r="C202" t="s">
        <v>7256</v>
      </c>
      <c r="D202" s="137">
        <v>352.2</v>
      </c>
      <c r="E202" t="b">
        <f t="shared" si="2"/>
        <v>1</v>
      </c>
      <c r="F202"/>
      <c r="G202"/>
      <c r="H202"/>
      <c r="I202"/>
    </row>
    <row r="203" spans="2:9" x14ac:dyDescent="0.2">
      <c r="B203" s="209">
        <v>41745</v>
      </c>
      <c r="C203" t="s">
        <v>7256</v>
      </c>
      <c r="D203" s="137">
        <v>-163.19999999999999</v>
      </c>
      <c r="E203" t="b">
        <f t="shared" si="2"/>
        <v>1</v>
      </c>
      <c r="F203"/>
      <c r="G203"/>
      <c r="H203"/>
      <c r="I203"/>
    </row>
    <row r="204" spans="2:9" x14ac:dyDescent="0.2">
      <c r="B204" s="209">
        <v>41745</v>
      </c>
      <c r="C204" t="s">
        <v>7256</v>
      </c>
      <c r="D204" s="137">
        <v>-54.4</v>
      </c>
      <c r="E204" t="b">
        <f t="shared" si="2"/>
        <v>1</v>
      </c>
      <c r="F204"/>
      <c r="G204"/>
      <c r="H204"/>
      <c r="I204"/>
    </row>
    <row r="205" spans="2:9" x14ac:dyDescent="0.2">
      <c r="B205" s="209">
        <v>41745</v>
      </c>
      <c r="C205" t="s">
        <v>7256</v>
      </c>
      <c r="D205" s="137">
        <v>-66.599999999999994</v>
      </c>
      <c r="E205" t="b">
        <f t="shared" si="2"/>
        <v>1</v>
      </c>
      <c r="F205"/>
      <c r="G205"/>
      <c r="H205"/>
      <c r="I205"/>
    </row>
    <row r="206" spans="2:9" x14ac:dyDescent="0.2">
      <c r="B206" s="209">
        <v>41745</v>
      </c>
      <c r="C206" t="s">
        <v>7256</v>
      </c>
      <c r="D206" s="137">
        <v>-68</v>
      </c>
      <c r="E206" t="b">
        <f t="shared" si="2"/>
        <v>1</v>
      </c>
      <c r="F206"/>
      <c r="G206"/>
      <c r="H206"/>
      <c r="I206"/>
    </row>
    <row r="207" spans="2:9" x14ac:dyDescent="0.2">
      <c r="B207" s="209">
        <v>41745</v>
      </c>
      <c r="C207" t="s">
        <v>7257</v>
      </c>
      <c r="D207" s="137">
        <v>238.48</v>
      </c>
      <c r="E207" t="b">
        <f t="shared" si="2"/>
        <v>0</v>
      </c>
      <c r="F207"/>
      <c r="G207"/>
      <c r="H207"/>
      <c r="I207"/>
    </row>
    <row r="208" spans="2:9" x14ac:dyDescent="0.2">
      <c r="B208" s="209">
        <v>41744</v>
      </c>
      <c r="C208" t="s">
        <v>7258</v>
      </c>
      <c r="D208" s="137">
        <v>48.69</v>
      </c>
      <c r="E208" t="b">
        <f t="shared" si="2"/>
        <v>0</v>
      </c>
      <c r="F208"/>
      <c r="G208"/>
      <c r="H208"/>
      <c r="I208"/>
    </row>
    <row r="209" spans="2:9" x14ac:dyDescent="0.2">
      <c r="B209" s="209">
        <v>41744</v>
      </c>
      <c r="C209" t="s">
        <v>7258</v>
      </c>
      <c r="D209" s="137">
        <v>14.21</v>
      </c>
      <c r="E209" t="b">
        <f t="shared" si="2"/>
        <v>0</v>
      </c>
      <c r="F209"/>
      <c r="G209"/>
      <c r="H209"/>
      <c r="I209"/>
    </row>
    <row r="210" spans="2:9" x14ac:dyDescent="0.2">
      <c r="B210" s="209">
        <v>41744</v>
      </c>
      <c r="C210" t="s">
        <v>7259</v>
      </c>
      <c r="D210" s="137">
        <v>36</v>
      </c>
      <c r="E210" t="b">
        <f t="shared" si="2"/>
        <v>0</v>
      </c>
      <c r="F210"/>
      <c r="G210"/>
      <c r="H210"/>
      <c r="I210"/>
    </row>
    <row r="211" spans="2:9" x14ac:dyDescent="0.2">
      <c r="B211" s="209">
        <v>41744</v>
      </c>
      <c r="C211" t="s">
        <v>7260</v>
      </c>
      <c r="D211" s="137">
        <v>112.03</v>
      </c>
      <c r="E211" t="b">
        <f t="shared" si="2"/>
        <v>1</v>
      </c>
      <c r="F211"/>
      <c r="G211"/>
      <c r="H211"/>
      <c r="I211"/>
    </row>
    <row r="212" spans="2:9" x14ac:dyDescent="0.2">
      <c r="B212" s="209">
        <v>41744</v>
      </c>
      <c r="C212" t="s">
        <v>7260</v>
      </c>
      <c r="D212" s="137">
        <v>-66</v>
      </c>
      <c r="E212" t="b">
        <f t="shared" si="2"/>
        <v>1</v>
      </c>
      <c r="F212"/>
      <c r="G212"/>
      <c r="H212"/>
      <c r="I212"/>
    </row>
    <row r="213" spans="2:9" x14ac:dyDescent="0.2">
      <c r="B213" s="209">
        <v>41744</v>
      </c>
      <c r="C213" t="s">
        <v>7260</v>
      </c>
      <c r="D213" s="137">
        <v>-22.53</v>
      </c>
      <c r="E213" t="b">
        <f t="shared" ref="E213:E276" si="3">ROUND(SUMIF($C$21:$C$260,C213,$D$21:$D$260),2) = 0</f>
        <v>1</v>
      </c>
      <c r="F213"/>
      <c r="G213"/>
      <c r="H213"/>
      <c r="I213"/>
    </row>
    <row r="214" spans="2:9" x14ac:dyDescent="0.2">
      <c r="B214" s="209">
        <v>41744</v>
      </c>
      <c r="C214" t="s">
        <v>7260</v>
      </c>
      <c r="D214" s="137">
        <v>-5.04</v>
      </c>
      <c r="E214" t="b">
        <f t="shared" si="3"/>
        <v>1</v>
      </c>
      <c r="F214"/>
      <c r="G214"/>
      <c r="H214"/>
      <c r="I214"/>
    </row>
    <row r="215" spans="2:9" x14ac:dyDescent="0.2">
      <c r="B215" s="209">
        <v>41744</v>
      </c>
      <c r="C215" t="s">
        <v>7260</v>
      </c>
      <c r="D215" s="137">
        <v>-9.23</v>
      </c>
      <c r="E215" t="b">
        <f t="shared" si="3"/>
        <v>1</v>
      </c>
      <c r="F215"/>
      <c r="G215"/>
      <c r="H215"/>
      <c r="I215"/>
    </row>
    <row r="216" spans="2:9" x14ac:dyDescent="0.2">
      <c r="B216" s="209">
        <v>41744</v>
      </c>
      <c r="C216" t="s">
        <v>7260</v>
      </c>
      <c r="D216" s="137">
        <v>-9.23</v>
      </c>
      <c r="E216" t="b">
        <f t="shared" si="3"/>
        <v>1</v>
      </c>
      <c r="F216"/>
      <c r="G216"/>
      <c r="H216"/>
      <c r="I216"/>
    </row>
    <row r="217" spans="2:9" x14ac:dyDescent="0.2">
      <c r="B217" s="209">
        <v>41743</v>
      </c>
      <c r="C217" t="s">
        <v>7261</v>
      </c>
      <c r="D217" s="137">
        <v>13.22</v>
      </c>
      <c r="E217" t="b">
        <f t="shared" si="3"/>
        <v>1</v>
      </c>
      <c r="F217"/>
      <c r="G217"/>
      <c r="H217"/>
      <c r="I217"/>
    </row>
    <row r="218" spans="2:9" x14ac:dyDescent="0.2">
      <c r="B218" s="209">
        <v>41743</v>
      </c>
      <c r="C218" t="s">
        <v>7261</v>
      </c>
      <c r="D218" s="137">
        <v>90.79</v>
      </c>
      <c r="E218" t="b">
        <f t="shared" si="3"/>
        <v>1</v>
      </c>
      <c r="F218"/>
      <c r="G218"/>
      <c r="H218"/>
      <c r="I218"/>
    </row>
    <row r="219" spans="2:9" x14ac:dyDescent="0.2">
      <c r="B219" s="209">
        <v>41743</v>
      </c>
      <c r="C219" t="s">
        <v>7261</v>
      </c>
      <c r="D219" s="137">
        <v>-7.12</v>
      </c>
      <c r="E219" t="b">
        <f t="shared" si="3"/>
        <v>1</v>
      </c>
      <c r="F219"/>
      <c r="G219"/>
      <c r="H219"/>
      <c r="I219"/>
    </row>
    <row r="220" spans="2:9" x14ac:dyDescent="0.2">
      <c r="B220" s="209">
        <v>41744</v>
      </c>
      <c r="C220" t="s">
        <v>7261</v>
      </c>
      <c r="D220" s="137">
        <v>-49.95</v>
      </c>
      <c r="E220" t="b">
        <f t="shared" si="3"/>
        <v>1</v>
      </c>
      <c r="F220"/>
      <c r="G220"/>
      <c r="H220"/>
      <c r="I220"/>
    </row>
    <row r="221" spans="2:9" x14ac:dyDescent="0.2">
      <c r="B221" s="209">
        <v>41744</v>
      </c>
      <c r="C221" t="s">
        <v>7261</v>
      </c>
      <c r="D221" s="137">
        <v>-20.5</v>
      </c>
      <c r="E221" t="b">
        <f t="shared" si="3"/>
        <v>1</v>
      </c>
      <c r="F221"/>
      <c r="G221"/>
      <c r="H221"/>
      <c r="I221"/>
    </row>
    <row r="222" spans="2:9" x14ac:dyDescent="0.2">
      <c r="B222" s="209">
        <v>41744</v>
      </c>
      <c r="C222" t="s">
        <v>7261</v>
      </c>
      <c r="D222" s="137">
        <v>-13.22</v>
      </c>
      <c r="E222" t="b">
        <f t="shared" si="3"/>
        <v>1</v>
      </c>
      <c r="F222"/>
      <c r="G222"/>
      <c r="H222"/>
      <c r="I222"/>
    </row>
    <row r="223" spans="2:9" x14ac:dyDescent="0.2">
      <c r="B223" s="209">
        <v>41744</v>
      </c>
      <c r="C223" t="s">
        <v>7261</v>
      </c>
      <c r="D223" s="137">
        <v>-13.22</v>
      </c>
      <c r="E223" t="b">
        <f t="shared" si="3"/>
        <v>1</v>
      </c>
      <c r="F223"/>
      <c r="G223"/>
      <c r="H223"/>
      <c r="I223"/>
    </row>
    <row r="224" spans="2:9" x14ac:dyDescent="0.2">
      <c r="B224" s="209">
        <v>41738</v>
      </c>
      <c r="C224" t="s">
        <v>7262</v>
      </c>
      <c r="D224" s="137">
        <v>341.42</v>
      </c>
      <c r="E224" t="b">
        <f t="shared" si="3"/>
        <v>0</v>
      </c>
      <c r="F224"/>
      <c r="G224"/>
      <c r="H224"/>
      <c r="I224"/>
    </row>
    <row r="225" spans="2:9" x14ac:dyDescent="0.2">
      <c r="B225" s="209">
        <v>41738</v>
      </c>
      <c r="C225" t="s">
        <v>7262</v>
      </c>
      <c r="D225" s="137">
        <v>36.520000000000003</v>
      </c>
      <c r="E225" t="b">
        <f t="shared" si="3"/>
        <v>0</v>
      </c>
      <c r="F225"/>
      <c r="G225"/>
      <c r="H225"/>
      <c r="I225"/>
    </row>
    <row r="226" spans="2:9" x14ac:dyDescent="0.2">
      <c r="B226" s="209">
        <v>41738</v>
      </c>
      <c r="C226" t="s">
        <v>7262</v>
      </c>
      <c r="D226" s="137">
        <v>-14.24</v>
      </c>
      <c r="E226" t="b">
        <f t="shared" si="3"/>
        <v>0</v>
      </c>
      <c r="F226"/>
      <c r="G226"/>
      <c r="H226"/>
      <c r="I226"/>
    </row>
    <row r="227" spans="2:9" x14ac:dyDescent="0.2">
      <c r="B227" s="209">
        <v>41738</v>
      </c>
      <c r="C227" t="s">
        <v>7262</v>
      </c>
      <c r="D227" s="137">
        <v>-27.69</v>
      </c>
      <c r="E227" t="b">
        <f t="shared" si="3"/>
        <v>0</v>
      </c>
      <c r="F227"/>
      <c r="G227"/>
      <c r="H227"/>
      <c r="I227"/>
    </row>
    <row r="228" spans="2:9" x14ac:dyDescent="0.2">
      <c r="B228" s="209">
        <v>41738</v>
      </c>
      <c r="C228" t="s">
        <v>7262</v>
      </c>
      <c r="D228" s="137">
        <v>50.28</v>
      </c>
      <c r="E228" t="b">
        <f t="shared" si="3"/>
        <v>0</v>
      </c>
      <c r="F228"/>
      <c r="G228"/>
      <c r="H228"/>
      <c r="I228"/>
    </row>
    <row r="229" spans="2:9" x14ac:dyDescent="0.2">
      <c r="B229" s="209">
        <v>41739</v>
      </c>
      <c r="C229" t="s">
        <v>7262</v>
      </c>
      <c r="D229" s="137">
        <v>-41.46</v>
      </c>
      <c r="E229" t="b">
        <f t="shared" si="3"/>
        <v>0</v>
      </c>
      <c r="F229"/>
      <c r="G229"/>
      <c r="H229"/>
      <c r="I229"/>
    </row>
    <row r="230" spans="2:9" x14ac:dyDescent="0.2">
      <c r="B230" s="209">
        <v>41740</v>
      </c>
      <c r="C230" t="s">
        <v>7262</v>
      </c>
      <c r="D230" s="137">
        <v>-65.44</v>
      </c>
      <c r="E230" t="b">
        <f t="shared" si="3"/>
        <v>0</v>
      </c>
      <c r="F230"/>
      <c r="G230"/>
      <c r="H230"/>
      <c r="I230"/>
    </row>
    <row r="231" spans="2:9" x14ac:dyDescent="0.2">
      <c r="B231" s="209">
        <v>41740</v>
      </c>
      <c r="C231" t="s">
        <v>7262</v>
      </c>
      <c r="D231" s="137">
        <v>-49.95</v>
      </c>
      <c r="E231" t="b">
        <f t="shared" si="3"/>
        <v>0</v>
      </c>
      <c r="F231"/>
      <c r="G231"/>
      <c r="H231"/>
      <c r="I231"/>
    </row>
    <row r="232" spans="2:9" x14ac:dyDescent="0.2">
      <c r="B232" s="209">
        <v>41740</v>
      </c>
      <c r="C232" t="s">
        <v>7262</v>
      </c>
      <c r="D232" s="137">
        <v>-25.2</v>
      </c>
      <c r="E232" t="b">
        <f t="shared" si="3"/>
        <v>0</v>
      </c>
      <c r="F232"/>
      <c r="G232"/>
      <c r="H232"/>
      <c r="I232"/>
    </row>
    <row r="233" spans="2:9" x14ac:dyDescent="0.2">
      <c r="B233" s="209">
        <v>41740</v>
      </c>
      <c r="C233" t="s">
        <v>7262</v>
      </c>
      <c r="D233" s="137">
        <v>-9.23</v>
      </c>
      <c r="E233" t="b">
        <f t="shared" si="3"/>
        <v>0</v>
      </c>
      <c r="F233"/>
      <c r="G233"/>
      <c r="H233"/>
      <c r="I233"/>
    </row>
    <row r="234" spans="2:9" x14ac:dyDescent="0.2">
      <c r="B234" s="209">
        <v>41741</v>
      </c>
      <c r="C234" t="s">
        <v>7262</v>
      </c>
      <c r="D234" s="137">
        <v>-20.16</v>
      </c>
      <c r="E234" t="b">
        <f t="shared" si="3"/>
        <v>0</v>
      </c>
      <c r="F234"/>
      <c r="G234"/>
      <c r="H234"/>
      <c r="I234"/>
    </row>
    <row r="235" spans="2:9" x14ac:dyDescent="0.2">
      <c r="B235" s="209">
        <v>41742</v>
      </c>
      <c r="C235" t="s">
        <v>7262</v>
      </c>
      <c r="D235" s="137">
        <v>-37.770000000000003</v>
      </c>
      <c r="E235" t="b">
        <f t="shared" si="3"/>
        <v>0</v>
      </c>
      <c r="F235"/>
      <c r="G235"/>
      <c r="H235"/>
      <c r="I235"/>
    </row>
    <row r="236" spans="2:9" x14ac:dyDescent="0.2">
      <c r="B236" s="209">
        <v>41742</v>
      </c>
      <c r="C236" t="s">
        <v>7262</v>
      </c>
      <c r="D236" s="137">
        <v>-20.16</v>
      </c>
      <c r="E236" t="b">
        <f t="shared" si="3"/>
        <v>0</v>
      </c>
      <c r="F236"/>
      <c r="G236"/>
      <c r="H236"/>
      <c r="I236"/>
    </row>
    <row r="237" spans="2:9" x14ac:dyDescent="0.2">
      <c r="B237" s="209">
        <v>41742</v>
      </c>
      <c r="C237" t="s">
        <v>7262</v>
      </c>
      <c r="D237" s="137">
        <v>-16.36</v>
      </c>
      <c r="E237" t="b">
        <f t="shared" si="3"/>
        <v>0</v>
      </c>
      <c r="F237"/>
      <c r="G237"/>
      <c r="H237"/>
      <c r="I237"/>
    </row>
    <row r="238" spans="2:9" x14ac:dyDescent="0.2">
      <c r="B238" s="209">
        <v>41732</v>
      </c>
      <c r="C238" t="s">
        <v>7263</v>
      </c>
      <c r="D238" s="137">
        <v>-38.909999999999997</v>
      </c>
      <c r="E238" t="b">
        <f t="shared" si="3"/>
        <v>1</v>
      </c>
      <c r="F238"/>
      <c r="G238"/>
      <c r="H238"/>
      <c r="I238"/>
    </row>
    <row r="239" spans="2:9" x14ac:dyDescent="0.2">
      <c r="B239" s="209">
        <v>41733</v>
      </c>
      <c r="C239" t="s">
        <v>7263</v>
      </c>
      <c r="D239" s="137">
        <v>-12.41</v>
      </c>
      <c r="E239" t="b">
        <f t="shared" si="3"/>
        <v>1</v>
      </c>
      <c r="F239"/>
      <c r="G239"/>
      <c r="H239"/>
      <c r="I239"/>
    </row>
    <row r="240" spans="2:9" x14ac:dyDescent="0.2">
      <c r="B240" s="209">
        <v>41733</v>
      </c>
      <c r="C240" t="s">
        <v>7263</v>
      </c>
      <c r="D240" s="137">
        <v>326.27999999999997</v>
      </c>
      <c r="E240" t="b">
        <f t="shared" si="3"/>
        <v>1</v>
      </c>
      <c r="F240"/>
      <c r="G240"/>
      <c r="H240"/>
      <c r="I240"/>
    </row>
    <row r="241" spans="2:9" x14ac:dyDescent="0.2">
      <c r="B241" s="209">
        <v>41733</v>
      </c>
      <c r="C241" t="s">
        <v>7263</v>
      </c>
      <c r="D241" s="137">
        <v>843.9</v>
      </c>
      <c r="E241" t="b">
        <f t="shared" si="3"/>
        <v>1</v>
      </c>
      <c r="F241"/>
      <c r="G241"/>
      <c r="H241"/>
      <c r="I241"/>
    </row>
    <row r="242" spans="2:9" x14ac:dyDescent="0.2">
      <c r="B242" s="209">
        <v>41733</v>
      </c>
      <c r="C242" t="s">
        <v>7263</v>
      </c>
      <c r="D242" s="137">
        <v>38.909999999999997</v>
      </c>
      <c r="E242" t="b">
        <f t="shared" si="3"/>
        <v>1</v>
      </c>
      <c r="F242"/>
      <c r="G242"/>
      <c r="H242"/>
      <c r="I242"/>
    </row>
    <row r="243" spans="2:9" x14ac:dyDescent="0.2">
      <c r="B243" s="209">
        <v>41733</v>
      </c>
      <c r="C243" t="s">
        <v>7263</v>
      </c>
      <c r="D243" s="137">
        <v>144.41</v>
      </c>
      <c r="E243" t="b">
        <f t="shared" si="3"/>
        <v>1</v>
      </c>
      <c r="F243"/>
      <c r="G243"/>
      <c r="H243"/>
      <c r="I243"/>
    </row>
    <row r="244" spans="2:9" x14ac:dyDescent="0.2">
      <c r="B244" s="209">
        <v>41733</v>
      </c>
      <c r="C244" t="s">
        <v>7263</v>
      </c>
      <c r="D244" s="137">
        <v>-173.7</v>
      </c>
      <c r="E244" t="b">
        <f t="shared" si="3"/>
        <v>1</v>
      </c>
      <c r="F244"/>
      <c r="G244"/>
      <c r="H244"/>
      <c r="I244"/>
    </row>
    <row r="245" spans="2:9" x14ac:dyDescent="0.2">
      <c r="B245" s="209">
        <v>41733</v>
      </c>
      <c r="C245" t="s">
        <v>7263</v>
      </c>
      <c r="D245" s="137">
        <v>-25.2</v>
      </c>
      <c r="E245" t="b">
        <f t="shared" si="3"/>
        <v>1</v>
      </c>
      <c r="F245"/>
      <c r="G245"/>
      <c r="H245"/>
      <c r="I245"/>
    </row>
    <row r="246" spans="2:9" x14ac:dyDescent="0.2">
      <c r="B246" s="209">
        <v>41733</v>
      </c>
      <c r="C246" t="s">
        <v>7263</v>
      </c>
      <c r="D246" s="137">
        <v>-105.14</v>
      </c>
      <c r="E246" t="b">
        <f t="shared" si="3"/>
        <v>1</v>
      </c>
      <c r="F246"/>
      <c r="G246"/>
      <c r="H246"/>
      <c r="I246"/>
    </row>
    <row r="247" spans="2:9" x14ac:dyDescent="0.2">
      <c r="B247" s="209">
        <v>41734</v>
      </c>
      <c r="C247" t="s">
        <v>7263</v>
      </c>
      <c r="D247" s="137">
        <v>-75.099999999999994</v>
      </c>
      <c r="E247" t="b">
        <f t="shared" si="3"/>
        <v>1</v>
      </c>
      <c r="F247"/>
      <c r="G247"/>
      <c r="H247"/>
      <c r="I247"/>
    </row>
    <row r="248" spans="2:9" x14ac:dyDescent="0.2">
      <c r="B248" s="209">
        <v>41734</v>
      </c>
      <c r="C248" t="s">
        <v>7263</v>
      </c>
      <c r="D248" s="137">
        <v>-50.4</v>
      </c>
      <c r="E248" t="b">
        <f t="shared" si="3"/>
        <v>1</v>
      </c>
      <c r="F248"/>
      <c r="G248"/>
      <c r="H248"/>
      <c r="I248"/>
    </row>
    <row r="249" spans="2:9" x14ac:dyDescent="0.2">
      <c r="B249" s="209">
        <v>41735</v>
      </c>
      <c r="C249" t="s">
        <v>7263</v>
      </c>
      <c r="D249" s="137">
        <v>-56</v>
      </c>
      <c r="E249" t="b">
        <f t="shared" si="3"/>
        <v>1</v>
      </c>
      <c r="F249"/>
      <c r="G249"/>
      <c r="H249"/>
      <c r="I249"/>
    </row>
    <row r="250" spans="2:9" x14ac:dyDescent="0.2">
      <c r="B250" s="209">
        <v>41735</v>
      </c>
      <c r="C250" t="s">
        <v>7263</v>
      </c>
      <c r="D250" s="137">
        <v>-263.25</v>
      </c>
      <c r="E250" t="b">
        <f t="shared" si="3"/>
        <v>1</v>
      </c>
      <c r="F250"/>
      <c r="G250"/>
      <c r="H250"/>
      <c r="I250"/>
    </row>
    <row r="251" spans="2:9" x14ac:dyDescent="0.2">
      <c r="B251" s="209">
        <v>41735</v>
      </c>
      <c r="C251" t="s">
        <v>7263</v>
      </c>
      <c r="D251" s="137">
        <v>-31.38</v>
      </c>
      <c r="E251" t="b">
        <f t="shared" si="3"/>
        <v>1</v>
      </c>
      <c r="F251"/>
      <c r="G251"/>
      <c r="H251"/>
      <c r="I251"/>
    </row>
    <row r="252" spans="2:9" x14ac:dyDescent="0.2">
      <c r="B252" s="209">
        <v>41735</v>
      </c>
      <c r="C252" t="s">
        <v>7263</v>
      </c>
      <c r="D252" s="137">
        <v>-12.41</v>
      </c>
      <c r="E252" t="b">
        <f t="shared" si="3"/>
        <v>1</v>
      </c>
      <c r="F252"/>
      <c r="G252"/>
      <c r="H252"/>
      <c r="I252"/>
    </row>
    <row r="253" spans="2:9" x14ac:dyDescent="0.2">
      <c r="B253" s="209">
        <v>41735</v>
      </c>
      <c r="C253" t="s">
        <v>7263</v>
      </c>
      <c r="D253" s="137">
        <v>-38.909999999999997</v>
      </c>
      <c r="E253" t="b">
        <f t="shared" si="3"/>
        <v>1</v>
      </c>
      <c r="F253"/>
      <c r="G253"/>
      <c r="H253"/>
      <c r="I253"/>
    </row>
    <row r="254" spans="2:9" x14ac:dyDescent="0.2">
      <c r="B254" s="209">
        <v>41736</v>
      </c>
      <c r="C254" t="s">
        <v>7263</v>
      </c>
      <c r="D254" s="137">
        <v>-132</v>
      </c>
      <c r="E254" t="b">
        <f t="shared" si="3"/>
        <v>1</v>
      </c>
      <c r="F254"/>
      <c r="G254"/>
      <c r="H254"/>
      <c r="I254"/>
    </row>
    <row r="255" spans="2:9" x14ac:dyDescent="0.2">
      <c r="B255" s="209">
        <v>41736</v>
      </c>
      <c r="C255" t="s">
        <v>7263</v>
      </c>
      <c r="D255" s="137">
        <v>-12.41</v>
      </c>
      <c r="E255" t="b">
        <f t="shared" si="3"/>
        <v>1</v>
      </c>
      <c r="F255"/>
      <c r="G255"/>
      <c r="H255"/>
      <c r="I255"/>
    </row>
    <row r="256" spans="2:9" x14ac:dyDescent="0.2">
      <c r="B256" s="209">
        <v>41737</v>
      </c>
      <c r="C256" t="s">
        <v>7263</v>
      </c>
      <c r="D256" s="137">
        <v>-301.14</v>
      </c>
      <c r="E256" t="b">
        <f t="shared" si="3"/>
        <v>1</v>
      </c>
      <c r="F256"/>
      <c r="G256"/>
      <c r="H256"/>
      <c r="I256"/>
    </row>
    <row r="257" spans="2:9" x14ac:dyDescent="0.2">
      <c r="B257" s="209">
        <v>41737</v>
      </c>
      <c r="C257" t="s">
        <v>7263</v>
      </c>
      <c r="D257" s="137">
        <v>-25.14</v>
      </c>
      <c r="E257" t="b">
        <f t="shared" si="3"/>
        <v>1</v>
      </c>
      <c r="F257"/>
      <c r="G257"/>
      <c r="H257"/>
      <c r="I257"/>
    </row>
    <row r="258" spans="2:9" x14ac:dyDescent="0.2">
      <c r="B258" s="209">
        <v>41732</v>
      </c>
      <c r="C258" t="s">
        <v>7264</v>
      </c>
      <c r="D258" s="137">
        <v>1663.6</v>
      </c>
      <c r="E258" t="b">
        <f t="shared" si="3"/>
        <v>0</v>
      </c>
      <c r="F258"/>
      <c r="G258"/>
      <c r="H258"/>
      <c r="I258"/>
    </row>
    <row r="259" spans="2:9" x14ac:dyDescent="0.2">
      <c r="B259" s="209">
        <v>41732</v>
      </c>
      <c r="C259" t="s">
        <v>7265</v>
      </c>
      <c r="D259" s="137">
        <v>16.25</v>
      </c>
      <c r="E259" t="b">
        <f t="shared" si="3"/>
        <v>0</v>
      </c>
      <c r="F259"/>
      <c r="G259"/>
      <c r="H259"/>
      <c r="I259"/>
    </row>
    <row r="260" spans="2:9" x14ac:dyDescent="0.2">
      <c r="B260" s="209">
        <v>41732</v>
      </c>
      <c r="C260" t="s">
        <v>7266</v>
      </c>
      <c r="D260" s="137">
        <v>-22.53</v>
      </c>
      <c r="E260" t="b">
        <f t="shared" si="3"/>
        <v>0</v>
      </c>
      <c r="F260"/>
      <c r="G260"/>
      <c r="H260"/>
      <c r="I260"/>
    </row>
    <row r="261" spans="2:9" x14ac:dyDescent="0.2">
      <c r="B261" s="209">
        <v>41732</v>
      </c>
      <c r="C261" t="s">
        <v>7267</v>
      </c>
      <c r="D261" s="137">
        <v>67.400000000000006</v>
      </c>
      <c r="E261" t="b">
        <f t="shared" si="3"/>
        <v>1</v>
      </c>
      <c r="F261"/>
      <c r="G261"/>
      <c r="H261"/>
      <c r="I261"/>
    </row>
    <row r="262" spans="2:9" x14ac:dyDescent="0.2">
      <c r="B262" s="209">
        <v>41731</v>
      </c>
      <c r="C262" t="s">
        <v>7268</v>
      </c>
      <c r="D262" s="137">
        <v>63.64</v>
      </c>
      <c r="E262" t="b">
        <f t="shared" si="3"/>
        <v>1</v>
      </c>
      <c r="F262"/>
      <c r="G262"/>
      <c r="H262"/>
      <c r="I262"/>
    </row>
    <row r="263" spans="2:9" x14ac:dyDescent="0.2">
      <c r="B263" s="209">
        <v>41731</v>
      </c>
      <c r="C263" t="s">
        <v>7268</v>
      </c>
      <c r="D263" s="137">
        <v>159.97999999999999</v>
      </c>
      <c r="E263" t="b">
        <f t="shared" si="3"/>
        <v>1</v>
      </c>
      <c r="F263"/>
      <c r="G263"/>
      <c r="H263"/>
      <c r="I263"/>
    </row>
    <row r="264" spans="2:9" x14ac:dyDescent="0.2">
      <c r="B264" s="209">
        <v>41732</v>
      </c>
      <c r="C264" t="s">
        <v>7268</v>
      </c>
      <c r="D264" s="137">
        <v>-63.64</v>
      </c>
      <c r="E264" t="b">
        <f t="shared" si="3"/>
        <v>1</v>
      </c>
      <c r="F264"/>
      <c r="G264"/>
      <c r="H264"/>
      <c r="I264"/>
    </row>
    <row r="265" spans="2:9" x14ac:dyDescent="0.2">
      <c r="B265" s="209">
        <v>41732</v>
      </c>
      <c r="C265" t="s">
        <v>7268</v>
      </c>
      <c r="D265" s="137">
        <v>-160</v>
      </c>
      <c r="E265" t="b">
        <f t="shared" si="3"/>
        <v>1</v>
      </c>
      <c r="F265"/>
      <c r="G265"/>
      <c r="H265"/>
      <c r="I265"/>
    </row>
    <row r="266" spans="2:9" x14ac:dyDescent="0.2">
      <c r="B266" s="209">
        <v>41731</v>
      </c>
      <c r="C266" t="s">
        <v>7269</v>
      </c>
      <c r="D266" s="137">
        <v>27.72</v>
      </c>
      <c r="E266" t="b">
        <f t="shared" si="3"/>
        <v>1</v>
      </c>
      <c r="F266"/>
      <c r="G266"/>
      <c r="H266"/>
      <c r="I266"/>
    </row>
    <row r="267" spans="2:9" x14ac:dyDescent="0.2">
      <c r="B267" s="209">
        <v>41731</v>
      </c>
      <c r="C267" t="s">
        <v>7270</v>
      </c>
      <c r="D267" s="137">
        <v>77.72</v>
      </c>
      <c r="E267" t="b">
        <f t="shared" si="3"/>
        <v>1</v>
      </c>
      <c r="F267"/>
      <c r="G267"/>
      <c r="H267"/>
      <c r="I267"/>
    </row>
    <row r="268" spans="2:9" x14ac:dyDescent="0.2">
      <c r="B268" s="209">
        <v>41730</v>
      </c>
      <c r="C268" t="s">
        <v>7271</v>
      </c>
      <c r="D268" s="137">
        <v>223.57</v>
      </c>
      <c r="E268" t="b">
        <f t="shared" si="3"/>
        <v>1</v>
      </c>
      <c r="F268"/>
      <c r="G268"/>
      <c r="H268"/>
      <c r="I268"/>
    </row>
    <row r="269" spans="2:9" x14ac:dyDescent="0.2">
      <c r="B269" s="209">
        <v>41730</v>
      </c>
      <c r="C269" t="s">
        <v>7271</v>
      </c>
      <c r="D269" s="137">
        <v>-219.32</v>
      </c>
      <c r="E269" t="b">
        <f t="shared" si="3"/>
        <v>1</v>
      </c>
      <c r="F269"/>
      <c r="G269"/>
      <c r="H269"/>
      <c r="I269"/>
    </row>
    <row r="270" spans="2:9" x14ac:dyDescent="0.2">
      <c r="B270" s="209">
        <v>41730</v>
      </c>
      <c r="C270" t="s">
        <v>7272</v>
      </c>
      <c r="D270" s="137">
        <v>118.49</v>
      </c>
      <c r="E270" t="b">
        <f t="shared" si="3"/>
        <v>1</v>
      </c>
      <c r="F270"/>
      <c r="G270"/>
      <c r="H270"/>
      <c r="I270"/>
    </row>
    <row r="271" spans="2:9" x14ac:dyDescent="0.2">
      <c r="B271" s="209">
        <v>41730</v>
      </c>
      <c r="C271" t="s">
        <v>7272</v>
      </c>
      <c r="D271" s="137">
        <v>276.2</v>
      </c>
      <c r="E271" t="b">
        <f t="shared" si="3"/>
        <v>1</v>
      </c>
      <c r="F271"/>
      <c r="G271"/>
      <c r="H271"/>
      <c r="I271"/>
    </row>
    <row r="272" spans="2:9" x14ac:dyDescent="0.2">
      <c r="B272" s="209">
        <v>41730</v>
      </c>
      <c r="C272" t="s">
        <v>7272</v>
      </c>
      <c r="D272" s="137">
        <v>-260.25</v>
      </c>
      <c r="E272" t="b">
        <f t="shared" si="3"/>
        <v>1</v>
      </c>
      <c r="F272"/>
      <c r="G272"/>
      <c r="H272"/>
      <c r="I272"/>
    </row>
    <row r="273" spans="2:9" x14ac:dyDescent="0.2">
      <c r="B273" s="209">
        <v>41730</v>
      </c>
      <c r="C273" t="s">
        <v>7272</v>
      </c>
      <c r="D273" s="137">
        <v>-102.54</v>
      </c>
      <c r="E273" t="b">
        <f t="shared" si="3"/>
        <v>1</v>
      </c>
      <c r="F273"/>
      <c r="G273"/>
      <c r="H273"/>
      <c r="I273"/>
    </row>
    <row r="274" spans="2:9" x14ac:dyDescent="0.2">
      <c r="B274" s="209">
        <v>41730</v>
      </c>
      <c r="C274" t="s">
        <v>7273</v>
      </c>
      <c r="D274" s="137">
        <v>872.34</v>
      </c>
      <c r="E274" t="b">
        <f t="shared" si="3"/>
        <v>1</v>
      </c>
      <c r="F274"/>
      <c r="G274"/>
      <c r="H274"/>
      <c r="I274"/>
    </row>
    <row r="275" spans="2:9" x14ac:dyDescent="0.2">
      <c r="B275" s="209">
        <v>41731</v>
      </c>
      <c r="C275" t="s">
        <v>7273</v>
      </c>
      <c r="D275" s="137">
        <v>-152.88</v>
      </c>
      <c r="E275" t="b">
        <f t="shared" si="3"/>
        <v>1</v>
      </c>
      <c r="F275"/>
      <c r="G275"/>
      <c r="H275"/>
      <c r="I275"/>
    </row>
    <row r="276" spans="2:9" x14ac:dyDescent="0.2">
      <c r="B276" s="209">
        <v>41731</v>
      </c>
      <c r="C276" t="s">
        <v>7273</v>
      </c>
      <c r="D276" s="137">
        <v>-291.69</v>
      </c>
      <c r="E276" t="b">
        <f t="shared" si="3"/>
        <v>1</v>
      </c>
      <c r="F276"/>
      <c r="G276"/>
      <c r="H276"/>
      <c r="I276"/>
    </row>
    <row r="277" spans="2:9" x14ac:dyDescent="0.2">
      <c r="B277" s="209">
        <v>41730</v>
      </c>
      <c r="C277" t="s">
        <v>7273</v>
      </c>
      <c r="D277" s="137">
        <v>-427.77</v>
      </c>
      <c r="E277" t="b">
        <f t="shared" ref="E277:E278" si="4">ROUND(SUMIF($C$21:$C$260,C277,$D$21:$D$260),2) = 0</f>
        <v>1</v>
      </c>
      <c r="F277"/>
      <c r="G277"/>
      <c r="H277"/>
      <c r="I277"/>
    </row>
    <row r="278" spans="2:9" x14ac:dyDescent="0.2">
      <c r="B278" s="209">
        <v>41730</v>
      </c>
      <c r="C278" t="s">
        <v>7274</v>
      </c>
      <c r="D278" s="137">
        <v>2.64</v>
      </c>
      <c r="E278" t="b">
        <f t="shared" si="4"/>
        <v>1</v>
      </c>
      <c r="F278"/>
      <c r="G278"/>
      <c r="H278"/>
      <c r="I278"/>
    </row>
  </sheetData>
  <mergeCells count="1">
    <mergeCell ref="H20:I20"/>
  </mergeCells>
  <conditionalFormatting sqref="B21:D278">
    <cfRule type="expression" dxfId="23" priority="1">
      <formula>#REF!</formula>
    </cfRule>
  </conditionalFormatting>
  <printOptions horizontalCentered="1"/>
  <pageMargins left="0.39370078740157483" right="0.39370078740157483" top="0.39370078740157483" bottom="0.39370078740157483" header="0.39370078740157483" footer="0.39370078740157483"/>
  <pageSetup paperSize="9" scale="92" orientation="landscape" r:id="rId1"/>
  <headerFooter alignWithMargins="0">
    <oddHeader>&amp;F</oddHeader>
    <oddFooter>Page &amp;P of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O53"/>
  <sheetViews>
    <sheetView showGridLines="0" zoomScaleNormal="100" workbookViewId="0"/>
  </sheetViews>
  <sheetFormatPr defaultColWidth="9" defaultRowHeight="12.75" x14ac:dyDescent="0.2"/>
  <cols>
    <col min="1" max="1" width="10.875" style="4" customWidth="1"/>
    <col min="2" max="2" width="3.75" style="5" customWidth="1"/>
    <col min="3" max="3" width="10.625" style="4" customWidth="1"/>
    <col min="4" max="4" width="11.375" style="4" customWidth="1"/>
    <col min="5" max="5" width="9.875" style="4" customWidth="1"/>
    <col min="6" max="6" width="18.5" style="4" customWidth="1"/>
    <col min="7" max="7" width="14" style="4" customWidth="1"/>
    <col min="8" max="8" width="11.625" style="4" customWidth="1"/>
    <col min="9" max="9" width="15" style="4" customWidth="1"/>
    <col min="10" max="11" width="9" style="4"/>
    <col min="12" max="12" width="12.25" style="4" customWidth="1"/>
    <col min="13" max="14" width="9" style="4"/>
    <col min="15" max="15" width="10.75" style="4" customWidth="1"/>
    <col min="16" max="16384" width="9" style="4"/>
  </cols>
  <sheetData>
    <row r="1" spans="2:15" ht="33.75" customHeight="1" x14ac:dyDescent="0.2"/>
    <row r="2" spans="2:15" s="6" customFormat="1" ht="14.25" x14ac:dyDescent="0.2">
      <c r="B2" s="18"/>
    </row>
    <row r="3" spans="2:15" ht="17.25" customHeight="1" x14ac:dyDescent="0.2"/>
    <row r="5" spans="2:15" ht="14.25" x14ac:dyDescent="0.2">
      <c r="B5" s="205" t="s">
        <v>6814</v>
      </c>
      <c r="C5" s="138" t="s">
        <v>2422</v>
      </c>
      <c r="D5" s="138" t="s">
        <v>48</v>
      </c>
      <c r="E5" s="138" t="s">
        <v>47</v>
      </c>
      <c r="F5" s="138" t="s">
        <v>7102</v>
      </c>
      <c r="G5" s="138" t="s">
        <v>8200</v>
      </c>
      <c r="H5" s="138" t="s">
        <v>6855</v>
      </c>
      <c r="I5" s="138" t="s">
        <v>8201</v>
      </c>
      <c r="L5" s="138" t="s">
        <v>120</v>
      </c>
      <c r="M5" s="138" t="s">
        <v>8069</v>
      </c>
      <c r="N5" s="138" t="s">
        <v>8072</v>
      </c>
      <c r="O5" s="138" t="s">
        <v>7080</v>
      </c>
    </row>
    <row r="6" spans="2:15" x14ac:dyDescent="0.2">
      <c r="B6" s="206">
        <v>1</v>
      </c>
      <c r="C6" s="139" t="s">
        <v>8167</v>
      </c>
      <c r="D6" s="139" t="s">
        <v>7141</v>
      </c>
      <c r="E6" s="139" t="s">
        <v>17</v>
      </c>
      <c r="F6" s="139" t="s">
        <v>54</v>
      </c>
      <c r="G6" s="139" t="s">
        <v>53</v>
      </c>
      <c r="H6" s="140">
        <v>2432</v>
      </c>
      <c r="I6" s="141">
        <v>38274</v>
      </c>
      <c r="L6" s="139" t="s">
        <v>86</v>
      </c>
      <c r="M6" s="139" t="s">
        <v>8070</v>
      </c>
      <c r="N6" s="139">
        <f>--SUBTOTAL(3,$M$6:M6)</f>
        <v>1</v>
      </c>
      <c r="O6" s="139" t="str">
        <f>IF(M6="yes",L6,"")</f>
        <v>Admin</v>
      </c>
    </row>
    <row r="7" spans="2:15" x14ac:dyDescent="0.2">
      <c r="B7" s="206">
        <v>2</v>
      </c>
      <c r="C7" s="139" t="s">
        <v>107</v>
      </c>
      <c r="D7" s="139" t="s">
        <v>106</v>
      </c>
      <c r="E7" s="139" t="s">
        <v>21</v>
      </c>
      <c r="F7" s="139" t="s">
        <v>105</v>
      </c>
      <c r="G7" s="139" t="s">
        <v>63</v>
      </c>
      <c r="H7" s="140">
        <v>8451</v>
      </c>
      <c r="I7" s="141">
        <v>35675</v>
      </c>
      <c r="L7" s="139" t="s">
        <v>63</v>
      </c>
      <c r="M7" s="139" t="s">
        <v>8070</v>
      </c>
      <c r="N7" s="139">
        <f>--SUBTOTAL(3,$M$6:M7)</f>
        <v>2</v>
      </c>
      <c r="O7" s="139" t="str">
        <f t="shared" ref="O7:O10" si="0">IF(M7="yes",L7,"")</f>
        <v>Engineering</v>
      </c>
    </row>
    <row r="8" spans="2:15" x14ac:dyDescent="0.2">
      <c r="B8" s="206">
        <v>3</v>
      </c>
      <c r="C8" s="139" t="s">
        <v>8156</v>
      </c>
      <c r="D8" s="139" t="s">
        <v>8169</v>
      </c>
      <c r="E8" s="139" t="s">
        <v>17</v>
      </c>
      <c r="F8" s="139" t="s">
        <v>58</v>
      </c>
      <c r="G8" s="139" t="s">
        <v>53</v>
      </c>
      <c r="H8" s="140">
        <v>5121</v>
      </c>
      <c r="I8" s="141">
        <v>39926</v>
      </c>
      <c r="L8" s="139" t="s">
        <v>53</v>
      </c>
      <c r="M8" s="139" t="s">
        <v>8070</v>
      </c>
      <c r="N8" s="139">
        <f>--SUBTOTAL(3,$M$6:M8)</f>
        <v>3</v>
      </c>
      <c r="O8" s="139" t="str">
        <f t="shared" si="0"/>
        <v>Marketing</v>
      </c>
    </row>
    <row r="9" spans="2:15" x14ac:dyDescent="0.2">
      <c r="B9" s="206">
        <v>4</v>
      </c>
      <c r="C9" s="139" t="s">
        <v>8148</v>
      </c>
      <c r="D9" s="139" t="s">
        <v>8135</v>
      </c>
      <c r="E9" s="139" t="s">
        <v>17</v>
      </c>
      <c r="F9" s="139" t="s">
        <v>72</v>
      </c>
      <c r="G9" s="139" t="s">
        <v>63</v>
      </c>
      <c r="H9" s="140">
        <v>4209</v>
      </c>
      <c r="I9" s="141">
        <v>37608</v>
      </c>
      <c r="L9" s="139" t="s">
        <v>2435</v>
      </c>
      <c r="M9" s="139" t="s">
        <v>8071</v>
      </c>
      <c r="N9" s="139">
        <f>--SUBTOTAL(3,$M$6:M9)</f>
        <v>4</v>
      </c>
      <c r="O9" s="139" t="str">
        <f t="shared" si="0"/>
        <v/>
      </c>
    </row>
    <row r="10" spans="2:15" x14ac:dyDescent="0.2">
      <c r="B10" s="206">
        <v>5</v>
      </c>
      <c r="C10" s="139" t="s">
        <v>8170</v>
      </c>
      <c r="D10" s="139" t="s">
        <v>8135</v>
      </c>
      <c r="E10" s="139" t="s">
        <v>17</v>
      </c>
      <c r="F10" s="139" t="s">
        <v>54</v>
      </c>
      <c r="G10" s="139" t="s">
        <v>53</v>
      </c>
      <c r="H10" s="140">
        <v>2432</v>
      </c>
      <c r="I10" s="141">
        <v>40274</v>
      </c>
      <c r="L10" s="139" t="s">
        <v>49</v>
      </c>
      <c r="M10" s="139" t="s">
        <v>8070</v>
      </c>
      <c r="N10" s="139">
        <f>--SUBTOTAL(3,$M$6:M10)</f>
        <v>5</v>
      </c>
      <c r="O10" s="139" t="str">
        <f t="shared" si="0"/>
        <v>R and D</v>
      </c>
    </row>
    <row r="11" spans="2:15" ht="14.25" x14ac:dyDescent="0.2">
      <c r="B11" s="206">
        <v>6</v>
      </c>
      <c r="C11" s="139" t="s">
        <v>110</v>
      </c>
      <c r="D11" s="139" t="s">
        <v>108</v>
      </c>
      <c r="E11" s="139" t="s">
        <v>17</v>
      </c>
      <c r="F11" s="139" t="s">
        <v>105</v>
      </c>
      <c r="G11" s="139" t="s">
        <v>63</v>
      </c>
      <c r="H11" s="140">
        <v>7951</v>
      </c>
      <c r="I11" s="141">
        <v>35675</v>
      </c>
      <c r="L11"/>
    </row>
    <row r="12" spans="2:15" ht="14.25" x14ac:dyDescent="0.2">
      <c r="B12" s="206">
        <v>7</v>
      </c>
      <c r="C12" s="139" t="s">
        <v>109</v>
      </c>
      <c r="D12" s="139" t="s">
        <v>108</v>
      </c>
      <c r="E12" s="139" t="s">
        <v>17</v>
      </c>
      <c r="F12" s="139" t="s">
        <v>105</v>
      </c>
      <c r="G12" s="139" t="s">
        <v>63</v>
      </c>
      <c r="H12" s="140">
        <v>8201</v>
      </c>
      <c r="I12" s="141">
        <v>37675</v>
      </c>
      <c r="L12"/>
    </row>
    <row r="13" spans="2:15" ht="14.25" x14ac:dyDescent="0.2">
      <c r="B13" s="206">
        <v>8</v>
      </c>
      <c r="C13" s="139" t="s">
        <v>78</v>
      </c>
      <c r="D13" s="139" t="s">
        <v>77</v>
      </c>
      <c r="E13" s="139" t="s">
        <v>17</v>
      </c>
      <c r="F13" s="139" t="s">
        <v>76</v>
      </c>
      <c r="G13" s="139" t="s">
        <v>63</v>
      </c>
      <c r="H13" s="140">
        <v>4423</v>
      </c>
      <c r="I13" s="141">
        <v>37238</v>
      </c>
      <c r="L13"/>
    </row>
    <row r="14" spans="2:15" ht="14.25" x14ac:dyDescent="0.2">
      <c r="B14" s="206">
        <v>9</v>
      </c>
      <c r="C14" s="139" t="s">
        <v>8154</v>
      </c>
      <c r="D14" s="139" t="s">
        <v>8165</v>
      </c>
      <c r="E14" s="139" t="s">
        <v>21</v>
      </c>
      <c r="F14" s="139" t="s">
        <v>61</v>
      </c>
      <c r="G14" s="139" t="s">
        <v>53</v>
      </c>
      <c r="H14" s="140">
        <v>7501</v>
      </c>
      <c r="I14" s="141">
        <v>34922</v>
      </c>
      <c r="L14"/>
    </row>
    <row r="15" spans="2:15" ht="14.25" x14ac:dyDescent="0.2">
      <c r="B15" s="206">
        <v>10</v>
      </c>
      <c r="C15" s="139" t="s">
        <v>8166</v>
      </c>
      <c r="D15" s="139" t="s">
        <v>8137</v>
      </c>
      <c r="E15" s="139" t="s">
        <v>21</v>
      </c>
      <c r="F15" s="139" t="s">
        <v>58</v>
      </c>
      <c r="G15" s="139" t="s">
        <v>53</v>
      </c>
      <c r="H15" s="140">
        <v>4802</v>
      </c>
      <c r="I15" s="141">
        <v>37434</v>
      </c>
      <c r="L15"/>
    </row>
    <row r="16" spans="2:15" ht="14.25" x14ac:dyDescent="0.2">
      <c r="B16" s="206">
        <v>11</v>
      </c>
      <c r="C16" s="139" t="s">
        <v>80</v>
      </c>
      <c r="D16" s="139" t="s">
        <v>79</v>
      </c>
      <c r="E16" s="139" t="s">
        <v>21</v>
      </c>
      <c r="F16" s="139" t="s">
        <v>76</v>
      </c>
      <c r="G16" s="139" t="s">
        <v>63</v>
      </c>
      <c r="H16" s="140">
        <v>4673</v>
      </c>
      <c r="I16" s="141">
        <v>37238</v>
      </c>
      <c r="L16"/>
    </row>
    <row r="17" spans="2:12" ht="14.25" x14ac:dyDescent="0.2">
      <c r="B17" s="206">
        <v>12</v>
      </c>
      <c r="C17" s="139" t="s">
        <v>82</v>
      </c>
      <c r="D17" s="139" t="s">
        <v>81</v>
      </c>
      <c r="E17" s="139" t="s">
        <v>21</v>
      </c>
      <c r="F17" s="139" t="s">
        <v>76</v>
      </c>
      <c r="G17" s="139" t="s">
        <v>63</v>
      </c>
      <c r="H17" s="140">
        <v>4423</v>
      </c>
      <c r="I17" s="141">
        <v>37238</v>
      </c>
      <c r="L17"/>
    </row>
    <row r="18" spans="2:12" ht="14.25" x14ac:dyDescent="0.2">
      <c r="B18" s="206">
        <v>13</v>
      </c>
      <c r="C18" s="139" t="s">
        <v>88</v>
      </c>
      <c r="D18" s="139" t="s">
        <v>81</v>
      </c>
      <c r="E18" s="139" t="s">
        <v>21</v>
      </c>
      <c r="F18" s="139" t="s">
        <v>87</v>
      </c>
      <c r="G18" s="139" t="s">
        <v>86</v>
      </c>
      <c r="H18" s="140">
        <v>2723</v>
      </c>
      <c r="I18" s="141">
        <v>36276</v>
      </c>
      <c r="L18"/>
    </row>
    <row r="19" spans="2:12" ht="14.25" x14ac:dyDescent="0.2">
      <c r="B19" s="206">
        <v>14</v>
      </c>
      <c r="C19" s="139" t="s">
        <v>117</v>
      </c>
      <c r="D19" s="139" t="s">
        <v>116</v>
      </c>
      <c r="E19" s="139" t="s">
        <v>17</v>
      </c>
      <c r="F19" s="139" t="s">
        <v>87</v>
      </c>
      <c r="G19" s="139" t="s">
        <v>86</v>
      </c>
      <c r="H19" s="140">
        <v>2982</v>
      </c>
      <c r="I19" s="141">
        <v>38663</v>
      </c>
      <c r="L19"/>
    </row>
    <row r="20" spans="2:12" ht="14.25" x14ac:dyDescent="0.2">
      <c r="B20" s="206">
        <v>15</v>
      </c>
      <c r="C20" s="139" t="s">
        <v>119</v>
      </c>
      <c r="D20" s="139" t="s">
        <v>118</v>
      </c>
      <c r="E20" s="139" t="s">
        <v>21</v>
      </c>
      <c r="F20" s="139" t="s">
        <v>87</v>
      </c>
      <c r="G20" s="139" t="s">
        <v>86</v>
      </c>
      <c r="H20" s="140">
        <v>2482</v>
      </c>
      <c r="I20" s="141">
        <v>36663</v>
      </c>
      <c r="L20"/>
    </row>
    <row r="21" spans="2:12" ht="14.25" x14ac:dyDescent="0.2">
      <c r="B21" s="206">
        <v>16</v>
      </c>
      <c r="C21" s="139" t="s">
        <v>104</v>
      </c>
      <c r="D21" s="139" t="s">
        <v>103</v>
      </c>
      <c r="E21" s="139" t="s">
        <v>21</v>
      </c>
      <c r="F21" s="139" t="s">
        <v>83</v>
      </c>
      <c r="G21" s="139" t="s">
        <v>63</v>
      </c>
      <c r="H21" s="140">
        <v>6099</v>
      </c>
      <c r="I21" s="141">
        <v>37089</v>
      </c>
      <c r="L21"/>
    </row>
    <row r="22" spans="2:12" ht="14.25" x14ac:dyDescent="0.2">
      <c r="B22" s="206">
        <v>17</v>
      </c>
      <c r="C22" s="139" t="s">
        <v>8174</v>
      </c>
      <c r="D22" s="139" t="s">
        <v>8145</v>
      </c>
      <c r="E22" s="139" t="s">
        <v>21</v>
      </c>
      <c r="F22" s="139" t="s">
        <v>50</v>
      </c>
      <c r="G22" s="139" t="s">
        <v>49</v>
      </c>
      <c r="H22" s="140">
        <v>4580</v>
      </c>
      <c r="I22" s="141">
        <v>37942</v>
      </c>
      <c r="L22"/>
    </row>
    <row r="23" spans="2:12" ht="14.25" x14ac:dyDescent="0.2">
      <c r="B23" s="206">
        <v>18</v>
      </c>
      <c r="C23" s="139" t="s">
        <v>8134</v>
      </c>
      <c r="D23" s="139" t="s">
        <v>8145</v>
      </c>
      <c r="E23" s="139" t="s">
        <v>21</v>
      </c>
      <c r="F23" s="139" t="s">
        <v>69</v>
      </c>
      <c r="G23" s="139" t="s">
        <v>63</v>
      </c>
      <c r="H23" s="140">
        <v>3060</v>
      </c>
      <c r="I23" s="141">
        <v>42016</v>
      </c>
      <c r="L23"/>
    </row>
    <row r="24" spans="2:12" ht="14.25" x14ac:dyDescent="0.2">
      <c r="B24" s="206">
        <v>19</v>
      </c>
      <c r="C24" s="139" t="s">
        <v>8146</v>
      </c>
      <c r="D24" s="139" t="s">
        <v>107</v>
      </c>
      <c r="E24" s="139" t="s">
        <v>21</v>
      </c>
      <c r="F24" s="139" t="s">
        <v>54</v>
      </c>
      <c r="G24" s="139" t="s">
        <v>63</v>
      </c>
      <c r="H24" s="140">
        <v>2666</v>
      </c>
      <c r="I24" s="141">
        <v>43868</v>
      </c>
      <c r="L24"/>
    </row>
    <row r="25" spans="2:12" ht="14.25" x14ac:dyDescent="0.2">
      <c r="B25" s="206">
        <v>20</v>
      </c>
      <c r="C25" s="139" t="s">
        <v>94</v>
      </c>
      <c r="D25" s="139" t="s">
        <v>93</v>
      </c>
      <c r="E25" s="139" t="s">
        <v>21</v>
      </c>
      <c r="F25" s="139" t="s">
        <v>87</v>
      </c>
      <c r="G25" s="139" t="s">
        <v>86</v>
      </c>
      <c r="H25" s="140">
        <v>3223</v>
      </c>
      <c r="I25" s="141">
        <v>36276</v>
      </c>
      <c r="L25"/>
    </row>
    <row r="26" spans="2:12" ht="14.25" x14ac:dyDescent="0.2">
      <c r="B26" s="206">
        <v>21</v>
      </c>
      <c r="C26" s="139" t="s">
        <v>115</v>
      </c>
      <c r="D26" s="139" t="s">
        <v>89</v>
      </c>
      <c r="E26" s="139" t="s">
        <v>21</v>
      </c>
      <c r="F26" s="139" t="s">
        <v>87</v>
      </c>
      <c r="G26" s="139" t="s">
        <v>86</v>
      </c>
      <c r="H26" s="140">
        <v>2482</v>
      </c>
      <c r="I26" s="141">
        <v>36663</v>
      </c>
      <c r="L26"/>
    </row>
    <row r="27" spans="2:12" ht="14.25" x14ac:dyDescent="0.2">
      <c r="B27" s="206">
        <v>22</v>
      </c>
      <c r="C27" s="139" t="s">
        <v>90</v>
      </c>
      <c r="D27" s="139" t="s">
        <v>89</v>
      </c>
      <c r="E27" s="139" t="s">
        <v>21</v>
      </c>
      <c r="F27" s="139" t="s">
        <v>87</v>
      </c>
      <c r="G27" s="139" t="s">
        <v>86</v>
      </c>
      <c r="H27" s="140">
        <v>2723</v>
      </c>
      <c r="I27" s="141">
        <v>36276</v>
      </c>
      <c r="L27"/>
    </row>
    <row r="28" spans="2:12" ht="14.25" x14ac:dyDescent="0.2">
      <c r="B28" s="206">
        <v>23</v>
      </c>
      <c r="C28" s="139" t="s">
        <v>75</v>
      </c>
      <c r="D28" s="139" t="s">
        <v>74</v>
      </c>
      <c r="E28" s="139" t="s">
        <v>17</v>
      </c>
      <c r="F28" s="139" t="s">
        <v>72</v>
      </c>
      <c r="G28" s="139" t="s">
        <v>63</v>
      </c>
      <c r="H28" s="140">
        <v>4459</v>
      </c>
      <c r="I28" s="141">
        <v>37608</v>
      </c>
      <c r="L28"/>
    </row>
    <row r="29" spans="2:12" ht="14.25" x14ac:dyDescent="0.2">
      <c r="B29" s="206">
        <v>24</v>
      </c>
      <c r="C29" s="139" t="s">
        <v>8163</v>
      </c>
      <c r="D29" s="139" t="s">
        <v>102</v>
      </c>
      <c r="E29" s="139" t="s">
        <v>17</v>
      </c>
      <c r="F29" s="139" t="s">
        <v>58</v>
      </c>
      <c r="G29" s="139" t="s">
        <v>53</v>
      </c>
      <c r="H29" s="140">
        <v>4402</v>
      </c>
      <c r="I29" s="141">
        <v>39260</v>
      </c>
      <c r="L29"/>
    </row>
    <row r="30" spans="2:12" ht="14.25" x14ac:dyDescent="0.2">
      <c r="B30" s="206">
        <v>25</v>
      </c>
      <c r="C30" s="139" t="s">
        <v>92</v>
      </c>
      <c r="D30" s="139" t="s">
        <v>91</v>
      </c>
      <c r="E30" s="139" t="s">
        <v>21</v>
      </c>
      <c r="F30" s="139" t="s">
        <v>83</v>
      </c>
      <c r="G30" s="139" t="s">
        <v>63</v>
      </c>
      <c r="H30" s="140">
        <v>6317</v>
      </c>
      <c r="I30" s="141">
        <v>40494</v>
      </c>
      <c r="L30"/>
    </row>
    <row r="31" spans="2:12" ht="14.25" x14ac:dyDescent="0.2">
      <c r="B31" s="206">
        <v>26</v>
      </c>
      <c r="C31" s="139" t="s">
        <v>8136</v>
      </c>
      <c r="D31" s="139" t="s">
        <v>8158</v>
      </c>
      <c r="E31" s="139" t="s">
        <v>17</v>
      </c>
      <c r="F31" s="139" t="s">
        <v>54</v>
      </c>
      <c r="G31" s="139" t="s">
        <v>63</v>
      </c>
      <c r="H31" s="140">
        <v>3166</v>
      </c>
      <c r="I31" s="141">
        <v>38755</v>
      </c>
      <c r="L31"/>
    </row>
    <row r="32" spans="2:12" ht="14.25" x14ac:dyDescent="0.2">
      <c r="B32" s="206">
        <v>27</v>
      </c>
      <c r="C32" s="139" t="s">
        <v>8141</v>
      </c>
      <c r="D32" s="139" t="s">
        <v>8153</v>
      </c>
      <c r="E32" s="139" t="s">
        <v>21</v>
      </c>
      <c r="F32" s="139" t="s">
        <v>54</v>
      </c>
      <c r="G32" s="139" t="s">
        <v>63</v>
      </c>
      <c r="H32" s="140">
        <v>2666</v>
      </c>
      <c r="I32" s="141">
        <v>38755</v>
      </c>
      <c r="L32"/>
    </row>
    <row r="33" spans="2:12" ht="14.25" x14ac:dyDescent="0.2">
      <c r="B33" s="206">
        <v>28</v>
      </c>
      <c r="C33" s="139" t="s">
        <v>8144</v>
      </c>
      <c r="D33" s="139" t="s">
        <v>8149</v>
      </c>
      <c r="E33" s="139" t="s">
        <v>17</v>
      </c>
      <c r="F33" s="139" t="s">
        <v>69</v>
      </c>
      <c r="G33" s="139" t="s">
        <v>63</v>
      </c>
      <c r="H33" s="140">
        <v>3560</v>
      </c>
      <c r="I33" s="141">
        <v>38364</v>
      </c>
      <c r="L33"/>
    </row>
    <row r="34" spans="2:12" ht="14.25" x14ac:dyDescent="0.2">
      <c r="B34" s="206">
        <v>29</v>
      </c>
      <c r="C34" s="139" t="s">
        <v>269</v>
      </c>
      <c r="D34" s="139" t="s">
        <v>6962</v>
      </c>
      <c r="E34" s="139" t="s">
        <v>21</v>
      </c>
      <c r="F34" s="139" t="s">
        <v>54</v>
      </c>
      <c r="G34" s="139" t="s">
        <v>53</v>
      </c>
      <c r="H34" s="140">
        <v>2682</v>
      </c>
      <c r="I34" s="141">
        <v>38274</v>
      </c>
      <c r="L34"/>
    </row>
    <row r="35" spans="2:12" ht="14.25" x14ac:dyDescent="0.2">
      <c r="B35" s="206">
        <v>30</v>
      </c>
      <c r="C35" s="139" t="s">
        <v>102</v>
      </c>
      <c r="D35" s="139" t="s">
        <v>101</v>
      </c>
      <c r="E35" s="139" t="s">
        <v>21</v>
      </c>
      <c r="F35" s="139" t="s">
        <v>83</v>
      </c>
      <c r="G35" s="139" t="s">
        <v>63</v>
      </c>
      <c r="H35" s="140">
        <v>6099</v>
      </c>
      <c r="I35" s="141">
        <v>37089</v>
      </c>
      <c r="L35"/>
    </row>
    <row r="36" spans="2:12" ht="14.25" x14ac:dyDescent="0.2">
      <c r="B36" s="206">
        <v>31</v>
      </c>
      <c r="C36" s="139" t="s">
        <v>85</v>
      </c>
      <c r="D36" s="139" t="s">
        <v>84</v>
      </c>
      <c r="E36" s="139" t="s">
        <v>17</v>
      </c>
      <c r="F36" s="139" t="s">
        <v>83</v>
      </c>
      <c r="G36" s="139" t="s">
        <v>63</v>
      </c>
      <c r="H36" s="140">
        <v>6099</v>
      </c>
      <c r="I36" s="141">
        <v>37089</v>
      </c>
      <c r="L36"/>
    </row>
    <row r="37" spans="2:12" ht="14.25" x14ac:dyDescent="0.2">
      <c r="B37" s="206">
        <v>32</v>
      </c>
      <c r="C37" s="139" t="s">
        <v>8172</v>
      </c>
      <c r="D37" s="139" t="s">
        <v>6983</v>
      </c>
      <c r="E37" s="139" t="s">
        <v>17</v>
      </c>
      <c r="F37" s="139" t="s">
        <v>50</v>
      </c>
      <c r="G37" s="139" t="s">
        <v>49</v>
      </c>
      <c r="H37" s="140">
        <v>5080</v>
      </c>
      <c r="I37" s="141">
        <v>39942</v>
      </c>
      <c r="L37"/>
    </row>
    <row r="38" spans="2:12" ht="14.25" x14ac:dyDescent="0.2">
      <c r="B38" s="206">
        <v>33</v>
      </c>
      <c r="C38" s="139" t="s">
        <v>8139</v>
      </c>
      <c r="D38" s="139" t="s">
        <v>6983</v>
      </c>
      <c r="E38" s="139" t="s">
        <v>17</v>
      </c>
      <c r="F38" s="139" t="s">
        <v>69</v>
      </c>
      <c r="G38" s="139" t="s">
        <v>63</v>
      </c>
      <c r="H38" s="140">
        <v>3060</v>
      </c>
      <c r="I38" s="141">
        <v>38364</v>
      </c>
      <c r="L38"/>
    </row>
    <row r="39" spans="2:12" ht="14.25" x14ac:dyDescent="0.2">
      <c r="B39" s="206">
        <v>34</v>
      </c>
      <c r="C39" s="139" t="s">
        <v>8133</v>
      </c>
      <c r="D39" s="139" t="s">
        <v>8161</v>
      </c>
      <c r="E39" s="139" t="s">
        <v>17</v>
      </c>
      <c r="F39" s="139" t="s">
        <v>54</v>
      </c>
      <c r="G39" s="139" t="s">
        <v>63</v>
      </c>
      <c r="H39" s="140">
        <v>3166</v>
      </c>
      <c r="I39" s="141">
        <v>38755</v>
      </c>
      <c r="L39"/>
    </row>
    <row r="40" spans="2:12" ht="14.25" x14ac:dyDescent="0.2">
      <c r="B40" s="206">
        <v>35</v>
      </c>
      <c r="C40" s="139" t="s">
        <v>99</v>
      </c>
      <c r="D40" s="139" t="s">
        <v>98</v>
      </c>
      <c r="E40" s="139" t="s">
        <v>21</v>
      </c>
      <c r="F40" s="139" t="s">
        <v>95</v>
      </c>
      <c r="G40" s="139" t="s">
        <v>86</v>
      </c>
      <c r="H40" s="140">
        <v>4680</v>
      </c>
      <c r="I40" s="141">
        <v>37793</v>
      </c>
      <c r="L40"/>
    </row>
    <row r="41" spans="2:12" ht="14.25" x14ac:dyDescent="0.2">
      <c r="B41" s="206">
        <v>36</v>
      </c>
      <c r="C41" s="139" t="s">
        <v>1508</v>
      </c>
      <c r="D41" s="139" t="s">
        <v>8173</v>
      </c>
      <c r="E41" s="139" t="s">
        <v>21</v>
      </c>
      <c r="F41" s="139" t="s">
        <v>58</v>
      </c>
      <c r="G41" s="139" t="s">
        <v>53</v>
      </c>
      <c r="H41" s="140">
        <v>5121</v>
      </c>
      <c r="I41" s="141">
        <v>43944</v>
      </c>
      <c r="L41"/>
    </row>
    <row r="42" spans="2:12" ht="14.25" x14ac:dyDescent="0.2">
      <c r="B42" s="206">
        <v>37</v>
      </c>
      <c r="C42" s="139" t="s">
        <v>100</v>
      </c>
      <c r="D42" s="139" t="s">
        <v>96</v>
      </c>
      <c r="E42" s="139" t="s">
        <v>21</v>
      </c>
      <c r="F42" s="139" t="s">
        <v>95</v>
      </c>
      <c r="G42" s="139" t="s">
        <v>86</v>
      </c>
      <c r="H42" s="140">
        <v>4430</v>
      </c>
      <c r="I42" s="141">
        <v>37793</v>
      </c>
      <c r="L42"/>
    </row>
    <row r="43" spans="2:12" ht="14.25" x14ac:dyDescent="0.2">
      <c r="B43" s="206">
        <v>38</v>
      </c>
      <c r="C43" s="139" t="s">
        <v>97</v>
      </c>
      <c r="D43" s="139" t="s">
        <v>96</v>
      </c>
      <c r="E43" s="139" t="s">
        <v>21</v>
      </c>
      <c r="F43" s="139" t="s">
        <v>95</v>
      </c>
      <c r="G43" s="139" t="s">
        <v>86</v>
      </c>
      <c r="H43" s="140">
        <v>4430</v>
      </c>
      <c r="I43" s="141">
        <v>37793</v>
      </c>
      <c r="L43"/>
    </row>
    <row r="44" spans="2:12" ht="14.25" x14ac:dyDescent="0.2">
      <c r="B44" s="206">
        <v>39</v>
      </c>
      <c r="C44" s="139" t="s">
        <v>114</v>
      </c>
      <c r="D44" s="139" t="s">
        <v>113</v>
      </c>
      <c r="E44" s="139" t="s">
        <v>21</v>
      </c>
      <c r="F44" s="139" t="s">
        <v>83</v>
      </c>
      <c r="G44" s="139" t="s">
        <v>63</v>
      </c>
      <c r="H44" s="140">
        <v>6317</v>
      </c>
      <c r="I44" s="141">
        <v>36476</v>
      </c>
      <c r="L44"/>
    </row>
    <row r="45" spans="2:12" ht="14.25" x14ac:dyDescent="0.2">
      <c r="B45" s="206">
        <v>40</v>
      </c>
      <c r="C45" s="139" t="s">
        <v>8159</v>
      </c>
      <c r="D45" s="139" t="s">
        <v>8175</v>
      </c>
      <c r="E45" s="139" t="s">
        <v>17</v>
      </c>
      <c r="F45" s="139" t="s">
        <v>58</v>
      </c>
      <c r="G45" s="139" t="s">
        <v>53</v>
      </c>
      <c r="H45" s="140">
        <v>5621</v>
      </c>
      <c r="I45" s="141">
        <v>36639</v>
      </c>
      <c r="L45"/>
    </row>
    <row r="46" spans="2:12" ht="14.25" x14ac:dyDescent="0.2">
      <c r="B46" s="206">
        <v>41</v>
      </c>
      <c r="C46" s="139" t="s">
        <v>8160</v>
      </c>
      <c r="D46" s="139" t="s">
        <v>8177</v>
      </c>
      <c r="E46" s="139" t="s">
        <v>21</v>
      </c>
      <c r="F46" s="139" t="s">
        <v>58</v>
      </c>
      <c r="G46" s="139" t="s">
        <v>53</v>
      </c>
      <c r="H46" s="140">
        <v>4802</v>
      </c>
      <c r="I46" s="141">
        <v>37434</v>
      </c>
      <c r="L46"/>
    </row>
    <row r="47" spans="2:12" ht="14.25" x14ac:dyDescent="0.2">
      <c r="B47" s="206">
        <v>42</v>
      </c>
      <c r="C47" s="139" t="s">
        <v>112</v>
      </c>
      <c r="D47" s="139" t="s">
        <v>111</v>
      </c>
      <c r="E47" s="139" t="s">
        <v>17</v>
      </c>
      <c r="F47" s="139" t="s">
        <v>83</v>
      </c>
      <c r="G47" s="139" t="s">
        <v>63</v>
      </c>
      <c r="H47" s="140">
        <v>5317</v>
      </c>
      <c r="I47" s="141">
        <v>44147</v>
      </c>
      <c r="L47"/>
    </row>
    <row r="48" spans="2:12" ht="14.25" x14ac:dyDescent="0.2">
      <c r="B48" s="206">
        <v>43</v>
      </c>
      <c r="C48" s="139" t="s">
        <v>8150</v>
      </c>
      <c r="D48" s="139" t="s">
        <v>8162</v>
      </c>
      <c r="E48" s="139" t="s">
        <v>21</v>
      </c>
      <c r="F48" s="139" t="s">
        <v>61</v>
      </c>
      <c r="G48" s="139" t="s">
        <v>53</v>
      </c>
      <c r="H48" s="140">
        <v>7501</v>
      </c>
      <c r="I48" s="141">
        <v>34922</v>
      </c>
      <c r="L48"/>
    </row>
    <row r="49" spans="2:12" ht="14.25" x14ac:dyDescent="0.2">
      <c r="B49" s="206">
        <v>44</v>
      </c>
      <c r="C49" s="139" t="s">
        <v>8152</v>
      </c>
      <c r="D49" s="139" t="s">
        <v>6954</v>
      </c>
      <c r="E49" s="139" t="s">
        <v>17</v>
      </c>
      <c r="F49" s="139" t="s">
        <v>61</v>
      </c>
      <c r="G49" s="139" t="s">
        <v>53</v>
      </c>
      <c r="H49" s="140">
        <v>7751</v>
      </c>
      <c r="I49" s="141">
        <v>36922</v>
      </c>
      <c r="L49"/>
    </row>
    <row r="50" spans="2:12" ht="14.25" x14ac:dyDescent="0.2">
      <c r="B50" s="206">
        <v>45</v>
      </c>
      <c r="C50" s="139" t="s">
        <v>231</v>
      </c>
      <c r="D50" s="139" t="s">
        <v>8140</v>
      </c>
      <c r="E50" s="139" t="s">
        <v>21</v>
      </c>
      <c r="F50" s="139" t="s">
        <v>50</v>
      </c>
      <c r="G50" s="139" t="s">
        <v>49</v>
      </c>
      <c r="H50" s="140">
        <v>4580</v>
      </c>
      <c r="I50" s="141">
        <v>37942</v>
      </c>
      <c r="L50"/>
    </row>
    <row r="51" spans="2:12" ht="14.25" x14ac:dyDescent="0.2">
      <c r="B51" s="206">
        <v>46</v>
      </c>
      <c r="C51" s="139" t="s">
        <v>8138</v>
      </c>
      <c r="D51" s="139" t="s">
        <v>8140</v>
      </c>
      <c r="E51" s="139" t="s">
        <v>21</v>
      </c>
      <c r="F51" s="139" t="s">
        <v>72</v>
      </c>
      <c r="G51" s="139" t="s">
        <v>63</v>
      </c>
      <c r="H51" s="140">
        <v>4709</v>
      </c>
      <c r="I51" s="141">
        <v>37608</v>
      </c>
      <c r="L51"/>
    </row>
    <row r="52" spans="2:12" ht="14.25" x14ac:dyDescent="0.2">
      <c r="B52" s="206">
        <v>47</v>
      </c>
      <c r="C52" s="139" t="s">
        <v>8142</v>
      </c>
      <c r="D52" s="139" t="s">
        <v>8155</v>
      </c>
      <c r="E52" s="139" t="s">
        <v>17</v>
      </c>
      <c r="F52" s="139" t="s">
        <v>54</v>
      </c>
      <c r="G52" s="139" t="s">
        <v>63</v>
      </c>
      <c r="H52" s="140">
        <v>2916</v>
      </c>
      <c r="I52" s="141">
        <v>40755</v>
      </c>
      <c r="L52"/>
    </row>
    <row r="53" spans="2:12" ht="14.25" x14ac:dyDescent="0.2">
      <c r="B53" s="206">
        <v>48</v>
      </c>
      <c r="C53" s="139" t="s">
        <v>8143</v>
      </c>
      <c r="D53" s="139" t="s">
        <v>8157</v>
      </c>
      <c r="E53" s="139" t="s">
        <v>21</v>
      </c>
      <c r="F53" s="139" t="s">
        <v>54</v>
      </c>
      <c r="G53" s="139" t="s">
        <v>63</v>
      </c>
      <c r="H53" s="140">
        <v>2666</v>
      </c>
      <c r="I53" s="141">
        <v>38755</v>
      </c>
      <c r="L53"/>
    </row>
  </sheetData>
  <autoFilter ref="L5:N10" xr:uid="{00000000-0009-0000-0000-000004000000}"/>
  <sortState xmlns:xlrd2="http://schemas.microsoft.com/office/spreadsheetml/2017/richdata2" ref="B6:I53">
    <sortCondition ref="D6:D53"/>
    <sortCondition ref="C6:C53"/>
  </sortState>
  <dataValidations count="2">
    <dataValidation type="list" allowBlank="1" showInputMessage="1" showErrorMessage="1" sqref="G6 G8:G53" xr:uid="{00000000-0002-0000-0400-000000000000}">
      <formula1>$L$6:$L$10</formula1>
    </dataValidation>
    <dataValidation type="list" showInputMessage="1" showErrorMessage="1" sqref="G7" xr:uid="{00000000-0002-0000-0400-000001000000}">
      <formula1>$L$6:$L$10</formula1>
    </dataValidation>
  </dataValidations>
  <printOptions horizontalCentered="1"/>
  <pageMargins left="0.39370078740157483" right="0.39370078740157483" top="0.39370078740157483" bottom="0.39370078740157483" header="0.39370078740157483" footer="0.39370078740157483"/>
  <pageSetup paperSize="9" scale="87" orientation="portrait" r:id="rId1"/>
  <headerFooter alignWithMargins="0">
    <oddHeader>&amp;F</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H60"/>
  <sheetViews>
    <sheetView showGridLines="0" zoomScale="91" workbookViewId="0">
      <selection activeCell="H22" sqref="H22"/>
    </sheetView>
  </sheetViews>
  <sheetFormatPr defaultColWidth="9" defaultRowHeight="14.25" x14ac:dyDescent="0.2"/>
  <cols>
    <col min="1" max="1" width="9.25" style="6" customWidth="1"/>
    <col min="2" max="2" width="18.25" style="6" customWidth="1"/>
    <col min="3" max="3" width="15.625" style="6" customWidth="1"/>
    <col min="4" max="4" width="21.25" style="6" customWidth="1"/>
    <col min="5" max="5" width="16.5" style="6" customWidth="1"/>
    <col min="6" max="6" width="19.75" style="6" customWidth="1"/>
    <col min="7" max="7" width="13.125" style="6" hidden="1" customWidth="1"/>
    <col min="8" max="8" width="11.5" style="6" customWidth="1"/>
    <col min="9" max="9" width="16.25" style="6" customWidth="1"/>
    <col min="10" max="11" width="15.25" style="6" customWidth="1"/>
    <col min="12" max="16384" width="9" style="6"/>
  </cols>
  <sheetData>
    <row r="1" spans="2:8" ht="18.75" customHeight="1" x14ac:dyDescent="0.2"/>
    <row r="6" spans="2:8" ht="15" customHeight="1" x14ac:dyDescent="0.25">
      <c r="B6" s="101" t="s">
        <v>8205</v>
      </c>
      <c r="C6"/>
      <c r="D6" s="101" t="s">
        <v>8206</v>
      </c>
      <c r="E6" s="101" t="s">
        <v>8207</v>
      </c>
      <c r="F6"/>
      <c r="G6"/>
      <c r="H6"/>
    </row>
    <row r="7" spans="2:8" x14ac:dyDescent="0.2">
      <c r="B7" s="87" t="s">
        <v>7081</v>
      </c>
      <c r="C7" s="102">
        <f t="shared" ref="C7:C34" si="0">COUNTIF($B$7:$B$34,B7)</f>
        <v>6</v>
      </c>
      <c r="D7" s="87" t="s">
        <v>7082</v>
      </c>
      <c r="E7" s="87" t="b">
        <f>COUNTIF($B$7:$B$34,D7)&gt;1</f>
        <v>1</v>
      </c>
      <c r="F7"/>
      <c r="G7"/>
      <c r="H7"/>
    </row>
    <row r="8" spans="2:8" x14ac:dyDescent="0.2">
      <c r="B8" s="87" t="s">
        <v>7083</v>
      </c>
      <c r="C8" s="102">
        <f t="shared" si="0"/>
        <v>2</v>
      </c>
      <c r="D8" s="87" t="s">
        <v>7084</v>
      </c>
      <c r="E8" s="87" t="b">
        <f t="shared" ref="E8:E34" si="1">COUNTIF($B$7:$B$34,D8)&gt;1</f>
        <v>1</v>
      </c>
      <c r="F8"/>
      <c r="G8"/>
      <c r="H8"/>
    </row>
    <row r="9" spans="2:8" x14ac:dyDescent="0.2">
      <c r="B9" s="87" t="s">
        <v>7081</v>
      </c>
      <c r="C9" s="102">
        <f t="shared" si="0"/>
        <v>6</v>
      </c>
      <c r="D9" s="87" t="s">
        <v>7085</v>
      </c>
      <c r="E9" s="87" t="b">
        <f t="shared" si="1"/>
        <v>0</v>
      </c>
      <c r="F9"/>
      <c r="G9"/>
      <c r="H9"/>
    </row>
    <row r="10" spans="2:8" x14ac:dyDescent="0.2">
      <c r="B10" s="87" t="s">
        <v>7086</v>
      </c>
      <c r="C10" s="102">
        <f t="shared" si="0"/>
        <v>2</v>
      </c>
      <c r="D10" s="87" t="s">
        <v>7084</v>
      </c>
      <c r="E10" s="87" t="b">
        <f t="shared" si="1"/>
        <v>1</v>
      </c>
      <c r="F10"/>
      <c r="G10"/>
      <c r="H10"/>
    </row>
    <row r="11" spans="2:8" x14ac:dyDescent="0.2">
      <c r="B11" s="87" t="s">
        <v>7087</v>
      </c>
      <c r="C11" s="102">
        <f t="shared" si="0"/>
        <v>8</v>
      </c>
      <c r="D11" s="87" t="s">
        <v>7088</v>
      </c>
      <c r="E11" s="87" t="b">
        <f t="shared" si="1"/>
        <v>1</v>
      </c>
      <c r="F11"/>
      <c r="G11"/>
      <c r="H11"/>
    </row>
    <row r="12" spans="2:8" x14ac:dyDescent="0.2">
      <c r="B12" s="87" t="s">
        <v>7081</v>
      </c>
      <c r="C12" s="102">
        <f t="shared" si="0"/>
        <v>6</v>
      </c>
      <c r="D12" s="87" t="s">
        <v>7089</v>
      </c>
      <c r="E12" s="87" t="b">
        <f t="shared" si="1"/>
        <v>0</v>
      </c>
      <c r="F12"/>
      <c r="G12"/>
      <c r="H12"/>
    </row>
    <row r="13" spans="2:8" x14ac:dyDescent="0.2">
      <c r="B13" s="87" t="s">
        <v>7086</v>
      </c>
      <c r="C13" s="102">
        <f t="shared" si="0"/>
        <v>2</v>
      </c>
      <c r="D13" s="87" t="s">
        <v>7090</v>
      </c>
      <c r="E13" s="87" t="b">
        <f t="shared" si="1"/>
        <v>0</v>
      </c>
      <c r="F13"/>
      <c r="G13"/>
      <c r="H13"/>
    </row>
    <row r="14" spans="2:8" x14ac:dyDescent="0.2">
      <c r="B14" s="87" t="s">
        <v>7081</v>
      </c>
      <c r="C14" s="102">
        <f t="shared" si="0"/>
        <v>6</v>
      </c>
      <c r="D14" s="87" t="s">
        <v>7089</v>
      </c>
      <c r="E14" s="87" t="b">
        <f t="shared" si="1"/>
        <v>0</v>
      </c>
      <c r="F14"/>
      <c r="G14"/>
      <c r="H14"/>
    </row>
    <row r="15" spans="2:8" x14ac:dyDescent="0.2">
      <c r="B15" s="87" t="s">
        <v>7087</v>
      </c>
      <c r="C15" s="102">
        <f t="shared" si="0"/>
        <v>8</v>
      </c>
      <c r="D15" s="87" t="s">
        <v>7086</v>
      </c>
      <c r="E15" s="87" t="b">
        <f t="shared" si="1"/>
        <v>1</v>
      </c>
      <c r="F15"/>
      <c r="G15"/>
      <c r="H15"/>
    </row>
    <row r="16" spans="2:8" x14ac:dyDescent="0.2">
      <c r="B16" s="87" t="s">
        <v>7087</v>
      </c>
      <c r="C16" s="102">
        <f t="shared" si="0"/>
        <v>8</v>
      </c>
      <c r="D16" s="87" t="s">
        <v>7084</v>
      </c>
      <c r="E16" s="87" t="b">
        <f t="shared" si="1"/>
        <v>1</v>
      </c>
      <c r="F16"/>
      <c r="G16"/>
      <c r="H16"/>
    </row>
    <row r="17" spans="2:8" x14ac:dyDescent="0.2">
      <c r="B17" s="87" t="s">
        <v>7088</v>
      </c>
      <c r="C17" s="102">
        <f t="shared" si="0"/>
        <v>2</v>
      </c>
      <c r="D17" s="87" t="s">
        <v>7090</v>
      </c>
      <c r="E17" s="87" t="b">
        <f t="shared" si="1"/>
        <v>0</v>
      </c>
      <c r="F17"/>
      <c r="G17"/>
      <c r="H17"/>
    </row>
    <row r="18" spans="2:8" x14ac:dyDescent="0.2">
      <c r="B18" s="87" t="s">
        <v>7082</v>
      </c>
      <c r="C18" s="102">
        <f t="shared" si="0"/>
        <v>3</v>
      </c>
      <c r="D18" s="87" t="s">
        <v>7091</v>
      </c>
      <c r="E18" s="87" t="b">
        <f t="shared" si="1"/>
        <v>0</v>
      </c>
      <c r="F18"/>
      <c r="G18"/>
      <c r="H18"/>
    </row>
    <row r="19" spans="2:8" x14ac:dyDescent="0.2">
      <c r="B19" s="87" t="s">
        <v>7088</v>
      </c>
      <c r="C19" s="102">
        <f t="shared" si="0"/>
        <v>2</v>
      </c>
      <c r="D19" s="87" t="s">
        <v>7081</v>
      </c>
      <c r="E19" s="87" t="b">
        <f t="shared" si="1"/>
        <v>1</v>
      </c>
      <c r="F19"/>
      <c r="G19"/>
      <c r="H19"/>
    </row>
    <row r="20" spans="2:8" x14ac:dyDescent="0.2">
      <c r="B20" s="87" t="s">
        <v>7084</v>
      </c>
      <c r="C20" s="102">
        <f t="shared" si="0"/>
        <v>3</v>
      </c>
      <c r="D20" s="87" t="s">
        <v>7091</v>
      </c>
      <c r="E20" s="87" t="b">
        <f t="shared" si="1"/>
        <v>0</v>
      </c>
      <c r="F20"/>
      <c r="G20"/>
      <c r="H20"/>
    </row>
    <row r="21" spans="2:8" x14ac:dyDescent="0.2">
      <c r="B21" s="87" t="s">
        <v>7081</v>
      </c>
      <c r="C21" s="102">
        <f t="shared" si="0"/>
        <v>6</v>
      </c>
      <c r="D21" s="87" t="s">
        <v>7084</v>
      </c>
      <c r="E21" s="87" t="b">
        <f t="shared" si="1"/>
        <v>1</v>
      </c>
      <c r="F21"/>
      <c r="G21"/>
      <c r="H21"/>
    </row>
    <row r="22" spans="2:8" x14ac:dyDescent="0.2">
      <c r="B22" s="87" t="s">
        <v>7089</v>
      </c>
      <c r="C22" s="102">
        <f t="shared" si="0"/>
        <v>1</v>
      </c>
      <c r="D22" s="87" t="s">
        <v>7083</v>
      </c>
      <c r="E22" s="87" t="b">
        <f t="shared" si="1"/>
        <v>1</v>
      </c>
      <c r="F22"/>
      <c r="G22"/>
      <c r="H22"/>
    </row>
    <row r="23" spans="2:8" x14ac:dyDescent="0.2">
      <c r="B23" s="87" t="s">
        <v>7087</v>
      </c>
      <c r="C23" s="102">
        <f t="shared" si="0"/>
        <v>8</v>
      </c>
      <c r="D23" s="87" t="s">
        <v>7085</v>
      </c>
      <c r="E23" s="87" t="b">
        <f t="shared" si="1"/>
        <v>0</v>
      </c>
      <c r="F23"/>
      <c r="G23"/>
      <c r="H23"/>
    </row>
    <row r="24" spans="2:8" x14ac:dyDescent="0.2">
      <c r="B24" s="87" t="s">
        <v>7091</v>
      </c>
      <c r="C24" s="102">
        <f t="shared" si="0"/>
        <v>1</v>
      </c>
      <c r="D24" s="87" t="s">
        <v>7083</v>
      </c>
      <c r="E24" s="87" t="b">
        <f t="shared" si="1"/>
        <v>1</v>
      </c>
      <c r="F24"/>
      <c r="G24"/>
      <c r="H24"/>
    </row>
    <row r="25" spans="2:8" x14ac:dyDescent="0.2">
      <c r="B25" s="87" t="s">
        <v>7087</v>
      </c>
      <c r="C25" s="102">
        <f t="shared" si="0"/>
        <v>8</v>
      </c>
      <c r="D25" s="87" t="s">
        <v>7082</v>
      </c>
      <c r="E25" s="87" t="b">
        <f t="shared" si="1"/>
        <v>1</v>
      </c>
      <c r="F25"/>
      <c r="G25"/>
      <c r="H25"/>
    </row>
    <row r="26" spans="2:8" x14ac:dyDescent="0.2">
      <c r="B26" s="87" t="s">
        <v>7082</v>
      </c>
      <c r="C26" s="102">
        <f t="shared" si="0"/>
        <v>3</v>
      </c>
      <c r="D26" s="87" t="s">
        <v>7085</v>
      </c>
      <c r="E26" s="87" t="b">
        <f t="shared" si="1"/>
        <v>0</v>
      </c>
      <c r="F26"/>
      <c r="G26"/>
      <c r="H26"/>
    </row>
    <row r="27" spans="2:8" x14ac:dyDescent="0.2">
      <c r="B27" s="87" t="s">
        <v>7087</v>
      </c>
      <c r="C27" s="102">
        <f t="shared" si="0"/>
        <v>8</v>
      </c>
      <c r="D27" s="87" t="s">
        <v>7084</v>
      </c>
      <c r="E27" s="87" t="b">
        <f t="shared" si="1"/>
        <v>1</v>
      </c>
      <c r="F27"/>
      <c r="G27"/>
      <c r="H27"/>
    </row>
    <row r="28" spans="2:8" x14ac:dyDescent="0.2">
      <c r="B28" s="87" t="s">
        <v>7084</v>
      </c>
      <c r="C28" s="102">
        <f t="shared" si="0"/>
        <v>3</v>
      </c>
      <c r="D28" s="87" t="s">
        <v>7088</v>
      </c>
      <c r="E28" s="87" t="b">
        <f t="shared" si="1"/>
        <v>1</v>
      </c>
      <c r="F28"/>
      <c r="G28"/>
      <c r="H28"/>
    </row>
    <row r="29" spans="2:8" x14ac:dyDescent="0.2">
      <c r="B29" s="87" t="s">
        <v>7087</v>
      </c>
      <c r="C29" s="102">
        <f t="shared" si="0"/>
        <v>8</v>
      </c>
      <c r="D29" s="87" t="s">
        <v>7091</v>
      </c>
      <c r="E29" s="87" t="b">
        <f t="shared" si="1"/>
        <v>0</v>
      </c>
      <c r="F29"/>
      <c r="G29"/>
      <c r="H29"/>
    </row>
    <row r="30" spans="2:8" x14ac:dyDescent="0.2">
      <c r="B30" s="87" t="s">
        <v>7087</v>
      </c>
      <c r="C30" s="102">
        <f t="shared" si="0"/>
        <v>8</v>
      </c>
      <c r="D30" s="87" t="s">
        <v>7081</v>
      </c>
      <c r="E30" s="87" t="b">
        <f t="shared" si="1"/>
        <v>1</v>
      </c>
      <c r="F30"/>
      <c r="G30"/>
      <c r="H30"/>
    </row>
    <row r="31" spans="2:8" x14ac:dyDescent="0.2">
      <c r="B31" s="87" t="s">
        <v>7083</v>
      </c>
      <c r="C31" s="102">
        <f t="shared" si="0"/>
        <v>2</v>
      </c>
      <c r="D31" s="87" t="s">
        <v>7082</v>
      </c>
      <c r="E31" s="87" t="b">
        <f t="shared" si="1"/>
        <v>1</v>
      </c>
      <c r="F31"/>
      <c r="G31"/>
      <c r="H31"/>
    </row>
    <row r="32" spans="2:8" x14ac:dyDescent="0.2">
      <c r="B32" s="87" t="s">
        <v>7084</v>
      </c>
      <c r="C32" s="102">
        <f t="shared" si="0"/>
        <v>3</v>
      </c>
      <c r="D32" s="87" t="s">
        <v>7084</v>
      </c>
      <c r="E32" s="87" t="b">
        <f t="shared" si="1"/>
        <v>1</v>
      </c>
      <c r="F32"/>
      <c r="G32"/>
      <c r="H32"/>
    </row>
    <row r="33" spans="2:8" x14ac:dyDescent="0.2">
      <c r="B33" s="87" t="s">
        <v>7082</v>
      </c>
      <c r="C33" s="102">
        <f t="shared" si="0"/>
        <v>3</v>
      </c>
      <c r="D33" s="87" t="s">
        <v>7088</v>
      </c>
      <c r="E33" s="87" t="b">
        <f t="shared" si="1"/>
        <v>1</v>
      </c>
      <c r="F33"/>
      <c r="G33"/>
      <c r="H33"/>
    </row>
    <row r="34" spans="2:8" ht="14.25" customHeight="1" x14ac:dyDescent="0.2">
      <c r="B34" s="87" t="s">
        <v>7081</v>
      </c>
      <c r="C34" s="102">
        <f t="shared" si="0"/>
        <v>6</v>
      </c>
      <c r="D34" s="87" t="s">
        <v>7084</v>
      </c>
      <c r="E34" s="87" t="b">
        <f t="shared" si="1"/>
        <v>1</v>
      </c>
      <c r="F34"/>
      <c r="G34"/>
      <c r="H34"/>
    </row>
    <row r="38" spans="2:8" ht="15" x14ac:dyDescent="0.2">
      <c r="B38" s="65" t="s">
        <v>7093</v>
      </c>
      <c r="C38" s="65" t="s">
        <v>7092</v>
      </c>
      <c r="D38" s="65" t="s">
        <v>7094</v>
      </c>
    </row>
    <row r="39" spans="2:8" x14ac:dyDescent="0.2">
      <c r="B39" t="s">
        <v>7095</v>
      </c>
      <c r="C39" s="69" t="s">
        <v>7096</v>
      </c>
      <c r="D39">
        <v>20</v>
      </c>
      <c r="E39" s="6">
        <f>COUNTIF($C$39:$C$45,C39:C45)</f>
        <v>3</v>
      </c>
    </row>
    <row r="40" spans="2:8" x14ac:dyDescent="0.2">
      <c r="B40" t="s">
        <v>7095</v>
      </c>
      <c r="C40" s="69" t="s">
        <v>7097</v>
      </c>
      <c r="D40">
        <v>30</v>
      </c>
      <c r="E40" s="6">
        <f t="shared" ref="E40:E45" si="2">COUNTIF($C$39:$C$45,C40:C46)</f>
        <v>1</v>
      </c>
    </row>
    <row r="41" spans="2:8" x14ac:dyDescent="0.2">
      <c r="B41" t="s">
        <v>7095</v>
      </c>
      <c r="C41" s="69" t="s">
        <v>7098</v>
      </c>
      <c r="D41">
        <v>40</v>
      </c>
      <c r="E41" s="6">
        <f t="shared" si="2"/>
        <v>2</v>
      </c>
    </row>
    <row r="42" spans="2:8" x14ac:dyDescent="0.2">
      <c r="B42" t="s">
        <v>7095</v>
      </c>
      <c r="C42" s="69" t="s">
        <v>7096</v>
      </c>
      <c r="D42">
        <v>50</v>
      </c>
      <c r="E42" s="6">
        <f t="shared" si="2"/>
        <v>3</v>
      </c>
    </row>
    <row r="43" spans="2:8" x14ac:dyDescent="0.2">
      <c r="B43" t="s">
        <v>7095</v>
      </c>
      <c r="C43" s="69" t="s">
        <v>7096</v>
      </c>
      <c r="D43">
        <v>40</v>
      </c>
      <c r="E43" s="6">
        <f t="shared" si="2"/>
        <v>3</v>
      </c>
    </row>
    <row r="44" spans="2:8" x14ac:dyDescent="0.2">
      <c r="B44" t="s">
        <v>7095</v>
      </c>
      <c r="C44" s="69" t="s">
        <v>7098</v>
      </c>
      <c r="D44">
        <v>50</v>
      </c>
      <c r="E44" s="6">
        <f t="shared" si="2"/>
        <v>2</v>
      </c>
    </row>
    <row r="45" spans="2:8" x14ac:dyDescent="0.2">
      <c r="B45" s="103" t="s">
        <v>7095</v>
      </c>
      <c r="C45" s="104" t="s">
        <v>7099</v>
      </c>
      <c r="D45" s="103">
        <v>25</v>
      </c>
      <c r="E45" s="6">
        <f t="shared" si="2"/>
        <v>1</v>
      </c>
    </row>
    <row r="46" spans="2:8" x14ac:dyDescent="0.2">
      <c r="B46"/>
      <c r="C46"/>
      <c r="D46"/>
    </row>
    <row r="47" spans="2:8" ht="15" x14ac:dyDescent="0.25">
      <c r="B47" s="105" t="s">
        <v>7100</v>
      </c>
      <c r="C47" s="106">
        <f>SUMPRODUCT(1/COUNTIF(C39:C45,C39:C45))</f>
        <v>4</v>
      </c>
      <c r="D47" s="49"/>
    </row>
    <row r="48" spans="2:8" ht="15" x14ac:dyDescent="0.25">
      <c r="B48" s="105" t="s">
        <v>8208</v>
      </c>
      <c r="C48" s="106">
        <f>COUNTA(_xlfn.UNIQUE(C39:C45))</f>
        <v>4</v>
      </c>
    </row>
    <row r="51" spans="2:4" ht="20.25" x14ac:dyDescent="0.3">
      <c r="B51" s="83" t="s">
        <v>7079</v>
      </c>
      <c r="C51"/>
      <c r="D51"/>
    </row>
    <row r="52" spans="2:4" x14ac:dyDescent="0.2">
      <c r="B52"/>
      <c r="C52"/>
      <c r="D52"/>
    </row>
    <row r="53" spans="2:4" ht="15" x14ac:dyDescent="0.25">
      <c r="B53" s="85" t="s">
        <v>7080</v>
      </c>
      <c r="C53"/>
      <c r="D53" s="100" t="str">
        <f>IF(COUNTIF($B$54:$B$60,_xlfn.MODE.SNGL($B$54:$B$60))&gt;1,"List with numbers has duplicates","No duplicates")</f>
        <v>List with numbers has duplicates</v>
      </c>
    </row>
    <row r="54" spans="2:4" ht="15" x14ac:dyDescent="0.25">
      <c r="B54" s="86">
        <v>10</v>
      </c>
      <c r="C54"/>
      <c r="D54" s="100" t="str" cm="1">
        <f t="array" ref="D54">IF(SUMPRODUCT(--(COUNTIF($C$39:$C$45,$C$39:$C$45)&gt;1)) &gt; 1,"List with data has duplicates","No duplicates")</f>
        <v>List with data has duplicates</v>
      </c>
    </row>
    <row r="55" spans="2:4" x14ac:dyDescent="0.2">
      <c r="B55" s="86">
        <v>20</v>
      </c>
      <c r="C55"/>
      <c r="D55"/>
    </row>
    <row r="56" spans="2:4" x14ac:dyDescent="0.2">
      <c r="B56" s="86">
        <v>25</v>
      </c>
      <c r="C56"/>
      <c r="D56"/>
    </row>
    <row r="57" spans="2:4" x14ac:dyDescent="0.2">
      <c r="B57" s="86">
        <v>30</v>
      </c>
      <c r="C57"/>
      <c r="D57"/>
    </row>
    <row r="58" spans="2:4" x14ac:dyDescent="0.2">
      <c r="B58" s="86">
        <v>50</v>
      </c>
      <c r="C58"/>
      <c r="D58"/>
    </row>
    <row r="59" spans="2:4" x14ac:dyDescent="0.2">
      <c r="B59" s="86">
        <v>70</v>
      </c>
      <c r="C59"/>
      <c r="D59"/>
    </row>
    <row r="60" spans="2:4" x14ac:dyDescent="0.2">
      <c r="B60" s="86">
        <v>70</v>
      </c>
      <c r="C60"/>
      <c r="D60"/>
    </row>
  </sheetData>
  <conditionalFormatting sqref="B7:B34">
    <cfRule type="uniqueValues" dxfId="22" priority="2"/>
    <cfRule type="expression" dxfId="21" priority="9">
      <formula>COUNTIF($F$7:F$34,B7&amp;C7)&gt;0</formula>
    </cfRule>
  </conditionalFormatting>
  <conditionalFormatting sqref="D7:D34">
    <cfRule type="expression" dxfId="20" priority="1">
      <formula>COUNTIF($B$7:$B$34,D7)=0</formula>
    </cfRule>
  </conditionalFormatting>
  <pageMargins left="0.75" right="0.75" top="1" bottom="1" header="0.5" footer="0.5"/>
  <pageSetup paperSize="9"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J1027"/>
  <sheetViews>
    <sheetView showGridLines="0" workbookViewId="0">
      <pane ySplit="6" topLeftCell="A7" activePane="bottomLeft" state="frozen"/>
      <selection activeCell="A3" sqref="A3"/>
      <selection pane="bottomLeft"/>
    </sheetView>
  </sheetViews>
  <sheetFormatPr defaultColWidth="9" defaultRowHeight="14.25" x14ac:dyDescent="0.2"/>
  <cols>
    <col min="1" max="1" width="15.5" customWidth="1"/>
    <col min="2" max="2" width="20.75" style="6" customWidth="1"/>
    <col min="3" max="3" width="32.5" style="18" customWidth="1"/>
    <col min="4" max="4" width="9" style="6" customWidth="1"/>
    <col min="5" max="5" width="24.375" style="19" customWidth="1"/>
    <col min="6" max="6" width="17.5" style="6" customWidth="1"/>
    <col min="7" max="7" width="8.875" style="20" customWidth="1"/>
    <col min="8" max="8" width="12.625" style="4" customWidth="1"/>
    <col min="9" max="9" width="9.25" style="6" customWidth="1"/>
    <col min="10" max="10" width="9" style="7" customWidth="1"/>
    <col min="11" max="16384" width="9" style="6"/>
  </cols>
  <sheetData>
    <row r="1" spans="2:9" customFormat="1" x14ac:dyDescent="0.2"/>
    <row r="2" spans="2:9" customFormat="1" x14ac:dyDescent="0.2"/>
    <row r="3" spans="2:9" customFormat="1" x14ac:dyDescent="0.2">
      <c r="B3" s="107" t="s">
        <v>7120</v>
      </c>
      <c r="C3" s="107" t="s">
        <v>7119</v>
      </c>
      <c r="E3" t="s">
        <v>7136</v>
      </c>
      <c r="F3" s="114" t="s">
        <v>2383</v>
      </c>
    </row>
    <row r="4" spans="2:9" customFormat="1" x14ac:dyDescent="0.2">
      <c r="B4" s="109" t="str">
        <f ca="1">HYPERLINK(C4 &amp; "Garages!A"&amp;(COUNTA($A:$A)+5),"Go to the last line")</f>
        <v>Go to the last line</v>
      </c>
      <c r="C4" s="108" t="str">
        <f ca="1">MID(CELL("filename"),FIND("[",CELL("filename")),FIND("]",CELL("filename"))-FIND("[",CELL("filename"))+1)</f>
        <v>[Excellent2024.xlsx]</v>
      </c>
    </row>
    <row r="5" spans="2:9" customFormat="1" x14ac:dyDescent="0.2"/>
    <row r="6" spans="2:9" ht="15" x14ac:dyDescent="0.25">
      <c r="B6" s="374" t="s">
        <v>2383</v>
      </c>
      <c r="C6" s="374" t="s">
        <v>2382</v>
      </c>
      <c r="D6" s="375" t="s">
        <v>2381</v>
      </c>
      <c r="E6" s="374" t="s">
        <v>2380</v>
      </c>
      <c r="F6" s="374" t="s">
        <v>2379</v>
      </c>
      <c r="G6" s="374" t="s">
        <v>2378</v>
      </c>
      <c r="H6" s="374" t="s">
        <v>2376</v>
      </c>
      <c r="I6" s="374" t="s">
        <v>2375</v>
      </c>
    </row>
    <row r="7" spans="2:9" x14ac:dyDescent="0.2">
      <c r="B7" s="377">
        <v>1</v>
      </c>
      <c r="C7" s="377" t="s">
        <v>2374</v>
      </c>
      <c r="D7" s="376">
        <v>1200</v>
      </c>
      <c r="E7" s="377" t="s">
        <v>8202</v>
      </c>
      <c r="F7" s="377" t="s">
        <v>2373</v>
      </c>
      <c r="G7" s="378">
        <v>0.2</v>
      </c>
      <c r="H7" s="376">
        <v>75000</v>
      </c>
      <c r="I7" s="376" t="s">
        <v>147</v>
      </c>
    </row>
    <row r="8" spans="2:9" x14ac:dyDescent="0.2">
      <c r="B8" s="377">
        <v>375</v>
      </c>
      <c r="C8" s="377" t="s">
        <v>1243</v>
      </c>
      <c r="D8" s="376">
        <v>9300</v>
      </c>
      <c r="E8" s="377" t="s">
        <v>1223</v>
      </c>
      <c r="F8" s="377" t="s">
        <v>1242</v>
      </c>
      <c r="G8" s="378">
        <v>0</v>
      </c>
      <c r="H8" s="376">
        <v>300000</v>
      </c>
      <c r="I8" s="376" t="s">
        <v>147</v>
      </c>
    </row>
    <row r="9" spans="2:9" x14ac:dyDescent="0.2">
      <c r="B9" s="377">
        <v>382</v>
      </c>
      <c r="C9" s="377" t="s">
        <v>1224</v>
      </c>
      <c r="D9" s="376">
        <v>9310</v>
      </c>
      <c r="E9" s="377" t="s">
        <v>1223</v>
      </c>
      <c r="F9" s="377" t="s">
        <v>1222</v>
      </c>
      <c r="G9" s="378">
        <v>0</v>
      </c>
      <c r="H9" s="376">
        <v>155000</v>
      </c>
      <c r="I9" s="376" t="s">
        <v>147</v>
      </c>
    </row>
    <row r="10" spans="2:9" x14ac:dyDescent="0.2">
      <c r="B10" s="377">
        <v>231</v>
      </c>
      <c r="C10" s="377" t="s">
        <v>1699</v>
      </c>
      <c r="D10" s="376">
        <v>9880</v>
      </c>
      <c r="E10" s="377" t="s">
        <v>1277</v>
      </c>
      <c r="F10" s="377" t="s">
        <v>1698</v>
      </c>
      <c r="G10" s="378">
        <v>0</v>
      </c>
      <c r="H10" s="376">
        <v>300000</v>
      </c>
      <c r="I10" s="376" t="s">
        <v>147</v>
      </c>
    </row>
    <row r="11" spans="2:9" x14ac:dyDescent="0.2">
      <c r="B11" s="377">
        <v>365</v>
      </c>
      <c r="C11" s="377" t="s">
        <v>1278</v>
      </c>
      <c r="D11" s="376">
        <v>9880</v>
      </c>
      <c r="E11" s="377" t="s">
        <v>1277</v>
      </c>
      <c r="F11" s="377" t="s">
        <v>1276</v>
      </c>
      <c r="G11" s="378">
        <v>0</v>
      </c>
      <c r="H11" s="376">
        <v>75000</v>
      </c>
      <c r="I11" s="376" t="s">
        <v>147</v>
      </c>
    </row>
    <row r="12" spans="2:9" x14ac:dyDescent="0.2">
      <c r="B12" s="377">
        <v>478</v>
      </c>
      <c r="C12" s="377" t="s">
        <v>903</v>
      </c>
      <c r="D12" s="376">
        <v>8850</v>
      </c>
      <c r="E12" s="377" t="s">
        <v>902</v>
      </c>
      <c r="F12" s="377"/>
      <c r="G12" s="378">
        <v>0</v>
      </c>
      <c r="H12" s="376">
        <v>300000</v>
      </c>
      <c r="I12" s="376" t="s">
        <v>152</v>
      </c>
    </row>
    <row r="13" spans="2:9" x14ac:dyDescent="0.2">
      <c r="B13" s="377">
        <v>261</v>
      </c>
      <c r="C13" s="377" t="s">
        <v>1604</v>
      </c>
      <c r="D13" s="376">
        <v>3200</v>
      </c>
      <c r="E13" s="377" t="s">
        <v>1603</v>
      </c>
      <c r="F13" s="377" t="s">
        <v>1602</v>
      </c>
      <c r="G13" s="378">
        <v>0</v>
      </c>
      <c r="H13" s="376">
        <v>300000</v>
      </c>
      <c r="I13" s="376" t="s">
        <v>147</v>
      </c>
    </row>
    <row r="14" spans="2:9" x14ac:dyDescent="0.2">
      <c r="B14" s="377">
        <v>371</v>
      </c>
      <c r="C14" s="377" t="s">
        <v>1255</v>
      </c>
      <c r="D14" s="376">
        <v>6280</v>
      </c>
      <c r="E14" s="377" t="s">
        <v>1254</v>
      </c>
      <c r="F14" s="377" t="s">
        <v>1253</v>
      </c>
      <c r="G14" s="378">
        <v>0</v>
      </c>
      <c r="H14" s="376">
        <v>400000</v>
      </c>
      <c r="I14" s="376" t="s">
        <v>147</v>
      </c>
    </row>
    <row r="15" spans="2:9" x14ac:dyDescent="0.2">
      <c r="B15" s="377">
        <v>545</v>
      </c>
      <c r="C15" s="377" t="s">
        <v>678</v>
      </c>
      <c r="D15" s="376">
        <v>1790</v>
      </c>
      <c r="E15" s="377" t="s">
        <v>677</v>
      </c>
      <c r="F15" s="377" t="s">
        <v>676</v>
      </c>
      <c r="G15" s="378">
        <v>0</v>
      </c>
      <c r="H15" s="376">
        <v>75000</v>
      </c>
      <c r="I15" s="376" t="s">
        <v>147</v>
      </c>
    </row>
    <row r="16" spans="2:9" x14ac:dyDescent="0.2">
      <c r="B16" s="377">
        <v>284</v>
      </c>
      <c r="C16" s="377" t="s">
        <v>1529</v>
      </c>
      <c r="D16" s="376">
        <v>3570</v>
      </c>
      <c r="E16" s="377" t="s">
        <v>1528</v>
      </c>
      <c r="F16" s="377" t="s">
        <v>1527</v>
      </c>
      <c r="G16" s="378">
        <v>0</v>
      </c>
      <c r="H16" s="376">
        <v>500000</v>
      </c>
      <c r="I16" s="376" t="s">
        <v>152</v>
      </c>
    </row>
    <row r="17" spans="1:10" x14ac:dyDescent="0.2">
      <c r="B17" s="377">
        <v>40</v>
      </c>
      <c r="C17" s="377" t="s">
        <v>2260</v>
      </c>
      <c r="D17" s="376">
        <v>4540</v>
      </c>
      <c r="E17" s="377" t="s">
        <v>1442</v>
      </c>
      <c r="F17" s="377"/>
      <c r="G17" s="378">
        <v>0</v>
      </c>
      <c r="H17" s="376">
        <v>400000</v>
      </c>
      <c r="I17" s="376" t="s">
        <v>147</v>
      </c>
      <c r="J17" s="6"/>
    </row>
    <row r="18" spans="1:10" x14ac:dyDescent="0.2">
      <c r="B18" s="377">
        <v>312</v>
      </c>
      <c r="C18" s="377" t="s">
        <v>1443</v>
      </c>
      <c r="D18" s="376">
        <v>4540</v>
      </c>
      <c r="E18" s="377" t="s">
        <v>1442</v>
      </c>
      <c r="F18" s="377" t="s">
        <v>1441</v>
      </c>
      <c r="G18" s="378">
        <v>0</v>
      </c>
      <c r="H18" s="376">
        <v>400000</v>
      </c>
      <c r="I18" s="376" t="s">
        <v>147</v>
      </c>
      <c r="J18" s="6"/>
    </row>
    <row r="19" spans="1:10" x14ac:dyDescent="0.2">
      <c r="B19" s="377">
        <v>474</v>
      </c>
      <c r="C19" s="377" t="s">
        <v>918</v>
      </c>
      <c r="D19" s="376">
        <v>5300</v>
      </c>
      <c r="E19" s="377" t="s">
        <v>653</v>
      </c>
      <c r="F19" s="377" t="s">
        <v>917</v>
      </c>
      <c r="G19" s="378">
        <v>0</v>
      </c>
      <c r="H19" s="376">
        <v>75000</v>
      </c>
      <c r="I19" s="376" t="s">
        <v>152</v>
      </c>
      <c r="J19" s="6"/>
    </row>
    <row r="20" spans="1:10" x14ac:dyDescent="0.2">
      <c r="B20" s="377">
        <v>553</v>
      </c>
      <c r="C20" s="377" t="s">
        <v>654</v>
      </c>
      <c r="D20" s="376">
        <v>5300</v>
      </c>
      <c r="E20" s="377" t="s">
        <v>653</v>
      </c>
      <c r="F20" s="377"/>
      <c r="G20" s="378">
        <v>0</v>
      </c>
      <c r="H20" s="376">
        <v>400000</v>
      </c>
      <c r="I20" s="376" t="s">
        <v>147</v>
      </c>
      <c r="J20" s="6"/>
    </row>
    <row r="21" spans="1:10" x14ac:dyDescent="0.2">
      <c r="B21" s="377">
        <v>82</v>
      </c>
      <c r="C21" s="377" t="s">
        <v>2144</v>
      </c>
      <c r="D21" s="376">
        <v>6150</v>
      </c>
      <c r="E21" s="377" t="s">
        <v>711</v>
      </c>
      <c r="F21" s="377" t="s">
        <v>2143</v>
      </c>
      <c r="G21" s="378">
        <v>0</v>
      </c>
      <c r="H21" s="376">
        <v>400000</v>
      </c>
      <c r="I21" s="376" t="s">
        <v>147</v>
      </c>
      <c r="J21" s="6"/>
    </row>
    <row r="22" spans="1:10" s="7" customFormat="1" x14ac:dyDescent="0.2">
      <c r="A22"/>
      <c r="B22" s="377">
        <v>228</v>
      </c>
      <c r="C22" s="377" t="s">
        <v>1707</v>
      </c>
      <c r="D22" s="376">
        <v>6150</v>
      </c>
      <c r="E22" s="377" t="s">
        <v>711</v>
      </c>
      <c r="F22" s="377" t="s">
        <v>1706</v>
      </c>
      <c r="G22" s="378">
        <v>0</v>
      </c>
      <c r="H22" s="376">
        <v>300000</v>
      </c>
      <c r="I22" s="376" t="s">
        <v>147</v>
      </c>
    </row>
    <row r="23" spans="1:10" s="7" customFormat="1" x14ac:dyDescent="0.2">
      <c r="A23"/>
      <c r="B23" s="377">
        <v>535</v>
      </c>
      <c r="C23" s="377" t="s">
        <v>712</v>
      </c>
      <c r="D23" s="376">
        <v>6150</v>
      </c>
      <c r="E23" s="377" t="s">
        <v>711</v>
      </c>
      <c r="F23" s="377"/>
      <c r="G23" s="378">
        <v>0</v>
      </c>
      <c r="H23" s="376">
        <v>300000</v>
      </c>
      <c r="I23" s="376" t="s">
        <v>147</v>
      </c>
    </row>
    <row r="24" spans="1:10" s="7" customFormat="1" x14ac:dyDescent="0.2">
      <c r="A24"/>
      <c r="B24" s="377">
        <v>506</v>
      </c>
      <c r="C24" s="377" t="s">
        <v>808</v>
      </c>
      <c r="D24" s="376">
        <v>4430</v>
      </c>
      <c r="E24" s="377" t="s">
        <v>807</v>
      </c>
      <c r="F24" s="377" t="s">
        <v>806</v>
      </c>
      <c r="G24" s="378">
        <v>0</v>
      </c>
      <c r="H24" s="376">
        <v>400000</v>
      </c>
      <c r="I24" s="376" t="s">
        <v>147</v>
      </c>
    </row>
    <row r="25" spans="1:10" s="7" customFormat="1" x14ac:dyDescent="0.2">
      <c r="A25"/>
      <c r="B25" s="377">
        <v>109</v>
      </c>
      <c r="C25" s="377" t="s">
        <v>2071</v>
      </c>
      <c r="D25" s="376">
        <v>8300</v>
      </c>
      <c r="E25" s="377" t="s">
        <v>1012</v>
      </c>
      <c r="F25" s="377" t="s">
        <v>2070</v>
      </c>
      <c r="G25" s="378">
        <v>0</v>
      </c>
      <c r="H25" s="376">
        <v>300000</v>
      </c>
      <c r="I25" s="376" t="s">
        <v>147</v>
      </c>
    </row>
    <row r="26" spans="1:10" s="7" customFormat="1" x14ac:dyDescent="0.2">
      <c r="A26"/>
      <c r="B26" s="377">
        <v>127</v>
      </c>
      <c r="C26" s="377" t="s">
        <v>2012</v>
      </c>
      <c r="D26" s="376">
        <v>3600</v>
      </c>
      <c r="E26" s="377" t="s">
        <v>1012</v>
      </c>
      <c r="F26" s="377"/>
      <c r="G26" s="378">
        <v>0</v>
      </c>
      <c r="H26" s="376">
        <v>300000</v>
      </c>
      <c r="I26" s="376" t="s">
        <v>147</v>
      </c>
    </row>
    <row r="27" spans="1:10" s="7" customFormat="1" x14ac:dyDescent="0.2">
      <c r="A27"/>
      <c r="B27" s="377">
        <v>345</v>
      </c>
      <c r="C27" s="377" t="s">
        <v>1342</v>
      </c>
      <c r="D27" s="376">
        <v>2100</v>
      </c>
      <c r="E27" s="377" t="s">
        <v>1012</v>
      </c>
      <c r="F27" s="377" t="s">
        <v>1341</v>
      </c>
      <c r="G27" s="378">
        <v>0</v>
      </c>
      <c r="H27" s="376">
        <v>75000</v>
      </c>
      <c r="I27" s="376" t="s">
        <v>152</v>
      </c>
    </row>
    <row r="28" spans="1:10" s="7" customFormat="1" x14ac:dyDescent="0.2">
      <c r="A28"/>
      <c r="B28" s="377">
        <v>444</v>
      </c>
      <c r="C28" s="377" t="s">
        <v>1013</v>
      </c>
      <c r="D28" s="376">
        <v>2000</v>
      </c>
      <c r="E28" s="377" t="s">
        <v>1012</v>
      </c>
      <c r="F28" s="377"/>
      <c r="G28" s="378">
        <v>0</v>
      </c>
      <c r="H28" s="376">
        <v>300000</v>
      </c>
      <c r="I28" s="376" t="s">
        <v>152</v>
      </c>
    </row>
    <row r="29" spans="1:10" s="7" customFormat="1" x14ac:dyDescent="0.2">
      <c r="A29"/>
      <c r="B29" s="377">
        <v>297</v>
      </c>
      <c r="C29" s="377" t="s">
        <v>1486</v>
      </c>
      <c r="D29" s="376">
        <v>8570</v>
      </c>
      <c r="E29" s="377" t="s">
        <v>1485</v>
      </c>
      <c r="F29" s="377" t="s">
        <v>1484</v>
      </c>
      <c r="G29" s="378">
        <v>0</v>
      </c>
      <c r="H29" s="376">
        <v>75000</v>
      </c>
      <c r="I29" s="376" t="s">
        <v>147</v>
      </c>
    </row>
    <row r="30" spans="1:10" s="7" customFormat="1" x14ac:dyDescent="0.2">
      <c r="A30"/>
      <c r="B30" s="377">
        <v>224</v>
      </c>
      <c r="C30" s="377" t="s">
        <v>1717</v>
      </c>
      <c r="D30" s="376">
        <v>6700</v>
      </c>
      <c r="E30" s="377" t="s">
        <v>1716</v>
      </c>
      <c r="F30" s="377" t="s">
        <v>1715</v>
      </c>
      <c r="G30" s="378">
        <v>0</v>
      </c>
      <c r="H30" s="376">
        <v>75000</v>
      </c>
      <c r="I30" s="376" t="s">
        <v>147</v>
      </c>
    </row>
    <row r="31" spans="1:10" s="7" customFormat="1" x14ac:dyDescent="0.2">
      <c r="A31"/>
      <c r="B31" s="377">
        <v>354</v>
      </c>
      <c r="C31" s="377" t="s">
        <v>1312</v>
      </c>
      <c r="D31" s="376">
        <v>3665</v>
      </c>
      <c r="E31" s="377" t="s">
        <v>1311</v>
      </c>
      <c r="F31" s="377"/>
      <c r="G31" s="378">
        <v>0</v>
      </c>
      <c r="H31" s="376">
        <v>300000</v>
      </c>
      <c r="I31" s="376" t="s">
        <v>147</v>
      </c>
    </row>
    <row r="32" spans="1:10" s="7" customFormat="1" x14ac:dyDescent="0.2">
      <c r="A32"/>
      <c r="B32" s="377">
        <v>313</v>
      </c>
      <c r="C32" s="377" t="s">
        <v>1438</v>
      </c>
      <c r="D32" s="376">
        <v>1730</v>
      </c>
      <c r="E32" s="377" t="s">
        <v>1437</v>
      </c>
      <c r="F32" s="377" t="s">
        <v>1436</v>
      </c>
      <c r="G32" s="378">
        <v>0</v>
      </c>
      <c r="H32" s="376">
        <v>300000</v>
      </c>
      <c r="I32" s="376" t="s">
        <v>147</v>
      </c>
    </row>
    <row r="33" spans="1:9" s="7" customFormat="1" x14ac:dyDescent="0.2">
      <c r="A33"/>
      <c r="B33" s="377">
        <v>250</v>
      </c>
      <c r="C33" s="377" t="s">
        <v>1638</v>
      </c>
      <c r="D33" s="376">
        <v>7800</v>
      </c>
      <c r="E33" s="377" t="s">
        <v>1637</v>
      </c>
      <c r="F33" s="377" t="s">
        <v>1636</v>
      </c>
      <c r="G33" s="378">
        <v>0</v>
      </c>
      <c r="H33" s="376">
        <v>155000</v>
      </c>
      <c r="I33" s="376" t="s">
        <v>147</v>
      </c>
    </row>
    <row r="34" spans="1:9" s="7" customFormat="1" x14ac:dyDescent="0.2">
      <c r="A34"/>
      <c r="B34" s="377">
        <v>459</v>
      </c>
      <c r="C34" s="377" t="s">
        <v>966</v>
      </c>
      <c r="D34" s="376">
        <v>5060</v>
      </c>
      <c r="E34" s="377" t="s">
        <v>965</v>
      </c>
      <c r="F34" s="377" t="s">
        <v>964</v>
      </c>
      <c r="G34" s="378">
        <v>0</v>
      </c>
      <c r="H34" s="376">
        <v>400000</v>
      </c>
      <c r="I34" s="376" t="s">
        <v>152</v>
      </c>
    </row>
    <row r="35" spans="1:9" s="7" customFormat="1" x14ac:dyDescent="0.2">
      <c r="A35"/>
      <c r="B35" s="377">
        <v>505</v>
      </c>
      <c r="C35" s="377" t="s">
        <v>812</v>
      </c>
      <c r="D35" s="376">
        <v>2140</v>
      </c>
      <c r="E35" s="377" t="s">
        <v>811</v>
      </c>
      <c r="F35" s="377" t="s">
        <v>810</v>
      </c>
      <c r="G35" s="378">
        <v>0</v>
      </c>
      <c r="H35" s="376">
        <v>300000</v>
      </c>
      <c r="I35" s="376" t="s">
        <v>147</v>
      </c>
    </row>
    <row r="36" spans="1:9" s="7" customFormat="1" x14ac:dyDescent="0.2">
      <c r="A36"/>
      <c r="B36" s="377">
        <v>439</v>
      </c>
      <c r="C36" s="377" t="s">
        <v>1028</v>
      </c>
      <c r="D36" s="376">
        <v>4280</v>
      </c>
      <c r="E36" s="377" t="s">
        <v>1027</v>
      </c>
      <c r="F36" s="377"/>
      <c r="G36" s="378">
        <v>0.2</v>
      </c>
      <c r="H36" s="376">
        <v>400000</v>
      </c>
      <c r="I36" s="376" t="s">
        <v>147</v>
      </c>
    </row>
    <row r="37" spans="1:9" s="7" customFormat="1" x14ac:dyDescent="0.2">
      <c r="A37"/>
      <c r="B37" s="377">
        <v>649</v>
      </c>
      <c r="C37" s="377" t="s">
        <v>330</v>
      </c>
      <c r="D37" s="376">
        <v>2490</v>
      </c>
      <c r="E37" s="377" t="s">
        <v>329</v>
      </c>
      <c r="F37" s="377" t="s">
        <v>328</v>
      </c>
      <c r="G37" s="378">
        <v>0</v>
      </c>
      <c r="H37" s="376">
        <v>300000</v>
      </c>
      <c r="I37" s="376" t="s">
        <v>152</v>
      </c>
    </row>
    <row r="38" spans="1:9" s="7" customFormat="1" x14ac:dyDescent="0.2">
      <c r="A38"/>
      <c r="B38" s="377">
        <v>179</v>
      </c>
      <c r="C38" s="377" t="s">
        <v>1859</v>
      </c>
      <c r="D38" s="376">
        <v>6951</v>
      </c>
      <c r="E38" s="377" t="s">
        <v>1858</v>
      </c>
      <c r="F38" s="377" t="s">
        <v>1857</v>
      </c>
      <c r="G38" s="378">
        <v>0</v>
      </c>
      <c r="H38" s="376">
        <v>300000</v>
      </c>
      <c r="I38" s="376" t="s">
        <v>147</v>
      </c>
    </row>
    <row r="39" spans="1:9" s="7" customFormat="1" x14ac:dyDescent="0.2">
      <c r="A39"/>
      <c r="B39" s="377">
        <v>189</v>
      </c>
      <c r="C39" s="377" t="s">
        <v>1825</v>
      </c>
      <c r="D39" s="376">
        <v>7784</v>
      </c>
      <c r="E39" s="377" t="s">
        <v>1824</v>
      </c>
      <c r="F39" s="377" t="s">
        <v>1823</v>
      </c>
      <c r="G39" s="378">
        <v>0</v>
      </c>
      <c r="H39" s="376">
        <v>155000</v>
      </c>
      <c r="I39" s="376" t="s">
        <v>147</v>
      </c>
    </row>
    <row r="40" spans="1:9" s="7" customFormat="1" x14ac:dyDescent="0.2">
      <c r="A40"/>
      <c r="B40" s="377">
        <v>2</v>
      </c>
      <c r="C40" s="377" t="s">
        <v>2372</v>
      </c>
      <c r="D40" s="376">
        <v>3550</v>
      </c>
      <c r="E40" s="377" t="s">
        <v>2371</v>
      </c>
      <c r="F40" s="377" t="s">
        <v>2370</v>
      </c>
      <c r="G40" s="378">
        <v>0.1</v>
      </c>
      <c r="H40" s="376">
        <v>155000</v>
      </c>
      <c r="I40" s="376" t="s">
        <v>147</v>
      </c>
    </row>
    <row r="41" spans="1:9" s="7" customFormat="1" x14ac:dyDescent="0.2">
      <c r="A41"/>
      <c r="B41" s="377">
        <v>41</v>
      </c>
      <c r="C41" s="377" t="s">
        <v>2257</v>
      </c>
      <c r="D41" s="376">
        <v>6500</v>
      </c>
      <c r="E41" s="377" t="s">
        <v>1155</v>
      </c>
      <c r="F41" s="377"/>
      <c r="G41" s="378">
        <v>0</v>
      </c>
      <c r="H41" s="376">
        <v>75000</v>
      </c>
      <c r="I41" s="376" t="s">
        <v>147</v>
      </c>
    </row>
    <row r="42" spans="1:9" s="7" customFormat="1" x14ac:dyDescent="0.2">
      <c r="A42"/>
      <c r="B42" s="377">
        <v>403</v>
      </c>
      <c r="C42" s="377" t="s">
        <v>1156</v>
      </c>
      <c r="D42" s="376">
        <v>6511</v>
      </c>
      <c r="E42" s="377" t="s">
        <v>1155</v>
      </c>
      <c r="F42" s="377" t="s">
        <v>1154</v>
      </c>
      <c r="G42" s="378">
        <v>0</v>
      </c>
      <c r="H42" s="376">
        <v>400000</v>
      </c>
      <c r="I42" s="376" t="s">
        <v>152</v>
      </c>
    </row>
    <row r="43" spans="1:9" s="7" customFormat="1" x14ac:dyDescent="0.2">
      <c r="A43"/>
      <c r="B43" s="377">
        <v>316</v>
      </c>
      <c r="C43" s="377" t="s">
        <v>1427</v>
      </c>
      <c r="D43" s="376">
        <v>2340</v>
      </c>
      <c r="E43" s="377" t="s">
        <v>1426</v>
      </c>
      <c r="F43" s="377"/>
      <c r="G43" s="378">
        <v>0</v>
      </c>
      <c r="H43" s="376">
        <v>300000</v>
      </c>
      <c r="I43" s="376" t="s">
        <v>147</v>
      </c>
    </row>
    <row r="44" spans="1:9" s="7" customFormat="1" x14ac:dyDescent="0.2">
      <c r="A44"/>
      <c r="B44" s="377">
        <v>34</v>
      </c>
      <c r="C44" s="377" t="s">
        <v>2277</v>
      </c>
      <c r="D44" s="376">
        <v>1652</v>
      </c>
      <c r="E44" s="377" t="s">
        <v>505</v>
      </c>
      <c r="F44" s="377" t="s">
        <v>2276</v>
      </c>
      <c r="G44" s="378">
        <v>0</v>
      </c>
      <c r="H44" s="376">
        <v>75000</v>
      </c>
      <c r="I44" s="376" t="s">
        <v>147</v>
      </c>
    </row>
    <row r="45" spans="1:9" s="7" customFormat="1" x14ac:dyDescent="0.2">
      <c r="A45"/>
      <c r="B45" s="377">
        <v>211</v>
      </c>
      <c r="C45" s="377" t="s">
        <v>1757</v>
      </c>
      <c r="D45" s="376">
        <v>1653</v>
      </c>
      <c r="E45" s="377" t="s">
        <v>505</v>
      </c>
      <c r="F45" s="377" t="s">
        <v>1756</v>
      </c>
      <c r="G45" s="378">
        <v>0</v>
      </c>
      <c r="H45" s="376">
        <v>300000</v>
      </c>
      <c r="I45" s="376" t="s">
        <v>147</v>
      </c>
    </row>
    <row r="46" spans="1:9" s="7" customFormat="1" x14ac:dyDescent="0.2">
      <c r="A46"/>
      <c r="B46" s="377">
        <v>323</v>
      </c>
      <c r="C46" s="377" t="s">
        <v>1406</v>
      </c>
      <c r="D46" s="376">
        <v>1654</v>
      </c>
      <c r="E46" s="377" t="s">
        <v>505</v>
      </c>
      <c r="F46" s="377" t="s">
        <v>1405</v>
      </c>
      <c r="G46" s="378">
        <v>0</v>
      </c>
      <c r="H46" s="376">
        <v>75000</v>
      </c>
      <c r="I46" s="376" t="s">
        <v>147</v>
      </c>
    </row>
    <row r="47" spans="1:9" s="7" customFormat="1" x14ac:dyDescent="0.2">
      <c r="A47"/>
      <c r="B47" s="377">
        <v>531</v>
      </c>
      <c r="C47" s="377" t="s">
        <v>730</v>
      </c>
      <c r="D47" s="376">
        <v>1651</v>
      </c>
      <c r="E47" s="377" t="s">
        <v>505</v>
      </c>
      <c r="F47" s="377" t="s">
        <v>729</v>
      </c>
      <c r="G47" s="378">
        <v>0</v>
      </c>
      <c r="H47" s="376">
        <v>75000</v>
      </c>
      <c r="I47" s="376" t="s">
        <v>147</v>
      </c>
    </row>
    <row r="48" spans="1:9" s="7" customFormat="1" x14ac:dyDescent="0.2">
      <c r="A48"/>
      <c r="B48" s="377">
        <v>598</v>
      </c>
      <c r="C48" s="377" t="s">
        <v>506</v>
      </c>
      <c r="D48" s="376">
        <v>1650</v>
      </c>
      <c r="E48" s="377" t="s">
        <v>505</v>
      </c>
      <c r="F48" s="377" t="s">
        <v>504</v>
      </c>
      <c r="G48" s="378">
        <v>0</v>
      </c>
      <c r="H48" s="376">
        <v>155000</v>
      </c>
      <c r="I48" s="376" t="s">
        <v>147</v>
      </c>
    </row>
    <row r="49" spans="1:9" s="7" customFormat="1" x14ac:dyDescent="0.2">
      <c r="A49"/>
      <c r="B49" s="377">
        <v>124</v>
      </c>
      <c r="C49" s="377" t="s">
        <v>2022</v>
      </c>
      <c r="D49" s="376">
        <v>3500</v>
      </c>
      <c r="E49" s="377" t="s">
        <v>2021</v>
      </c>
      <c r="F49" s="377" t="s">
        <v>2020</v>
      </c>
      <c r="G49" s="378">
        <v>0</v>
      </c>
      <c r="H49" s="376">
        <v>75000</v>
      </c>
      <c r="I49" s="376" t="s">
        <v>152</v>
      </c>
    </row>
    <row r="50" spans="1:9" s="7" customFormat="1" x14ac:dyDescent="0.2">
      <c r="A50"/>
      <c r="B50" s="377">
        <v>507</v>
      </c>
      <c r="C50" s="377" t="s">
        <v>804</v>
      </c>
      <c r="D50" s="376">
        <v>5001</v>
      </c>
      <c r="E50" s="377" t="s">
        <v>803</v>
      </c>
      <c r="F50" s="377"/>
      <c r="G50" s="378">
        <v>0</v>
      </c>
      <c r="H50" s="376">
        <v>75000</v>
      </c>
      <c r="I50" s="376" t="s">
        <v>147</v>
      </c>
    </row>
    <row r="51" spans="1:9" s="7" customFormat="1" x14ac:dyDescent="0.2">
      <c r="A51"/>
      <c r="B51" s="377">
        <v>544</v>
      </c>
      <c r="C51" s="377" t="s">
        <v>680</v>
      </c>
      <c r="D51" s="376">
        <v>7970</v>
      </c>
      <c r="E51" s="377" t="s">
        <v>679</v>
      </c>
      <c r="F51" s="377"/>
      <c r="G51" s="378">
        <v>0</v>
      </c>
      <c r="H51" s="376">
        <v>400000</v>
      </c>
      <c r="I51" s="376" t="s">
        <v>147</v>
      </c>
    </row>
    <row r="52" spans="1:9" s="7" customFormat="1" x14ac:dyDescent="0.2">
      <c r="A52"/>
      <c r="B52" s="377">
        <v>693</v>
      </c>
      <c r="C52" s="377" t="s">
        <v>161</v>
      </c>
      <c r="D52" s="376">
        <v>9111</v>
      </c>
      <c r="E52" s="377" t="s">
        <v>160</v>
      </c>
      <c r="F52" s="377" t="s">
        <v>159</v>
      </c>
      <c r="G52" s="378">
        <v>0</v>
      </c>
      <c r="H52" s="376">
        <v>300000</v>
      </c>
      <c r="I52" s="376" t="s">
        <v>147</v>
      </c>
    </row>
    <row r="53" spans="1:9" s="7" customFormat="1" x14ac:dyDescent="0.2">
      <c r="A53"/>
      <c r="B53" s="377">
        <v>154</v>
      </c>
      <c r="C53" s="377" t="s">
        <v>1935</v>
      </c>
      <c r="D53" s="376">
        <v>3582</v>
      </c>
      <c r="E53" s="377" t="s">
        <v>1934</v>
      </c>
      <c r="F53" s="377" t="s">
        <v>1933</v>
      </c>
      <c r="G53" s="378">
        <v>0</v>
      </c>
      <c r="H53" s="376">
        <v>75000</v>
      </c>
      <c r="I53" s="376" t="s">
        <v>147</v>
      </c>
    </row>
    <row r="54" spans="1:9" s="7" customFormat="1" x14ac:dyDescent="0.2">
      <c r="A54"/>
      <c r="B54" s="377">
        <v>152</v>
      </c>
      <c r="C54" s="377" t="s">
        <v>1942</v>
      </c>
      <c r="D54" s="376">
        <v>9290</v>
      </c>
      <c r="E54" s="377" t="s">
        <v>1941</v>
      </c>
      <c r="F54" s="377"/>
      <c r="G54" s="378">
        <v>0</v>
      </c>
      <c r="H54" s="376">
        <v>155000</v>
      </c>
      <c r="I54" s="376" t="s">
        <v>152</v>
      </c>
    </row>
    <row r="55" spans="1:9" s="7" customFormat="1" x14ac:dyDescent="0.2">
      <c r="A55"/>
      <c r="B55" s="377">
        <v>351</v>
      </c>
      <c r="C55" s="377" t="s">
        <v>1323</v>
      </c>
      <c r="D55" s="376">
        <v>9120</v>
      </c>
      <c r="E55" s="377" t="s">
        <v>335</v>
      </c>
      <c r="F55" s="377" t="s">
        <v>1322</v>
      </c>
      <c r="G55" s="378">
        <v>0</v>
      </c>
      <c r="H55" s="376">
        <v>155000</v>
      </c>
      <c r="I55" s="376" t="s">
        <v>147</v>
      </c>
    </row>
    <row r="56" spans="1:9" s="7" customFormat="1" x14ac:dyDescent="0.2">
      <c r="A56"/>
      <c r="B56" s="377">
        <v>647</v>
      </c>
      <c r="C56" s="377" t="s">
        <v>336</v>
      </c>
      <c r="D56" s="376">
        <v>9120</v>
      </c>
      <c r="E56" s="377" t="s">
        <v>335</v>
      </c>
      <c r="F56" s="377" t="s">
        <v>334</v>
      </c>
      <c r="G56" s="378">
        <v>0</v>
      </c>
      <c r="H56" s="376">
        <v>300000</v>
      </c>
      <c r="I56" s="376" t="s">
        <v>147</v>
      </c>
    </row>
    <row r="57" spans="1:9" s="7" customFormat="1" x14ac:dyDescent="0.2">
      <c r="A57"/>
      <c r="B57" s="377">
        <v>44</v>
      </c>
      <c r="C57" s="377" t="s">
        <v>2251</v>
      </c>
      <c r="D57" s="376">
        <v>3360</v>
      </c>
      <c r="E57" s="377" t="s">
        <v>2250</v>
      </c>
      <c r="F57" s="377" t="s">
        <v>2249</v>
      </c>
      <c r="G57" s="378">
        <v>0</v>
      </c>
      <c r="H57" s="376">
        <v>300000</v>
      </c>
      <c r="I57" s="376" t="s">
        <v>152</v>
      </c>
    </row>
    <row r="58" spans="1:9" s="7" customFormat="1" x14ac:dyDescent="0.2">
      <c r="A58"/>
      <c r="B58" s="377">
        <v>300</v>
      </c>
      <c r="C58" s="377" t="s">
        <v>1478</v>
      </c>
      <c r="D58" s="376">
        <v>6533</v>
      </c>
      <c r="E58" s="377" t="s">
        <v>1477</v>
      </c>
      <c r="F58" s="377" t="s">
        <v>1476</v>
      </c>
      <c r="G58" s="378">
        <v>0</v>
      </c>
      <c r="H58" s="376">
        <v>400000</v>
      </c>
      <c r="I58" s="376" t="s">
        <v>147</v>
      </c>
    </row>
    <row r="59" spans="1:9" s="7" customFormat="1" x14ac:dyDescent="0.2">
      <c r="A59"/>
      <c r="B59" s="377">
        <v>395</v>
      </c>
      <c r="C59" s="377" t="s">
        <v>1183</v>
      </c>
      <c r="D59" s="376">
        <v>1301</v>
      </c>
      <c r="E59" s="377" t="s">
        <v>1182</v>
      </c>
      <c r="F59" s="377" t="s">
        <v>1181</v>
      </c>
      <c r="G59" s="378">
        <v>0</v>
      </c>
      <c r="H59" s="376">
        <v>400000</v>
      </c>
      <c r="I59" s="376" t="s">
        <v>147</v>
      </c>
    </row>
    <row r="60" spans="1:9" s="7" customFormat="1" x14ac:dyDescent="0.2">
      <c r="A60"/>
      <c r="B60" s="377">
        <v>411</v>
      </c>
      <c r="C60" s="377" t="s">
        <v>1126</v>
      </c>
      <c r="D60" s="376">
        <v>5640</v>
      </c>
      <c r="E60" s="377" t="s">
        <v>1125</v>
      </c>
      <c r="F60" s="377" t="s">
        <v>1124</v>
      </c>
      <c r="G60" s="378">
        <v>0</v>
      </c>
      <c r="H60" s="376">
        <v>400000</v>
      </c>
      <c r="I60" s="376" t="s">
        <v>147</v>
      </c>
    </row>
    <row r="61" spans="1:9" s="7" customFormat="1" x14ac:dyDescent="0.2">
      <c r="A61"/>
      <c r="B61" s="377">
        <v>290</v>
      </c>
      <c r="C61" s="377" t="s">
        <v>1510</v>
      </c>
      <c r="D61" s="376">
        <v>3740</v>
      </c>
      <c r="E61" s="377" t="s">
        <v>1228</v>
      </c>
      <c r="F61" s="377"/>
      <c r="G61" s="378">
        <v>0</v>
      </c>
      <c r="H61" s="376">
        <v>75000</v>
      </c>
      <c r="I61" s="376" t="s">
        <v>147</v>
      </c>
    </row>
    <row r="62" spans="1:9" s="7" customFormat="1" x14ac:dyDescent="0.2">
      <c r="A62"/>
      <c r="B62" s="377">
        <v>319</v>
      </c>
      <c r="C62" s="377" t="s">
        <v>1417</v>
      </c>
      <c r="D62" s="376">
        <v>3740</v>
      </c>
      <c r="E62" s="377" t="s">
        <v>1228</v>
      </c>
      <c r="F62" s="377"/>
      <c r="G62" s="378">
        <v>0</v>
      </c>
      <c r="H62" s="376">
        <v>300000</v>
      </c>
      <c r="I62" s="376" t="s">
        <v>147</v>
      </c>
    </row>
    <row r="63" spans="1:9" s="7" customFormat="1" x14ac:dyDescent="0.2">
      <c r="A63"/>
      <c r="B63" s="377">
        <v>380</v>
      </c>
      <c r="C63" s="377" t="s">
        <v>1229</v>
      </c>
      <c r="D63" s="376">
        <v>3740</v>
      </c>
      <c r="E63" s="377" t="s">
        <v>1228</v>
      </c>
      <c r="F63" s="377" t="s">
        <v>1227</v>
      </c>
      <c r="G63" s="378">
        <v>0</v>
      </c>
      <c r="H63" s="376">
        <v>155000</v>
      </c>
      <c r="I63" s="376" t="s">
        <v>147</v>
      </c>
    </row>
    <row r="64" spans="1:9" s="7" customFormat="1" x14ac:dyDescent="0.2">
      <c r="A64"/>
      <c r="B64" s="377">
        <v>596</v>
      </c>
      <c r="C64" s="377" t="s">
        <v>515</v>
      </c>
      <c r="D64" s="376">
        <v>3950</v>
      </c>
      <c r="E64" s="377" t="s">
        <v>514</v>
      </c>
      <c r="F64" s="377" t="s">
        <v>513</v>
      </c>
      <c r="G64" s="378">
        <v>0</v>
      </c>
      <c r="H64" s="376">
        <v>155000</v>
      </c>
      <c r="I64" s="376" t="s">
        <v>147</v>
      </c>
    </row>
    <row r="65" spans="1:9" s="7" customFormat="1" x14ac:dyDescent="0.2">
      <c r="A65"/>
      <c r="B65" s="377">
        <v>17</v>
      </c>
      <c r="C65" s="377" t="s">
        <v>2334</v>
      </c>
      <c r="D65" s="376">
        <v>2820</v>
      </c>
      <c r="E65" s="377" t="s">
        <v>2333</v>
      </c>
      <c r="F65" s="377" t="s">
        <v>2332</v>
      </c>
      <c r="G65" s="378">
        <v>0</v>
      </c>
      <c r="H65" s="376">
        <v>300000</v>
      </c>
      <c r="I65" s="376" t="s">
        <v>147</v>
      </c>
    </row>
    <row r="66" spans="1:9" s="7" customFormat="1" x14ac:dyDescent="0.2">
      <c r="A66"/>
      <c r="B66" s="377">
        <v>496</v>
      </c>
      <c r="C66" s="377" t="s">
        <v>847</v>
      </c>
      <c r="D66" s="376">
        <v>5021</v>
      </c>
      <c r="E66" s="377" t="s">
        <v>846</v>
      </c>
      <c r="F66" s="377" t="s">
        <v>845</v>
      </c>
      <c r="G66" s="378">
        <v>0</v>
      </c>
      <c r="H66" s="376">
        <v>300000</v>
      </c>
      <c r="I66" s="376" t="s">
        <v>152</v>
      </c>
    </row>
    <row r="67" spans="1:9" s="7" customFormat="1" x14ac:dyDescent="0.2">
      <c r="A67"/>
      <c r="B67" s="377">
        <v>226</v>
      </c>
      <c r="C67" s="377" t="s">
        <v>1712</v>
      </c>
      <c r="D67" s="376">
        <v>2140</v>
      </c>
      <c r="E67" s="377" t="s">
        <v>383</v>
      </c>
      <c r="F67" s="377" t="s">
        <v>1711</v>
      </c>
      <c r="G67" s="378">
        <v>0</v>
      </c>
      <c r="H67" s="376">
        <v>300000</v>
      </c>
      <c r="I67" s="376" t="s">
        <v>152</v>
      </c>
    </row>
    <row r="68" spans="1:9" s="7" customFormat="1" x14ac:dyDescent="0.2">
      <c r="A68"/>
      <c r="B68" s="377">
        <v>635</v>
      </c>
      <c r="C68" s="377" t="s">
        <v>384</v>
      </c>
      <c r="D68" s="376">
        <v>2140</v>
      </c>
      <c r="E68" s="377" t="s">
        <v>383</v>
      </c>
      <c r="F68" s="377" t="s">
        <v>382</v>
      </c>
      <c r="G68" s="378">
        <v>0</v>
      </c>
      <c r="H68" s="376">
        <v>300000</v>
      </c>
      <c r="I68" s="376" t="s">
        <v>147</v>
      </c>
    </row>
    <row r="69" spans="1:9" s="7" customFormat="1" x14ac:dyDescent="0.2">
      <c r="A69"/>
      <c r="B69" s="377">
        <v>135</v>
      </c>
      <c r="C69" s="377" t="s">
        <v>1989</v>
      </c>
      <c r="D69" s="376">
        <v>3840</v>
      </c>
      <c r="E69" s="377" t="s">
        <v>1503</v>
      </c>
      <c r="F69" s="377" t="s">
        <v>1988</v>
      </c>
      <c r="G69" s="378">
        <v>0</v>
      </c>
      <c r="H69" s="376">
        <v>155000</v>
      </c>
      <c r="I69" s="376" t="s">
        <v>152</v>
      </c>
    </row>
    <row r="70" spans="1:9" s="7" customFormat="1" x14ac:dyDescent="0.2">
      <c r="A70"/>
      <c r="B70" s="377">
        <v>145</v>
      </c>
      <c r="C70" s="377" t="s">
        <v>1959</v>
      </c>
      <c r="D70" s="376">
        <v>3840</v>
      </c>
      <c r="E70" s="377" t="s">
        <v>1503</v>
      </c>
      <c r="F70" s="377"/>
      <c r="G70" s="378">
        <v>0</v>
      </c>
      <c r="H70" s="376">
        <v>500000</v>
      </c>
      <c r="I70" s="376" t="s">
        <v>147</v>
      </c>
    </row>
    <row r="71" spans="1:9" s="7" customFormat="1" x14ac:dyDescent="0.2">
      <c r="A71"/>
      <c r="B71" s="377">
        <v>292</v>
      </c>
      <c r="C71" s="377" t="s">
        <v>1504</v>
      </c>
      <c r="D71" s="376">
        <v>3840</v>
      </c>
      <c r="E71" s="377" t="s">
        <v>1503</v>
      </c>
      <c r="F71" s="377"/>
      <c r="G71" s="378">
        <v>0</v>
      </c>
      <c r="H71" s="376">
        <v>400000</v>
      </c>
      <c r="I71" s="376" t="s">
        <v>147</v>
      </c>
    </row>
    <row r="72" spans="1:9" s="7" customFormat="1" x14ac:dyDescent="0.2">
      <c r="A72"/>
      <c r="B72" s="377">
        <v>63</v>
      </c>
      <c r="C72" s="377" t="s">
        <v>2200</v>
      </c>
      <c r="D72" s="376">
        <v>5004</v>
      </c>
      <c r="E72" s="377" t="s">
        <v>481</v>
      </c>
      <c r="F72" s="377"/>
      <c r="G72" s="378">
        <v>0</v>
      </c>
      <c r="H72" s="376">
        <v>400000</v>
      </c>
      <c r="I72" s="376" t="s">
        <v>147</v>
      </c>
    </row>
    <row r="73" spans="1:9" s="7" customFormat="1" x14ac:dyDescent="0.2">
      <c r="A73"/>
      <c r="B73" s="377">
        <v>258</v>
      </c>
      <c r="C73" s="377" t="s">
        <v>1610</v>
      </c>
      <c r="D73" s="376">
        <v>5004</v>
      </c>
      <c r="E73" s="377" t="s">
        <v>481</v>
      </c>
      <c r="F73" s="377" t="s">
        <v>1609</v>
      </c>
      <c r="G73" s="378">
        <v>0</v>
      </c>
      <c r="H73" s="376">
        <v>155000</v>
      </c>
      <c r="I73" s="376" t="s">
        <v>152</v>
      </c>
    </row>
    <row r="74" spans="1:9" s="7" customFormat="1" x14ac:dyDescent="0.2">
      <c r="A74"/>
      <c r="B74" s="377">
        <v>605</v>
      </c>
      <c r="C74" s="377" t="s">
        <v>482</v>
      </c>
      <c r="D74" s="376">
        <v>5004</v>
      </c>
      <c r="E74" s="377" t="s">
        <v>481</v>
      </c>
      <c r="F74" s="377"/>
      <c r="G74" s="378">
        <v>0</v>
      </c>
      <c r="H74" s="376">
        <v>400000</v>
      </c>
      <c r="I74" s="376" t="s">
        <v>147</v>
      </c>
    </row>
    <row r="75" spans="1:9" s="7" customFormat="1" x14ac:dyDescent="0.2">
      <c r="A75"/>
      <c r="B75" s="377">
        <v>174</v>
      </c>
      <c r="C75" s="377" t="s">
        <v>1876</v>
      </c>
      <c r="D75" s="376">
        <v>3370</v>
      </c>
      <c r="E75" s="377" t="s">
        <v>1875</v>
      </c>
      <c r="F75" s="377" t="s">
        <v>1874</v>
      </c>
      <c r="G75" s="378">
        <v>0</v>
      </c>
      <c r="H75" s="376">
        <v>300000</v>
      </c>
      <c r="I75" s="376" t="s">
        <v>152</v>
      </c>
    </row>
    <row r="76" spans="1:9" s="7" customFormat="1" x14ac:dyDescent="0.2">
      <c r="A76"/>
      <c r="B76" s="377">
        <v>20</v>
      </c>
      <c r="C76" s="377" t="s">
        <v>2323</v>
      </c>
      <c r="D76" s="376">
        <v>1440</v>
      </c>
      <c r="E76" s="377" t="s">
        <v>2322</v>
      </c>
      <c r="F76" s="377" t="s">
        <v>2321</v>
      </c>
      <c r="G76" s="378">
        <v>0</v>
      </c>
      <c r="H76" s="376">
        <v>75000</v>
      </c>
      <c r="I76" s="376" t="s">
        <v>152</v>
      </c>
    </row>
    <row r="77" spans="1:9" s="7" customFormat="1" x14ac:dyDescent="0.2">
      <c r="A77"/>
      <c r="B77" s="377">
        <v>332</v>
      </c>
      <c r="C77" s="377" t="s">
        <v>1379</v>
      </c>
      <c r="D77" s="376">
        <v>1440</v>
      </c>
      <c r="E77" s="377" t="s">
        <v>818</v>
      </c>
      <c r="F77" s="377" t="s">
        <v>1378</v>
      </c>
      <c r="G77" s="378">
        <v>0</v>
      </c>
      <c r="H77" s="376">
        <v>400000</v>
      </c>
      <c r="I77" s="376" t="s">
        <v>147</v>
      </c>
    </row>
    <row r="78" spans="1:9" s="7" customFormat="1" x14ac:dyDescent="0.2">
      <c r="A78"/>
      <c r="B78" s="377">
        <v>503</v>
      </c>
      <c r="C78" s="377" t="s">
        <v>819</v>
      </c>
      <c r="D78" s="376">
        <v>1440</v>
      </c>
      <c r="E78" s="377" t="s">
        <v>818</v>
      </c>
      <c r="F78" s="377" t="s">
        <v>817</v>
      </c>
      <c r="G78" s="378">
        <v>0</v>
      </c>
      <c r="H78" s="376">
        <v>75000</v>
      </c>
      <c r="I78" s="376" t="s">
        <v>147</v>
      </c>
    </row>
    <row r="79" spans="1:9" s="7" customFormat="1" x14ac:dyDescent="0.2">
      <c r="A79"/>
      <c r="B79" s="377">
        <v>35</v>
      </c>
      <c r="C79" s="377" t="s">
        <v>2275</v>
      </c>
      <c r="D79" s="376">
        <v>1420</v>
      </c>
      <c r="E79" s="377" t="s">
        <v>2274</v>
      </c>
      <c r="F79" s="377"/>
      <c r="G79" s="378">
        <v>0</v>
      </c>
      <c r="H79" s="376">
        <v>155000</v>
      </c>
      <c r="I79" s="376" t="s">
        <v>147</v>
      </c>
    </row>
    <row r="80" spans="1:9" s="7" customFormat="1" x14ac:dyDescent="0.2">
      <c r="A80"/>
      <c r="B80" s="377">
        <v>287</v>
      </c>
      <c r="C80" s="377" t="s">
        <v>1520</v>
      </c>
      <c r="D80" s="376">
        <v>4260</v>
      </c>
      <c r="E80" s="377" t="s">
        <v>1519</v>
      </c>
      <c r="F80" s="377" t="s">
        <v>1518</v>
      </c>
      <c r="G80" s="378">
        <v>0.1</v>
      </c>
      <c r="H80" s="376">
        <v>155000</v>
      </c>
      <c r="I80" s="376" t="s">
        <v>152</v>
      </c>
    </row>
    <row r="81" spans="1:9" s="7" customFormat="1" x14ac:dyDescent="0.2">
      <c r="A81"/>
      <c r="B81" s="377">
        <v>588</v>
      </c>
      <c r="C81" s="377" t="s">
        <v>543</v>
      </c>
      <c r="D81" s="376">
        <v>2960</v>
      </c>
      <c r="E81" s="377" t="s">
        <v>542</v>
      </c>
      <c r="F81" s="377" t="s">
        <v>541</v>
      </c>
      <c r="G81" s="378">
        <v>0</v>
      </c>
      <c r="H81" s="376">
        <v>75000</v>
      </c>
      <c r="I81" s="376" t="s">
        <v>147</v>
      </c>
    </row>
    <row r="82" spans="1:9" s="7" customFormat="1" x14ac:dyDescent="0.2">
      <c r="A82"/>
      <c r="B82" s="377">
        <v>577</v>
      </c>
      <c r="C82" s="377" t="s">
        <v>581</v>
      </c>
      <c r="D82" s="376">
        <v>3960</v>
      </c>
      <c r="E82" s="377" t="s">
        <v>580</v>
      </c>
      <c r="F82" s="377" t="s">
        <v>579</v>
      </c>
      <c r="G82" s="378">
        <v>0</v>
      </c>
      <c r="H82" s="376">
        <v>300000</v>
      </c>
      <c r="I82" s="376" t="s">
        <v>147</v>
      </c>
    </row>
    <row r="83" spans="1:9" s="7" customFormat="1" x14ac:dyDescent="0.2">
      <c r="A83"/>
      <c r="B83" s="377">
        <v>589</v>
      </c>
      <c r="C83" s="377" t="s">
        <v>538</v>
      </c>
      <c r="D83" s="376">
        <v>2870</v>
      </c>
      <c r="E83" s="377" t="s">
        <v>537</v>
      </c>
      <c r="F83" s="377" t="s">
        <v>536</v>
      </c>
      <c r="G83" s="378">
        <v>0</v>
      </c>
      <c r="H83" s="376">
        <v>400000</v>
      </c>
      <c r="I83" s="376" t="s">
        <v>147</v>
      </c>
    </row>
    <row r="84" spans="1:9" s="7" customFormat="1" x14ac:dyDescent="0.2">
      <c r="A84"/>
      <c r="B84" s="377">
        <v>191</v>
      </c>
      <c r="C84" s="377" t="s">
        <v>1817</v>
      </c>
      <c r="D84" s="376">
        <v>8000</v>
      </c>
      <c r="E84" s="377" t="s">
        <v>320</v>
      </c>
      <c r="F84" s="377" t="s">
        <v>1816</v>
      </c>
      <c r="G84" s="378">
        <v>0</v>
      </c>
      <c r="H84" s="376">
        <v>300000</v>
      </c>
      <c r="I84" s="376" t="s">
        <v>147</v>
      </c>
    </row>
    <row r="85" spans="1:9" s="7" customFormat="1" x14ac:dyDescent="0.2">
      <c r="A85"/>
      <c r="B85" s="377">
        <v>651</v>
      </c>
      <c r="C85" s="377" t="s">
        <v>321</v>
      </c>
      <c r="D85" s="376">
        <v>8200</v>
      </c>
      <c r="E85" s="377" t="s">
        <v>320</v>
      </c>
      <c r="F85" s="377" t="s">
        <v>319</v>
      </c>
      <c r="G85" s="378">
        <v>0</v>
      </c>
      <c r="H85" s="376">
        <v>300000</v>
      </c>
      <c r="I85" s="376" t="s">
        <v>147</v>
      </c>
    </row>
    <row r="86" spans="1:9" s="7" customFormat="1" x14ac:dyDescent="0.2">
      <c r="A86"/>
      <c r="B86" s="377">
        <v>592</v>
      </c>
      <c r="C86" s="377" t="s">
        <v>528</v>
      </c>
      <c r="D86" s="376">
        <v>7620</v>
      </c>
      <c r="E86" s="377" t="s">
        <v>527</v>
      </c>
      <c r="F86" s="377" t="s">
        <v>526</v>
      </c>
      <c r="G86" s="378">
        <v>0</v>
      </c>
      <c r="H86" s="376">
        <v>400000</v>
      </c>
      <c r="I86" s="376" t="s">
        <v>147</v>
      </c>
    </row>
    <row r="87" spans="1:9" s="7" customFormat="1" x14ac:dyDescent="0.2">
      <c r="A87"/>
      <c r="B87" s="377">
        <v>387</v>
      </c>
      <c r="C87" s="377" t="s">
        <v>1209</v>
      </c>
      <c r="D87" s="376">
        <v>1785</v>
      </c>
      <c r="E87" s="377" t="s">
        <v>769</v>
      </c>
      <c r="F87" s="377" t="s">
        <v>1208</v>
      </c>
      <c r="G87" s="378">
        <v>0</v>
      </c>
      <c r="H87" s="376">
        <v>300000</v>
      </c>
      <c r="I87" s="376" t="s">
        <v>147</v>
      </c>
    </row>
    <row r="88" spans="1:9" s="7" customFormat="1" x14ac:dyDescent="0.2">
      <c r="A88"/>
      <c r="B88" s="377">
        <v>519</v>
      </c>
      <c r="C88" s="377" t="s">
        <v>770</v>
      </c>
      <c r="D88" s="376">
        <v>1785</v>
      </c>
      <c r="E88" s="377" t="s">
        <v>769</v>
      </c>
      <c r="F88" s="377" t="s">
        <v>768</v>
      </c>
      <c r="G88" s="378">
        <v>0</v>
      </c>
      <c r="H88" s="376">
        <v>155000</v>
      </c>
      <c r="I88" s="376" t="s">
        <v>147</v>
      </c>
    </row>
    <row r="89" spans="1:9" s="7" customFormat="1" x14ac:dyDescent="0.2">
      <c r="A89"/>
      <c r="B89" s="377">
        <v>76</v>
      </c>
      <c r="C89" s="377" t="s">
        <v>2164</v>
      </c>
      <c r="D89" s="376">
        <v>1080</v>
      </c>
      <c r="E89" s="377" t="s">
        <v>1110</v>
      </c>
      <c r="F89" s="377" t="s">
        <v>2163</v>
      </c>
      <c r="G89" s="378">
        <v>0</v>
      </c>
      <c r="H89" s="376">
        <v>155000</v>
      </c>
      <c r="I89" s="376" t="s">
        <v>147</v>
      </c>
    </row>
    <row r="90" spans="1:9" s="7" customFormat="1" x14ac:dyDescent="0.2">
      <c r="A90"/>
      <c r="B90" s="377">
        <v>101</v>
      </c>
      <c r="C90" s="377" t="s">
        <v>2094</v>
      </c>
      <c r="D90" s="376">
        <v>1120</v>
      </c>
      <c r="E90" s="377" t="s">
        <v>1110</v>
      </c>
      <c r="F90" s="377" t="s">
        <v>2093</v>
      </c>
      <c r="G90" s="378">
        <v>0</v>
      </c>
      <c r="H90" s="376">
        <v>155000</v>
      </c>
      <c r="I90" s="376" t="s">
        <v>147</v>
      </c>
    </row>
    <row r="91" spans="1:9" s="7" customFormat="1" x14ac:dyDescent="0.2">
      <c r="A91"/>
      <c r="B91" s="377">
        <v>162</v>
      </c>
      <c r="C91" s="377" t="s">
        <v>1912</v>
      </c>
      <c r="D91" s="376">
        <v>1060</v>
      </c>
      <c r="E91" s="377" t="s">
        <v>1110</v>
      </c>
      <c r="F91" s="377" t="s">
        <v>1911</v>
      </c>
      <c r="G91" s="378">
        <v>0</v>
      </c>
      <c r="H91" s="376">
        <v>155000</v>
      </c>
      <c r="I91" s="376" t="s">
        <v>147</v>
      </c>
    </row>
    <row r="92" spans="1:9" s="7" customFormat="1" x14ac:dyDescent="0.2">
      <c r="A92"/>
      <c r="B92" s="377">
        <v>216</v>
      </c>
      <c r="C92" s="377" t="s">
        <v>1740</v>
      </c>
      <c r="D92" s="376">
        <v>1200</v>
      </c>
      <c r="E92" s="377" t="s">
        <v>1110</v>
      </c>
      <c r="F92" s="377" t="s">
        <v>1739</v>
      </c>
      <c r="G92" s="378">
        <v>0</v>
      </c>
      <c r="H92" s="376">
        <v>300000</v>
      </c>
      <c r="I92" s="376" t="s">
        <v>147</v>
      </c>
    </row>
    <row r="93" spans="1:9" s="7" customFormat="1" x14ac:dyDescent="0.2">
      <c r="A93"/>
      <c r="B93" s="377">
        <v>252</v>
      </c>
      <c r="C93" s="377" t="s">
        <v>1631</v>
      </c>
      <c r="D93" s="376">
        <v>1120</v>
      </c>
      <c r="E93" s="377" t="s">
        <v>1110</v>
      </c>
      <c r="F93" s="377" t="s">
        <v>1630</v>
      </c>
      <c r="G93" s="378">
        <v>0</v>
      </c>
      <c r="H93" s="376">
        <v>75000</v>
      </c>
      <c r="I93" s="376" t="s">
        <v>147</v>
      </c>
    </row>
    <row r="94" spans="1:9" s="7" customFormat="1" x14ac:dyDescent="0.2">
      <c r="A94"/>
      <c r="B94" s="377">
        <v>257</v>
      </c>
      <c r="C94" s="377" t="s">
        <v>1613</v>
      </c>
      <c r="D94" s="376">
        <v>1020</v>
      </c>
      <c r="E94" s="377" t="s">
        <v>1110</v>
      </c>
      <c r="F94" s="377" t="s">
        <v>1612</v>
      </c>
      <c r="G94" s="378">
        <v>0.05</v>
      </c>
      <c r="H94" s="376">
        <v>75000</v>
      </c>
      <c r="I94" s="376" t="s">
        <v>152</v>
      </c>
    </row>
    <row r="95" spans="1:9" s="7" customFormat="1" x14ac:dyDescent="0.2">
      <c r="A95"/>
      <c r="B95" s="377">
        <v>415</v>
      </c>
      <c r="C95" s="377" t="s">
        <v>1111</v>
      </c>
      <c r="D95" s="376">
        <v>1190</v>
      </c>
      <c r="E95" s="377" t="s">
        <v>1110</v>
      </c>
      <c r="F95" s="377"/>
      <c r="G95" s="378">
        <v>0</v>
      </c>
      <c r="H95" s="376">
        <v>75000</v>
      </c>
      <c r="I95" s="376" t="s">
        <v>147</v>
      </c>
    </row>
    <row r="96" spans="1:9" s="7" customFormat="1" x14ac:dyDescent="0.2">
      <c r="A96"/>
      <c r="B96" s="377">
        <v>18</v>
      </c>
      <c r="C96" s="377" t="s">
        <v>2330</v>
      </c>
      <c r="D96" s="376">
        <v>1060</v>
      </c>
      <c r="E96" s="377" t="s">
        <v>200</v>
      </c>
      <c r="F96" s="377" t="s">
        <v>2329</v>
      </c>
      <c r="G96" s="378">
        <v>0</v>
      </c>
      <c r="H96" s="376">
        <v>300000</v>
      </c>
      <c r="I96" s="376" t="s">
        <v>147</v>
      </c>
    </row>
    <row r="97" spans="1:9" s="7" customFormat="1" x14ac:dyDescent="0.2">
      <c r="A97"/>
      <c r="B97" s="377">
        <v>32</v>
      </c>
      <c r="C97" s="377" t="s">
        <v>2282</v>
      </c>
      <c r="D97" s="376">
        <v>1050</v>
      </c>
      <c r="E97" s="377" t="s">
        <v>200</v>
      </c>
      <c r="F97" s="377" t="s">
        <v>2281</v>
      </c>
      <c r="G97" s="378">
        <v>0</v>
      </c>
      <c r="H97" s="376">
        <v>400000</v>
      </c>
      <c r="I97" s="376" t="s">
        <v>147</v>
      </c>
    </row>
    <row r="98" spans="1:9" s="7" customFormat="1" x14ac:dyDescent="0.2">
      <c r="A98"/>
      <c r="B98" s="377">
        <v>33</v>
      </c>
      <c r="C98" s="377" t="s">
        <v>2279</v>
      </c>
      <c r="D98" s="376">
        <v>1170</v>
      </c>
      <c r="E98" s="377" t="s">
        <v>200</v>
      </c>
      <c r="F98" s="377" t="s">
        <v>2278</v>
      </c>
      <c r="G98" s="378">
        <v>0</v>
      </c>
      <c r="H98" s="376">
        <v>155000</v>
      </c>
      <c r="I98" s="376" t="s">
        <v>147</v>
      </c>
    </row>
    <row r="99" spans="1:9" s="7" customFormat="1" x14ac:dyDescent="0.2">
      <c r="A99"/>
      <c r="B99" s="377">
        <v>39</v>
      </c>
      <c r="C99" s="377" t="s">
        <v>2263</v>
      </c>
      <c r="D99" s="376">
        <v>1180</v>
      </c>
      <c r="E99" s="377" t="s">
        <v>200</v>
      </c>
      <c r="F99" s="377" t="s">
        <v>2262</v>
      </c>
      <c r="G99" s="378">
        <v>0</v>
      </c>
      <c r="H99" s="376">
        <v>400000</v>
      </c>
      <c r="I99" s="376" t="s">
        <v>147</v>
      </c>
    </row>
    <row r="100" spans="1:9" s="7" customFormat="1" x14ac:dyDescent="0.2">
      <c r="A100"/>
      <c r="B100" s="377">
        <v>46</v>
      </c>
      <c r="C100" s="377" t="s">
        <v>2244</v>
      </c>
      <c r="D100" s="376">
        <v>1090</v>
      </c>
      <c r="E100" s="377" t="s">
        <v>200</v>
      </c>
      <c r="F100" s="377" t="s">
        <v>2243</v>
      </c>
      <c r="G100" s="378">
        <v>0</v>
      </c>
      <c r="H100" s="376">
        <v>155000</v>
      </c>
      <c r="I100" s="376" t="s">
        <v>147</v>
      </c>
    </row>
    <row r="101" spans="1:9" s="7" customFormat="1" x14ac:dyDescent="0.2">
      <c r="A101"/>
      <c r="B101" s="377">
        <v>47</v>
      </c>
      <c r="C101" s="377" t="s">
        <v>2241</v>
      </c>
      <c r="D101" s="376">
        <v>1070</v>
      </c>
      <c r="E101" s="377" t="s">
        <v>200</v>
      </c>
      <c r="F101" s="377" t="s">
        <v>2240</v>
      </c>
      <c r="G101" s="378">
        <v>0</v>
      </c>
      <c r="H101" s="376">
        <v>400000</v>
      </c>
      <c r="I101" s="376" t="s">
        <v>152</v>
      </c>
    </row>
    <row r="102" spans="1:9" s="7" customFormat="1" x14ac:dyDescent="0.2">
      <c r="A102"/>
      <c r="B102" s="377">
        <v>49</v>
      </c>
      <c r="C102" s="377" t="s">
        <v>2236</v>
      </c>
      <c r="D102" s="376">
        <v>1080</v>
      </c>
      <c r="E102" s="377" t="s">
        <v>200</v>
      </c>
      <c r="F102" s="377" t="s">
        <v>2235</v>
      </c>
      <c r="G102" s="378">
        <v>0</v>
      </c>
      <c r="H102" s="376">
        <v>400000</v>
      </c>
      <c r="I102" s="376" t="s">
        <v>147</v>
      </c>
    </row>
    <row r="103" spans="1:9" s="7" customFormat="1" x14ac:dyDescent="0.2">
      <c r="A103"/>
      <c r="B103" s="377">
        <v>51</v>
      </c>
      <c r="C103" s="377" t="s">
        <v>2230</v>
      </c>
      <c r="D103" s="376">
        <v>1040</v>
      </c>
      <c r="E103" s="377" t="s">
        <v>200</v>
      </c>
      <c r="F103" s="377" t="s">
        <v>2229</v>
      </c>
      <c r="G103" s="378">
        <v>0</v>
      </c>
      <c r="H103" s="376">
        <v>400000</v>
      </c>
      <c r="I103" s="376" t="s">
        <v>147</v>
      </c>
    </row>
    <row r="104" spans="1:9" s="7" customFormat="1" x14ac:dyDescent="0.2">
      <c r="A104"/>
      <c r="B104" s="377">
        <v>57</v>
      </c>
      <c r="C104" s="377" t="s">
        <v>2214</v>
      </c>
      <c r="D104" s="376">
        <v>1070</v>
      </c>
      <c r="E104" s="377" t="s">
        <v>200</v>
      </c>
      <c r="F104" s="377" t="s">
        <v>2213</v>
      </c>
      <c r="G104" s="378">
        <v>0</v>
      </c>
      <c r="H104" s="376">
        <v>300000</v>
      </c>
      <c r="I104" s="376" t="s">
        <v>147</v>
      </c>
    </row>
    <row r="105" spans="1:9" s="7" customFormat="1" x14ac:dyDescent="0.2">
      <c r="A105"/>
      <c r="B105" s="377">
        <v>61</v>
      </c>
      <c r="C105" s="377" t="s">
        <v>2205</v>
      </c>
      <c r="D105" s="376">
        <v>1190</v>
      </c>
      <c r="E105" s="377" t="s">
        <v>200</v>
      </c>
      <c r="F105" s="377" t="s">
        <v>2204</v>
      </c>
      <c r="G105" s="378">
        <v>0</v>
      </c>
      <c r="H105" s="376">
        <v>75000</v>
      </c>
      <c r="I105" s="376" t="s">
        <v>147</v>
      </c>
    </row>
    <row r="106" spans="1:9" s="7" customFormat="1" x14ac:dyDescent="0.2">
      <c r="A106"/>
      <c r="B106" s="377">
        <v>64</v>
      </c>
      <c r="C106" s="377" t="s">
        <v>2198</v>
      </c>
      <c r="D106" s="376">
        <v>1090</v>
      </c>
      <c r="E106" s="377" t="s">
        <v>200</v>
      </c>
      <c r="F106" s="377" t="s">
        <v>2197</v>
      </c>
      <c r="G106" s="378">
        <v>0</v>
      </c>
      <c r="H106" s="376">
        <v>75000</v>
      </c>
      <c r="I106" s="376" t="s">
        <v>147</v>
      </c>
    </row>
    <row r="107" spans="1:9" s="7" customFormat="1" x14ac:dyDescent="0.2">
      <c r="A107"/>
      <c r="B107" s="377">
        <v>65</v>
      </c>
      <c r="C107" s="377" t="s">
        <v>2195</v>
      </c>
      <c r="D107" s="376">
        <v>1070</v>
      </c>
      <c r="E107" s="377" t="s">
        <v>200</v>
      </c>
      <c r="F107" s="377" t="s">
        <v>2194</v>
      </c>
      <c r="G107" s="378">
        <v>0</v>
      </c>
      <c r="H107" s="376">
        <v>400000</v>
      </c>
      <c r="I107" s="376" t="s">
        <v>147</v>
      </c>
    </row>
    <row r="108" spans="1:9" s="7" customFormat="1" x14ac:dyDescent="0.2">
      <c r="A108"/>
      <c r="B108" s="377">
        <v>69</v>
      </c>
      <c r="C108" s="377" t="s">
        <v>2184</v>
      </c>
      <c r="D108" s="376">
        <v>1050</v>
      </c>
      <c r="E108" s="377" t="s">
        <v>200</v>
      </c>
      <c r="F108" s="377" t="s">
        <v>2183</v>
      </c>
      <c r="G108" s="378">
        <v>0</v>
      </c>
      <c r="H108" s="376">
        <v>400000</v>
      </c>
      <c r="I108" s="376" t="s">
        <v>147</v>
      </c>
    </row>
    <row r="109" spans="1:9" s="7" customFormat="1" x14ac:dyDescent="0.2">
      <c r="A109"/>
      <c r="B109" s="377">
        <v>75</v>
      </c>
      <c r="C109" s="377" t="s">
        <v>2166</v>
      </c>
      <c r="D109" s="376">
        <v>1200</v>
      </c>
      <c r="E109" s="377" t="s">
        <v>200</v>
      </c>
      <c r="F109" s="377"/>
      <c r="G109" s="378">
        <v>0</v>
      </c>
      <c r="H109" s="376">
        <v>75000</v>
      </c>
      <c r="I109" s="376" t="s">
        <v>147</v>
      </c>
    </row>
    <row r="110" spans="1:9" s="7" customFormat="1" x14ac:dyDescent="0.2">
      <c r="A110"/>
      <c r="B110" s="377">
        <v>77</v>
      </c>
      <c r="C110" s="377" t="s">
        <v>2160</v>
      </c>
      <c r="D110" s="376">
        <v>1070</v>
      </c>
      <c r="E110" s="377" t="s">
        <v>200</v>
      </c>
      <c r="F110" s="377" t="s">
        <v>2159</v>
      </c>
      <c r="G110" s="378">
        <v>0</v>
      </c>
      <c r="H110" s="376">
        <v>400000</v>
      </c>
      <c r="I110" s="376" t="s">
        <v>147</v>
      </c>
    </row>
    <row r="111" spans="1:9" s="7" customFormat="1" x14ac:dyDescent="0.2">
      <c r="A111"/>
      <c r="B111" s="377">
        <v>81</v>
      </c>
      <c r="C111" s="377" t="s">
        <v>2148</v>
      </c>
      <c r="D111" s="376">
        <v>1060</v>
      </c>
      <c r="E111" s="377" t="s">
        <v>200</v>
      </c>
      <c r="F111" s="377" t="s">
        <v>2147</v>
      </c>
      <c r="G111" s="378">
        <v>0</v>
      </c>
      <c r="H111" s="376">
        <v>400000</v>
      </c>
      <c r="I111" s="376" t="s">
        <v>147</v>
      </c>
    </row>
    <row r="112" spans="1:9" s="7" customFormat="1" x14ac:dyDescent="0.2">
      <c r="A112"/>
      <c r="B112" s="377">
        <v>84</v>
      </c>
      <c r="C112" s="377" t="s">
        <v>2138</v>
      </c>
      <c r="D112" s="376">
        <v>1070</v>
      </c>
      <c r="E112" s="377" t="s">
        <v>200</v>
      </c>
      <c r="F112" s="377" t="s">
        <v>2137</v>
      </c>
      <c r="G112" s="378">
        <v>0</v>
      </c>
      <c r="H112" s="376">
        <v>400000</v>
      </c>
      <c r="I112" s="376" t="s">
        <v>152</v>
      </c>
    </row>
    <row r="113" spans="1:9" s="7" customFormat="1" x14ac:dyDescent="0.2">
      <c r="A113"/>
      <c r="B113" s="377">
        <v>85</v>
      </c>
      <c r="C113" s="377" t="s">
        <v>2135</v>
      </c>
      <c r="D113" s="376">
        <v>1070</v>
      </c>
      <c r="E113" s="377" t="s">
        <v>200</v>
      </c>
      <c r="F113" s="377" t="s">
        <v>2134</v>
      </c>
      <c r="G113" s="378">
        <v>0</v>
      </c>
      <c r="H113" s="376">
        <v>75000</v>
      </c>
      <c r="I113" s="376" t="s">
        <v>152</v>
      </c>
    </row>
    <row r="114" spans="1:9" s="7" customFormat="1" x14ac:dyDescent="0.2">
      <c r="A114"/>
      <c r="B114" s="377">
        <v>88</v>
      </c>
      <c r="C114" s="377" t="s">
        <v>2126</v>
      </c>
      <c r="D114" s="376">
        <v>1070</v>
      </c>
      <c r="E114" s="377" t="s">
        <v>200</v>
      </c>
      <c r="F114" s="377" t="s">
        <v>2125</v>
      </c>
      <c r="G114" s="378">
        <v>0</v>
      </c>
      <c r="H114" s="376">
        <v>155000</v>
      </c>
      <c r="I114" s="376" t="s">
        <v>147</v>
      </c>
    </row>
    <row r="115" spans="1:9" s="7" customFormat="1" x14ac:dyDescent="0.2">
      <c r="A115"/>
      <c r="B115" s="377">
        <v>91</v>
      </c>
      <c r="C115" s="377" t="s">
        <v>2120</v>
      </c>
      <c r="D115" s="376">
        <v>1090</v>
      </c>
      <c r="E115" s="377" t="s">
        <v>200</v>
      </c>
      <c r="F115" s="377" t="s">
        <v>2119</v>
      </c>
      <c r="G115" s="378">
        <v>0</v>
      </c>
      <c r="H115" s="376">
        <v>75000</v>
      </c>
      <c r="I115" s="376" t="s">
        <v>147</v>
      </c>
    </row>
    <row r="116" spans="1:9" s="7" customFormat="1" x14ac:dyDescent="0.2">
      <c r="A116"/>
      <c r="B116" s="377">
        <v>93</v>
      </c>
      <c r="C116" s="377" t="s">
        <v>2117</v>
      </c>
      <c r="D116" s="376">
        <v>1070</v>
      </c>
      <c r="E116" s="377" t="s">
        <v>200</v>
      </c>
      <c r="F116" s="377" t="s">
        <v>2116</v>
      </c>
      <c r="G116" s="378">
        <v>0</v>
      </c>
      <c r="H116" s="376">
        <v>155000</v>
      </c>
      <c r="I116" s="376" t="s">
        <v>152</v>
      </c>
    </row>
    <row r="117" spans="1:9" s="7" customFormat="1" x14ac:dyDescent="0.2">
      <c r="A117"/>
      <c r="B117" s="377">
        <v>97</v>
      </c>
      <c r="C117" s="377" t="s">
        <v>2105</v>
      </c>
      <c r="D117" s="376">
        <v>1060</v>
      </c>
      <c r="E117" s="377" t="s">
        <v>200</v>
      </c>
      <c r="F117" s="377" t="s">
        <v>2104</v>
      </c>
      <c r="G117" s="378">
        <v>0</v>
      </c>
      <c r="H117" s="376">
        <v>75000</v>
      </c>
      <c r="I117" s="376" t="s">
        <v>152</v>
      </c>
    </row>
    <row r="118" spans="1:9" s="7" customFormat="1" x14ac:dyDescent="0.2">
      <c r="A118"/>
      <c r="B118" s="377">
        <v>98</v>
      </c>
      <c r="C118" s="377" t="s">
        <v>2101</v>
      </c>
      <c r="D118" s="376">
        <v>1180</v>
      </c>
      <c r="E118" s="377" t="s">
        <v>200</v>
      </c>
      <c r="F118" s="377" t="s">
        <v>2100</v>
      </c>
      <c r="G118" s="378">
        <v>0</v>
      </c>
      <c r="H118" s="376">
        <v>400000</v>
      </c>
      <c r="I118" s="376" t="s">
        <v>147</v>
      </c>
    </row>
    <row r="119" spans="1:9" s="7" customFormat="1" x14ac:dyDescent="0.2">
      <c r="A119"/>
      <c r="B119" s="377">
        <v>99</v>
      </c>
      <c r="C119" s="377" t="s">
        <v>2098</v>
      </c>
      <c r="D119" s="376">
        <v>1060</v>
      </c>
      <c r="E119" s="377" t="s">
        <v>200</v>
      </c>
      <c r="F119" s="377"/>
      <c r="G119" s="378">
        <v>0</v>
      </c>
      <c r="H119" s="376">
        <v>400000</v>
      </c>
      <c r="I119" s="376" t="s">
        <v>147</v>
      </c>
    </row>
    <row r="120" spans="1:9" s="7" customFormat="1" x14ac:dyDescent="0.2">
      <c r="A120"/>
      <c r="B120" s="377">
        <v>100</v>
      </c>
      <c r="C120" s="377" t="s">
        <v>2096</v>
      </c>
      <c r="D120" s="376">
        <v>1070</v>
      </c>
      <c r="E120" s="377" t="s">
        <v>200</v>
      </c>
      <c r="F120" s="377" t="s">
        <v>2095</v>
      </c>
      <c r="G120" s="378">
        <v>0</v>
      </c>
      <c r="H120" s="376">
        <v>400000</v>
      </c>
      <c r="I120" s="376" t="s">
        <v>147</v>
      </c>
    </row>
    <row r="121" spans="1:9" s="7" customFormat="1" x14ac:dyDescent="0.2">
      <c r="A121"/>
      <c r="B121" s="377">
        <v>123</v>
      </c>
      <c r="C121" s="377" t="s">
        <v>2025</v>
      </c>
      <c r="D121" s="376">
        <v>1180</v>
      </c>
      <c r="E121" s="377" t="s">
        <v>200</v>
      </c>
      <c r="F121" s="377" t="s">
        <v>2024</v>
      </c>
      <c r="G121" s="378">
        <v>0</v>
      </c>
      <c r="H121" s="376">
        <v>400000</v>
      </c>
      <c r="I121" s="376" t="s">
        <v>147</v>
      </c>
    </row>
    <row r="122" spans="1:9" s="7" customFormat="1" x14ac:dyDescent="0.2">
      <c r="A122"/>
      <c r="B122" s="377">
        <v>136</v>
      </c>
      <c r="C122" s="377" t="s">
        <v>1985</v>
      </c>
      <c r="D122" s="376">
        <v>1080</v>
      </c>
      <c r="E122" s="377" t="s">
        <v>200</v>
      </c>
      <c r="F122" s="377" t="s">
        <v>1984</v>
      </c>
      <c r="G122" s="378">
        <v>0</v>
      </c>
      <c r="H122" s="376">
        <v>400000</v>
      </c>
      <c r="I122" s="376" t="s">
        <v>147</v>
      </c>
    </row>
    <row r="123" spans="1:9" s="7" customFormat="1" x14ac:dyDescent="0.2">
      <c r="A123"/>
      <c r="B123" s="377">
        <v>142</v>
      </c>
      <c r="C123" s="377" t="s">
        <v>1969</v>
      </c>
      <c r="D123" s="376">
        <v>1030</v>
      </c>
      <c r="E123" s="377" t="s">
        <v>200</v>
      </c>
      <c r="F123" s="377" t="s">
        <v>1968</v>
      </c>
      <c r="G123" s="378">
        <v>0</v>
      </c>
      <c r="H123" s="376">
        <v>75000</v>
      </c>
      <c r="I123" s="376" t="s">
        <v>152</v>
      </c>
    </row>
    <row r="124" spans="1:9" s="7" customFormat="1" x14ac:dyDescent="0.2">
      <c r="A124"/>
      <c r="B124" s="377">
        <v>147</v>
      </c>
      <c r="C124" s="377" t="s">
        <v>1954</v>
      </c>
      <c r="D124" s="376">
        <v>2000</v>
      </c>
      <c r="E124" s="377" t="s">
        <v>200</v>
      </c>
      <c r="F124" s="377" t="s">
        <v>1953</v>
      </c>
      <c r="G124" s="378">
        <v>0</v>
      </c>
      <c r="H124" s="376">
        <v>300000</v>
      </c>
      <c r="I124" s="376" t="s">
        <v>152</v>
      </c>
    </row>
    <row r="125" spans="1:9" s="7" customFormat="1" x14ac:dyDescent="0.2">
      <c r="A125"/>
      <c r="B125" s="377">
        <v>150</v>
      </c>
      <c r="C125" s="377" t="s">
        <v>1947</v>
      </c>
      <c r="D125" s="376">
        <v>1030</v>
      </c>
      <c r="E125" s="377" t="s">
        <v>200</v>
      </c>
      <c r="F125" s="377" t="s">
        <v>1946</v>
      </c>
      <c r="G125" s="378">
        <v>0</v>
      </c>
      <c r="H125" s="376">
        <v>400000</v>
      </c>
      <c r="I125" s="376" t="s">
        <v>152</v>
      </c>
    </row>
    <row r="126" spans="1:9" s="7" customFormat="1" x14ac:dyDescent="0.2">
      <c r="A126"/>
      <c r="B126" s="377">
        <v>158</v>
      </c>
      <c r="C126" s="377" t="s">
        <v>1923</v>
      </c>
      <c r="D126" s="376">
        <v>1200</v>
      </c>
      <c r="E126" s="377" t="s">
        <v>200</v>
      </c>
      <c r="F126" s="377" t="s">
        <v>1922</v>
      </c>
      <c r="G126" s="378">
        <v>0</v>
      </c>
      <c r="H126" s="376">
        <v>400000</v>
      </c>
      <c r="I126" s="376" t="s">
        <v>147</v>
      </c>
    </row>
    <row r="127" spans="1:9" s="7" customFormat="1" x14ac:dyDescent="0.2">
      <c r="A127"/>
      <c r="B127" s="377">
        <v>164</v>
      </c>
      <c r="C127" s="377" t="s">
        <v>1904</v>
      </c>
      <c r="D127" s="376">
        <v>1070</v>
      </c>
      <c r="E127" s="377" t="s">
        <v>200</v>
      </c>
      <c r="F127" s="377" t="s">
        <v>1903</v>
      </c>
      <c r="G127" s="378">
        <v>0</v>
      </c>
      <c r="H127" s="376">
        <v>300000</v>
      </c>
      <c r="I127" s="376" t="s">
        <v>147</v>
      </c>
    </row>
    <row r="128" spans="1:9" s="7" customFormat="1" x14ac:dyDescent="0.2">
      <c r="A128"/>
      <c r="B128" s="377">
        <v>165</v>
      </c>
      <c r="C128" s="377" t="s">
        <v>1901</v>
      </c>
      <c r="D128" s="376">
        <v>1080</v>
      </c>
      <c r="E128" s="377" t="s">
        <v>200</v>
      </c>
      <c r="F128" s="377" t="s">
        <v>1900</v>
      </c>
      <c r="G128" s="378">
        <v>0</v>
      </c>
      <c r="H128" s="376">
        <v>400000</v>
      </c>
      <c r="I128" s="376" t="s">
        <v>147</v>
      </c>
    </row>
    <row r="129" spans="1:9" s="7" customFormat="1" x14ac:dyDescent="0.2">
      <c r="A129"/>
      <c r="B129" s="377">
        <v>169</v>
      </c>
      <c r="C129" s="377" t="s">
        <v>1888</v>
      </c>
      <c r="D129" s="376">
        <v>1180</v>
      </c>
      <c r="E129" s="377" t="s">
        <v>200</v>
      </c>
      <c r="F129" s="377" t="s">
        <v>1887</v>
      </c>
      <c r="G129" s="378">
        <v>0</v>
      </c>
      <c r="H129" s="376">
        <v>400000</v>
      </c>
      <c r="I129" s="376" t="s">
        <v>147</v>
      </c>
    </row>
    <row r="130" spans="1:9" s="7" customFormat="1" x14ac:dyDescent="0.2">
      <c r="A130"/>
      <c r="B130" s="377">
        <v>181</v>
      </c>
      <c r="C130" s="377" t="s">
        <v>1850</v>
      </c>
      <c r="D130" s="376">
        <v>1070</v>
      </c>
      <c r="E130" s="377" t="s">
        <v>200</v>
      </c>
      <c r="F130" s="377" t="s">
        <v>1849</v>
      </c>
      <c r="G130" s="378">
        <v>0</v>
      </c>
      <c r="H130" s="376">
        <v>75000</v>
      </c>
      <c r="I130" s="376" t="s">
        <v>152</v>
      </c>
    </row>
    <row r="131" spans="1:9" s="7" customFormat="1" x14ac:dyDescent="0.2">
      <c r="A131"/>
      <c r="B131" s="377">
        <v>204</v>
      </c>
      <c r="C131" s="377" t="s">
        <v>1780</v>
      </c>
      <c r="D131" s="376">
        <v>1050</v>
      </c>
      <c r="E131" s="377" t="s">
        <v>200</v>
      </c>
      <c r="F131" s="377" t="s">
        <v>1779</v>
      </c>
      <c r="G131" s="378">
        <v>0</v>
      </c>
      <c r="H131" s="376">
        <v>75000</v>
      </c>
      <c r="I131" s="376" t="s">
        <v>147</v>
      </c>
    </row>
    <row r="132" spans="1:9" s="7" customFormat="1" x14ac:dyDescent="0.2">
      <c r="A132"/>
      <c r="B132" s="377">
        <v>213</v>
      </c>
      <c r="C132" s="377" t="s">
        <v>1749</v>
      </c>
      <c r="D132" s="376">
        <v>1030</v>
      </c>
      <c r="E132" s="377" t="s">
        <v>200</v>
      </c>
      <c r="F132" s="377" t="s">
        <v>1748</v>
      </c>
      <c r="G132" s="378">
        <v>0</v>
      </c>
      <c r="H132" s="376">
        <v>400000</v>
      </c>
      <c r="I132" s="376" t="s">
        <v>147</v>
      </c>
    </row>
    <row r="133" spans="1:9" s="7" customFormat="1" x14ac:dyDescent="0.2">
      <c r="A133"/>
      <c r="B133" s="377">
        <v>215</v>
      </c>
      <c r="C133" s="377" t="s">
        <v>1743</v>
      </c>
      <c r="D133" s="376">
        <v>1060</v>
      </c>
      <c r="E133" s="377" t="s">
        <v>200</v>
      </c>
      <c r="F133" s="377" t="s">
        <v>1742</v>
      </c>
      <c r="G133" s="378">
        <v>0</v>
      </c>
      <c r="H133" s="376">
        <v>400000</v>
      </c>
      <c r="I133" s="376" t="s">
        <v>147</v>
      </c>
    </row>
    <row r="134" spans="1:9" s="7" customFormat="1" x14ac:dyDescent="0.2">
      <c r="A134"/>
      <c r="B134" s="377">
        <v>217</v>
      </c>
      <c r="C134" s="377" t="s">
        <v>1738</v>
      </c>
      <c r="D134" s="376">
        <v>1020</v>
      </c>
      <c r="E134" s="377" t="s">
        <v>200</v>
      </c>
      <c r="F134" s="377" t="s">
        <v>1737</v>
      </c>
      <c r="G134" s="378">
        <v>0.4</v>
      </c>
      <c r="H134" s="376">
        <v>155000</v>
      </c>
      <c r="I134" s="376" t="s">
        <v>152</v>
      </c>
    </row>
    <row r="135" spans="1:9" s="7" customFormat="1" x14ac:dyDescent="0.2">
      <c r="A135"/>
      <c r="B135" s="377">
        <v>225</v>
      </c>
      <c r="C135" s="377" t="s">
        <v>1714</v>
      </c>
      <c r="D135" s="376">
        <v>1020</v>
      </c>
      <c r="E135" s="377" t="s">
        <v>200</v>
      </c>
      <c r="F135" s="377" t="s">
        <v>1713</v>
      </c>
      <c r="G135" s="378">
        <v>0</v>
      </c>
      <c r="H135" s="376">
        <v>400000</v>
      </c>
      <c r="I135" s="376" t="s">
        <v>152</v>
      </c>
    </row>
    <row r="136" spans="1:9" s="7" customFormat="1" x14ac:dyDescent="0.2">
      <c r="A136"/>
      <c r="B136" s="377">
        <v>232</v>
      </c>
      <c r="C136" s="377" t="s">
        <v>1697</v>
      </c>
      <c r="D136" s="376">
        <v>1150</v>
      </c>
      <c r="E136" s="377" t="s">
        <v>200</v>
      </c>
      <c r="F136" s="377" t="s">
        <v>1696</v>
      </c>
      <c r="G136" s="378">
        <v>0</v>
      </c>
      <c r="H136" s="376">
        <v>75000</v>
      </c>
      <c r="I136" s="376" t="s">
        <v>147</v>
      </c>
    </row>
    <row r="137" spans="1:9" s="7" customFormat="1" x14ac:dyDescent="0.2">
      <c r="A137"/>
      <c r="B137" s="377">
        <v>234</v>
      </c>
      <c r="C137" s="377" t="s">
        <v>1690</v>
      </c>
      <c r="D137" s="376">
        <v>1040</v>
      </c>
      <c r="E137" s="377" t="s">
        <v>200</v>
      </c>
      <c r="F137" s="377" t="s">
        <v>1689</v>
      </c>
      <c r="G137" s="378">
        <v>0</v>
      </c>
      <c r="H137" s="376">
        <v>400000</v>
      </c>
      <c r="I137" s="376" t="s">
        <v>147</v>
      </c>
    </row>
    <row r="138" spans="1:9" s="7" customFormat="1" x14ac:dyDescent="0.2">
      <c r="A138"/>
      <c r="B138" s="377">
        <v>236</v>
      </c>
      <c r="C138" s="377" t="s">
        <v>1685</v>
      </c>
      <c r="D138" s="376">
        <v>1140</v>
      </c>
      <c r="E138" s="377" t="s">
        <v>200</v>
      </c>
      <c r="F138" s="377" t="s">
        <v>1684</v>
      </c>
      <c r="G138" s="378">
        <v>0</v>
      </c>
      <c r="H138" s="376">
        <v>400000</v>
      </c>
      <c r="I138" s="376" t="s">
        <v>152</v>
      </c>
    </row>
    <row r="139" spans="1:9" s="7" customFormat="1" x14ac:dyDescent="0.2">
      <c r="A139"/>
      <c r="B139" s="377">
        <v>239</v>
      </c>
      <c r="C139" s="377" t="s">
        <v>1675</v>
      </c>
      <c r="D139" s="376">
        <v>1160</v>
      </c>
      <c r="E139" s="377" t="s">
        <v>200</v>
      </c>
      <c r="F139" s="377" t="s">
        <v>1674</v>
      </c>
      <c r="G139" s="378">
        <v>0</v>
      </c>
      <c r="H139" s="376">
        <v>75000</v>
      </c>
      <c r="I139" s="376" t="s">
        <v>147</v>
      </c>
    </row>
    <row r="140" spans="1:9" s="7" customFormat="1" x14ac:dyDescent="0.2">
      <c r="A140"/>
      <c r="B140" s="377">
        <v>240</v>
      </c>
      <c r="C140" s="377" t="s">
        <v>1672</v>
      </c>
      <c r="D140" s="376">
        <v>1060</v>
      </c>
      <c r="E140" s="377" t="s">
        <v>200</v>
      </c>
      <c r="F140" s="377" t="s">
        <v>1671</v>
      </c>
      <c r="G140" s="378">
        <v>0</v>
      </c>
      <c r="H140" s="376">
        <v>75000</v>
      </c>
      <c r="I140" s="376" t="s">
        <v>147</v>
      </c>
    </row>
    <row r="141" spans="1:9" s="7" customFormat="1" x14ac:dyDescent="0.2">
      <c r="A141"/>
      <c r="B141" s="377">
        <v>247</v>
      </c>
      <c r="C141" s="377" t="s">
        <v>1649</v>
      </c>
      <c r="D141" s="376">
        <v>1140</v>
      </c>
      <c r="E141" s="377" t="s">
        <v>200</v>
      </c>
      <c r="F141" s="377" t="s">
        <v>1648</v>
      </c>
      <c r="G141" s="378">
        <v>0</v>
      </c>
      <c r="H141" s="376">
        <v>155000</v>
      </c>
      <c r="I141" s="376" t="s">
        <v>147</v>
      </c>
    </row>
    <row r="142" spans="1:9" s="7" customFormat="1" x14ac:dyDescent="0.2">
      <c r="A142"/>
      <c r="B142" s="377">
        <v>251</v>
      </c>
      <c r="C142" s="377" t="s">
        <v>1634</v>
      </c>
      <c r="D142" s="376">
        <v>1020</v>
      </c>
      <c r="E142" s="377" t="s">
        <v>200</v>
      </c>
      <c r="F142" s="377" t="s">
        <v>1633</v>
      </c>
      <c r="G142" s="378">
        <v>0</v>
      </c>
      <c r="H142" s="376">
        <v>400000</v>
      </c>
      <c r="I142" s="376" t="s">
        <v>147</v>
      </c>
    </row>
    <row r="143" spans="1:9" s="7" customFormat="1" x14ac:dyDescent="0.2">
      <c r="A143"/>
      <c r="B143" s="377">
        <v>254</v>
      </c>
      <c r="C143" s="377" t="s">
        <v>1625</v>
      </c>
      <c r="D143" s="376">
        <v>1082</v>
      </c>
      <c r="E143" s="377" t="s">
        <v>200</v>
      </c>
      <c r="F143" s="377" t="s">
        <v>1624</v>
      </c>
      <c r="G143" s="378">
        <v>0</v>
      </c>
      <c r="H143" s="376">
        <v>75000</v>
      </c>
      <c r="I143" s="376" t="s">
        <v>147</v>
      </c>
    </row>
    <row r="144" spans="1:9" s="7" customFormat="1" x14ac:dyDescent="0.2">
      <c r="A144"/>
      <c r="B144" s="377">
        <v>260</v>
      </c>
      <c r="C144" s="377" t="s">
        <v>1606</v>
      </c>
      <c r="D144" s="376">
        <v>1083</v>
      </c>
      <c r="E144" s="377" t="s">
        <v>200</v>
      </c>
      <c r="F144" s="377" t="s">
        <v>1605</v>
      </c>
      <c r="G144" s="378">
        <v>0</v>
      </c>
      <c r="H144" s="376">
        <v>75000</v>
      </c>
      <c r="I144" s="376" t="s">
        <v>147</v>
      </c>
    </row>
    <row r="145" spans="1:9" s="7" customFormat="1" x14ac:dyDescent="0.2">
      <c r="A145"/>
      <c r="B145" s="377">
        <v>264</v>
      </c>
      <c r="C145" s="377" t="s">
        <v>1591</v>
      </c>
      <c r="D145" s="376">
        <v>1030</v>
      </c>
      <c r="E145" s="377" t="s">
        <v>200</v>
      </c>
      <c r="F145" s="377" t="s">
        <v>1590</v>
      </c>
      <c r="G145" s="378">
        <v>0</v>
      </c>
      <c r="H145" s="376">
        <v>400000</v>
      </c>
      <c r="I145" s="376" t="s">
        <v>147</v>
      </c>
    </row>
    <row r="146" spans="1:9" s="7" customFormat="1" x14ac:dyDescent="0.2">
      <c r="A146"/>
      <c r="B146" s="377">
        <v>270</v>
      </c>
      <c r="C146" s="377" t="s">
        <v>1572</v>
      </c>
      <c r="D146" s="376">
        <v>1070</v>
      </c>
      <c r="E146" s="377" t="s">
        <v>200</v>
      </c>
      <c r="F146" s="377" t="s">
        <v>1571</v>
      </c>
      <c r="G146" s="378">
        <v>0</v>
      </c>
      <c r="H146" s="376">
        <v>155000</v>
      </c>
      <c r="I146" s="376" t="s">
        <v>147</v>
      </c>
    </row>
    <row r="147" spans="1:9" s="7" customFormat="1" x14ac:dyDescent="0.2">
      <c r="A147"/>
      <c r="B147" s="377">
        <v>271</v>
      </c>
      <c r="C147" s="377" t="s">
        <v>1570</v>
      </c>
      <c r="D147" s="376">
        <v>1060</v>
      </c>
      <c r="E147" s="377" t="s">
        <v>200</v>
      </c>
      <c r="F147" s="377" t="s">
        <v>1569</v>
      </c>
      <c r="G147" s="378">
        <v>0</v>
      </c>
      <c r="H147" s="376">
        <v>400000</v>
      </c>
      <c r="I147" s="376" t="s">
        <v>147</v>
      </c>
    </row>
    <row r="148" spans="1:9" s="7" customFormat="1" x14ac:dyDescent="0.2">
      <c r="A148"/>
      <c r="B148" s="377">
        <v>322</v>
      </c>
      <c r="C148" s="377" t="s">
        <v>1410</v>
      </c>
      <c r="D148" s="376">
        <v>1050</v>
      </c>
      <c r="E148" s="377" t="s">
        <v>200</v>
      </c>
      <c r="F148" s="377" t="s">
        <v>1409</v>
      </c>
      <c r="G148" s="378">
        <v>0</v>
      </c>
      <c r="H148" s="376">
        <v>400000</v>
      </c>
      <c r="I148" s="376" t="s">
        <v>152</v>
      </c>
    </row>
    <row r="149" spans="1:9" s="7" customFormat="1" x14ac:dyDescent="0.2">
      <c r="A149"/>
      <c r="B149" s="377">
        <v>330</v>
      </c>
      <c r="C149" s="377" t="s">
        <v>1385</v>
      </c>
      <c r="D149" s="376">
        <v>1030</v>
      </c>
      <c r="E149" s="377" t="s">
        <v>200</v>
      </c>
      <c r="F149" s="377" t="s">
        <v>1384</v>
      </c>
      <c r="G149" s="378">
        <v>0</v>
      </c>
      <c r="H149" s="376">
        <v>75000</v>
      </c>
      <c r="I149" s="376" t="s">
        <v>147</v>
      </c>
    </row>
    <row r="150" spans="1:9" s="7" customFormat="1" x14ac:dyDescent="0.2">
      <c r="A150"/>
      <c r="B150" s="377">
        <v>333</v>
      </c>
      <c r="C150" s="377" t="s">
        <v>1377</v>
      </c>
      <c r="D150" s="376">
        <v>1200</v>
      </c>
      <c r="E150" s="377" t="s">
        <v>200</v>
      </c>
      <c r="F150" s="377" t="s">
        <v>1376</v>
      </c>
      <c r="G150" s="378">
        <v>0</v>
      </c>
      <c r="H150" s="376">
        <v>400000</v>
      </c>
      <c r="I150" s="376" t="s">
        <v>147</v>
      </c>
    </row>
    <row r="151" spans="1:9" s="7" customFormat="1" x14ac:dyDescent="0.2">
      <c r="A151"/>
      <c r="B151" s="377">
        <v>334</v>
      </c>
      <c r="C151" s="377" t="s">
        <v>1374</v>
      </c>
      <c r="D151" s="376">
        <v>1190</v>
      </c>
      <c r="E151" s="377" t="s">
        <v>200</v>
      </c>
      <c r="F151" s="377" t="s">
        <v>1373</v>
      </c>
      <c r="G151" s="378">
        <v>0</v>
      </c>
      <c r="H151" s="376">
        <v>75000</v>
      </c>
      <c r="I151" s="376" t="s">
        <v>147</v>
      </c>
    </row>
    <row r="152" spans="1:9" s="7" customFormat="1" x14ac:dyDescent="0.2">
      <c r="A152"/>
      <c r="B152" s="377">
        <v>339</v>
      </c>
      <c r="C152" s="377" t="s">
        <v>1361</v>
      </c>
      <c r="D152" s="376">
        <v>1140</v>
      </c>
      <c r="E152" s="377" t="s">
        <v>200</v>
      </c>
      <c r="F152" s="377" t="s">
        <v>1360</v>
      </c>
      <c r="G152" s="378">
        <v>0</v>
      </c>
      <c r="H152" s="376">
        <v>75000</v>
      </c>
      <c r="I152" s="376" t="s">
        <v>147</v>
      </c>
    </row>
    <row r="153" spans="1:9" s="7" customFormat="1" x14ac:dyDescent="0.2">
      <c r="A153"/>
      <c r="B153" s="377">
        <v>383</v>
      </c>
      <c r="C153" s="377" t="s">
        <v>1221</v>
      </c>
      <c r="D153" s="376">
        <v>1180</v>
      </c>
      <c r="E153" s="377" t="s">
        <v>200</v>
      </c>
      <c r="F153" s="377" t="s">
        <v>1220</v>
      </c>
      <c r="G153" s="378">
        <v>0</v>
      </c>
      <c r="H153" s="376">
        <v>75000</v>
      </c>
      <c r="I153" s="376" t="s">
        <v>147</v>
      </c>
    </row>
    <row r="154" spans="1:9" s="7" customFormat="1" x14ac:dyDescent="0.2">
      <c r="A154"/>
      <c r="B154" s="377">
        <v>394</v>
      </c>
      <c r="C154" s="377" t="s">
        <v>1186</v>
      </c>
      <c r="D154" s="376">
        <v>1070</v>
      </c>
      <c r="E154" s="377" t="s">
        <v>200</v>
      </c>
      <c r="F154" s="377" t="s">
        <v>1185</v>
      </c>
      <c r="G154" s="378">
        <v>0</v>
      </c>
      <c r="H154" s="376">
        <v>75000</v>
      </c>
      <c r="I154" s="376" t="s">
        <v>147</v>
      </c>
    </row>
    <row r="155" spans="1:9" s="7" customFormat="1" x14ac:dyDescent="0.2">
      <c r="A155"/>
      <c r="B155" s="377">
        <v>401</v>
      </c>
      <c r="C155" s="377" t="s">
        <v>1164</v>
      </c>
      <c r="D155" s="376">
        <v>1170</v>
      </c>
      <c r="E155" s="377" t="s">
        <v>200</v>
      </c>
      <c r="F155" s="377" t="s">
        <v>1163</v>
      </c>
      <c r="G155" s="378">
        <v>0</v>
      </c>
      <c r="H155" s="376">
        <v>75000</v>
      </c>
      <c r="I155" s="376" t="s">
        <v>147</v>
      </c>
    </row>
    <row r="156" spans="1:9" s="7" customFormat="1" x14ac:dyDescent="0.2">
      <c r="A156"/>
      <c r="B156" s="377">
        <v>410</v>
      </c>
      <c r="C156" s="377" t="s">
        <v>1130</v>
      </c>
      <c r="D156" s="376">
        <v>1070</v>
      </c>
      <c r="E156" s="377" t="s">
        <v>200</v>
      </c>
      <c r="F156" s="377" t="s">
        <v>1129</v>
      </c>
      <c r="G156" s="378">
        <v>0</v>
      </c>
      <c r="H156" s="376">
        <v>400000</v>
      </c>
      <c r="I156" s="376" t="s">
        <v>147</v>
      </c>
    </row>
    <row r="157" spans="1:9" s="7" customFormat="1" x14ac:dyDescent="0.2">
      <c r="A157"/>
      <c r="B157" s="377">
        <v>412</v>
      </c>
      <c r="C157" s="377" t="s">
        <v>1123</v>
      </c>
      <c r="D157" s="376">
        <v>1200</v>
      </c>
      <c r="E157" s="377" t="s">
        <v>200</v>
      </c>
      <c r="F157" s="377" t="s">
        <v>1122</v>
      </c>
      <c r="G157" s="378">
        <v>0</v>
      </c>
      <c r="H157" s="376">
        <v>400000</v>
      </c>
      <c r="I157" s="376" t="s">
        <v>147</v>
      </c>
    </row>
    <row r="158" spans="1:9" s="7" customFormat="1" x14ac:dyDescent="0.2">
      <c r="A158"/>
      <c r="B158" s="377">
        <v>418</v>
      </c>
      <c r="C158" s="377" t="s">
        <v>1100</v>
      </c>
      <c r="D158" s="376">
        <v>1030</v>
      </c>
      <c r="E158" s="377" t="s">
        <v>200</v>
      </c>
      <c r="F158" s="377" t="s">
        <v>1099</v>
      </c>
      <c r="G158" s="378">
        <v>0</v>
      </c>
      <c r="H158" s="376">
        <v>75000</v>
      </c>
      <c r="I158" s="376" t="s">
        <v>152</v>
      </c>
    </row>
    <row r="159" spans="1:9" s="7" customFormat="1" x14ac:dyDescent="0.2">
      <c r="A159"/>
      <c r="B159" s="377">
        <v>421</v>
      </c>
      <c r="C159" s="377" t="s">
        <v>1090</v>
      </c>
      <c r="D159" s="376">
        <v>1130</v>
      </c>
      <c r="E159" s="377" t="s">
        <v>200</v>
      </c>
      <c r="F159" s="377" t="s">
        <v>1089</v>
      </c>
      <c r="G159" s="378">
        <v>0</v>
      </c>
      <c r="H159" s="376">
        <v>75000</v>
      </c>
      <c r="I159" s="376" t="s">
        <v>147</v>
      </c>
    </row>
    <row r="160" spans="1:9" s="7" customFormat="1" x14ac:dyDescent="0.2">
      <c r="A160"/>
      <c r="B160" s="377">
        <v>430</v>
      </c>
      <c r="C160" s="377" t="s">
        <v>1060</v>
      </c>
      <c r="D160" s="376">
        <v>1050</v>
      </c>
      <c r="E160" s="377" t="s">
        <v>200</v>
      </c>
      <c r="F160" s="377" t="s">
        <v>1059</v>
      </c>
      <c r="G160" s="378">
        <v>0</v>
      </c>
      <c r="H160" s="376">
        <v>75000</v>
      </c>
      <c r="I160" s="376" t="s">
        <v>147</v>
      </c>
    </row>
    <row r="161" spans="1:9" s="7" customFormat="1" x14ac:dyDescent="0.2">
      <c r="A161"/>
      <c r="B161" s="377">
        <v>434</v>
      </c>
      <c r="C161" s="377" t="s">
        <v>1048</v>
      </c>
      <c r="D161" s="376">
        <v>1140</v>
      </c>
      <c r="E161" s="377" t="s">
        <v>200</v>
      </c>
      <c r="F161" s="377" t="s">
        <v>1047</v>
      </c>
      <c r="G161" s="378">
        <v>0</v>
      </c>
      <c r="H161" s="376">
        <v>75000</v>
      </c>
      <c r="I161" s="376" t="s">
        <v>147</v>
      </c>
    </row>
    <row r="162" spans="1:9" s="7" customFormat="1" x14ac:dyDescent="0.2">
      <c r="A162"/>
      <c r="B162" s="377">
        <v>441</v>
      </c>
      <c r="C162" s="377" t="s">
        <v>1020</v>
      </c>
      <c r="D162" s="376">
        <v>1200</v>
      </c>
      <c r="E162" s="377" t="s">
        <v>200</v>
      </c>
      <c r="F162" s="377" t="s">
        <v>1019</v>
      </c>
      <c r="G162" s="378">
        <v>0</v>
      </c>
      <c r="H162" s="376">
        <v>155000</v>
      </c>
      <c r="I162" s="376" t="s">
        <v>147</v>
      </c>
    </row>
    <row r="163" spans="1:9" s="7" customFormat="1" x14ac:dyDescent="0.2">
      <c r="A163"/>
      <c r="B163" s="377">
        <v>452</v>
      </c>
      <c r="C163" s="377" t="s">
        <v>990</v>
      </c>
      <c r="D163" s="376">
        <v>1080</v>
      </c>
      <c r="E163" s="377" t="s">
        <v>200</v>
      </c>
      <c r="F163" s="377" t="s">
        <v>989</v>
      </c>
      <c r="G163" s="378">
        <v>0</v>
      </c>
      <c r="H163" s="376">
        <v>400000</v>
      </c>
      <c r="I163" s="376" t="s">
        <v>147</v>
      </c>
    </row>
    <row r="164" spans="1:9" s="7" customFormat="1" x14ac:dyDescent="0.2">
      <c r="A164"/>
      <c r="B164" s="377">
        <v>457</v>
      </c>
      <c r="C164" s="377" t="s">
        <v>974</v>
      </c>
      <c r="D164" s="376">
        <v>1170</v>
      </c>
      <c r="E164" s="377" t="s">
        <v>200</v>
      </c>
      <c r="F164" s="377" t="s">
        <v>973</v>
      </c>
      <c r="G164" s="378">
        <v>0</v>
      </c>
      <c r="H164" s="376">
        <v>75000</v>
      </c>
      <c r="I164" s="376" t="s">
        <v>147</v>
      </c>
    </row>
    <row r="165" spans="1:9" s="7" customFormat="1" x14ac:dyDescent="0.2">
      <c r="A165"/>
      <c r="B165" s="377">
        <v>463</v>
      </c>
      <c r="C165" s="377" t="s">
        <v>955</v>
      </c>
      <c r="D165" s="376">
        <v>1050</v>
      </c>
      <c r="E165" s="377" t="s">
        <v>200</v>
      </c>
      <c r="F165" s="377"/>
      <c r="G165" s="378">
        <v>0</v>
      </c>
      <c r="H165" s="376">
        <v>400000</v>
      </c>
      <c r="I165" s="376" t="s">
        <v>152</v>
      </c>
    </row>
    <row r="166" spans="1:9" s="7" customFormat="1" x14ac:dyDescent="0.2">
      <c r="A166"/>
      <c r="B166" s="377">
        <v>465</v>
      </c>
      <c r="C166" s="377" t="s">
        <v>949</v>
      </c>
      <c r="D166" s="376">
        <v>1060</v>
      </c>
      <c r="E166" s="377" t="s">
        <v>200</v>
      </c>
      <c r="F166" s="377" t="s">
        <v>948</v>
      </c>
      <c r="G166" s="378">
        <v>0</v>
      </c>
      <c r="H166" s="376">
        <v>400000</v>
      </c>
      <c r="I166" s="376" t="s">
        <v>147</v>
      </c>
    </row>
    <row r="167" spans="1:9" s="7" customFormat="1" x14ac:dyDescent="0.2">
      <c r="A167"/>
      <c r="B167" s="377">
        <v>466</v>
      </c>
      <c r="C167" s="377" t="s">
        <v>946</v>
      </c>
      <c r="D167" s="376">
        <v>1080</v>
      </c>
      <c r="E167" s="377" t="s">
        <v>200</v>
      </c>
      <c r="F167" s="377" t="s">
        <v>945</v>
      </c>
      <c r="G167" s="378">
        <v>0</v>
      </c>
      <c r="H167" s="376">
        <v>75000</v>
      </c>
      <c r="I167" s="376" t="s">
        <v>147</v>
      </c>
    </row>
    <row r="168" spans="1:9" s="7" customFormat="1" x14ac:dyDescent="0.2">
      <c r="A168"/>
      <c r="B168" s="377">
        <v>470</v>
      </c>
      <c r="C168" s="377" t="s">
        <v>933</v>
      </c>
      <c r="D168" s="376">
        <v>1082</v>
      </c>
      <c r="E168" s="377" t="s">
        <v>200</v>
      </c>
      <c r="F168" s="377" t="s">
        <v>932</v>
      </c>
      <c r="G168" s="378">
        <v>0</v>
      </c>
      <c r="H168" s="376">
        <v>75000</v>
      </c>
      <c r="I168" s="376" t="s">
        <v>152</v>
      </c>
    </row>
    <row r="169" spans="1:9" s="7" customFormat="1" x14ac:dyDescent="0.2">
      <c r="A169"/>
      <c r="B169" s="377">
        <v>472</v>
      </c>
      <c r="C169" s="377" t="s">
        <v>925</v>
      </c>
      <c r="D169" s="376">
        <v>1040</v>
      </c>
      <c r="E169" s="377" t="s">
        <v>200</v>
      </c>
      <c r="F169" s="377" t="s">
        <v>924</v>
      </c>
      <c r="G169" s="378">
        <v>0</v>
      </c>
      <c r="H169" s="376">
        <v>75000</v>
      </c>
      <c r="I169" s="376" t="s">
        <v>147</v>
      </c>
    </row>
    <row r="170" spans="1:9" s="7" customFormat="1" x14ac:dyDescent="0.2">
      <c r="A170"/>
      <c r="B170" s="377">
        <v>497</v>
      </c>
      <c r="C170" s="377" t="s">
        <v>844</v>
      </c>
      <c r="D170" s="376">
        <v>1082</v>
      </c>
      <c r="E170" s="377" t="s">
        <v>200</v>
      </c>
      <c r="F170" s="377" t="s">
        <v>843</v>
      </c>
      <c r="G170" s="378">
        <v>0</v>
      </c>
      <c r="H170" s="376">
        <v>75000</v>
      </c>
      <c r="I170" s="376" t="s">
        <v>147</v>
      </c>
    </row>
    <row r="171" spans="1:9" s="7" customFormat="1" x14ac:dyDescent="0.2">
      <c r="A171"/>
      <c r="B171" s="377">
        <v>511</v>
      </c>
      <c r="C171" s="377" t="s">
        <v>796</v>
      </c>
      <c r="D171" s="376">
        <v>1160</v>
      </c>
      <c r="E171" s="377" t="s">
        <v>200</v>
      </c>
      <c r="F171" s="377" t="s">
        <v>795</v>
      </c>
      <c r="G171" s="378">
        <v>0</v>
      </c>
      <c r="H171" s="376">
        <v>75000</v>
      </c>
      <c r="I171" s="376" t="s">
        <v>147</v>
      </c>
    </row>
    <row r="172" spans="1:9" s="7" customFormat="1" x14ac:dyDescent="0.2">
      <c r="A172"/>
      <c r="B172" s="377">
        <v>516</v>
      </c>
      <c r="C172" s="377" t="s">
        <v>781</v>
      </c>
      <c r="D172" s="376">
        <v>1070</v>
      </c>
      <c r="E172" s="377" t="s">
        <v>200</v>
      </c>
      <c r="F172" s="377" t="s">
        <v>780</v>
      </c>
      <c r="G172" s="378">
        <v>0</v>
      </c>
      <c r="H172" s="376">
        <v>75000</v>
      </c>
      <c r="I172" s="376" t="s">
        <v>147</v>
      </c>
    </row>
    <row r="173" spans="1:9" s="7" customFormat="1" x14ac:dyDescent="0.2">
      <c r="A173"/>
      <c r="B173" s="377">
        <v>518</v>
      </c>
      <c r="C173" s="377" t="s">
        <v>773</v>
      </c>
      <c r="D173" s="376">
        <v>1030</v>
      </c>
      <c r="E173" s="377" t="s">
        <v>200</v>
      </c>
      <c r="F173" s="377" t="s">
        <v>772</v>
      </c>
      <c r="G173" s="378">
        <v>0</v>
      </c>
      <c r="H173" s="376">
        <v>400000</v>
      </c>
      <c r="I173" s="376" t="s">
        <v>152</v>
      </c>
    </row>
    <row r="174" spans="1:9" s="7" customFormat="1" x14ac:dyDescent="0.2">
      <c r="A174"/>
      <c r="B174" s="377">
        <v>523</v>
      </c>
      <c r="C174" s="377" t="s">
        <v>758</v>
      </c>
      <c r="D174" s="376">
        <v>1070</v>
      </c>
      <c r="E174" s="377" t="s">
        <v>200</v>
      </c>
      <c r="F174" s="377" t="s">
        <v>757</v>
      </c>
      <c r="G174" s="378">
        <v>0</v>
      </c>
      <c r="H174" s="376">
        <v>400000</v>
      </c>
      <c r="I174" s="376" t="s">
        <v>147</v>
      </c>
    </row>
    <row r="175" spans="1:9" s="7" customFormat="1" x14ac:dyDescent="0.2">
      <c r="A175"/>
      <c r="B175" s="377">
        <v>529</v>
      </c>
      <c r="C175" s="377" t="s">
        <v>736</v>
      </c>
      <c r="D175" s="376">
        <v>1030</v>
      </c>
      <c r="E175" s="377" t="s">
        <v>200</v>
      </c>
      <c r="F175" s="377" t="s">
        <v>735</v>
      </c>
      <c r="G175" s="378">
        <v>0</v>
      </c>
      <c r="H175" s="376">
        <v>75000</v>
      </c>
      <c r="I175" s="376" t="s">
        <v>152</v>
      </c>
    </row>
    <row r="176" spans="1:9" s="7" customFormat="1" x14ac:dyDescent="0.2">
      <c r="A176"/>
      <c r="B176" s="377">
        <v>537</v>
      </c>
      <c r="C176" s="377" t="s">
        <v>705</v>
      </c>
      <c r="D176" s="376">
        <v>1160</v>
      </c>
      <c r="E176" s="377" t="s">
        <v>200</v>
      </c>
      <c r="F176" s="377" t="s">
        <v>704</v>
      </c>
      <c r="G176" s="378">
        <v>0</v>
      </c>
      <c r="H176" s="376">
        <v>400000</v>
      </c>
      <c r="I176" s="376" t="s">
        <v>147</v>
      </c>
    </row>
    <row r="177" spans="1:9" s="7" customFormat="1" x14ac:dyDescent="0.2">
      <c r="A177"/>
      <c r="B177" s="377">
        <v>538</v>
      </c>
      <c r="C177" s="377" t="s">
        <v>703</v>
      </c>
      <c r="D177" s="376">
        <v>1060</v>
      </c>
      <c r="E177" s="377" t="s">
        <v>200</v>
      </c>
      <c r="F177" s="377" t="s">
        <v>702</v>
      </c>
      <c r="G177" s="378">
        <v>0</v>
      </c>
      <c r="H177" s="376">
        <v>400000</v>
      </c>
      <c r="I177" s="376" t="s">
        <v>152</v>
      </c>
    </row>
    <row r="178" spans="1:9" s="7" customFormat="1" x14ac:dyDescent="0.2">
      <c r="A178"/>
      <c r="B178" s="377">
        <v>542</v>
      </c>
      <c r="C178" s="377" t="s">
        <v>687</v>
      </c>
      <c r="D178" s="376">
        <v>1070</v>
      </c>
      <c r="E178" s="377" t="s">
        <v>200</v>
      </c>
      <c r="F178" s="377" t="s">
        <v>686</v>
      </c>
      <c r="G178" s="378">
        <v>0</v>
      </c>
      <c r="H178" s="376">
        <v>300000</v>
      </c>
      <c r="I178" s="376" t="s">
        <v>147</v>
      </c>
    </row>
    <row r="179" spans="1:9" s="7" customFormat="1" x14ac:dyDescent="0.2">
      <c r="A179"/>
      <c r="B179" s="377">
        <v>543</v>
      </c>
      <c r="C179" s="377" t="s">
        <v>683</v>
      </c>
      <c r="D179" s="376">
        <v>1050</v>
      </c>
      <c r="E179" s="377" t="s">
        <v>200</v>
      </c>
      <c r="F179" s="377" t="s">
        <v>682</v>
      </c>
      <c r="G179" s="378">
        <v>0</v>
      </c>
      <c r="H179" s="376">
        <v>400000</v>
      </c>
      <c r="I179" s="376" t="s">
        <v>147</v>
      </c>
    </row>
    <row r="180" spans="1:9" s="7" customFormat="1" x14ac:dyDescent="0.2">
      <c r="A180"/>
      <c r="B180" s="377">
        <v>576</v>
      </c>
      <c r="C180" s="377" t="s">
        <v>583</v>
      </c>
      <c r="D180" s="376">
        <v>1070</v>
      </c>
      <c r="E180" s="377" t="s">
        <v>200</v>
      </c>
      <c r="F180" s="377" t="s">
        <v>582</v>
      </c>
      <c r="G180" s="378">
        <v>0</v>
      </c>
      <c r="H180" s="376">
        <v>400000</v>
      </c>
      <c r="I180" s="376" t="s">
        <v>147</v>
      </c>
    </row>
    <row r="181" spans="1:9" s="7" customFormat="1" x14ac:dyDescent="0.2">
      <c r="A181"/>
      <c r="B181" s="377">
        <v>583</v>
      </c>
      <c r="C181" s="377" t="s">
        <v>562</v>
      </c>
      <c r="D181" s="376">
        <v>1040</v>
      </c>
      <c r="E181" s="377" t="s">
        <v>200</v>
      </c>
      <c r="F181" s="377" t="s">
        <v>561</v>
      </c>
      <c r="G181" s="378">
        <v>0</v>
      </c>
      <c r="H181" s="376">
        <v>400000</v>
      </c>
      <c r="I181" s="376" t="s">
        <v>147</v>
      </c>
    </row>
    <row r="182" spans="1:9" s="7" customFormat="1" x14ac:dyDescent="0.2">
      <c r="A182"/>
      <c r="B182" s="377">
        <v>590</v>
      </c>
      <c r="C182" s="377" t="s">
        <v>533</v>
      </c>
      <c r="D182" s="376">
        <v>1080</v>
      </c>
      <c r="E182" s="377" t="s">
        <v>200</v>
      </c>
      <c r="F182" s="377" t="s">
        <v>532</v>
      </c>
      <c r="G182" s="378">
        <v>0</v>
      </c>
      <c r="H182" s="376">
        <v>75000</v>
      </c>
      <c r="I182" s="376" t="s">
        <v>147</v>
      </c>
    </row>
    <row r="183" spans="1:9" s="7" customFormat="1" x14ac:dyDescent="0.2">
      <c r="A183"/>
      <c r="B183" s="377">
        <v>591</v>
      </c>
      <c r="C183" s="377" t="s">
        <v>531</v>
      </c>
      <c r="D183" s="376">
        <v>1180</v>
      </c>
      <c r="E183" s="377" t="s">
        <v>200</v>
      </c>
      <c r="F183" s="377" t="s">
        <v>530</v>
      </c>
      <c r="G183" s="378">
        <v>0</v>
      </c>
      <c r="H183" s="376">
        <v>75000</v>
      </c>
      <c r="I183" s="376" t="s">
        <v>147</v>
      </c>
    </row>
    <row r="184" spans="1:9" s="7" customFormat="1" x14ac:dyDescent="0.2">
      <c r="A184"/>
      <c r="B184" s="377">
        <v>599</v>
      </c>
      <c r="C184" s="377" t="s">
        <v>503</v>
      </c>
      <c r="D184" s="376">
        <v>1080</v>
      </c>
      <c r="E184" s="377" t="s">
        <v>200</v>
      </c>
      <c r="F184" s="377" t="s">
        <v>502</v>
      </c>
      <c r="G184" s="378">
        <v>0</v>
      </c>
      <c r="H184" s="376">
        <v>400000</v>
      </c>
      <c r="I184" s="376" t="s">
        <v>152</v>
      </c>
    </row>
    <row r="185" spans="1:9" s="7" customFormat="1" x14ac:dyDescent="0.2">
      <c r="A185"/>
      <c r="B185" s="377">
        <v>617</v>
      </c>
      <c r="C185" s="377" t="s">
        <v>441</v>
      </c>
      <c r="D185" s="376">
        <v>1050</v>
      </c>
      <c r="E185" s="377" t="s">
        <v>200</v>
      </c>
      <c r="F185" s="377" t="s">
        <v>440</v>
      </c>
      <c r="G185" s="378">
        <v>0</v>
      </c>
      <c r="H185" s="376">
        <v>155000</v>
      </c>
      <c r="I185" s="376" t="s">
        <v>147</v>
      </c>
    </row>
    <row r="186" spans="1:9" s="7" customFormat="1" x14ac:dyDescent="0.2">
      <c r="A186"/>
      <c r="B186" s="377">
        <v>621</v>
      </c>
      <c r="C186" s="377" t="s">
        <v>430</v>
      </c>
      <c r="D186" s="376">
        <v>1160</v>
      </c>
      <c r="E186" s="377" t="s">
        <v>200</v>
      </c>
      <c r="F186" s="377"/>
      <c r="G186" s="378">
        <v>0</v>
      </c>
      <c r="H186" s="376">
        <v>155000</v>
      </c>
      <c r="I186" s="376" t="s">
        <v>147</v>
      </c>
    </row>
    <row r="187" spans="1:9" s="7" customFormat="1" x14ac:dyDescent="0.2">
      <c r="A187"/>
      <c r="B187" s="377">
        <v>622</v>
      </c>
      <c r="C187" s="377" t="s">
        <v>429</v>
      </c>
      <c r="D187" s="376">
        <v>1160</v>
      </c>
      <c r="E187" s="377" t="s">
        <v>200</v>
      </c>
      <c r="F187" s="377" t="s">
        <v>428</v>
      </c>
      <c r="G187" s="378">
        <v>0</v>
      </c>
      <c r="H187" s="376">
        <v>155000</v>
      </c>
      <c r="I187" s="376" t="s">
        <v>147</v>
      </c>
    </row>
    <row r="188" spans="1:9" s="7" customFormat="1" x14ac:dyDescent="0.2">
      <c r="A188"/>
      <c r="B188" s="377">
        <v>625</v>
      </c>
      <c r="C188" s="377" t="s">
        <v>422</v>
      </c>
      <c r="D188" s="376">
        <v>1030</v>
      </c>
      <c r="E188" s="377" t="s">
        <v>200</v>
      </c>
      <c r="F188" s="377" t="s">
        <v>421</v>
      </c>
      <c r="G188" s="378">
        <v>0</v>
      </c>
      <c r="H188" s="376">
        <v>400000</v>
      </c>
      <c r="I188" s="376" t="s">
        <v>152</v>
      </c>
    </row>
    <row r="189" spans="1:9" s="7" customFormat="1" x14ac:dyDescent="0.2">
      <c r="A189"/>
      <c r="B189" s="377">
        <v>627</v>
      </c>
      <c r="C189" s="377" t="s">
        <v>414</v>
      </c>
      <c r="D189" s="376">
        <v>1081</v>
      </c>
      <c r="E189" s="377" t="s">
        <v>200</v>
      </c>
      <c r="F189" s="377" t="s">
        <v>413</v>
      </c>
      <c r="G189" s="378">
        <v>0</v>
      </c>
      <c r="H189" s="376">
        <v>75000</v>
      </c>
      <c r="I189" s="376" t="s">
        <v>147</v>
      </c>
    </row>
    <row r="190" spans="1:9" s="7" customFormat="1" x14ac:dyDescent="0.2">
      <c r="A190"/>
      <c r="B190" s="377">
        <v>628</v>
      </c>
      <c r="C190" s="377" t="s">
        <v>410</v>
      </c>
      <c r="D190" s="376">
        <v>1080</v>
      </c>
      <c r="E190" s="377" t="s">
        <v>200</v>
      </c>
      <c r="F190" s="377"/>
      <c r="G190" s="378">
        <v>0</v>
      </c>
      <c r="H190" s="376">
        <v>75000</v>
      </c>
      <c r="I190" s="376" t="s">
        <v>147</v>
      </c>
    </row>
    <row r="191" spans="1:9" s="7" customFormat="1" x14ac:dyDescent="0.2">
      <c r="A191"/>
      <c r="B191" s="377">
        <v>644</v>
      </c>
      <c r="C191" s="377" t="s">
        <v>347</v>
      </c>
      <c r="D191" s="376">
        <v>1050</v>
      </c>
      <c r="E191" s="377" t="s">
        <v>200</v>
      </c>
      <c r="F191" s="377" t="s">
        <v>346</v>
      </c>
      <c r="G191" s="378">
        <v>0</v>
      </c>
      <c r="H191" s="376">
        <v>400000</v>
      </c>
      <c r="I191" s="376" t="s">
        <v>147</v>
      </c>
    </row>
    <row r="192" spans="1:9" s="7" customFormat="1" x14ac:dyDescent="0.2">
      <c r="A192"/>
      <c r="B192" s="377">
        <v>673</v>
      </c>
      <c r="C192" s="377" t="s">
        <v>238</v>
      </c>
      <c r="D192" s="376">
        <v>1070</v>
      </c>
      <c r="E192" s="377" t="s">
        <v>200</v>
      </c>
      <c r="F192" s="377" t="s">
        <v>237</v>
      </c>
      <c r="G192" s="378">
        <v>0</v>
      </c>
      <c r="H192" s="376">
        <v>400000</v>
      </c>
      <c r="I192" s="376" t="s">
        <v>147</v>
      </c>
    </row>
    <row r="193" spans="1:9" s="7" customFormat="1" x14ac:dyDescent="0.2">
      <c r="A193"/>
      <c r="B193" s="377">
        <v>674</v>
      </c>
      <c r="C193" s="377" t="s">
        <v>236</v>
      </c>
      <c r="D193" s="376">
        <v>1180</v>
      </c>
      <c r="E193" s="377" t="s">
        <v>200</v>
      </c>
      <c r="F193" s="377" t="s">
        <v>235</v>
      </c>
      <c r="G193" s="378">
        <v>0</v>
      </c>
      <c r="H193" s="376">
        <v>400000</v>
      </c>
      <c r="I193" s="376" t="s">
        <v>147</v>
      </c>
    </row>
    <row r="194" spans="1:9" s="7" customFormat="1" x14ac:dyDescent="0.2">
      <c r="A194"/>
      <c r="B194" s="377">
        <v>683</v>
      </c>
      <c r="C194" s="377" t="s">
        <v>201</v>
      </c>
      <c r="D194" s="376">
        <v>1050</v>
      </c>
      <c r="E194" s="377" t="s">
        <v>200</v>
      </c>
      <c r="F194" s="377" t="s">
        <v>199</v>
      </c>
      <c r="G194" s="378">
        <v>0</v>
      </c>
      <c r="H194" s="376">
        <v>400000</v>
      </c>
      <c r="I194" s="376" t="s">
        <v>152</v>
      </c>
    </row>
    <row r="195" spans="1:9" s="7" customFormat="1" x14ac:dyDescent="0.2">
      <c r="A195"/>
      <c r="B195" s="377">
        <v>642</v>
      </c>
      <c r="C195" s="377" t="s">
        <v>355</v>
      </c>
      <c r="D195" s="376">
        <v>9255</v>
      </c>
      <c r="E195" s="377" t="s">
        <v>354</v>
      </c>
      <c r="F195" s="377" t="s">
        <v>353</v>
      </c>
      <c r="G195" s="378">
        <v>0</v>
      </c>
      <c r="H195" s="376">
        <v>300000</v>
      </c>
      <c r="I195" s="376" t="s">
        <v>147</v>
      </c>
    </row>
    <row r="196" spans="1:9" s="7" customFormat="1" x14ac:dyDescent="0.2">
      <c r="A196"/>
      <c r="B196" s="377">
        <v>11</v>
      </c>
      <c r="C196" s="377" t="s">
        <v>2349</v>
      </c>
      <c r="D196" s="376">
        <v>6000</v>
      </c>
      <c r="E196" s="377" t="s">
        <v>2348</v>
      </c>
      <c r="F196" s="377"/>
      <c r="G196" s="378">
        <v>0</v>
      </c>
      <c r="H196" s="376">
        <v>400000</v>
      </c>
      <c r="I196" s="376" t="s">
        <v>147</v>
      </c>
    </row>
    <row r="197" spans="1:9" s="7" customFormat="1" x14ac:dyDescent="0.2">
      <c r="A197"/>
      <c r="B197" s="377">
        <v>607</v>
      </c>
      <c r="C197" s="377" t="s">
        <v>476</v>
      </c>
      <c r="D197" s="376">
        <v>4632</v>
      </c>
      <c r="E197" s="377" t="s">
        <v>475</v>
      </c>
      <c r="F197" s="377"/>
      <c r="G197" s="378">
        <v>0</v>
      </c>
      <c r="H197" s="376">
        <v>400000</v>
      </c>
      <c r="I197" s="376" t="s">
        <v>147</v>
      </c>
    </row>
    <row r="198" spans="1:9" s="7" customFormat="1" x14ac:dyDescent="0.2">
      <c r="A198"/>
      <c r="B198" s="377">
        <v>273</v>
      </c>
      <c r="C198" s="377" t="s">
        <v>1563</v>
      </c>
      <c r="D198" s="376">
        <v>5020</v>
      </c>
      <c r="E198" s="377" t="s">
        <v>1562</v>
      </c>
      <c r="F198" s="377"/>
      <c r="G198" s="378">
        <v>0</v>
      </c>
      <c r="H198" s="376">
        <v>155000</v>
      </c>
      <c r="I198" s="376" t="s">
        <v>147</v>
      </c>
    </row>
    <row r="199" spans="1:9" s="7" customFormat="1" x14ac:dyDescent="0.2">
      <c r="A199"/>
      <c r="B199" s="377">
        <v>67</v>
      </c>
      <c r="C199" s="377" t="s">
        <v>2191</v>
      </c>
      <c r="D199" s="376">
        <v>7100</v>
      </c>
      <c r="E199" s="377" t="s">
        <v>887</v>
      </c>
      <c r="F199" s="377" t="s">
        <v>2190</v>
      </c>
      <c r="G199" s="378">
        <v>0</v>
      </c>
      <c r="H199" s="376">
        <v>400000</v>
      </c>
      <c r="I199" s="376" t="s">
        <v>152</v>
      </c>
    </row>
    <row r="200" spans="1:9" s="7" customFormat="1" x14ac:dyDescent="0.2">
      <c r="A200"/>
      <c r="B200" s="377">
        <v>177</v>
      </c>
      <c r="C200" s="377" t="s">
        <v>1864</v>
      </c>
      <c r="D200" s="376">
        <v>6000</v>
      </c>
      <c r="E200" s="377" t="s">
        <v>887</v>
      </c>
      <c r="F200" s="377" t="s">
        <v>1863</v>
      </c>
      <c r="G200" s="378">
        <v>0</v>
      </c>
      <c r="H200" s="376">
        <v>75000</v>
      </c>
      <c r="I200" s="376" t="s">
        <v>147</v>
      </c>
    </row>
    <row r="201" spans="1:9" s="7" customFormat="1" x14ac:dyDescent="0.2">
      <c r="A201"/>
      <c r="B201" s="377">
        <v>185</v>
      </c>
      <c r="C201" s="377" t="s">
        <v>1840</v>
      </c>
      <c r="D201" s="376">
        <v>6000</v>
      </c>
      <c r="E201" s="377" t="s">
        <v>887</v>
      </c>
      <c r="F201" s="377"/>
      <c r="G201" s="378">
        <v>0</v>
      </c>
      <c r="H201" s="376">
        <v>155000</v>
      </c>
      <c r="I201" s="376" t="s">
        <v>147</v>
      </c>
    </row>
    <row r="202" spans="1:9" s="7" customFormat="1" x14ac:dyDescent="0.2">
      <c r="A202"/>
      <c r="B202" s="377">
        <v>485</v>
      </c>
      <c r="C202" s="377" t="s">
        <v>888</v>
      </c>
      <c r="D202" s="376">
        <v>6000</v>
      </c>
      <c r="E202" s="377" t="s">
        <v>887</v>
      </c>
      <c r="F202" s="377"/>
      <c r="G202" s="378">
        <v>0</v>
      </c>
      <c r="H202" s="376">
        <v>300000</v>
      </c>
      <c r="I202" s="376" t="s">
        <v>147</v>
      </c>
    </row>
    <row r="203" spans="1:9" s="7" customFormat="1" x14ac:dyDescent="0.2">
      <c r="A203"/>
      <c r="B203" s="377">
        <v>275</v>
      </c>
      <c r="C203" s="377" t="s">
        <v>1556</v>
      </c>
      <c r="D203" s="376">
        <v>6200</v>
      </c>
      <c r="E203" s="377" t="s">
        <v>281</v>
      </c>
      <c r="F203" s="377"/>
      <c r="G203" s="378">
        <v>0</v>
      </c>
      <c r="H203" s="376">
        <v>400000</v>
      </c>
      <c r="I203" s="376" t="s">
        <v>147</v>
      </c>
    </row>
    <row r="204" spans="1:9" s="7" customFormat="1" x14ac:dyDescent="0.2">
      <c r="A204"/>
      <c r="B204" s="377">
        <v>298</v>
      </c>
      <c r="C204" s="377" t="s">
        <v>1483</v>
      </c>
      <c r="D204" s="376">
        <v>6200</v>
      </c>
      <c r="E204" s="377" t="s">
        <v>281</v>
      </c>
      <c r="F204" s="377" t="s">
        <v>1482</v>
      </c>
      <c r="G204" s="378">
        <v>0</v>
      </c>
      <c r="H204" s="376">
        <v>400000</v>
      </c>
      <c r="I204" s="376" t="s">
        <v>147</v>
      </c>
    </row>
    <row r="205" spans="1:9" s="7" customFormat="1" x14ac:dyDescent="0.2">
      <c r="A205"/>
      <c r="B205" s="377">
        <v>512</v>
      </c>
      <c r="C205" s="377" t="s">
        <v>794</v>
      </c>
      <c r="D205" s="376">
        <v>6200</v>
      </c>
      <c r="E205" s="377" t="s">
        <v>281</v>
      </c>
      <c r="F205" s="377"/>
      <c r="G205" s="378">
        <v>0</v>
      </c>
      <c r="H205" s="376">
        <v>400000</v>
      </c>
      <c r="I205" s="376" t="s">
        <v>147</v>
      </c>
    </row>
    <row r="206" spans="1:9" s="7" customFormat="1" x14ac:dyDescent="0.2">
      <c r="A206"/>
      <c r="B206" s="377">
        <v>661</v>
      </c>
      <c r="C206" s="377" t="s">
        <v>282</v>
      </c>
      <c r="D206" s="376">
        <v>6200</v>
      </c>
      <c r="E206" s="377" t="s">
        <v>281</v>
      </c>
      <c r="F206" s="377" t="s">
        <v>280</v>
      </c>
      <c r="G206" s="378">
        <v>0</v>
      </c>
      <c r="H206" s="376">
        <v>75000</v>
      </c>
      <c r="I206" s="376" t="s">
        <v>147</v>
      </c>
    </row>
    <row r="207" spans="1:9" s="7" customFormat="1" x14ac:dyDescent="0.2">
      <c r="A207"/>
      <c r="B207" s="377">
        <v>62</v>
      </c>
      <c r="C207" s="377" t="s">
        <v>2202</v>
      </c>
      <c r="D207" s="376">
        <v>6200</v>
      </c>
      <c r="E207" s="377" t="s">
        <v>1274</v>
      </c>
      <c r="F207" s="377" t="s">
        <v>2201</v>
      </c>
      <c r="G207" s="378">
        <v>0</v>
      </c>
      <c r="H207" s="376">
        <v>400000</v>
      </c>
      <c r="I207" s="376" t="s">
        <v>152</v>
      </c>
    </row>
    <row r="208" spans="1:9" s="7" customFormat="1" x14ac:dyDescent="0.2">
      <c r="A208"/>
      <c r="B208" s="377">
        <v>151</v>
      </c>
      <c r="C208" s="377" t="s">
        <v>1944</v>
      </c>
      <c r="D208" s="376">
        <v>6200</v>
      </c>
      <c r="E208" s="377" t="s">
        <v>1274</v>
      </c>
      <c r="F208" s="377" t="s">
        <v>1943</v>
      </c>
      <c r="G208" s="378">
        <v>0</v>
      </c>
      <c r="H208" s="376">
        <v>400000</v>
      </c>
      <c r="I208" s="376" t="s">
        <v>152</v>
      </c>
    </row>
    <row r="209" spans="1:9" s="7" customFormat="1" x14ac:dyDescent="0.2">
      <c r="A209"/>
      <c r="B209" s="377">
        <v>167</v>
      </c>
      <c r="C209" s="377" t="s">
        <v>1896</v>
      </c>
      <c r="D209" s="376">
        <v>6200</v>
      </c>
      <c r="E209" s="377" t="s">
        <v>1274</v>
      </c>
      <c r="F209" s="377" t="s">
        <v>1895</v>
      </c>
      <c r="G209" s="378">
        <v>0</v>
      </c>
      <c r="H209" s="376">
        <v>400000</v>
      </c>
      <c r="I209" s="376" t="s">
        <v>147</v>
      </c>
    </row>
    <row r="210" spans="1:9" s="7" customFormat="1" x14ac:dyDescent="0.2">
      <c r="A210"/>
      <c r="B210" s="377">
        <v>366</v>
      </c>
      <c r="C210" s="377" t="s">
        <v>1275</v>
      </c>
      <c r="D210" s="376">
        <v>6200</v>
      </c>
      <c r="E210" s="377" t="s">
        <v>1274</v>
      </c>
      <c r="F210" s="377" t="s">
        <v>1273</v>
      </c>
      <c r="G210" s="378">
        <v>0</v>
      </c>
      <c r="H210" s="376">
        <v>400000</v>
      </c>
      <c r="I210" s="376" t="s">
        <v>152</v>
      </c>
    </row>
    <row r="211" spans="1:9" s="7" customFormat="1" x14ac:dyDescent="0.2">
      <c r="A211"/>
      <c r="B211" s="377">
        <v>362</v>
      </c>
      <c r="C211" s="377" t="s">
        <v>1287</v>
      </c>
      <c r="D211" s="376">
        <v>4050</v>
      </c>
      <c r="E211" s="377" t="s">
        <v>1286</v>
      </c>
      <c r="F211" s="377"/>
      <c r="G211" s="378">
        <v>0</v>
      </c>
      <c r="H211" s="376">
        <v>75000</v>
      </c>
      <c r="I211" s="376" t="s">
        <v>152</v>
      </c>
    </row>
    <row r="212" spans="1:9" s="7" customFormat="1" x14ac:dyDescent="0.2">
      <c r="A212"/>
      <c r="B212" s="377">
        <v>241</v>
      </c>
      <c r="C212" s="377" t="s">
        <v>1668</v>
      </c>
      <c r="D212" s="376">
        <v>1325</v>
      </c>
      <c r="E212" s="377" t="s">
        <v>1667</v>
      </c>
      <c r="F212" s="377" t="s">
        <v>1666</v>
      </c>
      <c r="G212" s="378">
        <v>0</v>
      </c>
      <c r="H212" s="376">
        <v>400000</v>
      </c>
      <c r="I212" s="376" t="s">
        <v>152</v>
      </c>
    </row>
    <row r="213" spans="1:9" s="7" customFormat="1" x14ac:dyDescent="0.2">
      <c r="A213"/>
      <c r="B213" s="377">
        <v>606</v>
      </c>
      <c r="C213" s="377" t="s">
        <v>480</v>
      </c>
      <c r="D213" s="376">
        <v>6460</v>
      </c>
      <c r="E213" s="377" t="s">
        <v>426</v>
      </c>
      <c r="F213" s="377" t="s">
        <v>479</v>
      </c>
      <c r="G213" s="378">
        <v>0</v>
      </c>
      <c r="H213" s="376">
        <v>400000</v>
      </c>
      <c r="I213" s="376" t="s">
        <v>147</v>
      </c>
    </row>
    <row r="214" spans="1:9" s="7" customFormat="1" x14ac:dyDescent="0.2">
      <c r="A214"/>
      <c r="B214" s="377">
        <v>623</v>
      </c>
      <c r="C214" s="377" t="s">
        <v>427</v>
      </c>
      <c r="D214" s="376">
        <v>6460</v>
      </c>
      <c r="E214" s="377" t="s">
        <v>426</v>
      </c>
      <c r="F214" s="377" t="s">
        <v>425</v>
      </c>
      <c r="G214" s="378">
        <v>0</v>
      </c>
      <c r="H214" s="376">
        <v>400000</v>
      </c>
      <c r="I214" s="376" t="s">
        <v>152</v>
      </c>
    </row>
    <row r="215" spans="1:9" s="7" customFormat="1" x14ac:dyDescent="0.2">
      <c r="A215"/>
      <c r="B215" s="377">
        <v>431</v>
      </c>
      <c r="C215" s="377" t="s">
        <v>1058</v>
      </c>
      <c r="D215" s="376">
        <v>5590</v>
      </c>
      <c r="E215" s="377" t="s">
        <v>1057</v>
      </c>
      <c r="F215" s="377"/>
      <c r="G215" s="378">
        <v>0</v>
      </c>
      <c r="H215" s="376">
        <v>75000</v>
      </c>
      <c r="I215" s="376" t="s">
        <v>147</v>
      </c>
    </row>
    <row r="216" spans="1:9" s="7" customFormat="1" x14ac:dyDescent="0.2">
      <c r="A216"/>
      <c r="B216" s="377">
        <v>486</v>
      </c>
      <c r="C216" s="377" t="s">
        <v>884</v>
      </c>
      <c r="D216" s="376">
        <v>7910</v>
      </c>
      <c r="E216" s="377" t="s">
        <v>883</v>
      </c>
      <c r="F216" s="377" t="s">
        <v>882</v>
      </c>
      <c r="G216" s="378">
        <v>0</v>
      </c>
      <c r="H216" s="376">
        <v>300000</v>
      </c>
      <c r="I216" s="376" t="s">
        <v>147</v>
      </c>
    </row>
    <row r="217" spans="1:9" s="7" customFormat="1" x14ac:dyDescent="0.2">
      <c r="A217"/>
      <c r="B217" s="377">
        <v>53</v>
      </c>
      <c r="C217" s="377" t="s">
        <v>2223</v>
      </c>
      <c r="D217" s="376">
        <v>6180</v>
      </c>
      <c r="E217" s="377" t="s">
        <v>453</v>
      </c>
      <c r="F217" s="377"/>
      <c r="G217" s="378">
        <v>0</v>
      </c>
      <c r="H217" s="376">
        <v>400000</v>
      </c>
      <c r="I217" s="376" t="s">
        <v>147</v>
      </c>
    </row>
    <row r="218" spans="1:9" s="7" customFormat="1" x14ac:dyDescent="0.2">
      <c r="A218"/>
      <c r="B218" s="377">
        <v>614</v>
      </c>
      <c r="C218" s="377" t="s">
        <v>454</v>
      </c>
      <c r="D218" s="376">
        <v>6180</v>
      </c>
      <c r="E218" s="377" t="s">
        <v>453</v>
      </c>
      <c r="F218" s="377"/>
      <c r="G218" s="378">
        <v>0</v>
      </c>
      <c r="H218" s="376">
        <v>400000</v>
      </c>
      <c r="I218" s="376" t="s">
        <v>147</v>
      </c>
    </row>
    <row r="219" spans="1:9" s="7" customFormat="1" x14ac:dyDescent="0.2">
      <c r="A219"/>
      <c r="B219" s="377">
        <v>513</v>
      </c>
      <c r="C219" s="377" t="s">
        <v>791</v>
      </c>
      <c r="D219" s="376">
        <v>5660</v>
      </c>
      <c r="E219" s="377" t="s">
        <v>790</v>
      </c>
      <c r="F219" s="377" t="s">
        <v>789</v>
      </c>
      <c r="G219" s="378">
        <v>0</v>
      </c>
      <c r="H219" s="376">
        <v>75000</v>
      </c>
      <c r="I219" s="376" t="s">
        <v>147</v>
      </c>
    </row>
    <row r="220" spans="1:9" s="7" customFormat="1" x14ac:dyDescent="0.2">
      <c r="A220"/>
      <c r="B220" s="377">
        <v>363</v>
      </c>
      <c r="C220" s="377" t="s">
        <v>1284</v>
      </c>
      <c r="D220" s="376">
        <v>8340</v>
      </c>
      <c r="E220" s="377" t="s">
        <v>776</v>
      </c>
      <c r="F220" s="377" t="s">
        <v>1283</v>
      </c>
      <c r="G220" s="378">
        <v>0</v>
      </c>
      <c r="H220" s="376">
        <v>300000</v>
      </c>
      <c r="I220" s="376" t="s">
        <v>147</v>
      </c>
    </row>
    <row r="221" spans="1:9" s="7" customFormat="1" x14ac:dyDescent="0.2">
      <c r="A221"/>
      <c r="B221" s="377">
        <v>369</v>
      </c>
      <c r="C221" s="377" t="s">
        <v>1261</v>
      </c>
      <c r="D221" s="376">
        <v>8340</v>
      </c>
      <c r="E221" s="377" t="s">
        <v>776</v>
      </c>
      <c r="F221" s="377" t="s">
        <v>1260</v>
      </c>
      <c r="G221" s="378">
        <v>0</v>
      </c>
      <c r="H221" s="376">
        <v>400000</v>
      </c>
      <c r="I221" s="376" t="s">
        <v>147</v>
      </c>
    </row>
    <row r="222" spans="1:9" s="7" customFormat="1" x14ac:dyDescent="0.2">
      <c r="A222"/>
      <c r="B222" s="377">
        <v>517</v>
      </c>
      <c r="C222" s="377" t="s">
        <v>777</v>
      </c>
      <c r="D222" s="376">
        <v>8340</v>
      </c>
      <c r="E222" s="377" t="s">
        <v>776</v>
      </c>
      <c r="F222" s="377" t="s">
        <v>775</v>
      </c>
      <c r="G222" s="378">
        <v>0</v>
      </c>
      <c r="H222" s="376">
        <v>155000</v>
      </c>
      <c r="I222" s="376" t="s">
        <v>147</v>
      </c>
    </row>
    <row r="223" spans="1:9" s="7" customFormat="1" x14ac:dyDescent="0.2">
      <c r="A223"/>
      <c r="B223" s="377">
        <v>449</v>
      </c>
      <c r="C223" s="377" t="s">
        <v>1000</v>
      </c>
      <c r="D223" s="376">
        <v>6020</v>
      </c>
      <c r="E223" s="377" t="s">
        <v>999</v>
      </c>
      <c r="F223" s="377" t="s">
        <v>998</v>
      </c>
      <c r="G223" s="378">
        <v>0</v>
      </c>
      <c r="H223" s="376">
        <v>400000</v>
      </c>
      <c r="I223" s="376" t="s">
        <v>147</v>
      </c>
    </row>
    <row r="224" spans="1:9" s="7" customFormat="1" x14ac:dyDescent="0.2">
      <c r="A224"/>
      <c r="B224" s="377">
        <v>570</v>
      </c>
      <c r="C224" s="377" t="s">
        <v>597</v>
      </c>
      <c r="D224" s="376">
        <v>8420</v>
      </c>
      <c r="E224" s="377" t="s">
        <v>596</v>
      </c>
      <c r="F224" s="377"/>
      <c r="G224" s="378">
        <v>0</v>
      </c>
      <c r="H224" s="376">
        <v>300000</v>
      </c>
      <c r="I224" s="376" t="s">
        <v>147</v>
      </c>
    </row>
    <row r="225" spans="1:9" s="7" customFormat="1" x14ac:dyDescent="0.2">
      <c r="A225"/>
      <c r="B225" s="377">
        <v>346</v>
      </c>
      <c r="C225" s="377" t="s">
        <v>1339</v>
      </c>
      <c r="D225" s="376">
        <v>9800</v>
      </c>
      <c r="E225" s="377" t="s">
        <v>1338</v>
      </c>
      <c r="F225" s="377" t="s">
        <v>1337</v>
      </c>
      <c r="G225" s="378">
        <v>0</v>
      </c>
      <c r="H225" s="376">
        <v>300000</v>
      </c>
      <c r="I225" s="376" t="s">
        <v>147</v>
      </c>
    </row>
    <row r="226" spans="1:9" s="7" customFormat="1" x14ac:dyDescent="0.2">
      <c r="A226"/>
      <c r="B226" s="377">
        <v>114</v>
      </c>
      <c r="C226" s="377" t="s">
        <v>2050</v>
      </c>
      <c r="D226" s="376">
        <v>3730</v>
      </c>
      <c r="E226" s="377" t="s">
        <v>1470</v>
      </c>
      <c r="F226" s="377" t="s">
        <v>2049</v>
      </c>
      <c r="G226" s="378">
        <v>0</v>
      </c>
      <c r="H226" s="376">
        <v>75000</v>
      </c>
      <c r="I226" s="376" t="s">
        <v>147</v>
      </c>
    </row>
    <row r="227" spans="1:9" s="7" customFormat="1" x14ac:dyDescent="0.2">
      <c r="A227"/>
      <c r="B227" s="377">
        <v>303</v>
      </c>
      <c r="C227" s="377" t="s">
        <v>1471</v>
      </c>
      <c r="D227" s="376">
        <v>9470</v>
      </c>
      <c r="E227" s="377" t="s">
        <v>1470</v>
      </c>
      <c r="F227" s="377" t="s">
        <v>1469</v>
      </c>
      <c r="G227" s="378">
        <v>0</v>
      </c>
      <c r="H227" s="376">
        <v>75000</v>
      </c>
      <c r="I227" s="376" t="s">
        <v>147</v>
      </c>
    </row>
    <row r="228" spans="1:9" s="7" customFormat="1" x14ac:dyDescent="0.2">
      <c r="A228"/>
      <c r="B228" s="377">
        <v>141</v>
      </c>
      <c r="C228" s="377" t="s">
        <v>1972</v>
      </c>
      <c r="D228" s="376">
        <v>9200</v>
      </c>
      <c r="E228" s="377" t="s">
        <v>1151</v>
      </c>
      <c r="F228" s="377" t="s">
        <v>1971</v>
      </c>
      <c r="G228" s="378">
        <v>0</v>
      </c>
      <c r="H228" s="376">
        <v>75000</v>
      </c>
      <c r="I228" s="376" t="s">
        <v>152</v>
      </c>
    </row>
    <row r="229" spans="1:9" s="7" customFormat="1" x14ac:dyDescent="0.2">
      <c r="A229"/>
      <c r="B229" s="377">
        <v>404</v>
      </c>
      <c r="C229" s="377" t="s">
        <v>1152</v>
      </c>
      <c r="D229" s="376">
        <v>9200</v>
      </c>
      <c r="E229" s="377" t="s">
        <v>1151</v>
      </c>
      <c r="F229" s="377" t="s">
        <v>1150</v>
      </c>
      <c r="G229" s="378">
        <v>0</v>
      </c>
      <c r="H229" s="376">
        <v>300000</v>
      </c>
      <c r="I229" s="376" t="s">
        <v>147</v>
      </c>
    </row>
    <row r="230" spans="1:9" s="7" customFormat="1" x14ac:dyDescent="0.2">
      <c r="A230"/>
      <c r="B230" s="377">
        <v>342</v>
      </c>
      <c r="C230" s="377" t="s">
        <v>1353</v>
      </c>
      <c r="D230" s="376">
        <v>8720</v>
      </c>
      <c r="E230" s="377" t="s">
        <v>1107</v>
      </c>
      <c r="F230" s="377" t="s">
        <v>1352</v>
      </c>
      <c r="G230" s="378">
        <v>0</v>
      </c>
      <c r="H230" s="376">
        <v>300000</v>
      </c>
      <c r="I230" s="376" t="s">
        <v>152</v>
      </c>
    </row>
    <row r="231" spans="1:9" s="7" customFormat="1" x14ac:dyDescent="0.2">
      <c r="A231"/>
      <c r="B231" s="377">
        <v>416</v>
      </c>
      <c r="C231" s="377" t="s">
        <v>1108</v>
      </c>
      <c r="D231" s="376">
        <v>8720</v>
      </c>
      <c r="E231" s="377" t="s">
        <v>1107</v>
      </c>
      <c r="F231" s="377" t="s">
        <v>1106</v>
      </c>
      <c r="G231" s="378">
        <v>0</v>
      </c>
      <c r="H231" s="376">
        <v>75000</v>
      </c>
      <c r="I231" s="376" t="s">
        <v>147</v>
      </c>
    </row>
    <row r="232" spans="1:9" s="7" customFormat="1" x14ac:dyDescent="0.2">
      <c r="A232"/>
      <c r="B232" s="377">
        <v>229</v>
      </c>
      <c r="C232" s="377" t="s">
        <v>1705</v>
      </c>
      <c r="D232" s="376">
        <v>9070</v>
      </c>
      <c r="E232" s="377" t="s">
        <v>1704</v>
      </c>
      <c r="F232" s="377"/>
      <c r="G232" s="378">
        <v>0</v>
      </c>
      <c r="H232" s="376">
        <v>300000</v>
      </c>
      <c r="I232" s="376" t="s">
        <v>152</v>
      </c>
    </row>
    <row r="233" spans="1:9" s="7" customFormat="1" x14ac:dyDescent="0.2">
      <c r="A233"/>
      <c r="B233" s="377">
        <v>79</v>
      </c>
      <c r="C233" s="377" t="s">
        <v>2155</v>
      </c>
      <c r="D233" s="376">
        <v>3590</v>
      </c>
      <c r="E233" s="377" t="s">
        <v>2154</v>
      </c>
      <c r="F233" s="377" t="s">
        <v>2153</v>
      </c>
      <c r="G233" s="378">
        <v>0</v>
      </c>
      <c r="H233" s="376">
        <v>300000</v>
      </c>
      <c r="I233" s="376" t="s">
        <v>147</v>
      </c>
    </row>
    <row r="234" spans="1:9" s="7" customFormat="1" x14ac:dyDescent="0.2">
      <c r="A234"/>
      <c r="B234" s="377">
        <v>159</v>
      </c>
      <c r="C234" s="377" t="s">
        <v>1919</v>
      </c>
      <c r="D234" s="376">
        <v>3290</v>
      </c>
      <c r="E234" s="377" t="s">
        <v>489</v>
      </c>
      <c r="F234" s="377"/>
      <c r="G234" s="378">
        <v>0</v>
      </c>
      <c r="H234" s="376">
        <v>400000</v>
      </c>
      <c r="I234" s="376" t="s">
        <v>147</v>
      </c>
    </row>
    <row r="235" spans="1:9" s="7" customFormat="1" x14ac:dyDescent="0.2">
      <c r="A235"/>
      <c r="B235" s="377">
        <v>602</v>
      </c>
      <c r="C235" s="377" t="s">
        <v>490</v>
      </c>
      <c r="D235" s="376">
        <v>3290</v>
      </c>
      <c r="E235" s="377" t="s">
        <v>489</v>
      </c>
      <c r="F235" s="377"/>
      <c r="G235" s="378">
        <v>0</v>
      </c>
      <c r="H235" s="376">
        <v>75000</v>
      </c>
      <c r="I235" s="376" t="s">
        <v>147</v>
      </c>
    </row>
    <row r="236" spans="1:9" s="7" customFormat="1" x14ac:dyDescent="0.2">
      <c r="A236"/>
      <c r="B236" s="377">
        <v>438</v>
      </c>
      <c r="C236" s="377" t="s">
        <v>1032</v>
      </c>
      <c r="D236" s="376">
        <v>8600</v>
      </c>
      <c r="E236" s="377" t="s">
        <v>1031</v>
      </c>
      <c r="F236" s="377"/>
      <c r="G236" s="378">
        <v>0</v>
      </c>
      <c r="H236" s="376">
        <v>155000</v>
      </c>
      <c r="I236" s="376" t="s">
        <v>152</v>
      </c>
    </row>
    <row r="237" spans="1:9" s="7" customFormat="1" x14ac:dyDescent="0.2">
      <c r="A237"/>
      <c r="B237" s="377">
        <v>3</v>
      </c>
      <c r="C237" s="377" t="s">
        <v>2368</v>
      </c>
      <c r="D237" s="376">
        <v>1700</v>
      </c>
      <c r="E237" s="377" t="s">
        <v>309</v>
      </c>
      <c r="F237" s="377" t="s">
        <v>2367</v>
      </c>
      <c r="G237" s="378">
        <v>0.15</v>
      </c>
      <c r="H237" s="376">
        <v>155000</v>
      </c>
      <c r="I237" s="376" t="s">
        <v>147</v>
      </c>
    </row>
    <row r="238" spans="1:9" s="7" customFormat="1" x14ac:dyDescent="0.2">
      <c r="A238"/>
      <c r="B238" s="377">
        <v>253</v>
      </c>
      <c r="C238" s="377" t="s">
        <v>1629</v>
      </c>
      <c r="D238" s="376">
        <v>1702</v>
      </c>
      <c r="E238" s="377" t="s">
        <v>309</v>
      </c>
      <c r="F238" s="377" t="s">
        <v>1628</v>
      </c>
      <c r="G238" s="378">
        <v>0</v>
      </c>
      <c r="H238" s="376">
        <v>300000</v>
      </c>
      <c r="I238" s="376" t="s">
        <v>147</v>
      </c>
    </row>
    <row r="239" spans="1:9" s="7" customFormat="1" x14ac:dyDescent="0.2">
      <c r="A239"/>
      <c r="B239" s="377">
        <v>654</v>
      </c>
      <c r="C239" s="377" t="s">
        <v>310</v>
      </c>
      <c r="D239" s="376">
        <v>1703</v>
      </c>
      <c r="E239" s="377" t="s">
        <v>309</v>
      </c>
      <c r="F239" s="377" t="s">
        <v>308</v>
      </c>
      <c r="G239" s="378">
        <v>0</v>
      </c>
      <c r="H239" s="376">
        <v>75000</v>
      </c>
      <c r="I239" s="376" t="s">
        <v>147</v>
      </c>
    </row>
    <row r="240" spans="1:9" s="7" customFormat="1" x14ac:dyDescent="0.2">
      <c r="A240"/>
      <c r="B240" s="377">
        <v>629</v>
      </c>
      <c r="C240" s="377" t="s">
        <v>407</v>
      </c>
      <c r="D240" s="376">
        <v>3650</v>
      </c>
      <c r="E240" s="377" t="s">
        <v>406</v>
      </c>
      <c r="F240" s="377"/>
      <c r="G240" s="378">
        <v>0</v>
      </c>
      <c r="H240" s="376">
        <v>75000</v>
      </c>
      <c r="I240" s="376" t="s">
        <v>147</v>
      </c>
    </row>
    <row r="241" spans="1:9" s="7" customFormat="1" x14ac:dyDescent="0.2">
      <c r="A241"/>
      <c r="B241" s="377">
        <v>274</v>
      </c>
      <c r="C241" s="377" t="s">
        <v>1560</v>
      </c>
      <c r="D241" s="376">
        <v>5570</v>
      </c>
      <c r="E241" s="377" t="s">
        <v>1559</v>
      </c>
      <c r="F241" s="377"/>
      <c r="G241" s="378">
        <v>0</v>
      </c>
      <c r="H241" s="376">
        <v>400000</v>
      </c>
      <c r="I241" s="376" t="s">
        <v>147</v>
      </c>
    </row>
    <row r="242" spans="1:9" s="7" customFormat="1" x14ac:dyDescent="0.2">
      <c r="A242"/>
      <c r="B242" s="377">
        <v>357</v>
      </c>
      <c r="C242" s="377" t="s">
        <v>1304</v>
      </c>
      <c r="D242" s="376">
        <v>7370</v>
      </c>
      <c r="E242" s="377" t="s">
        <v>1303</v>
      </c>
      <c r="F242" s="377" t="s">
        <v>1302</v>
      </c>
      <c r="G242" s="378">
        <v>0</v>
      </c>
      <c r="H242" s="376">
        <v>400000</v>
      </c>
      <c r="I242" s="376" t="s">
        <v>147</v>
      </c>
    </row>
    <row r="243" spans="1:9" s="7" customFormat="1" x14ac:dyDescent="0.2">
      <c r="A243"/>
      <c r="B243" s="377">
        <v>28</v>
      </c>
      <c r="C243" s="377" t="s">
        <v>2296</v>
      </c>
      <c r="D243" s="376">
        <v>2570</v>
      </c>
      <c r="E243" s="377" t="s">
        <v>2295</v>
      </c>
      <c r="F243" s="377" t="s">
        <v>2294</v>
      </c>
      <c r="G243" s="378">
        <v>0</v>
      </c>
      <c r="H243" s="376">
        <v>300000</v>
      </c>
      <c r="I243" s="376" t="s">
        <v>147</v>
      </c>
    </row>
    <row r="244" spans="1:9" s="7" customFormat="1" x14ac:dyDescent="0.2">
      <c r="A244"/>
      <c r="B244" s="377">
        <v>378</v>
      </c>
      <c r="C244" s="377" t="s">
        <v>1236</v>
      </c>
      <c r="D244" s="376">
        <v>9900</v>
      </c>
      <c r="E244" s="377" t="s">
        <v>1235</v>
      </c>
      <c r="F244" s="377" t="s">
        <v>1234</v>
      </c>
      <c r="G244" s="378">
        <v>0</v>
      </c>
      <c r="H244" s="376">
        <v>300000</v>
      </c>
      <c r="I244" s="376" t="s">
        <v>147</v>
      </c>
    </row>
    <row r="245" spans="1:9" s="7" customFormat="1" x14ac:dyDescent="0.2">
      <c r="A245"/>
      <c r="B245" s="377">
        <v>435</v>
      </c>
      <c r="C245" s="377" t="s">
        <v>1044</v>
      </c>
      <c r="D245" s="376">
        <v>1980</v>
      </c>
      <c r="E245" s="377" t="s">
        <v>1043</v>
      </c>
      <c r="F245" s="377" t="s">
        <v>1042</v>
      </c>
      <c r="G245" s="378">
        <v>0</v>
      </c>
      <c r="H245" s="376">
        <v>75000</v>
      </c>
      <c r="I245" s="376" t="s">
        <v>147</v>
      </c>
    </row>
    <row r="246" spans="1:9" s="7" customFormat="1" x14ac:dyDescent="0.2">
      <c r="A246"/>
      <c r="B246" s="377">
        <v>302</v>
      </c>
      <c r="C246" s="377" t="s">
        <v>1473</v>
      </c>
      <c r="D246" s="376">
        <v>9420</v>
      </c>
      <c r="E246" s="377" t="s">
        <v>659</v>
      </c>
      <c r="F246" s="377" t="s">
        <v>1472</v>
      </c>
      <c r="G246" s="378">
        <v>0</v>
      </c>
      <c r="H246" s="376">
        <v>155000</v>
      </c>
      <c r="I246" s="376" t="s">
        <v>147</v>
      </c>
    </row>
    <row r="247" spans="1:9" s="7" customFormat="1" x14ac:dyDescent="0.2">
      <c r="A247"/>
      <c r="B247" s="377">
        <v>355</v>
      </c>
      <c r="C247" s="377" t="s">
        <v>1310</v>
      </c>
      <c r="D247" s="376">
        <v>9420</v>
      </c>
      <c r="E247" s="377" t="s">
        <v>659</v>
      </c>
      <c r="F247" s="377" t="s">
        <v>1309</v>
      </c>
      <c r="G247" s="378">
        <v>0</v>
      </c>
      <c r="H247" s="376">
        <v>300000</v>
      </c>
      <c r="I247" s="376" t="s">
        <v>147</v>
      </c>
    </row>
    <row r="248" spans="1:9" s="7" customFormat="1" x14ac:dyDescent="0.2">
      <c r="A248"/>
      <c r="B248" s="377">
        <v>551</v>
      </c>
      <c r="C248" s="377" t="s">
        <v>660</v>
      </c>
      <c r="D248" s="376">
        <v>9420</v>
      </c>
      <c r="E248" s="377" t="s">
        <v>659</v>
      </c>
      <c r="F248" s="377" t="s">
        <v>658</v>
      </c>
      <c r="G248" s="378">
        <v>0</v>
      </c>
      <c r="H248" s="376">
        <v>300000</v>
      </c>
      <c r="I248" s="376" t="s">
        <v>147</v>
      </c>
    </row>
    <row r="249" spans="1:9" s="7" customFormat="1" x14ac:dyDescent="0.2">
      <c r="A249"/>
      <c r="B249" s="377">
        <v>495</v>
      </c>
      <c r="C249" s="377" t="s">
        <v>852</v>
      </c>
      <c r="D249" s="376">
        <v>6560</v>
      </c>
      <c r="E249" s="377" t="s">
        <v>851</v>
      </c>
      <c r="F249" s="377" t="s">
        <v>850</v>
      </c>
      <c r="G249" s="378">
        <v>0</v>
      </c>
      <c r="H249" s="376">
        <v>300000</v>
      </c>
      <c r="I249" s="376" t="s">
        <v>147</v>
      </c>
    </row>
    <row r="250" spans="1:9" s="7" customFormat="1" x14ac:dyDescent="0.2">
      <c r="A250"/>
      <c r="B250" s="377">
        <v>509</v>
      </c>
      <c r="C250" s="377" t="s">
        <v>800</v>
      </c>
      <c r="D250" s="376">
        <v>4700</v>
      </c>
      <c r="E250" s="377" t="s">
        <v>799</v>
      </c>
      <c r="F250" s="377"/>
      <c r="G250" s="378">
        <v>0</v>
      </c>
      <c r="H250" s="376">
        <v>300000</v>
      </c>
      <c r="I250" s="376" t="s">
        <v>147</v>
      </c>
    </row>
    <row r="251" spans="1:9" s="7" customFormat="1" x14ac:dyDescent="0.2">
      <c r="A251"/>
      <c r="B251" s="377">
        <v>293</v>
      </c>
      <c r="C251" s="377" t="s">
        <v>1500</v>
      </c>
      <c r="D251" s="376">
        <v>4317</v>
      </c>
      <c r="E251" s="377" t="s">
        <v>1132</v>
      </c>
      <c r="F251" s="377" t="s">
        <v>1499</v>
      </c>
      <c r="G251" s="378">
        <v>0.2</v>
      </c>
      <c r="H251" s="376">
        <v>400000</v>
      </c>
      <c r="I251" s="376" t="s">
        <v>152</v>
      </c>
    </row>
    <row r="252" spans="1:9" s="7" customFormat="1" x14ac:dyDescent="0.2">
      <c r="A252"/>
      <c r="B252" s="377">
        <v>409</v>
      </c>
      <c r="C252" s="377" t="s">
        <v>1133</v>
      </c>
      <c r="D252" s="376">
        <v>4317</v>
      </c>
      <c r="E252" s="377" t="s">
        <v>1132</v>
      </c>
      <c r="F252" s="377" t="s">
        <v>1131</v>
      </c>
      <c r="G252" s="378">
        <v>0.2</v>
      </c>
      <c r="H252" s="376">
        <v>400000</v>
      </c>
      <c r="I252" s="376" t="s">
        <v>152</v>
      </c>
    </row>
    <row r="253" spans="1:9" s="7" customFormat="1" x14ac:dyDescent="0.2">
      <c r="A253"/>
      <c r="B253" s="377">
        <v>580</v>
      </c>
      <c r="C253" s="377" t="s">
        <v>571</v>
      </c>
      <c r="D253" s="376">
        <v>5060</v>
      </c>
      <c r="E253" s="377" t="s">
        <v>570</v>
      </c>
      <c r="F253" s="377" t="s">
        <v>569</v>
      </c>
      <c r="G253" s="378">
        <v>0</v>
      </c>
      <c r="H253" s="376">
        <v>400000</v>
      </c>
      <c r="I253" s="376" t="s">
        <v>147</v>
      </c>
    </row>
    <row r="254" spans="1:9" s="7" customFormat="1" x14ac:dyDescent="0.2">
      <c r="A254"/>
      <c r="B254" s="377">
        <v>237</v>
      </c>
      <c r="C254" s="377" t="s">
        <v>1683</v>
      </c>
      <c r="D254" s="376">
        <v>5380</v>
      </c>
      <c r="E254" s="377" t="s">
        <v>1682</v>
      </c>
      <c r="F254" s="377" t="s">
        <v>1681</v>
      </c>
      <c r="G254" s="378">
        <v>0</v>
      </c>
      <c r="H254" s="376">
        <v>75000</v>
      </c>
      <c r="I254" s="376" t="s">
        <v>147</v>
      </c>
    </row>
    <row r="255" spans="1:9" s="7" customFormat="1" x14ac:dyDescent="0.2">
      <c r="A255"/>
      <c r="B255" s="377">
        <v>12</v>
      </c>
      <c r="C255" s="377" t="s">
        <v>2347</v>
      </c>
      <c r="D255" s="376">
        <v>1320</v>
      </c>
      <c r="E255" s="377" t="s">
        <v>2346</v>
      </c>
      <c r="F255" s="377"/>
      <c r="G255" s="378">
        <v>0</v>
      </c>
      <c r="H255" s="376">
        <v>400000</v>
      </c>
      <c r="I255" s="376" t="s">
        <v>147</v>
      </c>
    </row>
    <row r="256" spans="1:9" s="7" customFormat="1" x14ac:dyDescent="0.2">
      <c r="A256"/>
      <c r="B256" s="377">
        <v>530</v>
      </c>
      <c r="C256" s="377" t="s">
        <v>734</v>
      </c>
      <c r="D256" s="376">
        <v>4400</v>
      </c>
      <c r="E256" s="377" t="s">
        <v>733</v>
      </c>
      <c r="F256" s="377" t="s">
        <v>732</v>
      </c>
      <c r="G256" s="378">
        <v>0</v>
      </c>
      <c r="H256" s="376">
        <v>300000</v>
      </c>
      <c r="I256" s="376" t="s">
        <v>147</v>
      </c>
    </row>
    <row r="257" spans="1:9" s="7" customFormat="1" x14ac:dyDescent="0.2">
      <c r="A257"/>
      <c r="B257" s="377">
        <v>223</v>
      </c>
      <c r="C257" s="377" t="s">
        <v>1719</v>
      </c>
      <c r="D257" s="376">
        <v>4624</v>
      </c>
      <c r="E257" s="377" t="s">
        <v>1718</v>
      </c>
      <c r="F257" s="377"/>
      <c r="G257" s="378">
        <v>0</v>
      </c>
      <c r="H257" s="376">
        <v>400000</v>
      </c>
      <c r="I257" s="376" t="s">
        <v>147</v>
      </c>
    </row>
    <row r="258" spans="1:9" s="7" customFormat="1" x14ac:dyDescent="0.2">
      <c r="A258"/>
      <c r="B258" s="377">
        <v>259</v>
      </c>
      <c r="C258" s="377" t="s">
        <v>1608</v>
      </c>
      <c r="D258" s="376">
        <v>6220</v>
      </c>
      <c r="E258" s="377" t="s">
        <v>389</v>
      </c>
      <c r="F258" s="377" t="s">
        <v>1607</v>
      </c>
      <c r="G258" s="378">
        <v>0</v>
      </c>
      <c r="H258" s="376">
        <v>75000</v>
      </c>
      <c r="I258" s="376" t="s">
        <v>152</v>
      </c>
    </row>
    <row r="259" spans="1:9" s="7" customFormat="1" x14ac:dyDescent="0.2">
      <c r="A259"/>
      <c r="B259" s="377">
        <v>633</v>
      </c>
      <c r="C259" s="377" t="s">
        <v>390</v>
      </c>
      <c r="D259" s="376">
        <v>6220</v>
      </c>
      <c r="E259" s="377" t="s">
        <v>389</v>
      </c>
      <c r="F259" s="377"/>
      <c r="G259" s="378">
        <v>0</v>
      </c>
      <c r="H259" s="376">
        <v>400000</v>
      </c>
      <c r="I259" s="376" t="s">
        <v>152</v>
      </c>
    </row>
    <row r="260" spans="1:9" s="7" customFormat="1" x14ac:dyDescent="0.2">
      <c r="A260"/>
      <c r="B260" s="377">
        <v>306</v>
      </c>
      <c r="C260" s="377" t="s">
        <v>1460</v>
      </c>
      <c r="D260" s="376">
        <v>6140</v>
      </c>
      <c r="E260" s="377" t="s">
        <v>484</v>
      </c>
      <c r="F260" s="377"/>
      <c r="G260" s="378">
        <v>0</v>
      </c>
      <c r="H260" s="376">
        <v>300000</v>
      </c>
      <c r="I260" s="376" t="s">
        <v>152</v>
      </c>
    </row>
    <row r="261" spans="1:9" s="7" customFormat="1" x14ac:dyDescent="0.2">
      <c r="A261"/>
      <c r="B261" s="377">
        <v>604</v>
      </c>
      <c r="C261" s="377" t="s">
        <v>485</v>
      </c>
      <c r="D261" s="376">
        <v>6140</v>
      </c>
      <c r="E261" s="377" t="s">
        <v>484</v>
      </c>
      <c r="F261" s="377" t="s">
        <v>483</v>
      </c>
      <c r="G261" s="378">
        <v>0</v>
      </c>
      <c r="H261" s="376">
        <v>75000</v>
      </c>
      <c r="I261" s="376" t="s">
        <v>147</v>
      </c>
    </row>
    <row r="262" spans="1:9" s="7" customFormat="1" x14ac:dyDescent="0.2">
      <c r="A262"/>
      <c r="B262" s="377">
        <v>71</v>
      </c>
      <c r="C262" s="377" t="s">
        <v>2179</v>
      </c>
      <c r="D262" s="376">
        <v>6140</v>
      </c>
      <c r="E262" s="377" t="s">
        <v>2178</v>
      </c>
      <c r="F262" s="377" t="s">
        <v>2177</v>
      </c>
      <c r="G262" s="378">
        <v>0</v>
      </c>
      <c r="H262" s="376">
        <v>300000</v>
      </c>
      <c r="I262" s="376" t="s">
        <v>147</v>
      </c>
    </row>
    <row r="263" spans="1:9" s="7" customFormat="1" x14ac:dyDescent="0.2">
      <c r="A263"/>
      <c r="B263" s="377">
        <v>489</v>
      </c>
      <c r="C263" s="377" t="s">
        <v>873</v>
      </c>
      <c r="D263" s="376">
        <v>6141</v>
      </c>
      <c r="E263" s="377" t="s">
        <v>872</v>
      </c>
      <c r="F263" s="377"/>
      <c r="G263" s="378">
        <v>0</v>
      </c>
      <c r="H263" s="376">
        <v>400000</v>
      </c>
      <c r="I263" s="376" t="s">
        <v>152</v>
      </c>
    </row>
    <row r="264" spans="1:9" s="7" customFormat="1" x14ac:dyDescent="0.2">
      <c r="A264"/>
      <c r="B264" s="377">
        <v>87</v>
      </c>
      <c r="C264" s="377" t="s">
        <v>2129</v>
      </c>
      <c r="D264" s="376">
        <v>7300</v>
      </c>
      <c r="E264" s="377" t="s">
        <v>315</v>
      </c>
      <c r="F264" s="377" t="s">
        <v>2128</v>
      </c>
      <c r="G264" s="378">
        <v>0</v>
      </c>
      <c r="H264" s="376">
        <v>400000</v>
      </c>
      <c r="I264" s="376" t="s">
        <v>147</v>
      </c>
    </row>
    <row r="265" spans="1:9" s="7" customFormat="1" x14ac:dyDescent="0.2">
      <c r="A265"/>
      <c r="B265" s="377">
        <v>385</v>
      </c>
      <c r="C265" s="377" t="s">
        <v>1215</v>
      </c>
      <c r="D265" s="376">
        <v>5070</v>
      </c>
      <c r="E265" s="377" t="s">
        <v>315</v>
      </c>
      <c r="F265" s="377"/>
      <c r="G265" s="378">
        <v>0</v>
      </c>
      <c r="H265" s="376">
        <v>75000</v>
      </c>
      <c r="I265" s="376" t="s">
        <v>147</v>
      </c>
    </row>
    <row r="266" spans="1:9" s="7" customFormat="1" x14ac:dyDescent="0.2">
      <c r="A266"/>
      <c r="B266" s="377">
        <v>652</v>
      </c>
      <c r="C266" s="377" t="s">
        <v>316</v>
      </c>
      <c r="D266" s="376">
        <v>5070</v>
      </c>
      <c r="E266" s="377" t="s">
        <v>315</v>
      </c>
      <c r="F266" s="377"/>
      <c r="G266" s="378">
        <v>0</v>
      </c>
      <c r="H266" s="376">
        <v>400000</v>
      </c>
      <c r="I266" s="376" t="s">
        <v>152</v>
      </c>
    </row>
    <row r="267" spans="1:9" s="7" customFormat="1" x14ac:dyDescent="0.2">
      <c r="A267"/>
      <c r="B267" s="377">
        <v>417</v>
      </c>
      <c r="C267" s="377" t="s">
        <v>1103</v>
      </c>
      <c r="D267" s="376">
        <v>3798</v>
      </c>
      <c r="E267" s="377" t="s">
        <v>1102</v>
      </c>
      <c r="F267" s="377" t="s">
        <v>1101</v>
      </c>
      <c r="G267" s="378">
        <v>0</v>
      </c>
      <c r="H267" s="376">
        <v>400000</v>
      </c>
      <c r="I267" s="376" t="s">
        <v>147</v>
      </c>
    </row>
    <row r="268" spans="1:9" s="7" customFormat="1" x14ac:dyDescent="0.2">
      <c r="A268"/>
      <c r="B268" s="377">
        <v>202</v>
      </c>
      <c r="C268" s="377" t="s">
        <v>1788</v>
      </c>
      <c r="D268" s="376">
        <v>7080</v>
      </c>
      <c r="E268" s="377" t="s">
        <v>1787</v>
      </c>
      <c r="F268" s="377" t="s">
        <v>1786</v>
      </c>
      <c r="G268" s="378">
        <v>0</v>
      </c>
      <c r="H268" s="376">
        <v>400000</v>
      </c>
      <c r="I268" s="376" t="s">
        <v>147</v>
      </c>
    </row>
    <row r="269" spans="1:9" s="7" customFormat="1" x14ac:dyDescent="0.2">
      <c r="A269"/>
      <c r="B269" s="377">
        <v>616</v>
      </c>
      <c r="C269" s="377" t="s">
        <v>446</v>
      </c>
      <c r="D269" s="376">
        <v>6210</v>
      </c>
      <c r="E269" s="377" t="s">
        <v>445</v>
      </c>
      <c r="F269" s="377" t="s">
        <v>444</v>
      </c>
      <c r="G269" s="378">
        <v>0</v>
      </c>
      <c r="H269" s="376">
        <v>400000</v>
      </c>
      <c r="I269" s="376" t="s">
        <v>152</v>
      </c>
    </row>
    <row r="270" spans="1:9" s="7" customFormat="1" x14ac:dyDescent="0.2">
      <c r="A270"/>
      <c r="B270" s="377">
        <v>45</v>
      </c>
      <c r="C270" s="377" t="s">
        <v>2247</v>
      </c>
      <c r="D270" s="376">
        <v>5030</v>
      </c>
      <c r="E270" s="377" t="s">
        <v>2246</v>
      </c>
      <c r="F270" s="377"/>
      <c r="G270" s="378">
        <v>0</v>
      </c>
      <c r="H270" s="376">
        <v>155000</v>
      </c>
      <c r="I270" s="376" t="s">
        <v>147</v>
      </c>
    </row>
    <row r="271" spans="1:9" s="7" customFormat="1" x14ac:dyDescent="0.2">
      <c r="A271"/>
      <c r="B271" s="377">
        <v>10</v>
      </c>
      <c r="C271" s="377" t="s">
        <v>2351</v>
      </c>
      <c r="D271" s="376">
        <v>3600</v>
      </c>
      <c r="E271" s="377" t="s">
        <v>460</v>
      </c>
      <c r="F271" s="377" t="s">
        <v>2350</v>
      </c>
      <c r="G271" s="378">
        <v>0.05</v>
      </c>
      <c r="H271" s="376">
        <v>300000</v>
      </c>
      <c r="I271" s="376" t="s">
        <v>147</v>
      </c>
    </row>
    <row r="272" spans="1:9" s="7" customFormat="1" x14ac:dyDescent="0.2">
      <c r="A272"/>
      <c r="B272" s="377">
        <v>129</v>
      </c>
      <c r="C272" s="377" t="s">
        <v>2007</v>
      </c>
      <c r="D272" s="376">
        <v>1840</v>
      </c>
      <c r="E272" s="377" t="s">
        <v>460</v>
      </c>
      <c r="F272" s="377" t="s">
        <v>2006</v>
      </c>
      <c r="G272" s="378">
        <v>0</v>
      </c>
      <c r="H272" s="376">
        <v>300000</v>
      </c>
      <c r="I272" s="376" t="s">
        <v>147</v>
      </c>
    </row>
    <row r="273" spans="1:9" s="7" customFormat="1" x14ac:dyDescent="0.2">
      <c r="A273"/>
      <c r="B273" s="377">
        <v>200</v>
      </c>
      <c r="C273" s="377" t="s">
        <v>1793</v>
      </c>
      <c r="D273" s="376">
        <v>3600</v>
      </c>
      <c r="E273" s="377" t="s">
        <v>460</v>
      </c>
      <c r="F273" s="377" t="s">
        <v>1792</v>
      </c>
      <c r="G273" s="378">
        <v>0</v>
      </c>
      <c r="H273" s="376">
        <v>75000</v>
      </c>
      <c r="I273" s="376" t="s">
        <v>152</v>
      </c>
    </row>
    <row r="274" spans="1:9" s="7" customFormat="1" x14ac:dyDescent="0.2">
      <c r="A274"/>
      <c r="B274" s="377">
        <v>575</v>
      </c>
      <c r="C274" s="377" t="s">
        <v>584</v>
      </c>
      <c r="D274" s="376">
        <v>3600</v>
      </c>
      <c r="E274" s="377" t="s">
        <v>460</v>
      </c>
      <c r="F274" s="377"/>
      <c r="G274" s="378">
        <v>0</v>
      </c>
      <c r="H274" s="376">
        <v>75000</v>
      </c>
      <c r="I274" s="376" t="s">
        <v>147</v>
      </c>
    </row>
    <row r="275" spans="1:9" s="7" customFormat="1" x14ac:dyDescent="0.2">
      <c r="A275"/>
      <c r="B275" s="377">
        <v>612</v>
      </c>
      <c r="C275" s="377" t="s">
        <v>461</v>
      </c>
      <c r="D275" s="376">
        <v>3600</v>
      </c>
      <c r="E275" s="377" t="s">
        <v>460</v>
      </c>
      <c r="F275" s="377" t="s">
        <v>459</v>
      </c>
      <c r="G275" s="378">
        <v>0</v>
      </c>
      <c r="H275" s="376">
        <v>155000</v>
      </c>
      <c r="I275" s="376" t="s">
        <v>147</v>
      </c>
    </row>
    <row r="276" spans="1:9" s="7" customFormat="1" x14ac:dyDescent="0.2">
      <c r="A276"/>
      <c r="B276" s="377">
        <v>94</v>
      </c>
      <c r="C276" s="377" t="s">
        <v>2113</v>
      </c>
      <c r="D276" s="376">
        <v>8450</v>
      </c>
      <c r="E276" s="377" t="s">
        <v>258</v>
      </c>
      <c r="F276" s="377"/>
      <c r="G276" s="378">
        <v>0</v>
      </c>
      <c r="H276" s="376">
        <v>300000</v>
      </c>
      <c r="I276" s="376" t="s">
        <v>147</v>
      </c>
    </row>
    <row r="277" spans="1:9" s="7" customFormat="1" x14ac:dyDescent="0.2">
      <c r="A277"/>
      <c r="B277" s="377">
        <v>95</v>
      </c>
      <c r="C277" s="377" t="s">
        <v>2111</v>
      </c>
      <c r="D277" s="376">
        <v>9040</v>
      </c>
      <c r="E277" s="377" t="s">
        <v>258</v>
      </c>
      <c r="F277" s="377" t="s">
        <v>2110</v>
      </c>
      <c r="G277" s="378">
        <v>0</v>
      </c>
      <c r="H277" s="376">
        <v>75000</v>
      </c>
      <c r="I277" s="376" t="s">
        <v>147</v>
      </c>
    </row>
    <row r="278" spans="1:9" s="7" customFormat="1" x14ac:dyDescent="0.2">
      <c r="A278"/>
      <c r="B278" s="377">
        <v>195</v>
      </c>
      <c r="C278" s="377" t="s">
        <v>1806</v>
      </c>
      <c r="D278" s="376">
        <v>9000</v>
      </c>
      <c r="E278" s="377" t="s">
        <v>258</v>
      </c>
      <c r="F278" s="377" t="s">
        <v>1805</v>
      </c>
      <c r="G278" s="378">
        <v>0</v>
      </c>
      <c r="H278" s="376">
        <v>75000</v>
      </c>
      <c r="I278" s="376" t="s">
        <v>152</v>
      </c>
    </row>
    <row r="279" spans="1:9" s="7" customFormat="1" x14ac:dyDescent="0.2">
      <c r="A279"/>
      <c r="B279" s="377">
        <v>289</v>
      </c>
      <c r="C279" s="377" t="s">
        <v>1513</v>
      </c>
      <c r="D279" s="376">
        <v>9030</v>
      </c>
      <c r="E279" s="377" t="s">
        <v>258</v>
      </c>
      <c r="F279" s="377" t="s">
        <v>1512</v>
      </c>
      <c r="G279" s="378">
        <v>0</v>
      </c>
      <c r="H279" s="376">
        <v>75000</v>
      </c>
      <c r="I279" s="376" t="s">
        <v>147</v>
      </c>
    </row>
    <row r="280" spans="1:9" s="7" customFormat="1" x14ac:dyDescent="0.2">
      <c r="A280"/>
      <c r="B280" s="377">
        <v>299</v>
      </c>
      <c r="C280" s="377" t="s">
        <v>1480</v>
      </c>
      <c r="D280" s="376">
        <v>9000</v>
      </c>
      <c r="E280" s="377" t="s">
        <v>258</v>
      </c>
      <c r="F280" s="377"/>
      <c r="G280" s="378">
        <v>0</v>
      </c>
      <c r="H280" s="376">
        <v>75000</v>
      </c>
      <c r="I280" s="376" t="s">
        <v>152</v>
      </c>
    </row>
    <row r="281" spans="1:9" s="7" customFormat="1" x14ac:dyDescent="0.2">
      <c r="A281"/>
      <c r="B281" s="377">
        <v>317</v>
      </c>
      <c r="C281" s="377" t="s">
        <v>1424</v>
      </c>
      <c r="D281" s="376">
        <v>9050</v>
      </c>
      <c r="E281" s="377" t="s">
        <v>258</v>
      </c>
      <c r="F281" s="377" t="s">
        <v>1423</v>
      </c>
      <c r="G281" s="378">
        <v>0</v>
      </c>
      <c r="H281" s="376">
        <v>300000</v>
      </c>
      <c r="I281" s="376" t="s">
        <v>152</v>
      </c>
    </row>
    <row r="282" spans="1:9" s="7" customFormat="1" x14ac:dyDescent="0.2">
      <c r="A282"/>
      <c r="B282" s="377">
        <v>341</v>
      </c>
      <c r="C282" s="377" t="s">
        <v>1355</v>
      </c>
      <c r="D282" s="376">
        <v>9040</v>
      </c>
      <c r="E282" s="377" t="s">
        <v>258</v>
      </c>
      <c r="F282" s="377"/>
      <c r="G282" s="378">
        <v>0</v>
      </c>
      <c r="H282" s="376">
        <v>300000</v>
      </c>
      <c r="I282" s="376" t="s">
        <v>147</v>
      </c>
    </row>
    <row r="283" spans="1:9" s="7" customFormat="1" x14ac:dyDescent="0.2">
      <c r="A283"/>
      <c r="B283" s="377">
        <v>377</v>
      </c>
      <c r="C283" s="377" t="s">
        <v>1239</v>
      </c>
      <c r="D283" s="376">
        <v>9040</v>
      </c>
      <c r="E283" s="377" t="s">
        <v>258</v>
      </c>
      <c r="F283" s="377" t="s">
        <v>1238</v>
      </c>
      <c r="G283" s="378">
        <v>0</v>
      </c>
      <c r="H283" s="376">
        <v>300000</v>
      </c>
      <c r="I283" s="376" t="s">
        <v>147</v>
      </c>
    </row>
    <row r="284" spans="1:9" s="7" customFormat="1" x14ac:dyDescent="0.2">
      <c r="A284"/>
      <c r="B284" s="377">
        <v>447</v>
      </c>
      <c r="C284" s="377" t="s">
        <v>1006</v>
      </c>
      <c r="D284" s="376">
        <v>9000</v>
      </c>
      <c r="E284" s="377" t="s">
        <v>258</v>
      </c>
      <c r="F284" s="377" t="s">
        <v>1005</v>
      </c>
      <c r="G284" s="378">
        <v>0</v>
      </c>
      <c r="H284" s="376">
        <v>155000</v>
      </c>
      <c r="I284" s="376" t="s">
        <v>152</v>
      </c>
    </row>
    <row r="285" spans="1:9" s="7" customFormat="1" x14ac:dyDescent="0.2">
      <c r="A285"/>
      <c r="B285" s="377">
        <v>455</v>
      </c>
      <c r="C285" s="377" t="s">
        <v>979</v>
      </c>
      <c r="D285" s="376">
        <v>9030</v>
      </c>
      <c r="E285" s="377" t="s">
        <v>258</v>
      </c>
      <c r="F285" s="377" t="s">
        <v>978</v>
      </c>
      <c r="G285" s="378">
        <v>0</v>
      </c>
      <c r="H285" s="376">
        <v>155000</v>
      </c>
      <c r="I285" s="376" t="s">
        <v>152</v>
      </c>
    </row>
    <row r="286" spans="1:9" s="7" customFormat="1" x14ac:dyDescent="0.2">
      <c r="A286"/>
      <c r="B286" s="377">
        <v>493</v>
      </c>
      <c r="C286" s="377" t="s">
        <v>860</v>
      </c>
      <c r="D286" s="376">
        <v>9041</v>
      </c>
      <c r="E286" s="377" t="s">
        <v>258</v>
      </c>
      <c r="F286" s="377" t="s">
        <v>859</v>
      </c>
      <c r="G286" s="378">
        <v>0</v>
      </c>
      <c r="H286" s="376">
        <v>75000</v>
      </c>
      <c r="I286" s="376" t="s">
        <v>152</v>
      </c>
    </row>
    <row r="287" spans="1:9" s="7" customFormat="1" x14ac:dyDescent="0.2">
      <c r="A287"/>
      <c r="B287" s="377">
        <v>510</v>
      </c>
      <c r="C287" s="377" t="s">
        <v>798</v>
      </c>
      <c r="D287" s="376">
        <v>9040</v>
      </c>
      <c r="E287" s="377" t="s">
        <v>258</v>
      </c>
      <c r="F287" s="377"/>
      <c r="G287" s="378">
        <v>0</v>
      </c>
      <c r="H287" s="376">
        <v>155000</v>
      </c>
      <c r="I287" s="376" t="s">
        <v>147</v>
      </c>
    </row>
    <row r="288" spans="1:9" s="7" customFormat="1" x14ac:dyDescent="0.2">
      <c r="A288"/>
      <c r="B288" s="377">
        <v>515</v>
      </c>
      <c r="C288" s="377" t="s">
        <v>784</v>
      </c>
      <c r="D288" s="376">
        <v>9050</v>
      </c>
      <c r="E288" s="377" t="s">
        <v>258</v>
      </c>
      <c r="F288" s="377" t="s">
        <v>783</v>
      </c>
      <c r="G288" s="378">
        <v>0</v>
      </c>
      <c r="H288" s="376">
        <v>75000</v>
      </c>
      <c r="I288" s="376" t="s">
        <v>147</v>
      </c>
    </row>
    <row r="289" spans="1:9" s="7" customFormat="1" x14ac:dyDescent="0.2">
      <c r="A289"/>
      <c r="B289" s="377">
        <v>659</v>
      </c>
      <c r="C289" s="377" t="s">
        <v>290</v>
      </c>
      <c r="D289" s="376">
        <v>9000</v>
      </c>
      <c r="E289" s="377" t="s">
        <v>258</v>
      </c>
      <c r="F289" s="377" t="s">
        <v>289</v>
      </c>
      <c r="G289" s="378">
        <v>0</v>
      </c>
      <c r="H289" s="376">
        <v>155000</v>
      </c>
      <c r="I289" s="376" t="s">
        <v>147</v>
      </c>
    </row>
    <row r="290" spans="1:9" s="7" customFormat="1" x14ac:dyDescent="0.2">
      <c r="A290"/>
      <c r="B290" s="377">
        <v>667</v>
      </c>
      <c r="C290" s="377" t="s">
        <v>259</v>
      </c>
      <c r="D290" s="376">
        <v>9051</v>
      </c>
      <c r="E290" s="377" t="s">
        <v>258</v>
      </c>
      <c r="F290" s="377"/>
      <c r="G290" s="378">
        <v>0</v>
      </c>
      <c r="H290" s="376">
        <v>300000</v>
      </c>
      <c r="I290" s="376" t="s">
        <v>147</v>
      </c>
    </row>
    <row r="291" spans="1:9" s="7" customFormat="1" x14ac:dyDescent="0.2">
      <c r="A291"/>
      <c r="B291" s="377">
        <v>558</v>
      </c>
      <c r="C291" s="377" t="s">
        <v>639</v>
      </c>
      <c r="D291" s="376">
        <v>9500</v>
      </c>
      <c r="E291" s="377" t="s">
        <v>638</v>
      </c>
      <c r="F291" s="377" t="s">
        <v>637</v>
      </c>
      <c r="G291" s="378">
        <v>0</v>
      </c>
      <c r="H291" s="376">
        <v>300000</v>
      </c>
      <c r="I291" s="376" t="s">
        <v>152</v>
      </c>
    </row>
    <row r="292" spans="1:9" s="7" customFormat="1" x14ac:dyDescent="0.2">
      <c r="A292"/>
      <c r="B292" s="377">
        <v>5</v>
      </c>
      <c r="C292" s="377" t="s">
        <v>2363</v>
      </c>
      <c r="D292" s="376">
        <v>6060</v>
      </c>
      <c r="E292" s="377" t="s">
        <v>869</v>
      </c>
      <c r="F292" s="377" t="s">
        <v>2362</v>
      </c>
      <c r="G292" s="378">
        <v>0</v>
      </c>
      <c r="H292" s="376">
        <v>400000</v>
      </c>
      <c r="I292" s="376" t="s">
        <v>152</v>
      </c>
    </row>
    <row r="293" spans="1:9" s="7" customFormat="1" x14ac:dyDescent="0.2">
      <c r="A293"/>
      <c r="B293" s="377">
        <v>305</v>
      </c>
      <c r="C293" s="377" t="s">
        <v>1464</v>
      </c>
      <c r="D293" s="376">
        <v>6060</v>
      </c>
      <c r="E293" s="377" t="s">
        <v>869</v>
      </c>
      <c r="F293" s="377" t="s">
        <v>1463</v>
      </c>
      <c r="G293" s="378">
        <v>0</v>
      </c>
      <c r="H293" s="376">
        <v>155000</v>
      </c>
      <c r="I293" s="376" t="s">
        <v>147</v>
      </c>
    </row>
    <row r="294" spans="1:9" s="7" customFormat="1" x14ac:dyDescent="0.2">
      <c r="A294"/>
      <c r="B294" s="377">
        <v>467</v>
      </c>
      <c r="C294" s="377" t="s">
        <v>943</v>
      </c>
      <c r="D294" s="376">
        <v>6060</v>
      </c>
      <c r="E294" s="377" t="s">
        <v>869</v>
      </c>
      <c r="F294" s="377" t="s">
        <v>942</v>
      </c>
      <c r="G294" s="378">
        <v>0</v>
      </c>
      <c r="H294" s="376">
        <v>75000</v>
      </c>
      <c r="I294" s="376" t="s">
        <v>152</v>
      </c>
    </row>
    <row r="295" spans="1:9" s="7" customFormat="1" x14ac:dyDescent="0.2">
      <c r="A295"/>
      <c r="B295" s="377">
        <v>490</v>
      </c>
      <c r="C295" s="377" t="s">
        <v>870</v>
      </c>
      <c r="D295" s="376">
        <v>6060</v>
      </c>
      <c r="E295" s="377" t="s">
        <v>869</v>
      </c>
      <c r="F295" s="377" t="s">
        <v>868</v>
      </c>
      <c r="G295" s="378">
        <v>0</v>
      </c>
      <c r="H295" s="376">
        <v>300000</v>
      </c>
      <c r="I295" s="376" t="s">
        <v>147</v>
      </c>
    </row>
    <row r="296" spans="1:9" s="7" customFormat="1" x14ac:dyDescent="0.2">
      <c r="A296"/>
      <c r="B296" s="377">
        <v>675</v>
      </c>
      <c r="C296" s="377" t="s">
        <v>233</v>
      </c>
      <c r="D296" s="376">
        <v>3890</v>
      </c>
      <c r="E296" s="377" t="s">
        <v>232</v>
      </c>
      <c r="F296" s="377"/>
      <c r="G296" s="378">
        <v>0</v>
      </c>
      <c r="H296" s="376">
        <v>500000</v>
      </c>
      <c r="I296" s="376" t="s">
        <v>147</v>
      </c>
    </row>
    <row r="297" spans="1:9" s="7" customFormat="1" x14ac:dyDescent="0.2">
      <c r="A297"/>
      <c r="B297" s="377">
        <v>132</v>
      </c>
      <c r="C297" s="377" t="s">
        <v>1998</v>
      </c>
      <c r="D297" s="376">
        <v>1473</v>
      </c>
      <c r="E297" s="377" t="s">
        <v>1997</v>
      </c>
      <c r="F297" s="377" t="s">
        <v>1996</v>
      </c>
      <c r="G297" s="378">
        <v>0</v>
      </c>
      <c r="H297" s="376">
        <v>155000</v>
      </c>
      <c r="I297" s="376" t="s">
        <v>147</v>
      </c>
    </row>
    <row r="298" spans="1:9" s="7" customFormat="1" x14ac:dyDescent="0.2">
      <c r="A298"/>
      <c r="B298" s="377">
        <v>484</v>
      </c>
      <c r="C298" s="377" t="s">
        <v>889</v>
      </c>
      <c r="D298" s="376">
        <v>3380</v>
      </c>
      <c r="E298" s="377" t="s">
        <v>370</v>
      </c>
      <c r="F298" s="377"/>
      <c r="G298" s="378">
        <v>0</v>
      </c>
      <c r="H298" s="376">
        <v>155000</v>
      </c>
      <c r="I298" s="376" t="s">
        <v>147</v>
      </c>
    </row>
    <row r="299" spans="1:9" s="7" customFormat="1" x14ac:dyDescent="0.2">
      <c r="A299"/>
      <c r="B299" s="377">
        <v>638</v>
      </c>
      <c r="C299" s="377" t="s">
        <v>371</v>
      </c>
      <c r="D299" s="376">
        <v>3380</v>
      </c>
      <c r="E299" s="377" t="s">
        <v>370</v>
      </c>
      <c r="F299" s="377"/>
      <c r="G299" s="378">
        <v>0</v>
      </c>
      <c r="H299" s="376">
        <v>75000</v>
      </c>
      <c r="I299" s="376" t="s">
        <v>147</v>
      </c>
    </row>
    <row r="300" spans="1:9" s="7" customFormat="1" x14ac:dyDescent="0.2">
      <c r="A300"/>
      <c r="B300" s="377">
        <v>692</v>
      </c>
      <c r="C300" s="377" t="s">
        <v>164</v>
      </c>
      <c r="D300" s="376">
        <v>1315</v>
      </c>
      <c r="E300" s="377" t="s">
        <v>163</v>
      </c>
      <c r="F300" s="377" t="s">
        <v>162</v>
      </c>
      <c r="G300" s="378">
        <v>0</v>
      </c>
      <c r="H300" s="376">
        <v>75000</v>
      </c>
      <c r="I300" s="376" t="s">
        <v>152</v>
      </c>
    </row>
    <row r="301" spans="1:9" s="7" customFormat="1" x14ac:dyDescent="0.2">
      <c r="A301"/>
      <c r="B301" s="377">
        <v>574</v>
      </c>
      <c r="C301" s="377" t="s">
        <v>587</v>
      </c>
      <c r="D301" s="376">
        <v>6041</v>
      </c>
      <c r="E301" s="377" t="s">
        <v>586</v>
      </c>
      <c r="F301" s="377"/>
      <c r="G301" s="378">
        <v>0</v>
      </c>
      <c r="H301" s="376">
        <v>75000</v>
      </c>
      <c r="I301" s="376" t="s">
        <v>152</v>
      </c>
    </row>
    <row r="302" spans="1:9" s="7" customFormat="1" x14ac:dyDescent="0.2">
      <c r="A302"/>
      <c r="B302" s="377">
        <v>183</v>
      </c>
      <c r="C302" s="377" t="s">
        <v>1845</v>
      </c>
      <c r="D302" s="376">
        <v>6030</v>
      </c>
      <c r="E302" s="377" t="s">
        <v>1844</v>
      </c>
      <c r="F302" s="377" t="s">
        <v>1843</v>
      </c>
      <c r="G302" s="378">
        <v>0</v>
      </c>
      <c r="H302" s="376">
        <v>400000</v>
      </c>
      <c r="I302" s="376" t="s">
        <v>147</v>
      </c>
    </row>
    <row r="303" spans="1:9" s="7" customFormat="1" x14ac:dyDescent="0.2">
      <c r="A303"/>
      <c r="B303" s="377">
        <v>248</v>
      </c>
      <c r="C303" s="377" t="s">
        <v>1645</v>
      </c>
      <c r="D303" s="376">
        <v>1390</v>
      </c>
      <c r="E303" s="377" t="s">
        <v>1644</v>
      </c>
      <c r="F303" s="377" t="s">
        <v>1643</v>
      </c>
      <c r="G303" s="378">
        <v>0</v>
      </c>
      <c r="H303" s="376">
        <v>400000</v>
      </c>
      <c r="I303" s="376" t="s">
        <v>152</v>
      </c>
    </row>
    <row r="304" spans="1:9" s="7" customFormat="1" x14ac:dyDescent="0.2">
      <c r="A304"/>
      <c r="B304" s="377">
        <v>246</v>
      </c>
      <c r="C304" s="377" t="s">
        <v>1651</v>
      </c>
      <c r="D304" s="376">
        <v>1850</v>
      </c>
      <c r="E304" s="377" t="s">
        <v>1650</v>
      </c>
      <c r="F304" s="377"/>
      <c r="G304" s="378">
        <v>0</v>
      </c>
      <c r="H304" s="376">
        <v>75000</v>
      </c>
      <c r="I304" s="376" t="s">
        <v>152</v>
      </c>
    </row>
    <row r="305" spans="1:9" s="7" customFormat="1" x14ac:dyDescent="0.2">
      <c r="A305"/>
      <c r="B305" s="377">
        <v>285</v>
      </c>
      <c r="C305" s="377" t="s">
        <v>1526</v>
      </c>
      <c r="D305" s="376">
        <v>4030</v>
      </c>
      <c r="E305" s="377" t="s">
        <v>1525</v>
      </c>
      <c r="F305" s="377" t="s">
        <v>1524</v>
      </c>
      <c r="G305" s="378">
        <v>0</v>
      </c>
      <c r="H305" s="376">
        <v>400000</v>
      </c>
      <c r="I305" s="376" t="s">
        <v>147</v>
      </c>
    </row>
    <row r="306" spans="1:9" s="7" customFormat="1" x14ac:dyDescent="0.2">
      <c r="A306"/>
      <c r="B306" s="377">
        <v>634</v>
      </c>
      <c r="C306" s="377" t="s">
        <v>388</v>
      </c>
      <c r="D306" s="376">
        <v>1702</v>
      </c>
      <c r="E306" s="377" t="s">
        <v>387</v>
      </c>
      <c r="F306" s="377"/>
      <c r="G306" s="378">
        <v>0</v>
      </c>
      <c r="H306" s="376">
        <v>155000</v>
      </c>
      <c r="I306" s="376" t="s">
        <v>152</v>
      </c>
    </row>
    <row r="307" spans="1:9" s="7" customFormat="1" x14ac:dyDescent="0.2">
      <c r="A307"/>
      <c r="B307" s="377">
        <v>460</v>
      </c>
      <c r="C307" s="377" t="s">
        <v>962</v>
      </c>
      <c r="D307" s="376">
        <v>9450</v>
      </c>
      <c r="E307" s="377" t="s">
        <v>961</v>
      </c>
      <c r="F307" s="377"/>
      <c r="G307" s="378">
        <v>0</v>
      </c>
      <c r="H307" s="376">
        <v>300000</v>
      </c>
      <c r="I307" s="376" t="s">
        <v>147</v>
      </c>
    </row>
    <row r="308" spans="1:9" s="7" customFormat="1" x14ac:dyDescent="0.2">
      <c r="A308"/>
      <c r="B308" s="377">
        <v>130</v>
      </c>
      <c r="C308" s="377" t="s">
        <v>2004</v>
      </c>
      <c r="D308" s="376">
        <v>3600</v>
      </c>
      <c r="E308" s="377" t="s">
        <v>2003</v>
      </c>
      <c r="F308" s="377" t="s">
        <v>2002</v>
      </c>
      <c r="G308" s="378">
        <v>0</v>
      </c>
      <c r="H308" s="376">
        <v>155000</v>
      </c>
      <c r="I308" s="376" t="s">
        <v>147</v>
      </c>
    </row>
    <row r="309" spans="1:9" s="7" customFormat="1" x14ac:dyDescent="0.2">
      <c r="A309"/>
      <c r="B309" s="377">
        <v>392</v>
      </c>
      <c r="C309" s="377" t="s">
        <v>1195</v>
      </c>
      <c r="D309" s="376">
        <v>1500</v>
      </c>
      <c r="E309" s="377" t="s">
        <v>1194</v>
      </c>
      <c r="F309" s="377" t="s">
        <v>1193</v>
      </c>
      <c r="G309" s="378">
        <v>0</v>
      </c>
      <c r="H309" s="376">
        <v>75000</v>
      </c>
      <c r="I309" s="376" t="s">
        <v>147</v>
      </c>
    </row>
    <row r="310" spans="1:9" s="7" customFormat="1" x14ac:dyDescent="0.2">
      <c r="A310"/>
      <c r="B310" s="377">
        <v>413</v>
      </c>
      <c r="C310" s="377" t="s">
        <v>1120</v>
      </c>
      <c r="D310" s="376">
        <v>9220</v>
      </c>
      <c r="E310" s="377" t="s">
        <v>1119</v>
      </c>
      <c r="F310" s="377" t="s">
        <v>1118</v>
      </c>
      <c r="G310" s="378">
        <v>0</v>
      </c>
      <c r="H310" s="376">
        <v>300000</v>
      </c>
      <c r="I310" s="376" t="s">
        <v>147</v>
      </c>
    </row>
    <row r="311" spans="1:9" s="7" customFormat="1" x14ac:dyDescent="0.2">
      <c r="A311"/>
      <c r="B311" s="377">
        <v>188</v>
      </c>
      <c r="C311" s="377" t="s">
        <v>1830</v>
      </c>
      <c r="D311" s="376">
        <v>3930</v>
      </c>
      <c r="E311" s="377" t="s">
        <v>1829</v>
      </c>
      <c r="F311" s="377" t="s">
        <v>1828</v>
      </c>
      <c r="G311" s="378">
        <v>0</v>
      </c>
      <c r="H311" s="376">
        <v>75000</v>
      </c>
      <c r="I311" s="376" t="s">
        <v>147</v>
      </c>
    </row>
    <row r="312" spans="1:9" s="7" customFormat="1" x14ac:dyDescent="0.2">
      <c r="A312"/>
      <c r="B312" s="377">
        <v>37</v>
      </c>
      <c r="C312" s="377" t="s">
        <v>2270</v>
      </c>
      <c r="D312" s="376">
        <v>8530</v>
      </c>
      <c r="E312" s="377" t="s">
        <v>1114</v>
      </c>
      <c r="F312" s="377" t="s">
        <v>2269</v>
      </c>
      <c r="G312" s="378">
        <v>0</v>
      </c>
      <c r="H312" s="376">
        <v>155000</v>
      </c>
      <c r="I312" s="376" t="s">
        <v>147</v>
      </c>
    </row>
    <row r="313" spans="1:9" s="7" customFormat="1" x14ac:dyDescent="0.2">
      <c r="A313"/>
      <c r="B313" s="377">
        <v>166</v>
      </c>
      <c r="C313" s="377" t="s">
        <v>1898</v>
      </c>
      <c r="D313" s="376">
        <v>8530</v>
      </c>
      <c r="E313" s="377" t="s">
        <v>1114</v>
      </c>
      <c r="F313" s="377" t="s">
        <v>1897</v>
      </c>
      <c r="G313" s="378">
        <v>0</v>
      </c>
      <c r="H313" s="376">
        <v>75000</v>
      </c>
      <c r="I313" s="376" t="s">
        <v>152</v>
      </c>
    </row>
    <row r="314" spans="1:9" s="7" customFormat="1" x14ac:dyDescent="0.2">
      <c r="A314"/>
      <c r="B314" s="377">
        <v>414</v>
      </c>
      <c r="C314" s="377" t="s">
        <v>1115</v>
      </c>
      <c r="D314" s="376">
        <v>8531</v>
      </c>
      <c r="E314" s="377" t="s">
        <v>1114</v>
      </c>
      <c r="F314" s="377" t="s">
        <v>1113</v>
      </c>
      <c r="G314" s="378">
        <v>0</v>
      </c>
      <c r="H314" s="376">
        <v>75000</v>
      </c>
      <c r="I314" s="376" t="s">
        <v>152</v>
      </c>
    </row>
    <row r="315" spans="1:9" s="7" customFormat="1" x14ac:dyDescent="0.2">
      <c r="A315"/>
      <c r="B315" s="377">
        <v>50</v>
      </c>
      <c r="C315" s="377" t="s">
        <v>2233</v>
      </c>
      <c r="D315" s="376">
        <v>3500</v>
      </c>
      <c r="E315" s="377" t="s">
        <v>191</v>
      </c>
      <c r="F315" s="377" t="s">
        <v>2232</v>
      </c>
      <c r="G315" s="378">
        <v>0</v>
      </c>
      <c r="H315" s="376">
        <v>300000</v>
      </c>
      <c r="I315" s="376" t="s">
        <v>147</v>
      </c>
    </row>
    <row r="316" spans="1:9" s="7" customFormat="1" x14ac:dyDescent="0.2">
      <c r="A316"/>
      <c r="B316" s="377">
        <v>180</v>
      </c>
      <c r="C316" s="377" t="s">
        <v>1854</v>
      </c>
      <c r="D316" s="376">
        <v>3500</v>
      </c>
      <c r="E316" s="377" t="s">
        <v>191</v>
      </c>
      <c r="F316" s="377" t="s">
        <v>1853</v>
      </c>
      <c r="G316" s="378">
        <v>0</v>
      </c>
      <c r="H316" s="376">
        <v>500000</v>
      </c>
      <c r="I316" s="376" t="s">
        <v>147</v>
      </c>
    </row>
    <row r="317" spans="1:9" s="7" customFormat="1" x14ac:dyDescent="0.2">
      <c r="A317"/>
      <c r="B317" s="377">
        <v>190</v>
      </c>
      <c r="C317" s="377" t="s">
        <v>1820</v>
      </c>
      <c r="D317" s="376">
        <v>3500</v>
      </c>
      <c r="E317" s="377" t="s">
        <v>191</v>
      </c>
      <c r="F317" s="377"/>
      <c r="G317" s="378">
        <v>0</v>
      </c>
      <c r="H317" s="376">
        <v>500000</v>
      </c>
      <c r="I317" s="376" t="s">
        <v>147</v>
      </c>
    </row>
    <row r="318" spans="1:9" s="7" customFormat="1" x14ac:dyDescent="0.2">
      <c r="A318"/>
      <c r="B318" s="377">
        <v>206</v>
      </c>
      <c r="C318" s="377" t="s">
        <v>1774</v>
      </c>
      <c r="D318" s="376">
        <v>3500</v>
      </c>
      <c r="E318" s="377" t="s">
        <v>191</v>
      </c>
      <c r="F318" s="377" t="s">
        <v>1773</v>
      </c>
      <c r="G318" s="378">
        <v>0</v>
      </c>
      <c r="H318" s="376">
        <v>400000</v>
      </c>
      <c r="I318" s="376" t="s">
        <v>147</v>
      </c>
    </row>
    <row r="319" spans="1:9" s="7" customFormat="1" x14ac:dyDescent="0.2">
      <c r="A319"/>
      <c r="B319" s="377">
        <v>280</v>
      </c>
      <c r="C319" s="377" t="s">
        <v>1543</v>
      </c>
      <c r="D319" s="376">
        <v>3500</v>
      </c>
      <c r="E319" s="377" t="s">
        <v>191</v>
      </c>
      <c r="F319" s="377" t="s">
        <v>1542</v>
      </c>
      <c r="G319" s="378">
        <v>0</v>
      </c>
      <c r="H319" s="376">
        <v>300000</v>
      </c>
      <c r="I319" s="376" t="s">
        <v>152</v>
      </c>
    </row>
    <row r="320" spans="1:9" s="7" customFormat="1" x14ac:dyDescent="0.2">
      <c r="A320"/>
      <c r="B320" s="377">
        <v>554</v>
      </c>
      <c r="C320" s="377" t="s">
        <v>650</v>
      </c>
      <c r="D320" s="376">
        <v>3500</v>
      </c>
      <c r="E320" s="377" t="s">
        <v>191</v>
      </c>
      <c r="F320" s="377"/>
      <c r="G320" s="378">
        <v>0</v>
      </c>
      <c r="H320" s="376">
        <v>300000</v>
      </c>
      <c r="I320" s="376" t="s">
        <v>147</v>
      </c>
    </row>
    <row r="321" spans="1:9" s="7" customFormat="1" x14ac:dyDescent="0.2">
      <c r="A321"/>
      <c r="B321" s="377">
        <v>624</v>
      </c>
      <c r="C321" s="377" t="s">
        <v>424</v>
      </c>
      <c r="D321" s="376">
        <v>3500</v>
      </c>
      <c r="E321" s="377" t="s">
        <v>191</v>
      </c>
      <c r="F321" s="377"/>
      <c r="G321" s="378">
        <v>0</v>
      </c>
      <c r="H321" s="376">
        <v>300000</v>
      </c>
      <c r="I321" s="376" t="s">
        <v>147</v>
      </c>
    </row>
    <row r="322" spans="1:9" s="7" customFormat="1" x14ac:dyDescent="0.2">
      <c r="A322"/>
      <c r="B322" s="377">
        <v>685</v>
      </c>
      <c r="C322" s="377" t="s">
        <v>192</v>
      </c>
      <c r="D322" s="376">
        <v>3512</v>
      </c>
      <c r="E322" s="377" t="s">
        <v>191</v>
      </c>
      <c r="F322" s="377"/>
      <c r="G322" s="378">
        <v>0</v>
      </c>
      <c r="H322" s="376">
        <v>75000</v>
      </c>
      <c r="I322" s="376" t="s">
        <v>147</v>
      </c>
    </row>
    <row r="323" spans="1:9" s="7" customFormat="1" x14ac:dyDescent="0.2">
      <c r="A323"/>
      <c r="B323" s="377">
        <v>221</v>
      </c>
      <c r="C323" s="377" t="s">
        <v>1726</v>
      </c>
      <c r="D323" s="376">
        <v>3940</v>
      </c>
      <c r="E323" s="377" t="s">
        <v>1725</v>
      </c>
      <c r="F323" s="377" t="s">
        <v>1724</v>
      </c>
      <c r="G323" s="378">
        <v>0</v>
      </c>
      <c r="H323" s="376">
        <v>75000</v>
      </c>
      <c r="I323" s="376" t="s">
        <v>152</v>
      </c>
    </row>
    <row r="324" spans="1:9" s="7" customFormat="1" x14ac:dyDescent="0.2">
      <c r="A324"/>
      <c r="B324" s="377">
        <v>428</v>
      </c>
      <c r="C324" s="377" t="s">
        <v>1066</v>
      </c>
      <c r="D324" s="376">
        <v>3870</v>
      </c>
      <c r="E324" s="377" t="s">
        <v>463</v>
      </c>
      <c r="F324" s="377"/>
      <c r="G324" s="378">
        <v>0</v>
      </c>
      <c r="H324" s="376">
        <v>75000</v>
      </c>
      <c r="I324" s="376" t="s">
        <v>152</v>
      </c>
    </row>
    <row r="325" spans="1:9" s="7" customFormat="1" x14ac:dyDescent="0.2">
      <c r="A325"/>
      <c r="B325" s="377">
        <v>611</v>
      </c>
      <c r="C325" s="377" t="s">
        <v>464</v>
      </c>
      <c r="D325" s="376">
        <v>3870</v>
      </c>
      <c r="E325" s="377" t="s">
        <v>463</v>
      </c>
      <c r="F325" s="377" t="s">
        <v>462</v>
      </c>
      <c r="G325" s="378">
        <v>0</v>
      </c>
      <c r="H325" s="376">
        <v>75000</v>
      </c>
      <c r="I325" s="376" t="s">
        <v>152</v>
      </c>
    </row>
    <row r="326" spans="1:9" s="7" customFormat="1" x14ac:dyDescent="0.2">
      <c r="A326"/>
      <c r="B326" s="377">
        <v>620</v>
      </c>
      <c r="C326" s="377" t="s">
        <v>432</v>
      </c>
      <c r="D326" s="376">
        <v>4841</v>
      </c>
      <c r="E326" s="377" t="s">
        <v>431</v>
      </c>
      <c r="F326" s="377"/>
      <c r="G326" s="378">
        <v>0</v>
      </c>
      <c r="H326" s="376">
        <v>75000</v>
      </c>
      <c r="I326" s="376" t="s">
        <v>147</v>
      </c>
    </row>
    <row r="327" spans="1:9" s="7" customFormat="1" x14ac:dyDescent="0.2">
      <c r="A327"/>
      <c r="B327" s="377">
        <v>691</v>
      </c>
      <c r="C327" s="377" t="s">
        <v>168</v>
      </c>
      <c r="D327" s="376">
        <v>6220</v>
      </c>
      <c r="E327" s="377" t="s">
        <v>167</v>
      </c>
      <c r="F327" s="377"/>
      <c r="G327" s="378">
        <v>0</v>
      </c>
      <c r="H327" s="376">
        <v>400000</v>
      </c>
      <c r="I327" s="376" t="s">
        <v>147</v>
      </c>
    </row>
    <row r="328" spans="1:9" s="7" customFormat="1" x14ac:dyDescent="0.2">
      <c r="A328"/>
      <c r="B328" s="377">
        <v>662</v>
      </c>
      <c r="C328" s="377" t="s">
        <v>279</v>
      </c>
      <c r="D328" s="376">
        <v>3020</v>
      </c>
      <c r="E328" s="377" t="s">
        <v>278</v>
      </c>
      <c r="F328" s="377" t="s">
        <v>277</v>
      </c>
      <c r="G328" s="378">
        <v>0</v>
      </c>
      <c r="H328" s="376">
        <v>300000</v>
      </c>
      <c r="I328" s="376" t="s">
        <v>147</v>
      </c>
    </row>
    <row r="329" spans="1:9" s="7" customFormat="1" x14ac:dyDescent="0.2">
      <c r="A329"/>
      <c r="B329" s="377">
        <v>143</v>
      </c>
      <c r="C329" s="377" t="s">
        <v>1966</v>
      </c>
      <c r="D329" s="376">
        <v>2200</v>
      </c>
      <c r="E329" s="377" t="s">
        <v>1566</v>
      </c>
      <c r="F329" s="377" t="s">
        <v>1965</v>
      </c>
      <c r="G329" s="378">
        <v>0</v>
      </c>
      <c r="H329" s="376">
        <v>75000</v>
      </c>
      <c r="I329" s="376" t="s">
        <v>147</v>
      </c>
    </row>
    <row r="330" spans="1:9" s="7" customFormat="1" x14ac:dyDescent="0.2">
      <c r="A330"/>
      <c r="B330" s="377">
        <v>272</v>
      </c>
      <c r="C330" s="377" t="s">
        <v>1567</v>
      </c>
      <c r="D330" s="376">
        <v>2200</v>
      </c>
      <c r="E330" s="377" t="s">
        <v>1566</v>
      </c>
      <c r="F330" s="377" t="s">
        <v>1565</v>
      </c>
      <c r="G330" s="378">
        <v>0</v>
      </c>
      <c r="H330" s="376">
        <v>300000</v>
      </c>
      <c r="I330" s="376" t="s">
        <v>147</v>
      </c>
    </row>
    <row r="331" spans="1:9" s="7" customFormat="1" x14ac:dyDescent="0.2">
      <c r="A331"/>
      <c r="B331" s="377">
        <v>157</v>
      </c>
      <c r="C331" s="377" t="s">
        <v>1926</v>
      </c>
      <c r="D331" s="376">
        <v>3540</v>
      </c>
      <c r="E331" s="377" t="s">
        <v>1925</v>
      </c>
      <c r="F331" s="377" t="s">
        <v>1924</v>
      </c>
      <c r="G331" s="378">
        <v>0</v>
      </c>
      <c r="H331" s="376">
        <v>75000</v>
      </c>
      <c r="I331" s="376" t="s">
        <v>152</v>
      </c>
    </row>
    <row r="332" spans="1:9" s="7" customFormat="1" x14ac:dyDescent="0.2">
      <c r="A332"/>
      <c r="B332" s="377">
        <v>352</v>
      </c>
      <c r="C332" s="377" t="s">
        <v>1319</v>
      </c>
      <c r="D332" s="376">
        <v>1540</v>
      </c>
      <c r="E332" s="377" t="s">
        <v>1318</v>
      </c>
      <c r="F332" s="377" t="s">
        <v>1317</v>
      </c>
      <c r="G332" s="378">
        <v>0</v>
      </c>
      <c r="H332" s="376">
        <v>155000</v>
      </c>
      <c r="I332" s="376" t="s">
        <v>147</v>
      </c>
    </row>
    <row r="333" spans="1:9" s="7" customFormat="1" x14ac:dyDescent="0.2">
      <c r="A333"/>
      <c r="B333" s="377">
        <v>54</v>
      </c>
      <c r="C333" s="377" t="s">
        <v>2221</v>
      </c>
      <c r="D333" s="376">
        <v>4040</v>
      </c>
      <c r="E333" s="377" t="s">
        <v>921</v>
      </c>
      <c r="F333" s="377" t="s">
        <v>2220</v>
      </c>
      <c r="G333" s="378">
        <v>0</v>
      </c>
      <c r="H333" s="376">
        <v>400000</v>
      </c>
      <c r="I333" s="376" t="s">
        <v>147</v>
      </c>
    </row>
    <row r="334" spans="1:9" s="7" customFormat="1" x14ac:dyDescent="0.2">
      <c r="A334"/>
      <c r="B334" s="377">
        <v>473</v>
      </c>
      <c r="C334" s="377" t="s">
        <v>922</v>
      </c>
      <c r="D334" s="376">
        <v>4040</v>
      </c>
      <c r="E334" s="377" t="s">
        <v>921</v>
      </c>
      <c r="F334" s="377" t="s">
        <v>920</v>
      </c>
      <c r="G334" s="378">
        <v>0</v>
      </c>
      <c r="H334" s="376">
        <v>75000</v>
      </c>
      <c r="I334" s="376" t="s">
        <v>147</v>
      </c>
    </row>
    <row r="335" spans="1:9" s="7" customFormat="1" x14ac:dyDescent="0.2">
      <c r="A335"/>
      <c r="B335" s="377">
        <v>288</v>
      </c>
      <c r="C335" s="377" t="s">
        <v>1517</v>
      </c>
      <c r="D335" s="376">
        <v>3550</v>
      </c>
      <c r="E335" s="377" t="s">
        <v>1516</v>
      </c>
      <c r="F335" s="377" t="s">
        <v>1515</v>
      </c>
      <c r="G335" s="378">
        <v>0</v>
      </c>
      <c r="H335" s="376">
        <v>500000</v>
      </c>
      <c r="I335" s="376" t="s">
        <v>152</v>
      </c>
    </row>
    <row r="336" spans="1:9" s="7" customFormat="1" x14ac:dyDescent="0.2">
      <c r="A336"/>
      <c r="B336" s="377">
        <v>464</v>
      </c>
      <c r="C336" s="377" t="s">
        <v>954</v>
      </c>
      <c r="D336" s="376">
        <v>3550</v>
      </c>
      <c r="E336" s="377" t="s">
        <v>953</v>
      </c>
      <c r="F336" s="377" t="s">
        <v>952</v>
      </c>
      <c r="G336" s="378">
        <v>0</v>
      </c>
      <c r="H336" s="376">
        <v>300000</v>
      </c>
      <c r="I336" s="376" t="s">
        <v>152</v>
      </c>
    </row>
    <row r="337" spans="1:9" s="7" customFormat="1" x14ac:dyDescent="0.2">
      <c r="A337"/>
      <c r="B337" s="377">
        <v>238</v>
      </c>
      <c r="C337" s="377" t="s">
        <v>1678</v>
      </c>
      <c r="D337" s="376">
        <v>1560</v>
      </c>
      <c r="E337" s="377" t="s">
        <v>1677</v>
      </c>
      <c r="F337" s="377" t="s">
        <v>1676</v>
      </c>
      <c r="G337" s="378">
        <v>0</v>
      </c>
      <c r="H337" s="376">
        <v>155000</v>
      </c>
      <c r="I337" s="376" t="s">
        <v>147</v>
      </c>
    </row>
    <row r="338" spans="1:9" s="7" customFormat="1" x14ac:dyDescent="0.2">
      <c r="A338"/>
      <c r="B338" s="377">
        <v>113</v>
      </c>
      <c r="C338" s="377" t="s">
        <v>2055</v>
      </c>
      <c r="D338" s="376">
        <v>3010</v>
      </c>
      <c r="E338" s="377" t="s">
        <v>2054</v>
      </c>
      <c r="F338" s="377" t="s">
        <v>2053</v>
      </c>
      <c r="G338" s="378">
        <v>0</v>
      </c>
      <c r="H338" s="376">
        <v>75000</v>
      </c>
      <c r="I338" s="376" t="s">
        <v>147</v>
      </c>
    </row>
    <row r="339" spans="1:9" s="7" customFormat="1" x14ac:dyDescent="0.2">
      <c r="A339"/>
      <c r="B339" s="377">
        <v>587</v>
      </c>
      <c r="C339" s="377" t="s">
        <v>547</v>
      </c>
      <c r="D339" s="376">
        <v>4342</v>
      </c>
      <c r="E339" s="377" t="s">
        <v>546</v>
      </c>
      <c r="F339" s="377" t="s">
        <v>545</v>
      </c>
      <c r="G339" s="378">
        <v>0</v>
      </c>
      <c r="H339" s="376">
        <v>75000</v>
      </c>
      <c r="I339" s="376" t="s">
        <v>147</v>
      </c>
    </row>
    <row r="340" spans="1:9" s="7" customFormat="1" x14ac:dyDescent="0.2">
      <c r="A340"/>
      <c r="B340" s="377">
        <v>424</v>
      </c>
      <c r="C340" s="377" t="s">
        <v>1079</v>
      </c>
      <c r="D340" s="376">
        <v>8650</v>
      </c>
      <c r="E340" s="377" t="s">
        <v>691</v>
      </c>
      <c r="F340" s="377" t="s">
        <v>1078</v>
      </c>
      <c r="G340" s="378">
        <v>0</v>
      </c>
      <c r="H340" s="376">
        <v>300000</v>
      </c>
      <c r="I340" s="376" t="s">
        <v>152</v>
      </c>
    </row>
    <row r="341" spans="1:9" s="7" customFormat="1" x14ac:dyDescent="0.2">
      <c r="A341"/>
      <c r="B341" s="377">
        <v>541</v>
      </c>
      <c r="C341" s="377" t="s">
        <v>692</v>
      </c>
      <c r="D341" s="376">
        <v>8650</v>
      </c>
      <c r="E341" s="377" t="s">
        <v>691</v>
      </c>
      <c r="F341" s="377" t="s">
        <v>690</v>
      </c>
      <c r="G341" s="378">
        <v>0</v>
      </c>
      <c r="H341" s="376">
        <v>300000</v>
      </c>
      <c r="I341" s="376" t="s">
        <v>147</v>
      </c>
    </row>
    <row r="342" spans="1:9" s="7" customFormat="1" x14ac:dyDescent="0.2">
      <c r="A342"/>
      <c r="B342" s="377">
        <v>14</v>
      </c>
      <c r="C342" s="377" t="s">
        <v>2342</v>
      </c>
      <c r="D342" s="376">
        <v>3040</v>
      </c>
      <c r="E342" s="377" t="s">
        <v>494</v>
      </c>
      <c r="F342" s="377" t="s">
        <v>2341</v>
      </c>
      <c r="G342" s="378">
        <v>0</v>
      </c>
      <c r="H342" s="376">
        <v>300000</v>
      </c>
      <c r="I342" s="376" t="s">
        <v>152</v>
      </c>
    </row>
    <row r="343" spans="1:9" s="7" customFormat="1" x14ac:dyDescent="0.2">
      <c r="A343"/>
      <c r="B343" s="377">
        <v>601</v>
      </c>
      <c r="C343" s="377" t="s">
        <v>495</v>
      </c>
      <c r="D343" s="376">
        <v>3040</v>
      </c>
      <c r="E343" s="377" t="s">
        <v>494</v>
      </c>
      <c r="F343" s="377" t="s">
        <v>493</v>
      </c>
      <c r="G343" s="378">
        <v>0</v>
      </c>
      <c r="H343" s="376">
        <v>75000</v>
      </c>
      <c r="I343" s="376" t="s">
        <v>147</v>
      </c>
    </row>
    <row r="344" spans="1:9" s="7" customFormat="1" x14ac:dyDescent="0.2">
      <c r="A344"/>
      <c r="B344" s="377">
        <v>70</v>
      </c>
      <c r="C344" s="377" t="s">
        <v>2182</v>
      </c>
      <c r="D344" s="376">
        <v>4500</v>
      </c>
      <c r="E344" s="377" t="s">
        <v>1445</v>
      </c>
      <c r="F344" s="377" t="s">
        <v>2181</v>
      </c>
      <c r="G344" s="378">
        <v>0</v>
      </c>
      <c r="H344" s="376">
        <v>75000</v>
      </c>
      <c r="I344" s="376" t="s">
        <v>147</v>
      </c>
    </row>
    <row r="345" spans="1:9" s="7" customFormat="1" x14ac:dyDescent="0.2">
      <c r="A345"/>
      <c r="B345" s="377">
        <v>308</v>
      </c>
      <c r="C345" s="377" t="s">
        <v>1456</v>
      </c>
      <c r="D345" s="376">
        <v>4500</v>
      </c>
      <c r="E345" s="377" t="s">
        <v>1445</v>
      </c>
      <c r="F345" s="377"/>
      <c r="G345" s="378">
        <v>0</v>
      </c>
      <c r="H345" s="376">
        <v>300000</v>
      </c>
      <c r="I345" s="376" t="s">
        <v>152</v>
      </c>
    </row>
    <row r="346" spans="1:9" s="7" customFormat="1" x14ac:dyDescent="0.2">
      <c r="A346"/>
      <c r="B346" s="377">
        <v>311</v>
      </c>
      <c r="C346" s="377" t="s">
        <v>1446</v>
      </c>
      <c r="D346" s="376">
        <v>4500</v>
      </c>
      <c r="E346" s="377" t="s">
        <v>1445</v>
      </c>
      <c r="F346" s="377" t="s">
        <v>1444</v>
      </c>
      <c r="G346" s="378">
        <v>0</v>
      </c>
      <c r="H346" s="376">
        <v>300000</v>
      </c>
      <c r="I346" s="376" t="s">
        <v>152</v>
      </c>
    </row>
    <row r="347" spans="1:9" s="7" customFormat="1" x14ac:dyDescent="0.2">
      <c r="A347"/>
      <c r="B347" s="377">
        <v>193</v>
      </c>
      <c r="C347" s="377" t="s">
        <v>1811</v>
      </c>
      <c r="D347" s="376">
        <v>8480</v>
      </c>
      <c r="E347" s="377" t="s">
        <v>1298</v>
      </c>
      <c r="F347" s="377" t="s">
        <v>1810</v>
      </c>
      <c r="G347" s="378">
        <v>0</v>
      </c>
      <c r="H347" s="376">
        <v>75000</v>
      </c>
      <c r="I347" s="376" t="s">
        <v>147</v>
      </c>
    </row>
    <row r="348" spans="1:9" s="7" customFormat="1" x14ac:dyDescent="0.2">
      <c r="A348"/>
      <c r="B348" s="377">
        <v>358</v>
      </c>
      <c r="C348" s="377" t="s">
        <v>1299</v>
      </c>
      <c r="D348" s="376">
        <v>8480</v>
      </c>
      <c r="E348" s="377" t="s">
        <v>1298</v>
      </c>
      <c r="F348" s="377" t="s">
        <v>1297</v>
      </c>
      <c r="G348" s="378">
        <v>0</v>
      </c>
      <c r="H348" s="376">
        <v>300000</v>
      </c>
      <c r="I348" s="376" t="s">
        <v>147</v>
      </c>
    </row>
    <row r="349" spans="1:9" s="7" customFormat="1" x14ac:dyDescent="0.2">
      <c r="A349"/>
      <c r="B349" s="377">
        <v>92</v>
      </c>
      <c r="C349" s="377" t="s">
        <v>2118</v>
      </c>
      <c r="D349" s="376">
        <v>8900</v>
      </c>
      <c r="E349" s="377" t="s">
        <v>823</v>
      </c>
      <c r="F349" s="377"/>
      <c r="G349" s="378">
        <v>0</v>
      </c>
      <c r="H349" s="376">
        <v>75000</v>
      </c>
      <c r="I349" s="376" t="s">
        <v>152</v>
      </c>
    </row>
    <row r="350" spans="1:9" s="7" customFormat="1" x14ac:dyDescent="0.2">
      <c r="A350"/>
      <c r="B350" s="377">
        <v>432</v>
      </c>
      <c r="C350" s="377" t="s">
        <v>1054</v>
      </c>
      <c r="D350" s="376">
        <v>8900</v>
      </c>
      <c r="E350" s="377" t="s">
        <v>823</v>
      </c>
      <c r="F350" s="377" t="s">
        <v>1053</v>
      </c>
      <c r="G350" s="378">
        <v>0</v>
      </c>
      <c r="H350" s="376">
        <v>75000</v>
      </c>
      <c r="I350" s="376" t="s">
        <v>152</v>
      </c>
    </row>
    <row r="351" spans="1:9" s="7" customFormat="1" x14ac:dyDescent="0.2">
      <c r="A351"/>
      <c r="B351" s="377">
        <v>443</v>
      </c>
      <c r="C351" s="377" t="s">
        <v>1015</v>
      </c>
      <c r="D351" s="376">
        <v>8908</v>
      </c>
      <c r="E351" s="377" t="s">
        <v>823</v>
      </c>
      <c r="F351" s="377" t="s">
        <v>1014</v>
      </c>
      <c r="G351" s="378">
        <v>0</v>
      </c>
      <c r="H351" s="376">
        <v>155000</v>
      </c>
      <c r="I351" s="376" t="s">
        <v>152</v>
      </c>
    </row>
    <row r="352" spans="1:9" s="7" customFormat="1" x14ac:dyDescent="0.2">
      <c r="A352"/>
      <c r="B352" s="377">
        <v>502</v>
      </c>
      <c r="C352" s="377" t="s">
        <v>824</v>
      </c>
      <c r="D352" s="376">
        <v>8900</v>
      </c>
      <c r="E352" s="377" t="s">
        <v>823</v>
      </c>
      <c r="F352" s="377" t="s">
        <v>822</v>
      </c>
      <c r="G352" s="378">
        <v>0</v>
      </c>
      <c r="H352" s="376">
        <v>155000</v>
      </c>
      <c r="I352" s="376" t="s">
        <v>147</v>
      </c>
    </row>
    <row r="353" spans="1:9" s="7" customFormat="1" x14ac:dyDescent="0.2">
      <c r="A353"/>
      <c r="B353" s="377">
        <v>149</v>
      </c>
      <c r="C353" s="377" t="s">
        <v>1949</v>
      </c>
      <c r="D353" s="376">
        <v>1315</v>
      </c>
      <c r="E353" s="377" t="s">
        <v>1948</v>
      </c>
      <c r="F353" s="377"/>
      <c r="G353" s="378">
        <v>0</v>
      </c>
      <c r="H353" s="376">
        <v>155000</v>
      </c>
      <c r="I353" s="376" t="s">
        <v>152</v>
      </c>
    </row>
    <row r="354" spans="1:9" s="7" customFormat="1" x14ac:dyDescent="0.2">
      <c r="A354"/>
      <c r="B354" s="377">
        <v>30</v>
      </c>
      <c r="C354" s="377" t="s">
        <v>2287</v>
      </c>
      <c r="D354" s="376">
        <v>8770</v>
      </c>
      <c r="E354" s="377" t="s">
        <v>2286</v>
      </c>
      <c r="F354" s="377" t="s">
        <v>2285</v>
      </c>
      <c r="G354" s="378">
        <v>0</v>
      </c>
      <c r="H354" s="376">
        <v>300000</v>
      </c>
      <c r="I354" s="376" t="s">
        <v>147</v>
      </c>
    </row>
    <row r="355" spans="1:9" s="7" customFormat="1" x14ac:dyDescent="0.2">
      <c r="A355"/>
      <c r="B355" s="377">
        <v>579</v>
      </c>
      <c r="C355" s="377" t="s">
        <v>574</v>
      </c>
      <c r="D355" s="376">
        <v>8870</v>
      </c>
      <c r="E355" s="377" t="s">
        <v>267</v>
      </c>
      <c r="F355" s="377" t="s">
        <v>573</v>
      </c>
      <c r="G355" s="378">
        <v>0</v>
      </c>
      <c r="H355" s="376">
        <v>75000</v>
      </c>
      <c r="I355" s="376" t="s">
        <v>147</v>
      </c>
    </row>
    <row r="356" spans="1:9" s="7" customFormat="1" x14ac:dyDescent="0.2">
      <c r="A356"/>
      <c r="B356" s="377">
        <v>665</v>
      </c>
      <c r="C356" s="377" t="s">
        <v>268</v>
      </c>
      <c r="D356" s="376">
        <v>8870</v>
      </c>
      <c r="E356" s="377" t="s">
        <v>267</v>
      </c>
      <c r="F356" s="377" t="s">
        <v>266</v>
      </c>
      <c r="G356" s="378">
        <v>0</v>
      </c>
      <c r="H356" s="376">
        <v>300000</v>
      </c>
      <c r="I356" s="376" t="s">
        <v>147</v>
      </c>
    </row>
    <row r="357" spans="1:9" s="7" customFormat="1" x14ac:dyDescent="0.2">
      <c r="A357"/>
      <c r="B357" s="377">
        <v>276</v>
      </c>
      <c r="C357" s="377" t="s">
        <v>1554</v>
      </c>
      <c r="D357" s="376">
        <v>4101</v>
      </c>
      <c r="E357" s="377" t="s">
        <v>617</v>
      </c>
      <c r="F357" s="377"/>
      <c r="G357" s="378">
        <v>0</v>
      </c>
      <c r="H357" s="376">
        <v>400000</v>
      </c>
      <c r="I357" s="376" t="s">
        <v>147</v>
      </c>
    </row>
    <row r="358" spans="1:9" s="7" customFormat="1" x14ac:dyDescent="0.2">
      <c r="A358"/>
      <c r="B358" s="377">
        <v>564</v>
      </c>
      <c r="C358" s="377" t="s">
        <v>618</v>
      </c>
      <c r="D358" s="376">
        <v>4101</v>
      </c>
      <c r="E358" s="377" t="s">
        <v>617</v>
      </c>
      <c r="F358" s="377"/>
      <c r="G358" s="378">
        <v>0</v>
      </c>
      <c r="H358" s="376">
        <v>400000</v>
      </c>
      <c r="I358" s="376" t="s">
        <v>152</v>
      </c>
    </row>
    <row r="359" spans="1:9" s="7" customFormat="1" x14ac:dyDescent="0.2">
      <c r="A359"/>
      <c r="B359" s="377">
        <v>13</v>
      </c>
      <c r="C359" s="377" t="s">
        <v>2344</v>
      </c>
      <c r="D359" s="376">
        <v>1200</v>
      </c>
      <c r="E359" s="377" t="s">
        <v>2343</v>
      </c>
      <c r="F359" s="377"/>
      <c r="G359" s="378">
        <v>0</v>
      </c>
      <c r="H359" s="376">
        <v>75000</v>
      </c>
      <c r="I359" s="376" t="s">
        <v>152</v>
      </c>
    </row>
    <row r="360" spans="1:9" s="7" customFormat="1" x14ac:dyDescent="0.2">
      <c r="A360"/>
      <c r="B360" s="377">
        <v>307</v>
      </c>
      <c r="C360" s="377" t="s">
        <v>1459</v>
      </c>
      <c r="D360" s="376">
        <v>6040</v>
      </c>
      <c r="E360" s="377" t="s">
        <v>285</v>
      </c>
      <c r="F360" s="377" t="s">
        <v>1458</v>
      </c>
      <c r="G360" s="378">
        <v>0</v>
      </c>
      <c r="H360" s="376">
        <v>400000</v>
      </c>
      <c r="I360" s="376" t="s">
        <v>152</v>
      </c>
    </row>
    <row r="361" spans="1:9" s="7" customFormat="1" x14ac:dyDescent="0.2">
      <c r="A361"/>
      <c r="B361" s="377">
        <v>660</v>
      </c>
      <c r="C361" s="377" t="s">
        <v>286</v>
      </c>
      <c r="D361" s="376">
        <v>6040</v>
      </c>
      <c r="E361" s="377" t="s">
        <v>285</v>
      </c>
      <c r="F361" s="377"/>
      <c r="G361" s="378">
        <v>0</v>
      </c>
      <c r="H361" s="376">
        <v>75000</v>
      </c>
      <c r="I361" s="376" t="s">
        <v>147</v>
      </c>
    </row>
    <row r="362" spans="1:9" s="7" customFormat="1" x14ac:dyDescent="0.2">
      <c r="A362"/>
      <c r="B362" s="377">
        <v>559</v>
      </c>
      <c r="C362" s="377" t="s">
        <v>636</v>
      </c>
      <c r="D362" s="376">
        <v>2920</v>
      </c>
      <c r="E362" s="377" t="s">
        <v>635</v>
      </c>
      <c r="F362" s="377" t="s">
        <v>634</v>
      </c>
      <c r="G362" s="378">
        <v>0</v>
      </c>
      <c r="H362" s="376">
        <v>75000</v>
      </c>
      <c r="I362" s="376" t="s">
        <v>147</v>
      </c>
    </row>
    <row r="363" spans="1:9" s="7" customFormat="1" x14ac:dyDescent="0.2">
      <c r="A363"/>
      <c r="B363" s="377">
        <v>329</v>
      </c>
      <c r="C363" s="377" t="s">
        <v>1388</v>
      </c>
      <c r="D363" s="376">
        <v>1910</v>
      </c>
      <c r="E363" s="377" t="s">
        <v>1038</v>
      </c>
      <c r="F363" s="377" t="s">
        <v>1387</v>
      </c>
      <c r="G363" s="378">
        <v>0</v>
      </c>
      <c r="H363" s="376">
        <v>155000</v>
      </c>
      <c r="I363" s="376" t="s">
        <v>147</v>
      </c>
    </row>
    <row r="364" spans="1:9" s="7" customFormat="1" x14ac:dyDescent="0.2">
      <c r="A364"/>
      <c r="B364" s="377">
        <v>436</v>
      </c>
      <c r="C364" s="377" t="s">
        <v>1039</v>
      </c>
      <c r="D364" s="376">
        <v>1910</v>
      </c>
      <c r="E364" s="377" t="s">
        <v>1038</v>
      </c>
      <c r="F364" s="377" t="s">
        <v>1037</v>
      </c>
      <c r="G364" s="378">
        <v>0</v>
      </c>
      <c r="H364" s="376">
        <v>75000</v>
      </c>
      <c r="I364" s="376" t="s">
        <v>152</v>
      </c>
    </row>
    <row r="365" spans="1:9" s="7" customFormat="1" x14ac:dyDescent="0.2">
      <c r="A365"/>
      <c r="B365" s="377">
        <v>458</v>
      </c>
      <c r="C365" s="377" t="s">
        <v>970</v>
      </c>
      <c r="D365" s="376">
        <v>2460</v>
      </c>
      <c r="E365" s="377" t="s">
        <v>603</v>
      </c>
      <c r="F365" s="377" t="s">
        <v>969</v>
      </c>
      <c r="G365" s="378">
        <v>0</v>
      </c>
      <c r="H365" s="376">
        <v>300000</v>
      </c>
      <c r="I365" s="376" t="s">
        <v>147</v>
      </c>
    </row>
    <row r="366" spans="1:9" s="7" customFormat="1" x14ac:dyDescent="0.2">
      <c r="A366"/>
      <c r="B366" s="377">
        <v>568</v>
      </c>
      <c r="C366" s="377" t="s">
        <v>604</v>
      </c>
      <c r="D366" s="376">
        <v>2460</v>
      </c>
      <c r="E366" s="377" t="s">
        <v>603</v>
      </c>
      <c r="F366" s="377" t="s">
        <v>602</v>
      </c>
      <c r="G366" s="378">
        <v>0</v>
      </c>
      <c r="H366" s="376">
        <v>300000</v>
      </c>
      <c r="I366" s="376" t="s">
        <v>147</v>
      </c>
    </row>
    <row r="367" spans="1:9" s="7" customFormat="1" x14ac:dyDescent="0.2">
      <c r="A367"/>
      <c r="B367" s="377">
        <v>309</v>
      </c>
      <c r="C367" s="377" t="s">
        <v>1455</v>
      </c>
      <c r="D367" s="376">
        <v>1755</v>
      </c>
      <c r="E367" s="377" t="s">
        <v>1454</v>
      </c>
      <c r="F367" s="377" t="s">
        <v>1453</v>
      </c>
      <c r="G367" s="378">
        <v>0</v>
      </c>
      <c r="H367" s="376">
        <v>155000</v>
      </c>
      <c r="I367" s="376" t="s">
        <v>147</v>
      </c>
    </row>
    <row r="368" spans="1:9" s="7" customFormat="1" x14ac:dyDescent="0.2">
      <c r="A368"/>
      <c r="B368" s="377">
        <v>422</v>
      </c>
      <c r="C368" s="377" t="s">
        <v>1087</v>
      </c>
      <c r="D368" s="376">
        <v>3640</v>
      </c>
      <c r="E368" s="377" t="s">
        <v>1086</v>
      </c>
      <c r="F368" s="377" t="s">
        <v>1085</v>
      </c>
      <c r="G368" s="378">
        <v>0</v>
      </c>
      <c r="H368" s="376">
        <v>300000</v>
      </c>
      <c r="I368" s="376" t="s">
        <v>147</v>
      </c>
    </row>
    <row r="369" spans="1:9" s="7" customFormat="1" x14ac:dyDescent="0.2">
      <c r="A369"/>
      <c r="B369" s="377">
        <v>348</v>
      </c>
      <c r="C369" s="377" t="s">
        <v>1333</v>
      </c>
      <c r="D369" s="376">
        <v>9910</v>
      </c>
      <c r="E369" s="377" t="s">
        <v>1332</v>
      </c>
      <c r="F369" s="377"/>
      <c r="G369" s="378">
        <v>0</v>
      </c>
      <c r="H369" s="376">
        <v>300000</v>
      </c>
      <c r="I369" s="376" t="s">
        <v>147</v>
      </c>
    </row>
    <row r="370" spans="1:9" s="7" customFormat="1" x14ac:dyDescent="0.2">
      <c r="A370"/>
      <c r="B370" s="377">
        <v>119</v>
      </c>
      <c r="C370" s="377" t="s">
        <v>2037</v>
      </c>
      <c r="D370" s="376">
        <v>3581</v>
      </c>
      <c r="E370" s="377" t="s">
        <v>693</v>
      </c>
      <c r="F370" s="377" t="s">
        <v>2036</v>
      </c>
      <c r="G370" s="378">
        <v>0</v>
      </c>
      <c r="H370" s="376">
        <v>300000</v>
      </c>
      <c r="I370" s="376" t="s">
        <v>147</v>
      </c>
    </row>
    <row r="371" spans="1:9" s="7" customFormat="1" x14ac:dyDescent="0.2">
      <c r="A371"/>
      <c r="B371" s="377">
        <v>540</v>
      </c>
      <c r="C371" s="377" t="s">
        <v>694</v>
      </c>
      <c r="D371" s="376">
        <v>8301</v>
      </c>
      <c r="E371" s="377" t="s">
        <v>693</v>
      </c>
      <c r="F371" s="377"/>
      <c r="G371" s="378">
        <v>0</v>
      </c>
      <c r="H371" s="376">
        <v>155000</v>
      </c>
      <c r="I371" s="376" t="s">
        <v>152</v>
      </c>
    </row>
    <row r="372" spans="1:9" s="7" customFormat="1" x14ac:dyDescent="0.2">
      <c r="A372"/>
      <c r="B372" s="377">
        <v>262</v>
      </c>
      <c r="C372" s="377" t="s">
        <v>1600</v>
      </c>
      <c r="D372" s="376">
        <v>8680</v>
      </c>
      <c r="E372" s="377" t="s">
        <v>1599</v>
      </c>
      <c r="F372" s="377" t="s">
        <v>1598</v>
      </c>
      <c r="G372" s="378">
        <v>0</v>
      </c>
      <c r="H372" s="376">
        <v>300000</v>
      </c>
      <c r="I372" s="376" t="s">
        <v>147</v>
      </c>
    </row>
    <row r="373" spans="1:9" s="7" customFormat="1" x14ac:dyDescent="0.2">
      <c r="A373"/>
      <c r="B373" s="377">
        <v>22</v>
      </c>
      <c r="C373" s="377" t="s">
        <v>2315</v>
      </c>
      <c r="D373" s="376">
        <v>2550</v>
      </c>
      <c r="E373" s="377" t="s">
        <v>298</v>
      </c>
      <c r="F373" s="377" t="s">
        <v>2314</v>
      </c>
      <c r="G373" s="378">
        <v>0</v>
      </c>
      <c r="H373" s="376">
        <v>300000</v>
      </c>
      <c r="I373" s="376" t="s">
        <v>147</v>
      </c>
    </row>
    <row r="374" spans="1:9" s="7" customFormat="1" x14ac:dyDescent="0.2">
      <c r="A374"/>
      <c r="B374" s="377">
        <v>277</v>
      </c>
      <c r="C374" s="377" t="s">
        <v>1552</v>
      </c>
      <c r="D374" s="376">
        <v>2550</v>
      </c>
      <c r="E374" s="377" t="s">
        <v>298</v>
      </c>
      <c r="F374" s="377" t="s">
        <v>1551</v>
      </c>
      <c r="G374" s="378">
        <v>0</v>
      </c>
      <c r="H374" s="376">
        <v>300000</v>
      </c>
      <c r="I374" s="376" t="s">
        <v>147</v>
      </c>
    </row>
    <row r="375" spans="1:9" s="7" customFormat="1" x14ac:dyDescent="0.2">
      <c r="A375"/>
      <c r="B375" s="377">
        <v>657</v>
      </c>
      <c r="C375" s="377" t="s">
        <v>299</v>
      </c>
      <c r="D375" s="376">
        <v>2550</v>
      </c>
      <c r="E375" s="377" t="s">
        <v>298</v>
      </c>
      <c r="F375" s="377" t="s">
        <v>297</v>
      </c>
      <c r="G375" s="378">
        <v>0</v>
      </c>
      <c r="H375" s="376">
        <v>300000</v>
      </c>
      <c r="I375" s="376" t="s">
        <v>147</v>
      </c>
    </row>
    <row r="376" spans="1:9" s="7" customFormat="1" x14ac:dyDescent="0.2">
      <c r="A376"/>
      <c r="B376" s="377">
        <v>209</v>
      </c>
      <c r="C376" s="377" t="s">
        <v>1763</v>
      </c>
      <c r="D376" s="376">
        <v>8610</v>
      </c>
      <c r="E376" s="377" t="s">
        <v>1172</v>
      </c>
      <c r="F376" s="377" t="s">
        <v>1762</v>
      </c>
      <c r="G376" s="378">
        <v>0</v>
      </c>
      <c r="H376" s="376">
        <v>155000</v>
      </c>
      <c r="I376" s="376" t="s">
        <v>152</v>
      </c>
    </row>
    <row r="377" spans="1:9" s="7" customFormat="1" x14ac:dyDescent="0.2">
      <c r="A377"/>
      <c r="B377" s="377">
        <v>398</v>
      </c>
      <c r="C377" s="377" t="s">
        <v>1173</v>
      </c>
      <c r="D377" s="376">
        <v>8610</v>
      </c>
      <c r="E377" s="377" t="s">
        <v>1172</v>
      </c>
      <c r="F377" s="377" t="s">
        <v>1171</v>
      </c>
      <c r="G377" s="378">
        <v>0</v>
      </c>
      <c r="H377" s="376">
        <v>300000</v>
      </c>
      <c r="I377" s="376" t="s">
        <v>152</v>
      </c>
    </row>
    <row r="378" spans="1:9" s="7" customFormat="1" x14ac:dyDescent="0.2">
      <c r="A378"/>
      <c r="B378" s="377">
        <v>584</v>
      </c>
      <c r="C378" s="377" t="s">
        <v>558</v>
      </c>
      <c r="D378" s="376">
        <v>3470</v>
      </c>
      <c r="E378" s="377" t="s">
        <v>366</v>
      </c>
      <c r="F378" s="377" t="s">
        <v>557</v>
      </c>
      <c r="G378" s="378">
        <v>0</v>
      </c>
      <c r="H378" s="376">
        <v>75000</v>
      </c>
      <c r="I378" s="376" t="s">
        <v>152</v>
      </c>
    </row>
    <row r="379" spans="1:9" s="7" customFormat="1" x14ac:dyDescent="0.2">
      <c r="A379"/>
      <c r="B379" s="377">
        <v>639</v>
      </c>
      <c r="C379" s="377" t="s">
        <v>367</v>
      </c>
      <c r="D379" s="376">
        <v>3470</v>
      </c>
      <c r="E379" s="377" t="s">
        <v>366</v>
      </c>
      <c r="F379" s="377" t="s">
        <v>365</v>
      </c>
      <c r="G379" s="378">
        <v>0</v>
      </c>
      <c r="H379" s="376">
        <v>300000</v>
      </c>
      <c r="I379" s="376" t="s">
        <v>147</v>
      </c>
    </row>
    <row r="380" spans="1:9" s="7" customFormat="1" x14ac:dyDescent="0.2">
      <c r="A380"/>
      <c r="B380" s="377">
        <v>153</v>
      </c>
      <c r="C380" s="377" t="s">
        <v>1939</v>
      </c>
      <c r="D380" s="376">
        <v>3071</v>
      </c>
      <c r="E380" s="377" t="s">
        <v>1938</v>
      </c>
      <c r="F380" s="377" t="s">
        <v>1937</v>
      </c>
      <c r="G380" s="378">
        <v>0</v>
      </c>
      <c r="H380" s="376">
        <v>300000</v>
      </c>
      <c r="I380" s="376" t="s">
        <v>152</v>
      </c>
    </row>
    <row r="381" spans="1:9" s="7" customFormat="1" x14ac:dyDescent="0.2">
      <c r="A381"/>
      <c r="B381" s="377">
        <v>25</v>
      </c>
      <c r="C381" s="377" t="s">
        <v>2304</v>
      </c>
      <c r="D381" s="376">
        <v>8511</v>
      </c>
      <c r="E381" s="377" t="s">
        <v>519</v>
      </c>
      <c r="F381" s="377" t="s">
        <v>2303</v>
      </c>
      <c r="G381" s="378">
        <v>0</v>
      </c>
      <c r="H381" s="376">
        <v>400000</v>
      </c>
      <c r="I381" s="376" t="s">
        <v>147</v>
      </c>
    </row>
    <row r="382" spans="1:9" s="7" customFormat="1" x14ac:dyDescent="0.2">
      <c r="A382"/>
      <c r="B382" s="377">
        <v>182</v>
      </c>
      <c r="C382" s="377" t="s">
        <v>1848</v>
      </c>
      <c r="D382" s="376">
        <v>8500</v>
      </c>
      <c r="E382" s="377" t="s">
        <v>519</v>
      </c>
      <c r="F382" s="377" t="s">
        <v>1847</v>
      </c>
      <c r="G382" s="378">
        <v>0</v>
      </c>
      <c r="H382" s="376">
        <v>500000</v>
      </c>
      <c r="I382" s="376" t="s">
        <v>152</v>
      </c>
    </row>
    <row r="383" spans="1:9" s="7" customFormat="1" x14ac:dyDescent="0.2">
      <c r="A383"/>
      <c r="B383" s="377">
        <v>327</v>
      </c>
      <c r="C383" s="377" t="s">
        <v>1393</v>
      </c>
      <c r="D383" s="376">
        <v>8500</v>
      </c>
      <c r="E383" s="377" t="s">
        <v>519</v>
      </c>
      <c r="F383" s="377" t="s">
        <v>1392</v>
      </c>
      <c r="G383" s="378">
        <v>0</v>
      </c>
      <c r="H383" s="376">
        <v>75000</v>
      </c>
      <c r="I383" s="376" t="s">
        <v>147</v>
      </c>
    </row>
    <row r="384" spans="1:9" s="7" customFormat="1" x14ac:dyDescent="0.2">
      <c r="A384"/>
      <c r="B384" s="377">
        <v>594</v>
      </c>
      <c r="C384" s="377" t="s">
        <v>520</v>
      </c>
      <c r="D384" s="376">
        <v>8500</v>
      </c>
      <c r="E384" s="377" t="s">
        <v>519</v>
      </c>
      <c r="F384" s="377"/>
      <c r="G384" s="378">
        <v>0</v>
      </c>
      <c r="H384" s="376">
        <v>155000</v>
      </c>
      <c r="I384" s="376" t="s">
        <v>147</v>
      </c>
    </row>
    <row r="385" spans="1:9" s="7" customFormat="1" x14ac:dyDescent="0.2">
      <c r="A385"/>
      <c r="B385" s="377">
        <v>112</v>
      </c>
      <c r="C385" s="377" t="s">
        <v>2060</v>
      </c>
      <c r="D385" s="376">
        <v>1950</v>
      </c>
      <c r="E385" s="377" t="s">
        <v>2059</v>
      </c>
      <c r="F385" s="377" t="s">
        <v>2058</v>
      </c>
      <c r="G385" s="378">
        <v>0</v>
      </c>
      <c r="H385" s="376">
        <v>75000</v>
      </c>
      <c r="I385" s="376" t="s">
        <v>147</v>
      </c>
    </row>
    <row r="386" spans="1:9" s="7" customFormat="1" x14ac:dyDescent="0.2">
      <c r="A386"/>
      <c r="B386" s="377">
        <v>335</v>
      </c>
      <c r="C386" s="377" t="s">
        <v>1372</v>
      </c>
      <c r="D386" s="376">
        <v>9770</v>
      </c>
      <c r="E386" s="377" t="s">
        <v>1371</v>
      </c>
      <c r="F386" s="377"/>
      <c r="G386" s="378">
        <v>0</v>
      </c>
      <c r="H386" s="376">
        <v>300000</v>
      </c>
      <c r="I386" s="376" t="s">
        <v>147</v>
      </c>
    </row>
    <row r="387" spans="1:9" s="7" customFormat="1" x14ac:dyDescent="0.2">
      <c r="A387"/>
      <c r="B387" s="377">
        <v>406</v>
      </c>
      <c r="C387" s="377" t="s">
        <v>1144</v>
      </c>
      <c r="D387" s="376">
        <v>8520</v>
      </c>
      <c r="E387" s="377" t="s">
        <v>1143</v>
      </c>
      <c r="F387" s="377" t="s">
        <v>1142</v>
      </c>
      <c r="G387" s="378">
        <v>0</v>
      </c>
      <c r="H387" s="376">
        <v>300000</v>
      </c>
      <c r="I387" s="376" t="s">
        <v>147</v>
      </c>
    </row>
    <row r="388" spans="1:9" s="7" customFormat="1" x14ac:dyDescent="0.2">
      <c r="A388"/>
      <c r="B388" s="377">
        <v>72</v>
      </c>
      <c r="C388" s="377" t="s">
        <v>2175</v>
      </c>
      <c r="D388" s="376">
        <v>4720</v>
      </c>
      <c r="E388" s="377" t="s">
        <v>2174</v>
      </c>
      <c r="F388" s="377"/>
      <c r="G388" s="378">
        <v>0</v>
      </c>
      <c r="H388" s="376">
        <v>300000</v>
      </c>
      <c r="I388" s="376" t="s">
        <v>147</v>
      </c>
    </row>
    <row r="389" spans="1:9" s="7" customFormat="1" x14ac:dyDescent="0.2">
      <c r="A389"/>
      <c r="B389" s="377">
        <v>66</v>
      </c>
      <c r="C389" s="377" t="s">
        <v>2193</v>
      </c>
      <c r="D389" s="376">
        <v>1350</v>
      </c>
      <c r="E389" s="377" t="s">
        <v>1160</v>
      </c>
      <c r="F389" s="377" t="s">
        <v>2192</v>
      </c>
      <c r="G389" s="378">
        <v>0.06</v>
      </c>
      <c r="H389" s="376">
        <v>400000</v>
      </c>
      <c r="I389" s="376" t="s">
        <v>147</v>
      </c>
    </row>
    <row r="390" spans="1:9" s="7" customFormat="1" x14ac:dyDescent="0.2">
      <c r="A390"/>
      <c r="B390" s="377">
        <v>402</v>
      </c>
      <c r="C390" s="377" t="s">
        <v>1161</v>
      </c>
      <c r="D390" s="376">
        <v>7100</v>
      </c>
      <c r="E390" s="377" t="s">
        <v>1160</v>
      </c>
      <c r="F390" s="377" t="s">
        <v>1159</v>
      </c>
      <c r="G390" s="378">
        <v>0</v>
      </c>
      <c r="H390" s="376">
        <v>155000</v>
      </c>
      <c r="I390" s="376" t="s">
        <v>152</v>
      </c>
    </row>
    <row r="391" spans="1:9" s="7" customFormat="1" x14ac:dyDescent="0.2">
      <c r="A391"/>
      <c r="B391" s="377">
        <v>220</v>
      </c>
      <c r="C391" s="377" t="s">
        <v>1730</v>
      </c>
      <c r="D391" s="376">
        <v>6982</v>
      </c>
      <c r="E391" s="377" t="s">
        <v>1729</v>
      </c>
      <c r="F391" s="377" t="s">
        <v>1728</v>
      </c>
      <c r="G391" s="378">
        <v>0</v>
      </c>
      <c r="H391" s="376">
        <v>300000</v>
      </c>
      <c r="I391" s="376" t="s">
        <v>147</v>
      </c>
    </row>
    <row r="392" spans="1:9" s="7" customFormat="1" x14ac:dyDescent="0.2">
      <c r="A392"/>
      <c r="B392" s="377">
        <v>117</v>
      </c>
      <c r="C392" s="377" t="s">
        <v>2041</v>
      </c>
      <c r="D392" s="376">
        <v>9040</v>
      </c>
      <c r="E392" s="377" t="s">
        <v>325</v>
      </c>
      <c r="F392" s="377" t="s">
        <v>2040</v>
      </c>
      <c r="G392" s="378">
        <v>0</v>
      </c>
      <c r="H392" s="376">
        <v>155000</v>
      </c>
      <c r="I392" s="376" t="s">
        <v>152</v>
      </c>
    </row>
    <row r="393" spans="1:9" s="7" customFormat="1" x14ac:dyDescent="0.2">
      <c r="A393"/>
      <c r="B393" s="377">
        <v>118</v>
      </c>
      <c r="C393" s="377" t="s">
        <v>2039</v>
      </c>
      <c r="D393" s="376">
        <v>3620</v>
      </c>
      <c r="E393" s="377" t="s">
        <v>325</v>
      </c>
      <c r="F393" s="377" t="s">
        <v>2038</v>
      </c>
      <c r="G393" s="378">
        <v>0</v>
      </c>
      <c r="H393" s="376">
        <v>300000</v>
      </c>
      <c r="I393" s="376" t="s">
        <v>147</v>
      </c>
    </row>
    <row r="394" spans="1:9" s="7" customFormat="1" x14ac:dyDescent="0.2">
      <c r="A394"/>
      <c r="B394" s="377">
        <v>134</v>
      </c>
      <c r="C394" s="377" t="s">
        <v>1992</v>
      </c>
      <c r="D394" s="376">
        <v>3621</v>
      </c>
      <c r="E394" s="377" t="s">
        <v>325</v>
      </c>
      <c r="F394" s="377"/>
      <c r="G394" s="378">
        <v>0</v>
      </c>
      <c r="H394" s="376">
        <v>500000</v>
      </c>
      <c r="I394" s="376" t="s">
        <v>147</v>
      </c>
    </row>
    <row r="395" spans="1:9" s="7" customFormat="1" x14ac:dyDescent="0.2">
      <c r="A395"/>
      <c r="B395" s="377">
        <v>571</v>
      </c>
      <c r="C395" s="377" t="s">
        <v>595</v>
      </c>
      <c r="D395" s="376">
        <v>3621</v>
      </c>
      <c r="E395" s="377" t="s">
        <v>325</v>
      </c>
      <c r="F395" s="377" t="s">
        <v>594</v>
      </c>
      <c r="G395" s="378">
        <v>0</v>
      </c>
      <c r="H395" s="376">
        <v>155000</v>
      </c>
      <c r="I395" s="376" t="s">
        <v>152</v>
      </c>
    </row>
    <row r="396" spans="1:9" s="7" customFormat="1" x14ac:dyDescent="0.2">
      <c r="A396"/>
      <c r="B396" s="377">
        <v>650</v>
      </c>
      <c r="C396" s="377" t="s">
        <v>326</v>
      </c>
      <c r="D396" s="376">
        <v>3620</v>
      </c>
      <c r="E396" s="377" t="s">
        <v>325</v>
      </c>
      <c r="F396" s="377" t="s">
        <v>324</v>
      </c>
      <c r="G396" s="378">
        <v>0</v>
      </c>
      <c r="H396" s="376">
        <v>300000</v>
      </c>
      <c r="I396" s="376" t="s">
        <v>147</v>
      </c>
    </row>
    <row r="397" spans="1:9" s="7" customFormat="1" x14ac:dyDescent="0.2">
      <c r="A397"/>
      <c r="B397" s="377">
        <v>433</v>
      </c>
      <c r="C397" s="377" t="s">
        <v>1050</v>
      </c>
      <c r="D397" s="376">
        <v>6111</v>
      </c>
      <c r="E397" s="377" t="s">
        <v>361</v>
      </c>
      <c r="F397" s="377" t="s">
        <v>1049</v>
      </c>
      <c r="G397" s="378">
        <v>0</v>
      </c>
      <c r="H397" s="376">
        <v>300000</v>
      </c>
      <c r="I397" s="376" t="s">
        <v>152</v>
      </c>
    </row>
    <row r="398" spans="1:9" s="7" customFormat="1" x14ac:dyDescent="0.2">
      <c r="A398"/>
      <c r="B398" s="377">
        <v>640</v>
      </c>
      <c r="C398" s="377" t="s">
        <v>362</v>
      </c>
      <c r="D398" s="376">
        <v>6111</v>
      </c>
      <c r="E398" s="377" t="s">
        <v>361</v>
      </c>
      <c r="F398" s="377"/>
      <c r="G398" s="378">
        <v>0</v>
      </c>
      <c r="H398" s="376">
        <v>400000</v>
      </c>
      <c r="I398" s="376" t="s">
        <v>152</v>
      </c>
    </row>
    <row r="399" spans="1:9" s="7" customFormat="1" x14ac:dyDescent="0.2">
      <c r="A399"/>
      <c r="B399" s="377">
        <v>573</v>
      </c>
      <c r="C399" s="377" t="s">
        <v>590</v>
      </c>
      <c r="D399" s="376">
        <v>5300</v>
      </c>
      <c r="E399" s="377" t="s">
        <v>589</v>
      </c>
      <c r="F399" s="377" t="s">
        <v>588</v>
      </c>
      <c r="G399" s="378">
        <v>0</v>
      </c>
      <c r="H399" s="376">
        <v>400000</v>
      </c>
      <c r="I399" s="376" t="s">
        <v>152</v>
      </c>
    </row>
    <row r="400" spans="1:9" s="7" customFormat="1" x14ac:dyDescent="0.2">
      <c r="A400"/>
      <c r="B400" s="377">
        <v>321</v>
      </c>
      <c r="C400" s="377" t="s">
        <v>1413</v>
      </c>
      <c r="D400" s="376">
        <v>1380</v>
      </c>
      <c r="E400" s="377" t="s">
        <v>1168</v>
      </c>
      <c r="F400" s="377" t="s">
        <v>1412</v>
      </c>
      <c r="G400" s="378">
        <v>0</v>
      </c>
      <c r="H400" s="376">
        <v>155000</v>
      </c>
      <c r="I400" s="376" t="s">
        <v>147</v>
      </c>
    </row>
    <row r="401" spans="1:9" s="7" customFormat="1" x14ac:dyDescent="0.2">
      <c r="A401"/>
      <c r="B401" s="377">
        <v>391</v>
      </c>
      <c r="C401" s="377" t="s">
        <v>1197</v>
      </c>
      <c r="D401" s="376">
        <v>1380</v>
      </c>
      <c r="E401" s="377" t="s">
        <v>1168</v>
      </c>
      <c r="F401" s="377" t="s">
        <v>1196</v>
      </c>
      <c r="G401" s="378">
        <v>0</v>
      </c>
      <c r="H401" s="376">
        <v>400000</v>
      </c>
      <c r="I401" s="376" t="s">
        <v>147</v>
      </c>
    </row>
    <row r="402" spans="1:9" s="7" customFormat="1" x14ac:dyDescent="0.2">
      <c r="A402"/>
      <c r="B402" s="377">
        <v>400</v>
      </c>
      <c r="C402" s="377" t="s">
        <v>1169</v>
      </c>
      <c r="D402" s="376">
        <v>1380</v>
      </c>
      <c r="E402" s="377" t="s">
        <v>1168</v>
      </c>
      <c r="F402" s="377" t="s">
        <v>1167</v>
      </c>
      <c r="G402" s="378">
        <v>0</v>
      </c>
      <c r="H402" s="376">
        <v>400000</v>
      </c>
      <c r="I402" s="376" t="s">
        <v>147</v>
      </c>
    </row>
    <row r="403" spans="1:9" s="7" customFormat="1" x14ac:dyDescent="0.2">
      <c r="A403"/>
      <c r="B403" s="377">
        <v>521</v>
      </c>
      <c r="C403" s="377" t="s">
        <v>762</v>
      </c>
      <c r="D403" s="376">
        <v>4261</v>
      </c>
      <c r="E403" s="377" t="s">
        <v>761</v>
      </c>
      <c r="F403" s="377"/>
      <c r="G403" s="378">
        <v>0.1</v>
      </c>
      <c r="H403" s="376">
        <v>400000</v>
      </c>
      <c r="I403" s="376" t="s">
        <v>147</v>
      </c>
    </row>
    <row r="404" spans="1:9" s="7" customFormat="1" x14ac:dyDescent="0.2">
      <c r="A404"/>
      <c r="B404" s="377">
        <v>21</v>
      </c>
      <c r="C404" s="377" t="s">
        <v>2319</v>
      </c>
      <c r="D404" s="376">
        <v>7070</v>
      </c>
      <c r="E404" s="377" t="s">
        <v>669</v>
      </c>
      <c r="F404" s="377" t="s">
        <v>2318</v>
      </c>
      <c r="G404" s="378">
        <v>0</v>
      </c>
      <c r="H404" s="376">
        <v>155000</v>
      </c>
      <c r="I404" s="376" t="s">
        <v>147</v>
      </c>
    </row>
    <row r="405" spans="1:9" s="7" customFormat="1" x14ac:dyDescent="0.2">
      <c r="A405"/>
      <c r="B405" s="377">
        <v>548</v>
      </c>
      <c r="C405" s="377" t="s">
        <v>670</v>
      </c>
      <c r="D405" s="376">
        <v>7070</v>
      </c>
      <c r="E405" s="377" t="s">
        <v>669</v>
      </c>
      <c r="F405" s="377" t="s">
        <v>668</v>
      </c>
      <c r="G405" s="378">
        <v>0</v>
      </c>
      <c r="H405" s="376">
        <v>155000</v>
      </c>
      <c r="I405" s="376" t="s">
        <v>147</v>
      </c>
    </row>
    <row r="406" spans="1:9" s="7" customFormat="1" x14ac:dyDescent="0.2">
      <c r="A406"/>
      <c r="B406" s="377">
        <v>343</v>
      </c>
      <c r="C406" s="377" t="s">
        <v>1349</v>
      </c>
      <c r="D406" s="376">
        <v>9280</v>
      </c>
      <c r="E406" s="377" t="s">
        <v>1280</v>
      </c>
      <c r="F406" s="377" t="s">
        <v>1348</v>
      </c>
      <c r="G406" s="378">
        <v>0</v>
      </c>
      <c r="H406" s="376">
        <v>75000</v>
      </c>
      <c r="I406" s="376" t="s">
        <v>147</v>
      </c>
    </row>
    <row r="407" spans="1:9" s="7" customFormat="1" x14ac:dyDescent="0.2">
      <c r="A407"/>
      <c r="B407" s="377">
        <v>364</v>
      </c>
      <c r="C407" s="377" t="s">
        <v>1281</v>
      </c>
      <c r="D407" s="376">
        <v>9280</v>
      </c>
      <c r="E407" s="377" t="s">
        <v>1280</v>
      </c>
      <c r="F407" s="377" t="s">
        <v>1279</v>
      </c>
      <c r="G407" s="378">
        <v>0</v>
      </c>
      <c r="H407" s="376">
        <v>300000</v>
      </c>
      <c r="I407" s="376" t="s">
        <v>152</v>
      </c>
    </row>
    <row r="408" spans="1:9" s="7" customFormat="1" x14ac:dyDescent="0.2">
      <c r="A408"/>
      <c r="B408" s="377">
        <v>230</v>
      </c>
      <c r="C408" s="377" t="s">
        <v>1702</v>
      </c>
      <c r="D408" s="376">
        <v>8880</v>
      </c>
      <c r="E408" s="377" t="s">
        <v>203</v>
      </c>
      <c r="F408" s="377" t="s">
        <v>1701</v>
      </c>
      <c r="G408" s="378">
        <v>0</v>
      </c>
      <c r="H408" s="376">
        <v>300000</v>
      </c>
      <c r="I408" s="376" t="s">
        <v>147</v>
      </c>
    </row>
    <row r="409" spans="1:9" s="7" customFormat="1" x14ac:dyDescent="0.2">
      <c r="A409"/>
      <c r="B409" s="377">
        <v>353</v>
      </c>
      <c r="C409" s="377" t="s">
        <v>1314</v>
      </c>
      <c r="D409" s="376">
        <v>8880</v>
      </c>
      <c r="E409" s="377" t="s">
        <v>203</v>
      </c>
      <c r="F409" s="377"/>
      <c r="G409" s="378">
        <v>0</v>
      </c>
      <c r="H409" s="376">
        <v>300000</v>
      </c>
      <c r="I409" s="376" t="s">
        <v>147</v>
      </c>
    </row>
    <row r="410" spans="1:9" s="7" customFormat="1" x14ac:dyDescent="0.2">
      <c r="A410"/>
      <c r="B410" s="377">
        <v>682</v>
      </c>
      <c r="C410" s="377" t="s">
        <v>204</v>
      </c>
      <c r="D410" s="376">
        <v>8880</v>
      </c>
      <c r="E410" s="377" t="s">
        <v>203</v>
      </c>
      <c r="F410" s="377"/>
      <c r="G410" s="378">
        <v>0</v>
      </c>
      <c r="H410" s="376">
        <v>300000</v>
      </c>
      <c r="I410" s="376" t="s">
        <v>147</v>
      </c>
    </row>
    <row r="411" spans="1:9" s="7" customFormat="1" x14ac:dyDescent="0.2">
      <c r="A411"/>
      <c r="B411" s="377">
        <v>205</v>
      </c>
      <c r="C411" s="377" t="s">
        <v>1776</v>
      </c>
      <c r="D411" s="376">
        <v>1502</v>
      </c>
      <c r="E411" s="377" t="s">
        <v>1587</v>
      </c>
      <c r="F411" s="377" t="s">
        <v>1775</v>
      </c>
      <c r="G411" s="378">
        <v>0</v>
      </c>
      <c r="H411" s="376">
        <v>75000</v>
      </c>
      <c r="I411" s="376" t="s">
        <v>147</v>
      </c>
    </row>
    <row r="412" spans="1:9" s="7" customFormat="1" x14ac:dyDescent="0.2">
      <c r="A412"/>
      <c r="B412" s="377">
        <v>265</v>
      </c>
      <c r="C412" s="377" t="s">
        <v>1588</v>
      </c>
      <c r="D412" s="376">
        <v>1502</v>
      </c>
      <c r="E412" s="377" t="s">
        <v>1587</v>
      </c>
      <c r="F412" s="377" t="s">
        <v>1586</v>
      </c>
      <c r="G412" s="378">
        <v>0</v>
      </c>
      <c r="H412" s="376">
        <v>75000</v>
      </c>
      <c r="I412" s="376" t="s">
        <v>147</v>
      </c>
    </row>
    <row r="413" spans="1:9" s="7" customFormat="1" x14ac:dyDescent="0.2">
      <c r="A413"/>
      <c r="B413" s="377">
        <v>397</v>
      </c>
      <c r="C413" s="377" t="s">
        <v>1176</v>
      </c>
      <c r="D413" s="376">
        <v>8860</v>
      </c>
      <c r="E413" s="377" t="s">
        <v>1175</v>
      </c>
      <c r="F413" s="377" t="s">
        <v>1174</v>
      </c>
      <c r="G413" s="378">
        <v>0</v>
      </c>
      <c r="H413" s="376">
        <v>75000</v>
      </c>
      <c r="I413" s="376" t="s">
        <v>152</v>
      </c>
    </row>
    <row r="414" spans="1:9" s="7" customFormat="1" x14ac:dyDescent="0.2">
      <c r="A414"/>
      <c r="B414" s="377">
        <v>197</v>
      </c>
      <c r="C414" s="377" t="s">
        <v>1801</v>
      </c>
      <c r="D414" s="376">
        <v>3970</v>
      </c>
      <c r="E414" s="377" t="s">
        <v>897</v>
      </c>
      <c r="F414" s="377" t="s">
        <v>1800</v>
      </c>
      <c r="G414" s="378">
        <v>0</v>
      </c>
      <c r="H414" s="376">
        <v>300000</v>
      </c>
      <c r="I414" s="376" t="s">
        <v>147</v>
      </c>
    </row>
    <row r="415" spans="1:9" s="7" customFormat="1" x14ac:dyDescent="0.2">
      <c r="A415"/>
      <c r="B415" s="377">
        <v>480</v>
      </c>
      <c r="C415" s="377" t="s">
        <v>898</v>
      </c>
      <c r="D415" s="376">
        <v>3970</v>
      </c>
      <c r="E415" s="377" t="s">
        <v>897</v>
      </c>
      <c r="F415" s="377"/>
      <c r="G415" s="378">
        <v>0</v>
      </c>
      <c r="H415" s="376">
        <v>75000</v>
      </c>
      <c r="I415" s="376" t="s">
        <v>147</v>
      </c>
    </row>
    <row r="416" spans="1:9" s="7" customFormat="1" x14ac:dyDescent="0.2">
      <c r="A416"/>
      <c r="B416" s="377">
        <v>561</v>
      </c>
      <c r="C416" s="377" t="s">
        <v>629</v>
      </c>
      <c r="D416" s="376">
        <v>7866</v>
      </c>
      <c r="E416" s="377" t="s">
        <v>628</v>
      </c>
      <c r="F416" s="377"/>
      <c r="G416" s="378">
        <v>0</v>
      </c>
      <c r="H416" s="376">
        <v>400000</v>
      </c>
      <c r="I416" s="376" t="s">
        <v>147</v>
      </c>
    </row>
    <row r="417" spans="1:9" s="7" customFormat="1" x14ac:dyDescent="0.2">
      <c r="A417"/>
      <c r="B417" s="377">
        <v>681</v>
      </c>
      <c r="C417" s="377" t="s">
        <v>208</v>
      </c>
      <c r="D417" s="376">
        <v>5170</v>
      </c>
      <c r="E417" s="377" t="s">
        <v>207</v>
      </c>
      <c r="F417" s="377"/>
      <c r="G417" s="378">
        <v>0</v>
      </c>
      <c r="H417" s="376">
        <v>400000</v>
      </c>
      <c r="I417" s="376" t="s">
        <v>147</v>
      </c>
    </row>
    <row r="418" spans="1:9" s="7" customFormat="1" x14ac:dyDescent="0.2">
      <c r="A418"/>
      <c r="B418" s="377">
        <v>111</v>
      </c>
      <c r="C418" s="377" t="s">
        <v>2064</v>
      </c>
      <c r="D418" s="376">
        <v>9032</v>
      </c>
      <c r="E418" s="377" t="s">
        <v>357</v>
      </c>
      <c r="F418" s="377" t="s">
        <v>2063</v>
      </c>
      <c r="G418" s="378">
        <v>0</v>
      </c>
      <c r="H418" s="376">
        <v>300000</v>
      </c>
      <c r="I418" s="376" t="s">
        <v>152</v>
      </c>
    </row>
    <row r="419" spans="1:9" s="7" customFormat="1" x14ac:dyDescent="0.2">
      <c r="A419"/>
      <c r="B419" s="377">
        <v>171</v>
      </c>
      <c r="C419" s="377" t="s">
        <v>1883</v>
      </c>
      <c r="D419" s="376">
        <v>3000</v>
      </c>
      <c r="E419" s="377" t="s">
        <v>357</v>
      </c>
      <c r="F419" s="377"/>
      <c r="G419" s="378">
        <v>0</v>
      </c>
      <c r="H419" s="376">
        <v>300000</v>
      </c>
      <c r="I419" s="376" t="s">
        <v>152</v>
      </c>
    </row>
    <row r="420" spans="1:9" s="7" customFormat="1" x14ac:dyDescent="0.2">
      <c r="A420"/>
      <c r="B420" s="377">
        <v>381</v>
      </c>
      <c r="C420" s="377" t="s">
        <v>1226</v>
      </c>
      <c r="D420" s="376">
        <v>3010</v>
      </c>
      <c r="E420" s="377" t="s">
        <v>357</v>
      </c>
      <c r="F420" s="377" t="s">
        <v>1225</v>
      </c>
      <c r="G420" s="378">
        <v>0</v>
      </c>
      <c r="H420" s="376">
        <v>75000</v>
      </c>
      <c r="I420" s="376" t="s">
        <v>147</v>
      </c>
    </row>
    <row r="421" spans="1:9" s="7" customFormat="1" x14ac:dyDescent="0.2">
      <c r="A421"/>
      <c r="B421" s="377">
        <v>557</v>
      </c>
      <c r="C421" s="377" t="s">
        <v>641</v>
      </c>
      <c r="D421" s="376">
        <v>3000</v>
      </c>
      <c r="E421" s="377" t="s">
        <v>357</v>
      </c>
      <c r="F421" s="377" t="s">
        <v>640</v>
      </c>
      <c r="G421" s="378">
        <v>0</v>
      </c>
      <c r="H421" s="376">
        <v>155000</v>
      </c>
      <c r="I421" s="376" t="s">
        <v>147</v>
      </c>
    </row>
    <row r="422" spans="1:9" s="7" customFormat="1" x14ac:dyDescent="0.2">
      <c r="A422"/>
      <c r="B422" s="377">
        <v>641</v>
      </c>
      <c r="C422" s="377" t="s">
        <v>358</v>
      </c>
      <c r="D422" s="376">
        <v>3001</v>
      </c>
      <c r="E422" s="377" t="s">
        <v>357</v>
      </c>
      <c r="F422" s="377" t="s">
        <v>356</v>
      </c>
      <c r="G422" s="378">
        <v>0</v>
      </c>
      <c r="H422" s="376">
        <v>300000</v>
      </c>
      <c r="I422" s="376" t="s">
        <v>152</v>
      </c>
    </row>
    <row r="423" spans="1:9" s="7" customFormat="1" x14ac:dyDescent="0.2">
      <c r="A423"/>
      <c r="B423" s="377">
        <v>27</v>
      </c>
      <c r="C423" s="377" t="s">
        <v>2299</v>
      </c>
      <c r="D423" s="376">
        <v>5310</v>
      </c>
      <c r="E423" s="377" t="s">
        <v>2298</v>
      </c>
      <c r="F423" s="377"/>
      <c r="G423" s="378">
        <v>0</v>
      </c>
      <c r="H423" s="376">
        <v>155000</v>
      </c>
      <c r="I423" s="376" t="s">
        <v>147</v>
      </c>
    </row>
    <row r="424" spans="1:9" s="7" customFormat="1" x14ac:dyDescent="0.2">
      <c r="A424"/>
      <c r="B424" s="377">
        <v>396</v>
      </c>
      <c r="C424" s="377" t="s">
        <v>1179</v>
      </c>
      <c r="D424" s="376">
        <v>7904</v>
      </c>
      <c r="E424" s="377" t="s">
        <v>1178</v>
      </c>
      <c r="F424" s="377" t="s">
        <v>1177</v>
      </c>
      <c r="G424" s="378">
        <v>0</v>
      </c>
      <c r="H424" s="376">
        <v>155000</v>
      </c>
      <c r="I424" s="376" t="s">
        <v>147</v>
      </c>
    </row>
    <row r="425" spans="1:9" s="7" customFormat="1" x14ac:dyDescent="0.2">
      <c r="A425"/>
      <c r="B425" s="377">
        <v>429</v>
      </c>
      <c r="C425" s="377" t="s">
        <v>1065</v>
      </c>
      <c r="D425" s="376">
        <v>7900</v>
      </c>
      <c r="E425" s="377" t="s">
        <v>1064</v>
      </c>
      <c r="F425" s="377" t="s">
        <v>1063</v>
      </c>
      <c r="G425" s="378">
        <v>0</v>
      </c>
      <c r="H425" s="376">
        <v>75000</v>
      </c>
      <c r="I425" s="376" t="s">
        <v>147</v>
      </c>
    </row>
    <row r="426" spans="1:9" s="7" customFormat="1" x14ac:dyDescent="0.2">
      <c r="A426"/>
      <c r="B426" s="377">
        <v>73</v>
      </c>
      <c r="C426" s="377" t="s">
        <v>2172</v>
      </c>
      <c r="D426" s="376">
        <v>1703</v>
      </c>
      <c r="E426" s="377" t="s">
        <v>438</v>
      </c>
      <c r="F426" s="377" t="s">
        <v>2171</v>
      </c>
      <c r="G426" s="378">
        <v>0</v>
      </c>
      <c r="H426" s="376">
        <v>300000</v>
      </c>
      <c r="I426" s="376" t="s">
        <v>147</v>
      </c>
    </row>
    <row r="427" spans="1:9" s="7" customFormat="1" x14ac:dyDescent="0.2">
      <c r="A427"/>
      <c r="B427" s="377">
        <v>74</v>
      </c>
      <c r="C427" s="377" t="s">
        <v>2169</v>
      </c>
      <c r="D427" s="376">
        <v>4020</v>
      </c>
      <c r="E427" s="377" t="s">
        <v>438</v>
      </c>
      <c r="F427" s="377" t="s">
        <v>2168</v>
      </c>
      <c r="G427" s="378">
        <v>0</v>
      </c>
      <c r="H427" s="376">
        <v>300000</v>
      </c>
      <c r="I427" s="376" t="s">
        <v>147</v>
      </c>
    </row>
    <row r="428" spans="1:9" s="7" customFormat="1" x14ac:dyDescent="0.2">
      <c r="A428"/>
      <c r="B428" s="377">
        <v>78</v>
      </c>
      <c r="C428" s="377" t="s">
        <v>2158</v>
      </c>
      <c r="D428" s="376">
        <v>4030</v>
      </c>
      <c r="E428" s="377" t="s">
        <v>438</v>
      </c>
      <c r="F428" s="377"/>
      <c r="G428" s="378">
        <v>0</v>
      </c>
      <c r="H428" s="376">
        <v>400000</v>
      </c>
      <c r="I428" s="376" t="s">
        <v>147</v>
      </c>
    </row>
    <row r="429" spans="1:9" s="7" customFormat="1" x14ac:dyDescent="0.2">
      <c r="A429"/>
      <c r="B429" s="377">
        <v>121</v>
      </c>
      <c r="C429" s="377" t="s">
        <v>2031</v>
      </c>
      <c r="D429" s="376">
        <v>2640</v>
      </c>
      <c r="E429" s="377" t="s">
        <v>438</v>
      </c>
      <c r="F429" s="377" t="s">
        <v>2030</v>
      </c>
      <c r="G429" s="378">
        <v>0</v>
      </c>
      <c r="H429" s="376">
        <v>300000</v>
      </c>
      <c r="I429" s="376" t="s">
        <v>147</v>
      </c>
    </row>
    <row r="430" spans="1:9" s="7" customFormat="1" x14ac:dyDescent="0.2">
      <c r="A430"/>
      <c r="B430" s="377">
        <v>122</v>
      </c>
      <c r="C430" s="377" t="s">
        <v>2028</v>
      </c>
      <c r="D430" s="376">
        <v>4020</v>
      </c>
      <c r="E430" s="377" t="s">
        <v>438</v>
      </c>
      <c r="F430" s="377" t="s">
        <v>2027</v>
      </c>
      <c r="G430" s="378">
        <v>0</v>
      </c>
      <c r="H430" s="376">
        <v>300000</v>
      </c>
      <c r="I430" s="376" t="s">
        <v>147</v>
      </c>
    </row>
    <row r="431" spans="1:9" s="7" customFormat="1" x14ac:dyDescent="0.2">
      <c r="A431"/>
      <c r="B431" s="377">
        <v>295</v>
      </c>
      <c r="C431" s="377" t="s">
        <v>1492</v>
      </c>
      <c r="D431" s="376">
        <v>4020</v>
      </c>
      <c r="E431" s="377" t="s">
        <v>438</v>
      </c>
      <c r="F431" s="377" t="s">
        <v>1491</v>
      </c>
      <c r="G431" s="378">
        <v>0</v>
      </c>
      <c r="H431" s="376">
        <v>400000</v>
      </c>
      <c r="I431" s="376" t="s">
        <v>147</v>
      </c>
    </row>
    <row r="432" spans="1:9" s="7" customFormat="1" x14ac:dyDescent="0.2">
      <c r="A432"/>
      <c r="B432" s="377">
        <v>482</v>
      </c>
      <c r="C432" s="377" t="s">
        <v>894</v>
      </c>
      <c r="D432" s="376">
        <v>4000</v>
      </c>
      <c r="E432" s="377" t="s">
        <v>438</v>
      </c>
      <c r="F432" s="377"/>
      <c r="G432" s="378">
        <v>0</v>
      </c>
      <c r="H432" s="376">
        <v>75000</v>
      </c>
      <c r="I432" s="376" t="s">
        <v>152</v>
      </c>
    </row>
    <row r="433" spans="1:9" s="7" customFormat="1" x14ac:dyDescent="0.2">
      <c r="A433"/>
      <c r="B433" s="377">
        <v>487</v>
      </c>
      <c r="C433" s="377" t="s">
        <v>880</v>
      </c>
      <c r="D433" s="376">
        <v>4000</v>
      </c>
      <c r="E433" s="377" t="s">
        <v>438</v>
      </c>
      <c r="F433" s="377" t="s">
        <v>879</v>
      </c>
      <c r="G433" s="378">
        <v>0</v>
      </c>
      <c r="H433" s="376">
        <v>300000</v>
      </c>
      <c r="I433" s="376" t="s">
        <v>152</v>
      </c>
    </row>
    <row r="434" spans="1:9" s="7" customFormat="1" x14ac:dyDescent="0.2">
      <c r="A434"/>
      <c r="B434" s="377">
        <v>547</v>
      </c>
      <c r="C434" s="377" t="s">
        <v>672</v>
      </c>
      <c r="D434" s="376">
        <v>4020</v>
      </c>
      <c r="E434" s="377" t="s">
        <v>438</v>
      </c>
      <c r="F434" s="377"/>
      <c r="G434" s="378">
        <v>0</v>
      </c>
      <c r="H434" s="376">
        <v>400000</v>
      </c>
      <c r="I434" s="376" t="s">
        <v>147</v>
      </c>
    </row>
    <row r="435" spans="1:9" s="7" customFormat="1" x14ac:dyDescent="0.2">
      <c r="A435"/>
      <c r="B435" s="377">
        <v>618</v>
      </c>
      <c r="C435" s="377" t="s">
        <v>439</v>
      </c>
      <c r="D435" s="376">
        <v>4020</v>
      </c>
      <c r="E435" s="377" t="s">
        <v>438</v>
      </c>
      <c r="F435" s="377" t="s">
        <v>437</v>
      </c>
      <c r="G435" s="378">
        <v>0</v>
      </c>
      <c r="H435" s="376">
        <v>400000</v>
      </c>
      <c r="I435" s="376" t="s">
        <v>147</v>
      </c>
    </row>
    <row r="436" spans="1:9" s="7" customFormat="1" x14ac:dyDescent="0.2">
      <c r="A436"/>
      <c r="B436" s="377">
        <v>331</v>
      </c>
      <c r="C436" s="377" t="s">
        <v>1382</v>
      </c>
      <c r="D436" s="376">
        <v>1428</v>
      </c>
      <c r="E436" s="377" t="s">
        <v>840</v>
      </c>
      <c r="F436" s="377" t="s">
        <v>1381</v>
      </c>
      <c r="G436" s="378">
        <v>0</v>
      </c>
      <c r="H436" s="376">
        <v>400000</v>
      </c>
      <c r="I436" s="376" t="s">
        <v>147</v>
      </c>
    </row>
    <row r="437" spans="1:9" s="7" customFormat="1" x14ac:dyDescent="0.2">
      <c r="A437"/>
      <c r="B437" s="377">
        <v>498</v>
      </c>
      <c r="C437" s="377" t="s">
        <v>841</v>
      </c>
      <c r="D437" s="376">
        <v>1428</v>
      </c>
      <c r="E437" s="377" t="s">
        <v>840</v>
      </c>
      <c r="F437" s="377" t="s">
        <v>839</v>
      </c>
      <c r="G437" s="378">
        <v>0</v>
      </c>
      <c r="H437" s="376">
        <v>400000</v>
      </c>
      <c r="I437" s="376" t="s">
        <v>147</v>
      </c>
    </row>
    <row r="438" spans="1:9" s="7" customFormat="1" x14ac:dyDescent="0.2">
      <c r="A438"/>
      <c r="B438" s="377">
        <v>336</v>
      </c>
      <c r="C438" s="377" t="s">
        <v>1370</v>
      </c>
      <c r="D438" s="376">
        <v>4830</v>
      </c>
      <c r="E438" s="377" t="s">
        <v>1369</v>
      </c>
      <c r="F438" s="377"/>
      <c r="G438" s="378">
        <v>0</v>
      </c>
      <c r="H438" s="376">
        <v>400000</v>
      </c>
      <c r="I438" s="376" t="s">
        <v>147</v>
      </c>
    </row>
    <row r="439" spans="1:9" s="7" customFormat="1" x14ac:dyDescent="0.2">
      <c r="A439"/>
      <c r="B439" s="377">
        <v>645</v>
      </c>
      <c r="C439" s="377" t="s">
        <v>343</v>
      </c>
      <c r="D439" s="376">
        <v>3350</v>
      </c>
      <c r="E439" s="377" t="s">
        <v>342</v>
      </c>
      <c r="F439" s="377"/>
      <c r="G439" s="378">
        <v>0</v>
      </c>
      <c r="H439" s="376">
        <v>300000</v>
      </c>
      <c r="I439" s="376" t="s">
        <v>147</v>
      </c>
    </row>
    <row r="440" spans="1:9" s="7" customFormat="1" x14ac:dyDescent="0.2">
      <c r="A440"/>
      <c r="B440" s="377">
        <v>52</v>
      </c>
      <c r="C440" s="377" t="s">
        <v>2227</v>
      </c>
      <c r="D440" s="376">
        <v>9080</v>
      </c>
      <c r="E440" s="377" t="s">
        <v>2226</v>
      </c>
      <c r="F440" s="377"/>
      <c r="G440" s="378">
        <v>0</v>
      </c>
      <c r="H440" s="376">
        <v>155000</v>
      </c>
      <c r="I440" s="376" t="s">
        <v>152</v>
      </c>
    </row>
    <row r="441" spans="1:9" s="7" customFormat="1" x14ac:dyDescent="0.2">
      <c r="A441"/>
      <c r="B441" s="377">
        <v>15</v>
      </c>
      <c r="C441" s="377" t="s">
        <v>2340</v>
      </c>
      <c r="D441" s="376">
        <v>6042</v>
      </c>
      <c r="E441" s="377" t="s">
        <v>1928</v>
      </c>
      <c r="F441" s="377" t="s">
        <v>2339</v>
      </c>
      <c r="G441" s="378">
        <v>0</v>
      </c>
      <c r="H441" s="376">
        <v>400000</v>
      </c>
      <c r="I441" s="376" t="s">
        <v>152</v>
      </c>
    </row>
    <row r="442" spans="1:9" s="7" customFormat="1" x14ac:dyDescent="0.2">
      <c r="A442"/>
      <c r="B442" s="377">
        <v>156</v>
      </c>
      <c r="C442" s="377" t="s">
        <v>1929</v>
      </c>
      <c r="D442" s="376">
        <v>6042</v>
      </c>
      <c r="E442" s="377" t="s">
        <v>1928</v>
      </c>
      <c r="F442" s="377"/>
      <c r="G442" s="378">
        <v>0</v>
      </c>
      <c r="H442" s="376">
        <v>300000</v>
      </c>
      <c r="I442" s="376" t="s">
        <v>147</v>
      </c>
    </row>
    <row r="443" spans="1:9" s="7" customFormat="1" x14ac:dyDescent="0.2">
      <c r="A443"/>
      <c r="B443" s="377">
        <v>128</v>
      </c>
      <c r="C443" s="377" t="s">
        <v>2010</v>
      </c>
      <c r="D443" s="376">
        <v>2100</v>
      </c>
      <c r="E443" s="377" t="s">
        <v>2009</v>
      </c>
      <c r="F443" s="377" t="s">
        <v>2008</v>
      </c>
      <c r="G443" s="378">
        <v>0</v>
      </c>
      <c r="H443" s="376">
        <v>300000</v>
      </c>
      <c r="I443" s="376" t="s">
        <v>147</v>
      </c>
    </row>
    <row r="444" spans="1:9" s="7" customFormat="1" x14ac:dyDescent="0.2">
      <c r="A444"/>
      <c r="B444" s="377">
        <v>356</v>
      </c>
      <c r="C444" s="377" t="s">
        <v>1308</v>
      </c>
      <c r="D444" s="376">
        <v>3210</v>
      </c>
      <c r="E444" s="377" t="s">
        <v>1307</v>
      </c>
      <c r="F444" s="377" t="s">
        <v>1306</v>
      </c>
      <c r="G444" s="378">
        <v>0</v>
      </c>
      <c r="H444" s="376">
        <v>500000</v>
      </c>
      <c r="I444" s="376" t="s">
        <v>147</v>
      </c>
    </row>
    <row r="445" spans="1:9" s="7" customFormat="1" x14ac:dyDescent="0.2">
      <c r="A445"/>
      <c r="B445" s="377">
        <v>310</v>
      </c>
      <c r="C445" s="377" t="s">
        <v>1450</v>
      </c>
      <c r="D445" s="376">
        <v>9688</v>
      </c>
      <c r="E445" s="377" t="s">
        <v>1449</v>
      </c>
      <c r="F445" s="377" t="s">
        <v>1448</v>
      </c>
      <c r="G445" s="378">
        <v>0</v>
      </c>
      <c r="H445" s="376">
        <v>300000</v>
      </c>
      <c r="I445" s="376" t="s">
        <v>147</v>
      </c>
    </row>
    <row r="446" spans="1:9" s="7" customFormat="1" x14ac:dyDescent="0.2">
      <c r="A446"/>
      <c r="B446" s="377">
        <v>105</v>
      </c>
      <c r="C446" s="377" t="s">
        <v>2081</v>
      </c>
      <c r="D446" s="376">
        <v>3910</v>
      </c>
      <c r="E446" s="377" t="s">
        <v>2080</v>
      </c>
      <c r="F446" s="377"/>
      <c r="G446" s="378">
        <v>0</v>
      </c>
      <c r="H446" s="376">
        <v>500000</v>
      </c>
      <c r="I446" s="376" t="s">
        <v>152</v>
      </c>
    </row>
    <row r="447" spans="1:9" s="7" customFormat="1" x14ac:dyDescent="0.2">
      <c r="A447"/>
      <c r="B447" s="377">
        <v>609</v>
      </c>
      <c r="C447" s="377" t="s">
        <v>472</v>
      </c>
      <c r="D447" s="376">
        <v>1840</v>
      </c>
      <c r="E447" s="377" t="s">
        <v>471</v>
      </c>
      <c r="F447" s="377" t="s">
        <v>470</v>
      </c>
      <c r="G447" s="378">
        <v>0</v>
      </c>
      <c r="H447" s="376">
        <v>300000</v>
      </c>
      <c r="I447" s="376" t="s">
        <v>147</v>
      </c>
    </row>
    <row r="448" spans="1:9" s="7" customFormat="1" x14ac:dyDescent="0.2">
      <c r="A448"/>
      <c r="B448" s="377">
        <v>508</v>
      </c>
      <c r="C448" s="377" t="s">
        <v>801</v>
      </c>
      <c r="D448" s="376">
        <v>6900</v>
      </c>
      <c r="E448" s="377" t="s">
        <v>220</v>
      </c>
      <c r="F448" s="377"/>
      <c r="G448" s="378">
        <v>0</v>
      </c>
      <c r="H448" s="376">
        <v>155000</v>
      </c>
      <c r="I448" s="376" t="s">
        <v>152</v>
      </c>
    </row>
    <row r="449" spans="1:9" s="7" customFormat="1" x14ac:dyDescent="0.2">
      <c r="A449"/>
      <c r="B449" s="377">
        <v>678</v>
      </c>
      <c r="C449" s="377" t="s">
        <v>221</v>
      </c>
      <c r="D449" s="376">
        <v>6900</v>
      </c>
      <c r="E449" s="377" t="s">
        <v>220</v>
      </c>
      <c r="F449" s="377" t="s">
        <v>219</v>
      </c>
      <c r="G449" s="378">
        <v>0</v>
      </c>
      <c r="H449" s="376">
        <v>400000</v>
      </c>
      <c r="I449" s="376" t="s">
        <v>147</v>
      </c>
    </row>
    <row r="450" spans="1:9" s="7" customFormat="1" x14ac:dyDescent="0.2">
      <c r="A450"/>
      <c r="B450" s="377">
        <v>500</v>
      </c>
      <c r="C450" s="377" t="s">
        <v>832</v>
      </c>
      <c r="D450" s="376">
        <v>6030</v>
      </c>
      <c r="E450" s="377" t="s">
        <v>831</v>
      </c>
      <c r="F450" s="377" t="s">
        <v>830</v>
      </c>
      <c r="G450" s="378">
        <v>0</v>
      </c>
      <c r="H450" s="376">
        <v>400000</v>
      </c>
      <c r="I450" s="376" t="s">
        <v>152</v>
      </c>
    </row>
    <row r="451" spans="1:9" s="7" customFormat="1" x14ac:dyDescent="0.2">
      <c r="A451"/>
      <c r="B451" s="377">
        <v>328</v>
      </c>
      <c r="C451" s="377" t="s">
        <v>1391</v>
      </c>
      <c r="D451" s="376">
        <v>6001</v>
      </c>
      <c r="E451" s="377" t="s">
        <v>187</v>
      </c>
      <c r="F451" s="377"/>
      <c r="G451" s="378">
        <v>0</v>
      </c>
      <c r="H451" s="376">
        <v>400000</v>
      </c>
      <c r="I451" s="376" t="s">
        <v>147</v>
      </c>
    </row>
    <row r="452" spans="1:9" s="7" customFormat="1" x14ac:dyDescent="0.2">
      <c r="A452"/>
      <c r="B452" s="377">
        <v>686</v>
      </c>
      <c r="C452" s="377" t="s">
        <v>188</v>
      </c>
      <c r="D452" s="376">
        <v>6001</v>
      </c>
      <c r="E452" s="377" t="s">
        <v>187</v>
      </c>
      <c r="F452" s="377"/>
      <c r="G452" s="378">
        <v>0</v>
      </c>
      <c r="H452" s="376">
        <v>300000</v>
      </c>
      <c r="I452" s="376" t="s">
        <v>152</v>
      </c>
    </row>
    <row r="453" spans="1:9" s="7" customFormat="1" x14ac:dyDescent="0.2">
      <c r="A453"/>
      <c r="B453" s="377">
        <v>527</v>
      </c>
      <c r="C453" s="377" t="s">
        <v>743</v>
      </c>
      <c r="D453" s="376">
        <v>5660</v>
      </c>
      <c r="E453" s="377" t="s">
        <v>742</v>
      </c>
      <c r="F453" s="377" t="s">
        <v>741</v>
      </c>
      <c r="G453" s="378">
        <v>0</v>
      </c>
      <c r="H453" s="376">
        <v>155000</v>
      </c>
      <c r="I453" s="376" t="s">
        <v>147</v>
      </c>
    </row>
    <row r="454" spans="1:9" s="7" customFormat="1" x14ac:dyDescent="0.2">
      <c r="A454"/>
      <c r="B454" s="377">
        <v>107</v>
      </c>
      <c r="C454" s="377" t="s">
        <v>2075</v>
      </c>
      <c r="D454" s="376">
        <v>2580</v>
      </c>
      <c r="E454" s="377" t="s">
        <v>1430</v>
      </c>
      <c r="F454" s="377" t="s">
        <v>2074</v>
      </c>
      <c r="G454" s="378">
        <v>0</v>
      </c>
      <c r="H454" s="376">
        <v>75000</v>
      </c>
      <c r="I454" s="376" t="s">
        <v>147</v>
      </c>
    </row>
    <row r="455" spans="1:9" s="7" customFormat="1" x14ac:dyDescent="0.2">
      <c r="A455"/>
      <c r="B455" s="377">
        <v>315</v>
      </c>
      <c r="C455" s="377" t="s">
        <v>1431</v>
      </c>
      <c r="D455" s="376">
        <v>2811</v>
      </c>
      <c r="E455" s="377" t="s">
        <v>1430</v>
      </c>
      <c r="F455" s="377" t="s">
        <v>1429</v>
      </c>
      <c r="G455" s="378">
        <v>0</v>
      </c>
      <c r="H455" s="376">
        <v>155000</v>
      </c>
      <c r="I455" s="376" t="s">
        <v>147</v>
      </c>
    </row>
    <row r="456" spans="1:9" s="7" customFormat="1" x14ac:dyDescent="0.2">
      <c r="A456"/>
      <c r="B456" s="377">
        <v>326</v>
      </c>
      <c r="C456" s="377" t="s">
        <v>1397</v>
      </c>
      <c r="D456" s="376">
        <v>2328</v>
      </c>
      <c r="E456" s="377" t="s">
        <v>1396</v>
      </c>
      <c r="F456" s="377" t="s">
        <v>1395</v>
      </c>
      <c r="G456" s="378">
        <v>0</v>
      </c>
      <c r="H456" s="376">
        <v>155000</v>
      </c>
      <c r="I456" s="376" t="s">
        <v>147</v>
      </c>
    </row>
    <row r="457" spans="1:9" s="7" customFormat="1" x14ac:dyDescent="0.2">
      <c r="A457"/>
      <c r="B457" s="377">
        <v>196</v>
      </c>
      <c r="C457" s="377" t="s">
        <v>1803</v>
      </c>
      <c r="D457" s="376">
        <v>3670</v>
      </c>
      <c r="E457" s="377" t="s">
        <v>351</v>
      </c>
      <c r="F457" s="377"/>
      <c r="G457" s="378">
        <v>0</v>
      </c>
      <c r="H457" s="376">
        <v>75000</v>
      </c>
      <c r="I457" s="376" t="s">
        <v>147</v>
      </c>
    </row>
    <row r="458" spans="1:9" s="7" customFormat="1" x14ac:dyDescent="0.2">
      <c r="A458"/>
      <c r="B458" s="377">
        <v>595</v>
      </c>
      <c r="C458" s="377" t="s">
        <v>518</v>
      </c>
      <c r="D458" s="376">
        <v>3670</v>
      </c>
      <c r="E458" s="377" t="s">
        <v>351</v>
      </c>
      <c r="F458" s="377" t="s">
        <v>517</v>
      </c>
      <c r="G458" s="378">
        <v>0</v>
      </c>
      <c r="H458" s="376">
        <v>75000</v>
      </c>
      <c r="I458" s="376" t="s">
        <v>147</v>
      </c>
    </row>
    <row r="459" spans="1:9" s="7" customFormat="1" x14ac:dyDescent="0.2">
      <c r="A459"/>
      <c r="B459" s="377">
        <v>643</v>
      </c>
      <c r="C459" s="377" t="s">
        <v>352</v>
      </c>
      <c r="D459" s="376">
        <v>3670</v>
      </c>
      <c r="E459" s="377" t="s">
        <v>351</v>
      </c>
      <c r="F459" s="377" t="s">
        <v>350</v>
      </c>
      <c r="G459" s="378">
        <v>0</v>
      </c>
      <c r="H459" s="376">
        <v>75000</v>
      </c>
      <c r="I459" s="376" t="s">
        <v>152</v>
      </c>
    </row>
    <row r="460" spans="1:9" s="7" customFormat="1" x14ac:dyDescent="0.2">
      <c r="A460"/>
      <c r="B460" s="377">
        <v>425</v>
      </c>
      <c r="C460" s="377" t="s">
        <v>1075</v>
      </c>
      <c r="D460" s="376">
        <v>1860</v>
      </c>
      <c r="E460" s="377" t="s">
        <v>1074</v>
      </c>
      <c r="F460" s="377" t="s">
        <v>1073</v>
      </c>
      <c r="G460" s="378">
        <v>0</v>
      </c>
      <c r="H460" s="376">
        <v>75000</v>
      </c>
      <c r="I460" s="376" t="s">
        <v>147</v>
      </c>
    </row>
    <row r="461" spans="1:9" s="7" customFormat="1" x14ac:dyDescent="0.2">
      <c r="A461"/>
      <c r="B461" s="377">
        <v>163</v>
      </c>
      <c r="C461" s="377" t="s">
        <v>1909</v>
      </c>
      <c r="D461" s="376">
        <v>1861</v>
      </c>
      <c r="E461" s="377" t="s">
        <v>1908</v>
      </c>
      <c r="F461" s="377" t="s">
        <v>1907</v>
      </c>
      <c r="G461" s="378">
        <v>0</v>
      </c>
      <c r="H461" s="376">
        <v>75000</v>
      </c>
      <c r="I461" s="376" t="s">
        <v>147</v>
      </c>
    </row>
    <row r="462" spans="1:9" s="7" customFormat="1" x14ac:dyDescent="0.2">
      <c r="A462"/>
      <c r="B462" s="377">
        <v>672</v>
      </c>
      <c r="C462" s="377" t="s">
        <v>242</v>
      </c>
      <c r="D462" s="376">
        <v>9090</v>
      </c>
      <c r="E462" s="377" t="s">
        <v>241</v>
      </c>
      <c r="F462" s="377"/>
      <c r="G462" s="378">
        <v>0</v>
      </c>
      <c r="H462" s="376">
        <v>75000</v>
      </c>
      <c r="I462" s="376" t="s">
        <v>147</v>
      </c>
    </row>
    <row r="463" spans="1:9" s="7" customFormat="1" x14ac:dyDescent="0.2">
      <c r="A463"/>
      <c r="B463" s="377">
        <v>630</v>
      </c>
      <c r="C463" s="377" t="s">
        <v>403</v>
      </c>
      <c r="D463" s="376">
        <v>6211</v>
      </c>
      <c r="E463" s="377" t="s">
        <v>402</v>
      </c>
      <c r="F463" s="377" t="s">
        <v>401</v>
      </c>
      <c r="G463" s="378">
        <v>0</v>
      </c>
      <c r="H463" s="376">
        <v>400000</v>
      </c>
      <c r="I463" s="376" t="s">
        <v>147</v>
      </c>
    </row>
    <row r="464" spans="1:9" s="7" customFormat="1" x14ac:dyDescent="0.2">
      <c r="A464"/>
      <c r="B464" s="377">
        <v>448</v>
      </c>
      <c r="C464" s="377" t="s">
        <v>1004</v>
      </c>
      <c r="D464" s="376">
        <v>8930</v>
      </c>
      <c r="E464" s="377" t="s">
        <v>1003</v>
      </c>
      <c r="F464" s="377" t="s">
        <v>1002</v>
      </c>
      <c r="G464" s="378">
        <v>0</v>
      </c>
      <c r="H464" s="376">
        <v>300000</v>
      </c>
      <c r="I464" s="376" t="s">
        <v>147</v>
      </c>
    </row>
    <row r="465" spans="1:9" s="7" customFormat="1" x14ac:dyDescent="0.2">
      <c r="A465"/>
      <c r="B465" s="377">
        <v>214</v>
      </c>
      <c r="C465" s="377" t="s">
        <v>1745</v>
      </c>
      <c r="D465" s="376">
        <v>2170</v>
      </c>
      <c r="E465" s="377" t="s">
        <v>1744</v>
      </c>
      <c r="F465" s="377"/>
      <c r="G465" s="378">
        <v>0</v>
      </c>
      <c r="H465" s="376">
        <v>75000</v>
      </c>
      <c r="I465" s="376" t="s">
        <v>152</v>
      </c>
    </row>
    <row r="466" spans="1:9" s="7" customFormat="1" x14ac:dyDescent="0.2">
      <c r="A466"/>
      <c r="B466" s="377">
        <v>663</v>
      </c>
      <c r="C466" s="377" t="s">
        <v>274</v>
      </c>
      <c r="D466" s="376">
        <v>5640</v>
      </c>
      <c r="E466" s="377" t="s">
        <v>273</v>
      </c>
      <c r="F466" s="377"/>
      <c r="G466" s="378">
        <v>0</v>
      </c>
      <c r="H466" s="376">
        <v>400000</v>
      </c>
      <c r="I466" s="376" t="s">
        <v>147</v>
      </c>
    </row>
    <row r="467" spans="1:9" s="7" customFormat="1" x14ac:dyDescent="0.2">
      <c r="A467"/>
      <c r="B467" s="377">
        <v>203</v>
      </c>
      <c r="C467" s="377" t="s">
        <v>1783</v>
      </c>
      <c r="D467" s="376">
        <v>8760</v>
      </c>
      <c r="E467" s="377" t="s">
        <v>1270</v>
      </c>
      <c r="F467" s="377" t="s">
        <v>1782</v>
      </c>
      <c r="G467" s="378">
        <v>0</v>
      </c>
      <c r="H467" s="376">
        <v>300000</v>
      </c>
      <c r="I467" s="376" t="s">
        <v>147</v>
      </c>
    </row>
    <row r="468" spans="1:9" s="7" customFormat="1" x14ac:dyDescent="0.2">
      <c r="A468"/>
      <c r="B468" s="377">
        <v>367</v>
      </c>
      <c r="C468" s="377" t="s">
        <v>1271</v>
      </c>
      <c r="D468" s="376">
        <v>8760</v>
      </c>
      <c r="E468" s="377" t="s">
        <v>1270</v>
      </c>
      <c r="F468" s="377" t="s">
        <v>1269</v>
      </c>
      <c r="G468" s="378">
        <v>0</v>
      </c>
      <c r="H468" s="376">
        <v>155000</v>
      </c>
      <c r="I468" s="376" t="s">
        <v>152</v>
      </c>
    </row>
    <row r="469" spans="1:9" s="7" customFormat="1" x14ac:dyDescent="0.2">
      <c r="A469"/>
      <c r="B469" s="377">
        <v>249</v>
      </c>
      <c r="C469" s="377" t="s">
        <v>1640</v>
      </c>
      <c r="D469" s="376">
        <v>4630</v>
      </c>
      <c r="E469" s="377" t="s">
        <v>1639</v>
      </c>
      <c r="F469" s="377"/>
      <c r="G469" s="378">
        <v>0</v>
      </c>
      <c r="H469" s="376">
        <v>400000</v>
      </c>
      <c r="I469" s="376" t="s">
        <v>147</v>
      </c>
    </row>
    <row r="470" spans="1:9" s="7" customFormat="1" x14ac:dyDescent="0.2">
      <c r="A470"/>
      <c r="B470" s="377">
        <v>267</v>
      </c>
      <c r="C470" s="377" t="s">
        <v>1582</v>
      </c>
      <c r="D470" s="376">
        <v>2400</v>
      </c>
      <c r="E470" s="377" t="s">
        <v>1465</v>
      </c>
      <c r="F470" s="377" t="s">
        <v>1581</v>
      </c>
      <c r="G470" s="378">
        <v>0</v>
      </c>
      <c r="H470" s="376">
        <v>155000</v>
      </c>
      <c r="I470" s="376" t="s">
        <v>147</v>
      </c>
    </row>
    <row r="471" spans="1:9" s="7" customFormat="1" x14ac:dyDescent="0.2">
      <c r="A471"/>
      <c r="B471" s="377">
        <v>304</v>
      </c>
      <c r="C471" s="377" t="s">
        <v>1466</v>
      </c>
      <c r="D471" s="376">
        <v>2400</v>
      </c>
      <c r="E471" s="377" t="s">
        <v>1465</v>
      </c>
      <c r="F471" s="377"/>
      <c r="G471" s="378">
        <v>0</v>
      </c>
      <c r="H471" s="376">
        <v>155000</v>
      </c>
      <c r="I471" s="376" t="s">
        <v>147</v>
      </c>
    </row>
    <row r="472" spans="1:9" s="7" customFormat="1" x14ac:dyDescent="0.2">
      <c r="A472"/>
      <c r="B472" s="377">
        <v>690</v>
      </c>
      <c r="C472" s="377" t="s">
        <v>173</v>
      </c>
      <c r="D472" s="376">
        <v>1730</v>
      </c>
      <c r="E472" s="377" t="s">
        <v>172</v>
      </c>
      <c r="F472" s="377" t="s">
        <v>171</v>
      </c>
      <c r="G472" s="378">
        <v>0</v>
      </c>
      <c r="H472" s="376">
        <v>75000</v>
      </c>
      <c r="I472" s="376" t="s">
        <v>147</v>
      </c>
    </row>
    <row r="473" spans="1:9" s="7" customFormat="1" x14ac:dyDescent="0.2">
      <c r="A473"/>
      <c r="B473" s="377">
        <v>608</v>
      </c>
      <c r="C473" s="377" t="s">
        <v>474</v>
      </c>
      <c r="D473" s="376">
        <v>6031</v>
      </c>
      <c r="E473" s="377" t="s">
        <v>473</v>
      </c>
      <c r="F473" s="377"/>
      <c r="G473" s="378">
        <v>0</v>
      </c>
      <c r="H473" s="376">
        <v>300000</v>
      </c>
      <c r="I473" s="376" t="s">
        <v>147</v>
      </c>
    </row>
    <row r="474" spans="1:9" s="7" customFormat="1" x14ac:dyDescent="0.2">
      <c r="A474"/>
      <c r="B474" s="377">
        <v>555</v>
      </c>
      <c r="C474" s="377" t="s">
        <v>649</v>
      </c>
      <c r="D474" s="376">
        <v>7030</v>
      </c>
      <c r="E474" s="377" t="s">
        <v>630</v>
      </c>
      <c r="F474" s="377" t="s">
        <v>648</v>
      </c>
      <c r="G474" s="378">
        <v>0</v>
      </c>
      <c r="H474" s="376">
        <v>155000</v>
      </c>
      <c r="I474" s="376" t="s">
        <v>147</v>
      </c>
    </row>
    <row r="475" spans="1:9" s="7" customFormat="1" x14ac:dyDescent="0.2">
      <c r="A475"/>
      <c r="B475" s="377">
        <v>560</v>
      </c>
      <c r="C475" s="377" t="s">
        <v>631</v>
      </c>
      <c r="D475" s="376">
        <v>7022</v>
      </c>
      <c r="E475" s="377" t="s">
        <v>630</v>
      </c>
      <c r="F475" s="377"/>
      <c r="G475" s="378">
        <v>0</v>
      </c>
      <c r="H475" s="376">
        <v>155000</v>
      </c>
      <c r="I475" s="376" t="s">
        <v>147</v>
      </c>
    </row>
    <row r="476" spans="1:9" s="7" customFormat="1" x14ac:dyDescent="0.2">
      <c r="A476"/>
      <c r="B476" s="377">
        <v>155</v>
      </c>
      <c r="C476" s="377" t="s">
        <v>1931</v>
      </c>
      <c r="D476" s="376">
        <v>6032</v>
      </c>
      <c r="E476" s="377" t="s">
        <v>1366</v>
      </c>
      <c r="F476" s="377"/>
      <c r="G476" s="378">
        <v>0</v>
      </c>
      <c r="H476" s="376">
        <v>400000</v>
      </c>
      <c r="I476" s="376" t="s">
        <v>147</v>
      </c>
    </row>
    <row r="477" spans="1:9" s="7" customFormat="1" x14ac:dyDescent="0.2">
      <c r="A477"/>
      <c r="B477" s="377">
        <v>337</v>
      </c>
      <c r="C477" s="377" t="s">
        <v>1367</v>
      </c>
      <c r="D477" s="376">
        <v>6032</v>
      </c>
      <c r="E477" s="377" t="s">
        <v>1366</v>
      </c>
      <c r="F477" s="377" t="s">
        <v>1365</v>
      </c>
      <c r="G477" s="378">
        <v>0</v>
      </c>
      <c r="H477" s="376">
        <v>400000</v>
      </c>
      <c r="I477" s="376" t="s">
        <v>147</v>
      </c>
    </row>
    <row r="478" spans="1:9" s="7" customFormat="1" x14ac:dyDescent="0.2">
      <c r="A478"/>
      <c r="B478" s="377">
        <v>456</v>
      </c>
      <c r="C478" s="377" t="s">
        <v>977</v>
      </c>
      <c r="D478" s="376">
        <v>4420</v>
      </c>
      <c r="E478" s="377" t="s">
        <v>976</v>
      </c>
      <c r="F478" s="377"/>
      <c r="G478" s="378">
        <v>0</v>
      </c>
      <c r="H478" s="376">
        <v>75000</v>
      </c>
      <c r="I478" s="376" t="s">
        <v>147</v>
      </c>
    </row>
    <row r="479" spans="1:9" s="7" customFormat="1" x14ac:dyDescent="0.2">
      <c r="A479"/>
      <c r="B479" s="377">
        <v>133</v>
      </c>
      <c r="C479" s="377" t="s">
        <v>1994</v>
      </c>
      <c r="D479" s="376">
        <v>6061</v>
      </c>
      <c r="E479" s="377" t="s">
        <v>992</v>
      </c>
      <c r="F479" s="377" t="s">
        <v>1993</v>
      </c>
      <c r="G479" s="378">
        <v>0</v>
      </c>
      <c r="H479" s="376">
        <v>75000</v>
      </c>
      <c r="I479" s="376" t="s">
        <v>147</v>
      </c>
    </row>
    <row r="480" spans="1:9" s="7" customFormat="1" x14ac:dyDescent="0.2">
      <c r="A480"/>
      <c r="B480" s="377">
        <v>291</v>
      </c>
      <c r="C480" s="377" t="s">
        <v>1507</v>
      </c>
      <c r="D480" s="376">
        <v>6061</v>
      </c>
      <c r="E480" s="377" t="s">
        <v>992</v>
      </c>
      <c r="F480" s="377" t="s">
        <v>1506</v>
      </c>
      <c r="G480" s="378">
        <v>0</v>
      </c>
      <c r="H480" s="376">
        <v>75000</v>
      </c>
      <c r="I480" s="376" t="s">
        <v>147</v>
      </c>
    </row>
    <row r="481" spans="1:9" s="7" customFormat="1" x14ac:dyDescent="0.2">
      <c r="A481"/>
      <c r="B481" s="377">
        <v>451</v>
      </c>
      <c r="C481" s="377" t="s">
        <v>993</v>
      </c>
      <c r="D481" s="376">
        <v>6061</v>
      </c>
      <c r="E481" s="377" t="s">
        <v>992</v>
      </c>
      <c r="F481" s="377"/>
      <c r="G481" s="378">
        <v>0</v>
      </c>
      <c r="H481" s="376">
        <v>75000</v>
      </c>
      <c r="I481" s="376" t="s">
        <v>147</v>
      </c>
    </row>
    <row r="482" spans="1:9" s="7" customFormat="1" x14ac:dyDescent="0.2">
      <c r="A482"/>
      <c r="B482" s="377">
        <v>56</v>
      </c>
      <c r="C482" s="377" t="s">
        <v>2217</v>
      </c>
      <c r="D482" s="376">
        <v>6110</v>
      </c>
      <c r="E482" s="377" t="s">
        <v>1978</v>
      </c>
      <c r="F482" s="377"/>
      <c r="G482" s="378">
        <v>0</v>
      </c>
      <c r="H482" s="376">
        <v>300000</v>
      </c>
      <c r="I482" s="376" t="s">
        <v>152</v>
      </c>
    </row>
    <row r="483" spans="1:9" s="7" customFormat="1" x14ac:dyDescent="0.2">
      <c r="A483"/>
      <c r="B483" s="377">
        <v>138</v>
      </c>
      <c r="C483" s="377" t="s">
        <v>1979</v>
      </c>
      <c r="D483" s="376">
        <v>6110</v>
      </c>
      <c r="E483" s="377" t="s">
        <v>1978</v>
      </c>
      <c r="F483" s="377"/>
      <c r="G483" s="378">
        <v>0</v>
      </c>
      <c r="H483" s="376">
        <v>400000</v>
      </c>
      <c r="I483" s="376" t="s">
        <v>152</v>
      </c>
    </row>
    <row r="484" spans="1:9" s="7" customFormat="1" x14ac:dyDescent="0.2">
      <c r="A484"/>
      <c r="B484" s="377">
        <v>390</v>
      </c>
      <c r="C484" s="377" t="s">
        <v>1201</v>
      </c>
      <c r="D484" s="376">
        <v>8890</v>
      </c>
      <c r="E484" s="377" t="s">
        <v>1200</v>
      </c>
      <c r="F484" s="377" t="s">
        <v>1199</v>
      </c>
      <c r="G484" s="378">
        <v>0</v>
      </c>
      <c r="H484" s="376">
        <v>300000</v>
      </c>
      <c r="I484" s="376" t="s">
        <v>152</v>
      </c>
    </row>
    <row r="485" spans="1:9" s="7" customFormat="1" x14ac:dyDescent="0.2">
      <c r="A485"/>
      <c r="B485" s="377">
        <v>120</v>
      </c>
      <c r="C485" s="377" t="s">
        <v>2034</v>
      </c>
      <c r="D485" s="376">
        <v>8300</v>
      </c>
      <c r="E485" s="377" t="s">
        <v>304</v>
      </c>
      <c r="F485" s="377" t="s">
        <v>2033</v>
      </c>
      <c r="G485" s="378">
        <v>0</v>
      </c>
      <c r="H485" s="376">
        <v>75000</v>
      </c>
      <c r="I485" s="376" t="s">
        <v>147</v>
      </c>
    </row>
    <row r="486" spans="1:9" s="7" customFormat="1" x14ac:dyDescent="0.2">
      <c r="A486"/>
      <c r="B486" s="377">
        <v>655</v>
      </c>
      <c r="C486" s="377" t="s">
        <v>305</v>
      </c>
      <c r="D486" s="376">
        <v>2640</v>
      </c>
      <c r="E486" s="377" t="s">
        <v>304</v>
      </c>
      <c r="F486" s="377" t="s">
        <v>303</v>
      </c>
      <c r="G486" s="378">
        <v>0</v>
      </c>
      <c r="H486" s="376">
        <v>300000</v>
      </c>
      <c r="I486" s="376" t="s">
        <v>147</v>
      </c>
    </row>
    <row r="487" spans="1:9" s="7" customFormat="1" x14ac:dyDescent="0.2">
      <c r="A487"/>
      <c r="B487" s="377">
        <v>108</v>
      </c>
      <c r="C487" s="377" t="s">
        <v>2073</v>
      </c>
      <c r="D487" s="376">
        <v>2812</v>
      </c>
      <c r="E487" s="377" t="s">
        <v>212</v>
      </c>
      <c r="F487" s="377" t="s">
        <v>2072</v>
      </c>
      <c r="G487" s="378">
        <v>0</v>
      </c>
      <c r="H487" s="376">
        <v>300000</v>
      </c>
      <c r="I487" s="376" t="s">
        <v>147</v>
      </c>
    </row>
    <row r="488" spans="1:9" s="7" customFormat="1" x14ac:dyDescent="0.2">
      <c r="A488"/>
      <c r="B488" s="377">
        <v>680</v>
      </c>
      <c r="C488" s="377" t="s">
        <v>213</v>
      </c>
      <c r="D488" s="376">
        <v>2812</v>
      </c>
      <c r="E488" s="377" t="s">
        <v>212</v>
      </c>
      <c r="F488" s="377" t="s">
        <v>211</v>
      </c>
      <c r="G488" s="378">
        <v>0</v>
      </c>
      <c r="H488" s="376">
        <v>300000</v>
      </c>
      <c r="I488" s="376" t="s">
        <v>152</v>
      </c>
    </row>
    <row r="489" spans="1:9" s="7" customFormat="1" x14ac:dyDescent="0.2">
      <c r="A489"/>
      <c r="B489" s="377">
        <v>536</v>
      </c>
      <c r="C489" s="377" t="s">
        <v>708</v>
      </c>
      <c r="D489" s="376">
        <v>5000</v>
      </c>
      <c r="E489" s="377" t="s">
        <v>554</v>
      </c>
      <c r="F489" s="377"/>
      <c r="G489" s="378">
        <v>0</v>
      </c>
      <c r="H489" s="376">
        <v>75000</v>
      </c>
      <c r="I489" s="376" t="s">
        <v>152</v>
      </c>
    </row>
    <row r="490" spans="1:9" s="7" customFormat="1" x14ac:dyDescent="0.2">
      <c r="A490"/>
      <c r="B490" s="377">
        <v>585</v>
      </c>
      <c r="C490" s="377" t="s">
        <v>555</v>
      </c>
      <c r="D490" s="376">
        <v>5000</v>
      </c>
      <c r="E490" s="377" t="s">
        <v>554</v>
      </c>
      <c r="F490" s="377"/>
      <c r="G490" s="378">
        <v>0</v>
      </c>
      <c r="H490" s="376">
        <v>400000</v>
      </c>
      <c r="I490" s="376" t="s">
        <v>147</v>
      </c>
    </row>
    <row r="491" spans="1:9" s="7" customFormat="1" x14ac:dyDescent="0.2">
      <c r="A491"/>
      <c r="B491" s="377">
        <v>96</v>
      </c>
      <c r="C491" s="377" t="s">
        <v>2108</v>
      </c>
      <c r="D491" s="376">
        <v>5100</v>
      </c>
      <c r="E491" s="377" t="s">
        <v>1575</v>
      </c>
      <c r="F491" s="377"/>
      <c r="G491" s="378">
        <v>0</v>
      </c>
      <c r="H491" s="376">
        <v>75000</v>
      </c>
      <c r="I491" s="376" t="s">
        <v>152</v>
      </c>
    </row>
    <row r="492" spans="1:9" s="7" customFormat="1" x14ac:dyDescent="0.2">
      <c r="A492"/>
      <c r="B492" s="377">
        <v>269</v>
      </c>
      <c r="C492" s="377" t="s">
        <v>1576</v>
      </c>
      <c r="D492" s="376">
        <v>5100</v>
      </c>
      <c r="E492" s="377" t="s">
        <v>1575</v>
      </c>
      <c r="F492" s="377"/>
      <c r="G492" s="378">
        <v>0</v>
      </c>
      <c r="H492" s="376">
        <v>155000</v>
      </c>
      <c r="I492" s="376" t="s">
        <v>147</v>
      </c>
    </row>
    <row r="493" spans="1:9" s="7" customFormat="1" x14ac:dyDescent="0.2">
      <c r="A493"/>
      <c r="B493" s="377">
        <v>161</v>
      </c>
      <c r="C493" s="377" t="s">
        <v>1915</v>
      </c>
      <c r="D493" s="376">
        <v>2000</v>
      </c>
      <c r="E493" s="377" t="s">
        <v>1914</v>
      </c>
      <c r="F493" s="377" t="s">
        <v>1913</v>
      </c>
      <c r="G493" s="378">
        <v>0</v>
      </c>
      <c r="H493" s="376">
        <v>300000</v>
      </c>
      <c r="I493" s="376" t="s">
        <v>147</v>
      </c>
    </row>
    <row r="494" spans="1:9" s="7" customFormat="1" x14ac:dyDescent="0.2">
      <c r="A494"/>
      <c r="B494" s="377">
        <v>405</v>
      </c>
      <c r="C494" s="377" t="s">
        <v>1147</v>
      </c>
      <c r="D494" s="376">
        <v>6950</v>
      </c>
      <c r="E494" s="377" t="s">
        <v>1146</v>
      </c>
      <c r="F494" s="377" t="s">
        <v>1145</v>
      </c>
      <c r="G494" s="378">
        <v>0</v>
      </c>
      <c r="H494" s="376">
        <v>300000</v>
      </c>
      <c r="I494" s="376" t="s">
        <v>147</v>
      </c>
    </row>
    <row r="495" spans="1:9" s="7" customFormat="1" x14ac:dyDescent="0.2">
      <c r="A495"/>
      <c r="B495" s="377">
        <v>314</v>
      </c>
      <c r="C495" s="377" t="s">
        <v>1433</v>
      </c>
      <c r="D495" s="376">
        <v>9810</v>
      </c>
      <c r="E495" s="377" t="s">
        <v>1329</v>
      </c>
      <c r="F495" s="377"/>
      <c r="G495" s="378">
        <v>0</v>
      </c>
      <c r="H495" s="376">
        <v>300000</v>
      </c>
      <c r="I495" s="376" t="s">
        <v>152</v>
      </c>
    </row>
    <row r="496" spans="1:9" s="7" customFormat="1" x14ac:dyDescent="0.2">
      <c r="A496"/>
      <c r="B496" s="377">
        <v>349</v>
      </c>
      <c r="C496" s="377" t="s">
        <v>1330</v>
      </c>
      <c r="D496" s="376">
        <v>9810</v>
      </c>
      <c r="E496" s="377" t="s">
        <v>1329</v>
      </c>
      <c r="F496" s="377" t="s">
        <v>1328</v>
      </c>
      <c r="G496" s="378">
        <v>0</v>
      </c>
      <c r="H496" s="376">
        <v>75000</v>
      </c>
      <c r="I496" s="376" t="s">
        <v>147</v>
      </c>
    </row>
    <row r="497" spans="1:9" s="7" customFormat="1" x14ac:dyDescent="0.2">
      <c r="A497"/>
      <c r="B497" s="377">
        <v>104</v>
      </c>
      <c r="C497" s="377" t="s">
        <v>2085</v>
      </c>
      <c r="D497" s="376">
        <v>3971</v>
      </c>
      <c r="E497" s="377" t="s">
        <v>2084</v>
      </c>
      <c r="F497" s="377" t="s">
        <v>2083</v>
      </c>
      <c r="G497" s="378">
        <v>0</v>
      </c>
      <c r="H497" s="376">
        <v>300000</v>
      </c>
      <c r="I497" s="376" t="s">
        <v>147</v>
      </c>
    </row>
    <row r="498" spans="1:9" s="7" customFormat="1" x14ac:dyDescent="0.2">
      <c r="A498"/>
      <c r="B498" s="377">
        <v>325</v>
      </c>
      <c r="C498" s="377" t="s">
        <v>1402</v>
      </c>
      <c r="D498" s="376">
        <v>6840</v>
      </c>
      <c r="E498" s="377" t="s">
        <v>1401</v>
      </c>
      <c r="F498" s="377" t="s">
        <v>1400</v>
      </c>
      <c r="G498" s="378">
        <v>0</v>
      </c>
      <c r="H498" s="376">
        <v>400000</v>
      </c>
      <c r="I498" s="376" t="s">
        <v>147</v>
      </c>
    </row>
    <row r="499" spans="1:9" s="7" customFormat="1" x14ac:dyDescent="0.2">
      <c r="A499"/>
      <c r="B499" s="377">
        <v>656</v>
      </c>
      <c r="C499" s="377" t="s">
        <v>302</v>
      </c>
      <c r="D499" s="376">
        <v>9850</v>
      </c>
      <c r="E499" s="377" t="s">
        <v>301</v>
      </c>
      <c r="F499" s="377"/>
      <c r="G499" s="378">
        <v>0</v>
      </c>
      <c r="H499" s="376">
        <v>300000</v>
      </c>
      <c r="I499" s="376" t="s">
        <v>147</v>
      </c>
    </row>
    <row r="500" spans="1:9" s="7" customFormat="1" x14ac:dyDescent="0.2">
      <c r="A500"/>
      <c r="B500" s="377">
        <v>283</v>
      </c>
      <c r="C500" s="377" t="s">
        <v>1532</v>
      </c>
      <c r="D500" s="376">
        <v>2845</v>
      </c>
      <c r="E500" s="377" t="s">
        <v>1531</v>
      </c>
      <c r="F500" s="377" t="s">
        <v>1530</v>
      </c>
      <c r="G500" s="378">
        <v>0</v>
      </c>
      <c r="H500" s="376">
        <v>500000</v>
      </c>
      <c r="I500" s="376" t="s">
        <v>147</v>
      </c>
    </row>
    <row r="501" spans="1:9" s="7" customFormat="1" x14ac:dyDescent="0.2">
      <c r="A501"/>
      <c r="B501" s="377">
        <v>168</v>
      </c>
      <c r="C501" s="377" t="s">
        <v>1892</v>
      </c>
      <c r="D501" s="376">
        <v>2560</v>
      </c>
      <c r="E501" s="377" t="s">
        <v>1891</v>
      </c>
      <c r="F501" s="377" t="s">
        <v>1890</v>
      </c>
      <c r="G501" s="378">
        <v>0</v>
      </c>
      <c r="H501" s="376">
        <v>300000</v>
      </c>
      <c r="I501" s="376" t="s">
        <v>152</v>
      </c>
    </row>
    <row r="502" spans="1:9" s="7" customFormat="1" x14ac:dyDescent="0.2">
      <c r="A502"/>
      <c r="B502" s="377">
        <v>376</v>
      </c>
      <c r="C502" s="377" t="s">
        <v>1240</v>
      </c>
      <c r="D502" s="376">
        <v>9400</v>
      </c>
      <c r="E502" s="377" t="s">
        <v>1095</v>
      </c>
      <c r="F502" s="377"/>
      <c r="G502" s="378">
        <v>0</v>
      </c>
      <c r="H502" s="376">
        <v>75000</v>
      </c>
      <c r="I502" s="376" t="s">
        <v>147</v>
      </c>
    </row>
    <row r="503" spans="1:9" s="7" customFormat="1" x14ac:dyDescent="0.2">
      <c r="A503"/>
      <c r="B503" s="377">
        <v>419</v>
      </c>
      <c r="C503" s="377" t="s">
        <v>1096</v>
      </c>
      <c r="D503" s="376">
        <v>9402</v>
      </c>
      <c r="E503" s="377" t="s">
        <v>1095</v>
      </c>
      <c r="F503" s="377" t="s">
        <v>1094</v>
      </c>
      <c r="G503" s="378">
        <v>0</v>
      </c>
      <c r="H503" s="376">
        <v>75000</v>
      </c>
      <c r="I503" s="376" t="s">
        <v>152</v>
      </c>
    </row>
    <row r="504" spans="1:9" s="7" customFormat="1" x14ac:dyDescent="0.2">
      <c r="A504"/>
      <c r="B504" s="377">
        <v>140</v>
      </c>
      <c r="C504" s="377" t="s">
        <v>1974</v>
      </c>
      <c r="D504" s="376">
        <v>1400</v>
      </c>
      <c r="E504" s="377" t="s">
        <v>765</v>
      </c>
      <c r="F504" s="377" t="s">
        <v>1973</v>
      </c>
      <c r="G504" s="378">
        <v>0</v>
      </c>
      <c r="H504" s="376">
        <v>155000</v>
      </c>
      <c r="I504" s="376" t="s">
        <v>147</v>
      </c>
    </row>
    <row r="505" spans="1:9" s="7" customFormat="1" x14ac:dyDescent="0.2">
      <c r="A505"/>
      <c r="B505" s="377">
        <v>520</v>
      </c>
      <c r="C505" s="377" t="s">
        <v>766</v>
      </c>
      <c r="D505" s="376">
        <v>1400</v>
      </c>
      <c r="E505" s="377" t="s">
        <v>765</v>
      </c>
      <c r="F505" s="377" t="s">
        <v>764</v>
      </c>
      <c r="G505" s="378">
        <v>0</v>
      </c>
      <c r="H505" s="376">
        <v>400000</v>
      </c>
      <c r="I505" s="376" t="s">
        <v>147</v>
      </c>
    </row>
    <row r="506" spans="1:9" s="7" customFormat="1" x14ac:dyDescent="0.2">
      <c r="A506"/>
      <c r="B506" s="377">
        <v>423</v>
      </c>
      <c r="C506" s="377" t="s">
        <v>1082</v>
      </c>
      <c r="D506" s="376">
        <v>6831</v>
      </c>
      <c r="E506" s="377" t="s">
        <v>1081</v>
      </c>
      <c r="F506" s="377" t="s">
        <v>1080</v>
      </c>
      <c r="G506" s="378">
        <v>0</v>
      </c>
      <c r="H506" s="376">
        <v>300000</v>
      </c>
      <c r="I506" s="376" t="s">
        <v>152</v>
      </c>
    </row>
    <row r="507" spans="1:9" s="7" customFormat="1" x14ac:dyDescent="0.2">
      <c r="A507"/>
      <c r="B507" s="377">
        <v>137</v>
      </c>
      <c r="C507" s="377" t="s">
        <v>1982</v>
      </c>
      <c r="D507" s="376">
        <v>1380</v>
      </c>
      <c r="E507" s="377" t="s">
        <v>1981</v>
      </c>
      <c r="F507" s="377" t="s">
        <v>1980</v>
      </c>
      <c r="G507" s="378">
        <v>0</v>
      </c>
      <c r="H507" s="376">
        <v>155000</v>
      </c>
      <c r="I507" s="376" t="s">
        <v>147</v>
      </c>
    </row>
    <row r="508" spans="1:9" s="7" customFormat="1" x14ac:dyDescent="0.2">
      <c r="A508"/>
      <c r="B508" s="377">
        <v>386</v>
      </c>
      <c r="C508" s="377" t="s">
        <v>1212</v>
      </c>
      <c r="D508" s="376">
        <v>5350</v>
      </c>
      <c r="E508" s="377" t="s">
        <v>1211</v>
      </c>
      <c r="F508" s="377" t="s">
        <v>1210</v>
      </c>
      <c r="G508" s="378">
        <v>0</v>
      </c>
      <c r="H508" s="376">
        <v>400000</v>
      </c>
      <c r="I508" s="376" t="s">
        <v>152</v>
      </c>
    </row>
    <row r="509" spans="1:9" s="7" customFormat="1" x14ac:dyDescent="0.2">
      <c r="A509"/>
      <c r="B509" s="377">
        <v>244</v>
      </c>
      <c r="C509" s="377" t="s">
        <v>1658</v>
      </c>
      <c r="D509" s="376">
        <v>1480</v>
      </c>
      <c r="E509" s="377" t="s">
        <v>1657</v>
      </c>
      <c r="F509" s="377" t="s">
        <v>1656</v>
      </c>
      <c r="G509" s="378">
        <v>0</v>
      </c>
      <c r="H509" s="376">
        <v>400000</v>
      </c>
      <c r="I509" s="376" t="s">
        <v>152</v>
      </c>
    </row>
    <row r="510" spans="1:9" s="7" customFormat="1" x14ac:dyDescent="0.2">
      <c r="A510"/>
      <c r="B510" s="377">
        <v>318</v>
      </c>
      <c r="C510" s="377" t="s">
        <v>1420</v>
      </c>
      <c r="D510" s="376">
        <v>2250</v>
      </c>
      <c r="E510" s="377" t="s">
        <v>906</v>
      </c>
      <c r="F510" s="377"/>
      <c r="G510" s="378">
        <v>0</v>
      </c>
      <c r="H510" s="376">
        <v>300000</v>
      </c>
      <c r="I510" s="376" t="s">
        <v>147</v>
      </c>
    </row>
    <row r="511" spans="1:9" s="7" customFormat="1" x14ac:dyDescent="0.2">
      <c r="A511"/>
      <c r="B511" s="377">
        <v>477</v>
      </c>
      <c r="C511" s="377" t="s">
        <v>907</v>
      </c>
      <c r="D511" s="376">
        <v>2250</v>
      </c>
      <c r="E511" s="377" t="s">
        <v>906</v>
      </c>
      <c r="F511" s="377" t="s">
        <v>905</v>
      </c>
      <c r="G511" s="378">
        <v>0</v>
      </c>
      <c r="H511" s="376">
        <v>300000</v>
      </c>
      <c r="I511" s="376" t="s">
        <v>147</v>
      </c>
    </row>
    <row r="512" spans="1:9" s="7" customFormat="1" x14ac:dyDescent="0.2">
      <c r="A512"/>
      <c r="B512" s="377">
        <v>324</v>
      </c>
      <c r="C512" s="377" t="s">
        <v>1404</v>
      </c>
      <c r="D512" s="376">
        <v>5670</v>
      </c>
      <c r="E512" s="377" t="s">
        <v>935</v>
      </c>
      <c r="F512" s="377" t="s">
        <v>1403</v>
      </c>
      <c r="G512" s="378">
        <v>0</v>
      </c>
      <c r="H512" s="376">
        <v>400000</v>
      </c>
      <c r="I512" s="376" t="s">
        <v>152</v>
      </c>
    </row>
    <row r="513" spans="1:9" s="7" customFormat="1" x14ac:dyDescent="0.2">
      <c r="A513"/>
      <c r="B513" s="377">
        <v>469</v>
      </c>
      <c r="C513" s="377" t="s">
        <v>936</v>
      </c>
      <c r="D513" s="376">
        <v>5670</v>
      </c>
      <c r="E513" s="377" t="s">
        <v>935</v>
      </c>
      <c r="F513" s="377"/>
      <c r="G513" s="378">
        <v>0</v>
      </c>
      <c r="H513" s="376">
        <v>400000</v>
      </c>
      <c r="I513" s="376" t="s">
        <v>147</v>
      </c>
    </row>
    <row r="514" spans="1:9" s="7" customFormat="1" x14ac:dyDescent="0.2">
      <c r="A514"/>
      <c r="B514" s="377">
        <v>201</v>
      </c>
      <c r="C514" s="377" t="s">
        <v>1791</v>
      </c>
      <c r="D514" s="376">
        <v>8400</v>
      </c>
      <c r="E514" s="377" t="s">
        <v>1790</v>
      </c>
      <c r="F514" s="377"/>
      <c r="G514" s="378">
        <v>0</v>
      </c>
      <c r="H514" s="376">
        <v>155000</v>
      </c>
      <c r="I514" s="376" t="s">
        <v>147</v>
      </c>
    </row>
    <row r="515" spans="1:9" s="7" customFormat="1" x14ac:dyDescent="0.2">
      <c r="A515"/>
      <c r="B515" s="377">
        <v>388</v>
      </c>
      <c r="C515" s="377" t="s">
        <v>1206</v>
      </c>
      <c r="D515" s="376">
        <v>8780</v>
      </c>
      <c r="E515" s="377" t="s">
        <v>1205</v>
      </c>
      <c r="F515" s="377" t="s">
        <v>1204</v>
      </c>
      <c r="G515" s="378">
        <v>0</v>
      </c>
      <c r="H515" s="376">
        <v>75000</v>
      </c>
      <c r="I515" s="376" t="s">
        <v>147</v>
      </c>
    </row>
    <row r="516" spans="1:9" s="7" customFormat="1" x14ac:dyDescent="0.2">
      <c r="A516"/>
      <c r="B516" s="377">
        <v>344</v>
      </c>
      <c r="C516" s="377" t="s">
        <v>1345</v>
      </c>
      <c r="D516" s="376">
        <v>1745</v>
      </c>
      <c r="E516" s="377" t="s">
        <v>551</v>
      </c>
      <c r="F516" s="377"/>
      <c r="G516" s="378">
        <v>0</v>
      </c>
      <c r="H516" s="376">
        <v>300000</v>
      </c>
      <c r="I516" s="376" t="s">
        <v>152</v>
      </c>
    </row>
    <row r="517" spans="1:9" s="7" customFormat="1" x14ac:dyDescent="0.2">
      <c r="A517"/>
      <c r="B517" s="377">
        <v>572</v>
      </c>
      <c r="C517" s="377" t="s">
        <v>593</v>
      </c>
      <c r="D517" s="376">
        <v>1745</v>
      </c>
      <c r="E517" s="377" t="s">
        <v>551</v>
      </c>
      <c r="F517" s="377" t="s">
        <v>592</v>
      </c>
      <c r="G517" s="378">
        <v>0</v>
      </c>
      <c r="H517" s="376">
        <v>155000</v>
      </c>
      <c r="I517" s="376" t="s">
        <v>147</v>
      </c>
    </row>
    <row r="518" spans="1:9" s="7" customFormat="1" x14ac:dyDescent="0.2">
      <c r="A518"/>
      <c r="B518" s="377">
        <v>586</v>
      </c>
      <c r="C518" s="377" t="s">
        <v>552</v>
      </c>
      <c r="D518" s="376">
        <v>1745</v>
      </c>
      <c r="E518" s="377" t="s">
        <v>551</v>
      </c>
      <c r="F518" s="377" t="s">
        <v>550</v>
      </c>
      <c r="G518" s="378">
        <v>0</v>
      </c>
      <c r="H518" s="376">
        <v>75000</v>
      </c>
      <c r="I518" s="376" t="s">
        <v>147</v>
      </c>
    </row>
    <row r="519" spans="1:9" s="7" customFormat="1" x14ac:dyDescent="0.2">
      <c r="A519"/>
      <c r="B519" s="377">
        <v>476</v>
      </c>
      <c r="C519" s="377" t="s">
        <v>910</v>
      </c>
      <c r="D519" s="376">
        <v>9700</v>
      </c>
      <c r="E519" s="377" t="s">
        <v>909</v>
      </c>
      <c r="F519" s="377" t="s">
        <v>908</v>
      </c>
      <c r="G519" s="378">
        <v>0</v>
      </c>
      <c r="H519" s="376">
        <v>75000</v>
      </c>
      <c r="I519" s="376" t="s">
        <v>147</v>
      </c>
    </row>
    <row r="520" spans="1:9" s="7" customFormat="1" x14ac:dyDescent="0.2">
      <c r="A520"/>
      <c r="B520" s="377">
        <v>243</v>
      </c>
      <c r="C520" s="377" t="s">
        <v>1662</v>
      </c>
      <c r="D520" s="376">
        <v>3090</v>
      </c>
      <c r="E520" s="377" t="s">
        <v>375</v>
      </c>
      <c r="F520" s="377" t="s">
        <v>1661</v>
      </c>
      <c r="G520" s="378">
        <v>0</v>
      </c>
      <c r="H520" s="376">
        <v>300000</v>
      </c>
      <c r="I520" s="376" t="s">
        <v>147</v>
      </c>
    </row>
    <row r="521" spans="1:9" s="7" customFormat="1" x14ac:dyDescent="0.2">
      <c r="A521"/>
      <c r="B521" s="377">
        <v>338</v>
      </c>
      <c r="C521" s="377" t="s">
        <v>1363</v>
      </c>
      <c r="D521" s="376">
        <v>3090</v>
      </c>
      <c r="E521" s="377" t="s">
        <v>375</v>
      </c>
      <c r="F521" s="377" t="s">
        <v>1362</v>
      </c>
      <c r="G521" s="378">
        <v>0</v>
      </c>
      <c r="H521" s="376">
        <v>75000</v>
      </c>
      <c r="I521" s="376" t="s">
        <v>147</v>
      </c>
    </row>
    <row r="522" spans="1:9" s="7" customFormat="1" x14ac:dyDescent="0.2">
      <c r="A522"/>
      <c r="B522" s="377">
        <v>468</v>
      </c>
      <c r="C522" s="377" t="s">
        <v>940</v>
      </c>
      <c r="D522" s="376">
        <v>3090</v>
      </c>
      <c r="E522" s="377" t="s">
        <v>375</v>
      </c>
      <c r="F522" s="377" t="s">
        <v>939</v>
      </c>
      <c r="G522" s="378">
        <v>0</v>
      </c>
      <c r="H522" s="376">
        <v>155000</v>
      </c>
      <c r="I522" s="376" t="s">
        <v>152</v>
      </c>
    </row>
    <row r="523" spans="1:9" s="7" customFormat="1" x14ac:dyDescent="0.2">
      <c r="A523"/>
      <c r="B523" s="377">
        <v>488</v>
      </c>
      <c r="C523" s="377" t="s">
        <v>877</v>
      </c>
      <c r="D523" s="376">
        <v>3090</v>
      </c>
      <c r="E523" s="377" t="s">
        <v>375</v>
      </c>
      <c r="F523" s="377" t="s">
        <v>876</v>
      </c>
      <c r="G523" s="378">
        <v>0</v>
      </c>
      <c r="H523" s="376">
        <v>500000</v>
      </c>
      <c r="I523" s="376" t="s">
        <v>147</v>
      </c>
    </row>
    <row r="524" spans="1:9" s="7" customFormat="1" x14ac:dyDescent="0.2">
      <c r="A524"/>
      <c r="B524" s="377">
        <v>613</v>
      </c>
      <c r="C524" s="377" t="s">
        <v>456</v>
      </c>
      <c r="D524" s="376">
        <v>3090</v>
      </c>
      <c r="E524" s="377" t="s">
        <v>375</v>
      </c>
      <c r="F524" s="377" t="s">
        <v>455</v>
      </c>
      <c r="G524" s="378">
        <v>0</v>
      </c>
      <c r="H524" s="376">
        <v>75000</v>
      </c>
      <c r="I524" s="376" t="s">
        <v>147</v>
      </c>
    </row>
    <row r="525" spans="1:9" s="7" customFormat="1" x14ac:dyDescent="0.2">
      <c r="A525"/>
      <c r="B525" s="377">
        <v>637</v>
      </c>
      <c r="C525" s="377" t="s">
        <v>376</v>
      </c>
      <c r="D525" s="376">
        <v>3090</v>
      </c>
      <c r="E525" s="377" t="s">
        <v>375</v>
      </c>
      <c r="F525" s="377" t="s">
        <v>374</v>
      </c>
      <c r="G525" s="378">
        <v>0</v>
      </c>
      <c r="H525" s="376">
        <v>155000</v>
      </c>
      <c r="I525" s="376" t="s">
        <v>147</v>
      </c>
    </row>
    <row r="526" spans="1:9" s="7" customFormat="1" x14ac:dyDescent="0.2">
      <c r="A526"/>
      <c r="B526" s="377">
        <v>187</v>
      </c>
      <c r="C526" s="377" t="s">
        <v>1833</v>
      </c>
      <c r="D526" s="376">
        <v>3990</v>
      </c>
      <c r="E526" s="377" t="s">
        <v>1070</v>
      </c>
      <c r="F526" s="377"/>
      <c r="G526" s="378">
        <v>0</v>
      </c>
      <c r="H526" s="376">
        <v>75000</v>
      </c>
      <c r="I526" s="376" t="s">
        <v>147</v>
      </c>
    </row>
    <row r="527" spans="1:9" s="7" customFormat="1" x14ac:dyDescent="0.2">
      <c r="A527"/>
      <c r="B527" s="377">
        <v>426</v>
      </c>
      <c r="C527" s="377" t="s">
        <v>1071</v>
      </c>
      <c r="D527" s="376">
        <v>3990</v>
      </c>
      <c r="E527" s="377" t="s">
        <v>1070</v>
      </c>
      <c r="F527" s="377" t="s">
        <v>1069</v>
      </c>
      <c r="G527" s="378">
        <v>0</v>
      </c>
      <c r="H527" s="376">
        <v>75000</v>
      </c>
      <c r="I527" s="376" t="s">
        <v>152</v>
      </c>
    </row>
    <row r="528" spans="1:9" s="7" customFormat="1" x14ac:dyDescent="0.2">
      <c r="A528"/>
      <c r="B528" s="377">
        <v>615</v>
      </c>
      <c r="C528" s="377" t="s">
        <v>451</v>
      </c>
      <c r="D528" s="376">
        <v>6810</v>
      </c>
      <c r="E528" s="377" t="s">
        <v>450</v>
      </c>
      <c r="F528" s="377" t="s">
        <v>449</v>
      </c>
      <c r="G528" s="378">
        <v>0</v>
      </c>
      <c r="H528" s="376">
        <v>300000</v>
      </c>
      <c r="I528" s="376" t="s">
        <v>147</v>
      </c>
    </row>
    <row r="529" spans="1:9" s="7" customFormat="1" x14ac:dyDescent="0.2">
      <c r="A529"/>
      <c r="B529" s="377">
        <v>619</v>
      </c>
      <c r="C529" s="377" t="s">
        <v>436</v>
      </c>
      <c r="D529" s="376">
        <v>6230</v>
      </c>
      <c r="E529" s="377" t="s">
        <v>435</v>
      </c>
      <c r="F529" s="377"/>
      <c r="G529" s="378">
        <v>0</v>
      </c>
      <c r="H529" s="376">
        <v>300000</v>
      </c>
      <c r="I529" s="376" t="s">
        <v>147</v>
      </c>
    </row>
    <row r="530" spans="1:9" s="7" customFormat="1" x14ac:dyDescent="0.2">
      <c r="A530"/>
      <c r="B530" s="377">
        <v>106</v>
      </c>
      <c r="C530" s="377" t="s">
        <v>2079</v>
      </c>
      <c r="D530" s="376">
        <v>3680</v>
      </c>
      <c r="E530" s="377" t="s">
        <v>2078</v>
      </c>
      <c r="F530" s="377" t="s">
        <v>2077</v>
      </c>
      <c r="G530" s="378">
        <v>0</v>
      </c>
      <c r="H530" s="376">
        <v>155000</v>
      </c>
      <c r="I530" s="376" t="s">
        <v>147</v>
      </c>
    </row>
    <row r="531" spans="1:9" s="7" customFormat="1" x14ac:dyDescent="0.2">
      <c r="A531"/>
      <c r="B531" s="377">
        <v>43</v>
      </c>
      <c r="C531" s="377" t="s">
        <v>2254</v>
      </c>
      <c r="D531" s="376">
        <v>2870</v>
      </c>
      <c r="E531" s="377" t="s">
        <v>338</v>
      </c>
      <c r="F531" s="377" t="s">
        <v>2253</v>
      </c>
      <c r="G531" s="378">
        <v>0</v>
      </c>
      <c r="H531" s="376">
        <v>300000</v>
      </c>
      <c r="I531" s="376" t="s">
        <v>147</v>
      </c>
    </row>
    <row r="532" spans="1:9" s="7" customFormat="1" x14ac:dyDescent="0.2">
      <c r="A532"/>
      <c r="B532" s="377">
        <v>266</v>
      </c>
      <c r="C532" s="377" t="s">
        <v>1584</v>
      </c>
      <c r="D532" s="376">
        <v>2870</v>
      </c>
      <c r="E532" s="377" t="s">
        <v>338</v>
      </c>
      <c r="F532" s="377" t="s">
        <v>1583</v>
      </c>
      <c r="G532" s="378">
        <v>0</v>
      </c>
      <c r="H532" s="376">
        <v>75000</v>
      </c>
      <c r="I532" s="376" t="s">
        <v>152</v>
      </c>
    </row>
    <row r="533" spans="1:9" s="7" customFormat="1" x14ac:dyDescent="0.2">
      <c r="A533"/>
      <c r="B533" s="377">
        <v>522</v>
      </c>
      <c r="C533" s="377" t="s">
        <v>760</v>
      </c>
      <c r="D533" s="376">
        <v>2870</v>
      </c>
      <c r="E533" s="377" t="s">
        <v>338</v>
      </c>
      <c r="F533" s="377" t="s">
        <v>759</v>
      </c>
      <c r="G533" s="378">
        <v>0</v>
      </c>
      <c r="H533" s="376">
        <v>300000</v>
      </c>
      <c r="I533" s="376" t="s">
        <v>147</v>
      </c>
    </row>
    <row r="534" spans="1:9" s="7" customFormat="1" x14ac:dyDescent="0.2">
      <c r="A534"/>
      <c r="B534" s="377">
        <v>646</v>
      </c>
      <c r="C534" s="377" t="s">
        <v>339</v>
      </c>
      <c r="D534" s="376">
        <v>2870</v>
      </c>
      <c r="E534" s="377" t="s">
        <v>338</v>
      </c>
      <c r="F534" s="377" t="s">
        <v>337</v>
      </c>
      <c r="G534" s="378">
        <v>0</v>
      </c>
      <c r="H534" s="376">
        <v>300000</v>
      </c>
      <c r="I534" s="376" t="s">
        <v>147</v>
      </c>
    </row>
    <row r="535" spans="1:9" s="7" customFormat="1" x14ac:dyDescent="0.2">
      <c r="A535"/>
      <c r="B535" s="377">
        <v>23</v>
      </c>
      <c r="C535" s="377" t="s">
        <v>2312</v>
      </c>
      <c r="D535" s="376">
        <v>7972</v>
      </c>
      <c r="E535" s="377" t="s">
        <v>2311</v>
      </c>
      <c r="F535" s="377" t="s">
        <v>2310</v>
      </c>
      <c r="G535" s="378">
        <v>0</v>
      </c>
      <c r="H535" s="376">
        <v>300000</v>
      </c>
      <c r="I535" s="376" t="s">
        <v>152</v>
      </c>
    </row>
    <row r="536" spans="1:9" s="7" customFormat="1" x14ac:dyDescent="0.2">
      <c r="A536"/>
      <c r="B536" s="377">
        <v>565</v>
      </c>
      <c r="C536" s="377" t="s">
        <v>616</v>
      </c>
      <c r="D536" s="376">
        <v>7040</v>
      </c>
      <c r="E536" s="377" t="s">
        <v>615</v>
      </c>
      <c r="F536" s="377" t="s">
        <v>614</v>
      </c>
      <c r="G536" s="378">
        <v>0</v>
      </c>
      <c r="H536" s="376">
        <v>300000</v>
      </c>
      <c r="I536" s="376" t="s">
        <v>147</v>
      </c>
    </row>
    <row r="537" spans="1:9" s="7" customFormat="1" x14ac:dyDescent="0.2">
      <c r="A537"/>
      <c r="B537" s="377">
        <v>55</v>
      </c>
      <c r="C537" s="377" t="s">
        <v>2219</v>
      </c>
      <c r="D537" s="376">
        <v>6043</v>
      </c>
      <c r="E537" s="377" t="s">
        <v>487</v>
      </c>
      <c r="F537" s="377"/>
      <c r="G537" s="378">
        <v>0</v>
      </c>
      <c r="H537" s="376">
        <v>400000</v>
      </c>
      <c r="I537" s="376" t="s">
        <v>147</v>
      </c>
    </row>
    <row r="538" spans="1:9" s="7" customFormat="1" x14ac:dyDescent="0.2">
      <c r="A538"/>
      <c r="B538" s="377">
        <v>90</v>
      </c>
      <c r="C538" s="377" t="s">
        <v>2122</v>
      </c>
      <c r="D538" s="376">
        <v>6043</v>
      </c>
      <c r="E538" s="377" t="s">
        <v>487</v>
      </c>
      <c r="F538" s="377"/>
      <c r="G538" s="378">
        <v>0</v>
      </c>
      <c r="H538" s="376">
        <v>400000</v>
      </c>
      <c r="I538" s="376" t="s">
        <v>152</v>
      </c>
    </row>
    <row r="539" spans="1:9" s="7" customFormat="1" x14ac:dyDescent="0.2">
      <c r="A539"/>
      <c r="B539" s="377">
        <v>278</v>
      </c>
      <c r="C539" s="377" t="s">
        <v>1549</v>
      </c>
      <c r="D539" s="376">
        <v>6043</v>
      </c>
      <c r="E539" s="377" t="s">
        <v>487</v>
      </c>
      <c r="F539" s="377" t="s">
        <v>1548</v>
      </c>
      <c r="G539" s="378">
        <v>0</v>
      </c>
      <c r="H539" s="376">
        <v>400000</v>
      </c>
      <c r="I539" s="376" t="s">
        <v>147</v>
      </c>
    </row>
    <row r="540" spans="1:9" s="7" customFormat="1" x14ac:dyDescent="0.2">
      <c r="A540"/>
      <c r="B540" s="377">
        <v>603</v>
      </c>
      <c r="C540" s="377" t="s">
        <v>488</v>
      </c>
      <c r="D540" s="376">
        <v>6043</v>
      </c>
      <c r="E540" s="377" t="s">
        <v>487</v>
      </c>
      <c r="F540" s="377" t="s">
        <v>486</v>
      </c>
      <c r="G540" s="378">
        <v>0</v>
      </c>
      <c r="H540" s="376">
        <v>400000</v>
      </c>
      <c r="I540" s="376" t="s">
        <v>147</v>
      </c>
    </row>
    <row r="541" spans="1:9" s="7" customFormat="1" x14ac:dyDescent="0.2">
      <c r="A541"/>
      <c r="B541" s="377">
        <v>144</v>
      </c>
      <c r="C541" s="377" t="s">
        <v>1962</v>
      </c>
      <c r="D541" s="376">
        <v>4920</v>
      </c>
      <c r="E541" s="377" t="s">
        <v>1961</v>
      </c>
      <c r="F541" s="377"/>
      <c r="G541" s="378">
        <v>0</v>
      </c>
      <c r="H541" s="376">
        <v>300000</v>
      </c>
      <c r="I541" s="376" t="s">
        <v>147</v>
      </c>
    </row>
    <row r="542" spans="1:9" s="7" customFormat="1" x14ac:dyDescent="0.2">
      <c r="A542"/>
      <c r="B542" s="377">
        <v>86</v>
      </c>
      <c r="C542" s="377" t="s">
        <v>2132</v>
      </c>
      <c r="D542" s="376">
        <v>4621</v>
      </c>
      <c r="E542" s="377" t="s">
        <v>394</v>
      </c>
      <c r="F542" s="377"/>
      <c r="G542" s="378">
        <v>0</v>
      </c>
      <c r="H542" s="376">
        <v>400000</v>
      </c>
      <c r="I542" s="376" t="s">
        <v>147</v>
      </c>
    </row>
    <row r="543" spans="1:9" s="7" customFormat="1" x14ac:dyDescent="0.2">
      <c r="A543"/>
      <c r="B543" s="377">
        <v>256</v>
      </c>
      <c r="C543" s="377" t="s">
        <v>1617</v>
      </c>
      <c r="D543" s="376">
        <v>4621</v>
      </c>
      <c r="E543" s="377" t="s">
        <v>394</v>
      </c>
      <c r="F543" s="377" t="s">
        <v>1616</v>
      </c>
      <c r="G543" s="378">
        <v>0</v>
      </c>
      <c r="H543" s="376">
        <v>300000</v>
      </c>
      <c r="I543" s="376" t="s">
        <v>147</v>
      </c>
    </row>
    <row r="544" spans="1:9" s="7" customFormat="1" x14ac:dyDescent="0.2">
      <c r="A544"/>
      <c r="B544" s="377">
        <v>632</v>
      </c>
      <c r="C544" s="377" t="s">
        <v>395</v>
      </c>
      <c r="D544" s="376">
        <v>4621</v>
      </c>
      <c r="E544" s="377" t="s">
        <v>394</v>
      </c>
      <c r="F544" s="377" t="s">
        <v>393</v>
      </c>
      <c r="G544" s="378">
        <v>0</v>
      </c>
      <c r="H544" s="376">
        <v>75000</v>
      </c>
      <c r="I544" s="376" t="s">
        <v>147</v>
      </c>
    </row>
    <row r="545" spans="1:9" s="7" customFormat="1" x14ac:dyDescent="0.2">
      <c r="A545"/>
      <c r="B545" s="377">
        <v>556</v>
      </c>
      <c r="C545" s="377" t="s">
        <v>645</v>
      </c>
      <c r="D545" s="376">
        <v>1640</v>
      </c>
      <c r="E545" s="377" t="s">
        <v>644</v>
      </c>
      <c r="F545" s="377" t="s">
        <v>643</v>
      </c>
      <c r="G545" s="378">
        <v>0</v>
      </c>
      <c r="H545" s="376">
        <v>75000</v>
      </c>
      <c r="I545" s="376" t="s">
        <v>147</v>
      </c>
    </row>
    <row r="546" spans="1:9" s="7" customFormat="1" x14ac:dyDescent="0.2">
      <c r="A546"/>
      <c r="B546" s="377">
        <v>210</v>
      </c>
      <c r="C546" s="377" t="s">
        <v>1760</v>
      </c>
      <c r="D546" s="376">
        <v>2310</v>
      </c>
      <c r="E546" s="377" t="s">
        <v>725</v>
      </c>
      <c r="F546" s="377" t="s">
        <v>1759</v>
      </c>
      <c r="G546" s="378">
        <v>0</v>
      </c>
      <c r="H546" s="376">
        <v>300000</v>
      </c>
      <c r="I546" s="376" t="s">
        <v>147</v>
      </c>
    </row>
    <row r="547" spans="1:9" s="7" customFormat="1" x14ac:dyDescent="0.2">
      <c r="A547"/>
      <c r="B547" s="377">
        <v>532</v>
      </c>
      <c r="C547" s="377" t="s">
        <v>726</v>
      </c>
      <c r="D547" s="376">
        <v>2310</v>
      </c>
      <c r="E547" s="377" t="s">
        <v>725</v>
      </c>
      <c r="F547" s="377" t="s">
        <v>724</v>
      </c>
      <c r="G547" s="378">
        <v>0</v>
      </c>
      <c r="H547" s="376">
        <v>75000</v>
      </c>
      <c r="I547" s="376" t="s">
        <v>147</v>
      </c>
    </row>
    <row r="548" spans="1:9" s="7" customFormat="1" x14ac:dyDescent="0.2">
      <c r="A548"/>
      <c r="B548" s="377">
        <v>7</v>
      </c>
      <c r="C548" s="377" t="s">
        <v>2359</v>
      </c>
      <c r="D548" s="376">
        <v>1330</v>
      </c>
      <c r="E548" s="377" t="s">
        <v>224</v>
      </c>
      <c r="F548" s="377" t="s">
        <v>2358</v>
      </c>
      <c r="G548" s="378">
        <v>0</v>
      </c>
      <c r="H548" s="376">
        <v>75000</v>
      </c>
      <c r="I548" s="376" t="s">
        <v>147</v>
      </c>
    </row>
    <row r="549" spans="1:9" s="7" customFormat="1" x14ac:dyDescent="0.2">
      <c r="A549"/>
      <c r="B549" s="377">
        <v>281</v>
      </c>
      <c r="C549" s="377" t="s">
        <v>1540</v>
      </c>
      <c r="D549" s="376">
        <v>1330</v>
      </c>
      <c r="E549" s="377" t="s">
        <v>224</v>
      </c>
      <c r="F549" s="377" t="s">
        <v>1539</v>
      </c>
      <c r="G549" s="378">
        <v>0</v>
      </c>
      <c r="H549" s="376">
        <v>400000</v>
      </c>
      <c r="I549" s="376" t="s">
        <v>147</v>
      </c>
    </row>
    <row r="550" spans="1:9" s="7" customFormat="1" x14ac:dyDescent="0.2">
      <c r="A550"/>
      <c r="B550" s="377">
        <v>677</v>
      </c>
      <c r="C550" s="377" t="s">
        <v>225</v>
      </c>
      <c r="D550" s="376">
        <v>1330</v>
      </c>
      <c r="E550" s="377" t="s">
        <v>224</v>
      </c>
      <c r="F550" s="377" t="s">
        <v>223</v>
      </c>
      <c r="G550" s="378">
        <v>0</v>
      </c>
      <c r="H550" s="376">
        <v>75000</v>
      </c>
      <c r="I550" s="376" t="s">
        <v>152</v>
      </c>
    </row>
    <row r="551" spans="1:9" s="7" customFormat="1" x14ac:dyDescent="0.2">
      <c r="A551"/>
      <c r="B551" s="377">
        <v>199</v>
      </c>
      <c r="C551" s="377" t="s">
        <v>1795</v>
      </c>
      <c r="D551" s="376">
        <v>8800</v>
      </c>
      <c r="E551" s="377" t="s">
        <v>254</v>
      </c>
      <c r="F551" s="377" t="s">
        <v>1794</v>
      </c>
      <c r="G551" s="378">
        <v>0</v>
      </c>
      <c r="H551" s="376">
        <v>300000</v>
      </c>
      <c r="I551" s="376" t="s">
        <v>147</v>
      </c>
    </row>
    <row r="552" spans="1:9" s="7" customFormat="1" x14ac:dyDescent="0.2">
      <c r="A552"/>
      <c r="B552" s="377">
        <v>242</v>
      </c>
      <c r="C552" s="377" t="s">
        <v>1665</v>
      </c>
      <c r="D552" s="376">
        <v>8800</v>
      </c>
      <c r="E552" s="377" t="s">
        <v>254</v>
      </c>
      <c r="F552" s="377" t="s">
        <v>1664</v>
      </c>
      <c r="G552" s="378">
        <v>0</v>
      </c>
      <c r="H552" s="376">
        <v>75000</v>
      </c>
      <c r="I552" s="376" t="s">
        <v>147</v>
      </c>
    </row>
    <row r="553" spans="1:9" s="7" customFormat="1" x14ac:dyDescent="0.2">
      <c r="A553"/>
      <c r="B553" s="377">
        <v>245</v>
      </c>
      <c r="C553" s="377" t="s">
        <v>1654</v>
      </c>
      <c r="D553" s="376">
        <v>8800</v>
      </c>
      <c r="E553" s="377" t="s">
        <v>254</v>
      </c>
      <c r="F553" s="377" t="s">
        <v>1653</v>
      </c>
      <c r="G553" s="378">
        <v>0</v>
      </c>
      <c r="H553" s="376">
        <v>300000</v>
      </c>
      <c r="I553" s="376" t="s">
        <v>152</v>
      </c>
    </row>
    <row r="554" spans="1:9" s="7" customFormat="1" x14ac:dyDescent="0.2">
      <c r="A554"/>
      <c r="B554" s="377">
        <v>408</v>
      </c>
      <c r="C554" s="377" t="s">
        <v>1134</v>
      </c>
      <c r="D554" s="376">
        <v>8800</v>
      </c>
      <c r="E554" s="377" t="s">
        <v>254</v>
      </c>
      <c r="F554" s="377"/>
      <c r="G554" s="378">
        <v>0</v>
      </c>
      <c r="H554" s="376">
        <v>300000</v>
      </c>
      <c r="I554" s="376" t="s">
        <v>152</v>
      </c>
    </row>
    <row r="555" spans="1:9" s="7" customFormat="1" x14ac:dyDescent="0.2">
      <c r="A555"/>
      <c r="B555" s="377">
        <v>479</v>
      </c>
      <c r="C555" s="377" t="s">
        <v>901</v>
      </c>
      <c r="D555" s="376">
        <v>8800</v>
      </c>
      <c r="E555" s="377" t="s">
        <v>254</v>
      </c>
      <c r="F555" s="377" t="s">
        <v>900</v>
      </c>
      <c r="G555" s="378">
        <v>0</v>
      </c>
      <c r="H555" s="376">
        <v>400000</v>
      </c>
      <c r="I555" s="376" t="s">
        <v>147</v>
      </c>
    </row>
    <row r="556" spans="1:9" s="7" customFormat="1" x14ac:dyDescent="0.2">
      <c r="A556"/>
      <c r="B556" s="377">
        <v>491</v>
      </c>
      <c r="C556" s="377" t="s">
        <v>867</v>
      </c>
      <c r="D556" s="376">
        <v>8800</v>
      </c>
      <c r="E556" s="377" t="s">
        <v>254</v>
      </c>
      <c r="F556" s="377" t="s">
        <v>866</v>
      </c>
      <c r="G556" s="378">
        <v>0</v>
      </c>
      <c r="H556" s="376">
        <v>300000</v>
      </c>
      <c r="I556" s="376" t="s">
        <v>152</v>
      </c>
    </row>
    <row r="557" spans="1:9" s="7" customFormat="1" x14ac:dyDescent="0.2">
      <c r="A557"/>
      <c r="B557" s="377">
        <v>578</v>
      </c>
      <c r="C557" s="377" t="s">
        <v>576</v>
      </c>
      <c r="D557" s="376">
        <v>8800</v>
      </c>
      <c r="E557" s="377" t="s">
        <v>254</v>
      </c>
      <c r="F557" s="377" t="s">
        <v>575</v>
      </c>
      <c r="G557" s="378">
        <v>0</v>
      </c>
      <c r="H557" s="376">
        <v>300000</v>
      </c>
      <c r="I557" s="376" t="s">
        <v>147</v>
      </c>
    </row>
    <row r="558" spans="1:9" s="7" customFormat="1" x14ac:dyDescent="0.2">
      <c r="A558"/>
      <c r="B558" s="377">
        <v>668</v>
      </c>
      <c r="C558" s="377" t="s">
        <v>255</v>
      </c>
      <c r="D558" s="376">
        <v>8800</v>
      </c>
      <c r="E558" s="377" t="s">
        <v>254</v>
      </c>
      <c r="F558" s="377" t="s">
        <v>253</v>
      </c>
      <c r="G558" s="378">
        <v>0</v>
      </c>
      <c r="H558" s="376">
        <v>300000</v>
      </c>
      <c r="I558" s="376" t="s">
        <v>152</v>
      </c>
    </row>
    <row r="559" spans="1:9" s="7" customFormat="1" x14ac:dyDescent="0.2">
      <c r="A559"/>
      <c r="B559" s="377">
        <v>219</v>
      </c>
      <c r="C559" s="377" t="s">
        <v>1733</v>
      </c>
      <c r="D559" s="376">
        <v>1760</v>
      </c>
      <c r="E559" s="377" t="s">
        <v>1732</v>
      </c>
      <c r="F559" s="377"/>
      <c r="G559" s="378">
        <v>0</v>
      </c>
      <c r="H559" s="376">
        <v>75000</v>
      </c>
      <c r="I559" s="376" t="s">
        <v>152</v>
      </c>
    </row>
    <row r="560" spans="1:9" s="7" customFormat="1" x14ac:dyDescent="0.2">
      <c r="A560"/>
      <c r="B560" s="377">
        <v>600</v>
      </c>
      <c r="C560" s="377" t="s">
        <v>499</v>
      </c>
      <c r="D560" s="376">
        <v>6044</v>
      </c>
      <c r="E560" s="377" t="s">
        <v>498</v>
      </c>
      <c r="F560" s="377" t="s">
        <v>497</v>
      </c>
      <c r="G560" s="378">
        <v>0</v>
      </c>
      <c r="H560" s="376">
        <v>400000</v>
      </c>
      <c r="I560" s="376" t="s">
        <v>152</v>
      </c>
    </row>
    <row r="561" spans="1:9" s="7" customFormat="1" x14ac:dyDescent="0.2">
      <c r="A561"/>
      <c r="B561" s="377">
        <v>125</v>
      </c>
      <c r="C561" s="377" t="s">
        <v>2018</v>
      </c>
      <c r="D561" s="376">
        <v>3130</v>
      </c>
      <c r="E561" s="377" t="s">
        <v>2017</v>
      </c>
      <c r="F561" s="377" t="s">
        <v>2016</v>
      </c>
      <c r="G561" s="378">
        <v>0</v>
      </c>
      <c r="H561" s="376">
        <v>300000</v>
      </c>
      <c r="I561" s="376" t="s">
        <v>152</v>
      </c>
    </row>
    <row r="562" spans="1:9" s="7" customFormat="1" x14ac:dyDescent="0.2">
      <c r="A562"/>
      <c r="B562" s="377">
        <v>670</v>
      </c>
      <c r="C562" s="377" t="s">
        <v>248</v>
      </c>
      <c r="D562" s="376">
        <v>7333</v>
      </c>
      <c r="E562" s="377" t="s">
        <v>247</v>
      </c>
      <c r="F562" s="377" t="s">
        <v>246</v>
      </c>
      <c r="G562" s="378">
        <v>0</v>
      </c>
      <c r="H562" s="376">
        <v>400000</v>
      </c>
      <c r="I562" s="376" t="s">
        <v>152</v>
      </c>
    </row>
    <row r="563" spans="1:9" s="7" customFormat="1" x14ac:dyDescent="0.2">
      <c r="A563"/>
      <c r="B563" s="377">
        <v>194</v>
      </c>
      <c r="C563" s="377" t="s">
        <v>1809</v>
      </c>
      <c r="D563" s="376">
        <v>6870</v>
      </c>
      <c r="E563" s="377" t="s">
        <v>1808</v>
      </c>
      <c r="F563" s="377" t="s">
        <v>1807</v>
      </c>
      <c r="G563" s="378">
        <v>0</v>
      </c>
      <c r="H563" s="376">
        <v>400000</v>
      </c>
      <c r="I563" s="376" t="s">
        <v>147</v>
      </c>
    </row>
    <row r="564" spans="1:9" s="7" customFormat="1" x14ac:dyDescent="0.2">
      <c r="A564"/>
      <c r="B564" s="377">
        <v>172</v>
      </c>
      <c r="C564" s="377" t="s">
        <v>1881</v>
      </c>
      <c r="D564" s="376">
        <v>4420</v>
      </c>
      <c r="E564" s="377" t="s">
        <v>1414</v>
      </c>
      <c r="F564" s="377"/>
      <c r="G564" s="378">
        <v>0</v>
      </c>
      <c r="H564" s="376">
        <v>400000</v>
      </c>
      <c r="I564" s="376" t="s">
        <v>147</v>
      </c>
    </row>
    <row r="565" spans="1:9" s="7" customFormat="1" x14ac:dyDescent="0.2">
      <c r="A565"/>
      <c r="B565" s="377">
        <v>320</v>
      </c>
      <c r="C565" s="377" t="s">
        <v>1415</v>
      </c>
      <c r="D565" s="376">
        <v>4420</v>
      </c>
      <c r="E565" s="377" t="s">
        <v>1414</v>
      </c>
      <c r="F565" s="377"/>
      <c r="G565" s="378">
        <v>0</v>
      </c>
      <c r="H565" s="376">
        <v>400000</v>
      </c>
      <c r="I565" s="376" t="s">
        <v>147</v>
      </c>
    </row>
    <row r="566" spans="1:9" s="7" customFormat="1" x14ac:dyDescent="0.2">
      <c r="A566"/>
      <c r="B566" s="377">
        <v>593</v>
      </c>
      <c r="C566" s="377" t="s">
        <v>523</v>
      </c>
      <c r="D566" s="376">
        <v>4780</v>
      </c>
      <c r="E566" s="377" t="s">
        <v>522</v>
      </c>
      <c r="F566" s="377"/>
      <c r="G566" s="378">
        <v>0</v>
      </c>
      <c r="H566" s="376">
        <v>300000</v>
      </c>
      <c r="I566" s="376" t="s">
        <v>147</v>
      </c>
    </row>
    <row r="567" spans="1:9" s="7" customFormat="1" x14ac:dyDescent="0.2">
      <c r="A567"/>
      <c r="B567" s="377">
        <v>528</v>
      </c>
      <c r="C567" s="377" t="s">
        <v>739</v>
      </c>
      <c r="D567" s="376">
        <v>5070</v>
      </c>
      <c r="E567" s="377" t="s">
        <v>738</v>
      </c>
      <c r="F567" s="377" t="s">
        <v>737</v>
      </c>
      <c r="G567" s="378">
        <v>0</v>
      </c>
      <c r="H567" s="376">
        <v>400000</v>
      </c>
      <c r="I567" s="376" t="s">
        <v>147</v>
      </c>
    </row>
    <row r="568" spans="1:9" s="7" customFormat="1" x14ac:dyDescent="0.2">
      <c r="A568"/>
      <c r="B568" s="377">
        <v>514</v>
      </c>
      <c r="C568" s="377" t="s">
        <v>787</v>
      </c>
      <c r="D568" s="376">
        <v>2627</v>
      </c>
      <c r="E568" s="377" t="s">
        <v>786</v>
      </c>
      <c r="F568" s="377" t="s">
        <v>785</v>
      </c>
      <c r="G568" s="378">
        <v>0</v>
      </c>
      <c r="H568" s="376">
        <v>400000</v>
      </c>
      <c r="I568" s="376" t="s">
        <v>147</v>
      </c>
    </row>
    <row r="569" spans="1:9" s="7" customFormat="1" x14ac:dyDescent="0.2">
      <c r="A569"/>
      <c r="B569" s="377">
        <v>160</v>
      </c>
      <c r="C569" s="377" t="s">
        <v>1917</v>
      </c>
      <c r="D569" s="376">
        <v>2970</v>
      </c>
      <c r="E569" s="377" t="s">
        <v>716</v>
      </c>
      <c r="F569" s="377"/>
      <c r="G569" s="378">
        <v>0</v>
      </c>
      <c r="H569" s="376">
        <v>75000</v>
      </c>
      <c r="I569" s="376" t="s">
        <v>147</v>
      </c>
    </row>
    <row r="570" spans="1:9" s="7" customFormat="1" x14ac:dyDescent="0.2">
      <c r="A570"/>
      <c r="B570" s="377">
        <v>534</v>
      </c>
      <c r="C570" s="377" t="s">
        <v>717</v>
      </c>
      <c r="D570" s="376">
        <v>2970</v>
      </c>
      <c r="E570" s="377" t="s">
        <v>716</v>
      </c>
      <c r="F570" s="377" t="s">
        <v>715</v>
      </c>
      <c r="G570" s="378">
        <v>0</v>
      </c>
      <c r="H570" s="376">
        <v>75000</v>
      </c>
      <c r="I570" s="376" t="s">
        <v>147</v>
      </c>
    </row>
    <row r="571" spans="1:9" s="7" customFormat="1" x14ac:dyDescent="0.2">
      <c r="A571"/>
      <c r="B571" s="377">
        <v>146</v>
      </c>
      <c r="C571" s="377" t="s">
        <v>1958</v>
      </c>
      <c r="D571" s="376">
        <v>2900</v>
      </c>
      <c r="E571" s="377" t="s">
        <v>250</v>
      </c>
      <c r="F571" s="377" t="s">
        <v>1957</v>
      </c>
      <c r="G571" s="378">
        <v>0</v>
      </c>
      <c r="H571" s="376">
        <v>75000</v>
      </c>
      <c r="I571" s="376" t="s">
        <v>147</v>
      </c>
    </row>
    <row r="572" spans="1:9" s="7" customFormat="1" x14ac:dyDescent="0.2">
      <c r="A572"/>
      <c r="B572" s="377">
        <v>669</v>
      </c>
      <c r="C572" s="377" t="s">
        <v>251</v>
      </c>
      <c r="D572" s="376">
        <v>2900</v>
      </c>
      <c r="E572" s="377" t="s">
        <v>250</v>
      </c>
      <c r="F572" s="377" t="s">
        <v>249</v>
      </c>
      <c r="G572" s="378">
        <v>0</v>
      </c>
      <c r="H572" s="376">
        <v>300000</v>
      </c>
      <c r="I572" s="376" t="s">
        <v>152</v>
      </c>
    </row>
    <row r="573" spans="1:9" s="7" customFormat="1" x14ac:dyDescent="0.2">
      <c r="A573"/>
      <c r="B573" s="377">
        <v>453</v>
      </c>
      <c r="C573" s="377" t="s">
        <v>986</v>
      </c>
      <c r="D573" s="376">
        <v>7180</v>
      </c>
      <c r="E573" s="377" t="s">
        <v>985</v>
      </c>
      <c r="F573" s="377" t="s">
        <v>984</v>
      </c>
      <c r="G573" s="378">
        <v>0</v>
      </c>
      <c r="H573" s="376">
        <v>400000</v>
      </c>
      <c r="I573" s="376" t="s">
        <v>147</v>
      </c>
    </row>
    <row r="574" spans="1:9" s="7" customFormat="1" x14ac:dyDescent="0.2">
      <c r="A574"/>
      <c r="B574" s="377">
        <v>552</v>
      </c>
      <c r="C574" s="377" t="s">
        <v>656</v>
      </c>
      <c r="D574" s="376">
        <v>4100</v>
      </c>
      <c r="E574" s="377" t="s">
        <v>655</v>
      </c>
      <c r="F574" s="377"/>
      <c r="G574" s="378">
        <v>0</v>
      </c>
      <c r="H574" s="376">
        <v>400000</v>
      </c>
      <c r="I574" s="376" t="s">
        <v>147</v>
      </c>
    </row>
    <row r="575" spans="1:9" s="7" customFormat="1" x14ac:dyDescent="0.2">
      <c r="A575"/>
      <c r="B575" s="377">
        <v>340</v>
      </c>
      <c r="C575" s="377" t="s">
        <v>1358</v>
      </c>
      <c r="D575" s="376">
        <v>1640</v>
      </c>
      <c r="E575" s="377" t="s">
        <v>1217</v>
      </c>
      <c r="F575" s="377" t="s">
        <v>1357</v>
      </c>
      <c r="G575" s="378">
        <v>0</v>
      </c>
      <c r="H575" s="376">
        <v>500000</v>
      </c>
      <c r="I575" s="376" t="s">
        <v>147</v>
      </c>
    </row>
    <row r="576" spans="1:9" s="7" customFormat="1" x14ac:dyDescent="0.2">
      <c r="A576"/>
      <c r="B576" s="377">
        <v>384</v>
      </c>
      <c r="C576" s="377" t="s">
        <v>1218</v>
      </c>
      <c r="D576" s="376">
        <v>1640</v>
      </c>
      <c r="E576" s="377" t="s">
        <v>1217</v>
      </c>
      <c r="F576" s="377" t="s">
        <v>1216</v>
      </c>
      <c r="G576" s="378">
        <v>0</v>
      </c>
      <c r="H576" s="376">
        <v>500000</v>
      </c>
      <c r="I576" s="376" t="s">
        <v>152</v>
      </c>
    </row>
    <row r="577" spans="1:9" s="7" customFormat="1" x14ac:dyDescent="0.2">
      <c r="A577"/>
      <c r="B577" s="377">
        <v>350</v>
      </c>
      <c r="C577" s="377" t="s">
        <v>1325</v>
      </c>
      <c r="D577" s="376">
        <v>2860</v>
      </c>
      <c r="E577" s="377" t="s">
        <v>621</v>
      </c>
      <c r="F577" s="377"/>
      <c r="G577" s="378">
        <v>0</v>
      </c>
      <c r="H577" s="376">
        <v>75000</v>
      </c>
      <c r="I577" s="376" t="s">
        <v>152</v>
      </c>
    </row>
    <row r="578" spans="1:9" s="7" customFormat="1" x14ac:dyDescent="0.2">
      <c r="A578"/>
      <c r="B578" s="377">
        <v>462</v>
      </c>
      <c r="C578" s="377" t="s">
        <v>958</v>
      </c>
      <c r="D578" s="376">
        <v>2860</v>
      </c>
      <c r="E578" s="377" t="s">
        <v>621</v>
      </c>
      <c r="F578" s="377" t="s">
        <v>957</v>
      </c>
      <c r="G578" s="378">
        <v>0</v>
      </c>
      <c r="H578" s="376">
        <v>300000</v>
      </c>
      <c r="I578" s="376" t="s">
        <v>147</v>
      </c>
    </row>
    <row r="579" spans="1:9" s="7" customFormat="1" x14ac:dyDescent="0.2">
      <c r="A579"/>
      <c r="B579" s="377">
        <v>563</v>
      </c>
      <c r="C579" s="377" t="s">
        <v>622</v>
      </c>
      <c r="D579" s="376">
        <v>2860</v>
      </c>
      <c r="E579" s="377" t="s">
        <v>621</v>
      </c>
      <c r="F579" s="377" t="s">
        <v>620</v>
      </c>
      <c r="G579" s="378">
        <v>0</v>
      </c>
      <c r="H579" s="376">
        <v>300000</v>
      </c>
      <c r="I579" s="376" t="s">
        <v>147</v>
      </c>
    </row>
    <row r="580" spans="1:9" s="7" customFormat="1" x14ac:dyDescent="0.2">
      <c r="A580"/>
      <c r="B580" s="377">
        <v>212</v>
      </c>
      <c r="C580" s="377" t="s">
        <v>1753</v>
      </c>
      <c r="D580" s="376">
        <v>9520</v>
      </c>
      <c r="E580" s="377" t="s">
        <v>1752</v>
      </c>
      <c r="F580" s="377" t="s">
        <v>1751</v>
      </c>
      <c r="G580" s="378">
        <v>0</v>
      </c>
      <c r="H580" s="376">
        <v>155000</v>
      </c>
      <c r="I580" s="376" t="s">
        <v>147</v>
      </c>
    </row>
    <row r="581" spans="1:9" s="7" customFormat="1" x14ac:dyDescent="0.2">
      <c r="A581"/>
      <c r="B581" s="377">
        <v>38</v>
      </c>
      <c r="C581" s="377" t="s">
        <v>2266</v>
      </c>
      <c r="D581" s="376">
        <v>9830</v>
      </c>
      <c r="E581" s="377" t="s">
        <v>2265</v>
      </c>
      <c r="F581" s="377"/>
      <c r="G581" s="378">
        <v>0</v>
      </c>
      <c r="H581" s="376">
        <v>300000</v>
      </c>
      <c r="I581" s="376" t="s">
        <v>152</v>
      </c>
    </row>
    <row r="582" spans="1:9" s="7" customFormat="1" x14ac:dyDescent="0.2">
      <c r="A582"/>
      <c r="B582" s="377">
        <v>227</v>
      </c>
      <c r="C582" s="377" t="s">
        <v>1710</v>
      </c>
      <c r="D582" s="376">
        <v>9100</v>
      </c>
      <c r="E582" s="377" t="s">
        <v>835</v>
      </c>
      <c r="F582" s="377"/>
      <c r="G582" s="378">
        <v>0</v>
      </c>
      <c r="H582" s="376">
        <v>300000</v>
      </c>
      <c r="I582" s="376" t="s">
        <v>152</v>
      </c>
    </row>
    <row r="583" spans="1:9" s="7" customFormat="1" x14ac:dyDescent="0.2">
      <c r="A583"/>
      <c r="B583" s="377">
        <v>499</v>
      </c>
      <c r="C583" s="377" t="s">
        <v>836</v>
      </c>
      <c r="D583" s="376">
        <v>9100</v>
      </c>
      <c r="E583" s="377" t="s">
        <v>835</v>
      </c>
      <c r="F583" s="377" t="s">
        <v>834</v>
      </c>
      <c r="G583" s="378">
        <v>0</v>
      </c>
      <c r="H583" s="376">
        <v>300000</v>
      </c>
      <c r="I583" s="376" t="s">
        <v>152</v>
      </c>
    </row>
    <row r="584" spans="1:9" s="7" customFormat="1" x14ac:dyDescent="0.2">
      <c r="A584"/>
      <c r="B584" s="377">
        <v>626</v>
      </c>
      <c r="C584" s="377" t="s">
        <v>419</v>
      </c>
      <c r="D584" s="376">
        <v>9111</v>
      </c>
      <c r="E584" s="377" t="s">
        <v>418</v>
      </c>
      <c r="F584" s="377" t="s">
        <v>417</v>
      </c>
      <c r="G584" s="378">
        <v>0</v>
      </c>
      <c r="H584" s="376">
        <v>300000</v>
      </c>
      <c r="I584" s="376" t="s">
        <v>147</v>
      </c>
    </row>
    <row r="585" spans="1:9" s="7" customFormat="1" x14ac:dyDescent="0.2">
      <c r="A585"/>
      <c r="B585" s="377">
        <v>8</v>
      </c>
      <c r="C585" s="377" t="s">
        <v>2356</v>
      </c>
      <c r="D585" s="376">
        <v>1600</v>
      </c>
      <c r="E585" s="377" t="s">
        <v>467</v>
      </c>
      <c r="F585" s="377" t="s">
        <v>2355</v>
      </c>
      <c r="G585" s="378">
        <v>0</v>
      </c>
      <c r="H585" s="376">
        <v>75000</v>
      </c>
      <c r="I585" s="376" t="s">
        <v>147</v>
      </c>
    </row>
    <row r="586" spans="1:9" s="7" customFormat="1" x14ac:dyDescent="0.2">
      <c r="A586"/>
      <c r="B586" s="377">
        <v>60</v>
      </c>
      <c r="C586" s="377" t="s">
        <v>2208</v>
      </c>
      <c r="D586" s="376">
        <v>1600</v>
      </c>
      <c r="E586" s="377" t="s">
        <v>467</v>
      </c>
      <c r="F586" s="377" t="s">
        <v>2207</v>
      </c>
      <c r="G586" s="378">
        <v>0</v>
      </c>
      <c r="H586" s="376">
        <v>155000</v>
      </c>
      <c r="I586" s="376" t="s">
        <v>147</v>
      </c>
    </row>
    <row r="587" spans="1:9" s="7" customFormat="1" x14ac:dyDescent="0.2">
      <c r="A587"/>
      <c r="B587" s="377">
        <v>533</v>
      </c>
      <c r="C587" s="377" t="s">
        <v>721</v>
      </c>
      <c r="D587" s="376">
        <v>1600</v>
      </c>
      <c r="E587" s="377" t="s">
        <v>467</v>
      </c>
      <c r="F587" s="377" t="s">
        <v>720</v>
      </c>
      <c r="G587" s="378">
        <v>0</v>
      </c>
      <c r="H587" s="376">
        <v>75000</v>
      </c>
      <c r="I587" s="376" t="s">
        <v>152</v>
      </c>
    </row>
    <row r="588" spans="1:9" s="7" customFormat="1" x14ac:dyDescent="0.2">
      <c r="A588"/>
      <c r="B588" s="377">
        <v>581</v>
      </c>
      <c r="C588" s="377" t="s">
        <v>566</v>
      </c>
      <c r="D588" s="376">
        <v>1600</v>
      </c>
      <c r="E588" s="377" t="s">
        <v>467</v>
      </c>
      <c r="F588" s="377" t="s">
        <v>565</v>
      </c>
      <c r="G588" s="378">
        <v>0</v>
      </c>
      <c r="H588" s="376">
        <v>75000</v>
      </c>
      <c r="I588" s="376" t="s">
        <v>152</v>
      </c>
    </row>
    <row r="589" spans="1:9" s="7" customFormat="1" x14ac:dyDescent="0.2">
      <c r="A589"/>
      <c r="B589" s="377">
        <v>610</v>
      </c>
      <c r="C589" s="377" t="s">
        <v>468</v>
      </c>
      <c r="D589" s="376">
        <v>1601</v>
      </c>
      <c r="E589" s="377" t="s">
        <v>467</v>
      </c>
      <c r="F589" s="377" t="s">
        <v>466</v>
      </c>
      <c r="G589" s="378">
        <v>0</v>
      </c>
      <c r="H589" s="376">
        <v>75000</v>
      </c>
      <c r="I589" s="376" t="s">
        <v>147</v>
      </c>
    </row>
    <row r="590" spans="1:9" s="7" customFormat="1" x14ac:dyDescent="0.2">
      <c r="A590"/>
      <c r="B590" s="377">
        <v>103</v>
      </c>
      <c r="C590" s="377" t="s">
        <v>2088</v>
      </c>
      <c r="D590" s="376">
        <v>3500</v>
      </c>
      <c r="E590" s="377" t="s">
        <v>611</v>
      </c>
      <c r="F590" s="377" t="s">
        <v>2087</v>
      </c>
      <c r="G590" s="378">
        <v>0</v>
      </c>
      <c r="H590" s="376">
        <v>300000</v>
      </c>
      <c r="I590" s="376" t="s">
        <v>152</v>
      </c>
    </row>
    <row r="591" spans="1:9" s="7" customFormat="1" x14ac:dyDescent="0.2">
      <c r="A591"/>
      <c r="B591" s="377">
        <v>566</v>
      </c>
      <c r="C591" s="377" t="s">
        <v>612</v>
      </c>
      <c r="D591" s="376">
        <v>5140</v>
      </c>
      <c r="E591" s="377" t="s">
        <v>611</v>
      </c>
      <c r="F591" s="377"/>
      <c r="G591" s="378"/>
      <c r="H591" s="376">
        <v>155000</v>
      </c>
      <c r="I591" s="376" t="s">
        <v>147</v>
      </c>
    </row>
    <row r="592" spans="1:9" s="7" customFormat="1" x14ac:dyDescent="0.2">
      <c r="A592"/>
      <c r="B592" s="377">
        <v>255</v>
      </c>
      <c r="C592" s="377" t="s">
        <v>1621</v>
      </c>
      <c r="D592" s="376">
        <v>4630</v>
      </c>
      <c r="E592" s="377" t="s">
        <v>1620</v>
      </c>
      <c r="F592" s="377"/>
      <c r="G592" s="378">
        <v>0</v>
      </c>
      <c r="H592" s="376">
        <v>400000</v>
      </c>
      <c r="I592" s="376" t="s">
        <v>147</v>
      </c>
    </row>
    <row r="593" spans="1:9" s="7" customFormat="1" x14ac:dyDescent="0.2">
      <c r="A593"/>
      <c r="B593" s="377">
        <v>526</v>
      </c>
      <c r="C593" s="377" t="s">
        <v>747</v>
      </c>
      <c r="D593" s="376">
        <v>6182</v>
      </c>
      <c r="E593" s="377" t="s">
        <v>746</v>
      </c>
      <c r="F593" s="377" t="s">
        <v>745</v>
      </c>
      <c r="G593" s="378">
        <v>0</v>
      </c>
      <c r="H593" s="376">
        <v>400000</v>
      </c>
      <c r="I593" s="376" t="s">
        <v>147</v>
      </c>
    </row>
    <row r="594" spans="1:9" s="7" customFormat="1" x14ac:dyDescent="0.2">
      <c r="A594"/>
      <c r="B594" s="377">
        <v>494</v>
      </c>
      <c r="C594" s="377" t="s">
        <v>856</v>
      </c>
      <c r="D594" s="376">
        <v>5150</v>
      </c>
      <c r="E594" s="377" t="s">
        <v>855</v>
      </c>
      <c r="F594" s="377"/>
      <c r="G594" s="378">
        <v>0</v>
      </c>
      <c r="H594" s="376">
        <v>400000</v>
      </c>
      <c r="I594" s="376" t="s">
        <v>147</v>
      </c>
    </row>
    <row r="595" spans="1:9" s="7" customFormat="1" x14ac:dyDescent="0.2">
      <c r="A595"/>
      <c r="B595" s="377">
        <v>186</v>
      </c>
      <c r="C595" s="377" t="s">
        <v>1837</v>
      </c>
      <c r="D595" s="376">
        <v>4900</v>
      </c>
      <c r="E595" s="377" t="s">
        <v>1836</v>
      </c>
      <c r="F595" s="377" t="s">
        <v>1835</v>
      </c>
      <c r="G595" s="378">
        <v>0</v>
      </c>
      <c r="H595" s="376">
        <v>75000</v>
      </c>
      <c r="I595" s="376" t="s">
        <v>147</v>
      </c>
    </row>
    <row r="596" spans="1:9" s="7" customFormat="1" x14ac:dyDescent="0.2">
      <c r="A596"/>
      <c r="B596" s="377">
        <v>648</v>
      </c>
      <c r="C596" s="377" t="s">
        <v>333</v>
      </c>
      <c r="D596" s="376">
        <v>8840</v>
      </c>
      <c r="E596" s="377" t="s">
        <v>332</v>
      </c>
      <c r="F596" s="377" t="s">
        <v>331</v>
      </c>
      <c r="G596" s="378">
        <v>0</v>
      </c>
      <c r="H596" s="376">
        <v>155000</v>
      </c>
      <c r="I596" s="376" t="s">
        <v>152</v>
      </c>
    </row>
    <row r="597" spans="1:9" s="7" customFormat="1" x14ac:dyDescent="0.2">
      <c r="A597"/>
      <c r="B597" s="377">
        <v>36</v>
      </c>
      <c r="C597" s="377" t="s">
        <v>2273</v>
      </c>
      <c r="D597" s="376">
        <v>9040</v>
      </c>
      <c r="E597" s="377" t="s">
        <v>2272</v>
      </c>
      <c r="F597" s="377"/>
      <c r="G597" s="378">
        <v>0</v>
      </c>
      <c r="H597" s="376">
        <v>75000</v>
      </c>
      <c r="I597" s="376" t="s">
        <v>147</v>
      </c>
    </row>
    <row r="598" spans="1:9" s="7" customFormat="1" x14ac:dyDescent="0.2">
      <c r="A598"/>
      <c r="B598" s="377">
        <v>42</v>
      </c>
      <c r="C598" s="377" t="s">
        <v>2256</v>
      </c>
      <c r="D598" s="376">
        <v>9190</v>
      </c>
      <c r="E598" s="377" t="s">
        <v>1766</v>
      </c>
      <c r="F598" s="377" t="s">
        <v>2255</v>
      </c>
      <c r="G598" s="378">
        <v>0</v>
      </c>
      <c r="H598" s="376">
        <v>500000</v>
      </c>
      <c r="I598" s="376" t="s">
        <v>147</v>
      </c>
    </row>
    <row r="599" spans="1:9" s="7" customFormat="1" x14ac:dyDescent="0.2">
      <c r="A599"/>
      <c r="B599" s="377">
        <v>208</v>
      </c>
      <c r="C599" s="377" t="s">
        <v>1767</v>
      </c>
      <c r="D599" s="376">
        <v>9190</v>
      </c>
      <c r="E599" s="377" t="s">
        <v>1766</v>
      </c>
      <c r="F599" s="377" t="s">
        <v>1765</v>
      </c>
      <c r="G599" s="378">
        <v>0</v>
      </c>
      <c r="H599" s="376">
        <v>300000</v>
      </c>
      <c r="I599" s="376" t="s">
        <v>147</v>
      </c>
    </row>
    <row r="600" spans="1:9" s="7" customFormat="1" x14ac:dyDescent="0.2">
      <c r="A600"/>
      <c r="B600" s="377">
        <v>524</v>
      </c>
      <c r="C600" s="377" t="s">
        <v>754</v>
      </c>
      <c r="D600" s="376">
        <v>4801</v>
      </c>
      <c r="E600" s="377" t="s">
        <v>753</v>
      </c>
      <c r="F600" s="377"/>
      <c r="G600" s="378">
        <v>0</v>
      </c>
      <c r="H600" s="376">
        <v>75000</v>
      </c>
      <c r="I600" s="376" t="s">
        <v>147</v>
      </c>
    </row>
    <row r="601" spans="1:9" s="7" customFormat="1" x14ac:dyDescent="0.2">
      <c r="A601"/>
      <c r="B601" s="377">
        <v>29</v>
      </c>
      <c r="C601" s="377" t="s">
        <v>2291</v>
      </c>
      <c r="D601" s="376">
        <v>1933</v>
      </c>
      <c r="E601" s="377" t="s">
        <v>2290</v>
      </c>
      <c r="F601" s="377" t="s">
        <v>2289</v>
      </c>
      <c r="G601" s="378">
        <v>0</v>
      </c>
      <c r="H601" s="376">
        <v>300000</v>
      </c>
      <c r="I601" s="376" t="s">
        <v>147</v>
      </c>
    </row>
    <row r="602" spans="1:9" s="7" customFormat="1" x14ac:dyDescent="0.2">
      <c r="A602"/>
      <c r="B602" s="377">
        <v>233</v>
      </c>
      <c r="C602" s="377" t="s">
        <v>1694</v>
      </c>
      <c r="D602" s="376">
        <v>1853</v>
      </c>
      <c r="E602" s="377" t="s">
        <v>1693</v>
      </c>
      <c r="F602" s="377" t="s">
        <v>1692</v>
      </c>
      <c r="G602" s="378">
        <v>0</v>
      </c>
      <c r="H602" s="376">
        <v>300000</v>
      </c>
      <c r="I602" s="376" t="s">
        <v>147</v>
      </c>
    </row>
    <row r="603" spans="1:9" s="7" customFormat="1" x14ac:dyDescent="0.2">
      <c r="A603"/>
      <c r="B603" s="377">
        <v>689</v>
      </c>
      <c r="C603" s="377" t="s">
        <v>177</v>
      </c>
      <c r="D603" s="376">
        <v>5060</v>
      </c>
      <c r="E603" s="377" t="s">
        <v>176</v>
      </c>
      <c r="F603" s="377"/>
      <c r="G603" s="378">
        <v>0</v>
      </c>
      <c r="H603" s="376">
        <v>400000</v>
      </c>
      <c r="I603" s="376" t="s">
        <v>147</v>
      </c>
    </row>
    <row r="604" spans="1:9" s="7" customFormat="1" x14ac:dyDescent="0.2">
      <c r="A604"/>
      <c r="B604" s="377">
        <v>475</v>
      </c>
      <c r="C604" s="377" t="s">
        <v>914</v>
      </c>
      <c r="D604" s="376">
        <v>5651</v>
      </c>
      <c r="E604" s="377" t="s">
        <v>913</v>
      </c>
      <c r="F604" s="377" t="s">
        <v>912</v>
      </c>
      <c r="G604" s="378">
        <v>0</v>
      </c>
      <c r="H604" s="376">
        <v>400000</v>
      </c>
      <c r="I604" s="376" t="s">
        <v>152</v>
      </c>
    </row>
    <row r="605" spans="1:9" s="7" customFormat="1" x14ac:dyDescent="0.2">
      <c r="A605"/>
      <c r="B605" s="377">
        <v>549</v>
      </c>
      <c r="C605" s="377" t="s">
        <v>667</v>
      </c>
      <c r="D605" s="376">
        <v>5310</v>
      </c>
      <c r="E605" s="377" t="s">
        <v>666</v>
      </c>
      <c r="F605" s="377" t="s">
        <v>665</v>
      </c>
      <c r="G605" s="378">
        <v>0</v>
      </c>
      <c r="H605" s="376">
        <v>300000</v>
      </c>
      <c r="I605" s="376" t="s">
        <v>152</v>
      </c>
    </row>
    <row r="606" spans="1:9" s="7" customFormat="1" x14ac:dyDescent="0.2">
      <c r="A606"/>
      <c r="B606" s="377">
        <v>58</v>
      </c>
      <c r="C606" s="377" t="s">
        <v>2211</v>
      </c>
      <c r="D606" s="376">
        <v>4101</v>
      </c>
      <c r="E606" s="377" t="s">
        <v>2209</v>
      </c>
      <c r="F606" s="377"/>
      <c r="G606" s="378">
        <v>0</v>
      </c>
      <c r="H606" s="376">
        <v>400000</v>
      </c>
      <c r="I606" s="376" t="s">
        <v>147</v>
      </c>
    </row>
    <row r="607" spans="1:9" s="7" customFormat="1" x14ac:dyDescent="0.2">
      <c r="A607"/>
      <c r="B607" s="377">
        <v>59</v>
      </c>
      <c r="C607" s="377" t="s">
        <v>2210</v>
      </c>
      <c r="D607" s="376">
        <v>5020</v>
      </c>
      <c r="E607" s="377" t="s">
        <v>2209</v>
      </c>
      <c r="F607" s="377"/>
      <c r="G607" s="378">
        <v>0</v>
      </c>
      <c r="H607" s="376">
        <v>155000</v>
      </c>
      <c r="I607" s="376" t="s">
        <v>147</v>
      </c>
    </row>
    <row r="608" spans="1:9" s="7" customFormat="1" x14ac:dyDescent="0.2">
      <c r="A608"/>
      <c r="B608" s="377">
        <v>170</v>
      </c>
      <c r="C608" s="377" t="s">
        <v>1886</v>
      </c>
      <c r="D608" s="376">
        <v>9140</v>
      </c>
      <c r="E608" s="377" t="s">
        <v>674</v>
      </c>
      <c r="F608" s="377" t="s">
        <v>1885</v>
      </c>
      <c r="G608" s="378">
        <v>0</v>
      </c>
      <c r="H608" s="376">
        <v>300000</v>
      </c>
      <c r="I608" s="376" t="s">
        <v>147</v>
      </c>
    </row>
    <row r="609" spans="1:9" s="7" customFormat="1" x14ac:dyDescent="0.2">
      <c r="A609"/>
      <c r="B609" s="377">
        <v>374</v>
      </c>
      <c r="C609" s="377" t="s">
        <v>1247</v>
      </c>
      <c r="D609" s="376">
        <v>9140</v>
      </c>
      <c r="E609" s="377" t="s">
        <v>674</v>
      </c>
      <c r="F609" s="377" t="s">
        <v>1246</v>
      </c>
      <c r="G609" s="378">
        <v>0</v>
      </c>
      <c r="H609" s="376">
        <v>155000</v>
      </c>
      <c r="I609" s="376" t="s">
        <v>152</v>
      </c>
    </row>
    <row r="610" spans="1:9" s="7" customFormat="1" x14ac:dyDescent="0.2">
      <c r="A610"/>
      <c r="B610" s="377">
        <v>454</v>
      </c>
      <c r="C610" s="377" t="s">
        <v>983</v>
      </c>
      <c r="D610" s="376">
        <v>9140</v>
      </c>
      <c r="E610" s="377" t="s">
        <v>674</v>
      </c>
      <c r="F610" s="377" t="s">
        <v>982</v>
      </c>
      <c r="G610" s="378">
        <v>0</v>
      </c>
      <c r="H610" s="376">
        <v>300000</v>
      </c>
      <c r="I610" s="376" t="s">
        <v>152</v>
      </c>
    </row>
    <row r="611" spans="1:9" s="7" customFormat="1" x14ac:dyDescent="0.2">
      <c r="A611"/>
      <c r="B611" s="377">
        <v>546</v>
      </c>
      <c r="C611" s="377" t="s">
        <v>675</v>
      </c>
      <c r="D611" s="376">
        <v>9140</v>
      </c>
      <c r="E611" s="377" t="s">
        <v>674</v>
      </c>
      <c r="F611" s="377" t="s">
        <v>673</v>
      </c>
      <c r="G611" s="378">
        <v>0</v>
      </c>
      <c r="H611" s="376">
        <v>300000</v>
      </c>
      <c r="I611" s="376" t="s">
        <v>147</v>
      </c>
    </row>
    <row r="612" spans="1:9" s="7" customFormat="1" x14ac:dyDescent="0.2">
      <c r="A612"/>
      <c r="B612" s="377">
        <v>569</v>
      </c>
      <c r="C612" s="377" t="s">
        <v>601</v>
      </c>
      <c r="D612" s="376">
        <v>1741</v>
      </c>
      <c r="E612" s="377" t="s">
        <v>600</v>
      </c>
      <c r="F612" s="377"/>
      <c r="G612" s="378">
        <v>0</v>
      </c>
      <c r="H612" s="376">
        <v>75000</v>
      </c>
      <c r="I612" s="376" t="s">
        <v>147</v>
      </c>
    </row>
    <row r="613" spans="1:9" s="7" customFormat="1" x14ac:dyDescent="0.2">
      <c r="A613"/>
      <c r="B613" s="377">
        <v>296</v>
      </c>
      <c r="C613" s="377" t="s">
        <v>1489</v>
      </c>
      <c r="D613" s="376">
        <v>4910</v>
      </c>
      <c r="E613" s="377" t="s">
        <v>183</v>
      </c>
      <c r="F613" s="377" t="s">
        <v>1488</v>
      </c>
      <c r="G613" s="378">
        <v>0</v>
      </c>
      <c r="H613" s="376">
        <v>155000</v>
      </c>
      <c r="I613" s="376" t="s">
        <v>152</v>
      </c>
    </row>
    <row r="614" spans="1:9" s="7" customFormat="1" x14ac:dyDescent="0.2">
      <c r="A614"/>
      <c r="B614" s="377">
        <v>687</v>
      </c>
      <c r="C614" s="377" t="s">
        <v>184</v>
      </c>
      <c r="D614" s="376">
        <v>4910</v>
      </c>
      <c r="E614" s="377" t="s">
        <v>183</v>
      </c>
      <c r="F614" s="377"/>
      <c r="G614" s="378">
        <v>0</v>
      </c>
      <c r="H614" s="376">
        <v>155000</v>
      </c>
      <c r="I614" s="376" t="s">
        <v>147</v>
      </c>
    </row>
    <row r="615" spans="1:9" s="7" customFormat="1" x14ac:dyDescent="0.2">
      <c r="A615"/>
      <c r="B615" s="377">
        <v>222</v>
      </c>
      <c r="C615" s="377" t="s">
        <v>1722</v>
      </c>
      <c r="D615" s="376">
        <v>6536</v>
      </c>
      <c r="E615" s="377" t="s">
        <v>1023</v>
      </c>
      <c r="F615" s="377" t="s">
        <v>1721</v>
      </c>
      <c r="G615" s="378">
        <v>0</v>
      </c>
      <c r="H615" s="376">
        <v>400000</v>
      </c>
      <c r="I615" s="376" t="s">
        <v>147</v>
      </c>
    </row>
    <row r="616" spans="1:9" s="7" customFormat="1" x14ac:dyDescent="0.2">
      <c r="A616"/>
      <c r="B616" s="377">
        <v>440</v>
      </c>
      <c r="C616" s="377" t="s">
        <v>1024</v>
      </c>
      <c r="D616" s="376">
        <v>6536</v>
      </c>
      <c r="E616" s="377" t="s">
        <v>1023</v>
      </c>
      <c r="F616" s="377"/>
      <c r="G616" s="378">
        <v>0</v>
      </c>
      <c r="H616" s="376">
        <v>400000</v>
      </c>
      <c r="I616" s="376" t="s">
        <v>152</v>
      </c>
    </row>
    <row r="617" spans="1:9" s="7" customFormat="1" x14ac:dyDescent="0.2">
      <c r="A617"/>
      <c r="B617" s="377">
        <v>481</v>
      </c>
      <c r="C617" s="377" t="s">
        <v>896</v>
      </c>
      <c r="D617" s="376">
        <v>6530</v>
      </c>
      <c r="E617" s="377" t="s">
        <v>563</v>
      </c>
      <c r="F617" s="377" t="s">
        <v>895</v>
      </c>
      <c r="G617" s="378">
        <v>0</v>
      </c>
      <c r="H617" s="376">
        <v>155000</v>
      </c>
      <c r="I617" s="376" t="s">
        <v>147</v>
      </c>
    </row>
    <row r="618" spans="1:9" s="7" customFormat="1" x14ac:dyDescent="0.2">
      <c r="A618"/>
      <c r="B618" s="377">
        <v>582</v>
      </c>
      <c r="C618" s="377" t="s">
        <v>564</v>
      </c>
      <c r="D618" s="376">
        <v>6530</v>
      </c>
      <c r="E618" s="377" t="s">
        <v>563</v>
      </c>
      <c r="F618" s="377"/>
      <c r="G618" s="378">
        <v>0</v>
      </c>
      <c r="H618" s="376">
        <v>300000</v>
      </c>
      <c r="I618" s="376" t="s">
        <v>152</v>
      </c>
    </row>
    <row r="619" spans="1:9" s="7" customFormat="1" x14ac:dyDescent="0.2">
      <c r="A619"/>
      <c r="B619" s="377">
        <v>347</v>
      </c>
      <c r="C619" s="377" t="s">
        <v>1336</v>
      </c>
      <c r="D619" s="376">
        <v>8700</v>
      </c>
      <c r="E619" s="377" t="s">
        <v>1335</v>
      </c>
      <c r="F619" s="377" t="s">
        <v>1334</v>
      </c>
      <c r="G619" s="378">
        <v>0</v>
      </c>
      <c r="H619" s="376">
        <v>75000</v>
      </c>
      <c r="I619" s="376" t="s">
        <v>152</v>
      </c>
    </row>
    <row r="620" spans="1:9" s="7" customFormat="1" x14ac:dyDescent="0.2">
      <c r="A620"/>
      <c r="B620" s="377">
        <v>173</v>
      </c>
      <c r="C620" s="377" t="s">
        <v>1879</v>
      </c>
      <c r="D620" s="376">
        <v>3300</v>
      </c>
      <c r="E620" s="377" t="s">
        <v>1535</v>
      </c>
      <c r="F620" s="377" t="s">
        <v>1878</v>
      </c>
      <c r="G620" s="378">
        <v>0</v>
      </c>
      <c r="H620" s="376">
        <v>500000</v>
      </c>
      <c r="I620" s="376" t="s">
        <v>147</v>
      </c>
    </row>
    <row r="621" spans="1:9" s="7" customFormat="1" x14ac:dyDescent="0.2">
      <c r="A621"/>
      <c r="B621" s="377">
        <v>282</v>
      </c>
      <c r="C621" s="377" t="s">
        <v>1536</v>
      </c>
      <c r="D621" s="376">
        <v>3300</v>
      </c>
      <c r="E621" s="377" t="s">
        <v>1535</v>
      </c>
      <c r="F621" s="377" t="s">
        <v>1534</v>
      </c>
      <c r="G621" s="378">
        <v>0</v>
      </c>
      <c r="H621" s="376">
        <v>500000</v>
      </c>
      <c r="I621" s="376" t="s">
        <v>147</v>
      </c>
    </row>
    <row r="622" spans="1:9" s="7" customFormat="1" x14ac:dyDescent="0.2">
      <c r="A622"/>
      <c r="B622" s="377">
        <v>102</v>
      </c>
      <c r="C622" s="377" t="s">
        <v>2092</v>
      </c>
      <c r="D622" s="376">
        <v>4420</v>
      </c>
      <c r="E622" s="377" t="s">
        <v>2091</v>
      </c>
      <c r="F622" s="377"/>
      <c r="G622" s="378">
        <v>0</v>
      </c>
      <c r="H622" s="376">
        <v>400000</v>
      </c>
      <c r="I622" s="376" t="s">
        <v>152</v>
      </c>
    </row>
    <row r="623" spans="1:9" s="7" customFormat="1" x14ac:dyDescent="0.2">
      <c r="A623"/>
      <c r="B623" s="377">
        <v>279</v>
      </c>
      <c r="C623" s="377" t="s">
        <v>1546</v>
      </c>
      <c r="D623" s="376">
        <v>3700</v>
      </c>
      <c r="E623" s="377" t="s">
        <v>1545</v>
      </c>
      <c r="F623" s="377"/>
      <c r="G623" s="378">
        <v>0</v>
      </c>
      <c r="H623" s="376">
        <v>300000</v>
      </c>
      <c r="I623" s="376" t="s">
        <v>147</v>
      </c>
    </row>
    <row r="624" spans="1:9" s="7" customFormat="1" x14ac:dyDescent="0.2">
      <c r="A624"/>
      <c r="B624" s="377">
        <v>9</v>
      </c>
      <c r="C624" s="377" t="s">
        <v>2354</v>
      </c>
      <c r="D624" s="376">
        <v>5140</v>
      </c>
      <c r="E624" s="377" t="s">
        <v>2353</v>
      </c>
      <c r="F624" s="377"/>
      <c r="G624" s="378">
        <v>0.05</v>
      </c>
      <c r="H624" s="376">
        <v>155000</v>
      </c>
      <c r="I624" s="376" t="s">
        <v>147</v>
      </c>
    </row>
    <row r="625" spans="1:9" s="7" customFormat="1" x14ac:dyDescent="0.2">
      <c r="A625"/>
      <c r="B625" s="377">
        <v>89</v>
      </c>
      <c r="C625" s="377" t="s">
        <v>2124</v>
      </c>
      <c r="D625" s="376">
        <v>7500</v>
      </c>
      <c r="E625" s="377" t="s">
        <v>1017</v>
      </c>
      <c r="F625" s="377" t="s">
        <v>2123</v>
      </c>
      <c r="G625" s="378">
        <v>0</v>
      </c>
      <c r="H625" s="376">
        <v>75000</v>
      </c>
      <c r="I625" s="376" t="s">
        <v>147</v>
      </c>
    </row>
    <row r="626" spans="1:9" s="7" customFormat="1" x14ac:dyDescent="0.2">
      <c r="A626"/>
      <c r="B626" s="377">
        <v>442</v>
      </c>
      <c r="C626" s="377" t="s">
        <v>1018</v>
      </c>
      <c r="D626" s="376">
        <v>7500</v>
      </c>
      <c r="E626" s="377" t="s">
        <v>1017</v>
      </c>
      <c r="F626" s="377" t="s">
        <v>1016</v>
      </c>
      <c r="G626" s="378">
        <v>0</v>
      </c>
      <c r="H626" s="376">
        <v>75000</v>
      </c>
      <c r="I626" s="376" t="s">
        <v>152</v>
      </c>
    </row>
    <row r="627" spans="1:9" s="7" customFormat="1" x14ac:dyDescent="0.2">
      <c r="A627"/>
      <c r="B627" s="377">
        <v>550</v>
      </c>
      <c r="C627" s="377" t="s">
        <v>663</v>
      </c>
      <c r="D627" s="376">
        <v>6183</v>
      </c>
      <c r="E627" s="377" t="s">
        <v>662</v>
      </c>
      <c r="F627" s="377"/>
      <c r="G627" s="378">
        <v>0</v>
      </c>
      <c r="H627" s="376">
        <v>400000</v>
      </c>
      <c r="I627" s="376" t="s">
        <v>147</v>
      </c>
    </row>
    <row r="628" spans="1:9" s="7" customFormat="1" x14ac:dyDescent="0.2">
      <c r="A628"/>
      <c r="B628" s="377">
        <v>80</v>
      </c>
      <c r="C628" s="377" t="s">
        <v>2151</v>
      </c>
      <c r="D628" s="376">
        <v>1480</v>
      </c>
      <c r="E628" s="377" t="s">
        <v>2150</v>
      </c>
      <c r="F628" s="377"/>
      <c r="G628" s="378">
        <v>0</v>
      </c>
      <c r="H628" s="376">
        <v>400000</v>
      </c>
      <c r="I628" s="376" t="s">
        <v>147</v>
      </c>
    </row>
    <row r="629" spans="1:9" s="7" customFormat="1" x14ac:dyDescent="0.2">
      <c r="A629"/>
      <c r="B629" s="377">
        <v>178</v>
      </c>
      <c r="C629" s="377" t="s">
        <v>1860</v>
      </c>
      <c r="D629" s="376">
        <v>2300</v>
      </c>
      <c r="E629" s="377" t="s">
        <v>959</v>
      </c>
      <c r="F629" s="377"/>
      <c r="G629" s="378">
        <v>0</v>
      </c>
      <c r="H629" s="376">
        <v>155000</v>
      </c>
      <c r="I629" s="376" t="s">
        <v>147</v>
      </c>
    </row>
    <row r="630" spans="1:9" s="7" customFormat="1" x14ac:dyDescent="0.2">
      <c r="A630"/>
      <c r="B630" s="377">
        <v>372</v>
      </c>
      <c r="C630" s="377" t="s">
        <v>1252</v>
      </c>
      <c r="D630" s="376">
        <v>2300</v>
      </c>
      <c r="E630" s="377" t="s">
        <v>959</v>
      </c>
      <c r="F630" s="377"/>
      <c r="G630" s="378">
        <v>0</v>
      </c>
      <c r="H630" s="376">
        <v>75000</v>
      </c>
      <c r="I630" s="376" t="s">
        <v>147</v>
      </c>
    </row>
    <row r="631" spans="1:9" s="7" customFormat="1" x14ac:dyDescent="0.2">
      <c r="A631"/>
      <c r="B631" s="377">
        <v>461</v>
      </c>
      <c r="C631" s="377" t="s">
        <v>960</v>
      </c>
      <c r="D631" s="376">
        <v>2300</v>
      </c>
      <c r="E631" s="377" t="s">
        <v>959</v>
      </c>
      <c r="F631" s="377"/>
      <c r="G631" s="378">
        <v>0</v>
      </c>
      <c r="H631" s="376">
        <v>400000</v>
      </c>
      <c r="I631" s="376" t="s">
        <v>147</v>
      </c>
    </row>
    <row r="632" spans="1:9" s="7" customFormat="1" x14ac:dyDescent="0.2">
      <c r="A632"/>
      <c r="B632" s="377">
        <v>407</v>
      </c>
      <c r="C632" s="377" t="s">
        <v>1139</v>
      </c>
      <c r="D632" s="376">
        <v>5020</v>
      </c>
      <c r="E632" s="377" t="s">
        <v>1138</v>
      </c>
      <c r="F632" s="377" t="s">
        <v>1137</v>
      </c>
      <c r="G632" s="378">
        <v>0</v>
      </c>
      <c r="H632" s="376">
        <v>75000</v>
      </c>
      <c r="I632" s="376" t="s">
        <v>147</v>
      </c>
    </row>
    <row r="633" spans="1:9" s="7" customFormat="1" x14ac:dyDescent="0.2">
      <c r="A633"/>
      <c r="B633" s="377">
        <v>24</v>
      </c>
      <c r="C633" s="377" t="s">
        <v>2308</v>
      </c>
      <c r="D633" s="376">
        <v>4800</v>
      </c>
      <c r="E633" s="377" t="s">
        <v>2307</v>
      </c>
      <c r="F633" s="377" t="s">
        <v>2306</v>
      </c>
      <c r="G633" s="378">
        <v>0</v>
      </c>
      <c r="H633" s="376">
        <v>400000</v>
      </c>
      <c r="I633" s="376" t="s">
        <v>147</v>
      </c>
    </row>
    <row r="634" spans="1:9" s="7" customFormat="1" x14ac:dyDescent="0.2">
      <c r="A634"/>
      <c r="B634" s="377">
        <v>139</v>
      </c>
      <c r="C634" s="377" t="s">
        <v>1977</v>
      </c>
      <c r="D634" s="376">
        <v>1800</v>
      </c>
      <c r="E634" s="377" t="s">
        <v>1265</v>
      </c>
      <c r="F634" s="377" t="s">
        <v>1976</v>
      </c>
      <c r="G634" s="378">
        <v>0</v>
      </c>
      <c r="H634" s="376">
        <v>300000</v>
      </c>
      <c r="I634" s="376" t="s">
        <v>147</v>
      </c>
    </row>
    <row r="635" spans="1:9" s="7" customFormat="1" x14ac:dyDescent="0.2">
      <c r="A635"/>
      <c r="B635" s="377">
        <v>368</v>
      </c>
      <c r="C635" s="377" t="s">
        <v>1266</v>
      </c>
      <c r="D635" s="376">
        <v>1800</v>
      </c>
      <c r="E635" s="377" t="s">
        <v>1265</v>
      </c>
      <c r="F635" s="377" t="s">
        <v>1264</v>
      </c>
      <c r="G635" s="378">
        <v>0</v>
      </c>
      <c r="H635" s="376">
        <v>75000</v>
      </c>
      <c r="I635" s="376" t="s">
        <v>147</v>
      </c>
    </row>
    <row r="636" spans="1:9" s="7" customFormat="1" x14ac:dyDescent="0.2">
      <c r="A636"/>
      <c r="B636" s="377">
        <v>373</v>
      </c>
      <c r="C636" s="377" t="s">
        <v>1250</v>
      </c>
      <c r="D636" s="376">
        <v>9250</v>
      </c>
      <c r="E636" s="377" t="s">
        <v>1249</v>
      </c>
      <c r="F636" s="377" t="s">
        <v>1248</v>
      </c>
      <c r="G636" s="378">
        <v>0</v>
      </c>
      <c r="H636" s="376">
        <v>300000</v>
      </c>
      <c r="I636" s="376" t="s">
        <v>147</v>
      </c>
    </row>
    <row r="637" spans="1:9" s="7" customFormat="1" x14ac:dyDescent="0.2">
      <c r="A637"/>
      <c r="B637" s="377">
        <v>176</v>
      </c>
      <c r="C637" s="377" t="s">
        <v>1867</v>
      </c>
      <c r="D637" s="376">
        <v>1457</v>
      </c>
      <c r="E637" s="377" t="s">
        <v>1866</v>
      </c>
      <c r="F637" s="377"/>
      <c r="G637" s="378">
        <v>0</v>
      </c>
      <c r="H637" s="376">
        <v>155000</v>
      </c>
      <c r="I637" s="376" t="s">
        <v>147</v>
      </c>
    </row>
    <row r="638" spans="1:9" s="7" customFormat="1" x14ac:dyDescent="0.2">
      <c r="A638"/>
      <c r="B638" s="377">
        <v>695</v>
      </c>
      <c r="C638" s="377" t="s">
        <v>151</v>
      </c>
      <c r="D638" s="376">
        <v>4020</v>
      </c>
      <c r="E638" s="377" t="s">
        <v>150</v>
      </c>
      <c r="F638" s="377"/>
      <c r="G638" s="378">
        <v>0</v>
      </c>
      <c r="H638" s="376">
        <v>75000</v>
      </c>
      <c r="I638" s="376" t="s">
        <v>147</v>
      </c>
    </row>
    <row r="639" spans="1:9" s="7" customFormat="1" x14ac:dyDescent="0.2">
      <c r="A639"/>
      <c r="B639" s="377">
        <v>539</v>
      </c>
      <c r="C639" s="377" t="s">
        <v>699</v>
      </c>
      <c r="D639" s="376">
        <v>6224</v>
      </c>
      <c r="E639" s="377" t="s">
        <v>698</v>
      </c>
      <c r="F639" s="377" t="s">
        <v>697</v>
      </c>
      <c r="G639" s="378">
        <v>0</v>
      </c>
      <c r="H639" s="376">
        <v>400000</v>
      </c>
      <c r="I639" s="376" t="s">
        <v>152</v>
      </c>
    </row>
    <row r="640" spans="1:9" s="7" customFormat="1" x14ac:dyDescent="0.2">
      <c r="A640"/>
      <c r="B640" s="377">
        <v>68</v>
      </c>
      <c r="C640" s="377" t="s">
        <v>2188</v>
      </c>
      <c r="D640" s="376">
        <v>6224</v>
      </c>
      <c r="E640" s="377" t="s">
        <v>2187</v>
      </c>
      <c r="F640" s="377" t="s">
        <v>2186</v>
      </c>
      <c r="G640" s="378">
        <v>0</v>
      </c>
      <c r="H640" s="376">
        <v>400000</v>
      </c>
      <c r="I640" s="376" t="s">
        <v>152</v>
      </c>
    </row>
    <row r="641" spans="1:9" s="7" customFormat="1" x14ac:dyDescent="0.2">
      <c r="A641"/>
      <c r="B641" s="377">
        <v>268</v>
      </c>
      <c r="C641" s="377" t="s">
        <v>1579</v>
      </c>
      <c r="D641" s="376">
        <v>8793</v>
      </c>
      <c r="E641" s="377" t="s">
        <v>313</v>
      </c>
      <c r="F641" s="377" t="s">
        <v>1578</v>
      </c>
      <c r="G641" s="378">
        <v>0</v>
      </c>
      <c r="H641" s="376">
        <v>75000</v>
      </c>
      <c r="I641" s="376" t="s">
        <v>147</v>
      </c>
    </row>
    <row r="642" spans="1:9" s="7" customFormat="1" x14ac:dyDescent="0.2">
      <c r="A642"/>
      <c r="B642" s="377">
        <v>437</v>
      </c>
      <c r="C642" s="377" t="s">
        <v>1036</v>
      </c>
      <c r="D642" s="376">
        <v>8790</v>
      </c>
      <c r="E642" s="377" t="s">
        <v>313</v>
      </c>
      <c r="F642" s="377" t="s">
        <v>1035</v>
      </c>
      <c r="G642" s="378">
        <v>0</v>
      </c>
      <c r="H642" s="376">
        <v>75000</v>
      </c>
      <c r="I642" s="376" t="s">
        <v>147</v>
      </c>
    </row>
    <row r="643" spans="1:9" s="7" customFormat="1" x14ac:dyDescent="0.2">
      <c r="A643"/>
      <c r="B643" s="377">
        <v>562</v>
      </c>
      <c r="C643" s="377" t="s">
        <v>625</v>
      </c>
      <c r="D643" s="376">
        <v>8790</v>
      </c>
      <c r="E643" s="377" t="s">
        <v>313</v>
      </c>
      <c r="F643" s="377" t="s">
        <v>624</v>
      </c>
      <c r="G643" s="378">
        <v>0</v>
      </c>
      <c r="H643" s="376">
        <v>300000</v>
      </c>
      <c r="I643" s="376" t="s">
        <v>147</v>
      </c>
    </row>
    <row r="644" spans="1:9" s="7" customFormat="1" x14ac:dyDescent="0.2">
      <c r="A644"/>
      <c r="B644" s="377">
        <v>653</v>
      </c>
      <c r="C644" s="377" t="s">
        <v>314</v>
      </c>
      <c r="D644" s="376">
        <v>8792</v>
      </c>
      <c r="E644" s="377" t="s">
        <v>313</v>
      </c>
      <c r="F644" s="377"/>
      <c r="G644" s="378">
        <v>0</v>
      </c>
      <c r="H644" s="376">
        <v>300000</v>
      </c>
      <c r="I644" s="376" t="s">
        <v>147</v>
      </c>
    </row>
    <row r="645" spans="1:9" s="7" customFormat="1" x14ac:dyDescent="0.2">
      <c r="A645"/>
      <c r="B645" s="377">
        <v>676</v>
      </c>
      <c r="C645" s="377" t="s">
        <v>229</v>
      </c>
      <c r="D645" s="376">
        <v>4300</v>
      </c>
      <c r="E645" s="377" t="s">
        <v>228</v>
      </c>
      <c r="F645" s="377"/>
      <c r="G645" s="378">
        <v>0.2</v>
      </c>
      <c r="H645" s="376">
        <v>155000</v>
      </c>
      <c r="I645" s="376" t="s">
        <v>147</v>
      </c>
    </row>
    <row r="646" spans="1:9" s="7" customFormat="1" x14ac:dyDescent="0.2">
      <c r="A646"/>
      <c r="B646" s="377">
        <v>4</v>
      </c>
      <c r="C646" s="377" t="s">
        <v>2365</v>
      </c>
      <c r="D646" s="376">
        <v>1410</v>
      </c>
      <c r="E646" s="377" t="s">
        <v>195</v>
      </c>
      <c r="F646" s="377" t="s">
        <v>2364</v>
      </c>
      <c r="G646" s="378">
        <v>0.05</v>
      </c>
      <c r="H646" s="376">
        <v>75000</v>
      </c>
      <c r="I646" s="376" t="s">
        <v>147</v>
      </c>
    </row>
    <row r="647" spans="1:9" s="7" customFormat="1" x14ac:dyDescent="0.2">
      <c r="A647"/>
      <c r="B647" s="377">
        <v>83</v>
      </c>
      <c r="C647" s="377" t="s">
        <v>2140</v>
      </c>
      <c r="D647" s="376">
        <v>1410</v>
      </c>
      <c r="E647" s="377" t="s">
        <v>195</v>
      </c>
      <c r="F647" s="377" t="s">
        <v>1996</v>
      </c>
      <c r="G647" s="378">
        <v>0</v>
      </c>
      <c r="H647" s="376">
        <v>75000</v>
      </c>
      <c r="I647" s="376" t="s">
        <v>147</v>
      </c>
    </row>
    <row r="648" spans="1:9" s="7" customFormat="1" x14ac:dyDescent="0.2">
      <c r="A648"/>
      <c r="B648" s="377">
        <v>184</v>
      </c>
      <c r="C648" s="377" t="s">
        <v>1842</v>
      </c>
      <c r="D648" s="376">
        <v>1410</v>
      </c>
      <c r="E648" s="377" t="s">
        <v>195</v>
      </c>
      <c r="F648" s="377" t="s">
        <v>1841</v>
      </c>
      <c r="G648" s="378">
        <v>0</v>
      </c>
      <c r="H648" s="376">
        <v>400000</v>
      </c>
      <c r="I648" s="376" t="s">
        <v>147</v>
      </c>
    </row>
    <row r="649" spans="1:9" s="7" customFormat="1" x14ac:dyDescent="0.2">
      <c r="A649"/>
      <c r="B649" s="377">
        <v>235</v>
      </c>
      <c r="C649" s="377" t="s">
        <v>1688</v>
      </c>
      <c r="D649" s="376">
        <v>1410</v>
      </c>
      <c r="E649" s="377" t="s">
        <v>195</v>
      </c>
      <c r="F649" s="377" t="s">
        <v>1687</v>
      </c>
      <c r="G649" s="378">
        <v>0</v>
      </c>
      <c r="H649" s="376">
        <v>75000</v>
      </c>
      <c r="I649" s="376" t="s">
        <v>147</v>
      </c>
    </row>
    <row r="650" spans="1:9" s="7" customFormat="1" x14ac:dyDescent="0.2">
      <c r="A650"/>
      <c r="B650" s="377">
        <v>420</v>
      </c>
      <c r="C650" s="377" t="s">
        <v>1092</v>
      </c>
      <c r="D650" s="376">
        <v>1410</v>
      </c>
      <c r="E650" s="377" t="s">
        <v>195</v>
      </c>
      <c r="F650" s="377" t="s">
        <v>1091</v>
      </c>
      <c r="G650" s="378">
        <v>0</v>
      </c>
      <c r="H650" s="376">
        <v>75000</v>
      </c>
      <c r="I650" s="376" t="s">
        <v>147</v>
      </c>
    </row>
    <row r="651" spans="1:9" s="7" customFormat="1" x14ac:dyDescent="0.2">
      <c r="A651"/>
      <c r="B651" s="377">
        <v>427</v>
      </c>
      <c r="C651" s="377" t="s">
        <v>1068</v>
      </c>
      <c r="D651" s="376">
        <v>1410</v>
      </c>
      <c r="E651" s="377" t="s">
        <v>195</v>
      </c>
      <c r="F651" s="377" t="s">
        <v>1067</v>
      </c>
      <c r="G651" s="378">
        <v>0</v>
      </c>
      <c r="H651" s="376">
        <v>155000</v>
      </c>
      <c r="I651" s="376" t="s">
        <v>147</v>
      </c>
    </row>
    <row r="652" spans="1:9" s="7" customFormat="1" x14ac:dyDescent="0.2">
      <c r="A652"/>
      <c r="B652" s="377">
        <v>504</v>
      </c>
      <c r="C652" s="377" t="s">
        <v>816</v>
      </c>
      <c r="D652" s="376">
        <v>1410</v>
      </c>
      <c r="E652" s="377" t="s">
        <v>195</v>
      </c>
      <c r="F652" s="377" t="s">
        <v>815</v>
      </c>
      <c r="G652" s="378">
        <v>0</v>
      </c>
      <c r="H652" s="376">
        <v>400000</v>
      </c>
      <c r="I652" s="376" t="s">
        <v>152</v>
      </c>
    </row>
    <row r="653" spans="1:9" s="7" customFormat="1" x14ac:dyDescent="0.2">
      <c r="A653"/>
      <c r="B653" s="377">
        <v>567</v>
      </c>
      <c r="C653" s="377" t="s">
        <v>608</v>
      </c>
      <c r="D653" s="376">
        <v>1410</v>
      </c>
      <c r="E653" s="377" t="s">
        <v>195</v>
      </c>
      <c r="F653" s="377" t="s">
        <v>607</v>
      </c>
      <c r="G653" s="378">
        <v>0</v>
      </c>
      <c r="H653" s="376">
        <v>75000</v>
      </c>
      <c r="I653" s="376" t="s">
        <v>152</v>
      </c>
    </row>
    <row r="654" spans="1:9" s="7" customFormat="1" x14ac:dyDescent="0.2">
      <c r="A654"/>
      <c r="B654" s="377">
        <v>597</v>
      </c>
      <c r="C654" s="377" t="s">
        <v>510</v>
      </c>
      <c r="D654" s="376">
        <v>1410</v>
      </c>
      <c r="E654" s="377" t="s">
        <v>195</v>
      </c>
      <c r="F654" s="377" t="s">
        <v>509</v>
      </c>
      <c r="G654" s="378">
        <v>0</v>
      </c>
      <c r="H654" s="376">
        <v>75000</v>
      </c>
      <c r="I654" s="376" t="s">
        <v>147</v>
      </c>
    </row>
    <row r="655" spans="1:9" s="7" customFormat="1" x14ac:dyDescent="0.2">
      <c r="A655"/>
      <c r="B655" s="377">
        <v>631</v>
      </c>
      <c r="C655" s="377" t="s">
        <v>398</v>
      </c>
      <c r="D655" s="376">
        <v>1410</v>
      </c>
      <c r="E655" s="377" t="s">
        <v>195</v>
      </c>
      <c r="F655" s="377" t="s">
        <v>397</v>
      </c>
      <c r="G655" s="378">
        <v>0</v>
      </c>
      <c r="H655" s="376">
        <v>75000</v>
      </c>
      <c r="I655" s="376" t="s">
        <v>147</v>
      </c>
    </row>
    <row r="656" spans="1:9" s="7" customFormat="1" x14ac:dyDescent="0.2">
      <c r="A656"/>
      <c r="B656" s="377">
        <v>658</v>
      </c>
      <c r="C656" s="377" t="s">
        <v>294</v>
      </c>
      <c r="D656" s="376">
        <v>1410</v>
      </c>
      <c r="E656" s="377" t="s">
        <v>195</v>
      </c>
      <c r="F656" s="377" t="s">
        <v>293</v>
      </c>
      <c r="G656" s="378">
        <v>0</v>
      </c>
      <c r="H656" s="376">
        <v>400000</v>
      </c>
      <c r="I656" s="376" t="s">
        <v>147</v>
      </c>
    </row>
    <row r="657" spans="1:9" s="7" customFormat="1" x14ac:dyDescent="0.2">
      <c r="A657"/>
      <c r="B657" s="377">
        <v>684</v>
      </c>
      <c r="C657" s="377" t="s">
        <v>196</v>
      </c>
      <c r="D657" s="376">
        <v>1410</v>
      </c>
      <c r="E657" s="377" t="s">
        <v>195</v>
      </c>
      <c r="F657" s="377" t="s">
        <v>194</v>
      </c>
      <c r="G657" s="378">
        <v>0</v>
      </c>
      <c r="H657" s="376">
        <v>400000</v>
      </c>
      <c r="I657" s="376" t="s">
        <v>147</v>
      </c>
    </row>
    <row r="658" spans="1:9" s="7" customFormat="1" x14ac:dyDescent="0.2">
      <c r="A658"/>
      <c r="B658" s="377">
        <v>19</v>
      </c>
      <c r="C658" s="377" t="s">
        <v>2327</v>
      </c>
      <c r="D658" s="376">
        <v>1300</v>
      </c>
      <c r="E658" s="377" t="s">
        <v>155</v>
      </c>
      <c r="F658" s="377" t="s">
        <v>2326</v>
      </c>
      <c r="G658" s="378">
        <v>0</v>
      </c>
      <c r="H658" s="376">
        <v>155000</v>
      </c>
      <c r="I658" s="376" t="s">
        <v>152</v>
      </c>
    </row>
    <row r="659" spans="1:9" s="7" customFormat="1" x14ac:dyDescent="0.2">
      <c r="A659"/>
      <c r="B659" s="377">
        <v>148</v>
      </c>
      <c r="C659" s="377" t="s">
        <v>1951</v>
      </c>
      <c r="D659" s="376">
        <v>1300</v>
      </c>
      <c r="E659" s="377" t="s">
        <v>155</v>
      </c>
      <c r="F659" s="377" t="s">
        <v>1950</v>
      </c>
      <c r="G659" s="378">
        <v>0</v>
      </c>
      <c r="H659" s="376">
        <v>400000</v>
      </c>
      <c r="I659" s="376" t="s">
        <v>147</v>
      </c>
    </row>
    <row r="660" spans="1:9" s="7" customFormat="1" x14ac:dyDescent="0.2">
      <c r="A660"/>
      <c r="B660" s="377">
        <v>263</v>
      </c>
      <c r="C660" s="377" t="s">
        <v>1595</v>
      </c>
      <c r="D660" s="376">
        <v>1300</v>
      </c>
      <c r="E660" s="377" t="s">
        <v>155</v>
      </c>
      <c r="F660" s="377" t="s">
        <v>1594</v>
      </c>
      <c r="G660" s="378">
        <v>0</v>
      </c>
      <c r="H660" s="376">
        <v>400000</v>
      </c>
      <c r="I660" s="376" t="s">
        <v>147</v>
      </c>
    </row>
    <row r="661" spans="1:9" s="7" customFormat="1" x14ac:dyDescent="0.2">
      <c r="A661"/>
      <c r="B661" s="377">
        <v>694</v>
      </c>
      <c r="C661" s="377" t="s">
        <v>156</v>
      </c>
      <c r="D661" s="376">
        <v>1300</v>
      </c>
      <c r="E661" s="377" t="s">
        <v>155</v>
      </c>
      <c r="F661" s="377"/>
      <c r="G661" s="378">
        <v>0</v>
      </c>
      <c r="H661" s="376">
        <v>400000</v>
      </c>
      <c r="I661" s="376" t="s">
        <v>147</v>
      </c>
    </row>
    <row r="662" spans="1:9" s="7" customFormat="1" x14ac:dyDescent="0.2">
      <c r="A662"/>
      <c r="B662" s="377">
        <v>666</v>
      </c>
      <c r="C662" s="377" t="s">
        <v>263</v>
      </c>
      <c r="D662" s="376">
        <v>5100</v>
      </c>
      <c r="E662" s="377" t="s">
        <v>262</v>
      </c>
      <c r="F662" s="377" t="s">
        <v>261</v>
      </c>
      <c r="G662" s="378">
        <v>0</v>
      </c>
      <c r="H662" s="376">
        <v>155000</v>
      </c>
      <c r="I662" s="376" t="s">
        <v>147</v>
      </c>
    </row>
    <row r="663" spans="1:9" s="7" customFormat="1" x14ac:dyDescent="0.2">
      <c r="A663"/>
      <c r="B663" s="377">
        <v>218</v>
      </c>
      <c r="C663" s="377" t="s">
        <v>1735</v>
      </c>
      <c r="D663" s="376">
        <v>2260</v>
      </c>
      <c r="E663" s="377" t="s">
        <v>891</v>
      </c>
      <c r="F663" s="377"/>
      <c r="G663" s="378">
        <v>0</v>
      </c>
      <c r="H663" s="376">
        <v>500000</v>
      </c>
      <c r="I663" s="376" t="s">
        <v>147</v>
      </c>
    </row>
    <row r="664" spans="1:9" s="7" customFormat="1" x14ac:dyDescent="0.2">
      <c r="A664"/>
      <c r="B664" s="377">
        <v>286</v>
      </c>
      <c r="C664" s="377" t="s">
        <v>1522</v>
      </c>
      <c r="D664" s="376">
        <v>2260</v>
      </c>
      <c r="E664" s="377" t="s">
        <v>891</v>
      </c>
      <c r="F664" s="377" t="s">
        <v>1521</v>
      </c>
      <c r="G664" s="378">
        <v>0</v>
      </c>
      <c r="H664" s="376">
        <v>300000</v>
      </c>
      <c r="I664" s="376" t="s">
        <v>147</v>
      </c>
    </row>
    <row r="665" spans="1:9" s="7" customFormat="1" x14ac:dyDescent="0.2">
      <c r="A665"/>
      <c r="B665" s="377">
        <v>483</v>
      </c>
      <c r="C665" s="377" t="s">
        <v>892</v>
      </c>
      <c r="D665" s="376">
        <v>2260</v>
      </c>
      <c r="E665" s="377" t="s">
        <v>891</v>
      </c>
      <c r="F665" s="377" t="s">
        <v>890</v>
      </c>
      <c r="G665" s="378">
        <v>0</v>
      </c>
      <c r="H665" s="376">
        <v>155000</v>
      </c>
      <c r="I665" s="376" t="s">
        <v>147</v>
      </c>
    </row>
    <row r="666" spans="1:9" s="7" customFormat="1" x14ac:dyDescent="0.2">
      <c r="A666"/>
      <c r="B666" s="377">
        <v>48</v>
      </c>
      <c r="C666" s="377" t="s">
        <v>2238</v>
      </c>
      <c r="D666" s="376">
        <v>8560</v>
      </c>
      <c r="E666" s="377" t="s">
        <v>1291</v>
      </c>
      <c r="F666" s="377"/>
      <c r="G666" s="378">
        <v>0</v>
      </c>
      <c r="H666" s="376">
        <v>300000</v>
      </c>
      <c r="I666" s="376" t="s">
        <v>147</v>
      </c>
    </row>
    <row r="667" spans="1:9" s="7" customFormat="1" x14ac:dyDescent="0.2">
      <c r="A667"/>
      <c r="B667" s="377">
        <v>175</v>
      </c>
      <c r="C667" s="377" t="s">
        <v>1871</v>
      </c>
      <c r="D667" s="376">
        <v>8560</v>
      </c>
      <c r="E667" s="377" t="s">
        <v>1291</v>
      </c>
      <c r="F667" s="377" t="s">
        <v>1870</v>
      </c>
      <c r="G667" s="378">
        <v>0</v>
      </c>
      <c r="H667" s="376">
        <v>300000</v>
      </c>
      <c r="I667" s="376" t="s">
        <v>147</v>
      </c>
    </row>
    <row r="668" spans="1:9" s="7" customFormat="1" x14ac:dyDescent="0.2">
      <c r="A668"/>
      <c r="B668" s="377">
        <v>360</v>
      </c>
      <c r="C668" s="377" t="s">
        <v>1292</v>
      </c>
      <c r="D668" s="376">
        <v>8560</v>
      </c>
      <c r="E668" s="377" t="s">
        <v>1291</v>
      </c>
      <c r="F668" s="377"/>
      <c r="G668" s="378">
        <v>0</v>
      </c>
      <c r="H668" s="376">
        <v>300000</v>
      </c>
      <c r="I668" s="376" t="s">
        <v>147</v>
      </c>
    </row>
    <row r="669" spans="1:9" s="7" customFormat="1" x14ac:dyDescent="0.2">
      <c r="A669"/>
      <c r="B669" s="377">
        <v>525</v>
      </c>
      <c r="C669" s="377" t="s">
        <v>751</v>
      </c>
      <c r="D669" s="376">
        <v>1970</v>
      </c>
      <c r="E669" s="377" t="s">
        <v>750</v>
      </c>
      <c r="F669" s="377" t="s">
        <v>749</v>
      </c>
      <c r="G669" s="378">
        <v>0</v>
      </c>
      <c r="H669" s="376">
        <v>155000</v>
      </c>
      <c r="I669" s="376" t="s">
        <v>147</v>
      </c>
    </row>
    <row r="670" spans="1:9" s="7" customFormat="1" x14ac:dyDescent="0.2">
      <c r="A670"/>
      <c r="B670" s="377">
        <v>198</v>
      </c>
      <c r="C670" s="377" t="s">
        <v>1799</v>
      </c>
      <c r="D670" s="376">
        <v>8710</v>
      </c>
      <c r="E670" s="377" t="s">
        <v>1295</v>
      </c>
      <c r="F670" s="377" t="s">
        <v>1798</v>
      </c>
      <c r="G670" s="378">
        <v>0</v>
      </c>
      <c r="H670" s="376">
        <v>300000</v>
      </c>
      <c r="I670" s="376" t="s">
        <v>147</v>
      </c>
    </row>
    <row r="671" spans="1:9" s="7" customFormat="1" x14ac:dyDescent="0.2">
      <c r="A671"/>
      <c r="B671" s="377">
        <v>359</v>
      </c>
      <c r="C671" s="377" t="s">
        <v>1296</v>
      </c>
      <c r="D671" s="376">
        <v>8710</v>
      </c>
      <c r="E671" s="377" t="s">
        <v>1295</v>
      </c>
      <c r="F671" s="377" t="s">
        <v>1294</v>
      </c>
      <c r="G671" s="378">
        <v>0</v>
      </c>
      <c r="H671" s="376">
        <v>75000</v>
      </c>
      <c r="I671" s="376" t="s">
        <v>147</v>
      </c>
    </row>
    <row r="672" spans="1:9" s="7" customFormat="1" x14ac:dyDescent="0.2">
      <c r="A672"/>
      <c r="B672" s="377">
        <v>471</v>
      </c>
      <c r="C672" s="377" t="s">
        <v>930</v>
      </c>
      <c r="D672" s="376">
        <v>2110</v>
      </c>
      <c r="E672" s="377" t="s">
        <v>929</v>
      </c>
      <c r="F672" s="377" t="s">
        <v>928</v>
      </c>
      <c r="G672" s="378">
        <v>0</v>
      </c>
      <c r="H672" s="376">
        <v>300000</v>
      </c>
      <c r="I672" s="376" t="s">
        <v>147</v>
      </c>
    </row>
    <row r="673" spans="1:9" s="7" customFormat="1" x14ac:dyDescent="0.2">
      <c r="A673"/>
      <c r="B673" s="377">
        <v>31</v>
      </c>
      <c r="C673" s="377" t="s">
        <v>2284</v>
      </c>
      <c r="D673" s="376">
        <v>2830</v>
      </c>
      <c r="E673" s="377" t="s">
        <v>827</v>
      </c>
      <c r="F673" s="377"/>
      <c r="G673" s="378">
        <v>0</v>
      </c>
      <c r="H673" s="376">
        <v>300000</v>
      </c>
      <c r="I673" s="376" t="s">
        <v>147</v>
      </c>
    </row>
    <row r="674" spans="1:9" s="7" customFormat="1" x14ac:dyDescent="0.2">
      <c r="A674"/>
      <c r="B674" s="377">
        <v>131</v>
      </c>
      <c r="C674" s="377" t="s">
        <v>2000</v>
      </c>
      <c r="D674" s="376">
        <v>3545</v>
      </c>
      <c r="E674" s="377" t="s">
        <v>827</v>
      </c>
      <c r="F674" s="377" t="s">
        <v>1999</v>
      </c>
      <c r="G674" s="378">
        <v>0</v>
      </c>
      <c r="H674" s="376">
        <v>300000</v>
      </c>
      <c r="I674" s="376" t="s">
        <v>147</v>
      </c>
    </row>
    <row r="675" spans="1:9" s="7" customFormat="1" x14ac:dyDescent="0.2">
      <c r="A675"/>
      <c r="B675" s="377">
        <v>501</v>
      </c>
      <c r="C675" s="377" t="s">
        <v>828</v>
      </c>
      <c r="D675" s="376">
        <v>2830</v>
      </c>
      <c r="E675" s="377" t="s">
        <v>827</v>
      </c>
      <c r="F675" s="377" t="s">
        <v>826</v>
      </c>
      <c r="G675" s="378">
        <v>0</v>
      </c>
      <c r="H675" s="376">
        <v>300000</v>
      </c>
      <c r="I675" s="376" t="s">
        <v>152</v>
      </c>
    </row>
    <row r="676" spans="1:9" s="7" customFormat="1" x14ac:dyDescent="0.2">
      <c r="A676"/>
      <c r="B676" s="377">
        <v>110</v>
      </c>
      <c r="C676" s="377" t="s">
        <v>2067</v>
      </c>
      <c r="D676" s="376">
        <v>2610</v>
      </c>
      <c r="E676" s="377" t="s">
        <v>271</v>
      </c>
      <c r="F676" s="377" t="s">
        <v>2066</v>
      </c>
      <c r="G676" s="378">
        <v>0</v>
      </c>
      <c r="H676" s="376">
        <v>75000</v>
      </c>
      <c r="I676" s="376" t="s">
        <v>152</v>
      </c>
    </row>
    <row r="677" spans="1:9" s="7" customFormat="1" x14ac:dyDescent="0.2">
      <c r="A677"/>
      <c r="B677" s="377">
        <v>664</v>
      </c>
      <c r="C677" s="377" t="s">
        <v>272</v>
      </c>
      <c r="D677" s="376">
        <v>2610</v>
      </c>
      <c r="E677" s="377" t="s">
        <v>271</v>
      </c>
      <c r="F677" s="377" t="s">
        <v>270</v>
      </c>
      <c r="G677" s="378">
        <v>0</v>
      </c>
      <c r="H677" s="376">
        <v>300000</v>
      </c>
      <c r="I677" s="376" t="s">
        <v>147</v>
      </c>
    </row>
    <row r="678" spans="1:9" s="7" customFormat="1" x14ac:dyDescent="0.2">
      <c r="A678"/>
      <c r="B678" s="377">
        <v>393</v>
      </c>
      <c r="C678" s="377" t="s">
        <v>1190</v>
      </c>
      <c r="D678" s="376">
        <v>8750</v>
      </c>
      <c r="E678" s="377" t="s">
        <v>1189</v>
      </c>
      <c r="F678" s="377" t="s">
        <v>1188</v>
      </c>
      <c r="G678" s="378">
        <v>0</v>
      </c>
      <c r="H678" s="376">
        <v>75000</v>
      </c>
      <c r="I678" s="376" t="s">
        <v>152</v>
      </c>
    </row>
    <row r="679" spans="1:9" s="7" customFormat="1" x14ac:dyDescent="0.2">
      <c r="A679"/>
      <c r="B679" s="377">
        <v>294</v>
      </c>
      <c r="C679" s="377" t="s">
        <v>1497</v>
      </c>
      <c r="D679" s="376">
        <v>6860</v>
      </c>
      <c r="E679" s="377" t="s">
        <v>1496</v>
      </c>
      <c r="F679" s="377" t="s">
        <v>1495</v>
      </c>
      <c r="G679" s="378">
        <v>0</v>
      </c>
      <c r="H679" s="376">
        <v>400000</v>
      </c>
      <c r="I679" s="376" t="s">
        <v>147</v>
      </c>
    </row>
    <row r="680" spans="1:9" s="7" customFormat="1" x14ac:dyDescent="0.2">
      <c r="A680"/>
      <c r="B680" s="377">
        <v>26</v>
      </c>
      <c r="C680" s="377" t="s">
        <v>2302</v>
      </c>
      <c r="D680" s="376">
        <v>2160</v>
      </c>
      <c r="E680" s="377" t="s">
        <v>244</v>
      </c>
      <c r="F680" s="377" t="s">
        <v>2301</v>
      </c>
      <c r="G680" s="378">
        <v>0</v>
      </c>
      <c r="H680" s="376">
        <v>75000</v>
      </c>
      <c r="I680" s="376" t="s">
        <v>147</v>
      </c>
    </row>
    <row r="681" spans="1:9" s="7" customFormat="1" x14ac:dyDescent="0.2">
      <c r="A681"/>
      <c r="B681" s="377">
        <v>671</v>
      </c>
      <c r="C681" s="377" t="s">
        <v>245</v>
      </c>
      <c r="D681" s="376">
        <v>2160</v>
      </c>
      <c r="E681" s="377" t="s">
        <v>244</v>
      </c>
      <c r="F681" s="377" t="s">
        <v>243</v>
      </c>
      <c r="G681" s="378">
        <v>0</v>
      </c>
      <c r="H681" s="376">
        <v>300000</v>
      </c>
      <c r="I681" s="376" t="s">
        <v>147</v>
      </c>
    </row>
    <row r="682" spans="1:9" s="7" customFormat="1" x14ac:dyDescent="0.2">
      <c r="A682"/>
      <c r="B682" s="377">
        <v>636</v>
      </c>
      <c r="C682" s="377" t="s">
        <v>379</v>
      </c>
      <c r="D682" s="376">
        <v>2990</v>
      </c>
      <c r="E682" s="377" t="s">
        <v>378</v>
      </c>
      <c r="F682" s="377" t="s">
        <v>377</v>
      </c>
      <c r="G682" s="378">
        <v>0</v>
      </c>
      <c r="H682" s="376">
        <v>75000</v>
      </c>
      <c r="I682" s="376" t="s">
        <v>147</v>
      </c>
    </row>
    <row r="683" spans="1:9" s="7" customFormat="1" x14ac:dyDescent="0.2">
      <c r="A683"/>
      <c r="B683" s="377">
        <v>16</v>
      </c>
      <c r="C683" s="377" t="s">
        <v>2337</v>
      </c>
      <c r="D683" s="376">
        <v>1930</v>
      </c>
      <c r="E683" s="377" t="s">
        <v>217</v>
      </c>
      <c r="F683" s="377" t="s">
        <v>2336</v>
      </c>
      <c r="G683" s="378">
        <v>0</v>
      </c>
      <c r="H683" s="376">
        <v>500000</v>
      </c>
      <c r="I683" s="376" t="s">
        <v>147</v>
      </c>
    </row>
    <row r="684" spans="1:9" s="7" customFormat="1" x14ac:dyDescent="0.2">
      <c r="A684"/>
      <c r="B684" s="377">
        <v>301</v>
      </c>
      <c r="C684" s="377" t="s">
        <v>1475</v>
      </c>
      <c r="D684" s="376">
        <v>1930</v>
      </c>
      <c r="E684" s="377" t="s">
        <v>217</v>
      </c>
      <c r="F684" s="377" t="s">
        <v>1474</v>
      </c>
      <c r="G684" s="378">
        <v>0</v>
      </c>
      <c r="H684" s="376">
        <v>300000</v>
      </c>
      <c r="I684" s="376" t="s">
        <v>147</v>
      </c>
    </row>
    <row r="685" spans="1:9" s="7" customFormat="1" x14ac:dyDescent="0.2">
      <c r="A685"/>
      <c r="B685" s="377">
        <v>679</v>
      </c>
      <c r="C685" s="377" t="s">
        <v>218</v>
      </c>
      <c r="D685" s="376">
        <v>1930</v>
      </c>
      <c r="E685" s="377" t="s">
        <v>217</v>
      </c>
      <c r="F685" s="377" t="s">
        <v>216</v>
      </c>
      <c r="G685" s="378">
        <v>0</v>
      </c>
      <c r="H685" s="376">
        <v>300000</v>
      </c>
      <c r="I685" s="376" t="s">
        <v>147</v>
      </c>
    </row>
    <row r="686" spans="1:9" s="7" customFormat="1" x14ac:dyDescent="0.2">
      <c r="A686"/>
      <c r="B686" s="377">
        <v>399</v>
      </c>
      <c r="C686" s="377" t="s">
        <v>1170</v>
      </c>
      <c r="D686" s="376">
        <v>8210</v>
      </c>
      <c r="E686" s="377" t="s">
        <v>1009</v>
      </c>
      <c r="F686" s="377"/>
      <c r="G686" s="378">
        <v>0</v>
      </c>
      <c r="H686" s="376">
        <v>75000</v>
      </c>
      <c r="I686" s="376" t="s">
        <v>147</v>
      </c>
    </row>
    <row r="687" spans="1:9" s="7" customFormat="1" x14ac:dyDescent="0.2">
      <c r="A687"/>
      <c r="B687" s="377">
        <v>445</v>
      </c>
      <c r="C687" s="377" t="s">
        <v>1010</v>
      </c>
      <c r="D687" s="376">
        <v>8210</v>
      </c>
      <c r="E687" s="377" t="s">
        <v>1009</v>
      </c>
      <c r="F687" s="377" t="s">
        <v>1008</v>
      </c>
      <c r="G687" s="378">
        <v>0</v>
      </c>
      <c r="H687" s="376">
        <v>75000</v>
      </c>
      <c r="I687" s="376" t="s">
        <v>152</v>
      </c>
    </row>
    <row r="688" spans="1:9" s="7" customFormat="1" x14ac:dyDescent="0.2">
      <c r="A688"/>
      <c r="B688" s="377">
        <v>126</v>
      </c>
      <c r="C688" s="377" t="s">
        <v>2014</v>
      </c>
      <c r="D688" s="376">
        <v>2840</v>
      </c>
      <c r="E688" s="377" t="s">
        <v>1289</v>
      </c>
      <c r="F688" s="377" t="s">
        <v>2013</v>
      </c>
      <c r="G688" s="378">
        <v>0</v>
      </c>
      <c r="H688" s="376">
        <v>75000</v>
      </c>
      <c r="I688" s="376" t="s">
        <v>147</v>
      </c>
    </row>
    <row r="689" spans="1:9" s="7" customFormat="1" x14ac:dyDescent="0.2">
      <c r="A689"/>
      <c r="B689" s="377">
        <v>361</v>
      </c>
      <c r="C689" s="377" t="s">
        <v>1290</v>
      </c>
      <c r="D689" s="376">
        <v>9240</v>
      </c>
      <c r="E689" s="377" t="s">
        <v>1289</v>
      </c>
      <c r="F689" s="377"/>
      <c r="G689" s="378">
        <v>0</v>
      </c>
      <c r="H689" s="376">
        <v>155000</v>
      </c>
      <c r="I689" s="376" t="s">
        <v>147</v>
      </c>
    </row>
    <row r="690" spans="1:9" s="7" customFormat="1" x14ac:dyDescent="0.2">
      <c r="A690"/>
      <c r="B690" s="377">
        <v>6</v>
      </c>
      <c r="C690" s="377" t="s">
        <v>2361</v>
      </c>
      <c r="D690" s="376">
        <v>3520</v>
      </c>
      <c r="E690" s="377" t="s">
        <v>181</v>
      </c>
      <c r="F690" s="377" t="s">
        <v>2360</v>
      </c>
      <c r="G690" s="378">
        <v>0.05</v>
      </c>
      <c r="H690" s="376">
        <v>300000</v>
      </c>
      <c r="I690" s="376" t="s">
        <v>147</v>
      </c>
    </row>
    <row r="691" spans="1:9" s="7" customFormat="1" x14ac:dyDescent="0.2">
      <c r="A691"/>
      <c r="B691" s="377">
        <v>207</v>
      </c>
      <c r="C691" s="377" t="s">
        <v>1771</v>
      </c>
      <c r="D691" s="376">
        <v>3520</v>
      </c>
      <c r="E691" s="377" t="s">
        <v>181</v>
      </c>
      <c r="F691" s="377" t="s">
        <v>1770</v>
      </c>
      <c r="G691" s="378">
        <v>0</v>
      </c>
      <c r="H691" s="376">
        <v>300000</v>
      </c>
      <c r="I691" s="376" t="s">
        <v>147</v>
      </c>
    </row>
    <row r="692" spans="1:9" s="7" customFormat="1" x14ac:dyDescent="0.2">
      <c r="A692"/>
      <c r="B692" s="377">
        <v>688</v>
      </c>
      <c r="C692" s="377" t="s">
        <v>182</v>
      </c>
      <c r="D692" s="376">
        <v>3520</v>
      </c>
      <c r="E692" s="377" t="s">
        <v>181</v>
      </c>
      <c r="F692" s="377" t="s">
        <v>180</v>
      </c>
      <c r="G692" s="378">
        <v>0</v>
      </c>
      <c r="H692" s="376">
        <v>300000</v>
      </c>
      <c r="I692" s="376" t="s">
        <v>147</v>
      </c>
    </row>
    <row r="693" spans="1:9" s="7" customFormat="1" x14ac:dyDescent="0.2">
      <c r="A693"/>
      <c r="B693" s="377">
        <v>492</v>
      </c>
      <c r="C693" s="377" t="s">
        <v>864</v>
      </c>
      <c r="D693" s="376">
        <v>8377</v>
      </c>
      <c r="E693" s="377" t="s">
        <v>863</v>
      </c>
      <c r="F693" s="377" t="s">
        <v>862</v>
      </c>
      <c r="G693" s="378">
        <v>0</v>
      </c>
      <c r="H693" s="376">
        <v>155000</v>
      </c>
      <c r="I693" s="376" t="s">
        <v>152</v>
      </c>
    </row>
    <row r="694" spans="1:9" s="7" customFormat="1" x14ac:dyDescent="0.2">
      <c r="A694"/>
      <c r="B694" s="377">
        <v>370</v>
      </c>
      <c r="C694" s="377" t="s">
        <v>1258</v>
      </c>
      <c r="D694" s="376">
        <v>9870</v>
      </c>
      <c r="E694" s="377" t="s">
        <v>996</v>
      </c>
      <c r="F694" s="377"/>
      <c r="G694" s="378">
        <v>0</v>
      </c>
      <c r="H694" s="376">
        <v>155000</v>
      </c>
      <c r="I694" s="376" t="s">
        <v>147</v>
      </c>
    </row>
    <row r="695" spans="1:9" s="7" customFormat="1" x14ac:dyDescent="0.2">
      <c r="A695"/>
      <c r="B695" s="377">
        <v>389</v>
      </c>
      <c r="C695" s="377" t="s">
        <v>1203</v>
      </c>
      <c r="D695" s="376">
        <v>9870</v>
      </c>
      <c r="E695" s="377" t="s">
        <v>996</v>
      </c>
      <c r="F695" s="377"/>
      <c r="G695" s="378">
        <v>0</v>
      </c>
      <c r="H695" s="376">
        <v>500000</v>
      </c>
      <c r="I695" s="376" t="s">
        <v>147</v>
      </c>
    </row>
    <row r="696" spans="1:9" s="7" customFormat="1" x14ac:dyDescent="0.2">
      <c r="A696"/>
      <c r="B696" s="377">
        <v>446</v>
      </c>
      <c r="C696" s="377" t="s">
        <v>1007</v>
      </c>
      <c r="D696" s="376">
        <v>9870</v>
      </c>
      <c r="E696" s="377" t="s">
        <v>996</v>
      </c>
      <c r="F696" s="377"/>
      <c r="G696" s="378">
        <v>0</v>
      </c>
      <c r="H696" s="376">
        <v>300000</v>
      </c>
      <c r="I696" s="376" t="s">
        <v>152</v>
      </c>
    </row>
    <row r="697" spans="1:9" s="7" customFormat="1" x14ac:dyDescent="0.2">
      <c r="A697"/>
      <c r="B697" s="377">
        <v>450</v>
      </c>
      <c r="C697" s="377" t="s">
        <v>997</v>
      </c>
      <c r="D697" s="376">
        <v>9870</v>
      </c>
      <c r="E697" s="377" t="s">
        <v>996</v>
      </c>
      <c r="F697" s="377" t="s">
        <v>995</v>
      </c>
      <c r="G697" s="378">
        <v>0</v>
      </c>
      <c r="H697" s="376">
        <v>500000</v>
      </c>
      <c r="I697" s="376" t="s">
        <v>147</v>
      </c>
    </row>
    <row r="698" spans="1:9" s="7" customFormat="1" x14ac:dyDescent="0.2">
      <c r="A698"/>
      <c r="B698" s="377">
        <v>115</v>
      </c>
      <c r="C698" s="377" t="s">
        <v>2048</v>
      </c>
      <c r="D698" s="376">
        <v>9470</v>
      </c>
      <c r="E698" s="377" t="s">
        <v>1812</v>
      </c>
      <c r="F698" s="377" t="s">
        <v>2047</v>
      </c>
      <c r="G698" s="378">
        <v>0</v>
      </c>
      <c r="H698" s="376">
        <v>75000</v>
      </c>
      <c r="I698" s="376" t="s">
        <v>147</v>
      </c>
    </row>
    <row r="699" spans="1:9" s="7" customFormat="1" x14ac:dyDescent="0.2">
      <c r="A699"/>
      <c r="B699" s="377">
        <v>116</v>
      </c>
      <c r="C699" s="377" t="s">
        <v>2044</v>
      </c>
      <c r="D699" s="376">
        <v>3690</v>
      </c>
      <c r="E699" s="377" t="s">
        <v>1812</v>
      </c>
      <c r="F699" s="377" t="s">
        <v>2043</v>
      </c>
      <c r="G699" s="378">
        <v>0</v>
      </c>
      <c r="H699" s="376">
        <v>75000</v>
      </c>
      <c r="I699" s="376" t="s">
        <v>152</v>
      </c>
    </row>
    <row r="700" spans="1:9" s="7" customFormat="1" x14ac:dyDescent="0.2">
      <c r="A700"/>
      <c r="B700" s="377">
        <v>192</v>
      </c>
      <c r="C700" s="377" t="s">
        <v>1813</v>
      </c>
      <c r="D700" s="376">
        <v>3690</v>
      </c>
      <c r="E700" s="377" t="s">
        <v>1812</v>
      </c>
      <c r="F700" s="377"/>
      <c r="G700" s="378">
        <v>0</v>
      </c>
      <c r="H700" s="376">
        <v>300000</v>
      </c>
      <c r="I700" s="376" t="s">
        <v>147</v>
      </c>
    </row>
    <row r="701" spans="1:9" s="7" customFormat="1" x14ac:dyDescent="0.2">
      <c r="A701"/>
      <c r="B701" s="377">
        <v>379</v>
      </c>
      <c r="C701" s="377" t="s">
        <v>1232</v>
      </c>
      <c r="D701" s="376">
        <v>8550</v>
      </c>
      <c r="E701" s="377" t="s">
        <v>1231</v>
      </c>
      <c r="F701" s="377" t="s">
        <v>1230</v>
      </c>
      <c r="G701" s="378">
        <v>0</v>
      </c>
      <c r="H701" s="376">
        <v>300000</v>
      </c>
      <c r="I701" s="376" t="s">
        <v>147</v>
      </c>
    </row>
    <row r="702" spans="1:9" s="7" customFormat="1" x14ac:dyDescent="0.2">
      <c r="A702"/>
      <c r="B702" s="6"/>
      <c r="C702" s="18"/>
      <c r="D702" s="6"/>
      <c r="E702" s="19"/>
      <c r="F702" s="6"/>
      <c r="G702" s="21"/>
      <c r="H702" s="4"/>
      <c r="I702" s="6"/>
    </row>
    <row r="703" spans="1:9" s="7" customFormat="1" x14ac:dyDescent="0.2">
      <c r="A703"/>
      <c r="B703" s="6"/>
      <c r="C703" s="18"/>
      <c r="D703" s="6"/>
      <c r="E703" s="19"/>
      <c r="F703" s="6"/>
      <c r="G703" s="21"/>
      <c r="H703" s="4"/>
      <c r="I703" s="6"/>
    </row>
    <row r="704" spans="1:9" s="7" customFormat="1" x14ac:dyDescent="0.2">
      <c r="A704"/>
      <c r="B704" s="6"/>
      <c r="C704" s="18"/>
      <c r="D704" s="6"/>
      <c r="E704" s="19"/>
      <c r="F704" s="6"/>
      <c r="G704" s="21"/>
      <c r="H704" s="4"/>
      <c r="I704" s="6"/>
    </row>
    <row r="705" spans="1:10" s="7" customFormat="1" x14ac:dyDescent="0.2">
      <c r="A705"/>
      <c r="B705" s="6"/>
      <c r="C705" s="18"/>
      <c r="D705" s="6"/>
      <c r="E705" s="19"/>
      <c r="F705" s="6"/>
      <c r="G705" s="21"/>
      <c r="H705" s="4"/>
      <c r="I705" s="6"/>
    </row>
    <row r="706" spans="1:10" s="7" customFormat="1" x14ac:dyDescent="0.2">
      <c r="A706"/>
      <c r="B706" s="6"/>
      <c r="C706" s="18"/>
      <c r="D706" s="6"/>
      <c r="E706" s="19"/>
      <c r="F706" s="6"/>
      <c r="G706" s="21"/>
      <c r="H706" s="4"/>
      <c r="I706" s="6"/>
    </row>
    <row r="707" spans="1:10" s="7" customFormat="1" x14ac:dyDescent="0.2">
      <c r="A707"/>
      <c r="B707" s="6"/>
      <c r="C707" s="18"/>
      <c r="D707" s="6"/>
      <c r="E707" s="19"/>
      <c r="F707" s="6"/>
      <c r="G707" s="21"/>
      <c r="H707" s="4"/>
      <c r="I707" s="6"/>
    </row>
    <row r="708" spans="1:10" s="7" customFormat="1" x14ac:dyDescent="0.2">
      <c r="A708"/>
      <c r="B708" s="6"/>
      <c r="C708" s="18"/>
      <c r="D708" s="6"/>
      <c r="E708" s="19"/>
      <c r="F708" s="6"/>
      <c r="G708" s="21"/>
      <c r="H708" s="4"/>
      <c r="I708" s="6"/>
    </row>
    <row r="709" spans="1:10" s="7" customFormat="1" x14ac:dyDescent="0.2">
      <c r="A709"/>
      <c r="B709" s="6"/>
      <c r="C709" s="18"/>
      <c r="D709" s="6"/>
      <c r="E709" s="19"/>
      <c r="F709" s="6"/>
      <c r="G709" s="21"/>
      <c r="H709" s="4"/>
      <c r="I709" s="6"/>
    </row>
    <row r="710" spans="1:10" s="20" customFormat="1" x14ac:dyDescent="0.2">
      <c r="A710"/>
      <c r="B710" s="6"/>
      <c r="C710" s="18"/>
      <c r="D710" s="6"/>
      <c r="E710" s="19"/>
      <c r="F710" s="6"/>
      <c r="G710" s="21"/>
      <c r="H710" s="4"/>
      <c r="I710" s="6"/>
      <c r="J710" s="7"/>
    </row>
    <row r="711" spans="1:10" s="20" customFormat="1" x14ac:dyDescent="0.2">
      <c r="A711"/>
      <c r="B711" s="6"/>
      <c r="C711" s="18"/>
      <c r="D711" s="6"/>
      <c r="E711" s="19"/>
      <c r="F711" s="6"/>
      <c r="G711" s="21"/>
      <c r="H711" s="4"/>
      <c r="I711" s="6"/>
      <c r="J711" s="7"/>
    </row>
    <row r="712" spans="1:10" s="20" customFormat="1" x14ac:dyDescent="0.2">
      <c r="A712"/>
      <c r="B712" s="6"/>
      <c r="C712" s="18"/>
      <c r="D712" s="6"/>
      <c r="E712" s="19"/>
      <c r="F712" s="6"/>
      <c r="G712" s="21"/>
      <c r="H712" s="4"/>
      <c r="I712" s="6"/>
      <c r="J712" s="7"/>
    </row>
    <row r="713" spans="1:10" s="20" customFormat="1" x14ac:dyDescent="0.2">
      <c r="A713"/>
      <c r="B713" s="6"/>
      <c r="C713" s="18"/>
      <c r="D713" s="6"/>
      <c r="E713" s="19"/>
      <c r="F713" s="6"/>
      <c r="G713" s="21"/>
      <c r="H713" s="4"/>
      <c r="I713" s="6"/>
      <c r="J713" s="7"/>
    </row>
    <row r="714" spans="1:10" s="20" customFormat="1" x14ac:dyDescent="0.2">
      <c r="A714"/>
      <c r="B714" s="6"/>
      <c r="C714" s="18"/>
      <c r="D714" s="6"/>
      <c r="E714" s="19"/>
      <c r="F714" s="6"/>
      <c r="G714" s="21"/>
      <c r="H714" s="4"/>
      <c r="I714" s="6"/>
      <c r="J714" s="7"/>
    </row>
    <row r="715" spans="1:10" s="20" customFormat="1" x14ac:dyDescent="0.2">
      <c r="A715"/>
      <c r="B715" s="6"/>
      <c r="C715" s="18"/>
      <c r="D715" s="6"/>
      <c r="E715" s="19"/>
      <c r="F715" s="6"/>
      <c r="G715" s="21"/>
      <c r="H715" s="4"/>
      <c r="I715" s="6"/>
      <c r="J715" s="7"/>
    </row>
    <row r="716" spans="1:10" s="20" customFormat="1" x14ac:dyDescent="0.2">
      <c r="A716"/>
      <c r="B716" s="6"/>
      <c r="C716" s="18"/>
      <c r="D716" s="6"/>
      <c r="E716" s="19"/>
      <c r="F716" s="6"/>
      <c r="G716" s="21"/>
      <c r="H716" s="4"/>
      <c r="I716" s="6"/>
      <c r="J716" s="7"/>
    </row>
    <row r="717" spans="1:10" s="20" customFormat="1" x14ac:dyDescent="0.2">
      <c r="A717"/>
      <c r="B717" s="6"/>
      <c r="C717" s="18"/>
      <c r="D717" s="6"/>
      <c r="E717" s="19"/>
      <c r="F717" s="6"/>
      <c r="G717" s="21"/>
      <c r="H717" s="4"/>
      <c r="I717" s="6"/>
      <c r="J717" s="7"/>
    </row>
    <row r="718" spans="1:10" s="20" customFormat="1" x14ac:dyDescent="0.2">
      <c r="A718"/>
      <c r="B718" s="6"/>
      <c r="C718" s="18"/>
      <c r="D718" s="6"/>
      <c r="E718" s="19"/>
      <c r="F718" s="6"/>
      <c r="G718" s="21"/>
      <c r="H718" s="4"/>
      <c r="I718" s="6"/>
      <c r="J718" s="7"/>
    </row>
    <row r="719" spans="1:10" s="20" customFormat="1" x14ac:dyDescent="0.2">
      <c r="A719"/>
      <c r="B719" s="6"/>
      <c r="C719" s="18"/>
      <c r="D719" s="6"/>
      <c r="E719" s="19"/>
      <c r="F719" s="6"/>
      <c r="G719" s="21"/>
      <c r="H719" s="4"/>
      <c r="I719" s="6"/>
      <c r="J719" s="7"/>
    </row>
    <row r="720" spans="1:10" s="20" customFormat="1" x14ac:dyDescent="0.2">
      <c r="A720"/>
      <c r="B720" s="6"/>
      <c r="C720" s="18"/>
      <c r="D720" s="6"/>
      <c r="E720" s="19"/>
      <c r="F720" s="6"/>
      <c r="G720" s="21"/>
      <c r="H720" s="4"/>
      <c r="I720" s="6"/>
      <c r="J720" s="7"/>
    </row>
    <row r="721" spans="1:10" s="20" customFormat="1" x14ac:dyDescent="0.2">
      <c r="A721"/>
      <c r="B721" s="6"/>
      <c r="C721" s="18"/>
      <c r="D721" s="6"/>
      <c r="E721" s="19"/>
      <c r="F721" s="6"/>
      <c r="G721" s="21"/>
      <c r="H721" s="4"/>
      <c r="I721" s="6"/>
      <c r="J721" s="7"/>
    </row>
    <row r="722" spans="1:10" s="20" customFormat="1" x14ac:dyDescent="0.2">
      <c r="A722"/>
      <c r="B722" s="6"/>
      <c r="C722" s="18"/>
      <c r="D722" s="6"/>
      <c r="E722" s="19"/>
      <c r="F722" s="6"/>
      <c r="G722" s="21"/>
      <c r="H722" s="4"/>
      <c r="I722" s="6"/>
      <c r="J722" s="7"/>
    </row>
    <row r="723" spans="1:10" s="20" customFormat="1" x14ac:dyDescent="0.2">
      <c r="A723"/>
      <c r="B723" s="6"/>
      <c r="C723" s="18"/>
      <c r="D723" s="6"/>
      <c r="E723" s="19"/>
      <c r="F723" s="6"/>
      <c r="G723" s="21"/>
      <c r="H723" s="4"/>
      <c r="I723" s="6"/>
      <c r="J723" s="7"/>
    </row>
    <row r="724" spans="1:10" s="20" customFormat="1" x14ac:dyDescent="0.2">
      <c r="A724"/>
      <c r="B724" s="6"/>
      <c r="C724" s="18"/>
      <c r="D724" s="6"/>
      <c r="E724" s="19"/>
      <c r="F724" s="6"/>
      <c r="G724" s="21"/>
      <c r="H724" s="4"/>
      <c r="I724" s="6"/>
      <c r="J724" s="7"/>
    </row>
    <row r="725" spans="1:10" s="20" customFormat="1" x14ac:dyDescent="0.2">
      <c r="A725"/>
      <c r="B725" s="6"/>
      <c r="C725" s="18"/>
      <c r="D725" s="6"/>
      <c r="E725" s="19"/>
      <c r="F725" s="6"/>
      <c r="G725" s="21"/>
      <c r="H725" s="4"/>
      <c r="I725" s="6"/>
      <c r="J725" s="7"/>
    </row>
    <row r="726" spans="1:10" s="20" customFormat="1" x14ac:dyDescent="0.2">
      <c r="A726"/>
      <c r="B726" s="6"/>
      <c r="C726" s="18"/>
      <c r="D726" s="6"/>
      <c r="E726" s="19"/>
      <c r="F726" s="6"/>
      <c r="G726" s="21"/>
      <c r="H726" s="4"/>
      <c r="I726" s="6"/>
      <c r="J726" s="7"/>
    </row>
    <row r="727" spans="1:10" s="20" customFormat="1" x14ac:dyDescent="0.2">
      <c r="A727"/>
      <c r="B727" s="6"/>
      <c r="C727" s="18"/>
      <c r="D727" s="6"/>
      <c r="E727" s="19"/>
      <c r="F727" s="6"/>
      <c r="G727" s="21"/>
      <c r="H727" s="4"/>
      <c r="I727" s="6"/>
      <c r="J727" s="7"/>
    </row>
    <row r="728" spans="1:10" s="20" customFormat="1" x14ac:dyDescent="0.2">
      <c r="A728"/>
      <c r="B728" s="6"/>
      <c r="C728" s="18"/>
      <c r="D728" s="6"/>
      <c r="E728" s="19"/>
      <c r="F728" s="6"/>
      <c r="G728" s="21"/>
      <c r="H728" s="4"/>
      <c r="I728" s="6"/>
      <c r="J728" s="7"/>
    </row>
    <row r="729" spans="1:10" s="20" customFormat="1" x14ac:dyDescent="0.2">
      <c r="A729"/>
      <c r="B729" s="6"/>
      <c r="C729" s="18"/>
      <c r="D729" s="6"/>
      <c r="E729" s="19"/>
      <c r="F729" s="6"/>
      <c r="G729" s="21"/>
      <c r="H729" s="4"/>
      <c r="I729" s="6"/>
      <c r="J729" s="7"/>
    </row>
    <row r="730" spans="1:10" s="20" customFormat="1" x14ac:dyDescent="0.2">
      <c r="A730"/>
      <c r="B730" s="6"/>
      <c r="C730" s="18"/>
      <c r="D730" s="6"/>
      <c r="E730" s="19"/>
      <c r="F730" s="6"/>
      <c r="G730" s="21"/>
      <c r="H730" s="4"/>
      <c r="I730" s="6"/>
      <c r="J730" s="7"/>
    </row>
    <row r="731" spans="1:10" s="20" customFormat="1" x14ac:dyDescent="0.2">
      <c r="A731"/>
      <c r="B731" s="6"/>
      <c r="C731" s="18"/>
      <c r="D731" s="6"/>
      <c r="E731" s="19"/>
      <c r="F731" s="6"/>
      <c r="G731" s="21"/>
      <c r="H731" s="4"/>
      <c r="I731" s="6"/>
      <c r="J731" s="7"/>
    </row>
    <row r="732" spans="1:10" s="20" customFormat="1" x14ac:dyDescent="0.2">
      <c r="A732"/>
      <c r="B732" s="6"/>
      <c r="C732" s="18"/>
      <c r="D732" s="6"/>
      <c r="E732" s="19"/>
      <c r="F732" s="6"/>
      <c r="G732" s="21"/>
      <c r="H732" s="4"/>
      <c r="I732" s="6"/>
      <c r="J732" s="7"/>
    </row>
    <row r="733" spans="1:10" s="20" customFormat="1" x14ac:dyDescent="0.2">
      <c r="A733"/>
      <c r="B733" s="6"/>
      <c r="C733" s="18"/>
      <c r="D733" s="6"/>
      <c r="E733" s="19"/>
      <c r="F733" s="6"/>
      <c r="G733" s="21"/>
      <c r="H733" s="4"/>
      <c r="I733" s="6"/>
      <c r="J733" s="7"/>
    </row>
    <row r="734" spans="1:10" s="20" customFormat="1" x14ac:dyDescent="0.2">
      <c r="A734"/>
      <c r="B734" s="6"/>
      <c r="C734" s="18"/>
      <c r="D734" s="6"/>
      <c r="E734" s="19"/>
      <c r="F734" s="6"/>
      <c r="G734" s="21"/>
      <c r="H734" s="4"/>
      <c r="I734" s="6"/>
      <c r="J734" s="7"/>
    </row>
    <row r="735" spans="1:10" s="20" customFormat="1" x14ac:dyDescent="0.2">
      <c r="A735"/>
      <c r="B735" s="6"/>
      <c r="C735" s="18"/>
      <c r="D735" s="6"/>
      <c r="E735" s="19"/>
      <c r="F735" s="6"/>
      <c r="G735" s="21"/>
      <c r="H735" s="4"/>
      <c r="I735" s="6"/>
      <c r="J735" s="7"/>
    </row>
    <row r="736" spans="1:10" s="20" customFormat="1" x14ac:dyDescent="0.2">
      <c r="A736"/>
      <c r="B736" s="6"/>
      <c r="C736" s="18"/>
      <c r="D736" s="6"/>
      <c r="E736" s="19"/>
      <c r="F736" s="6"/>
      <c r="G736" s="21"/>
      <c r="H736" s="4"/>
      <c r="I736" s="6"/>
      <c r="J736" s="7"/>
    </row>
    <row r="737" spans="1:10" s="20" customFormat="1" x14ac:dyDescent="0.2">
      <c r="A737"/>
      <c r="B737" s="6"/>
      <c r="C737" s="18"/>
      <c r="D737" s="6"/>
      <c r="E737" s="19"/>
      <c r="F737" s="6"/>
      <c r="G737" s="21"/>
      <c r="H737" s="4"/>
      <c r="I737" s="6"/>
      <c r="J737" s="7"/>
    </row>
    <row r="738" spans="1:10" s="20" customFormat="1" x14ac:dyDescent="0.2">
      <c r="A738"/>
      <c r="B738" s="6"/>
      <c r="C738" s="18"/>
      <c r="D738" s="6"/>
      <c r="E738" s="19"/>
      <c r="F738" s="6"/>
      <c r="G738" s="21"/>
      <c r="H738" s="4"/>
      <c r="I738" s="6"/>
      <c r="J738" s="7"/>
    </row>
    <row r="739" spans="1:10" s="20" customFormat="1" x14ac:dyDescent="0.2">
      <c r="A739"/>
      <c r="B739" s="6"/>
      <c r="C739" s="18"/>
      <c r="D739" s="6"/>
      <c r="E739" s="19"/>
      <c r="F739" s="6"/>
      <c r="G739" s="21"/>
      <c r="H739" s="4"/>
      <c r="I739" s="6"/>
      <c r="J739" s="7"/>
    </row>
    <row r="740" spans="1:10" s="20" customFormat="1" x14ac:dyDescent="0.2">
      <c r="A740"/>
      <c r="B740" s="6"/>
      <c r="C740" s="18"/>
      <c r="D740" s="6"/>
      <c r="E740" s="19"/>
      <c r="F740" s="6"/>
      <c r="G740" s="21"/>
      <c r="H740" s="4"/>
      <c r="I740" s="6"/>
      <c r="J740" s="7"/>
    </row>
    <row r="741" spans="1:10" s="20" customFormat="1" x14ac:dyDescent="0.2">
      <c r="A741"/>
      <c r="B741" s="6"/>
      <c r="C741" s="18"/>
      <c r="D741" s="6"/>
      <c r="E741" s="19"/>
      <c r="F741" s="6"/>
      <c r="G741" s="21"/>
      <c r="H741" s="4"/>
      <c r="I741" s="6"/>
      <c r="J741" s="7"/>
    </row>
    <row r="742" spans="1:10" s="20" customFormat="1" x14ac:dyDescent="0.2">
      <c r="A742"/>
      <c r="B742" s="6"/>
      <c r="C742" s="18"/>
      <c r="D742" s="6"/>
      <c r="E742" s="19"/>
      <c r="F742" s="6"/>
      <c r="G742" s="21"/>
      <c r="H742" s="4"/>
      <c r="I742" s="6"/>
      <c r="J742" s="7"/>
    </row>
    <row r="743" spans="1:10" s="20" customFormat="1" x14ac:dyDescent="0.2">
      <c r="A743"/>
      <c r="B743" s="6"/>
      <c r="C743" s="18"/>
      <c r="D743" s="6"/>
      <c r="E743" s="19"/>
      <c r="F743" s="6"/>
      <c r="G743" s="21"/>
      <c r="H743" s="4"/>
      <c r="I743" s="6"/>
      <c r="J743" s="7"/>
    </row>
    <row r="744" spans="1:10" s="20" customFormat="1" x14ac:dyDescent="0.2">
      <c r="A744"/>
      <c r="B744" s="6"/>
      <c r="C744" s="18"/>
      <c r="D744" s="6"/>
      <c r="E744" s="19"/>
      <c r="F744" s="6"/>
      <c r="G744" s="21"/>
      <c r="H744" s="4"/>
      <c r="I744" s="6"/>
      <c r="J744" s="7"/>
    </row>
    <row r="745" spans="1:10" s="20" customFormat="1" x14ac:dyDescent="0.2">
      <c r="A745"/>
      <c r="B745" s="6"/>
      <c r="C745" s="18"/>
      <c r="D745" s="6"/>
      <c r="E745" s="19"/>
      <c r="F745" s="6"/>
      <c r="G745" s="21"/>
      <c r="H745" s="4"/>
      <c r="I745" s="6"/>
      <c r="J745" s="7"/>
    </row>
    <row r="746" spans="1:10" s="20" customFormat="1" x14ac:dyDescent="0.2">
      <c r="A746"/>
      <c r="B746" s="6"/>
      <c r="C746" s="18"/>
      <c r="D746" s="6"/>
      <c r="E746" s="19"/>
      <c r="F746" s="6"/>
      <c r="G746" s="21"/>
      <c r="H746" s="4"/>
      <c r="I746" s="6"/>
      <c r="J746" s="7"/>
    </row>
    <row r="747" spans="1:10" s="20" customFormat="1" x14ac:dyDescent="0.2">
      <c r="A747"/>
      <c r="B747" s="6"/>
      <c r="C747" s="18"/>
      <c r="D747" s="6"/>
      <c r="E747" s="19"/>
      <c r="F747" s="6"/>
      <c r="G747" s="21"/>
      <c r="H747" s="4"/>
      <c r="I747" s="6"/>
      <c r="J747" s="7"/>
    </row>
    <row r="748" spans="1:10" s="20" customFormat="1" x14ac:dyDescent="0.2">
      <c r="A748"/>
      <c r="B748" s="6"/>
      <c r="C748" s="18"/>
      <c r="D748" s="6"/>
      <c r="E748" s="19"/>
      <c r="F748" s="6"/>
      <c r="G748" s="21"/>
      <c r="H748" s="4"/>
      <c r="I748" s="6"/>
      <c r="J748" s="7"/>
    </row>
    <row r="749" spans="1:10" s="20" customFormat="1" x14ac:dyDescent="0.2">
      <c r="A749"/>
      <c r="B749" s="6"/>
      <c r="C749" s="18"/>
      <c r="D749" s="6"/>
      <c r="E749" s="19"/>
      <c r="F749" s="6"/>
      <c r="G749" s="21"/>
      <c r="H749" s="4"/>
      <c r="I749" s="6"/>
      <c r="J749" s="7"/>
    </row>
    <row r="750" spans="1:10" s="20" customFormat="1" x14ac:dyDescent="0.2">
      <c r="A750"/>
      <c r="B750" s="6"/>
      <c r="C750" s="18"/>
      <c r="D750" s="6"/>
      <c r="E750" s="19"/>
      <c r="F750" s="6"/>
      <c r="G750" s="21"/>
      <c r="H750" s="4"/>
      <c r="I750" s="6"/>
      <c r="J750" s="7"/>
    </row>
    <row r="751" spans="1:10" s="20" customFormat="1" x14ac:dyDescent="0.2">
      <c r="A751"/>
      <c r="B751" s="6"/>
      <c r="C751" s="18"/>
      <c r="D751" s="6"/>
      <c r="E751" s="19"/>
      <c r="F751" s="6"/>
      <c r="G751" s="21"/>
      <c r="H751" s="4"/>
      <c r="I751" s="6"/>
      <c r="J751" s="7"/>
    </row>
    <row r="752" spans="1:10" s="20" customFormat="1" x14ac:dyDescent="0.2">
      <c r="A752"/>
      <c r="B752" s="6"/>
      <c r="C752" s="18"/>
      <c r="D752" s="6"/>
      <c r="E752" s="19"/>
      <c r="F752" s="6"/>
      <c r="G752" s="21"/>
      <c r="H752" s="4"/>
      <c r="I752" s="6"/>
      <c r="J752" s="7"/>
    </row>
    <row r="753" spans="1:10" s="20" customFormat="1" x14ac:dyDescent="0.2">
      <c r="A753"/>
      <c r="B753" s="6"/>
      <c r="C753" s="18"/>
      <c r="D753" s="6"/>
      <c r="E753" s="19"/>
      <c r="F753" s="6"/>
      <c r="G753" s="21"/>
      <c r="H753" s="4"/>
      <c r="I753" s="6"/>
      <c r="J753" s="7"/>
    </row>
    <row r="754" spans="1:10" s="20" customFormat="1" x14ac:dyDescent="0.2">
      <c r="A754"/>
      <c r="B754" s="6"/>
      <c r="C754" s="18"/>
      <c r="D754" s="6"/>
      <c r="E754" s="19"/>
      <c r="F754" s="6"/>
      <c r="G754" s="21"/>
      <c r="H754" s="4"/>
      <c r="I754" s="6"/>
      <c r="J754" s="7"/>
    </row>
    <row r="755" spans="1:10" s="20" customFormat="1" x14ac:dyDescent="0.2">
      <c r="A755"/>
      <c r="B755" s="6"/>
      <c r="C755" s="18"/>
      <c r="D755" s="6"/>
      <c r="E755" s="19"/>
      <c r="F755" s="6"/>
      <c r="G755" s="21"/>
      <c r="H755" s="4"/>
      <c r="I755" s="6"/>
      <c r="J755" s="7"/>
    </row>
    <row r="756" spans="1:10" s="20" customFormat="1" x14ac:dyDescent="0.2">
      <c r="A756"/>
      <c r="B756" s="6"/>
      <c r="C756" s="18"/>
      <c r="D756" s="6"/>
      <c r="E756" s="19"/>
      <c r="F756" s="6"/>
      <c r="G756" s="21"/>
      <c r="H756" s="4"/>
      <c r="I756" s="6"/>
      <c r="J756" s="7"/>
    </row>
    <row r="757" spans="1:10" s="20" customFormat="1" x14ac:dyDescent="0.2">
      <c r="A757"/>
      <c r="B757" s="6"/>
      <c r="C757" s="18"/>
      <c r="D757" s="6"/>
      <c r="E757" s="19"/>
      <c r="F757" s="6"/>
      <c r="G757" s="21"/>
      <c r="H757" s="4"/>
      <c r="I757" s="6"/>
      <c r="J757" s="7"/>
    </row>
    <row r="758" spans="1:10" s="20" customFormat="1" x14ac:dyDescent="0.2">
      <c r="A758"/>
      <c r="B758" s="6"/>
      <c r="C758" s="18"/>
      <c r="D758" s="6"/>
      <c r="E758" s="19"/>
      <c r="F758" s="6"/>
      <c r="G758" s="21"/>
      <c r="H758" s="4"/>
      <c r="I758" s="6"/>
      <c r="J758" s="7"/>
    </row>
    <row r="759" spans="1:10" s="20" customFormat="1" x14ac:dyDescent="0.2">
      <c r="A759"/>
      <c r="B759" s="6"/>
      <c r="C759" s="18"/>
      <c r="D759" s="6"/>
      <c r="E759" s="19"/>
      <c r="F759" s="6"/>
      <c r="G759" s="21"/>
      <c r="H759" s="4"/>
      <c r="I759" s="6"/>
      <c r="J759" s="7"/>
    </row>
    <row r="760" spans="1:10" s="20" customFormat="1" x14ac:dyDescent="0.2">
      <c r="A760"/>
      <c r="B760" s="6"/>
      <c r="C760" s="18"/>
      <c r="D760" s="6"/>
      <c r="E760" s="19"/>
      <c r="F760" s="6"/>
      <c r="G760" s="21"/>
      <c r="H760" s="4"/>
      <c r="I760" s="6"/>
      <c r="J760" s="7"/>
    </row>
    <row r="761" spans="1:10" s="20" customFormat="1" x14ac:dyDescent="0.2">
      <c r="A761"/>
      <c r="B761" s="6"/>
      <c r="C761" s="18"/>
      <c r="D761" s="6"/>
      <c r="E761" s="19"/>
      <c r="F761" s="6"/>
      <c r="G761" s="21"/>
      <c r="H761" s="4"/>
      <c r="I761" s="6"/>
      <c r="J761" s="7"/>
    </row>
    <row r="762" spans="1:10" s="20" customFormat="1" x14ac:dyDescent="0.2">
      <c r="A762"/>
      <c r="B762" s="6"/>
      <c r="C762" s="18"/>
      <c r="D762" s="6"/>
      <c r="E762" s="19"/>
      <c r="F762" s="6"/>
      <c r="G762" s="21"/>
      <c r="H762" s="4"/>
      <c r="I762" s="6"/>
      <c r="J762" s="7"/>
    </row>
    <row r="763" spans="1:10" s="20" customFormat="1" x14ac:dyDescent="0.2">
      <c r="A763"/>
      <c r="B763" s="6"/>
      <c r="C763" s="18"/>
      <c r="D763" s="6"/>
      <c r="E763" s="19"/>
      <c r="F763" s="6"/>
      <c r="G763" s="21"/>
      <c r="H763" s="4"/>
      <c r="I763" s="6"/>
      <c r="J763" s="7"/>
    </row>
    <row r="764" spans="1:10" s="20" customFormat="1" x14ac:dyDescent="0.2">
      <c r="A764"/>
      <c r="B764" s="6"/>
      <c r="C764" s="18"/>
      <c r="D764" s="6"/>
      <c r="E764" s="19"/>
      <c r="F764" s="6"/>
      <c r="G764" s="21"/>
      <c r="H764" s="4"/>
      <c r="I764" s="6"/>
      <c r="J764" s="7"/>
    </row>
    <row r="765" spans="1:10" s="20" customFormat="1" x14ac:dyDescent="0.2">
      <c r="A765"/>
      <c r="B765" s="6"/>
      <c r="C765" s="18"/>
      <c r="D765" s="6"/>
      <c r="E765" s="19"/>
      <c r="F765" s="6"/>
      <c r="G765" s="21"/>
      <c r="H765" s="4"/>
      <c r="I765" s="6"/>
      <c r="J765" s="7"/>
    </row>
    <row r="766" spans="1:10" s="20" customFormat="1" x14ac:dyDescent="0.2">
      <c r="A766"/>
      <c r="B766" s="6"/>
      <c r="C766" s="18"/>
      <c r="D766" s="6"/>
      <c r="E766" s="19"/>
      <c r="F766" s="6"/>
      <c r="G766" s="21"/>
      <c r="H766" s="4"/>
      <c r="I766" s="6"/>
      <c r="J766" s="7"/>
    </row>
    <row r="767" spans="1:10" s="20" customFormat="1" x14ac:dyDescent="0.2">
      <c r="A767"/>
      <c r="B767" s="6"/>
      <c r="C767" s="18"/>
      <c r="D767" s="6"/>
      <c r="E767" s="19"/>
      <c r="F767" s="6"/>
      <c r="G767" s="21"/>
      <c r="H767" s="4"/>
      <c r="I767" s="6"/>
      <c r="J767" s="7"/>
    </row>
    <row r="768" spans="1:10" s="20" customFormat="1" x14ac:dyDescent="0.2">
      <c r="A768"/>
      <c r="B768" s="6"/>
      <c r="C768" s="18"/>
      <c r="D768" s="6"/>
      <c r="E768" s="19"/>
      <c r="F768" s="6"/>
      <c r="G768" s="21"/>
      <c r="H768" s="4"/>
      <c r="I768" s="6"/>
      <c r="J768" s="7"/>
    </row>
    <row r="769" spans="1:10" s="20" customFormat="1" x14ac:dyDescent="0.2">
      <c r="A769"/>
      <c r="B769" s="6"/>
      <c r="C769" s="18"/>
      <c r="D769" s="6"/>
      <c r="E769" s="19"/>
      <c r="F769" s="6"/>
      <c r="G769" s="21"/>
      <c r="H769" s="4"/>
      <c r="I769" s="6"/>
      <c r="J769" s="7"/>
    </row>
    <row r="770" spans="1:10" s="20" customFormat="1" x14ac:dyDescent="0.2">
      <c r="A770"/>
      <c r="B770" s="6"/>
      <c r="C770" s="18"/>
      <c r="D770" s="6"/>
      <c r="E770" s="19"/>
      <c r="F770" s="6"/>
      <c r="G770" s="21"/>
      <c r="H770" s="4"/>
      <c r="I770" s="6"/>
      <c r="J770" s="7"/>
    </row>
    <row r="771" spans="1:10" s="20" customFormat="1" x14ac:dyDescent="0.2">
      <c r="A771"/>
      <c r="B771" s="6"/>
      <c r="C771" s="18"/>
      <c r="D771" s="6"/>
      <c r="E771" s="19"/>
      <c r="F771" s="6"/>
      <c r="G771" s="21"/>
      <c r="H771" s="4"/>
      <c r="I771" s="6"/>
      <c r="J771" s="7"/>
    </row>
    <row r="772" spans="1:10" s="20" customFormat="1" x14ac:dyDescent="0.2">
      <c r="A772"/>
      <c r="B772" s="6"/>
      <c r="C772" s="18"/>
      <c r="D772" s="6"/>
      <c r="E772" s="19"/>
      <c r="F772" s="6"/>
      <c r="G772" s="21"/>
      <c r="H772" s="4"/>
      <c r="I772" s="6"/>
      <c r="J772" s="7"/>
    </row>
    <row r="773" spans="1:10" s="20" customFormat="1" x14ac:dyDescent="0.2">
      <c r="A773"/>
      <c r="B773" s="6"/>
      <c r="C773" s="18"/>
      <c r="D773" s="6"/>
      <c r="E773" s="19"/>
      <c r="F773" s="6"/>
      <c r="G773" s="21"/>
      <c r="H773" s="4"/>
      <c r="I773" s="6"/>
      <c r="J773" s="7"/>
    </row>
    <row r="774" spans="1:10" s="20" customFormat="1" x14ac:dyDescent="0.2">
      <c r="A774"/>
      <c r="B774" s="6"/>
      <c r="C774" s="18"/>
      <c r="D774" s="6"/>
      <c r="E774" s="19"/>
      <c r="F774" s="6"/>
      <c r="G774" s="21"/>
      <c r="H774" s="4"/>
      <c r="I774" s="6"/>
      <c r="J774" s="7"/>
    </row>
    <row r="775" spans="1:10" s="20" customFormat="1" x14ac:dyDescent="0.2">
      <c r="A775"/>
      <c r="B775" s="6"/>
      <c r="C775" s="18"/>
      <c r="D775" s="6"/>
      <c r="E775" s="19"/>
      <c r="F775" s="6"/>
      <c r="G775" s="21"/>
      <c r="H775" s="4"/>
      <c r="I775" s="6"/>
      <c r="J775" s="7"/>
    </row>
    <row r="776" spans="1:10" s="20" customFormat="1" x14ac:dyDescent="0.2">
      <c r="A776"/>
      <c r="B776" s="6"/>
      <c r="C776" s="18"/>
      <c r="D776" s="6"/>
      <c r="E776" s="19"/>
      <c r="F776" s="6"/>
      <c r="G776" s="21"/>
      <c r="H776" s="4"/>
      <c r="I776" s="6"/>
      <c r="J776" s="7"/>
    </row>
    <row r="777" spans="1:10" s="20" customFormat="1" x14ac:dyDescent="0.2">
      <c r="A777"/>
      <c r="B777" s="6"/>
      <c r="C777" s="18"/>
      <c r="D777" s="6"/>
      <c r="E777" s="19"/>
      <c r="F777" s="6"/>
      <c r="G777" s="21"/>
      <c r="H777" s="4"/>
      <c r="I777" s="6"/>
      <c r="J777" s="7"/>
    </row>
    <row r="778" spans="1:10" s="20" customFormat="1" x14ac:dyDescent="0.2">
      <c r="A778"/>
      <c r="B778" s="6"/>
      <c r="C778" s="18"/>
      <c r="D778" s="6"/>
      <c r="E778" s="19"/>
      <c r="F778" s="6"/>
      <c r="G778" s="21"/>
      <c r="H778" s="4"/>
      <c r="I778" s="6"/>
      <c r="J778" s="7"/>
    </row>
    <row r="779" spans="1:10" s="20" customFormat="1" x14ac:dyDescent="0.2">
      <c r="A779"/>
      <c r="B779" s="6"/>
      <c r="C779" s="18"/>
      <c r="D779" s="6"/>
      <c r="E779" s="19"/>
      <c r="F779" s="6"/>
      <c r="G779" s="21"/>
      <c r="H779" s="4"/>
      <c r="I779" s="6"/>
      <c r="J779" s="7"/>
    </row>
    <row r="780" spans="1:10" s="20" customFormat="1" x14ac:dyDescent="0.2">
      <c r="A780"/>
      <c r="B780" s="6"/>
      <c r="C780" s="18"/>
      <c r="D780" s="6"/>
      <c r="E780" s="19"/>
      <c r="F780" s="6"/>
      <c r="G780" s="21"/>
      <c r="H780" s="4"/>
      <c r="I780" s="6"/>
      <c r="J780" s="7"/>
    </row>
    <row r="781" spans="1:10" s="20" customFormat="1" x14ac:dyDescent="0.2">
      <c r="A781"/>
      <c r="B781" s="6"/>
      <c r="C781" s="18"/>
      <c r="D781" s="6"/>
      <c r="E781" s="19"/>
      <c r="F781" s="6"/>
      <c r="G781" s="21"/>
      <c r="H781" s="4"/>
      <c r="I781" s="6"/>
      <c r="J781" s="7"/>
    </row>
    <row r="782" spans="1:10" s="20" customFormat="1" x14ac:dyDescent="0.2">
      <c r="A782"/>
      <c r="B782" s="6"/>
      <c r="C782" s="18"/>
      <c r="D782" s="6"/>
      <c r="E782" s="19"/>
      <c r="F782" s="6"/>
      <c r="G782" s="21"/>
      <c r="H782" s="4"/>
      <c r="I782" s="6"/>
      <c r="J782" s="7"/>
    </row>
    <row r="783" spans="1:10" s="20" customFormat="1" x14ac:dyDescent="0.2">
      <c r="A783"/>
      <c r="B783" s="6"/>
      <c r="C783" s="18"/>
      <c r="D783" s="6"/>
      <c r="E783" s="19"/>
      <c r="F783" s="6"/>
      <c r="G783" s="21"/>
      <c r="H783" s="4"/>
      <c r="I783" s="6"/>
      <c r="J783" s="7"/>
    </row>
    <row r="784" spans="1:10" s="20" customFormat="1" x14ac:dyDescent="0.2">
      <c r="A784"/>
      <c r="B784" s="6"/>
      <c r="C784" s="18"/>
      <c r="D784" s="6"/>
      <c r="E784" s="19"/>
      <c r="F784" s="6"/>
      <c r="G784" s="21"/>
      <c r="H784" s="4"/>
      <c r="I784" s="6"/>
      <c r="J784" s="7"/>
    </row>
    <row r="785" spans="1:10" s="20" customFormat="1" x14ac:dyDescent="0.2">
      <c r="A785"/>
      <c r="B785" s="6"/>
      <c r="C785" s="18"/>
      <c r="D785" s="6"/>
      <c r="E785" s="19"/>
      <c r="F785" s="6"/>
      <c r="G785" s="21"/>
      <c r="H785" s="4"/>
      <c r="I785" s="6"/>
      <c r="J785" s="7"/>
    </row>
    <row r="786" spans="1:10" s="20" customFormat="1" x14ac:dyDescent="0.2">
      <c r="A786"/>
      <c r="B786" s="6"/>
      <c r="C786" s="18"/>
      <c r="D786" s="6"/>
      <c r="E786" s="19"/>
      <c r="F786" s="6"/>
      <c r="G786" s="21"/>
      <c r="H786" s="4"/>
      <c r="I786" s="6"/>
      <c r="J786" s="7"/>
    </row>
    <row r="787" spans="1:10" s="20" customFormat="1" x14ac:dyDescent="0.2">
      <c r="A787"/>
      <c r="B787" s="6"/>
      <c r="C787" s="18"/>
      <c r="D787" s="6"/>
      <c r="E787" s="19"/>
      <c r="F787" s="6"/>
      <c r="G787" s="21"/>
      <c r="H787" s="4"/>
      <c r="I787" s="6"/>
      <c r="J787" s="7"/>
    </row>
    <row r="788" spans="1:10" s="20" customFormat="1" x14ac:dyDescent="0.2">
      <c r="A788"/>
      <c r="B788" s="6"/>
      <c r="C788" s="18"/>
      <c r="D788" s="6"/>
      <c r="E788" s="19"/>
      <c r="F788" s="6"/>
      <c r="G788" s="21"/>
      <c r="H788" s="4"/>
      <c r="I788" s="6"/>
      <c r="J788" s="7"/>
    </row>
    <row r="789" spans="1:10" s="20" customFormat="1" x14ac:dyDescent="0.2">
      <c r="A789"/>
      <c r="B789" s="6"/>
      <c r="C789" s="18"/>
      <c r="D789" s="6"/>
      <c r="E789" s="19"/>
      <c r="F789" s="6"/>
      <c r="G789" s="21"/>
      <c r="H789" s="4"/>
      <c r="I789" s="6"/>
      <c r="J789" s="7"/>
    </row>
    <row r="790" spans="1:10" s="20" customFormat="1" x14ac:dyDescent="0.2">
      <c r="A790"/>
      <c r="B790" s="6"/>
      <c r="C790" s="18"/>
      <c r="D790" s="6"/>
      <c r="E790" s="19"/>
      <c r="F790" s="6"/>
      <c r="G790" s="21"/>
      <c r="H790" s="4"/>
      <c r="I790" s="6"/>
      <c r="J790" s="7"/>
    </row>
    <row r="791" spans="1:10" s="20" customFormat="1" x14ac:dyDescent="0.2">
      <c r="A791"/>
      <c r="B791" s="6"/>
      <c r="C791" s="18"/>
      <c r="D791" s="6"/>
      <c r="E791" s="19"/>
      <c r="F791" s="6"/>
      <c r="G791" s="21"/>
      <c r="H791" s="4"/>
      <c r="I791" s="6"/>
      <c r="J791" s="7"/>
    </row>
    <row r="792" spans="1:10" s="20" customFormat="1" x14ac:dyDescent="0.2">
      <c r="A792"/>
      <c r="B792" s="6"/>
      <c r="C792" s="18"/>
      <c r="D792" s="6"/>
      <c r="E792" s="19"/>
      <c r="F792" s="6"/>
      <c r="G792" s="21"/>
      <c r="H792" s="4"/>
      <c r="I792" s="6"/>
      <c r="J792" s="7"/>
    </row>
    <row r="793" spans="1:10" s="20" customFormat="1" x14ac:dyDescent="0.2">
      <c r="A793"/>
      <c r="B793" s="6"/>
      <c r="C793" s="18"/>
      <c r="D793" s="6"/>
      <c r="E793" s="19"/>
      <c r="F793" s="6"/>
      <c r="G793" s="21"/>
      <c r="H793" s="4"/>
      <c r="I793" s="6"/>
      <c r="J793" s="7"/>
    </row>
    <row r="794" spans="1:10" s="20" customFormat="1" x14ac:dyDescent="0.2">
      <c r="A794"/>
      <c r="B794" s="6"/>
      <c r="C794" s="18"/>
      <c r="D794" s="6"/>
      <c r="E794" s="19"/>
      <c r="F794" s="6"/>
      <c r="G794" s="21"/>
      <c r="H794" s="4"/>
      <c r="I794" s="6"/>
      <c r="J794" s="7"/>
    </row>
    <row r="795" spans="1:10" s="20" customFormat="1" x14ac:dyDescent="0.2">
      <c r="A795"/>
      <c r="B795" s="6"/>
      <c r="C795" s="18"/>
      <c r="D795" s="6"/>
      <c r="E795" s="19"/>
      <c r="F795" s="6"/>
      <c r="G795" s="21"/>
      <c r="H795" s="4"/>
      <c r="I795" s="6"/>
      <c r="J795" s="7"/>
    </row>
    <row r="796" spans="1:10" s="20" customFormat="1" x14ac:dyDescent="0.2">
      <c r="A796"/>
      <c r="B796" s="6"/>
      <c r="C796" s="18"/>
      <c r="D796" s="6"/>
      <c r="E796" s="19"/>
      <c r="F796" s="6"/>
      <c r="G796" s="21"/>
      <c r="H796" s="4"/>
      <c r="I796" s="6"/>
      <c r="J796" s="7"/>
    </row>
    <row r="797" spans="1:10" s="20" customFormat="1" x14ac:dyDescent="0.2">
      <c r="A797"/>
      <c r="B797" s="6"/>
      <c r="C797" s="18"/>
      <c r="D797" s="6"/>
      <c r="E797" s="19"/>
      <c r="F797" s="6"/>
      <c r="G797" s="21"/>
      <c r="H797" s="4"/>
      <c r="I797" s="6"/>
      <c r="J797" s="7"/>
    </row>
    <row r="798" spans="1:10" s="20" customFormat="1" x14ac:dyDescent="0.2">
      <c r="A798"/>
      <c r="B798" s="6"/>
      <c r="C798" s="18"/>
      <c r="D798" s="6"/>
      <c r="E798" s="19"/>
      <c r="F798" s="6"/>
      <c r="G798" s="21"/>
      <c r="H798" s="4"/>
      <c r="I798" s="6"/>
      <c r="J798" s="7"/>
    </row>
    <row r="799" spans="1:10" s="20" customFormat="1" x14ac:dyDescent="0.2">
      <c r="A799"/>
      <c r="B799" s="6"/>
      <c r="C799" s="18"/>
      <c r="D799" s="6"/>
      <c r="E799" s="19"/>
      <c r="F799" s="6"/>
      <c r="G799" s="21"/>
      <c r="H799" s="4"/>
      <c r="I799" s="6"/>
      <c r="J799" s="7"/>
    </row>
    <row r="800" spans="1:10" s="20" customFormat="1" x14ac:dyDescent="0.2">
      <c r="A800"/>
      <c r="B800" s="6"/>
      <c r="C800" s="18"/>
      <c r="D800" s="6"/>
      <c r="E800" s="19"/>
      <c r="F800" s="6"/>
      <c r="G800" s="21"/>
      <c r="H800" s="4"/>
      <c r="I800" s="6"/>
      <c r="J800" s="7"/>
    </row>
    <row r="801" spans="1:10" s="20" customFormat="1" x14ac:dyDescent="0.2">
      <c r="A801"/>
      <c r="B801" s="6"/>
      <c r="C801" s="18"/>
      <c r="D801" s="6"/>
      <c r="E801" s="19"/>
      <c r="F801" s="6"/>
      <c r="G801" s="21"/>
      <c r="H801" s="4"/>
      <c r="I801" s="6"/>
      <c r="J801" s="7"/>
    </row>
    <row r="802" spans="1:10" s="20" customFormat="1" x14ac:dyDescent="0.2">
      <c r="A802"/>
      <c r="B802" s="6"/>
      <c r="C802" s="18"/>
      <c r="D802" s="6"/>
      <c r="E802" s="19"/>
      <c r="F802" s="6"/>
      <c r="G802" s="21"/>
      <c r="H802" s="4"/>
      <c r="I802" s="6"/>
      <c r="J802" s="7"/>
    </row>
    <row r="803" spans="1:10" s="20" customFormat="1" x14ac:dyDescent="0.2">
      <c r="A803"/>
      <c r="B803" s="6"/>
      <c r="C803" s="18"/>
      <c r="D803" s="6"/>
      <c r="E803" s="19"/>
      <c r="F803" s="6"/>
      <c r="G803" s="21"/>
      <c r="H803" s="4"/>
      <c r="I803" s="6"/>
      <c r="J803" s="7"/>
    </row>
    <row r="804" spans="1:10" s="20" customFormat="1" x14ac:dyDescent="0.2">
      <c r="A804"/>
      <c r="B804" s="6"/>
      <c r="C804" s="18"/>
      <c r="D804" s="6"/>
      <c r="E804" s="19"/>
      <c r="F804" s="6"/>
      <c r="G804" s="21"/>
      <c r="H804" s="4"/>
      <c r="I804" s="6"/>
      <c r="J804" s="7"/>
    </row>
    <row r="805" spans="1:10" s="20" customFormat="1" x14ac:dyDescent="0.2">
      <c r="A805"/>
      <c r="B805" s="6"/>
      <c r="C805" s="18"/>
      <c r="D805" s="6"/>
      <c r="E805" s="19"/>
      <c r="F805" s="6"/>
      <c r="G805" s="21"/>
      <c r="H805" s="4"/>
      <c r="I805" s="6"/>
      <c r="J805" s="7"/>
    </row>
    <row r="806" spans="1:10" s="20" customFormat="1" x14ac:dyDescent="0.2">
      <c r="A806"/>
      <c r="B806" s="6"/>
      <c r="C806" s="18"/>
      <c r="D806" s="6"/>
      <c r="E806" s="19"/>
      <c r="F806" s="6"/>
      <c r="G806" s="21"/>
      <c r="H806" s="4"/>
      <c r="I806" s="6"/>
      <c r="J806" s="7"/>
    </row>
    <row r="807" spans="1:10" s="20" customFormat="1" x14ac:dyDescent="0.2">
      <c r="A807"/>
      <c r="B807" s="6"/>
      <c r="C807" s="18"/>
      <c r="D807" s="6"/>
      <c r="E807" s="19"/>
      <c r="F807" s="6"/>
      <c r="G807" s="21"/>
      <c r="H807" s="4"/>
      <c r="I807" s="6"/>
      <c r="J807" s="7"/>
    </row>
    <row r="808" spans="1:10" s="20" customFormat="1" x14ac:dyDescent="0.2">
      <c r="A808"/>
      <c r="B808" s="6"/>
      <c r="C808" s="18"/>
      <c r="D808" s="6"/>
      <c r="E808" s="19"/>
      <c r="F808" s="6"/>
      <c r="G808" s="21"/>
      <c r="H808" s="4"/>
      <c r="I808" s="6"/>
      <c r="J808" s="7"/>
    </row>
    <row r="809" spans="1:10" s="20" customFormat="1" x14ac:dyDescent="0.2">
      <c r="A809"/>
      <c r="B809" s="6"/>
      <c r="C809" s="18"/>
      <c r="D809" s="6"/>
      <c r="E809" s="19"/>
      <c r="F809" s="6"/>
      <c r="G809" s="21"/>
      <c r="H809" s="4"/>
      <c r="I809" s="6"/>
      <c r="J809" s="7"/>
    </row>
    <row r="810" spans="1:10" s="20" customFormat="1" x14ac:dyDescent="0.2">
      <c r="A810"/>
      <c r="B810" s="6"/>
      <c r="C810" s="18"/>
      <c r="D810" s="6"/>
      <c r="E810" s="19"/>
      <c r="F810" s="6"/>
      <c r="G810" s="21"/>
      <c r="H810" s="4"/>
      <c r="I810" s="6"/>
      <c r="J810" s="7"/>
    </row>
    <row r="811" spans="1:10" s="20" customFormat="1" x14ac:dyDescent="0.2">
      <c r="A811"/>
      <c r="B811" s="6"/>
      <c r="C811" s="18"/>
      <c r="D811" s="6"/>
      <c r="E811" s="19"/>
      <c r="F811" s="6"/>
      <c r="G811" s="21"/>
      <c r="H811" s="4"/>
      <c r="I811" s="6"/>
      <c r="J811" s="7"/>
    </row>
    <row r="812" spans="1:10" s="20" customFormat="1" x14ac:dyDescent="0.2">
      <c r="A812"/>
      <c r="B812" s="6"/>
      <c r="C812" s="18"/>
      <c r="D812" s="6"/>
      <c r="E812" s="19"/>
      <c r="F812" s="6"/>
      <c r="G812" s="21"/>
      <c r="H812" s="4"/>
      <c r="I812" s="6"/>
      <c r="J812" s="7"/>
    </row>
    <row r="813" spans="1:10" s="20" customFormat="1" x14ac:dyDescent="0.2">
      <c r="A813"/>
      <c r="B813" s="6"/>
      <c r="C813" s="18"/>
      <c r="D813" s="6"/>
      <c r="E813" s="19"/>
      <c r="F813" s="6"/>
      <c r="G813" s="21"/>
      <c r="H813" s="4"/>
      <c r="I813" s="6"/>
      <c r="J813" s="7"/>
    </row>
    <row r="814" spans="1:10" s="20" customFormat="1" x14ac:dyDescent="0.2">
      <c r="A814"/>
      <c r="B814" s="6"/>
      <c r="C814" s="18"/>
      <c r="D814" s="6"/>
      <c r="E814" s="19"/>
      <c r="F814" s="6"/>
      <c r="G814" s="21"/>
      <c r="H814" s="4"/>
      <c r="I814" s="6"/>
      <c r="J814" s="7"/>
    </row>
    <row r="815" spans="1:10" s="20" customFormat="1" x14ac:dyDescent="0.2">
      <c r="A815"/>
      <c r="B815" s="6"/>
      <c r="C815" s="18"/>
      <c r="D815" s="6"/>
      <c r="E815" s="19"/>
      <c r="F815" s="6"/>
      <c r="G815" s="21"/>
      <c r="H815" s="4"/>
      <c r="I815" s="6"/>
      <c r="J815" s="7"/>
    </row>
    <row r="816" spans="1:10" s="20" customFormat="1" x14ac:dyDescent="0.2">
      <c r="A816"/>
      <c r="B816" s="6"/>
      <c r="C816" s="18"/>
      <c r="D816" s="6"/>
      <c r="E816" s="19"/>
      <c r="F816" s="6"/>
      <c r="G816" s="21"/>
      <c r="H816" s="4"/>
      <c r="I816" s="6"/>
      <c r="J816" s="7"/>
    </row>
    <row r="817" spans="1:10" s="20" customFormat="1" x14ac:dyDescent="0.2">
      <c r="A817"/>
      <c r="B817" s="6"/>
      <c r="C817" s="18"/>
      <c r="D817" s="6"/>
      <c r="E817" s="19"/>
      <c r="F817" s="6"/>
      <c r="G817" s="21"/>
      <c r="H817" s="4"/>
      <c r="I817" s="6"/>
      <c r="J817" s="7"/>
    </row>
    <row r="818" spans="1:10" s="20" customFormat="1" x14ac:dyDescent="0.2">
      <c r="A818"/>
      <c r="B818" s="6"/>
      <c r="C818" s="18"/>
      <c r="D818" s="6"/>
      <c r="E818" s="19"/>
      <c r="F818" s="6"/>
      <c r="G818" s="21"/>
      <c r="H818" s="4"/>
      <c r="I818" s="6"/>
      <c r="J818" s="7"/>
    </row>
    <row r="819" spans="1:10" s="20" customFormat="1" x14ac:dyDescent="0.2">
      <c r="A819"/>
      <c r="B819" s="6"/>
      <c r="C819" s="18"/>
      <c r="D819" s="6"/>
      <c r="E819" s="19"/>
      <c r="F819" s="6"/>
      <c r="G819" s="21"/>
      <c r="H819" s="4"/>
      <c r="I819" s="6"/>
      <c r="J819" s="7"/>
    </row>
    <row r="820" spans="1:10" s="20" customFormat="1" x14ac:dyDescent="0.2">
      <c r="A820"/>
      <c r="B820" s="6"/>
      <c r="C820" s="18"/>
      <c r="D820" s="6"/>
      <c r="E820" s="19"/>
      <c r="F820" s="6"/>
      <c r="G820" s="21"/>
      <c r="H820" s="4"/>
      <c r="I820" s="6"/>
      <c r="J820" s="7"/>
    </row>
    <row r="821" spans="1:10" s="20" customFormat="1" x14ac:dyDescent="0.2">
      <c r="A821"/>
      <c r="B821" s="6"/>
      <c r="C821" s="18"/>
      <c r="D821" s="6"/>
      <c r="E821" s="19"/>
      <c r="F821" s="6"/>
      <c r="G821" s="21"/>
      <c r="H821" s="4"/>
      <c r="I821" s="6"/>
      <c r="J821" s="7"/>
    </row>
    <row r="822" spans="1:10" s="20" customFormat="1" x14ac:dyDescent="0.2">
      <c r="A822"/>
      <c r="B822" s="6"/>
      <c r="C822" s="18"/>
      <c r="D822" s="6"/>
      <c r="E822" s="19"/>
      <c r="F822" s="6"/>
      <c r="G822" s="21"/>
      <c r="H822" s="4"/>
      <c r="I822" s="6"/>
      <c r="J822" s="7"/>
    </row>
    <row r="823" spans="1:10" s="20" customFormat="1" x14ac:dyDescent="0.2">
      <c r="A823"/>
      <c r="B823" s="6"/>
      <c r="C823" s="18"/>
      <c r="D823" s="6"/>
      <c r="E823" s="19"/>
      <c r="F823" s="6"/>
      <c r="G823" s="21"/>
      <c r="H823" s="4"/>
      <c r="I823" s="6"/>
      <c r="J823" s="7"/>
    </row>
    <row r="824" spans="1:10" s="20" customFormat="1" x14ac:dyDescent="0.2">
      <c r="A824"/>
      <c r="B824" s="6"/>
      <c r="C824" s="18"/>
      <c r="D824" s="6"/>
      <c r="E824" s="19"/>
      <c r="F824" s="6"/>
      <c r="G824" s="21"/>
      <c r="H824" s="4"/>
      <c r="I824" s="6"/>
      <c r="J824" s="7"/>
    </row>
    <row r="825" spans="1:10" s="20" customFormat="1" x14ac:dyDescent="0.2">
      <c r="A825"/>
      <c r="B825" s="6"/>
      <c r="C825" s="18"/>
      <c r="D825" s="6"/>
      <c r="E825" s="19"/>
      <c r="F825" s="6"/>
      <c r="G825" s="21"/>
      <c r="H825" s="4"/>
      <c r="I825" s="6"/>
      <c r="J825" s="7"/>
    </row>
    <row r="826" spans="1:10" s="20" customFormat="1" x14ac:dyDescent="0.2">
      <c r="A826"/>
      <c r="B826" s="6"/>
      <c r="C826" s="18"/>
      <c r="D826" s="6"/>
      <c r="E826" s="19"/>
      <c r="F826" s="6"/>
      <c r="G826" s="21"/>
      <c r="H826" s="4"/>
      <c r="I826" s="6"/>
      <c r="J826" s="7"/>
    </row>
    <row r="827" spans="1:10" s="20" customFormat="1" x14ac:dyDescent="0.2">
      <c r="A827"/>
      <c r="B827" s="6"/>
      <c r="C827" s="18"/>
      <c r="D827" s="6"/>
      <c r="E827" s="19"/>
      <c r="F827" s="6"/>
      <c r="G827" s="21"/>
      <c r="H827" s="4"/>
      <c r="I827" s="6"/>
      <c r="J827" s="7"/>
    </row>
    <row r="828" spans="1:10" s="20" customFormat="1" x14ac:dyDescent="0.2">
      <c r="A828"/>
      <c r="B828" s="6"/>
      <c r="C828" s="18"/>
      <c r="D828" s="6"/>
      <c r="E828" s="19"/>
      <c r="F828" s="6"/>
      <c r="G828" s="21"/>
      <c r="H828" s="4"/>
      <c r="I828" s="6"/>
      <c r="J828" s="7"/>
    </row>
    <row r="829" spans="1:10" s="20" customFormat="1" x14ac:dyDescent="0.2">
      <c r="A829"/>
      <c r="B829" s="6"/>
      <c r="C829" s="18"/>
      <c r="D829" s="6"/>
      <c r="E829" s="19"/>
      <c r="F829" s="6"/>
      <c r="G829" s="21"/>
      <c r="H829" s="4"/>
      <c r="I829" s="6"/>
      <c r="J829" s="7"/>
    </row>
    <row r="830" spans="1:10" s="20" customFormat="1" x14ac:dyDescent="0.2">
      <c r="A830"/>
      <c r="B830" s="6"/>
      <c r="C830" s="18"/>
      <c r="D830" s="6"/>
      <c r="E830" s="19"/>
      <c r="F830" s="6"/>
      <c r="G830" s="21"/>
      <c r="H830" s="4"/>
      <c r="I830" s="6"/>
      <c r="J830" s="7"/>
    </row>
    <row r="1005" spans="2:10" x14ac:dyDescent="0.2">
      <c r="B1005" s="6" t="s">
        <v>146</v>
      </c>
      <c r="C1005" s="18">
        <v>352</v>
      </c>
      <c r="E1005" s="6"/>
      <c r="G1005" s="6"/>
      <c r="H1005" s="6"/>
      <c r="J1005" s="6"/>
    </row>
    <row r="1006" spans="2:10" x14ac:dyDescent="0.2">
      <c r="B1006" s="6" t="s">
        <v>145</v>
      </c>
      <c r="C1006" s="18">
        <v>47</v>
      </c>
      <c r="E1006" s="6"/>
      <c r="G1006" s="6"/>
      <c r="H1006" s="6"/>
      <c r="J1006" s="6"/>
    </row>
    <row r="1007" spans="2:10" x14ac:dyDescent="0.2">
      <c r="B1007" s="6" t="s">
        <v>144</v>
      </c>
      <c r="C1007" s="18">
        <v>73</v>
      </c>
      <c r="E1007" s="6"/>
      <c r="G1007" s="6"/>
      <c r="H1007" s="6"/>
      <c r="J1007" s="6"/>
    </row>
    <row r="1008" spans="2:10" x14ac:dyDescent="0.2">
      <c r="B1008" s="6" t="s">
        <v>143</v>
      </c>
      <c r="C1008" s="18">
        <v>74</v>
      </c>
      <c r="E1008" s="6"/>
      <c r="G1008" s="6"/>
      <c r="H1008" s="6"/>
      <c r="J1008" s="6"/>
    </row>
    <row r="1009" spans="2:10" x14ac:dyDescent="0.2">
      <c r="B1009" s="6" t="s">
        <v>142</v>
      </c>
      <c r="C1009" s="18">
        <v>146</v>
      </c>
      <c r="E1009" s="6"/>
      <c r="G1009" s="6"/>
      <c r="H1009" s="6"/>
      <c r="J1009" s="6"/>
    </row>
    <row r="1010" spans="2:10" x14ac:dyDescent="0.2">
      <c r="B1010" s="6" t="s">
        <v>141</v>
      </c>
      <c r="C1010" s="18">
        <v>177</v>
      </c>
      <c r="E1010" s="6"/>
      <c r="G1010" s="6"/>
      <c r="H1010" s="6"/>
      <c r="J1010" s="6"/>
    </row>
    <row r="1011" spans="2:10" x14ac:dyDescent="0.2">
      <c r="B1011" s="6" t="s">
        <v>140</v>
      </c>
      <c r="C1011" s="18">
        <v>180</v>
      </c>
      <c r="E1011" s="6"/>
      <c r="G1011" s="6"/>
      <c r="H1011" s="6"/>
      <c r="J1011" s="6"/>
    </row>
    <row r="1012" spans="2:10" x14ac:dyDescent="0.2">
      <c r="B1012" s="6" t="s">
        <v>139</v>
      </c>
      <c r="C1012" s="18" t="s">
        <v>138</v>
      </c>
      <c r="E1012" s="6"/>
      <c r="G1012" s="6"/>
      <c r="H1012" s="6"/>
      <c r="J1012" s="6"/>
    </row>
    <row r="1013" spans="2:10" x14ac:dyDescent="0.2">
      <c r="B1013" s="6" t="s">
        <v>137</v>
      </c>
      <c r="C1013" s="18" t="s">
        <v>136</v>
      </c>
      <c r="E1013" s="6"/>
      <c r="G1013" s="6"/>
      <c r="H1013" s="6"/>
      <c r="J1013" s="6"/>
    </row>
    <row r="1014" spans="2:10" x14ac:dyDescent="0.2">
      <c r="B1014" s="6" t="s">
        <v>135</v>
      </c>
      <c r="C1014" s="18">
        <v>107</v>
      </c>
      <c r="E1014" s="6"/>
      <c r="G1014" s="6"/>
      <c r="H1014" s="6"/>
      <c r="J1014" s="6"/>
    </row>
    <row r="1015" spans="2:10" x14ac:dyDescent="0.2">
      <c r="B1015" s="6" t="s">
        <v>134</v>
      </c>
      <c r="C1015" s="18" t="s">
        <v>133</v>
      </c>
      <c r="E1015" s="6"/>
      <c r="G1015" s="6"/>
      <c r="H1015" s="6"/>
      <c r="J1015" s="6"/>
    </row>
    <row r="1016" spans="2:10" x14ac:dyDescent="0.2">
      <c r="B1016" s="6" t="s">
        <v>132</v>
      </c>
      <c r="C1016" s="18">
        <v>47</v>
      </c>
      <c r="E1016" s="6"/>
      <c r="G1016" s="6"/>
      <c r="H1016" s="6"/>
      <c r="J1016" s="6"/>
    </row>
    <row r="1017" spans="2:10" x14ac:dyDescent="0.2">
      <c r="B1017" s="6" t="s">
        <v>131</v>
      </c>
      <c r="C1017" s="18">
        <v>9</v>
      </c>
      <c r="E1017" s="6"/>
      <c r="G1017" s="6"/>
      <c r="H1017" s="6"/>
      <c r="J1017" s="6"/>
    </row>
    <row r="1018" spans="2:10" x14ac:dyDescent="0.2">
      <c r="B1018" s="6" t="s">
        <v>130</v>
      </c>
      <c r="C1018" s="18">
        <v>5</v>
      </c>
      <c r="E1018" s="6"/>
      <c r="G1018" s="6"/>
      <c r="H1018" s="6"/>
      <c r="J1018" s="6"/>
    </row>
    <row r="1019" spans="2:10" x14ac:dyDescent="0.2">
      <c r="B1019" s="6" t="s">
        <v>129</v>
      </c>
      <c r="C1019" s="18">
        <v>16</v>
      </c>
      <c r="E1019" s="6"/>
      <c r="G1019" s="6"/>
      <c r="H1019" s="6"/>
      <c r="J1019" s="6"/>
    </row>
    <row r="1020" spans="2:10" x14ac:dyDescent="0.2">
      <c r="B1020" s="6" t="s">
        <v>128</v>
      </c>
      <c r="C1020" s="18">
        <v>234</v>
      </c>
      <c r="E1020" s="6"/>
      <c r="G1020" s="6"/>
      <c r="H1020" s="6"/>
      <c r="J1020" s="6"/>
    </row>
    <row r="1021" spans="2:10" x14ac:dyDescent="0.2">
      <c r="B1021" s="6" t="s">
        <v>127</v>
      </c>
      <c r="C1021" s="18">
        <v>7</v>
      </c>
      <c r="E1021" s="6"/>
      <c r="G1021" s="6"/>
      <c r="H1021" s="6"/>
      <c r="J1021" s="6"/>
    </row>
    <row r="1022" spans="2:10" x14ac:dyDescent="0.2">
      <c r="B1022" s="6" t="s">
        <v>126</v>
      </c>
      <c r="C1022" s="18">
        <v>16</v>
      </c>
      <c r="E1022" s="6"/>
      <c r="G1022" s="6"/>
      <c r="H1022" s="6"/>
      <c r="J1022" s="6"/>
    </row>
    <row r="1023" spans="2:10" x14ac:dyDescent="0.2">
      <c r="B1023" s="6" t="s">
        <v>125</v>
      </c>
      <c r="E1023" s="6"/>
      <c r="G1023" s="6"/>
      <c r="H1023" s="6"/>
      <c r="J1023" s="6"/>
    </row>
    <row r="1024" spans="2:10" x14ac:dyDescent="0.2">
      <c r="B1024" s="6" t="s">
        <v>124</v>
      </c>
      <c r="C1024" s="18">
        <v>6</v>
      </c>
      <c r="E1024" s="6"/>
      <c r="G1024" s="6"/>
      <c r="H1024" s="6"/>
      <c r="J1024" s="6"/>
    </row>
    <row r="1025" spans="2:10" x14ac:dyDescent="0.2">
      <c r="B1025" s="6" t="s">
        <v>123</v>
      </c>
      <c r="C1025" s="18">
        <v>99</v>
      </c>
      <c r="E1025" s="6"/>
      <c r="G1025" s="6"/>
      <c r="H1025" s="6"/>
      <c r="J1025" s="6"/>
    </row>
    <row r="1026" spans="2:10" x14ac:dyDescent="0.2">
      <c r="B1026" s="6" t="s">
        <v>122</v>
      </c>
      <c r="C1026" s="18">
        <v>33</v>
      </c>
      <c r="E1026" s="6"/>
      <c r="G1026" s="6"/>
      <c r="H1026" s="6"/>
      <c r="J1026" s="6"/>
    </row>
    <row r="1027" spans="2:10" x14ac:dyDescent="0.2">
      <c r="B1027" s="6" t="s">
        <v>121</v>
      </c>
      <c r="C1027" s="18">
        <v>104</v>
      </c>
      <c r="E1027" s="6"/>
      <c r="G1027" s="6"/>
      <c r="H1027" s="6"/>
      <c r="J1027" s="6"/>
    </row>
  </sheetData>
  <autoFilter ref="A6:I701" xr:uid="{00000000-0009-0000-0000-000005000000}">
    <sortState xmlns:xlrd2="http://schemas.microsoft.com/office/spreadsheetml/2017/richdata2" ref="A7:I701">
      <sortCondition ref="E7"/>
    </sortState>
  </autoFilter>
  <sortState xmlns:xlrd2="http://schemas.microsoft.com/office/spreadsheetml/2017/richdata2" ref="A7:I701">
    <sortCondition ref="A7"/>
  </sortState>
  <conditionalFormatting sqref="B6:I701">
    <cfRule type="expression" dxfId="19" priority="1">
      <formula>B$6=$F$3</formula>
    </cfRule>
  </conditionalFormatting>
  <conditionalFormatting sqref="B7:I701">
    <cfRule type="expression" dxfId="18" priority="3" stopIfTrue="1">
      <formula>ROW()=ODD(ROW())</formula>
    </cfRule>
  </conditionalFormatting>
  <dataValidations count="1">
    <dataValidation type="list" allowBlank="1" showInputMessage="1" showErrorMessage="1" sqref="F3" xr:uid="{00000000-0002-0000-0500-000000000000}">
      <formula1>$B$6:$I$6</formula1>
    </dataValidation>
  </dataValidations>
  <pageMargins left="0.78740157499999996" right="0.78740157499999996" top="0.984251969" bottom="0.984251969" header="0.5" footer="0.5"/>
  <pageSetup paperSize="9" orientation="portrait" horizontalDpi="300" verticalDpi="300" r:id="rId1"/>
  <headerFooter alignWithMargins="0">
    <oddHeader>&amp;A</oddHeader>
    <oddFooter>Page &amp;P</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5:I31"/>
  <sheetViews>
    <sheetView showGridLines="0" workbookViewId="0"/>
  </sheetViews>
  <sheetFormatPr defaultColWidth="9" defaultRowHeight="14.25" x14ac:dyDescent="0.2"/>
  <cols>
    <col min="1" max="1" width="9" style="6"/>
    <col min="2" max="2" width="12.875" style="6" bestFit="1" customWidth="1"/>
    <col min="3" max="3" width="11.75" style="6" customWidth="1"/>
    <col min="4" max="4" width="19" style="6" customWidth="1"/>
    <col min="5" max="5" width="15.5" style="6" customWidth="1"/>
    <col min="6" max="6" width="9" style="6"/>
    <col min="7" max="7" width="13.25" style="6" customWidth="1"/>
    <col min="8" max="8" width="9" style="6"/>
    <col min="9" max="9" width="10.375" style="6" bestFit="1" customWidth="1"/>
    <col min="10" max="16384" width="9" style="6"/>
  </cols>
  <sheetData>
    <row r="5" spans="2:9" x14ac:dyDescent="0.2">
      <c r="B5" s="13" t="s">
        <v>2415</v>
      </c>
      <c r="C5" s="13" t="s">
        <v>2408</v>
      </c>
      <c r="D5" s="13" t="s">
        <v>2414</v>
      </c>
      <c r="E5" s="13" t="s">
        <v>2413</v>
      </c>
    </row>
    <row r="6" spans="2:9" x14ac:dyDescent="0.2">
      <c r="B6" s="16" t="s">
        <v>443</v>
      </c>
      <c r="C6" s="15">
        <v>7212</v>
      </c>
      <c r="D6" s="15"/>
    </row>
    <row r="7" spans="2:9" x14ac:dyDescent="0.2">
      <c r="B7" s="16" t="s">
        <v>2412</v>
      </c>
      <c r="C7" s="15">
        <v>4894</v>
      </c>
      <c r="D7" s="15"/>
    </row>
    <row r="8" spans="2:9" x14ac:dyDescent="0.2">
      <c r="B8" s="16" t="s">
        <v>2411</v>
      </c>
      <c r="C8" s="15">
        <v>5966</v>
      </c>
      <c r="D8" s="15"/>
      <c r="G8" s="13" t="s">
        <v>2410</v>
      </c>
      <c r="H8" s="6">
        <v>1</v>
      </c>
    </row>
    <row r="9" spans="2:9" x14ac:dyDescent="0.2">
      <c r="B9" s="16" t="s">
        <v>2409</v>
      </c>
      <c r="C9" s="15">
        <v>4420</v>
      </c>
      <c r="D9" s="15"/>
      <c r="G9" s="13" t="s">
        <v>2408</v>
      </c>
      <c r="H9" s="6">
        <f>SUM(INDEX(Revenue,(Quarter-1)*3+1):INDEX(Revenue,(Quarter-1)*3+3))</f>
        <v>18072</v>
      </c>
    </row>
    <row r="10" spans="2:9" x14ac:dyDescent="0.2">
      <c r="B10" s="16" t="s">
        <v>2407</v>
      </c>
      <c r="C10" s="15">
        <v>1062</v>
      </c>
      <c r="D10" s="15"/>
    </row>
    <row r="11" spans="2:9" x14ac:dyDescent="0.2">
      <c r="B11" s="16" t="s">
        <v>2406</v>
      </c>
      <c r="C11" s="15">
        <v>5346</v>
      </c>
      <c r="D11" s="15"/>
    </row>
    <row r="12" spans="2:9" x14ac:dyDescent="0.2">
      <c r="B12" s="16" t="s">
        <v>2405</v>
      </c>
      <c r="C12" s="15">
        <v>3789</v>
      </c>
      <c r="D12" s="15"/>
    </row>
    <row r="13" spans="2:9" x14ac:dyDescent="0.2">
      <c r="B13" s="16" t="s">
        <v>2404</v>
      </c>
      <c r="C13" s="15">
        <v>6408</v>
      </c>
      <c r="D13" s="15"/>
      <c r="G13" s="13" t="s">
        <v>2415</v>
      </c>
      <c r="I13" s="13" t="s">
        <v>2408</v>
      </c>
    </row>
    <row r="14" spans="2:9" x14ac:dyDescent="0.2">
      <c r="B14" s="16" t="s">
        <v>2403</v>
      </c>
      <c r="C14" s="15">
        <v>2258</v>
      </c>
      <c r="D14" s="15"/>
      <c r="G14" s="6" t="s">
        <v>2404</v>
      </c>
      <c r="I14" s="15">
        <f>DSUM($B$5:$C$17, $C$5,$G$13:$G$14)</f>
        <v>6408</v>
      </c>
    </row>
    <row r="15" spans="2:9" x14ac:dyDescent="0.2">
      <c r="B15" s="16" t="s">
        <v>2402</v>
      </c>
      <c r="C15" s="15">
        <v>7403</v>
      </c>
      <c r="D15" s="15"/>
    </row>
    <row r="16" spans="2:9" x14ac:dyDescent="0.2">
      <c r="B16" s="16" t="s">
        <v>2401</v>
      </c>
      <c r="C16" s="15">
        <v>5629</v>
      </c>
      <c r="D16" s="15"/>
    </row>
    <row r="17" spans="2:5" x14ac:dyDescent="0.2">
      <c r="B17" s="16" t="s">
        <v>2400</v>
      </c>
      <c r="C17" s="15">
        <v>5567</v>
      </c>
      <c r="D17" s="15"/>
    </row>
    <row r="18" spans="2:5" x14ac:dyDescent="0.2">
      <c r="C18" s="15"/>
      <c r="D18" s="15"/>
    </row>
    <row r="19" spans="2:5" x14ac:dyDescent="0.2">
      <c r="B19" s="413">
        <f>SUM(C6:C18)</f>
        <v>59954</v>
      </c>
      <c r="C19" s="413"/>
      <c r="D19" s="413"/>
    </row>
    <row r="23" spans="2:5" x14ac:dyDescent="0.2">
      <c r="B23"/>
      <c r="C23"/>
      <c r="D23"/>
      <c r="E23"/>
    </row>
    <row r="24" spans="2:5" x14ac:dyDescent="0.2">
      <c r="B24"/>
      <c r="C24"/>
      <c r="D24"/>
      <c r="E24"/>
    </row>
    <row r="25" spans="2:5" x14ac:dyDescent="0.2">
      <c r="B25"/>
      <c r="C25"/>
      <c r="D25"/>
      <c r="E25"/>
    </row>
    <row r="26" spans="2:5" x14ac:dyDescent="0.2">
      <c r="B26"/>
      <c r="C26"/>
      <c r="D26"/>
      <c r="E26"/>
    </row>
    <row r="27" spans="2:5" x14ac:dyDescent="0.2">
      <c r="B27"/>
      <c r="C27"/>
      <c r="D27"/>
      <c r="E27"/>
    </row>
    <row r="28" spans="2:5" x14ac:dyDescent="0.2">
      <c r="B28"/>
      <c r="C28"/>
      <c r="D28"/>
      <c r="E28"/>
    </row>
    <row r="29" spans="2:5" x14ac:dyDescent="0.2">
      <c r="B29"/>
      <c r="C29"/>
      <c r="D29"/>
      <c r="E29"/>
    </row>
    <row r="30" spans="2:5" x14ac:dyDescent="0.2">
      <c r="B30"/>
      <c r="C30"/>
      <c r="D30"/>
      <c r="E30"/>
    </row>
    <row r="31" spans="2:5" x14ac:dyDescent="0.2">
      <c r="B31"/>
      <c r="C31"/>
      <c r="D31"/>
      <c r="E31"/>
    </row>
  </sheetData>
  <mergeCells count="1">
    <mergeCell ref="B19:D19"/>
  </mergeCells>
  <dataValidations count="1">
    <dataValidation type="list" allowBlank="1" showInputMessage="1" showErrorMessage="1" sqref="G14:G16" xr:uid="{00000000-0002-0000-0B00-000000000000}">
      <formula1>$B$6:$B$17</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d b 8 1 1 0 a - c 7 5 c - 4 9 f 5 - 9 b 6 6 - 9 1 6 4 0 c 4 7 8 7 d b "   x m l n s = " h t t p : / / s c h e m a s . m i c r o s o f t . c o m / D a t a M a s h u p " > A A A A A O U F A A B Q S w M E F A A C A A g A K 4 9 Y W D T + J c e l A A A A 9 g A A A B I A H A B D b 2 5 m a W c v U G F j a 2 F n Z S 5 4 b W w g o h g A K K A U A A A A A A A A A A A A A A A A A A A A A A A A A A A A h Y / R C o I w G I V f R X b v N l e E y J x Q d J c Q B N H t m E t H + h t u N t + t i x 6 p V 8 g o q 7 s u z 3 e + i 3 P u 1 x v P h q Y O L r q z p o U U R Z i i Q I N q C w N l i n p 3 D G O U C b 6 V 6 i R L H Y w y 2 G S w R Y o q 5 8 4 J I d 5 7 7 G e 4 7 U r C K I 3 I I d / s V K U b i T 6 y + S + H B q y T o D Q S f P 8 a I x i O 2 B w v W I w p J x P k u Y G v w M a 9 z / Y H 8 l V f u 7 7 T A u p w u e Z k i p y 8 P 4 g H U E s D B B Q A A g A I A C u P W 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j 1 h Y J B q x 4 N 4 C A A B C C w A A E w A c A E Z v c m 1 1 b G F z L 1 N l Y 3 R p b 2 4 x L m 0 g o h g A K K A U A A A A A A A A A A A A A A A A A A A A A A A A A A A A 1 V Z R b 9 o w E H 5 H 4 j 9 Y 3 k s i Z Y j Q r t v U d V I K 2 1 R p a 7 f C N i S E K k P c E j W x k e M A F e K / 7 + w Y 4 g S Q o E 8 M K Y c 4 + 7 7 v v v N x T k r H M u I M d f N v / 7 J e q 9 f S C R E 0 R I S l c y p S d I V i K u s 1 B J 8 u z 8 S Y g u f L Y k z j R j s T g j L 5 l 4 v n E e f P j r s c 3 J K E X m E 5 i o M 8 G g 9 X g z Z n E r Y N v R z k D f 4 a x Z I q i n s + T 3 0 M e D 0 y i m m j S 2 P I Q z m d n M l D l I w n y A G I O E u Y P 0 S f P i P c l V k I e C l 2 X R s y B s A O n 7 M C T z m V x 9 m i 9 J b Y Q O L V G u R O T q j 4 l V H x 8 o f E m V L 5 k 0 d A M + g P l 8 3 V h u m e T m M y B i S 9 q y A z f u 1 1 y g l 5 u I 8 9 d J s l I y o a P d 6 j C + l U 2 F z k G Q C x R l L b I E 9 I F u G W M m f K n C v z T p k L Z d 4 r 8 0 G Z j 8 r 4 T W 1 1 j K + D f B 3 l 6 z B f x / k 6 0 N e R v g 7 1 d W y r W d S i K t P f q 7 N S D g 9 f w / O 2 6 Q H V K Q t q H S g I i H H w X y g 6 O 1 A R U O I 2 P M 3 T l n N + o B w g w 5 3 T l M N g F o Y o n z O p L U c t G P e W H u B Z F s P J 2 0 y 7 m w 5 e W e i / 2 T S a c b k L 3 y z p A W O z l N P x 0 N K G B q J A S h G N M k k V a / 5 v t t U k f L Z b j V o o e L Y T g y M o o C 0 J 7 Q l h T 7 C v 9 z K 1 x m h P w L 3 z y E W S h 6 v F P P 0 y v y q S m T h I w h 7 E 9 H S 1 S / R N 8 G x q J n 6 B r 7 1 O h X 2 r G I D e 4 5 L E 5 g r A 5 i L 6 H q W y 0 c 0 S Z 6 C 5 h + 6 G P I 4 V e p F F v R a x n Y n Y N 2 w O / s o L 1 m S 2 6 3 4 9 o r L m n g W 9 Q a W S q i b X O 3 w w O 9 A N k x f n D Y W g X Z 1 t V 7 / s K h e k l J 9 d k K 4 k e + p h X k Y 2 E o M w V N 2 Q p Z I n h U T w 5 u I 2 7 w / 4 h o V 0 s T 6 / 9 S G / p r F L j F 6 p X w 7 t u a 0 m h k L l + e U t F 8 y e S p 0 W z K g g T 9 Q Z 2 L 2 4 t + k U 2 o + I l R D g 9 z H R Z F G O J o t j o m k Y k Q q 9 d h 2 B c S v W 8 e Y Q + L z N M y a d B 7 f S T 8 U B w r o 6 m b v H x 7 2 9 r s 6 v d D R e u d r m 1 U x D O Q 8 e a r n V q W K 3 r 8 1 4 + Q 9 Q S w E C L Q A U A A I A C A A r j 1 h Y N P 4 l x 6 U A A A D 2 A A A A E g A A A A A A A A A A A A A A A A A A A A A A Q 2 9 u Z m l n L 1 B h Y 2 t h Z 2 U u e G 1 s U E s B A i 0 A F A A C A A g A K 4 9 Y W A / K 6 a u k A A A A 6 Q A A A B M A A A A A A A A A A A A A A A A A 8 Q A A A F t D b 2 5 0 Z W 5 0 X 1 R 5 c G V z X S 5 4 b W x Q S w E C L Q A U A A I A C A A r j 1 h Y J B q x 4 N 4 C A A B C C w A A E w A A A A A A A A A A A A A A A A D i A Q A A R m 9 y b X V s Y X M v U 2 V j d G l v b j E u b V B L B Q Y A A A A A A w A D A M I A A A A N 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2 I A A A A A A A A B Q 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h b n N 3 Z X 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F 1 Z X J 5 S U Q i I F Z h b H V l P S J z M z U w O G R l Z j c t N G M w Z S 0 0 Y z F i L W E 2 M m Y t Z T g w Y z E 3 N m E y N m V m 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3 M D Y i I C 8 + P E V u d H J 5 I F R 5 c G U 9 I k Z p b G x F c n J v c k N v Z G U i I F Z h b H V l P S J z V W 5 r b m 9 3 b i I g L z 4 8 R W 5 0 c n k g V H l w Z T 0 i R m l s b E V y c m 9 y Q 2 9 1 b n Q i I F Z h b H V l P S J s M C I g L z 4 8 R W 5 0 c n k g V H l w Z T 0 i R m l s b E x h c 3 R V c G R h d G V k I i B W Y W x 1 Z T 0 i Z D I w M j Q t M D I t M j R U M T Y 6 N T c 6 M j M u M z M x O T E 2 M F o i I C 8 + P E V u d H J 5 I F R 5 c G U 9 I k Z p b G x D b 2 x 1 b W 5 U e X B l c y I g V m F s d W U 9 I n N B Q V U 9 I i A v P j x F b n R y e S B U e X B l P S J G a W x s Q 2 9 s d W 1 u T m F t Z X M i I F Z h b H V l P S J z W y Z x d W 9 0 O 1 N 0 d W R l b n R J R C Z x d W 9 0 O y w m c X V v d D t U b 3 R h b C B Q b 2 l u d H M 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h b n N 3 Z X J z L 0 F 1 d G 9 S Z W 1 v d m V k Q 2 9 s d W 1 u c z E u e 1 N 0 d W R l b n R J R C w w f S Z x d W 9 0 O y w m c X V v d D t T Z W N 0 a W 9 u M S 9 h b n N 3 Z X J z L 0 F 1 d G 9 S Z W 1 v d m V k Q 2 9 s d W 1 u c z E u e 1 R v d G F s I F B v a W 5 0 c y w x f S Z x d W 9 0 O 1 0 s J n F 1 b 3 Q 7 Q 2 9 s d W 1 u Q 2 9 1 b n Q m c X V v d D s 6 M i w m c X V v d D t L Z X l D b 2 x 1 b W 5 O Y W 1 l c y Z x d W 9 0 O z p b X S w m c X V v d D t D b 2 x 1 b W 5 J Z G V u d G l 0 a W V z J n F 1 b 3 Q 7 O l s m c X V v d D t T Z W N 0 a W 9 u M S 9 h b n N 3 Z X J z L 0 F 1 d G 9 S Z W 1 v d m V k Q 2 9 s d W 1 u c z E u e 1 N 0 d W R l b n R J R C w w f S Z x d W 9 0 O y w m c X V v d D t T Z W N 0 a W 9 u M S 9 h b n N 3 Z X J z L 0 F 1 d G 9 S Z W 1 v d m V k Q 2 9 s d W 1 u c z E u e 1 R v d G F s I F B v a W 5 0 c y w x f S Z x d W 9 0 O 1 0 s J n F 1 b 3 Q 7 U m V s Y X R p b 2 5 z a G l w S W 5 m b y Z x d W 9 0 O z p b X X 0 i I C 8 + P E V u d H J 5 I F R 5 c G U 9 I k Z p b G x U Y X J n Z X Q i I F Z h b H V l P S J z Y W 5 z d 2 V y c y I g L z 4 8 R W 5 0 c n k g V H l w Z T 0 i U m V j b 3 Z l c n l U Y X J n Z X R T a G V l d C I g V m F s d W U 9 I n N T d H V k Z W 5 0 I F J l c 3 V s d H M g U 2 9 s d X R p b 2 4 i I C 8 + P E V u d H J 5 I F R 5 c G U 9 I l J l Y 2 9 2 Z X J 5 V G F y Z 2 V 0 Q 2 9 s d W 1 u I i B W Y W x 1 Z T 0 i b D I 0 I i A v P j x F b n R y e S B U e X B l P S J S Z W N v d m V y e V R h c m d l d F J v d y I g V m F s d W U 9 I m w x M S I g L z 4 8 L 1 N 0 Y W J s Z U V u d H J p Z X M + P C 9 J d G V t P j x J d G V t P j x J d G V t T G 9 j Y X R p b 2 4 + P E l 0 Z W 1 U e X B l P k Z v c m 1 1 b G E 8 L 0 l 0 Z W 1 U e X B l P j x J d G V t U G F 0 a D 5 T Z W N 0 a W 9 u M S 9 h b n N 3 Z X J z L 1 N v d X J j Z T w v S X R l b V B h d G g + P C 9 J d G V t T G 9 j Y X R p b 2 4 + P F N 0 Y W J s Z U V u d H J p Z X M g L z 4 8 L 0 l 0 Z W 0 + P E l 0 Z W 0 + P E l 0 Z W 1 M b 2 N h d G l v b j 4 8 S X R l b V R 5 c G U + R m 9 y b X V s Y T w v S X R l b V R 5 c G U + P E l 0 Z W 1 Q Y X R o P l N l Y 3 R p b 2 4 x L 2 F u c 3 d l c n M v R m l s d G V y Z W Q l M j B S b 3 d z M T w v S X R l b V B h d G g + P C 9 J d G V t T G 9 j Y X R p b 2 4 + P F N 0 Y W J s Z U V u d H J p Z X M g L z 4 8 L 0 l 0 Z W 0 + P E l 0 Z W 0 + P E l 0 Z W 1 M b 2 N h d G l v b j 4 8 S X R l b V R 5 c G U + R m 9 y b X V s Y T w v S X R l b V R 5 c G U + P E l 0 Z W 1 Q Y X R o P l N l Y 3 R p b 2 4 x L 2 F u c 3 d l c n M v R m l s b G V k J T I w R G 9 3 b j w v S X R l b V B h d G g + P C 9 J d G V t T G 9 j Y X R p b 2 4 + P F N 0 Y W J s Z U V u d H J p Z X M g L z 4 8 L 0 l 0 Z W 0 + P E l 0 Z W 0 + P E l 0 Z W 1 M b 2 N h d G l v b j 4 8 S X R l b V R 5 c G U + R m 9 y b X V s Y T w v S X R l b V R 5 c G U + P E l 0 Z W 1 Q Y X R o P l N l Y 3 R p b 2 4 x L 1 B v a W 5 0 c z w v S X R l b V B h d G g + P C 9 J d G V t T G 9 j Y X R p b 2 4 + P F N 0 Y W J s Z U V u d H J p Z X M + P E V u d H J 5 I F R 5 c G U 9 I k l z U H J p d m F 0 Z S I g V m F s d W U 9 I m w w I i A v P j x F b n R y e S B U e X B l P S J R d W V y e U l E I i B W Y W x 1 Z T 0 i c z Z k O T k 5 N j E 5 L T h j Y z Q t N D R k Y S 0 4 O W Q 5 L W E x N m M 3 M j g 1 O D M y N 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y L T I 0 V D E 2 O j U x O j Q 1 L j g w M D g 4 N j V a I i A v P j x F b n R y e S B U e X B l P S J G a W x s U 3 R h d H V z I i B W Y W x 1 Z T 0 i c 0 N v b X B s Z X R l I i A v P j w v U 3 R h Y m x l R W 5 0 c m l l c z 4 8 L 0 l 0 Z W 0 + P E l 0 Z W 0 + P E l 0 Z W 1 M b 2 N h d G l v b j 4 8 S X R l b V R 5 c G U + R m 9 y b X V s Y T w v S X R l b V R 5 c G U + P E l 0 Z W 1 Q Y X R o P l N l Y 3 R p b 2 4 x L 1 B v a W 5 0 c y 9 T b 3 V y Y 2 U 8 L 0 l 0 Z W 1 Q Y X R o P j w v S X R l b U x v Y 2 F 0 a W 9 u P j x T d G F i b G V F b n R y a W V z I C 8 + P C 9 J d G V t P j x J d G V t P j x J d G V t T G 9 j Y X R p b 2 4 + P E l 0 Z W 1 U e X B l P k Z v c m 1 1 b G E 8 L 0 l 0 Z W 1 U e X B l P j x J d G V t U G F 0 a D 5 T Z W N 0 a W 9 u M S 9 Q b 2 l u d H M v Q 2 h h b m d l Z C U y M F R 5 c G U 8 L 0 l 0 Z W 1 Q Y X R o P j w v S X R l b U x v Y 2 F 0 a W 9 u P j x T d G F i b G V F b n R y a W V z I C 8 + P C 9 J d G V t P j x J d G V t P j x J d G V t T G 9 j Y X R p b 2 4 + P E l 0 Z W 1 U e X B l P k Z v c m 1 1 b G E 8 L 0 l 0 Z W 1 U e X B l P j x J d G V t U G F 0 a D 5 T Z W N 0 a W 9 u M S 9 h b n N 3 Z X J z L 1 J l c G x h Y 2 V k J T I w V m F s d W U 8 L 0 l 0 Z W 1 Q Y X R o P j w v S X R l b U x v Y 2 F 0 a W 9 u P j x T d G F i b G V F b n R y a W V z I C 8 + P C 9 J d G V t P j x J d G V t P j x J d G V t T G 9 j Y X R p b 2 4 + P E l 0 Z W 1 U e X B l P k Z v c m 1 1 b G E 8 L 0 l 0 Z W 1 U e X B l P j x J d G V t U G F 0 a D 5 T Z W N 0 a W 9 u M S 9 h b n N 3 Z X J z L 1 J l c G x h Y 2 V k J T I w V m F s d W U x P C 9 J d G V t U G F 0 a D 4 8 L 0 l 0 Z W 1 M b 2 N h d G l v b j 4 8 U 3 R h Y m x l R W 5 0 c m l l c y A v P j w v S X R l b T 4 8 S X R l b T 4 8 S X R l b U x v Y 2 F 0 a W 9 u P j x J d G V t V H l w Z T 5 G b 3 J t d W x h P C 9 J d G V t V H l w Z T 4 8 S X R l b V B h d G g + U 2 V j d G l v b j E v Y W 5 z d 2 V y c y 9 S Z X B s Y W N l Z C U y M F Z h b H V l M j w v S X R l b V B h d G g + P C 9 J d G V t T G 9 j Y X R p b 2 4 + P F N 0 Y W J s Z U V u d H J p Z X M g L z 4 8 L 0 l 0 Z W 0 + P E l 0 Z W 0 + P E l 0 Z W 1 M b 2 N h d G l v b j 4 8 S X R l b V R 5 c G U + R m 9 y b X V s Y T w v S X R l b V R 5 c G U + P E l 0 Z W 1 Q Y X R o P l N l Y 3 R p b 2 4 x L 2 F u c 3 d l c n M v U m V w b G F j Z W Q l M j B W Y W x 1 Z T M 8 L 0 l 0 Z W 1 Q Y X R o P j w v S X R l b U x v Y 2 F 0 a W 9 u P j x T d G F i b G V F b n R y a W V z I C 8 + P C 9 J d G V t P j x J d G V t P j x J d G V t T G 9 j Y X R p b 2 4 + P E l 0 Z W 1 U e X B l P k Z v c m 1 1 b G E 8 L 0 l 0 Z W 1 U e X B l P j x J d G V t U G F 0 a D 5 T Z W N 0 a W 9 u M S 9 h b n N 3 Z X J z L 1 J l c G x h Y 2 V k J T I w V m F s d W U 0 P C 9 J d G V t U G F 0 a D 4 8 L 0 l 0 Z W 1 M b 2 N h d G l v b j 4 8 U 3 R h Y m x l R W 5 0 c m l l c y A v P j w v S X R l b T 4 8 S X R l b T 4 8 S X R l b U x v Y 2 F 0 a W 9 u P j x J d G V t V H l w Z T 5 G b 3 J t d W x h P C 9 J d G V t V H l w Z T 4 8 S X R l b V B h d G g + U 2 V j d G l v b j E v Y W 5 z d 2 V y c y 9 S Z W 5 h b W V k J T I w Q 2 9 s d W 1 u c z w v S X R l b V B h d G g + P C 9 J d G V t T G 9 j Y X R p b 2 4 + P F N 0 Y W J s Z U V u d H J p Z X M g L z 4 8 L 0 l 0 Z W 0 + P E l 0 Z W 0 + P E l 0 Z W 1 M b 2 N h d G l v b j 4 8 S X R l b V R 5 c G U + R m 9 y b X V s Y T w v S X R l b V R 5 c G U + P E l 0 Z W 1 Q Y X R o P l N l Y 3 R p b 2 4 x L 2 F u c 3 d l c n M v T 3 R o Z X J R d W V y e V Z h b H V l P C 9 J d G V t U G F 0 a D 4 8 L 0 l 0 Z W 1 M b 2 N h d G l v b j 4 8 U 3 R h Y m x l R W 5 0 c m l l c y A v P j w v S X R l b T 4 8 S X R l b T 4 8 S X R l b U x v Y 2 F 0 a W 9 u P j x J d G V t V H l w Z T 5 G b 3 J t d W x h P C 9 J d G V t V H l w Z T 4 8 S X R l b V B h d G g + U 2 V j d G l v b j E v Y W 5 z d 2 V y c y 9 V b n B p d m 9 0 Z W Q l M j B D b 2 x 1 b W 5 z P C 9 J d G V t U G F 0 a D 4 8 L 0 l 0 Z W 1 M b 2 N h d G l v b j 4 8 U 3 R h Y m x l R W 5 0 c m l l c y A v P j w v S X R l b T 4 8 S X R l b T 4 8 S X R l b U x v Y 2 F 0 a W 9 u P j x J d G V t V H l w Z T 5 G b 3 J t d W x h P C 9 J d G V t V H l w Z T 4 8 S X R l b V B h d G g + U 2 V j d G l v b j E v Y W 5 z d 2 V y c y 9 S Z W 1 v d m V k J T I w Q 2 9 s d W 1 u c z w v S X R l b V B h d G g + P C 9 J d G V t T G 9 j Y X R p b 2 4 + P F N 0 Y W J s Z U V u d H J p Z X M g L z 4 8 L 0 l 0 Z W 0 + P E l 0 Z W 0 + P E l 0 Z W 1 M b 2 N h d G l v b j 4 8 S X R l b V R 5 c G U + R m 9 y b X V s Y T w v S X R l b V R 5 c G U + P E l 0 Z W 1 Q Y X R o P l N l Y 3 R p b 2 4 x L 2 F u c 3 d l c n M v Q 2 h h b m d l Z C U y M F R 5 c G U 8 L 0 l 0 Z W 1 Q Y X R o P j w v S X R l b U x v Y 2 F 0 a W 9 u P j x T d G F i b G V F b n R y a W V z I C 8 + P C 9 J d G V t P j x J d G V t P j x J d G V t T G 9 j Y X R p b 2 4 + P E l 0 Z W 1 U e X B l P k Z v c m 1 1 b G E 8 L 0 l 0 Z W 1 U e X B l P j x J d G V t U G F 0 a D 5 T Z W N 0 a W 9 u M S 9 h b n N 3 Z X J z L 0 d y b 3 V w Z W Q l M j B S b 3 d z P C 9 J d G V t U G F 0 a D 4 8 L 0 l 0 Z W 1 M b 2 N h d G l v b j 4 8 U 3 R h Y m x l R W 5 0 c m l l c y A v P j w v S X R l b T 4 8 S X R l b T 4 8 S X R l b U x v Y 2 F 0 a W 9 u P j x J d G V t V H l w Z T 5 G b 3 J t d W x h P C 9 J d G V t V H l w Z T 4 8 S X R l b V B h d G g + U 2 V j d G l v b j E v U 3 R h d H M 8 L 0 l 0 Z W 1 Q Y X R o P j w v S X R l b U x v Y 2 F 0 a W 9 u P j x T d G F i b G V F b n R y a W V z P j x F b n R y e S B U e X B l P S J R d W V y e U l E I i B W Y W x 1 Z T 0 i c z R i Y W J j Z G U 1 L T N i Z m M t N D J k Z i 1 i Y z J l L W U 4 Z m M 2 N D F l N m J k Z S 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l J l b G F 0 a W 9 u c 2 h p c E l u Z m 9 D b 2 5 0 Y W l u Z X I i I F Z h b H V l P S J z e y Z x d W 9 0 O 2 N v b H V t b k N v d W 5 0 J n F 1 b 3 Q 7 O j Y s J n F 1 b 3 Q 7 a 2 V 5 Q 2 9 s d W 1 u T m F t Z X M m c X V v d D s 6 W 1 0 s J n F 1 b 3 Q 7 c X V l c n l S Z W x h d G l v b n N o a X B z J n F 1 b 3 Q 7 O l t d L C Z x d W 9 0 O 2 N v b H V t b k l k Z W 5 0 a X R p Z X M m c X V v d D s 6 W y Z x d W 9 0 O 1 N l Y 3 R p b 2 4 x L 1 N 0 Y X R z L 0 F 1 d G 9 S Z W 1 v d m V k Q 2 9 s d W 1 u c z E u e 0 l u Z G V 4 L D B 9 J n F 1 b 3 Q 7 L C Z x d W 9 0 O 1 N l Y 3 R p b 2 4 x L 1 N 0 Y X R z L 0 F 1 d G 9 S Z W 1 v d m V k Q 2 9 s d W 1 u c z E u e 0 F 2 Z y w x f S Z x d W 9 0 O y w m c X V v d D t T Z W N 0 a W 9 u M S 9 T d G F 0 c y 9 B d X R v U m V t b 3 Z l Z E N v b H V t b n M x L n t N a W 4 s M n 0 m c X V v d D s s J n F 1 b 3 Q 7 U 2 V j d G l v b j E v U 3 R h d H M v Q X V 0 b 1 J l b W 9 2 Z W R D b 2 x 1 b W 5 z M S 5 7 T W F 4 L D N 9 J n F 1 b 3 Q 7 L C Z x d W 9 0 O 1 N l Y 3 R p b 2 4 x L 1 N 0 Y X R z L 0 F 1 d G 9 S Z W 1 v d m V k Q 2 9 s d W 1 u c z E u e 0 1 l Z G l h b i w 0 f S Z x d W 9 0 O y w m c X V v d D t T Z W N 0 a W 9 u M S 9 T d G F 0 c y 9 B d X R v U m V t b 3 Z l Z E N v b H V t b n M x L n t O c i w 1 f S Z x d W 9 0 O 1 0 s J n F 1 b 3 Q 7 Q 2 9 s d W 1 u Q 2 9 1 b n Q m c X V v d D s 6 N i w m c X V v d D t L Z X l D b 2 x 1 b W 5 O Y W 1 l c y Z x d W 9 0 O z p b X S w m c X V v d D t D b 2 x 1 b W 5 J Z G V u d G l 0 a W V z J n F 1 b 3 Q 7 O l s m c X V v d D t T Z W N 0 a W 9 u M S 9 T d G F 0 c y 9 B d X R v U m V t b 3 Z l Z E N v b H V t b n M x L n t J b m R l e C w w f S Z x d W 9 0 O y w m c X V v d D t T Z W N 0 a W 9 u M S 9 T d G F 0 c y 9 B d X R v U m V t b 3 Z l Z E N v b H V t b n M x L n t B d m c s M X 0 m c X V v d D s s J n F 1 b 3 Q 7 U 2 V j d G l v b j E v U 3 R h d H M v Q X V 0 b 1 J l b W 9 2 Z W R D b 2 x 1 b W 5 z M S 5 7 T W l u L D J 9 J n F 1 b 3 Q 7 L C Z x d W 9 0 O 1 N l Y 3 R p b 2 4 x L 1 N 0 Y X R z L 0 F 1 d G 9 S Z W 1 v d m V k Q 2 9 s d W 1 u c z E u e 0 1 h e C w z f S Z x d W 9 0 O y w m c X V v d D t T Z W N 0 a W 9 u M S 9 T d G F 0 c y 9 B d X R v U m V t b 3 Z l Z E N v b H V t b n M x L n t N Z W R p Y W 4 s N H 0 m c X V v d D s s J n F 1 b 3 Q 7 U 2 V j d G l v b j E v U 3 R h d H M v Q X V 0 b 1 J l b W 9 2 Z W R D b 2 x 1 b W 5 z M S 5 7 T n I s N X 0 m c X V v d D t d L C Z x d W 9 0 O 1 J l b G F 0 a W 9 u c 2 h p c E l u Z m 8 m c X V v d D s 6 W 1 1 9 I i A v P j x F b n R y e S B U e X B l P S J G a W x s U 3 R h d H V z I i B W Y W x 1 Z T 0 i c 0 N v b X B s Z X R l I i A v P j x F b n R y e S B U e X B l P S J G a W x s Q 2 9 s d W 1 u T m F t Z X M i I F Z h b H V l P S J z W y Z x d W 9 0 O 0 l u Z G V 4 J n F 1 b 3 Q 7 L C Z x d W 9 0 O 0 F 2 Z y Z x d W 9 0 O y w m c X V v d D t N a W 4 m c X V v d D s s J n F 1 b 3 Q 7 T W F 4 J n F 1 b 3 Q 7 L C Z x d W 9 0 O 0 1 l Z G l h b i Z x d W 9 0 O y w m c X V v d D t O c i Z x d W 9 0 O 1 0 i I C 8 + P E V u d H J 5 I F R 5 c G U 9 I k Z p b G x D b 2 x 1 b W 5 U e X B l c y I g V m F s d W U 9 I n N B Q V V G Q l F V R C I g L z 4 8 R W 5 0 c n k g V H l w Z T 0 i R m l s b E x h c 3 R V c G R h d G V k I i B W Y W x 1 Z T 0 i Z D I w M j Q t M D I t M j R U M T Y 6 N T I 6 N T Q u N T I x N T c 4 M l o i I C 8 + P E V u d H J 5 I F R 5 c G U 9 I k Z p b G x F c n J v c k N v d W 5 0 I i B W Y W x 1 Z T 0 i b D A i I C 8 + P E V u d H J 5 I F R 5 c G U 9 I k Z p b G x F c n J v c k N v Z G U i I F Z h b H V l P S J z V W 5 r b m 9 3 b i I g L z 4 8 R W 5 0 c n k g V H l w Z T 0 i R m l s b E N v d W 5 0 I i B W Y W x 1 Z T 0 i b D E i I C 8 + P E V u d H J 5 I F R 5 c G U 9 I k F k Z G V k V G 9 E Y X R h T W 9 k Z W w i I F Z h b H V l P S J s M C I g L z 4 8 R W 5 0 c n k g V H l w Z T 0 i U m V j b 3 Z l c n l U Y X J n Z X R T a G V l d C I g V m F s d W U 9 I n N T d H V k Z W 5 0 I F J l c 3 V s d H M g U 2 9 s d X R p b 2 4 i I C 8 + P E V u d H J 5 I F R 5 c G U 9 I l J l Y 2 9 2 Z X J 5 V G F y Z 2 V 0 Q 2 9 s d W 1 u I i B W Y W x 1 Z T 0 i b D I 0 I i A v P j x F b n R y e S B U e X B l P S J S Z W N v d m V y e V R h c m d l d F J v d y I g V m F s d W U 9 I m w 3 I i A v P j x F b n R y e S B U e X B l P S J G a W x s V G F y Z 2 V 0 I i B W Y W x 1 Z T 0 i c 1 N 0 Y X R z I i A v P j w v U 3 R h Y m x l R W 5 0 c m l l c z 4 8 L 0 l 0 Z W 0 + P E l 0 Z W 0 + P E l 0 Z W 1 M b 2 N h d G l v b j 4 8 S X R l b V R 5 c G U + R m 9 y b X V s Y T w v S X R l b V R 5 c G U + P E l 0 Z W 1 Q Y X R o P l N l Y 3 R p b 2 4 x L 1 N 0 Y X R z L 1 N v d X J j Z T w v S X R l b V B h d G g + P C 9 J d G V t T G 9 j Y X R p b 2 4 + P F N 0 Y W J s Z U V u d H J p Z X M g L z 4 8 L 0 l 0 Z W 0 + P E l 0 Z W 0 + P E l 0 Z W 1 M b 2 N h d G l v b j 4 8 S X R l b V R 5 c G U + R m 9 y b X V s Y T w v S X R l b V R 5 c G U + P E l 0 Z W 1 Q Y X R o P l N l Y 3 R p b 2 4 x L 1 N 0 Y X R z L 1 J l b W 9 2 Z W Q l M j B D b 2 x 1 b W 5 z P C 9 J d G V t U G F 0 a D 4 8 L 0 l 0 Z W 1 M b 2 N h d G l v b j 4 8 U 3 R h Y m x l R W 5 0 c m l l c y A v P j w v S X R l b T 4 8 S X R l b T 4 8 S X R l b U x v Y 2 F 0 a W 9 u P j x J d G V t V H l w Z T 5 G b 3 J t d W x h P C 9 J d G V t V H l w Z T 4 8 S X R l b V B h d G g + U 2 V j d G l v b j E v U 3 R h d H M v R 3 J v d X B l Z C U y M F J v d 3 M 8 L 0 l 0 Z W 1 Q Y X R o P j w v S X R l b U x v Y 2 F 0 a W 9 u P j x T d G F i b G V F b n R y a W V z I C 8 + P C 9 J d G V t P j x J d G V t P j x J d G V t T G 9 j Y X R p b 2 4 + P E l 0 Z W 1 U e X B l P k Z v c m 1 1 b G E 8 L 0 l 0 Z W 1 U e X B l P j x J d G V t U G F 0 a D 5 T Z W N 0 a W 9 u M S 9 T d G F 0 c y 9 B Z G R l Z C U y M E N 1 c 3 R v b T w v S X R l b V B h d G g + P C 9 J d G V t T G 9 j Y X R p b 2 4 + P F N 0 Y W J s Z U V u d H J p Z X M g L z 4 8 L 0 l 0 Z W 0 + P E l 0 Z W 0 + P E l 0 Z W 1 M b 2 N h d G l v b j 4 8 S X R l b V R 5 c G U + R m 9 y b X V s Y T w v S X R l b V R 5 c G U + P E l 0 Z W 1 Q Y X R o P l N l Y 3 R p b 2 4 x L 1 N 0 Y X R z L 1 J v d W 5 k Z W Q l M j B P Z m Y 8 L 0 l 0 Z W 1 Q Y X R o P j w v S X R l b U x v Y 2 F 0 a W 9 u P j x T d G F i b G V F b n R y a W V z I C 8 + P C 9 J d G V t P j w v S X R l b X M + P C 9 M b 2 N h b F B h Y 2 t h Z 2 V N Z X R h Z G F 0 Y U Z p b G U + F g A A A F B L B Q Y A A A A A A A A A A A A A A A A A A A A A A A A m A Q A A A Q A A A N C M n d 8 B F d E R j H o A w E / C l + s B A A A A G W M V H s r s X 0 O x F I Z m P 4 v c 7 Q A A A A A C A A A A A A A Q Z g A A A A E A A C A A A A C o R y K p X P Y 0 8 l a L R 2 7 D W t T I H S b M b 8 l T e 4 f Q z t k 7 t 6 + 7 T A A A A A A O g A A A A A I A A C A A A A B g I t x r E r a l O W 0 t t 0 E k e P a P H w Z 7 X Y X 6 t D T C Q 9 G d 5 1 E O G F A A A A C e h p g p z U L M x C 9 t e B Z e b X y W Q o N Z V T j l / Z + b s A U f u Z I n 1 D Z I z 5 J j H 1 M 5 s J V Z B V 6 H E q F j 9 + m / R 0 V b L d N 9 F w e 6 z M I b 2 G N V D W x O F n G G 7 E S C X 2 t o K 0 A A A A D v 0 q n D C E i X t U / R + t D M / X m s T e F V u 7 y q U a J 6 3 S J x b p 1 5 5 K q N z L C D + q r f T L 5 j j E / 6 B 6 F k h B h Y o R a o H t 1 H V / o P U 2 h d < / D a t a M a s h u p > 
</file>

<file path=customXml/itemProps1.xml><?xml version="1.0" encoding="utf-8"?>
<ds:datastoreItem xmlns:ds="http://schemas.openxmlformats.org/officeDocument/2006/customXml" ds:itemID="{5682610F-8DF1-4EB4-9BD9-9A3C5BF654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35</vt:i4>
      </vt:variant>
    </vt:vector>
  </HeadingPairs>
  <TitlesOfParts>
    <vt:vector size="79" baseType="lpstr">
      <vt:lpstr>TableLangues</vt:lpstr>
      <vt:lpstr>Main menu</vt:lpstr>
      <vt:lpstr>Vacature</vt:lpstr>
      <vt:lpstr>Vacature solved</vt:lpstr>
      <vt:lpstr>Invoices</vt:lpstr>
      <vt:lpstr>Personnel</vt:lpstr>
      <vt:lpstr>Doubles</vt:lpstr>
      <vt:lpstr>Garages</vt:lpstr>
      <vt:lpstr>Cumulated Results</vt:lpstr>
      <vt:lpstr>Ranking</vt:lpstr>
      <vt:lpstr>Student Results</vt:lpstr>
      <vt:lpstr>Conditions</vt:lpstr>
      <vt:lpstr>Conditions Solutions</vt:lpstr>
      <vt:lpstr>Look it up</vt:lpstr>
      <vt:lpstr>Salaries</vt:lpstr>
      <vt:lpstr>Student Results Solution</vt:lpstr>
      <vt:lpstr>Expenses</vt:lpstr>
      <vt:lpstr>Sorting</vt:lpstr>
      <vt:lpstr>Cumulated Results Solution</vt:lpstr>
      <vt:lpstr>Ranking Solution</vt:lpstr>
      <vt:lpstr>Sorting solution</vt:lpstr>
      <vt:lpstr>Patterns</vt:lpstr>
      <vt:lpstr>Timings</vt:lpstr>
      <vt:lpstr>Simulation</vt:lpstr>
      <vt:lpstr>Dynamic Arrays</vt:lpstr>
      <vt:lpstr>Payments</vt:lpstr>
      <vt:lpstr>Lambda</vt:lpstr>
      <vt:lpstr>Conditional summing</vt:lpstr>
      <vt:lpstr>Conditional summing sol</vt:lpstr>
      <vt:lpstr>Beverages Sales</vt:lpstr>
      <vt:lpstr>Transposing</vt:lpstr>
      <vt:lpstr>Client Status</vt:lpstr>
      <vt:lpstr>Client Status Solution</vt:lpstr>
      <vt:lpstr>Randomly</vt:lpstr>
      <vt:lpstr>Interactive data Solution</vt:lpstr>
      <vt:lpstr>Interactive data</vt:lpstr>
      <vt:lpstr>Dummy Data</vt:lpstr>
      <vt:lpstr>Sales Data</vt:lpstr>
      <vt:lpstr>Custom formats</vt:lpstr>
      <vt:lpstr>Shortcuts</vt:lpstr>
      <vt:lpstr>Complex Text Functions</vt:lpstr>
      <vt:lpstr>Functions</vt:lpstr>
      <vt:lpstr>Links</vt:lpstr>
      <vt:lpstr>Payments Solution</vt:lpstr>
      <vt:lpstr>'Vacature solved'!Age</vt:lpstr>
      <vt:lpstr>Age</vt:lpstr>
      <vt:lpstr>'Vacature solved'!criterium</vt:lpstr>
      <vt:lpstr>criterium</vt:lpstr>
      <vt:lpstr>'Vacature solved'!Garages</vt:lpstr>
      <vt:lpstr>Garages</vt:lpstr>
      <vt:lpstr>langues</vt:lpstr>
      <vt:lpstr>'Vacature solved'!langueSelected</vt:lpstr>
      <vt:lpstr>langueSelected</vt:lpstr>
      <vt:lpstr>mesAges</vt:lpstr>
      <vt:lpstr>'Client Status Solution'!myCats</vt:lpstr>
      <vt:lpstr>'Conditional summing'!myCats</vt:lpstr>
      <vt:lpstr>'Interactive data'!myCats</vt:lpstr>
      <vt:lpstr>myCats</vt:lpstr>
      <vt:lpstr>Nom</vt:lpstr>
      <vt:lpstr>'Conditional summing'!orderNrs</vt:lpstr>
      <vt:lpstr>orderNrs</vt:lpstr>
      <vt:lpstr>'Complex Text Functions'!Print_Area</vt:lpstr>
      <vt:lpstr>Personnel!Print_Area</vt:lpstr>
      <vt:lpstr>Salaries!Print_Area</vt:lpstr>
      <vt:lpstr>Vacature!Print_Area</vt:lpstr>
      <vt:lpstr>'Vacature solved'!Print_Area</vt:lpstr>
      <vt:lpstr>'Cumulated Results Solution'!Quarter</vt:lpstr>
      <vt:lpstr>'Vacature solved'!Quarter</vt:lpstr>
      <vt:lpstr>Quarter</vt:lpstr>
      <vt:lpstr>resIDs</vt:lpstr>
      <vt:lpstr>resRates</vt:lpstr>
      <vt:lpstr>resTypes</vt:lpstr>
      <vt:lpstr>'Cumulated Results Solution'!Revenue</vt:lpstr>
      <vt:lpstr>'Vacature solved'!Revenue</vt:lpstr>
      <vt:lpstr>Revenue</vt:lpstr>
      <vt:lpstr>Salaires</vt:lpstr>
      <vt:lpstr>'Vacature solved'!sexe</vt:lpstr>
      <vt:lpstr>sexe</vt:lpstr>
      <vt:lpstr>TableMenuItems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Danny</dc:creator>
  <cp:lastModifiedBy>Danny P</cp:lastModifiedBy>
  <cp:lastPrinted>2016-10-12T18:59:25Z</cp:lastPrinted>
  <dcterms:created xsi:type="dcterms:W3CDTF">2009-10-18T21:29:05Z</dcterms:created>
  <dcterms:modified xsi:type="dcterms:W3CDTF">2024-02-24T17:00:03Z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2022-03-08T16:58:59Z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c2d2fea2-5c86-4b8c-8d7b-6eb4b94f1f05</vt:lpwstr>
  </property>
  <property fmtid="{D5CDD505-2E9C-101B-9397-08002B2CF9AE}" pid="7" name="MSIP_Label_defa4170-0d19-0005-0004-bc88714345d2_ActionId">
    <vt:lpwstr>7d888dff-859b-4f09-97f4-b6a9ebf41227</vt:lpwstr>
  </property>
  <property fmtid="{D5CDD505-2E9C-101B-9397-08002B2CF9AE}" pid="8" name="MSIP_Label_defa4170-0d19-0005-0004-bc88714345d2_ContentBits">
    <vt:lpwstr>0</vt:lpwstr>
  </property>
</Properties>
</file>